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2.xml" ContentType="application/vnd.ms-excel.controlproperties+xml"/>
  <Override PartName="/xl/drawings/drawing45.xml" ContentType="application/vnd.openxmlformats-officedocument.drawing+xml"/>
  <Override PartName="/xl/ctrlProps/ctrlProp3.xml" ContentType="application/vnd.ms-excel.controlproperties+xml"/>
  <Override PartName="/xl/drawings/drawing46.xml" ContentType="application/vnd.openxmlformats-officedocument.drawing+xml"/>
  <Override PartName="/xl/ctrlProps/ctrlProp4.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ctrlProps/ctrlProp5.xml" ContentType="application/vnd.ms-excel.controlproperties+xml"/>
  <Override PartName="/xl/drawings/drawing49.xml" ContentType="application/vnd.openxmlformats-officedocument.drawing+xml"/>
  <Override PartName="/xl/drawings/drawing50.xml" ContentType="application/vnd.openxmlformats-officedocument.drawing+xml"/>
  <Override PartName="/xl/ctrlProps/ctrlProp6.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ctrlProps/ctrlProp7.xml" ContentType="application/vnd.ms-excel.controlproperties+xml"/>
  <Override PartName="/xl/drawings/drawing53.xml" ContentType="application/vnd.openxmlformats-officedocument.drawing+xml"/>
  <Override PartName="/xl/ctrlProps/ctrlProp8.xml" ContentType="application/vnd.ms-excel.controlproperties+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35" windowWidth="15120" windowHeight="7020" tabRatio="928" firstSheet="1" activeTab="1"/>
  </bookViews>
  <sheets>
    <sheet name="LOGIN" sheetId="40" state="hidden" r:id="rId1"/>
    <sheet name="DEPAN" sheetId="9" r:id="rId2"/>
    <sheet name="KKM" sheetId="38" r:id="rId3"/>
    <sheet name="KI-KD" sheetId="39" r:id="rId4"/>
    <sheet name="SISWA" sheetId="3" r:id="rId5"/>
    <sheet name="IND" sheetId="92" r:id="rId6"/>
    <sheet name="KI1" sheetId="94" r:id="rId7"/>
    <sheet name="KI2" sheetId="96" r:id="rId8"/>
    <sheet name="SPIRIT" sheetId="4" r:id="rId9"/>
    <sheet name="SOSIAL" sheetId="5" r:id="rId10"/>
    <sheet name="JAN" sheetId="85" r:id="rId11"/>
    <sheet name="PEB" sheetId="86" r:id="rId12"/>
    <sheet name="MART" sheetId="87" r:id="rId13"/>
    <sheet name="APR" sheetId="88" r:id="rId14"/>
    <sheet name="MEI" sheetId="89" r:id="rId15"/>
    <sheet name="JUN" sheetId="90" r:id="rId16"/>
    <sheet name="ABS" sheetId="91" r:id="rId17"/>
    <sheet name="PAI3" sheetId="1" r:id="rId18"/>
    <sheet name="PKN3" sheetId="7" r:id="rId19"/>
    <sheet name="BIND3" sheetId="10" r:id="rId20"/>
    <sheet name="MTK3" sheetId="11" r:id="rId21"/>
    <sheet name="IPA3" sheetId="33" r:id="rId22"/>
    <sheet name="IPS3" sheetId="34" r:id="rId23"/>
    <sheet name="SBDP3" sheetId="12" r:id="rId24"/>
    <sheet name="PJOK3" sheetId="26" r:id="rId25"/>
    <sheet name="MLK1-3" sheetId="13" r:id="rId26"/>
    <sheet name="MLK2-3" sheetId="14" r:id="rId27"/>
    <sheet name="MLK3-3" sheetId="15" r:id="rId28"/>
    <sheet name="PAI4" sheetId="16" r:id="rId29"/>
    <sheet name="PKN4" sheetId="17" r:id="rId30"/>
    <sheet name="BIND4" sheetId="18" r:id="rId31"/>
    <sheet name="MTK4" sheetId="19" r:id="rId32"/>
    <sheet name="IPA4" sheetId="35" r:id="rId33"/>
    <sheet name="IPS4" sheetId="36" r:id="rId34"/>
    <sheet name="SBDP4" sheetId="20" r:id="rId35"/>
    <sheet name="PJOK4" sheetId="27" r:id="rId36"/>
    <sheet name="MLK1-4" sheetId="21" r:id="rId37"/>
    <sheet name="MLK2-4" sheetId="22" r:id="rId38"/>
    <sheet name="MLK3-4" sheetId="23" r:id="rId39"/>
    <sheet name="TUTOR" sheetId="31" r:id="rId40"/>
    <sheet name="REKAP" sheetId="25" r:id="rId41"/>
    <sheet name="LEGER" sheetId="41" r:id="rId42"/>
    <sheet name="ABSEN" sheetId="24" r:id="rId43"/>
    <sheet name="RAPORT" sheetId="28" r:id="rId44"/>
    <sheet name="DATA RAPORT" sheetId="29" r:id="rId45"/>
    <sheet name="DES RAPORT" sheetId="30" r:id="rId46"/>
    <sheet name="REKAP PTS" sheetId="78" r:id="rId47"/>
    <sheet name="RAPORT PTS" sheetId="77" r:id="rId48"/>
    <sheet name="REKAP PTS 2" sheetId="83" r:id="rId49"/>
    <sheet name="RAPORT PTS2" sheetId="84" r:id="rId50"/>
    <sheet name="INDUK1" sheetId="42" r:id="rId51"/>
    <sheet name="INDUK2" sheetId="43" r:id="rId52"/>
    <sheet name="INDUK3" sheetId="44" r:id="rId53"/>
    <sheet name="PAS" sheetId="79" r:id="rId54"/>
    <sheet name="BLT" sheetId="81" r:id="rId55"/>
    <sheet name="KUALF1" sheetId="80" r:id="rId56"/>
    <sheet name="KUALF2" sheetId="82" r:id="rId57"/>
    <sheet name="KI3" sheetId="50" r:id="rId58"/>
  </sheets>
  <externalReferences>
    <externalReference r:id="rId59"/>
    <externalReference r:id="rId60"/>
  </externalReferences>
  <definedNames>
    <definedName name="_xlnm.Print_Area" localSheetId="44">'DATA RAPORT'!$A$1:$Q$43</definedName>
    <definedName name="_xlnm.Print_Area" localSheetId="45">'DES RAPORT'!$A$1:$K$104</definedName>
    <definedName name="_xlnm.Print_Area" localSheetId="50">INDUK1!$A$1:$S$90</definedName>
    <definedName name="_xlnm.Print_Area" localSheetId="51">INDUK2!$A$1:$S$93</definedName>
    <definedName name="_xlnm.Print_Area" localSheetId="52">INDUK3!$A$1:$AF$77</definedName>
    <definedName name="_xlnm.Print_Area" localSheetId="6">'KI1'!$C$1:$O$121</definedName>
    <definedName name="_xlnm.Print_Area" localSheetId="55">KUALF1!$A$1:$AP$131</definedName>
    <definedName name="_xlnm.Print_Area" localSheetId="56">KUALF2!$A$1:$AO$131</definedName>
    <definedName name="_xlnm.Print_Area" localSheetId="43">RAPORT!$A$1:$H$61</definedName>
    <definedName name="_xlnm.Print_Area" localSheetId="47">'RAPORT PTS'!$A$1:$S$60</definedName>
    <definedName name="_xlnm.Print_Area" localSheetId="49">'RAPORT PTS2'!$A$1:$S$59</definedName>
  </definedNames>
  <calcPr calcId="144525"/>
</workbook>
</file>

<file path=xl/calcChain.xml><?xml version="1.0" encoding="utf-8"?>
<calcChain xmlns="http://schemas.openxmlformats.org/spreadsheetml/2006/main">
  <c r="AI6" i="15" l="1"/>
  <c r="AJ6" i="15"/>
  <c r="AK6" i="15"/>
  <c r="AL6" i="15"/>
  <c r="AM6" i="15"/>
  <c r="AN6" i="15"/>
  <c r="AO6" i="15"/>
  <c r="AI7" i="15"/>
  <c r="AJ7" i="15"/>
  <c r="AK7" i="15"/>
  <c r="AL7" i="15"/>
  <c r="AM7" i="15"/>
  <c r="AN7" i="15"/>
  <c r="AO7" i="15"/>
  <c r="AI8" i="15"/>
  <c r="AJ8" i="15"/>
  <c r="AK8" i="15"/>
  <c r="AL8" i="15"/>
  <c r="AM8" i="15"/>
  <c r="AN8" i="15"/>
  <c r="AO8" i="15"/>
  <c r="AI9" i="15"/>
  <c r="AJ9" i="15"/>
  <c r="AK9" i="15"/>
  <c r="AL9" i="15"/>
  <c r="AM9" i="15"/>
  <c r="AN9" i="15"/>
  <c r="AO9" i="15"/>
  <c r="AI10" i="15"/>
  <c r="AJ10" i="15"/>
  <c r="AK10" i="15"/>
  <c r="AL10" i="15"/>
  <c r="AM10" i="15"/>
  <c r="AN10" i="15"/>
  <c r="AO10" i="15"/>
  <c r="AI11" i="15"/>
  <c r="AJ11" i="15"/>
  <c r="AK11" i="15"/>
  <c r="AL11" i="15"/>
  <c r="AM11" i="15"/>
  <c r="AN11" i="15"/>
  <c r="AO11" i="15"/>
  <c r="AI12" i="15"/>
  <c r="AJ12" i="15"/>
  <c r="AK12" i="15"/>
  <c r="AL12" i="15"/>
  <c r="AM12" i="15"/>
  <c r="AN12" i="15"/>
  <c r="AO12" i="15"/>
  <c r="AI13" i="15"/>
  <c r="AJ13" i="15"/>
  <c r="AK13" i="15"/>
  <c r="AL13" i="15"/>
  <c r="AM13" i="15"/>
  <c r="AN13" i="15"/>
  <c r="AO13" i="15"/>
  <c r="AI14" i="15"/>
  <c r="AJ14" i="15"/>
  <c r="AK14" i="15"/>
  <c r="AL14" i="15"/>
  <c r="AM14" i="15"/>
  <c r="AN14" i="15"/>
  <c r="AO14" i="15"/>
  <c r="AI15" i="15"/>
  <c r="AJ15" i="15"/>
  <c r="AK15" i="15"/>
  <c r="AL15" i="15"/>
  <c r="AM15" i="15"/>
  <c r="AN15" i="15"/>
  <c r="AO15" i="15"/>
  <c r="AI16" i="15"/>
  <c r="AJ16" i="15"/>
  <c r="AK16" i="15"/>
  <c r="AL16" i="15"/>
  <c r="AM16" i="15"/>
  <c r="AN16" i="15"/>
  <c r="AO16" i="15"/>
  <c r="AI17" i="15"/>
  <c r="AJ17" i="15"/>
  <c r="AK17" i="15"/>
  <c r="AL17" i="15"/>
  <c r="AM17" i="15"/>
  <c r="AN17" i="15"/>
  <c r="AO17" i="15"/>
  <c r="AI18" i="15"/>
  <c r="AJ18" i="15"/>
  <c r="AK18" i="15"/>
  <c r="AL18" i="15"/>
  <c r="AM18" i="15"/>
  <c r="AN18" i="15"/>
  <c r="AO18" i="15"/>
  <c r="AI19" i="15"/>
  <c r="AJ19" i="15"/>
  <c r="AK19" i="15"/>
  <c r="AL19" i="15"/>
  <c r="AM19" i="15"/>
  <c r="AN19" i="15"/>
  <c r="AO19" i="15"/>
  <c r="AI20" i="15"/>
  <c r="AJ20" i="15"/>
  <c r="AK20" i="15"/>
  <c r="AL20" i="15"/>
  <c r="AM20" i="15"/>
  <c r="AN20" i="15"/>
  <c r="AO20" i="15"/>
  <c r="AI21" i="15"/>
  <c r="AJ21" i="15"/>
  <c r="AK21" i="15"/>
  <c r="AL21" i="15"/>
  <c r="AM21" i="15"/>
  <c r="AN21" i="15"/>
  <c r="AO21" i="15"/>
  <c r="AI22" i="15"/>
  <c r="AJ22" i="15"/>
  <c r="AK22" i="15"/>
  <c r="AL22" i="15"/>
  <c r="AM22" i="15"/>
  <c r="AN22" i="15"/>
  <c r="AO22" i="15"/>
  <c r="AI23" i="15"/>
  <c r="AJ23" i="15"/>
  <c r="AK23" i="15"/>
  <c r="AL23" i="15"/>
  <c r="AM23" i="15"/>
  <c r="AN23" i="15"/>
  <c r="AO23" i="15"/>
  <c r="AI24" i="15"/>
  <c r="AJ24" i="15"/>
  <c r="AK24" i="15"/>
  <c r="AL24" i="15"/>
  <c r="AM24" i="15"/>
  <c r="AN24" i="15"/>
  <c r="AO24" i="15"/>
  <c r="AI25" i="15"/>
  <c r="AJ25" i="15"/>
  <c r="AK25" i="15"/>
  <c r="AL25" i="15"/>
  <c r="AM25" i="15"/>
  <c r="AN25" i="15"/>
  <c r="AO25" i="15"/>
  <c r="AI26" i="15"/>
  <c r="AJ26" i="15"/>
  <c r="AK26" i="15"/>
  <c r="AL26" i="15"/>
  <c r="AM26" i="15"/>
  <c r="AN26" i="15"/>
  <c r="AO26" i="15"/>
  <c r="AI27" i="15"/>
  <c r="AJ27" i="15"/>
  <c r="AK27" i="15"/>
  <c r="AL27" i="15"/>
  <c r="AM27" i="15"/>
  <c r="AN27" i="15"/>
  <c r="AO27" i="15"/>
  <c r="AI28" i="15"/>
  <c r="AJ28" i="15"/>
  <c r="AK28" i="15"/>
  <c r="AL28" i="15"/>
  <c r="AM28" i="15"/>
  <c r="AN28" i="15"/>
  <c r="AO28" i="15"/>
  <c r="AI29" i="15"/>
  <c r="AJ29" i="15"/>
  <c r="AK29" i="15"/>
  <c r="AL29" i="15"/>
  <c r="AM29" i="15"/>
  <c r="AN29" i="15"/>
  <c r="AO29" i="15"/>
  <c r="AI30" i="15"/>
  <c r="AJ30" i="15"/>
  <c r="AK30" i="15"/>
  <c r="AL30" i="15"/>
  <c r="AM30" i="15"/>
  <c r="AN30" i="15"/>
  <c r="AO30" i="15"/>
  <c r="AI31" i="15"/>
  <c r="AJ31" i="15"/>
  <c r="AK31" i="15"/>
  <c r="AL31" i="15"/>
  <c r="AM31" i="15"/>
  <c r="AN31" i="15"/>
  <c r="AO31" i="15"/>
  <c r="AI32" i="15"/>
  <c r="AJ32" i="15"/>
  <c r="AK32" i="15"/>
  <c r="AL32" i="15"/>
  <c r="AM32" i="15"/>
  <c r="AN32" i="15"/>
  <c r="AO32" i="15"/>
  <c r="AI33" i="15"/>
  <c r="AJ33" i="15"/>
  <c r="AK33" i="15"/>
  <c r="AL33" i="15"/>
  <c r="AM33" i="15"/>
  <c r="AN33" i="15"/>
  <c r="AO33" i="15"/>
  <c r="AI34" i="15"/>
  <c r="AJ34" i="15"/>
  <c r="AK34" i="15"/>
  <c r="AL34" i="15"/>
  <c r="AM34" i="15"/>
  <c r="AN34" i="15"/>
  <c r="AO34" i="15"/>
  <c r="AI35" i="15"/>
  <c r="AJ35" i="15"/>
  <c r="AK35" i="15"/>
  <c r="AL35" i="15"/>
  <c r="AM35" i="15"/>
  <c r="AN35" i="15"/>
  <c r="AO35" i="15"/>
  <c r="AI36" i="15"/>
  <c r="AJ36" i="15"/>
  <c r="AK36" i="15"/>
  <c r="AL36" i="15"/>
  <c r="AM36" i="15"/>
  <c r="AN36" i="15"/>
  <c r="AO36" i="15"/>
  <c r="AI37" i="15"/>
  <c r="AJ37" i="15"/>
  <c r="AK37" i="15"/>
  <c r="AL37" i="15"/>
  <c r="AM37" i="15"/>
  <c r="AN37" i="15"/>
  <c r="AO37" i="15"/>
  <c r="AI38" i="15"/>
  <c r="AJ38" i="15"/>
  <c r="AK38" i="15"/>
  <c r="AL38" i="15"/>
  <c r="AM38" i="15"/>
  <c r="AN38" i="15"/>
  <c r="AO38" i="15"/>
  <c r="AI39" i="15"/>
  <c r="AJ39" i="15"/>
  <c r="AK39" i="15"/>
  <c r="AL39" i="15"/>
  <c r="AM39" i="15"/>
  <c r="AN39" i="15"/>
  <c r="AO39" i="15"/>
  <c r="AI40" i="15"/>
  <c r="AJ40" i="15"/>
  <c r="AK40" i="15"/>
  <c r="AL40" i="15"/>
  <c r="AM40" i="15"/>
  <c r="AN40" i="15"/>
  <c r="AO40" i="15"/>
  <c r="AI41" i="15"/>
  <c r="AJ41" i="15"/>
  <c r="AK41" i="15"/>
  <c r="AL41" i="15"/>
  <c r="AM41" i="15"/>
  <c r="AN41" i="15"/>
  <c r="AO41" i="15"/>
  <c r="AI42" i="15"/>
  <c r="AJ42" i="15"/>
  <c r="AK42" i="15"/>
  <c r="AL42" i="15"/>
  <c r="AM42" i="15"/>
  <c r="AN42" i="15"/>
  <c r="AO42" i="15"/>
  <c r="AI43" i="15"/>
  <c r="AJ43" i="15"/>
  <c r="AK43" i="15"/>
  <c r="AL43" i="15"/>
  <c r="AM43" i="15"/>
  <c r="AN43" i="15"/>
  <c r="AO43" i="15"/>
  <c r="AI44" i="15"/>
  <c r="AJ44" i="15"/>
  <c r="AK44" i="15"/>
  <c r="AL44" i="15"/>
  <c r="AM44" i="15"/>
  <c r="AN44" i="15"/>
  <c r="AO44" i="15"/>
  <c r="AI45" i="15"/>
  <c r="AJ45" i="15"/>
  <c r="AK45" i="15"/>
  <c r="AL45" i="15"/>
  <c r="AM45" i="15"/>
  <c r="AN45" i="15"/>
  <c r="AO45" i="15"/>
  <c r="AI46" i="15"/>
  <c r="AJ46" i="15"/>
  <c r="AK46" i="15"/>
  <c r="AL46" i="15"/>
  <c r="AM46" i="15"/>
  <c r="AN46" i="15"/>
  <c r="AO46" i="15"/>
  <c r="AI47" i="15"/>
  <c r="AJ47" i="15"/>
  <c r="AK47" i="15"/>
  <c r="AL47" i="15"/>
  <c r="AM47" i="15"/>
  <c r="AN47" i="15"/>
  <c r="AO47" i="15"/>
  <c r="AI48" i="15"/>
  <c r="AJ48" i="15"/>
  <c r="AK48" i="15"/>
  <c r="AL48" i="15"/>
  <c r="AM48" i="15"/>
  <c r="AN48" i="15"/>
  <c r="AO48" i="15"/>
  <c r="AI49" i="15"/>
  <c r="AJ49" i="15"/>
  <c r="AK49" i="15"/>
  <c r="AL49" i="15"/>
  <c r="AM49" i="15"/>
  <c r="AN49" i="15"/>
  <c r="AO49" i="15"/>
  <c r="AI50" i="15"/>
  <c r="AJ50" i="15"/>
  <c r="AK50" i="15"/>
  <c r="AL50" i="15"/>
  <c r="AM50" i="15"/>
  <c r="AN50" i="15"/>
  <c r="AO50" i="15"/>
  <c r="AI51" i="15"/>
  <c r="AJ51" i="15"/>
  <c r="AK51" i="15"/>
  <c r="AL51" i="15"/>
  <c r="AM51" i="15"/>
  <c r="AN51" i="15"/>
  <c r="AO51" i="15"/>
  <c r="AI52" i="15"/>
  <c r="AJ52" i="15"/>
  <c r="AK52" i="15"/>
  <c r="AL52" i="15"/>
  <c r="AM52" i="15"/>
  <c r="AN52" i="15"/>
  <c r="AO52" i="15"/>
  <c r="AI53" i="15"/>
  <c r="AJ53" i="15"/>
  <c r="AK53" i="15"/>
  <c r="AL53" i="15"/>
  <c r="AM53" i="15"/>
  <c r="AN53" i="15"/>
  <c r="AO53" i="15"/>
  <c r="AI54" i="15"/>
  <c r="AJ54" i="15"/>
  <c r="AK54" i="15"/>
  <c r="AL54" i="15"/>
  <c r="AM54" i="15"/>
  <c r="AN54" i="15"/>
  <c r="AO54" i="15"/>
  <c r="AJ5" i="15"/>
  <c r="AK5" i="15"/>
  <c r="AL5" i="15"/>
  <c r="AM5" i="15"/>
  <c r="AN5" i="15"/>
  <c r="AO5" i="15"/>
  <c r="AI5" i="15"/>
  <c r="W3" i="15"/>
  <c r="AO3" i="15"/>
  <c r="AN3" i="15"/>
  <c r="AM3" i="15"/>
  <c r="AO4" i="15"/>
  <c r="AN4" i="15"/>
  <c r="AM4" i="15"/>
  <c r="K3" i="15"/>
  <c r="Y3" i="15" s="1"/>
  <c r="J3" i="15"/>
  <c r="X3" i="15" s="1"/>
  <c r="I3" i="15"/>
  <c r="AI6" i="14"/>
  <c r="AJ6" i="14"/>
  <c r="AK6" i="14"/>
  <c r="AL6" i="14"/>
  <c r="AM6" i="14"/>
  <c r="AN6" i="14"/>
  <c r="AO6" i="14"/>
  <c r="AI7" i="14"/>
  <c r="AJ7" i="14"/>
  <c r="AK7" i="14"/>
  <c r="AL7" i="14"/>
  <c r="AM7" i="14"/>
  <c r="AN7" i="14"/>
  <c r="AO7" i="14"/>
  <c r="AI8" i="14"/>
  <c r="AJ8" i="14"/>
  <c r="AK8" i="14"/>
  <c r="AL8" i="14"/>
  <c r="AM8" i="14"/>
  <c r="AN8" i="14"/>
  <c r="AO8" i="14"/>
  <c r="AI9" i="14"/>
  <c r="AJ9" i="14"/>
  <c r="AK9" i="14"/>
  <c r="AL9" i="14"/>
  <c r="AM9" i="14"/>
  <c r="AN9" i="14"/>
  <c r="AO9" i="14"/>
  <c r="AI10" i="14"/>
  <c r="AJ10" i="14"/>
  <c r="AK10" i="14"/>
  <c r="AL10" i="14"/>
  <c r="AM10" i="14"/>
  <c r="AN10" i="14"/>
  <c r="AO10" i="14"/>
  <c r="AI11" i="14"/>
  <c r="AJ11" i="14"/>
  <c r="AK11" i="14"/>
  <c r="AL11" i="14"/>
  <c r="AM11" i="14"/>
  <c r="AN11" i="14"/>
  <c r="AO11" i="14"/>
  <c r="AI12" i="14"/>
  <c r="AJ12" i="14"/>
  <c r="AK12" i="14"/>
  <c r="AL12" i="14"/>
  <c r="AM12" i="14"/>
  <c r="AN12" i="14"/>
  <c r="AO12" i="14"/>
  <c r="AI13" i="14"/>
  <c r="AJ13" i="14"/>
  <c r="AK13" i="14"/>
  <c r="AL13" i="14"/>
  <c r="AM13" i="14"/>
  <c r="AN13" i="14"/>
  <c r="AO13" i="14"/>
  <c r="AI14" i="14"/>
  <c r="AJ14" i="14"/>
  <c r="AK14" i="14"/>
  <c r="AL14" i="14"/>
  <c r="AM14" i="14"/>
  <c r="AN14" i="14"/>
  <c r="AO14" i="14"/>
  <c r="AI15" i="14"/>
  <c r="AJ15" i="14"/>
  <c r="AK15" i="14"/>
  <c r="AL15" i="14"/>
  <c r="AM15" i="14"/>
  <c r="AN15" i="14"/>
  <c r="AO15" i="14"/>
  <c r="AI16" i="14"/>
  <c r="AJ16" i="14"/>
  <c r="AK16" i="14"/>
  <c r="AL16" i="14"/>
  <c r="AM16" i="14"/>
  <c r="AN16" i="14"/>
  <c r="AO16" i="14"/>
  <c r="AI17" i="14"/>
  <c r="AJ17" i="14"/>
  <c r="AK17" i="14"/>
  <c r="AL17" i="14"/>
  <c r="AM17" i="14"/>
  <c r="AN17" i="14"/>
  <c r="AO17" i="14"/>
  <c r="AI18" i="14"/>
  <c r="AJ18" i="14"/>
  <c r="AK18" i="14"/>
  <c r="AL18" i="14"/>
  <c r="AM18" i="14"/>
  <c r="AN18" i="14"/>
  <c r="AO18" i="14"/>
  <c r="AI19" i="14"/>
  <c r="AJ19" i="14"/>
  <c r="AK19" i="14"/>
  <c r="AL19" i="14"/>
  <c r="AM19" i="14"/>
  <c r="AN19" i="14"/>
  <c r="AO19" i="14"/>
  <c r="AI20" i="14"/>
  <c r="AJ20" i="14"/>
  <c r="AK20" i="14"/>
  <c r="AL20" i="14"/>
  <c r="AM20" i="14"/>
  <c r="AN20" i="14"/>
  <c r="AO20" i="14"/>
  <c r="AI21" i="14"/>
  <c r="AJ21" i="14"/>
  <c r="AK21" i="14"/>
  <c r="AL21" i="14"/>
  <c r="AM21" i="14"/>
  <c r="AN21" i="14"/>
  <c r="AO21" i="14"/>
  <c r="AI22" i="14"/>
  <c r="AJ22" i="14"/>
  <c r="AK22" i="14"/>
  <c r="AL22" i="14"/>
  <c r="AM22" i="14"/>
  <c r="AN22" i="14"/>
  <c r="AO22" i="14"/>
  <c r="AI23" i="14"/>
  <c r="AJ23" i="14"/>
  <c r="AK23" i="14"/>
  <c r="AL23" i="14"/>
  <c r="AM23" i="14"/>
  <c r="AN23" i="14"/>
  <c r="AO23" i="14"/>
  <c r="AI24" i="14"/>
  <c r="AJ24" i="14"/>
  <c r="AK24" i="14"/>
  <c r="AL24" i="14"/>
  <c r="AM24" i="14"/>
  <c r="AN24" i="14"/>
  <c r="AO24" i="14"/>
  <c r="AI25" i="14"/>
  <c r="AJ25" i="14"/>
  <c r="AK25" i="14"/>
  <c r="AL25" i="14"/>
  <c r="AM25" i="14"/>
  <c r="AN25" i="14"/>
  <c r="AO25" i="14"/>
  <c r="AI26" i="14"/>
  <c r="AJ26" i="14"/>
  <c r="AK26" i="14"/>
  <c r="AL26" i="14"/>
  <c r="AM26" i="14"/>
  <c r="AN26" i="14"/>
  <c r="AO26" i="14"/>
  <c r="AI27" i="14"/>
  <c r="AJ27" i="14"/>
  <c r="AK27" i="14"/>
  <c r="AL27" i="14"/>
  <c r="AM27" i="14"/>
  <c r="AN27" i="14"/>
  <c r="AO27" i="14"/>
  <c r="AI28" i="14"/>
  <c r="AJ28" i="14"/>
  <c r="AK28" i="14"/>
  <c r="AL28" i="14"/>
  <c r="AM28" i="14"/>
  <c r="AN28" i="14"/>
  <c r="AO28" i="14"/>
  <c r="AI29" i="14"/>
  <c r="AJ29" i="14"/>
  <c r="AK29" i="14"/>
  <c r="AL29" i="14"/>
  <c r="AM29" i="14"/>
  <c r="AN29" i="14"/>
  <c r="AO29" i="14"/>
  <c r="AI30" i="14"/>
  <c r="AJ30" i="14"/>
  <c r="AK30" i="14"/>
  <c r="AL30" i="14"/>
  <c r="AM30" i="14"/>
  <c r="AN30" i="14"/>
  <c r="AO30" i="14"/>
  <c r="AI31" i="14"/>
  <c r="AJ31" i="14"/>
  <c r="AK31" i="14"/>
  <c r="AL31" i="14"/>
  <c r="AM31" i="14"/>
  <c r="AN31" i="14"/>
  <c r="AO31" i="14"/>
  <c r="AI32" i="14"/>
  <c r="AJ32" i="14"/>
  <c r="AK32" i="14"/>
  <c r="AL32" i="14"/>
  <c r="AM32" i="14"/>
  <c r="AN32" i="14"/>
  <c r="AO32" i="14"/>
  <c r="AI33" i="14"/>
  <c r="AJ33" i="14"/>
  <c r="AK33" i="14"/>
  <c r="AL33" i="14"/>
  <c r="AM33" i="14"/>
  <c r="AN33" i="14"/>
  <c r="AO33" i="14"/>
  <c r="AI34" i="14"/>
  <c r="AJ34" i="14"/>
  <c r="AK34" i="14"/>
  <c r="AL34" i="14"/>
  <c r="AM34" i="14"/>
  <c r="AN34" i="14"/>
  <c r="AO34" i="14"/>
  <c r="AI35" i="14"/>
  <c r="AJ35" i="14"/>
  <c r="AK35" i="14"/>
  <c r="AL35" i="14"/>
  <c r="AM35" i="14"/>
  <c r="AN35" i="14"/>
  <c r="AO35" i="14"/>
  <c r="AI36" i="14"/>
  <c r="AJ36" i="14"/>
  <c r="AK36" i="14"/>
  <c r="AL36" i="14"/>
  <c r="AM36" i="14"/>
  <c r="AN36" i="14"/>
  <c r="AO36" i="14"/>
  <c r="AI37" i="14"/>
  <c r="AJ37" i="14"/>
  <c r="AK37" i="14"/>
  <c r="AL37" i="14"/>
  <c r="AM37" i="14"/>
  <c r="AN37" i="14"/>
  <c r="AO37" i="14"/>
  <c r="AI38" i="14"/>
  <c r="AJ38" i="14"/>
  <c r="AK38" i="14"/>
  <c r="AL38" i="14"/>
  <c r="AM38" i="14"/>
  <c r="AN38" i="14"/>
  <c r="AO38" i="14"/>
  <c r="AI39" i="14"/>
  <c r="AJ39" i="14"/>
  <c r="AK39" i="14"/>
  <c r="AL39" i="14"/>
  <c r="AM39" i="14"/>
  <c r="AN39" i="14"/>
  <c r="AO39" i="14"/>
  <c r="AI40" i="14"/>
  <c r="AJ40" i="14"/>
  <c r="AK40" i="14"/>
  <c r="AL40" i="14"/>
  <c r="AM40" i="14"/>
  <c r="AN40" i="14"/>
  <c r="AO40" i="14"/>
  <c r="AI41" i="14"/>
  <c r="AJ41" i="14"/>
  <c r="AK41" i="14"/>
  <c r="AL41" i="14"/>
  <c r="AM41" i="14"/>
  <c r="AN41" i="14"/>
  <c r="AO41" i="14"/>
  <c r="AI42" i="14"/>
  <c r="AJ42" i="14"/>
  <c r="AK42" i="14"/>
  <c r="AL42" i="14"/>
  <c r="AM42" i="14"/>
  <c r="AN42" i="14"/>
  <c r="AO42" i="14"/>
  <c r="AI43" i="14"/>
  <c r="AJ43" i="14"/>
  <c r="AK43" i="14"/>
  <c r="AL43" i="14"/>
  <c r="AM43" i="14"/>
  <c r="AN43" i="14"/>
  <c r="AO43" i="14"/>
  <c r="AI44" i="14"/>
  <c r="AJ44" i="14"/>
  <c r="AK44" i="14"/>
  <c r="AL44" i="14"/>
  <c r="AM44" i="14"/>
  <c r="AN44" i="14"/>
  <c r="AO44" i="14"/>
  <c r="AI45" i="14"/>
  <c r="AJ45" i="14"/>
  <c r="AK45" i="14"/>
  <c r="AL45" i="14"/>
  <c r="AM45" i="14"/>
  <c r="AN45" i="14"/>
  <c r="AO45" i="14"/>
  <c r="AI46" i="14"/>
  <c r="AJ46" i="14"/>
  <c r="AK46" i="14"/>
  <c r="AL46" i="14"/>
  <c r="AM46" i="14"/>
  <c r="AN46" i="14"/>
  <c r="AO46" i="14"/>
  <c r="AI47" i="14"/>
  <c r="AJ47" i="14"/>
  <c r="AK47" i="14"/>
  <c r="AL47" i="14"/>
  <c r="AM47" i="14"/>
  <c r="AN47" i="14"/>
  <c r="AO47" i="14"/>
  <c r="AI48" i="14"/>
  <c r="AJ48" i="14"/>
  <c r="AK48" i="14"/>
  <c r="AL48" i="14"/>
  <c r="AM48" i="14"/>
  <c r="AN48" i="14"/>
  <c r="AO48" i="14"/>
  <c r="AI49" i="14"/>
  <c r="AJ49" i="14"/>
  <c r="AK49" i="14"/>
  <c r="AL49" i="14"/>
  <c r="AM49" i="14"/>
  <c r="AN49" i="14"/>
  <c r="AO49" i="14"/>
  <c r="AI50" i="14"/>
  <c r="AJ50" i="14"/>
  <c r="AK50" i="14"/>
  <c r="AL50" i="14"/>
  <c r="AM50" i="14"/>
  <c r="AN50" i="14"/>
  <c r="AO50" i="14"/>
  <c r="AI51" i="14"/>
  <c r="AJ51" i="14"/>
  <c r="AK51" i="14"/>
  <c r="AL51" i="14"/>
  <c r="AM51" i="14"/>
  <c r="AN51" i="14"/>
  <c r="AO51" i="14"/>
  <c r="AI52" i="14"/>
  <c r="AJ52" i="14"/>
  <c r="AK52" i="14"/>
  <c r="AL52" i="14"/>
  <c r="AM52" i="14"/>
  <c r="AN52" i="14"/>
  <c r="AO52" i="14"/>
  <c r="AI53" i="14"/>
  <c r="AJ53" i="14"/>
  <c r="AK53" i="14"/>
  <c r="AL53" i="14"/>
  <c r="AM53" i="14"/>
  <c r="AN53" i="14"/>
  <c r="AO53" i="14"/>
  <c r="AI54" i="14"/>
  <c r="AJ54" i="14"/>
  <c r="AK54" i="14"/>
  <c r="AL54" i="14"/>
  <c r="AM54" i="14"/>
  <c r="AN54" i="14"/>
  <c r="AO54" i="14"/>
  <c r="AJ5" i="14"/>
  <c r="AK5" i="14"/>
  <c r="AL5" i="14"/>
  <c r="AM5" i="14"/>
  <c r="AN5" i="14"/>
  <c r="AO5" i="14"/>
  <c r="AI5" i="14"/>
  <c r="K3" i="14"/>
  <c r="Y3" i="14" s="1"/>
  <c r="J3" i="14"/>
  <c r="AF3" i="14" s="1"/>
  <c r="I3" i="14"/>
  <c r="W3" i="14" s="1"/>
  <c r="AO4" i="14"/>
  <c r="AN4" i="14"/>
  <c r="AM4" i="14"/>
  <c r="AL6" i="13"/>
  <c r="AM6" i="13"/>
  <c r="AN6" i="13"/>
  <c r="AO6" i="13"/>
  <c r="AP6" i="13"/>
  <c r="AQ6" i="13"/>
  <c r="AR6" i="13"/>
  <c r="AS6" i="13"/>
  <c r="AL7" i="13"/>
  <c r="AM7" i="13"/>
  <c r="AN7" i="13"/>
  <c r="AO7" i="13"/>
  <c r="AP7" i="13"/>
  <c r="AQ7" i="13"/>
  <c r="AR7" i="13"/>
  <c r="AS7" i="13"/>
  <c r="AL8" i="13"/>
  <c r="AM8" i="13"/>
  <c r="AN8" i="13"/>
  <c r="AO8" i="13"/>
  <c r="AP8" i="13"/>
  <c r="AQ8" i="13"/>
  <c r="AR8" i="13"/>
  <c r="AS8" i="13"/>
  <c r="AL9" i="13"/>
  <c r="AM9" i="13"/>
  <c r="AN9" i="13"/>
  <c r="AO9" i="13"/>
  <c r="AP9" i="13"/>
  <c r="AQ9" i="13"/>
  <c r="AR9" i="13"/>
  <c r="AS9" i="13"/>
  <c r="AL10" i="13"/>
  <c r="AM10" i="13"/>
  <c r="AN10" i="13"/>
  <c r="AO10" i="13"/>
  <c r="AP10" i="13"/>
  <c r="AQ10" i="13"/>
  <c r="AR10" i="13"/>
  <c r="AS10" i="13"/>
  <c r="AL11" i="13"/>
  <c r="AM11" i="13"/>
  <c r="AN11" i="13"/>
  <c r="AO11" i="13"/>
  <c r="AP11" i="13"/>
  <c r="AQ11" i="13"/>
  <c r="AR11" i="13"/>
  <c r="AS11" i="13"/>
  <c r="AL12" i="13"/>
  <c r="AM12" i="13"/>
  <c r="AN12" i="13"/>
  <c r="AO12" i="13"/>
  <c r="AP12" i="13"/>
  <c r="AQ12" i="13"/>
  <c r="AR12" i="13"/>
  <c r="AS12" i="13"/>
  <c r="AL13" i="13"/>
  <c r="AM13" i="13"/>
  <c r="AN13" i="13"/>
  <c r="AO13" i="13"/>
  <c r="AP13" i="13"/>
  <c r="AQ13" i="13"/>
  <c r="AR13" i="13"/>
  <c r="AS13" i="13"/>
  <c r="AL14" i="13"/>
  <c r="AM14" i="13"/>
  <c r="AN14" i="13"/>
  <c r="AO14" i="13"/>
  <c r="AP14" i="13"/>
  <c r="AQ14" i="13"/>
  <c r="AR14" i="13"/>
  <c r="AS14" i="13"/>
  <c r="AL15" i="13"/>
  <c r="AM15" i="13"/>
  <c r="AN15" i="13"/>
  <c r="AO15" i="13"/>
  <c r="AP15" i="13"/>
  <c r="AQ15" i="13"/>
  <c r="AR15" i="13"/>
  <c r="AS15" i="13"/>
  <c r="AL16" i="13"/>
  <c r="AM16" i="13"/>
  <c r="AN16" i="13"/>
  <c r="AO16" i="13"/>
  <c r="AP16" i="13"/>
  <c r="AQ16" i="13"/>
  <c r="AR16" i="13"/>
  <c r="AS16" i="13"/>
  <c r="AL17" i="13"/>
  <c r="AM17" i="13"/>
  <c r="AN17" i="13"/>
  <c r="AO17" i="13"/>
  <c r="AP17" i="13"/>
  <c r="AQ17" i="13"/>
  <c r="AR17" i="13"/>
  <c r="AS17" i="13"/>
  <c r="AL18" i="13"/>
  <c r="AM18" i="13"/>
  <c r="AN18" i="13"/>
  <c r="AO18" i="13"/>
  <c r="AP18" i="13"/>
  <c r="AQ18" i="13"/>
  <c r="AR18" i="13"/>
  <c r="AS18" i="13"/>
  <c r="AL19" i="13"/>
  <c r="AM19" i="13"/>
  <c r="AN19" i="13"/>
  <c r="AO19" i="13"/>
  <c r="AP19" i="13"/>
  <c r="AQ19" i="13"/>
  <c r="AR19" i="13"/>
  <c r="AS19" i="13"/>
  <c r="AL20" i="13"/>
  <c r="AM20" i="13"/>
  <c r="AN20" i="13"/>
  <c r="AO20" i="13"/>
  <c r="AP20" i="13"/>
  <c r="AQ20" i="13"/>
  <c r="AR20" i="13"/>
  <c r="AS20" i="13"/>
  <c r="AL21" i="13"/>
  <c r="AM21" i="13"/>
  <c r="AN21" i="13"/>
  <c r="AO21" i="13"/>
  <c r="AP21" i="13"/>
  <c r="AQ21" i="13"/>
  <c r="AR21" i="13"/>
  <c r="AS21" i="13"/>
  <c r="AL22" i="13"/>
  <c r="AM22" i="13"/>
  <c r="AN22" i="13"/>
  <c r="AO22" i="13"/>
  <c r="AP22" i="13"/>
  <c r="AQ22" i="13"/>
  <c r="AR22" i="13"/>
  <c r="AS22" i="13"/>
  <c r="AL23" i="13"/>
  <c r="AM23" i="13"/>
  <c r="AN23" i="13"/>
  <c r="AO23" i="13"/>
  <c r="AP23" i="13"/>
  <c r="AQ23" i="13"/>
  <c r="AR23" i="13"/>
  <c r="AS23" i="13"/>
  <c r="AL24" i="13"/>
  <c r="AM24" i="13"/>
  <c r="AN24" i="13"/>
  <c r="AO24" i="13"/>
  <c r="AP24" i="13"/>
  <c r="AQ24" i="13"/>
  <c r="AR24" i="13"/>
  <c r="AS24" i="13"/>
  <c r="AL25" i="13"/>
  <c r="AM25" i="13"/>
  <c r="AN25" i="13"/>
  <c r="AO25" i="13"/>
  <c r="AP25" i="13"/>
  <c r="AQ25" i="13"/>
  <c r="AR25" i="13"/>
  <c r="AS25" i="13"/>
  <c r="AL26" i="13"/>
  <c r="AM26" i="13"/>
  <c r="AN26" i="13"/>
  <c r="AO26" i="13"/>
  <c r="AP26" i="13"/>
  <c r="AQ26" i="13"/>
  <c r="AR26" i="13"/>
  <c r="AS26" i="13"/>
  <c r="AL27" i="13"/>
  <c r="AM27" i="13"/>
  <c r="AN27" i="13"/>
  <c r="AO27" i="13"/>
  <c r="AP27" i="13"/>
  <c r="AQ27" i="13"/>
  <c r="AR27" i="13"/>
  <c r="AS27" i="13"/>
  <c r="AL28" i="13"/>
  <c r="AM28" i="13"/>
  <c r="AN28" i="13"/>
  <c r="AO28" i="13"/>
  <c r="AP28" i="13"/>
  <c r="AQ28" i="13"/>
  <c r="AR28" i="13"/>
  <c r="AS28" i="13"/>
  <c r="AL29" i="13"/>
  <c r="AM29" i="13"/>
  <c r="AN29" i="13"/>
  <c r="AO29" i="13"/>
  <c r="AP29" i="13"/>
  <c r="AQ29" i="13"/>
  <c r="AR29" i="13"/>
  <c r="AS29" i="13"/>
  <c r="AL30" i="13"/>
  <c r="AM30" i="13"/>
  <c r="AN30" i="13"/>
  <c r="AO30" i="13"/>
  <c r="AP30" i="13"/>
  <c r="AQ30" i="13"/>
  <c r="AR30" i="13"/>
  <c r="AS30" i="13"/>
  <c r="AL31" i="13"/>
  <c r="AM31" i="13"/>
  <c r="AN31" i="13"/>
  <c r="AO31" i="13"/>
  <c r="AP31" i="13"/>
  <c r="AQ31" i="13"/>
  <c r="AR31" i="13"/>
  <c r="AS31" i="13"/>
  <c r="AL32" i="13"/>
  <c r="AM32" i="13"/>
  <c r="AN32" i="13"/>
  <c r="AO32" i="13"/>
  <c r="AP32" i="13"/>
  <c r="AQ32" i="13"/>
  <c r="AR32" i="13"/>
  <c r="AS32" i="13"/>
  <c r="AL33" i="13"/>
  <c r="AM33" i="13"/>
  <c r="AN33" i="13"/>
  <c r="AO33" i="13"/>
  <c r="AP33" i="13"/>
  <c r="AQ33" i="13"/>
  <c r="AR33" i="13"/>
  <c r="AS33" i="13"/>
  <c r="AL34" i="13"/>
  <c r="AM34" i="13"/>
  <c r="AN34" i="13"/>
  <c r="AO34" i="13"/>
  <c r="AP34" i="13"/>
  <c r="AQ34" i="13"/>
  <c r="AR34" i="13"/>
  <c r="AS34" i="13"/>
  <c r="AL35" i="13"/>
  <c r="AM35" i="13"/>
  <c r="AN35" i="13"/>
  <c r="AO35" i="13"/>
  <c r="AP35" i="13"/>
  <c r="AQ35" i="13"/>
  <c r="AR35" i="13"/>
  <c r="AS35" i="13"/>
  <c r="AL36" i="13"/>
  <c r="AM36" i="13"/>
  <c r="AN36" i="13"/>
  <c r="AO36" i="13"/>
  <c r="AP36" i="13"/>
  <c r="AQ36" i="13"/>
  <c r="AR36" i="13"/>
  <c r="AS36" i="13"/>
  <c r="AL37" i="13"/>
  <c r="AM37" i="13"/>
  <c r="AN37" i="13"/>
  <c r="AO37" i="13"/>
  <c r="AP37" i="13"/>
  <c r="AQ37" i="13"/>
  <c r="AR37" i="13"/>
  <c r="AS37" i="13"/>
  <c r="AL38" i="13"/>
  <c r="AM38" i="13"/>
  <c r="AN38" i="13"/>
  <c r="AO38" i="13"/>
  <c r="AP38" i="13"/>
  <c r="AQ38" i="13"/>
  <c r="AR38" i="13"/>
  <c r="AS38" i="13"/>
  <c r="AL39" i="13"/>
  <c r="AM39" i="13"/>
  <c r="AN39" i="13"/>
  <c r="AO39" i="13"/>
  <c r="AP39" i="13"/>
  <c r="AQ39" i="13"/>
  <c r="AR39" i="13"/>
  <c r="AS39" i="13"/>
  <c r="AL40" i="13"/>
  <c r="AM40" i="13"/>
  <c r="AN40" i="13"/>
  <c r="AO40" i="13"/>
  <c r="AP40" i="13"/>
  <c r="AQ40" i="13"/>
  <c r="AR40" i="13"/>
  <c r="AS40" i="13"/>
  <c r="AL41" i="13"/>
  <c r="AM41" i="13"/>
  <c r="AN41" i="13"/>
  <c r="AO41" i="13"/>
  <c r="AP41" i="13"/>
  <c r="AQ41" i="13"/>
  <c r="AR41" i="13"/>
  <c r="AS41" i="13"/>
  <c r="AL42" i="13"/>
  <c r="AM42" i="13"/>
  <c r="AN42" i="13"/>
  <c r="AO42" i="13"/>
  <c r="AP42" i="13"/>
  <c r="AQ42" i="13"/>
  <c r="AR42" i="13"/>
  <c r="AS42" i="13"/>
  <c r="AL43" i="13"/>
  <c r="AM43" i="13"/>
  <c r="AN43" i="13"/>
  <c r="AO43" i="13"/>
  <c r="AP43" i="13"/>
  <c r="AQ43" i="13"/>
  <c r="AR43" i="13"/>
  <c r="AS43" i="13"/>
  <c r="AL44" i="13"/>
  <c r="AM44" i="13"/>
  <c r="AN44" i="13"/>
  <c r="AO44" i="13"/>
  <c r="AP44" i="13"/>
  <c r="AQ44" i="13"/>
  <c r="AR44" i="13"/>
  <c r="AS44" i="13"/>
  <c r="AL45" i="13"/>
  <c r="AM45" i="13"/>
  <c r="AN45" i="13"/>
  <c r="AO45" i="13"/>
  <c r="AP45" i="13"/>
  <c r="AQ45" i="13"/>
  <c r="AR45" i="13"/>
  <c r="AS45" i="13"/>
  <c r="AL46" i="13"/>
  <c r="AM46" i="13"/>
  <c r="AN46" i="13"/>
  <c r="AO46" i="13"/>
  <c r="AP46" i="13"/>
  <c r="AQ46" i="13"/>
  <c r="AR46" i="13"/>
  <c r="AS46" i="13"/>
  <c r="AL47" i="13"/>
  <c r="AM47" i="13"/>
  <c r="AN47" i="13"/>
  <c r="AO47" i="13"/>
  <c r="AP47" i="13"/>
  <c r="AQ47" i="13"/>
  <c r="AR47" i="13"/>
  <c r="AS47" i="13"/>
  <c r="AL48" i="13"/>
  <c r="AM48" i="13"/>
  <c r="AN48" i="13"/>
  <c r="AO48" i="13"/>
  <c r="AP48" i="13"/>
  <c r="AQ48" i="13"/>
  <c r="AR48" i="13"/>
  <c r="AS48" i="13"/>
  <c r="AL49" i="13"/>
  <c r="AM49" i="13"/>
  <c r="AN49" i="13"/>
  <c r="AO49" i="13"/>
  <c r="AP49" i="13"/>
  <c r="AQ49" i="13"/>
  <c r="AR49" i="13"/>
  <c r="AS49" i="13"/>
  <c r="AL50" i="13"/>
  <c r="AM50" i="13"/>
  <c r="AN50" i="13"/>
  <c r="AO50" i="13"/>
  <c r="AP50" i="13"/>
  <c r="AQ50" i="13"/>
  <c r="AR50" i="13"/>
  <c r="AS50" i="13"/>
  <c r="AL51" i="13"/>
  <c r="AM51" i="13"/>
  <c r="AN51" i="13"/>
  <c r="AO51" i="13"/>
  <c r="AP51" i="13"/>
  <c r="AQ51" i="13"/>
  <c r="AR51" i="13"/>
  <c r="AS51" i="13"/>
  <c r="AL52" i="13"/>
  <c r="AM52" i="13"/>
  <c r="AN52" i="13"/>
  <c r="AO52" i="13"/>
  <c r="AP52" i="13"/>
  <c r="AQ52" i="13"/>
  <c r="AR52" i="13"/>
  <c r="AS52" i="13"/>
  <c r="AL53" i="13"/>
  <c r="AM53" i="13"/>
  <c r="AN53" i="13"/>
  <c r="AO53" i="13"/>
  <c r="AP53" i="13"/>
  <c r="AQ53" i="13"/>
  <c r="AR53" i="13"/>
  <c r="AS53" i="13"/>
  <c r="AL54" i="13"/>
  <c r="AM54" i="13"/>
  <c r="AN54" i="13"/>
  <c r="AO54" i="13"/>
  <c r="AP54" i="13"/>
  <c r="AQ54" i="13"/>
  <c r="AR54" i="13"/>
  <c r="AS54" i="13"/>
  <c r="AM5" i="13"/>
  <c r="AN5" i="13"/>
  <c r="AO5" i="13"/>
  <c r="AP5" i="13"/>
  <c r="AQ5" i="13"/>
  <c r="AR5" i="13"/>
  <c r="AS5" i="13"/>
  <c r="AL5" i="13"/>
  <c r="AS3" i="13"/>
  <c r="AR3" i="13"/>
  <c r="AQ3" i="13"/>
  <c r="AP3" i="13"/>
  <c r="AS4" i="13"/>
  <c r="AR4" i="13"/>
  <c r="AQ4" i="13"/>
  <c r="AP4" i="13"/>
  <c r="L3" i="13"/>
  <c r="AA3" i="13" s="1"/>
  <c r="K3" i="13"/>
  <c r="Z3" i="13" s="1"/>
  <c r="J3" i="13"/>
  <c r="Y3" i="13" s="1"/>
  <c r="I3" i="13"/>
  <c r="X3" i="13" s="1"/>
  <c r="AF3" i="15" l="1"/>
  <c r="X3" i="14"/>
  <c r="AI3" i="13"/>
  <c r="AH3" i="13"/>
  <c r="F11" i="96"/>
  <c r="F12" i="96"/>
  <c r="F13" i="96"/>
  <c r="F14" i="96"/>
  <c r="F15" i="96"/>
  <c r="F16" i="96"/>
  <c r="F17" i="96"/>
  <c r="F18" i="96"/>
  <c r="F19" i="96"/>
  <c r="F20" i="96"/>
  <c r="F21" i="96"/>
  <c r="F22" i="96"/>
  <c r="F23" i="96"/>
  <c r="F24" i="96"/>
  <c r="F25" i="96"/>
  <c r="F26" i="96"/>
  <c r="F27" i="96"/>
  <c r="F28" i="96"/>
  <c r="F29" i="96"/>
  <c r="F30" i="96"/>
  <c r="F31" i="96"/>
  <c r="F32" i="96"/>
  <c r="F33" i="96"/>
  <c r="F34" i="96"/>
  <c r="F35" i="96"/>
  <c r="F36" i="96"/>
  <c r="F37" i="96"/>
  <c r="F38" i="96"/>
  <c r="F39" i="96"/>
  <c r="F40" i="96"/>
  <c r="F41" i="96"/>
  <c r="F42" i="96"/>
  <c r="F43" i="96"/>
  <c r="F44" i="96"/>
  <c r="F45" i="96"/>
  <c r="F46" i="96"/>
  <c r="F47" i="96"/>
  <c r="F48" i="96"/>
  <c r="F49" i="96"/>
  <c r="F50" i="96"/>
  <c r="F51" i="96"/>
  <c r="F52" i="96"/>
  <c r="F53" i="96"/>
  <c r="F54" i="96"/>
  <c r="F55" i="96"/>
  <c r="F56" i="96"/>
  <c r="F57" i="96"/>
  <c r="F58" i="96"/>
  <c r="F59" i="96"/>
  <c r="F60" i="96"/>
  <c r="F61" i="96"/>
  <c r="F62" i="96"/>
  <c r="F63" i="96"/>
  <c r="F64" i="96"/>
  <c r="F65" i="96"/>
  <c r="F66" i="96"/>
  <c r="F67" i="96"/>
  <c r="F68" i="96"/>
  <c r="F69" i="96"/>
  <c r="F70" i="96"/>
  <c r="F71" i="96"/>
  <c r="F72" i="96"/>
  <c r="F73" i="96"/>
  <c r="F74" i="96"/>
  <c r="F75" i="96"/>
  <c r="F76" i="96"/>
  <c r="F77" i="96"/>
  <c r="F78" i="96"/>
  <c r="F79" i="96"/>
  <c r="F80" i="96"/>
  <c r="F81" i="96"/>
  <c r="F82" i="96"/>
  <c r="F83" i="96"/>
  <c r="F84" i="96"/>
  <c r="F85" i="96"/>
  <c r="F86" i="96"/>
  <c r="F87" i="96"/>
  <c r="F88" i="96"/>
  <c r="F89" i="96"/>
  <c r="F90" i="96"/>
  <c r="F91" i="96"/>
  <c r="F92" i="96"/>
  <c r="F93" i="96"/>
  <c r="F94" i="96"/>
  <c r="F95" i="96"/>
  <c r="F96" i="96"/>
  <c r="F97" i="96"/>
  <c r="F98" i="96"/>
  <c r="F99" i="96"/>
  <c r="F100" i="96"/>
  <c r="F101" i="96"/>
  <c r="F102" i="96"/>
  <c r="F103" i="96"/>
  <c r="F104" i="96"/>
  <c r="F105" i="96"/>
  <c r="F106" i="96"/>
  <c r="F107" i="96"/>
  <c r="F108" i="96"/>
  <c r="F109" i="96"/>
  <c r="F10" i="96"/>
  <c r="F15" i="94"/>
  <c r="F11" i="94"/>
  <c r="F12" i="94"/>
  <c r="F13" i="94"/>
  <c r="F14" i="94"/>
  <c r="F16" i="94"/>
  <c r="F17" i="94"/>
  <c r="F18" i="94"/>
  <c r="F19" i="94"/>
  <c r="F20" i="94"/>
  <c r="F21" i="94"/>
  <c r="F22" i="94"/>
  <c r="F23" i="94"/>
  <c r="F24" i="94"/>
  <c r="F25" i="94"/>
  <c r="F26" i="94"/>
  <c r="F27" i="94"/>
  <c r="F28" i="94"/>
  <c r="F29" i="94"/>
  <c r="F30" i="94"/>
  <c r="F31" i="94"/>
  <c r="F32" i="94"/>
  <c r="F33" i="94"/>
  <c r="F34" i="94"/>
  <c r="F35" i="94"/>
  <c r="F36" i="94"/>
  <c r="F37" i="94"/>
  <c r="F38" i="94"/>
  <c r="F39" i="94"/>
  <c r="F40" i="94"/>
  <c r="F41" i="94"/>
  <c r="F42" i="94"/>
  <c r="F43" i="94"/>
  <c r="F44" i="94"/>
  <c r="F45" i="94"/>
  <c r="F46" i="94"/>
  <c r="F47" i="94"/>
  <c r="F48" i="94"/>
  <c r="F49" i="94"/>
  <c r="F50" i="94"/>
  <c r="F51" i="94"/>
  <c r="F52" i="94"/>
  <c r="F53" i="94"/>
  <c r="F54" i="94"/>
  <c r="F55" i="94"/>
  <c r="F56" i="94"/>
  <c r="F57" i="94"/>
  <c r="F58" i="94"/>
  <c r="F59" i="94"/>
  <c r="F60" i="94"/>
  <c r="F61" i="94"/>
  <c r="F62" i="94"/>
  <c r="F63" i="94"/>
  <c r="F64" i="94"/>
  <c r="F65" i="94"/>
  <c r="F66" i="94"/>
  <c r="F67" i="94"/>
  <c r="F68" i="94"/>
  <c r="F69" i="94"/>
  <c r="F70" i="94"/>
  <c r="F71" i="94"/>
  <c r="F72" i="94"/>
  <c r="F73" i="94"/>
  <c r="F74" i="94"/>
  <c r="F75" i="94"/>
  <c r="F76" i="94"/>
  <c r="F77" i="94"/>
  <c r="F78" i="94"/>
  <c r="F79" i="94"/>
  <c r="F80" i="94"/>
  <c r="F81" i="94"/>
  <c r="F82" i="94"/>
  <c r="F83" i="94"/>
  <c r="F84" i="94"/>
  <c r="F85" i="94"/>
  <c r="F86" i="94"/>
  <c r="F87" i="94"/>
  <c r="F88" i="94"/>
  <c r="F89" i="94"/>
  <c r="F90" i="94"/>
  <c r="F91" i="94"/>
  <c r="F92" i="94"/>
  <c r="F93" i="94"/>
  <c r="F94" i="94"/>
  <c r="F95" i="94"/>
  <c r="F96" i="94"/>
  <c r="F97" i="94"/>
  <c r="F98" i="94"/>
  <c r="F99" i="94"/>
  <c r="F100" i="94"/>
  <c r="F101" i="94"/>
  <c r="F102" i="94"/>
  <c r="F103" i="94"/>
  <c r="F104" i="94"/>
  <c r="F105" i="94"/>
  <c r="F106" i="94"/>
  <c r="F107" i="94"/>
  <c r="F108" i="94"/>
  <c r="F109" i="94"/>
  <c r="N11" i="96"/>
  <c r="N12" i="96"/>
  <c r="N13" i="96"/>
  <c r="N14" i="96"/>
  <c r="N15" i="96"/>
  <c r="N16" i="96"/>
  <c r="N17" i="96"/>
  <c r="N18" i="96"/>
  <c r="N19" i="96"/>
  <c r="N20" i="96"/>
  <c r="N21" i="96"/>
  <c r="N22" i="96"/>
  <c r="N23" i="96"/>
  <c r="N24" i="96"/>
  <c r="N25" i="96"/>
  <c r="N26" i="96"/>
  <c r="N27" i="96"/>
  <c r="N28" i="96"/>
  <c r="N29" i="96"/>
  <c r="N30" i="96"/>
  <c r="N31" i="96"/>
  <c r="N32" i="96"/>
  <c r="N33" i="96"/>
  <c r="N34" i="96"/>
  <c r="N35" i="96"/>
  <c r="N36" i="96"/>
  <c r="N37" i="96"/>
  <c r="N38" i="96"/>
  <c r="N39" i="96"/>
  <c r="N40" i="96"/>
  <c r="N41" i="96"/>
  <c r="N42" i="96"/>
  <c r="N43" i="96"/>
  <c r="N44" i="96"/>
  <c r="N45" i="96"/>
  <c r="N46" i="96"/>
  <c r="N47" i="96"/>
  <c r="N48" i="96"/>
  <c r="N49" i="96"/>
  <c r="N50" i="96"/>
  <c r="N51" i="96"/>
  <c r="N52" i="96"/>
  <c r="N53" i="96"/>
  <c r="N54" i="96"/>
  <c r="N55" i="96"/>
  <c r="N56" i="96"/>
  <c r="N57" i="96"/>
  <c r="N58" i="96"/>
  <c r="N59" i="96"/>
  <c r="N60" i="96"/>
  <c r="N61" i="96"/>
  <c r="N62" i="96"/>
  <c r="N63" i="96"/>
  <c r="N64" i="96"/>
  <c r="N65" i="96"/>
  <c r="N66" i="96"/>
  <c r="N67" i="96"/>
  <c r="N68" i="96"/>
  <c r="N69" i="96"/>
  <c r="N70" i="96"/>
  <c r="N71" i="96"/>
  <c r="N72" i="96"/>
  <c r="N73" i="96"/>
  <c r="N74" i="96"/>
  <c r="N75" i="96"/>
  <c r="N76" i="96"/>
  <c r="N77" i="96"/>
  <c r="N78" i="96"/>
  <c r="N79" i="96"/>
  <c r="N80" i="96"/>
  <c r="N81" i="96"/>
  <c r="N82" i="96"/>
  <c r="N83" i="96"/>
  <c r="N84" i="96"/>
  <c r="N85" i="96"/>
  <c r="N86" i="96"/>
  <c r="N87" i="96"/>
  <c r="N88" i="96"/>
  <c r="N89" i="96"/>
  <c r="N90" i="96"/>
  <c r="N91" i="96"/>
  <c r="N92" i="96"/>
  <c r="N93" i="96"/>
  <c r="N94" i="96"/>
  <c r="N95" i="96"/>
  <c r="N96" i="96"/>
  <c r="N97" i="96"/>
  <c r="N98" i="96"/>
  <c r="N99" i="96"/>
  <c r="N100" i="96"/>
  <c r="N101" i="96"/>
  <c r="N102" i="96"/>
  <c r="N103" i="96"/>
  <c r="N104" i="96"/>
  <c r="N105" i="96"/>
  <c r="N106" i="96"/>
  <c r="N107" i="96"/>
  <c r="N108" i="96"/>
  <c r="N109" i="96"/>
  <c r="N10" i="96"/>
  <c r="J9" i="96"/>
  <c r="N11" i="94"/>
  <c r="N12" i="94"/>
  <c r="N13" i="94"/>
  <c r="N14" i="94"/>
  <c r="N15" i="94"/>
  <c r="N16" i="94"/>
  <c r="N17" i="94"/>
  <c r="N18" i="94"/>
  <c r="N19" i="94"/>
  <c r="N20" i="94"/>
  <c r="N21" i="94"/>
  <c r="N22" i="94"/>
  <c r="N23" i="94"/>
  <c r="N24" i="94"/>
  <c r="N25" i="94"/>
  <c r="N26" i="94"/>
  <c r="N27" i="94"/>
  <c r="N28" i="94"/>
  <c r="N29" i="94"/>
  <c r="N30" i="94"/>
  <c r="N31" i="94"/>
  <c r="N32" i="94"/>
  <c r="N33" i="94"/>
  <c r="N34" i="94"/>
  <c r="N35" i="94"/>
  <c r="N36" i="94"/>
  <c r="N37" i="94"/>
  <c r="N38" i="94"/>
  <c r="N39" i="94"/>
  <c r="N40" i="94"/>
  <c r="N41" i="94"/>
  <c r="N42" i="94"/>
  <c r="N43" i="94"/>
  <c r="N44" i="94"/>
  <c r="N45" i="94"/>
  <c r="N46" i="94"/>
  <c r="N47" i="94"/>
  <c r="N48" i="94"/>
  <c r="N49" i="94"/>
  <c r="N50" i="94"/>
  <c r="N51" i="94"/>
  <c r="N52" i="94"/>
  <c r="N53" i="94"/>
  <c r="N54" i="94"/>
  <c r="N55" i="94"/>
  <c r="N56" i="94"/>
  <c r="N57" i="94"/>
  <c r="N58" i="94"/>
  <c r="N59" i="94"/>
  <c r="N60" i="94"/>
  <c r="N61" i="94"/>
  <c r="N62" i="94"/>
  <c r="N63" i="94"/>
  <c r="N64" i="94"/>
  <c r="N65" i="94"/>
  <c r="N66" i="94"/>
  <c r="N67" i="94"/>
  <c r="N68" i="94"/>
  <c r="N69" i="94"/>
  <c r="N70" i="94"/>
  <c r="N71" i="94"/>
  <c r="N72" i="94"/>
  <c r="N73" i="94"/>
  <c r="N74" i="94"/>
  <c r="N75" i="94"/>
  <c r="N76" i="94"/>
  <c r="N77" i="94"/>
  <c r="N78" i="94"/>
  <c r="N79" i="94"/>
  <c r="N80" i="94"/>
  <c r="N81" i="94"/>
  <c r="N82" i="94"/>
  <c r="N83" i="94"/>
  <c r="N84" i="94"/>
  <c r="N85" i="94"/>
  <c r="N86" i="94"/>
  <c r="N87" i="94"/>
  <c r="N88" i="94"/>
  <c r="N89" i="94"/>
  <c r="N90" i="94"/>
  <c r="N91" i="94"/>
  <c r="N92" i="94"/>
  <c r="N93" i="94"/>
  <c r="N94" i="94"/>
  <c r="N95" i="94"/>
  <c r="N96" i="94"/>
  <c r="N97" i="94"/>
  <c r="N98" i="94"/>
  <c r="N99" i="94"/>
  <c r="N100" i="94"/>
  <c r="N101" i="94"/>
  <c r="N102" i="94"/>
  <c r="N103" i="94"/>
  <c r="N104" i="94"/>
  <c r="N105" i="94"/>
  <c r="N106" i="94"/>
  <c r="N107" i="94"/>
  <c r="N108" i="94"/>
  <c r="N109" i="94"/>
  <c r="N10" i="94"/>
  <c r="J9" i="94"/>
  <c r="S6" i="5"/>
  <c r="S7" i="5"/>
  <c r="S8" i="5"/>
  <c r="S9" i="5"/>
  <c r="S10" i="5"/>
  <c r="S11" i="5"/>
  <c r="S12" i="5"/>
  <c r="S13" i="5"/>
  <c r="S14" i="5"/>
  <c r="S15" i="5"/>
  <c r="S16" i="5"/>
  <c r="S17" i="5"/>
  <c r="S18" i="5"/>
  <c r="S19" i="5"/>
  <c r="S20" i="5"/>
  <c r="S21" i="5"/>
  <c r="S22" i="5"/>
  <c r="S23" i="5"/>
  <c r="S24" i="5"/>
  <c r="S25" i="5"/>
  <c r="S26" i="5"/>
  <c r="S27" i="5"/>
  <c r="S28" i="5"/>
  <c r="S29" i="5"/>
  <c r="S30" i="5"/>
  <c r="S31" i="5"/>
  <c r="S32" i="5"/>
  <c r="S33" i="5"/>
  <c r="S34" i="5"/>
  <c r="S35" i="5"/>
  <c r="S36" i="5"/>
  <c r="S37" i="5"/>
  <c r="S38" i="5"/>
  <c r="S39" i="5"/>
  <c r="S40" i="5"/>
  <c r="S41" i="5"/>
  <c r="S42" i="5"/>
  <c r="S43" i="5"/>
  <c r="S44" i="5"/>
  <c r="S45" i="5"/>
  <c r="S46" i="5"/>
  <c r="S47" i="5"/>
  <c r="S48" i="5"/>
  <c r="S49" i="5"/>
  <c r="S50" i="5"/>
  <c r="S51" i="5"/>
  <c r="S52" i="5"/>
  <c r="S53" i="5"/>
  <c r="S54" i="5"/>
  <c r="L17" i="96"/>
  <c r="L18" i="96"/>
  <c r="L19" i="96"/>
  <c r="L20" i="96"/>
  <c r="L21" i="96"/>
  <c r="L22" i="96"/>
  <c r="L23" i="96"/>
  <c r="L24" i="96"/>
  <c r="L25" i="96"/>
  <c r="L26" i="96"/>
  <c r="L27" i="96"/>
  <c r="L28" i="96"/>
  <c r="L29" i="96"/>
  <c r="L30" i="96"/>
  <c r="L31" i="96"/>
  <c r="L32" i="96"/>
  <c r="L33" i="96"/>
  <c r="L34" i="96"/>
  <c r="L35" i="96"/>
  <c r="L36" i="96"/>
  <c r="L37" i="96"/>
  <c r="L38" i="96"/>
  <c r="L39" i="96"/>
  <c r="L40" i="96"/>
  <c r="L41" i="96"/>
  <c r="L42" i="96"/>
  <c r="L43" i="96"/>
  <c r="L44" i="96"/>
  <c r="L45" i="96"/>
  <c r="L46" i="96"/>
  <c r="L47" i="96"/>
  <c r="L48" i="96"/>
  <c r="L49" i="96"/>
  <c r="L50" i="96"/>
  <c r="L51" i="96"/>
  <c r="L52" i="96"/>
  <c r="L53" i="96"/>
  <c r="L54" i="96"/>
  <c r="L55" i="96"/>
  <c r="L56" i="96"/>
  <c r="L57" i="96"/>
  <c r="L58" i="96"/>
  <c r="L59" i="96"/>
  <c r="L60" i="96"/>
  <c r="L61" i="96"/>
  <c r="L62" i="96"/>
  <c r="L63" i="96"/>
  <c r="L64" i="96"/>
  <c r="L65" i="96"/>
  <c r="L66" i="96"/>
  <c r="L67" i="96"/>
  <c r="L68" i="96"/>
  <c r="L69" i="96"/>
  <c r="L70" i="96"/>
  <c r="L71" i="96"/>
  <c r="L72" i="96"/>
  <c r="L73" i="96"/>
  <c r="L74" i="96"/>
  <c r="L75" i="96"/>
  <c r="L76" i="96"/>
  <c r="L77" i="96"/>
  <c r="L78" i="96"/>
  <c r="L79" i="96"/>
  <c r="L80" i="96"/>
  <c r="L81" i="96"/>
  <c r="L82" i="96"/>
  <c r="L83" i="96"/>
  <c r="L84" i="96"/>
  <c r="L85" i="96"/>
  <c r="L86" i="96"/>
  <c r="L87" i="96"/>
  <c r="L88" i="96"/>
  <c r="L89" i="96"/>
  <c r="L90" i="96"/>
  <c r="L91" i="96"/>
  <c r="L92" i="96"/>
  <c r="L93" i="96"/>
  <c r="L94" i="96"/>
  <c r="L95" i="96"/>
  <c r="L96" i="96"/>
  <c r="L97" i="96"/>
  <c r="L98" i="96"/>
  <c r="L99" i="96"/>
  <c r="L100" i="96"/>
  <c r="L101" i="96"/>
  <c r="L102" i="96"/>
  <c r="L103" i="96"/>
  <c r="L104" i="96"/>
  <c r="L105" i="96"/>
  <c r="L106" i="96"/>
  <c r="L107" i="96"/>
  <c r="L108" i="96"/>
  <c r="L109" i="96"/>
  <c r="L11" i="96"/>
  <c r="L12" i="96"/>
  <c r="L13" i="96"/>
  <c r="L14" i="96"/>
  <c r="L15" i="96"/>
  <c r="L16" i="96"/>
  <c r="E54" i="5"/>
  <c r="F54" i="5"/>
  <c r="G54" i="5"/>
  <c r="H54" i="5"/>
  <c r="I54" i="5"/>
  <c r="J54" i="5"/>
  <c r="K54" i="5"/>
  <c r="L54" i="5"/>
  <c r="M54" i="5"/>
  <c r="N54" i="5"/>
  <c r="O54" i="5"/>
  <c r="P54" i="5"/>
  <c r="Q54" i="5"/>
  <c r="R54" i="5"/>
  <c r="G16" i="96"/>
  <c r="M16" i="96" s="1"/>
  <c r="BN16" i="96"/>
  <c r="BN15" i="96"/>
  <c r="BN14" i="96"/>
  <c r="BN13" i="96"/>
  <c r="BN12" i="96"/>
  <c r="BN11" i="96"/>
  <c r="BN10" i="96"/>
  <c r="G10" i="96" s="1"/>
  <c r="I4" i="96" s="1"/>
  <c r="AY12" i="94"/>
  <c r="AY11" i="94"/>
  <c r="AY10" i="94"/>
  <c r="AY9" i="94"/>
  <c r="G13" i="94" s="1"/>
  <c r="G14" i="94"/>
  <c r="G15" i="94"/>
  <c r="G16" i="94"/>
  <c r="G17" i="94"/>
  <c r="G18" i="94"/>
  <c r="G19" i="94"/>
  <c r="G20" i="94"/>
  <c r="G21" i="94"/>
  <c r="G22" i="94"/>
  <c r="G23" i="94"/>
  <c r="G24" i="94"/>
  <c r="G25" i="94"/>
  <c r="G26" i="94"/>
  <c r="G27" i="94"/>
  <c r="G28" i="94"/>
  <c r="G29" i="94"/>
  <c r="G30" i="94"/>
  <c r="G31" i="94"/>
  <c r="G32" i="94"/>
  <c r="G33" i="94"/>
  <c r="G34" i="94"/>
  <c r="G35" i="94"/>
  <c r="G36" i="94"/>
  <c r="G37" i="94"/>
  <c r="G38" i="94"/>
  <c r="G39" i="94"/>
  <c r="G40" i="94"/>
  <c r="G41" i="94"/>
  <c r="G42" i="94"/>
  <c r="G43" i="94"/>
  <c r="G44" i="94"/>
  <c r="G45" i="94"/>
  <c r="G46" i="94"/>
  <c r="G47" i="94"/>
  <c r="G48" i="94"/>
  <c r="G49" i="94"/>
  <c r="G50" i="94"/>
  <c r="G51" i="94"/>
  <c r="G52" i="94"/>
  <c r="G53" i="94"/>
  <c r="G54" i="94"/>
  <c r="G55" i="94"/>
  <c r="G56" i="94"/>
  <c r="G57" i="94"/>
  <c r="G58" i="94"/>
  <c r="G59" i="94"/>
  <c r="G60" i="94"/>
  <c r="G61" i="94"/>
  <c r="G62" i="94"/>
  <c r="G63" i="94"/>
  <c r="G64" i="94"/>
  <c r="G65" i="94"/>
  <c r="G66" i="94"/>
  <c r="G67" i="94"/>
  <c r="G68" i="94"/>
  <c r="G69" i="94"/>
  <c r="G70" i="94"/>
  <c r="G71" i="94"/>
  <c r="G72" i="94"/>
  <c r="G73" i="94"/>
  <c r="G74" i="94"/>
  <c r="G75" i="94"/>
  <c r="G76" i="94"/>
  <c r="G77" i="94"/>
  <c r="G78" i="94"/>
  <c r="G79" i="94"/>
  <c r="G80" i="94"/>
  <c r="G81" i="94"/>
  <c r="G82" i="94"/>
  <c r="G83" i="94"/>
  <c r="G84" i="94"/>
  <c r="G85" i="94"/>
  <c r="G86" i="94"/>
  <c r="G87" i="94"/>
  <c r="G88" i="94"/>
  <c r="G89" i="94"/>
  <c r="G90" i="94"/>
  <c r="G91" i="94"/>
  <c r="G92" i="94"/>
  <c r="G93" i="94"/>
  <c r="G94" i="94"/>
  <c r="G95" i="94"/>
  <c r="G96" i="94"/>
  <c r="G97" i="94"/>
  <c r="G98" i="94"/>
  <c r="G99" i="94"/>
  <c r="G100" i="94"/>
  <c r="G101" i="94"/>
  <c r="G102" i="94"/>
  <c r="G103" i="94"/>
  <c r="G104" i="94"/>
  <c r="G105" i="94"/>
  <c r="G106" i="94"/>
  <c r="G107" i="94"/>
  <c r="G108" i="94"/>
  <c r="G109" i="94"/>
  <c r="G10" i="94"/>
  <c r="O10" i="94" s="1"/>
  <c r="G15" i="96" l="1"/>
  <c r="M15" i="96" s="1"/>
  <c r="G11" i="96"/>
  <c r="I5" i="96" s="1"/>
  <c r="AG54" i="5"/>
  <c r="G13" i="96"/>
  <c r="M13" i="96" s="1"/>
  <c r="G14" i="96"/>
  <c r="M14" i="96" s="1"/>
  <c r="AY54" i="5"/>
  <c r="G12" i="96"/>
  <c r="M12" i="96" s="1"/>
  <c r="M10" i="94"/>
  <c r="G11" i="94"/>
  <c r="M11" i="96"/>
  <c r="M10" i="96"/>
  <c r="G12" i="94"/>
  <c r="M12" i="94" s="1"/>
  <c r="K118" i="96"/>
  <c r="D118" i="96"/>
  <c r="K117" i="96"/>
  <c r="D117" i="96"/>
  <c r="M11" i="94"/>
  <c r="M13" i="94"/>
  <c r="M14" i="94"/>
  <c r="M15" i="94"/>
  <c r="M16" i="94"/>
  <c r="M17" i="94"/>
  <c r="M18" i="94"/>
  <c r="M19" i="94"/>
  <c r="M20" i="94"/>
  <c r="M21" i="94"/>
  <c r="M22" i="94"/>
  <c r="M23" i="94"/>
  <c r="M24" i="94"/>
  <c r="M25" i="94"/>
  <c r="M26" i="94"/>
  <c r="M27" i="94"/>
  <c r="M28" i="94"/>
  <c r="M29" i="94"/>
  <c r="M30" i="94"/>
  <c r="M31" i="94"/>
  <c r="M32" i="94"/>
  <c r="M33" i="94"/>
  <c r="M34" i="94"/>
  <c r="M35" i="94"/>
  <c r="M36" i="94"/>
  <c r="M37" i="94"/>
  <c r="M38" i="94"/>
  <c r="M39" i="94"/>
  <c r="M40" i="94"/>
  <c r="M41" i="94"/>
  <c r="M42" i="94"/>
  <c r="M43" i="94"/>
  <c r="M44" i="94"/>
  <c r="M45" i="94"/>
  <c r="M46" i="94"/>
  <c r="M47" i="94"/>
  <c r="M48" i="94"/>
  <c r="M49" i="94"/>
  <c r="M50" i="94"/>
  <c r="M51" i="94"/>
  <c r="M52" i="94"/>
  <c r="M53" i="94"/>
  <c r="M54" i="94"/>
  <c r="M55" i="94"/>
  <c r="M56" i="94"/>
  <c r="M57" i="94"/>
  <c r="M58" i="94"/>
  <c r="M59" i="94"/>
  <c r="M60" i="94"/>
  <c r="M61" i="94"/>
  <c r="M62" i="94"/>
  <c r="M63" i="94"/>
  <c r="M64" i="94"/>
  <c r="M65" i="94"/>
  <c r="M66" i="94"/>
  <c r="M67" i="94"/>
  <c r="M68" i="94"/>
  <c r="M69" i="94"/>
  <c r="M70" i="94"/>
  <c r="M71" i="94"/>
  <c r="M72" i="94"/>
  <c r="M73" i="94"/>
  <c r="M74" i="94"/>
  <c r="M75" i="94"/>
  <c r="M76" i="94"/>
  <c r="M77" i="94"/>
  <c r="M78" i="94"/>
  <c r="M79" i="94"/>
  <c r="M80" i="94"/>
  <c r="M81" i="94"/>
  <c r="M82" i="94"/>
  <c r="M83" i="94"/>
  <c r="M84" i="94"/>
  <c r="M85" i="94"/>
  <c r="M86" i="94"/>
  <c r="M87" i="94"/>
  <c r="M88" i="94"/>
  <c r="M89" i="94"/>
  <c r="M90" i="94"/>
  <c r="M91" i="94"/>
  <c r="M92" i="94"/>
  <c r="M93" i="94"/>
  <c r="M94" i="94"/>
  <c r="M95" i="94"/>
  <c r="M96" i="94"/>
  <c r="M97" i="94"/>
  <c r="M98" i="94"/>
  <c r="M99" i="94"/>
  <c r="M100" i="94"/>
  <c r="M101" i="94"/>
  <c r="M102" i="94"/>
  <c r="M103" i="94"/>
  <c r="M104" i="94"/>
  <c r="M105" i="94"/>
  <c r="M106" i="94"/>
  <c r="M107" i="94"/>
  <c r="M108" i="94"/>
  <c r="M109" i="94"/>
  <c r="O11" i="94"/>
  <c r="O13" i="94"/>
  <c r="O14" i="94"/>
  <c r="O15" i="94"/>
  <c r="O16" i="94"/>
  <c r="O17" i="94"/>
  <c r="O18" i="94"/>
  <c r="O19" i="94"/>
  <c r="O20" i="94"/>
  <c r="O21" i="94"/>
  <c r="O22" i="94"/>
  <c r="O23" i="94"/>
  <c r="O24" i="94"/>
  <c r="O25" i="94"/>
  <c r="O26" i="94"/>
  <c r="O27" i="94"/>
  <c r="O28" i="94"/>
  <c r="O29" i="94"/>
  <c r="O30" i="94"/>
  <c r="O31" i="94"/>
  <c r="O32" i="94"/>
  <c r="O33" i="94"/>
  <c r="O34" i="94"/>
  <c r="O35" i="94"/>
  <c r="O36" i="94"/>
  <c r="O37" i="94"/>
  <c r="O38" i="94"/>
  <c r="O39" i="94"/>
  <c r="O40" i="94"/>
  <c r="O41" i="94"/>
  <c r="O42" i="94"/>
  <c r="O43" i="94"/>
  <c r="O44" i="94"/>
  <c r="O45" i="94"/>
  <c r="O46" i="94"/>
  <c r="O47" i="94"/>
  <c r="O48" i="94"/>
  <c r="O49" i="94"/>
  <c r="O50" i="94"/>
  <c r="O51" i="94"/>
  <c r="O52" i="94"/>
  <c r="O53" i="94"/>
  <c r="O54" i="94"/>
  <c r="O55" i="94"/>
  <c r="O56" i="94"/>
  <c r="O57" i="94"/>
  <c r="O58" i="94"/>
  <c r="O59" i="94"/>
  <c r="O60" i="94"/>
  <c r="O61" i="94"/>
  <c r="O62" i="94"/>
  <c r="O63" i="94"/>
  <c r="O64" i="94"/>
  <c r="O65" i="94"/>
  <c r="O66" i="94"/>
  <c r="O67" i="94"/>
  <c r="O68" i="94"/>
  <c r="O69" i="94"/>
  <c r="O70" i="94"/>
  <c r="O71" i="94"/>
  <c r="O72" i="94"/>
  <c r="O73" i="94"/>
  <c r="O74" i="94"/>
  <c r="O75" i="94"/>
  <c r="O76" i="94"/>
  <c r="O77" i="94"/>
  <c r="O78" i="94"/>
  <c r="O79" i="94"/>
  <c r="O80" i="94"/>
  <c r="O81" i="94"/>
  <c r="O82" i="94"/>
  <c r="O83" i="94"/>
  <c r="O84" i="94"/>
  <c r="O85" i="94"/>
  <c r="O86" i="94"/>
  <c r="O87" i="94"/>
  <c r="O88" i="94"/>
  <c r="O89" i="94"/>
  <c r="O90" i="94"/>
  <c r="O91" i="94"/>
  <c r="O92" i="94"/>
  <c r="O93" i="94"/>
  <c r="O94" i="94"/>
  <c r="O95" i="94"/>
  <c r="O96" i="94"/>
  <c r="O97" i="94"/>
  <c r="O98" i="94"/>
  <c r="O99" i="94"/>
  <c r="O100" i="94"/>
  <c r="O101" i="94"/>
  <c r="O102" i="94"/>
  <c r="O103" i="94"/>
  <c r="O104" i="94"/>
  <c r="O105" i="94"/>
  <c r="O106" i="94"/>
  <c r="O107" i="94"/>
  <c r="O108" i="94"/>
  <c r="O109" i="94"/>
  <c r="L11" i="94"/>
  <c r="L12" i="94"/>
  <c r="L13" i="94"/>
  <c r="L14" i="94"/>
  <c r="L15" i="94"/>
  <c r="L16" i="94"/>
  <c r="L17" i="94"/>
  <c r="L18" i="94"/>
  <c r="L19" i="94"/>
  <c r="L20" i="94"/>
  <c r="L21" i="94"/>
  <c r="L22" i="94"/>
  <c r="L23" i="94"/>
  <c r="L24" i="94"/>
  <c r="L25" i="94"/>
  <c r="L26" i="94"/>
  <c r="L27" i="94"/>
  <c r="L28" i="94"/>
  <c r="L29" i="94"/>
  <c r="L30" i="94"/>
  <c r="L31" i="94"/>
  <c r="L32" i="94"/>
  <c r="L33" i="94"/>
  <c r="L34" i="94"/>
  <c r="L35" i="94"/>
  <c r="L36" i="94"/>
  <c r="L37" i="94"/>
  <c r="L38" i="94"/>
  <c r="L39" i="94"/>
  <c r="L40" i="94"/>
  <c r="L41" i="94"/>
  <c r="L42" i="94"/>
  <c r="L43" i="94"/>
  <c r="L44" i="94"/>
  <c r="L45" i="94"/>
  <c r="L46" i="94"/>
  <c r="L47" i="94"/>
  <c r="L48" i="94"/>
  <c r="L49" i="94"/>
  <c r="L50" i="94"/>
  <c r="L51" i="94"/>
  <c r="L52" i="94"/>
  <c r="L53" i="94"/>
  <c r="L54" i="94"/>
  <c r="L55" i="94"/>
  <c r="L56" i="94"/>
  <c r="L57" i="94"/>
  <c r="L58" i="94"/>
  <c r="L59" i="94"/>
  <c r="L60" i="94"/>
  <c r="L61" i="94"/>
  <c r="L62" i="94"/>
  <c r="L63" i="94"/>
  <c r="L64" i="94"/>
  <c r="L65" i="94"/>
  <c r="L66" i="94"/>
  <c r="L67" i="94"/>
  <c r="L68" i="94"/>
  <c r="L69" i="94"/>
  <c r="L70" i="94"/>
  <c r="L71" i="94"/>
  <c r="L72" i="94"/>
  <c r="L73" i="94"/>
  <c r="L74" i="94"/>
  <c r="L75" i="94"/>
  <c r="L76" i="94"/>
  <c r="L77" i="94"/>
  <c r="L78" i="94"/>
  <c r="L79" i="94"/>
  <c r="L80" i="94"/>
  <c r="L81" i="94"/>
  <c r="L82" i="94"/>
  <c r="L83" i="94"/>
  <c r="L84" i="94"/>
  <c r="L85" i="94"/>
  <c r="L86" i="94"/>
  <c r="L87" i="94"/>
  <c r="L88" i="94"/>
  <c r="L89" i="94"/>
  <c r="L90" i="94"/>
  <c r="L91" i="94"/>
  <c r="L92" i="94"/>
  <c r="L93" i="94"/>
  <c r="L94" i="94"/>
  <c r="L95" i="94"/>
  <c r="L96" i="94"/>
  <c r="L97" i="94"/>
  <c r="L98" i="94"/>
  <c r="L99" i="94"/>
  <c r="L100" i="94"/>
  <c r="L101" i="94"/>
  <c r="L102" i="94"/>
  <c r="L103" i="94"/>
  <c r="L104" i="94"/>
  <c r="L105" i="94"/>
  <c r="L106" i="94"/>
  <c r="L107" i="94"/>
  <c r="L108" i="94"/>
  <c r="L109" i="94"/>
  <c r="L10" i="96"/>
  <c r="BP55" i="96"/>
  <c r="BP56" i="96"/>
  <c r="BP57" i="96"/>
  <c r="BP58" i="96"/>
  <c r="BP59" i="96"/>
  <c r="BP11" i="96"/>
  <c r="BP12" i="96"/>
  <c r="BP13" i="96"/>
  <c r="BP14" i="96"/>
  <c r="BP15" i="96"/>
  <c r="BP16" i="96"/>
  <c r="BP17" i="96"/>
  <c r="BP18" i="96"/>
  <c r="BP19" i="96"/>
  <c r="BP20" i="96"/>
  <c r="BP21" i="96"/>
  <c r="BP22" i="96"/>
  <c r="BP23" i="96"/>
  <c r="BP24" i="96"/>
  <c r="BP25" i="96"/>
  <c r="BP26" i="96"/>
  <c r="BP27" i="96"/>
  <c r="BP28" i="96"/>
  <c r="BP29" i="96"/>
  <c r="BP30" i="96"/>
  <c r="BP31" i="96"/>
  <c r="BP32" i="96"/>
  <c r="BP33" i="96"/>
  <c r="BP34" i="96"/>
  <c r="BP35" i="96"/>
  <c r="BP36" i="96"/>
  <c r="BP37" i="96"/>
  <c r="BP38" i="96"/>
  <c r="BP39" i="96"/>
  <c r="BP40" i="96"/>
  <c r="BP41" i="96"/>
  <c r="BP42" i="96"/>
  <c r="BP43" i="96"/>
  <c r="BP44" i="96"/>
  <c r="BP45" i="96"/>
  <c r="BP46" i="96"/>
  <c r="BP47" i="96"/>
  <c r="BP48" i="96"/>
  <c r="BP49" i="96"/>
  <c r="BP50" i="96"/>
  <c r="BP51" i="96"/>
  <c r="BP52" i="96"/>
  <c r="BP53" i="96"/>
  <c r="BP54" i="96"/>
  <c r="BP10" i="96"/>
  <c r="I9" i="96"/>
  <c r="F3" i="96"/>
  <c r="F4" i="96"/>
  <c r="F5" i="96"/>
  <c r="F6" i="96"/>
  <c r="F5" i="94"/>
  <c r="F6" i="94"/>
  <c r="F4" i="94"/>
  <c r="F3" i="94"/>
  <c r="K117" i="94"/>
  <c r="K118" i="94"/>
  <c r="D117" i="94"/>
  <c r="D118" i="94"/>
  <c r="BB55" i="94"/>
  <c r="BB56" i="94"/>
  <c r="BB57" i="94"/>
  <c r="BB58" i="94"/>
  <c r="BB59" i="94"/>
  <c r="BB11" i="94"/>
  <c r="BB12" i="94"/>
  <c r="BB13" i="94"/>
  <c r="BB14" i="94"/>
  <c r="BB15" i="94"/>
  <c r="BB16" i="94"/>
  <c r="BB17" i="94"/>
  <c r="BB18" i="94"/>
  <c r="BB19" i="94"/>
  <c r="BB20" i="94"/>
  <c r="BB21" i="94"/>
  <c r="BB22" i="94"/>
  <c r="BB23" i="94"/>
  <c r="BB24" i="94"/>
  <c r="BB25" i="94"/>
  <c r="BB26" i="94"/>
  <c r="BB27" i="94"/>
  <c r="BB28" i="94"/>
  <c r="BB29" i="94"/>
  <c r="BB30" i="94"/>
  <c r="BB31" i="94"/>
  <c r="BB32" i="94"/>
  <c r="BB33" i="94"/>
  <c r="BB34" i="94"/>
  <c r="BB35" i="94"/>
  <c r="BB36" i="94"/>
  <c r="BB37" i="94"/>
  <c r="BB38" i="94"/>
  <c r="BB39" i="94"/>
  <c r="BB40" i="94"/>
  <c r="BB41" i="94"/>
  <c r="BB42" i="94"/>
  <c r="BB43" i="94"/>
  <c r="BB44" i="94"/>
  <c r="BB45" i="94"/>
  <c r="BB46" i="94"/>
  <c r="BB47" i="94"/>
  <c r="BB48" i="94"/>
  <c r="BB49" i="94"/>
  <c r="BB50" i="94"/>
  <c r="BB51" i="94"/>
  <c r="BB52" i="94"/>
  <c r="BB53" i="94"/>
  <c r="BB54" i="94"/>
  <c r="BB10" i="94"/>
  <c r="F10" i="94"/>
  <c r="L10" i="94"/>
  <c r="I9" i="94"/>
  <c r="E94" i="92"/>
  <c r="E95" i="92" s="1"/>
  <c r="E96" i="92" s="1"/>
  <c r="E97" i="92" s="1"/>
  <c r="E98" i="92" s="1"/>
  <c r="E99" i="92" s="1"/>
  <c r="E100" i="92" s="1"/>
  <c r="E101" i="92" s="1"/>
  <c r="E102" i="92" s="1"/>
  <c r="E85" i="92"/>
  <c r="E86" i="92" s="1"/>
  <c r="E87" i="92" s="1"/>
  <c r="E88" i="92" s="1"/>
  <c r="E89" i="92" s="1"/>
  <c r="E90" i="92" s="1"/>
  <c r="E91" i="92" s="1"/>
  <c r="E92" i="92" s="1"/>
  <c r="E76" i="92"/>
  <c r="E77" i="92" s="1"/>
  <c r="E78" i="92" s="1"/>
  <c r="E79" i="92" s="1"/>
  <c r="E80" i="92" s="1"/>
  <c r="E81" i="92" s="1"/>
  <c r="E82" i="92" s="1"/>
  <c r="E83" i="92" s="1"/>
  <c r="E65" i="92"/>
  <c r="E66" i="92" s="1"/>
  <c r="E67" i="92" s="1"/>
  <c r="E68" i="92" s="1"/>
  <c r="E69" i="92" s="1"/>
  <c r="E70" i="92" s="1"/>
  <c r="E71" i="92" s="1"/>
  <c r="E72" i="92" s="1"/>
  <c r="E73" i="92" s="1"/>
  <c r="E74" i="92" s="1"/>
  <c r="E52" i="92"/>
  <c r="E53" i="92" s="1"/>
  <c r="E54" i="92" s="1"/>
  <c r="E55" i="92" s="1"/>
  <c r="E56" i="92" s="1"/>
  <c r="E57" i="92" s="1"/>
  <c r="E58" i="92" s="1"/>
  <c r="E59" i="92" s="1"/>
  <c r="E60" i="92" s="1"/>
  <c r="E61" i="92" s="1"/>
  <c r="E62" i="92" s="1"/>
  <c r="E63" i="92" s="1"/>
  <c r="E41" i="92"/>
  <c r="E42" i="92" s="1"/>
  <c r="E43" i="92" s="1"/>
  <c r="E44" i="92" s="1"/>
  <c r="E45" i="92" s="1"/>
  <c r="E46" i="92" s="1"/>
  <c r="E47" i="92" s="1"/>
  <c r="E48" i="92" s="1"/>
  <c r="E49" i="92" s="1"/>
  <c r="E50" i="92" s="1"/>
  <c r="BG11" i="94" l="1"/>
  <c r="I6" i="4" s="1"/>
  <c r="O12" i="94"/>
  <c r="BF55" i="94" s="1"/>
  <c r="H50" i="4" s="1"/>
  <c r="BH55" i="94"/>
  <c r="J50" i="4" s="1"/>
  <c r="BG59" i="94"/>
  <c r="I54" i="4" s="1"/>
  <c r="BC59" i="94"/>
  <c r="E54" i="4" s="1"/>
  <c r="BG58" i="94"/>
  <c r="I53" i="4" s="1"/>
  <c r="BC58" i="94"/>
  <c r="E53" i="4" s="1"/>
  <c r="BG57" i="94"/>
  <c r="I52" i="4" s="1"/>
  <c r="BC57" i="94"/>
  <c r="E52" i="4" s="1"/>
  <c r="BG56" i="94"/>
  <c r="I51" i="4" s="1"/>
  <c r="BC56" i="94"/>
  <c r="E51" i="4" s="1"/>
  <c r="BG55" i="94"/>
  <c r="I50" i="4" s="1"/>
  <c r="BC55" i="94"/>
  <c r="E50" i="4" s="1"/>
  <c r="BJ57" i="94"/>
  <c r="L52" i="4" s="1"/>
  <c r="BI59" i="94"/>
  <c r="K54" i="4" s="1"/>
  <c r="BE59" i="94"/>
  <c r="G54" i="4" s="1"/>
  <c r="BI58" i="94"/>
  <c r="K53" i="4" s="1"/>
  <c r="BE58" i="94"/>
  <c r="G53" i="4" s="1"/>
  <c r="BI57" i="94"/>
  <c r="K52" i="4" s="1"/>
  <c r="BE57" i="94"/>
  <c r="G52" i="4" s="1"/>
  <c r="BI56" i="94"/>
  <c r="K51" i="4" s="1"/>
  <c r="BE56" i="94"/>
  <c r="G51" i="4" s="1"/>
  <c r="BI55" i="94"/>
  <c r="K50" i="4" s="1"/>
  <c r="BE55" i="94"/>
  <c r="G50" i="4" s="1"/>
  <c r="BC10" i="94"/>
  <c r="E5" i="4" s="1"/>
  <c r="BG10" i="94"/>
  <c r="I5" i="4" s="1"/>
  <c r="BD11" i="94"/>
  <c r="F6" i="4" s="1"/>
  <c r="BH11" i="94"/>
  <c r="J6" i="4" s="1"/>
  <c r="BE12" i="94"/>
  <c r="G7" i="4" s="1"/>
  <c r="BD10" i="94"/>
  <c r="F5" i="4" s="1"/>
  <c r="BH10" i="94"/>
  <c r="J5" i="4" s="1"/>
  <c r="BE11" i="94"/>
  <c r="G6" i="4" s="1"/>
  <c r="BI11" i="94"/>
  <c r="K6" i="4" s="1"/>
  <c r="BF12" i="94"/>
  <c r="H7" i="4" s="1"/>
  <c r="BG13" i="94"/>
  <c r="I8" i="4" s="1"/>
  <c r="BE10" i="94"/>
  <c r="G5" i="4" s="1"/>
  <c r="BF54" i="94"/>
  <c r="H49" i="4" s="1"/>
  <c r="BH52" i="94"/>
  <c r="J47" i="4" s="1"/>
  <c r="BD52" i="94"/>
  <c r="F47" i="4" s="1"/>
  <c r="BF50" i="94"/>
  <c r="H45" i="4" s="1"/>
  <c r="BH48" i="94"/>
  <c r="J43" i="4" s="1"/>
  <c r="BD48" i="94"/>
  <c r="F43" i="4" s="1"/>
  <c r="BF46" i="94"/>
  <c r="H41" i="4" s="1"/>
  <c r="BH44" i="94"/>
  <c r="J39" i="4" s="1"/>
  <c r="BD44" i="94"/>
  <c r="F39" i="4" s="1"/>
  <c r="BF42" i="94"/>
  <c r="H37" i="4" s="1"/>
  <c r="BH40" i="94"/>
  <c r="J35" i="4" s="1"/>
  <c r="BD40" i="94"/>
  <c r="F35" i="4" s="1"/>
  <c r="BF38" i="94"/>
  <c r="H33" i="4" s="1"/>
  <c r="BH36" i="94"/>
  <c r="J31" i="4" s="1"/>
  <c r="BD36" i="94"/>
  <c r="F31" i="4" s="1"/>
  <c r="BJ34" i="94"/>
  <c r="L29" i="4" s="1"/>
  <c r="BF34" i="94"/>
  <c r="H29" i="4" s="1"/>
  <c r="BH32" i="94"/>
  <c r="J27" i="4" s="1"/>
  <c r="BD32" i="94"/>
  <c r="F27" i="4" s="1"/>
  <c r="BH31" i="94"/>
  <c r="J26" i="4" s="1"/>
  <c r="BD31" i="94"/>
  <c r="F26" i="4" s="1"/>
  <c r="BH30" i="94"/>
  <c r="J25" i="4" s="1"/>
  <c r="BD30" i="94"/>
  <c r="F25" i="4" s="1"/>
  <c r="BH29" i="94"/>
  <c r="J24" i="4" s="1"/>
  <c r="BD29" i="94"/>
  <c r="F24" i="4" s="1"/>
  <c r="BH28" i="94"/>
  <c r="J23" i="4" s="1"/>
  <c r="BD28" i="94"/>
  <c r="F23" i="4" s="1"/>
  <c r="BJ27" i="94"/>
  <c r="L22" i="4" s="1"/>
  <c r="BF27" i="94"/>
  <c r="H22" i="4" s="1"/>
  <c r="BH26" i="94"/>
  <c r="J21" i="4" s="1"/>
  <c r="BD26" i="94"/>
  <c r="F21" i="4" s="1"/>
  <c r="BJ24" i="94"/>
  <c r="L19" i="4" s="1"/>
  <c r="BF24" i="94"/>
  <c r="H19" i="4" s="1"/>
  <c r="BH22" i="94"/>
  <c r="J17" i="4" s="1"/>
  <c r="BD22" i="94"/>
  <c r="F17" i="4" s="1"/>
  <c r="BJ20" i="94"/>
  <c r="L15" i="4" s="1"/>
  <c r="BF20" i="94"/>
  <c r="H15" i="4" s="1"/>
  <c r="BJ19" i="94"/>
  <c r="L14" i="4" s="1"/>
  <c r="BF19" i="94"/>
  <c r="H14" i="4" s="1"/>
  <c r="BJ18" i="94"/>
  <c r="L13" i="4" s="1"/>
  <c r="BF18" i="94"/>
  <c r="H13" i="4" s="1"/>
  <c r="BJ17" i="94"/>
  <c r="L12" i="4" s="1"/>
  <c r="BF17" i="94"/>
  <c r="H12" i="4" s="1"/>
  <c r="BJ16" i="94"/>
  <c r="L11" i="4" s="1"/>
  <c r="BF16" i="94"/>
  <c r="H11" i="4" s="1"/>
  <c r="BH15" i="94"/>
  <c r="J10" i="4" s="1"/>
  <c r="BD15" i="94"/>
  <c r="F10" i="4" s="1"/>
  <c r="BJ14" i="94"/>
  <c r="L9" i="4" s="1"/>
  <c r="BF14" i="94"/>
  <c r="H9" i="4" s="1"/>
  <c r="BH53" i="94"/>
  <c r="J48" i="4" s="1"/>
  <c r="BD53" i="94"/>
  <c r="F48" i="4" s="1"/>
  <c r="BJ51" i="94"/>
  <c r="L46" i="4" s="1"/>
  <c r="BF51" i="94"/>
  <c r="H46" i="4" s="1"/>
  <c r="BH49" i="94"/>
  <c r="J44" i="4" s="1"/>
  <c r="BD49" i="94"/>
  <c r="F44" i="4" s="1"/>
  <c r="BJ47" i="94"/>
  <c r="L42" i="4" s="1"/>
  <c r="BF47" i="94"/>
  <c r="H42" i="4" s="1"/>
  <c r="BH45" i="94"/>
  <c r="J40" i="4" s="1"/>
  <c r="BD45" i="94"/>
  <c r="F40" i="4" s="1"/>
  <c r="BJ43" i="94"/>
  <c r="L38" i="4" s="1"/>
  <c r="BF43" i="94"/>
  <c r="H38" i="4" s="1"/>
  <c r="BH41" i="94"/>
  <c r="J36" i="4" s="1"/>
  <c r="BD41" i="94"/>
  <c r="F36" i="4" s="1"/>
  <c r="BJ39" i="94"/>
  <c r="L34" i="4" s="1"/>
  <c r="BF39" i="94"/>
  <c r="H34" i="4" s="1"/>
  <c r="BH37" i="94"/>
  <c r="J32" i="4" s="1"/>
  <c r="BD37" i="94"/>
  <c r="F32" i="4" s="1"/>
  <c r="BJ35" i="94"/>
  <c r="L30" i="4" s="1"/>
  <c r="BF35" i="94"/>
  <c r="H30" i="4" s="1"/>
  <c r="BH33" i="94"/>
  <c r="J28" i="4" s="1"/>
  <c r="BD33" i="94"/>
  <c r="F28" i="4" s="1"/>
  <c r="BJ25" i="94"/>
  <c r="L20" i="4" s="1"/>
  <c r="BF25" i="94"/>
  <c r="H20" i="4" s="1"/>
  <c r="BH23" i="94"/>
  <c r="J18" i="4" s="1"/>
  <c r="BD23" i="94"/>
  <c r="F18" i="4" s="1"/>
  <c r="BJ21" i="94"/>
  <c r="L16" i="4" s="1"/>
  <c r="BF21" i="94"/>
  <c r="H16" i="4" s="1"/>
  <c r="BH13" i="94"/>
  <c r="J8" i="4" s="1"/>
  <c r="BD13" i="94"/>
  <c r="F8" i="4" s="1"/>
  <c r="BH54" i="94"/>
  <c r="J49" i="4" s="1"/>
  <c r="BD54" i="94"/>
  <c r="F49" i="4" s="1"/>
  <c r="BJ52" i="94"/>
  <c r="L47" i="4" s="1"/>
  <c r="BF52" i="94"/>
  <c r="H47" i="4" s="1"/>
  <c r="BH50" i="94"/>
  <c r="J45" i="4" s="1"/>
  <c r="BD50" i="94"/>
  <c r="F45" i="4" s="1"/>
  <c r="BJ48" i="94"/>
  <c r="L43" i="4" s="1"/>
  <c r="BF48" i="94"/>
  <c r="H43" i="4" s="1"/>
  <c r="BH46" i="94"/>
  <c r="J41" i="4" s="1"/>
  <c r="BD46" i="94"/>
  <c r="F41" i="4" s="1"/>
  <c r="BJ44" i="94"/>
  <c r="L39" i="4" s="1"/>
  <c r="BF44" i="94"/>
  <c r="H39" i="4" s="1"/>
  <c r="BH42" i="94"/>
  <c r="J37" i="4" s="1"/>
  <c r="BD42" i="94"/>
  <c r="F37" i="4" s="1"/>
  <c r="BJ40" i="94"/>
  <c r="L35" i="4" s="1"/>
  <c r="BF40" i="94"/>
  <c r="H35" i="4" s="1"/>
  <c r="BH38" i="94"/>
  <c r="J33" i="4" s="1"/>
  <c r="BD38" i="94"/>
  <c r="F33" i="4" s="1"/>
  <c r="BJ36" i="94"/>
  <c r="L31" i="4" s="1"/>
  <c r="BF36" i="94"/>
  <c r="H31" i="4" s="1"/>
  <c r="BH34" i="94"/>
  <c r="J29" i="4" s="1"/>
  <c r="BD34" i="94"/>
  <c r="F29" i="4" s="1"/>
  <c r="BJ32" i="94"/>
  <c r="L27" i="4" s="1"/>
  <c r="BF32" i="94"/>
  <c r="H27" i="4" s="1"/>
  <c r="BJ31" i="94"/>
  <c r="L26" i="4" s="1"/>
  <c r="BF31" i="94"/>
  <c r="H26" i="4" s="1"/>
  <c r="BJ30" i="94"/>
  <c r="L25" i="4" s="1"/>
  <c r="BF30" i="94"/>
  <c r="H25" i="4" s="1"/>
  <c r="BJ29" i="94"/>
  <c r="L24" i="4" s="1"/>
  <c r="BF29" i="94"/>
  <c r="H24" i="4" s="1"/>
  <c r="BJ28" i="94"/>
  <c r="L23" i="4" s="1"/>
  <c r="BF28" i="94"/>
  <c r="H23" i="4" s="1"/>
  <c r="BH27" i="94"/>
  <c r="J22" i="4" s="1"/>
  <c r="BD27" i="94"/>
  <c r="F22" i="4" s="1"/>
  <c r="BJ26" i="94"/>
  <c r="L21" i="4" s="1"/>
  <c r="BF26" i="94"/>
  <c r="H21" i="4" s="1"/>
  <c r="BH24" i="94"/>
  <c r="J19" i="4" s="1"/>
  <c r="BD24" i="94"/>
  <c r="F19" i="4" s="1"/>
  <c r="BJ22" i="94"/>
  <c r="L17" i="4" s="1"/>
  <c r="BF22" i="94"/>
  <c r="H17" i="4" s="1"/>
  <c r="BH20" i="94"/>
  <c r="J15" i="4" s="1"/>
  <c r="BD20" i="94"/>
  <c r="F15" i="4" s="1"/>
  <c r="BH19" i="94"/>
  <c r="J14" i="4" s="1"/>
  <c r="BD19" i="94"/>
  <c r="F14" i="4" s="1"/>
  <c r="BH18" i="94"/>
  <c r="J13" i="4" s="1"/>
  <c r="BD18" i="94"/>
  <c r="F13" i="4" s="1"/>
  <c r="BH17" i="94"/>
  <c r="J12" i="4" s="1"/>
  <c r="BD17" i="94"/>
  <c r="F12" i="4" s="1"/>
  <c r="BH16" i="94"/>
  <c r="J11" i="4" s="1"/>
  <c r="BD16" i="94"/>
  <c r="F11" i="4" s="1"/>
  <c r="BJ15" i="94"/>
  <c r="L10" i="4" s="1"/>
  <c r="BF15" i="94"/>
  <c r="H10" i="4" s="1"/>
  <c r="BH14" i="94"/>
  <c r="J9" i="4" s="1"/>
  <c r="BD14" i="94"/>
  <c r="F9" i="4" s="1"/>
  <c r="BJ53" i="94"/>
  <c r="L48" i="4" s="1"/>
  <c r="BF53" i="94"/>
  <c r="H48" i="4" s="1"/>
  <c r="BH51" i="94"/>
  <c r="J46" i="4" s="1"/>
  <c r="BD51" i="94"/>
  <c r="F46" i="4" s="1"/>
  <c r="BJ49" i="94"/>
  <c r="L44" i="4" s="1"/>
  <c r="BF49" i="94"/>
  <c r="H44" i="4" s="1"/>
  <c r="BH47" i="94"/>
  <c r="J42" i="4" s="1"/>
  <c r="BD47" i="94"/>
  <c r="F42" i="4" s="1"/>
  <c r="BJ45" i="94"/>
  <c r="L40" i="4" s="1"/>
  <c r="BF45" i="94"/>
  <c r="H40" i="4" s="1"/>
  <c r="BH43" i="94"/>
  <c r="J38" i="4" s="1"/>
  <c r="BD43" i="94"/>
  <c r="F38" i="4" s="1"/>
  <c r="BJ41" i="94"/>
  <c r="L36" i="4" s="1"/>
  <c r="BF41" i="94"/>
  <c r="H36" i="4" s="1"/>
  <c r="BH39" i="94"/>
  <c r="J34" i="4" s="1"/>
  <c r="BD39" i="94"/>
  <c r="F34" i="4" s="1"/>
  <c r="BJ37" i="94"/>
  <c r="L32" i="4" s="1"/>
  <c r="BF37" i="94"/>
  <c r="H32" i="4" s="1"/>
  <c r="BH35" i="94"/>
  <c r="J30" i="4" s="1"/>
  <c r="BD35" i="94"/>
  <c r="F30" i="4" s="1"/>
  <c r="BJ33" i="94"/>
  <c r="L28" i="4" s="1"/>
  <c r="BF33" i="94"/>
  <c r="H28" i="4" s="1"/>
  <c r="BH25" i="94"/>
  <c r="J20" i="4" s="1"/>
  <c r="BD25" i="94"/>
  <c r="F20" i="4" s="1"/>
  <c r="BJ23" i="94"/>
  <c r="L18" i="4" s="1"/>
  <c r="BF23" i="94"/>
  <c r="H18" i="4" s="1"/>
  <c r="BH21" i="94"/>
  <c r="J16" i="4" s="1"/>
  <c r="BD21" i="94"/>
  <c r="F16" i="4" s="1"/>
  <c r="BJ13" i="94"/>
  <c r="L8" i="4" s="1"/>
  <c r="BF13" i="94"/>
  <c r="H8" i="4" s="1"/>
  <c r="BI10" i="94"/>
  <c r="K5" i="4" s="1"/>
  <c r="BJ11" i="94"/>
  <c r="L6" i="4" s="1"/>
  <c r="BC12" i="94"/>
  <c r="E7" i="4" s="1"/>
  <c r="BG12" i="94"/>
  <c r="I7" i="4" s="1"/>
  <c r="BF10" i="94"/>
  <c r="H5" i="4" s="1"/>
  <c r="BJ10" i="94"/>
  <c r="L5" i="4" s="1"/>
  <c r="BC11" i="94"/>
  <c r="E6" i="4" s="1"/>
  <c r="BD12" i="94"/>
  <c r="F7" i="4" s="1"/>
  <c r="BH12" i="94"/>
  <c r="J7" i="4" s="1"/>
  <c r="BI53" i="94"/>
  <c r="K48" i="4" s="1"/>
  <c r="BE53" i="94"/>
  <c r="G48" i="4" s="1"/>
  <c r="BG51" i="94"/>
  <c r="I46" i="4" s="1"/>
  <c r="BC51" i="94"/>
  <c r="E46" i="4" s="1"/>
  <c r="BI49" i="94"/>
  <c r="K44" i="4" s="1"/>
  <c r="BE49" i="94"/>
  <c r="G44" i="4" s="1"/>
  <c r="BG47" i="94"/>
  <c r="I42" i="4" s="1"/>
  <c r="BC47" i="94"/>
  <c r="E42" i="4" s="1"/>
  <c r="BI45" i="94"/>
  <c r="K40" i="4" s="1"/>
  <c r="BE45" i="94"/>
  <c r="G40" i="4" s="1"/>
  <c r="BG43" i="94"/>
  <c r="I38" i="4" s="1"/>
  <c r="BC43" i="94"/>
  <c r="E38" i="4" s="1"/>
  <c r="BI41" i="94"/>
  <c r="K36" i="4" s="1"/>
  <c r="BE41" i="94"/>
  <c r="G36" i="4" s="1"/>
  <c r="BG39" i="94"/>
  <c r="I34" i="4" s="1"/>
  <c r="BC39" i="94"/>
  <c r="E34" i="4" s="1"/>
  <c r="BI37" i="94"/>
  <c r="K32" i="4" s="1"/>
  <c r="BE37" i="94"/>
  <c r="G32" i="4" s="1"/>
  <c r="BG35" i="94"/>
  <c r="I30" i="4" s="1"/>
  <c r="BC35" i="94"/>
  <c r="E30" i="4" s="1"/>
  <c r="BI33" i="94"/>
  <c r="K28" i="4" s="1"/>
  <c r="BE33" i="94"/>
  <c r="G28" i="4" s="1"/>
  <c r="BG25" i="94"/>
  <c r="I20" i="4" s="1"/>
  <c r="BC25" i="94"/>
  <c r="E20" i="4" s="1"/>
  <c r="BI23" i="94"/>
  <c r="K18" i="4" s="1"/>
  <c r="BE23" i="94"/>
  <c r="G18" i="4" s="1"/>
  <c r="BG21" i="94"/>
  <c r="I16" i="4" s="1"/>
  <c r="BC21" i="94"/>
  <c r="E16" i="4" s="1"/>
  <c r="BI13" i="94"/>
  <c r="K8" i="4" s="1"/>
  <c r="BE13" i="94"/>
  <c r="G8" i="4" s="1"/>
  <c r="BI54" i="94"/>
  <c r="K49" i="4" s="1"/>
  <c r="BE54" i="94"/>
  <c r="G49" i="4" s="1"/>
  <c r="BG52" i="94"/>
  <c r="I47" i="4" s="1"/>
  <c r="BC52" i="94"/>
  <c r="E47" i="4" s="1"/>
  <c r="BI50" i="94"/>
  <c r="K45" i="4" s="1"/>
  <c r="BE50" i="94"/>
  <c r="G45" i="4" s="1"/>
  <c r="BG48" i="94"/>
  <c r="I43" i="4" s="1"/>
  <c r="BC48" i="94"/>
  <c r="E43" i="4" s="1"/>
  <c r="BI46" i="94"/>
  <c r="K41" i="4" s="1"/>
  <c r="BE46" i="94"/>
  <c r="G41" i="4" s="1"/>
  <c r="BG44" i="94"/>
  <c r="I39" i="4" s="1"/>
  <c r="BC44" i="94"/>
  <c r="E39" i="4" s="1"/>
  <c r="BI42" i="94"/>
  <c r="K37" i="4" s="1"/>
  <c r="BE42" i="94"/>
  <c r="G37" i="4" s="1"/>
  <c r="BG40" i="94"/>
  <c r="I35" i="4" s="1"/>
  <c r="BC40" i="94"/>
  <c r="E35" i="4" s="1"/>
  <c r="BI38" i="94"/>
  <c r="K33" i="4" s="1"/>
  <c r="BE38" i="94"/>
  <c r="G33" i="4" s="1"/>
  <c r="BG36" i="94"/>
  <c r="I31" i="4" s="1"/>
  <c r="BC36" i="94"/>
  <c r="E31" i="4" s="1"/>
  <c r="BI34" i="94"/>
  <c r="K29" i="4" s="1"/>
  <c r="BE34" i="94"/>
  <c r="G29" i="4" s="1"/>
  <c r="BG32" i="94"/>
  <c r="I27" i="4" s="1"/>
  <c r="BC32" i="94"/>
  <c r="E27" i="4" s="1"/>
  <c r="BG31" i="94"/>
  <c r="I26" i="4" s="1"/>
  <c r="BC31" i="94"/>
  <c r="E26" i="4" s="1"/>
  <c r="BG30" i="94"/>
  <c r="I25" i="4" s="1"/>
  <c r="BC30" i="94"/>
  <c r="E25" i="4" s="1"/>
  <c r="BG29" i="94"/>
  <c r="I24" i="4" s="1"/>
  <c r="BC29" i="94"/>
  <c r="E24" i="4" s="1"/>
  <c r="BG28" i="94"/>
  <c r="I23" i="4" s="1"/>
  <c r="BC28" i="94"/>
  <c r="E23" i="4" s="1"/>
  <c r="BI27" i="94"/>
  <c r="K22" i="4" s="1"/>
  <c r="BE27" i="94"/>
  <c r="G22" i="4" s="1"/>
  <c r="BG26" i="94"/>
  <c r="I21" i="4" s="1"/>
  <c r="BC26" i="94"/>
  <c r="E21" i="4" s="1"/>
  <c r="BI24" i="94"/>
  <c r="K19" i="4" s="1"/>
  <c r="BE24" i="94"/>
  <c r="G19" i="4" s="1"/>
  <c r="BG22" i="94"/>
  <c r="I17" i="4" s="1"/>
  <c r="BC22" i="94"/>
  <c r="E17" i="4" s="1"/>
  <c r="BI20" i="94"/>
  <c r="K15" i="4" s="1"/>
  <c r="BE20" i="94"/>
  <c r="G15" i="4" s="1"/>
  <c r="BI19" i="94"/>
  <c r="K14" i="4" s="1"/>
  <c r="BE19" i="94"/>
  <c r="G14" i="4" s="1"/>
  <c r="BI18" i="94"/>
  <c r="K13" i="4" s="1"/>
  <c r="BE18" i="94"/>
  <c r="G13" i="4" s="1"/>
  <c r="BI17" i="94"/>
  <c r="K12" i="4" s="1"/>
  <c r="BE17" i="94"/>
  <c r="G12" i="4" s="1"/>
  <c r="BI16" i="94"/>
  <c r="K11" i="4" s="1"/>
  <c r="BE16" i="94"/>
  <c r="G11" i="4" s="1"/>
  <c r="BG15" i="94"/>
  <c r="I10" i="4" s="1"/>
  <c r="BC15" i="94"/>
  <c r="E10" i="4" s="1"/>
  <c r="BI14" i="94"/>
  <c r="K9" i="4" s="1"/>
  <c r="BE14" i="94"/>
  <c r="G9" i="4" s="1"/>
  <c r="BG53" i="94"/>
  <c r="I48" i="4" s="1"/>
  <c r="BC53" i="94"/>
  <c r="E48" i="4" s="1"/>
  <c r="BI51" i="94"/>
  <c r="K46" i="4" s="1"/>
  <c r="BE51" i="94"/>
  <c r="G46" i="4" s="1"/>
  <c r="BG49" i="94"/>
  <c r="I44" i="4" s="1"/>
  <c r="BC49" i="94"/>
  <c r="E44" i="4" s="1"/>
  <c r="BI47" i="94"/>
  <c r="K42" i="4" s="1"/>
  <c r="BE47" i="94"/>
  <c r="G42" i="4" s="1"/>
  <c r="BG45" i="94"/>
  <c r="I40" i="4" s="1"/>
  <c r="BC45" i="94"/>
  <c r="E40" i="4" s="1"/>
  <c r="BI43" i="94"/>
  <c r="K38" i="4" s="1"/>
  <c r="BE43" i="94"/>
  <c r="G38" i="4" s="1"/>
  <c r="BG41" i="94"/>
  <c r="I36" i="4" s="1"/>
  <c r="BC41" i="94"/>
  <c r="E36" i="4" s="1"/>
  <c r="BI39" i="94"/>
  <c r="K34" i="4" s="1"/>
  <c r="BE39" i="94"/>
  <c r="G34" i="4" s="1"/>
  <c r="BG37" i="94"/>
  <c r="I32" i="4" s="1"/>
  <c r="BC37" i="94"/>
  <c r="E32" i="4" s="1"/>
  <c r="BI35" i="94"/>
  <c r="K30" i="4" s="1"/>
  <c r="BE35" i="94"/>
  <c r="G30" i="4" s="1"/>
  <c r="BG33" i="94"/>
  <c r="I28" i="4" s="1"/>
  <c r="BC33" i="94"/>
  <c r="E28" i="4" s="1"/>
  <c r="BI25" i="94"/>
  <c r="K20" i="4" s="1"/>
  <c r="BE25" i="94"/>
  <c r="G20" i="4" s="1"/>
  <c r="BG23" i="94"/>
  <c r="I18" i="4" s="1"/>
  <c r="BC23" i="94"/>
  <c r="E18" i="4" s="1"/>
  <c r="BI21" i="94"/>
  <c r="K16" i="4" s="1"/>
  <c r="BE21" i="94"/>
  <c r="G16" i="4" s="1"/>
  <c r="BG54" i="94"/>
  <c r="I49" i="4" s="1"/>
  <c r="BC54" i="94"/>
  <c r="E49" i="4" s="1"/>
  <c r="BI52" i="94"/>
  <c r="K47" i="4" s="1"/>
  <c r="BE52" i="94"/>
  <c r="G47" i="4" s="1"/>
  <c r="BG50" i="94"/>
  <c r="I45" i="4" s="1"/>
  <c r="BC50" i="94"/>
  <c r="E45" i="4" s="1"/>
  <c r="BI48" i="94"/>
  <c r="K43" i="4" s="1"/>
  <c r="BE48" i="94"/>
  <c r="G43" i="4" s="1"/>
  <c r="BG46" i="94"/>
  <c r="I41" i="4" s="1"/>
  <c r="BC46" i="94"/>
  <c r="E41" i="4" s="1"/>
  <c r="BI44" i="94"/>
  <c r="K39" i="4" s="1"/>
  <c r="BE44" i="94"/>
  <c r="G39" i="4" s="1"/>
  <c r="BG42" i="94"/>
  <c r="I37" i="4" s="1"/>
  <c r="BC42" i="94"/>
  <c r="E37" i="4" s="1"/>
  <c r="BI40" i="94"/>
  <c r="K35" i="4" s="1"/>
  <c r="BE40" i="94"/>
  <c r="G35" i="4" s="1"/>
  <c r="BG38" i="94"/>
  <c r="I33" i="4" s="1"/>
  <c r="BC38" i="94"/>
  <c r="E33" i="4" s="1"/>
  <c r="BI36" i="94"/>
  <c r="K31" i="4" s="1"/>
  <c r="BE36" i="94"/>
  <c r="G31" i="4" s="1"/>
  <c r="BG34" i="94"/>
  <c r="I29" i="4" s="1"/>
  <c r="BC34" i="94"/>
  <c r="E29" i="4" s="1"/>
  <c r="BI32" i="94"/>
  <c r="K27" i="4" s="1"/>
  <c r="BE32" i="94"/>
  <c r="G27" i="4" s="1"/>
  <c r="BI31" i="94"/>
  <c r="K26" i="4" s="1"/>
  <c r="BE31" i="94"/>
  <c r="G26" i="4" s="1"/>
  <c r="BI30" i="94"/>
  <c r="K25" i="4" s="1"/>
  <c r="BE30" i="94"/>
  <c r="G25" i="4" s="1"/>
  <c r="BI29" i="94"/>
  <c r="K24" i="4" s="1"/>
  <c r="BE29" i="94"/>
  <c r="G24" i="4" s="1"/>
  <c r="BI28" i="94"/>
  <c r="K23" i="4" s="1"/>
  <c r="BE28" i="94"/>
  <c r="G23" i="4" s="1"/>
  <c r="BG27" i="94"/>
  <c r="I22" i="4" s="1"/>
  <c r="BC27" i="94"/>
  <c r="E22" i="4" s="1"/>
  <c r="BI26" i="94"/>
  <c r="K21" i="4" s="1"/>
  <c r="BE26" i="94"/>
  <c r="G21" i="4" s="1"/>
  <c r="BG24" i="94"/>
  <c r="I19" i="4" s="1"/>
  <c r="BC24" i="94"/>
  <c r="E19" i="4" s="1"/>
  <c r="BI22" i="94"/>
  <c r="K17" i="4" s="1"/>
  <c r="BE22" i="94"/>
  <c r="G17" i="4" s="1"/>
  <c r="BG20" i="94"/>
  <c r="I15" i="4" s="1"/>
  <c r="BC20" i="94"/>
  <c r="E15" i="4" s="1"/>
  <c r="BG19" i="94"/>
  <c r="I14" i="4" s="1"/>
  <c r="BC19" i="94"/>
  <c r="E14" i="4" s="1"/>
  <c r="BG18" i="94"/>
  <c r="I13" i="4" s="1"/>
  <c r="BC18" i="94"/>
  <c r="E13" i="4" s="1"/>
  <c r="BG17" i="94"/>
  <c r="I12" i="4" s="1"/>
  <c r="BC17" i="94"/>
  <c r="E12" i="4" s="1"/>
  <c r="BG16" i="94"/>
  <c r="I11" i="4" s="1"/>
  <c r="BC16" i="94"/>
  <c r="E11" i="4" s="1"/>
  <c r="BI15" i="94"/>
  <c r="K10" i="4" s="1"/>
  <c r="BE15" i="94"/>
  <c r="G10" i="4" s="1"/>
  <c r="BG14" i="94"/>
  <c r="I9" i="4" s="1"/>
  <c r="BC14" i="94"/>
  <c r="E9" i="4" s="1"/>
  <c r="BI12" i="94"/>
  <c r="K7" i="4" s="1"/>
  <c r="BC13" i="94"/>
  <c r="E8" i="4" s="1"/>
  <c r="BJ58" i="94" l="1"/>
  <c r="L53" i="4" s="1"/>
  <c r="BH58" i="94"/>
  <c r="J53" i="4" s="1"/>
  <c r="BH59" i="94"/>
  <c r="J54" i="4" s="1"/>
  <c r="BJ38" i="94"/>
  <c r="L33" i="4" s="1"/>
  <c r="BJ42" i="94"/>
  <c r="L37" i="4" s="1"/>
  <c r="BJ46" i="94"/>
  <c r="L41" i="4" s="1"/>
  <c r="BJ50" i="94"/>
  <c r="L45" i="4" s="1"/>
  <c r="BJ54" i="94"/>
  <c r="L49" i="4" s="1"/>
  <c r="BJ12" i="94"/>
  <c r="L7" i="4" s="1"/>
  <c r="BJ55" i="94"/>
  <c r="L50" i="4" s="1"/>
  <c r="BJ59" i="94"/>
  <c r="L54" i="4" s="1"/>
  <c r="BH56" i="94"/>
  <c r="J51" i="4" s="1"/>
  <c r="BJ56" i="94"/>
  <c r="L51" i="4" s="1"/>
  <c r="BH57" i="94"/>
  <c r="J52" i="4" s="1"/>
  <c r="BF56" i="94"/>
  <c r="H51" i="4" s="1"/>
  <c r="BF58" i="94"/>
  <c r="H53" i="4" s="1"/>
  <c r="BD56" i="94"/>
  <c r="F51" i="4" s="1"/>
  <c r="BD58" i="94"/>
  <c r="F53" i="4" s="1"/>
  <c r="BF11" i="94"/>
  <c r="H6" i="4" s="1"/>
  <c r="BF57" i="94"/>
  <c r="H52" i="4" s="1"/>
  <c r="BF59" i="94"/>
  <c r="H54" i="4" s="1"/>
  <c r="BD55" i="94"/>
  <c r="F50" i="4" s="1"/>
  <c r="BD57" i="94"/>
  <c r="F52" i="4" s="1"/>
  <c r="BD59" i="94"/>
  <c r="F54" i="4" s="1"/>
  <c r="E32" i="92"/>
  <c r="E33" i="92" s="1"/>
  <c r="E34" i="92" s="1"/>
  <c r="E35" i="92" s="1"/>
  <c r="E36" i="92" s="1"/>
  <c r="E37" i="92" s="1"/>
  <c r="E38" i="92" s="1"/>
  <c r="E26" i="92"/>
  <c r="E27" i="92" s="1"/>
  <c r="E28" i="92" s="1"/>
  <c r="E29" i="92" s="1"/>
  <c r="E30" i="92" s="1"/>
  <c r="E14" i="92"/>
  <c r="E15" i="92" s="1"/>
  <c r="E16" i="92" s="1"/>
  <c r="E17" i="92" s="1"/>
  <c r="E18" i="92" s="1"/>
  <c r="E19" i="92" s="1"/>
  <c r="E20" i="92" s="1"/>
  <c r="E21" i="92" s="1"/>
  <c r="E22" i="92" s="1"/>
  <c r="E23" i="92" s="1"/>
  <c r="E24" i="92" s="1"/>
  <c r="E6" i="92"/>
  <c r="E7" i="92" s="1"/>
  <c r="E8" i="92" s="1"/>
  <c r="E9" i="92" s="1"/>
  <c r="E10" i="92" s="1"/>
  <c r="E11" i="92" s="1"/>
  <c r="E12" i="92" s="1"/>
  <c r="I8" i="24" l="1"/>
  <c r="J8" i="24"/>
  <c r="K8" i="24"/>
  <c r="I9" i="24"/>
  <c r="J9" i="24"/>
  <c r="K9" i="24"/>
  <c r="I10" i="24"/>
  <c r="J10" i="24"/>
  <c r="K10" i="24"/>
  <c r="I11" i="24"/>
  <c r="J11" i="24"/>
  <c r="K11" i="24"/>
  <c r="I12" i="24"/>
  <c r="J12" i="24"/>
  <c r="K12" i="24"/>
  <c r="I13" i="24"/>
  <c r="J13" i="24"/>
  <c r="K13" i="24"/>
  <c r="I14" i="24"/>
  <c r="J14" i="24"/>
  <c r="K14" i="24"/>
  <c r="I15" i="24"/>
  <c r="J15" i="24"/>
  <c r="K15" i="24"/>
  <c r="I16" i="24"/>
  <c r="J16" i="24"/>
  <c r="K16" i="24"/>
  <c r="I17" i="24"/>
  <c r="J17" i="24"/>
  <c r="K17" i="24"/>
  <c r="I18" i="24"/>
  <c r="J18" i="24"/>
  <c r="K18" i="24"/>
  <c r="I19" i="24"/>
  <c r="J19" i="24"/>
  <c r="K19" i="24"/>
  <c r="I20" i="24"/>
  <c r="J20" i="24"/>
  <c r="K20" i="24"/>
  <c r="I21" i="24"/>
  <c r="J21" i="24"/>
  <c r="K21" i="24"/>
  <c r="I22" i="24"/>
  <c r="J22" i="24"/>
  <c r="K22" i="24"/>
  <c r="I23" i="24"/>
  <c r="J23" i="24"/>
  <c r="K23" i="24"/>
  <c r="I24" i="24"/>
  <c r="J24" i="24"/>
  <c r="K24" i="24"/>
  <c r="I25" i="24"/>
  <c r="J25" i="24"/>
  <c r="K25" i="24"/>
  <c r="I26" i="24"/>
  <c r="J26" i="24"/>
  <c r="K26" i="24"/>
  <c r="I27" i="24"/>
  <c r="J27" i="24"/>
  <c r="K27" i="24"/>
  <c r="I28" i="24"/>
  <c r="J28" i="24"/>
  <c r="K28" i="24"/>
  <c r="I29" i="24"/>
  <c r="J29" i="24"/>
  <c r="K29" i="24"/>
  <c r="I30" i="24"/>
  <c r="J30" i="24"/>
  <c r="K30" i="24"/>
  <c r="I31" i="24"/>
  <c r="J31" i="24"/>
  <c r="K31" i="24"/>
  <c r="I32" i="24"/>
  <c r="J32" i="24"/>
  <c r="K32" i="24"/>
  <c r="I33" i="24"/>
  <c r="J33" i="24"/>
  <c r="K33" i="24"/>
  <c r="I34" i="24"/>
  <c r="J34" i="24"/>
  <c r="K34" i="24"/>
  <c r="I35" i="24"/>
  <c r="J35" i="24"/>
  <c r="K35" i="24"/>
  <c r="I36" i="24"/>
  <c r="J36" i="24"/>
  <c r="K36" i="24"/>
  <c r="I37" i="24"/>
  <c r="J37" i="24"/>
  <c r="K37" i="24"/>
  <c r="I38" i="24"/>
  <c r="J38" i="24"/>
  <c r="K38" i="24"/>
  <c r="I39" i="24"/>
  <c r="J39" i="24"/>
  <c r="K39" i="24"/>
  <c r="I40" i="24"/>
  <c r="J40" i="24"/>
  <c r="K40" i="24"/>
  <c r="I41" i="24"/>
  <c r="J41" i="24"/>
  <c r="K41" i="24"/>
  <c r="I42" i="24"/>
  <c r="J42" i="24"/>
  <c r="K42" i="24"/>
  <c r="I43" i="24"/>
  <c r="J43" i="24"/>
  <c r="K43" i="24"/>
  <c r="I44" i="24"/>
  <c r="J44" i="24"/>
  <c r="K44" i="24"/>
  <c r="I45" i="24"/>
  <c r="J45" i="24"/>
  <c r="K45" i="24"/>
  <c r="I46" i="24"/>
  <c r="J46" i="24"/>
  <c r="K46" i="24"/>
  <c r="I47" i="24"/>
  <c r="J47" i="24"/>
  <c r="K47" i="24"/>
  <c r="I48" i="24"/>
  <c r="J48" i="24"/>
  <c r="K48" i="24"/>
  <c r="I49" i="24"/>
  <c r="J49" i="24"/>
  <c r="K49" i="24"/>
  <c r="I50" i="24"/>
  <c r="J50" i="24"/>
  <c r="K50" i="24"/>
  <c r="I51" i="24"/>
  <c r="J51" i="24"/>
  <c r="K51" i="24"/>
  <c r="I52" i="24"/>
  <c r="J52" i="24"/>
  <c r="K52" i="24"/>
  <c r="I53" i="24"/>
  <c r="J53" i="24"/>
  <c r="K53" i="24"/>
  <c r="I54" i="24"/>
  <c r="J54" i="24"/>
  <c r="K54" i="24"/>
  <c r="I55" i="24"/>
  <c r="J55" i="24"/>
  <c r="K55" i="24"/>
  <c r="I56" i="24"/>
  <c r="J56" i="24"/>
  <c r="K56" i="24"/>
  <c r="J7" i="24"/>
  <c r="K7" i="24"/>
  <c r="I7" i="24"/>
  <c r="D5" i="91"/>
  <c r="X6" i="91"/>
  <c r="Y6" i="91"/>
  <c r="Z6" i="91"/>
  <c r="X7" i="91"/>
  <c r="Y7" i="91"/>
  <c r="Z7" i="91"/>
  <c r="X8" i="91"/>
  <c r="Y8" i="91"/>
  <c r="Z8" i="91"/>
  <c r="X9" i="91"/>
  <c r="Y9" i="91"/>
  <c r="Z9" i="91"/>
  <c r="X10" i="91"/>
  <c r="Y10" i="91"/>
  <c r="Z10" i="91"/>
  <c r="X11" i="91"/>
  <c r="Y11" i="91"/>
  <c r="Z11" i="91"/>
  <c r="X12" i="91"/>
  <c r="Y12" i="91"/>
  <c r="Z12" i="91"/>
  <c r="X13" i="91"/>
  <c r="Y13" i="91"/>
  <c r="Z13" i="91"/>
  <c r="X14" i="91"/>
  <c r="Y14" i="91"/>
  <c r="Z14" i="91"/>
  <c r="X15" i="91"/>
  <c r="Y15" i="91"/>
  <c r="Z15" i="91"/>
  <c r="X16" i="91"/>
  <c r="Y16" i="91"/>
  <c r="Z16" i="91"/>
  <c r="X17" i="91"/>
  <c r="Y17" i="91"/>
  <c r="Z17" i="91"/>
  <c r="X18" i="91"/>
  <c r="Y18" i="91"/>
  <c r="Z18" i="91"/>
  <c r="X19" i="91"/>
  <c r="Y19" i="91"/>
  <c r="Z19" i="91"/>
  <c r="X20" i="91"/>
  <c r="Y20" i="91"/>
  <c r="Z20" i="91"/>
  <c r="X21" i="91"/>
  <c r="Y21" i="91"/>
  <c r="Z21" i="91"/>
  <c r="X22" i="91"/>
  <c r="Y22" i="91"/>
  <c r="Z22" i="91"/>
  <c r="X23" i="91"/>
  <c r="Y23" i="91"/>
  <c r="Z23" i="91"/>
  <c r="X24" i="91"/>
  <c r="Y24" i="91"/>
  <c r="Z24" i="91"/>
  <c r="X25" i="91"/>
  <c r="Y25" i="91"/>
  <c r="Z25" i="91"/>
  <c r="X26" i="91"/>
  <c r="Y26" i="91"/>
  <c r="Z26" i="91"/>
  <c r="X27" i="91"/>
  <c r="Y27" i="91"/>
  <c r="Z27" i="91"/>
  <c r="X28" i="91"/>
  <c r="Y28" i="91"/>
  <c r="Z28" i="91"/>
  <c r="X29" i="91"/>
  <c r="Y29" i="91"/>
  <c r="Z29" i="91"/>
  <c r="X30" i="91"/>
  <c r="Y30" i="91"/>
  <c r="Z30" i="91"/>
  <c r="X31" i="91"/>
  <c r="Y31" i="91"/>
  <c r="Z31" i="91"/>
  <c r="X32" i="91"/>
  <c r="Y32" i="91"/>
  <c r="Z32" i="91"/>
  <c r="X33" i="91"/>
  <c r="Y33" i="91"/>
  <c r="Z33" i="91"/>
  <c r="X34" i="91"/>
  <c r="Y34" i="91"/>
  <c r="Z34" i="91"/>
  <c r="X35" i="91"/>
  <c r="Y35" i="91"/>
  <c r="Z35" i="91"/>
  <c r="X36" i="91"/>
  <c r="Y36" i="91"/>
  <c r="Z36" i="91"/>
  <c r="X37" i="91"/>
  <c r="Y37" i="91"/>
  <c r="Z37" i="91"/>
  <c r="X38" i="91"/>
  <c r="Y38" i="91"/>
  <c r="Z38" i="91"/>
  <c r="X39" i="91"/>
  <c r="Y39" i="91"/>
  <c r="Z39" i="91"/>
  <c r="X40" i="91"/>
  <c r="Y40" i="91"/>
  <c r="Z40" i="91"/>
  <c r="X41" i="91"/>
  <c r="Y41" i="91"/>
  <c r="Z41" i="91"/>
  <c r="X42" i="91"/>
  <c r="Y42" i="91"/>
  <c r="Z42" i="91"/>
  <c r="X43" i="91"/>
  <c r="Y43" i="91"/>
  <c r="Z43" i="91"/>
  <c r="X44" i="91"/>
  <c r="Y44" i="91"/>
  <c r="Z44" i="91"/>
  <c r="X45" i="91"/>
  <c r="Y45" i="91"/>
  <c r="Z45" i="91"/>
  <c r="X46" i="91"/>
  <c r="Y46" i="91"/>
  <c r="Z46" i="91"/>
  <c r="X47" i="91"/>
  <c r="Y47" i="91"/>
  <c r="Z47" i="91"/>
  <c r="X48" i="91"/>
  <c r="Y48" i="91"/>
  <c r="Z48" i="91"/>
  <c r="X49" i="91"/>
  <c r="Y49" i="91"/>
  <c r="Z49" i="91"/>
  <c r="X50" i="91"/>
  <c r="Y50" i="91"/>
  <c r="Z50" i="91"/>
  <c r="X51" i="91"/>
  <c r="Y51" i="91"/>
  <c r="Z51" i="91"/>
  <c r="X52" i="91"/>
  <c r="Y52" i="91"/>
  <c r="Z52" i="91"/>
  <c r="X53" i="91"/>
  <c r="Y53" i="91"/>
  <c r="Z53" i="91"/>
  <c r="X54" i="91"/>
  <c r="Y54" i="91"/>
  <c r="Z54" i="91"/>
  <c r="Y5" i="91"/>
  <c r="Z5" i="91"/>
  <c r="X5" i="91"/>
  <c r="T6" i="91"/>
  <c r="U6" i="91"/>
  <c r="V6" i="91"/>
  <c r="T7" i="91"/>
  <c r="U7" i="91"/>
  <c r="V7" i="91"/>
  <c r="T8" i="91"/>
  <c r="U8" i="91"/>
  <c r="V8" i="91"/>
  <c r="T9" i="91"/>
  <c r="U9" i="91"/>
  <c r="V9" i="91"/>
  <c r="T10" i="91"/>
  <c r="U10" i="91"/>
  <c r="V10" i="91"/>
  <c r="T11" i="91"/>
  <c r="U11" i="91"/>
  <c r="V11" i="91"/>
  <c r="T12" i="91"/>
  <c r="U12" i="91"/>
  <c r="V12" i="91"/>
  <c r="T13" i="91"/>
  <c r="U13" i="91"/>
  <c r="V13" i="91"/>
  <c r="T14" i="91"/>
  <c r="U14" i="91"/>
  <c r="V14" i="91"/>
  <c r="T15" i="91"/>
  <c r="U15" i="91"/>
  <c r="V15" i="91"/>
  <c r="T16" i="91"/>
  <c r="U16" i="91"/>
  <c r="V16" i="91"/>
  <c r="T17" i="91"/>
  <c r="U17" i="91"/>
  <c r="V17" i="91"/>
  <c r="T18" i="91"/>
  <c r="U18" i="91"/>
  <c r="V18" i="91"/>
  <c r="T19" i="91"/>
  <c r="U19" i="91"/>
  <c r="V19" i="91"/>
  <c r="T20" i="91"/>
  <c r="U20" i="91"/>
  <c r="V20" i="91"/>
  <c r="T21" i="91"/>
  <c r="U21" i="91"/>
  <c r="V21" i="91"/>
  <c r="T22" i="91"/>
  <c r="U22" i="91"/>
  <c r="V22" i="91"/>
  <c r="T23" i="91"/>
  <c r="U23" i="91"/>
  <c r="V23" i="91"/>
  <c r="T24" i="91"/>
  <c r="U24" i="91"/>
  <c r="V24" i="91"/>
  <c r="T25" i="91"/>
  <c r="U25" i="91"/>
  <c r="V25" i="91"/>
  <c r="T26" i="91"/>
  <c r="U26" i="91"/>
  <c r="V26" i="91"/>
  <c r="T27" i="91"/>
  <c r="U27" i="91"/>
  <c r="V27" i="91"/>
  <c r="T28" i="91"/>
  <c r="U28" i="91"/>
  <c r="V28" i="91"/>
  <c r="T29" i="91"/>
  <c r="U29" i="91"/>
  <c r="V29" i="91"/>
  <c r="T30" i="91"/>
  <c r="U30" i="91"/>
  <c r="V30" i="91"/>
  <c r="T31" i="91"/>
  <c r="U31" i="91"/>
  <c r="V31" i="91"/>
  <c r="T32" i="91"/>
  <c r="U32" i="91"/>
  <c r="V32" i="91"/>
  <c r="T33" i="91"/>
  <c r="U33" i="91"/>
  <c r="V33" i="91"/>
  <c r="T34" i="91"/>
  <c r="U34" i="91"/>
  <c r="V34" i="91"/>
  <c r="T35" i="91"/>
  <c r="U35" i="91"/>
  <c r="V35" i="91"/>
  <c r="T36" i="91"/>
  <c r="U36" i="91"/>
  <c r="V36" i="91"/>
  <c r="T37" i="91"/>
  <c r="U37" i="91"/>
  <c r="V37" i="91"/>
  <c r="T38" i="91"/>
  <c r="U38" i="91"/>
  <c r="V38" i="91"/>
  <c r="T39" i="91"/>
  <c r="U39" i="91"/>
  <c r="V39" i="91"/>
  <c r="T40" i="91"/>
  <c r="U40" i="91"/>
  <c r="V40" i="91"/>
  <c r="T41" i="91"/>
  <c r="U41" i="91"/>
  <c r="V41" i="91"/>
  <c r="T42" i="91"/>
  <c r="U42" i="91"/>
  <c r="V42" i="91"/>
  <c r="T43" i="91"/>
  <c r="U43" i="91"/>
  <c r="V43" i="91"/>
  <c r="T44" i="91"/>
  <c r="U44" i="91"/>
  <c r="V44" i="91"/>
  <c r="T45" i="91"/>
  <c r="U45" i="91"/>
  <c r="V45" i="91"/>
  <c r="T46" i="91"/>
  <c r="U46" i="91"/>
  <c r="V46" i="91"/>
  <c r="T47" i="91"/>
  <c r="U47" i="91"/>
  <c r="V47" i="91"/>
  <c r="T48" i="91"/>
  <c r="U48" i="91"/>
  <c r="V48" i="91"/>
  <c r="T49" i="91"/>
  <c r="U49" i="91"/>
  <c r="V49" i="91"/>
  <c r="T50" i="91"/>
  <c r="U50" i="91"/>
  <c r="V50" i="91"/>
  <c r="T51" i="91"/>
  <c r="U51" i="91"/>
  <c r="V51" i="91"/>
  <c r="T52" i="91"/>
  <c r="U52" i="91"/>
  <c r="V52" i="91"/>
  <c r="T53" i="91"/>
  <c r="U53" i="91"/>
  <c r="V53" i="91"/>
  <c r="T54" i="91"/>
  <c r="U54" i="91"/>
  <c r="V54" i="91"/>
  <c r="U5" i="91"/>
  <c r="V5" i="91"/>
  <c r="T5" i="91"/>
  <c r="P6" i="91"/>
  <c r="Q6" i="91"/>
  <c r="R6" i="91"/>
  <c r="P7" i="91"/>
  <c r="Q7" i="91"/>
  <c r="R7" i="91"/>
  <c r="P8" i="91"/>
  <c r="Q8" i="91"/>
  <c r="R8" i="91"/>
  <c r="P9" i="91"/>
  <c r="Q9" i="91"/>
  <c r="R9" i="91"/>
  <c r="P10" i="91"/>
  <c r="Q10" i="91"/>
  <c r="R10" i="91"/>
  <c r="P11" i="91"/>
  <c r="Q11" i="91"/>
  <c r="R11" i="91"/>
  <c r="P12" i="91"/>
  <c r="Q12" i="91"/>
  <c r="R12" i="91"/>
  <c r="P13" i="91"/>
  <c r="Q13" i="91"/>
  <c r="R13" i="91"/>
  <c r="P14" i="91"/>
  <c r="Q14" i="91"/>
  <c r="R14" i="91"/>
  <c r="P15" i="91"/>
  <c r="Q15" i="91"/>
  <c r="R15" i="91"/>
  <c r="P16" i="91"/>
  <c r="Q16" i="91"/>
  <c r="R16" i="91"/>
  <c r="P17" i="91"/>
  <c r="Q17" i="91"/>
  <c r="R17" i="91"/>
  <c r="P18" i="91"/>
  <c r="Q18" i="91"/>
  <c r="R18" i="91"/>
  <c r="P19" i="91"/>
  <c r="Q19" i="91"/>
  <c r="R19" i="91"/>
  <c r="P20" i="91"/>
  <c r="Q20" i="91"/>
  <c r="R20" i="91"/>
  <c r="P21" i="91"/>
  <c r="Q21" i="91"/>
  <c r="R21" i="91"/>
  <c r="P22" i="91"/>
  <c r="Q22" i="91"/>
  <c r="R22" i="91"/>
  <c r="P23" i="91"/>
  <c r="Q23" i="91"/>
  <c r="R23" i="91"/>
  <c r="P24" i="91"/>
  <c r="Q24" i="91"/>
  <c r="R24" i="91"/>
  <c r="P25" i="91"/>
  <c r="Q25" i="91"/>
  <c r="R25" i="91"/>
  <c r="P26" i="91"/>
  <c r="Q26" i="91"/>
  <c r="R26" i="91"/>
  <c r="P27" i="91"/>
  <c r="Q27" i="91"/>
  <c r="R27" i="91"/>
  <c r="P28" i="91"/>
  <c r="Q28" i="91"/>
  <c r="R28" i="91"/>
  <c r="P29" i="91"/>
  <c r="Q29" i="91"/>
  <c r="R29" i="91"/>
  <c r="P30" i="91"/>
  <c r="Q30" i="91"/>
  <c r="R30" i="91"/>
  <c r="P31" i="91"/>
  <c r="Q31" i="91"/>
  <c r="R31" i="91"/>
  <c r="P32" i="91"/>
  <c r="Q32" i="91"/>
  <c r="R32" i="91"/>
  <c r="P33" i="91"/>
  <c r="Q33" i="91"/>
  <c r="R33" i="91"/>
  <c r="P34" i="91"/>
  <c r="Q34" i="91"/>
  <c r="R34" i="91"/>
  <c r="P35" i="91"/>
  <c r="Q35" i="91"/>
  <c r="R35" i="91"/>
  <c r="P36" i="91"/>
  <c r="Q36" i="91"/>
  <c r="R36" i="91"/>
  <c r="P37" i="91"/>
  <c r="Q37" i="91"/>
  <c r="R37" i="91"/>
  <c r="P38" i="91"/>
  <c r="Q38" i="91"/>
  <c r="R38" i="91"/>
  <c r="P39" i="91"/>
  <c r="Q39" i="91"/>
  <c r="R39" i="91"/>
  <c r="P40" i="91"/>
  <c r="Q40" i="91"/>
  <c r="R40" i="91"/>
  <c r="P41" i="91"/>
  <c r="Q41" i="91"/>
  <c r="R41" i="91"/>
  <c r="P42" i="91"/>
  <c r="Q42" i="91"/>
  <c r="R42" i="91"/>
  <c r="P43" i="91"/>
  <c r="Q43" i="91"/>
  <c r="R43" i="91"/>
  <c r="P44" i="91"/>
  <c r="Q44" i="91"/>
  <c r="R44" i="91"/>
  <c r="P45" i="91"/>
  <c r="Q45" i="91"/>
  <c r="R45" i="91"/>
  <c r="P46" i="91"/>
  <c r="Q46" i="91"/>
  <c r="R46" i="91"/>
  <c r="P47" i="91"/>
  <c r="Q47" i="91"/>
  <c r="R47" i="91"/>
  <c r="P48" i="91"/>
  <c r="Q48" i="91"/>
  <c r="R48" i="91"/>
  <c r="P49" i="91"/>
  <c r="Q49" i="91"/>
  <c r="R49" i="91"/>
  <c r="P50" i="91"/>
  <c r="Q50" i="91"/>
  <c r="R50" i="91"/>
  <c r="P51" i="91"/>
  <c r="Q51" i="91"/>
  <c r="R51" i="91"/>
  <c r="P52" i="91"/>
  <c r="Q52" i="91"/>
  <c r="R52" i="91"/>
  <c r="P53" i="91"/>
  <c r="Q53" i="91"/>
  <c r="R53" i="91"/>
  <c r="P54" i="91"/>
  <c r="Q54" i="91"/>
  <c r="R54" i="91"/>
  <c r="Q5" i="91"/>
  <c r="R5" i="91"/>
  <c r="P5" i="91"/>
  <c r="L6" i="91"/>
  <c r="M6" i="91"/>
  <c r="N6" i="91"/>
  <c r="L7" i="91"/>
  <c r="M7" i="91"/>
  <c r="N7" i="91"/>
  <c r="L8" i="91"/>
  <c r="M8" i="91"/>
  <c r="N8" i="91"/>
  <c r="L9" i="91"/>
  <c r="M9" i="91"/>
  <c r="N9" i="91"/>
  <c r="L10" i="91"/>
  <c r="M10" i="91"/>
  <c r="N10" i="91"/>
  <c r="L11" i="91"/>
  <c r="M11" i="91"/>
  <c r="N11" i="91"/>
  <c r="L12" i="91"/>
  <c r="M12" i="91"/>
  <c r="N12" i="91"/>
  <c r="L13" i="91"/>
  <c r="M13" i="91"/>
  <c r="N13" i="91"/>
  <c r="L14" i="91"/>
  <c r="M14" i="91"/>
  <c r="N14" i="91"/>
  <c r="L15" i="91"/>
  <c r="M15" i="91"/>
  <c r="N15" i="91"/>
  <c r="L16" i="91"/>
  <c r="M16" i="91"/>
  <c r="N16" i="91"/>
  <c r="L17" i="91"/>
  <c r="M17" i="91"/>
  <c r="N17" i="91"/>
  <c r="L18" i="91"/>
  <c r="M18" i="91"/>
  <c r="N18" i="91"/>
  <c r="L19" i="91"/>
  <c r="M19" i="91"/>
  <c r="N19" i="91"/>
  <c r="L20" i="91"/>
  <c r="M20" i="91"/>
  <c r="N20" i="91"/>
  <c r="L21" i="91"/>
  <c r="M21" i="91"/>
  <c r="N21" i="91"/>
  <c r="L22" i="91"/>
  <c r="M22" i="91"/>
  <c r="N22" i="91"/>
  <c r="L23" i="91"/>
  <c r="M23" i="91"/>
  <c r="N23" i="91"/>
  <c r="L24" i="91"/>
  <c r="M24" i="91"/>
  <c r="N24" i="91"/>
  <c r="L25" i="91"/>
  <c r="M25" i="91"/>
  <c r="N25" i="91"/>
  <c r="L26" i="91"/>
  <c r="M26" i="91"/>
  <c r="N26" i="91"/>
  <c r="L27" i="91"/>
  <c r="M27" i="91"/>
  <c r="N27" i="91"/>
  <c r="L28" i="91"/>
  <c r="M28" i="91"/>
  <c r="N28" i="91"/>
  <c r="L29" i="91"/>
  <c r="M29" i="91"/>
  <c r="N29" i="91"/>
  <c r="L30" i="91"/>
  <c r="M30" i="91"/>
  <c r="N30" i="91"/>
  <c r="L31" i="91"/>
  <c r="M31" i="91"/>
  <c r="N31" i="91"/>
  <c r="L32" i="91"/>
  <c r="M32" i="91"/>
  <c r="N32" i="91"/>
  <c r="L33" i="91"/>
  <c r="M33" i="91"/>
  <c r="N33" i="91"/>
  <c r="L34" i="91"/>
  <c r="M34" i="91"/>
  <c r="N34" i="91"/>
  <c r="L35" i="91"/>
  <c r="M35" i="91"/>
  <c r="N35" i="91"/>
  <c r="L36" i="91"/>
  <c r="M36" i="91"/>
  <c r="N36" i="91"/>
  <c r="L37" i="91"/>
  <c r="M37" i="91"/>
  <c r="N37" i="91"/>
  <c r="L38" i="91"/>
  <c r="M38" i="91"/>
  <c r="N38" i="91"/>
  <c r="L39" i="91"/>
  <c r="M39" i="91"/>
  <c r="N39" i="91"/>
  <c r="L40" i="91"/>
  <c r="M40" i="91"/>
  <c r="N40" i="91"/>
  <c r="L41" i="91"/>
  <c r="M41" i="91"/>
  <c r="N41" i="91"/>
  <c r="L42" i="91"/>
  <c r="M42" i="91"/>
  <c r="N42" i="91"/>
  <c r="L43" i="91"/>
  <c r="M43" i="91"/>
  <c r="N43" i="91"/>
  <c r="L44" i="91"/>
  <c r="M44" i="91"/>
  <c r="N44" i="91"/>
  <c r="L45" i="91"/>
  <c r="M45" i="91"/>
  <c r="N45" i="91"/>
  <c r="L46" i="91"/>
  <c r="M46" i="91"/>
  <c r="N46" i="91"/>
  <c r="L47" i="91"/>
  <c r="M47" i="91"/>
  <c r="N47" i="91"/>
  <c r="L48" i="91"/>
  <c r="M48" i="91"/>
  <c r="N48" i="91"/>
  <c r="L49" i="91"/>
  <c r="M49" i="91"/>
  <c r="N49" i="91"/>
  <c r="L50" i="91"/>
  <c r="M50" i="91"/>
  <c r="N50" i="91"/>
  <c r="L51" i="91"/>
  <c r="M51" i="91"/>
  <c r="N51" i="91"/>
  <c r="L52" i="91"/>
  <c r="M52" i="91"/>
  <c r="N52" i="91"/>
  <c r="L53" i="91"/>
  <c r="M53" i="91"/>
  <c r="N53" i="91"/>
  <c r="L54" i="91"/>
  <c r="M54" i="91"/>
  <c r="N54" i="91"/>
  <c r="M5" i="91"/>
  <c r="N5" i="91"/>
  <c r="L5" i="91"/>
  <c r="H6" i="91"/>
  <c r="I6" i="91"/>
  <c r="J6" i="91"/>
  <c r="H7" i="91"/>
  <c r="I7" i="91"/>
  <c r="J7" i="91"/>
  <c r="H8" i="91"/>
  <c r="I8" i="91"/>
  <c r="J8" i="91"/>
  <c r="H9" i="91"/>
  <c r="I9" i="91"/>
  <c r="J9" i="91"/>
  <c r="H10" i="91"/>
  <c r="I10" i="91"/>
  <c r="J10" i="91"/>
  <c r="H11" i="91"/>
  <c r="I11" i="91"/>
  <c r="J11" i="91"/>
  <c r="H12" i="91"/>
  <c r="I12" i="91"/>
  <c r="J12" i="91"/>
  <c r="H13" i="91"/>
  <c r="I13" i="91"/>
  <c r="J13" i="91"/>
  <c r="H14" i="91"/>
  <c r="I14" i="91"/>
  <c r="J14" i="91"/>
  <c r="H15" i="91"/>
  <c r="I15" i="91"/>
  <c r="J15" i="91"/>
  <c r="H16" i="91"/>
  <c r="I16" i="91"/>
  <c r="J16" i="91"/>
  <c r="H17" i="91"/>
  <c r="I17" i="91"/>
  <c r="J17" i="91"/>
  <c r="H18" i="91"/>
  <c r="I18" i="91"/>
  <c r="J18" i="91"/>
  <c r="H19" i="91"/>
  <c r="I19" i="91"/>
  <c r="J19" i="91"/>
  <c r="H20" i="91"/>
  <c r="I20" i="91"/>
  <c r="J20" i="91"/>
  <c r="H21" i="91"/>
  <c r="I21" i="91"/>
  <c r="J21" i="91"/>
  <c r="H22" i="91"/>
  <c r="I22" i="91"/>
  <c r="J22" i="91"/>
  <c r="H23" i="91"/>
  <c r="I23" i="91"/>
  <c r="J23" i="91"/>
  <c r="H24" i="91"/>
  <c r="I24" i="91"/>
  <c r="J24" i="91"/>
  <c r="H25" i="91"/>
  <c r="I25" i="91"/>
  <c r="J25" i="91"/>
  <c r="H26" i="91"/>
  <c r="I26" i="91"/>
  <c r="J26" i="91"/>
  <c r="H27" i="91"/>
  <c r="I27" i="91"/>
  <c r="J27" i="91"/>
  <c r="H28" i="91"/>
  <c r="I28" i="91"/>
  <c r="J28" i="91"/>
  <c r="H29" i="91"/>
  <c r="I29" i="91"/>
  <c r="J29" i="91"/>
  <c r="H30" i="91"/>
  <c r="I30" i="91"/>
  <c r="J30" i="91"/>
  <c r="H31" i="91"/>
  <c r="I31" i="91"/>
  <c r="J31" i="91"/>
  <c r="H32" i="91"/>
  <c r="I32" i="91"/>
  <c r="J32" i="91"/>
  <c r="H33" i="91"/>
  <c r="I33" i="91"/>
  <c r="J33" i="91"/>
  <c r="H34" i="91"/>
  <c r="I34" i="91"/>
  <c r="J34" i="91"/>
  <c r="H35" i="91"/>
  <c r="I35" i="91"/>
  <c r="J35" i="91"/>
  <c r="H36" i="91"/>
  <c r="I36" i="91"/>
  <c r="J36" i="91"/>
  <c r="H37" i="91"/>
  <c r="I37" i="91"/>
  <c r="J37" i="91"/>
  <c r="H38" i="91"/>
  <c r="I38" i="91"/>
  <c r="J38" i="91"/>
  <c r="H39" i="91"/>
  <c r="I39" i="91"/>
  <c r="J39" i="91"/>
  <c r="H40" i="91"/>
  <c r="I40" i="91"/>
  <c r="J40" i="91"/>
  <c r="H41" i="91"/>
  <c r="I41" i="91"/>
  <c r="J41" i="91"/>
  <c r="H42" i="91"/>
  <c r="I42" i="91"/>
  <c r="J42" i="91"/>
  <c r="H43" i="91"/>
  <c r="I43" i="91"/>
  <c r="J43" i="91"/>
  <c r="H44" i="91"/>
  <c r="I44" i="91"/>
  <c r="J44" i="91"/>
  <c r="H45" i="91"/>
  <c r="I45" i="91"/>
  <c r="J45" i="91"/>
  <c r="H46" i="91"/>
  <c r="I46" i="91"/>
  <c r="J46" i="91"/>
  <c r="H47" i="91"/>
  <c r="I47" i="91"/>
  <c r="J47" i="91"/>
  <c r="H48" i="91"/>
  <c r="I48" i="91"/>
  <c r="J48" i="91"/>
  <c r="H49" i="91"/>
  <c r="I49" i="91"/>
  <c r="J49" i="91"/>
  <c r="H50" i="91"/>
  <c r="I50" i="91"/>
  <c r="J50" i="91"/>
  <c r="H51" i="91"/>
  <c r="I51" i="91"/>
  <c r="J51" i="91"/>
  <c r="H52" i="91"/>
  <c r="I52" i="91"/>
  <c r="J52" i="91"/>
  <c r="H53" i="91"/>
  <c r="I53" i="91"/>
  <c r="J53" i="91"/>
  <c r="H54" i="91"/>
  <c r="I54" i="91"/>
  <c r="J54" i="91"/>
  <c r="I5" i="91"/>
  <c r="J5" i="91"/>
  <c r="H5" i="91"/>
  <c r="D6" i="91"/>
  <c r="E6" i="91"/>
  <c r="F6" i="91"/>
  <c r="D7" i="91"/>
  <c r="E7" i="91"/>
  <c r="F7" i="91"/>
  <c r="D8" i="91"/>
  <c r="E8" i="91"/>
  <c r="F8" i="91"/>
  <c r="D9" i="91"/>
  <c r="E9" i="91"/>
  <c r="F9" i="91"/>
  <c r="D10" i="91"/>
  <c r="E10" i="91"/>
  <c r="F10" i="91"/>
  <c r="D11" i="91"/>
  <c r="E11" i="91"/>
  <c r="F11" i="91"/>
  <c r="D12" i="91"/>
  <c r="E12" i="91"/>
  <c r="F12" i="91"/>
  <c r="D13" i="91"/>
  <c r="E13" i="91"/>
  <c r="F13" i="91"/>
  <c r="D14" i="91"/>
  <c r="E14" i="91"/>
  <c r="F14" i="91"/>
  <c r="D15" i="91"/>
  <c r="E15" i="91"/>
  <c r="F15" i="91"/>
  <c r="D16" i="91"/>
  <c r="E16" i="91"/>
  <c r="F16" i="91"/>
  <c r="D17" i="91"/>
  <c r="E17" i="91"/>
  <c r="F17" i="91"/>
  <c r="D18" i="91"/>
  <c r="E18" i="91"/>
  <c r="F18" i="91"/>
  <c r="D19" i="91"/>
  <c r="E19" i="91"/>
  <c r="F19" i="91"/>
  <c r="D20" i="91"/>
  <c r="E20" i="91"/>
  <c r="F20" i="91"/>
  <c r="D21" i="91"/>
  <c r="E21" i="91"/>
  <c r="F21" i="91"/>
  <c r="D22" i="91"/>
  <c r="E22" i="91"/>
  <c r="F22" i="91"/>
  <c r="D23" i="91"/>
  <c r="E23" i="91"/>
  <c r="F23" i="91"/>
  <c r="D24" i="91"/>
  <c r="E24" i="91"/>
  <c r="F24" i="91"/>
  <c r="D25" i="91"/>
  <c r="E25" i="91"/>
  <c r="F25" i="91"/>
  <c r="D26" i="91"/>
  <c r="E26" i="91"/>
  <c r="F26" i="91"/>
  <c r="D27" i="91"/>
  <c r="E27" i="91"/>
  <c r="F27" i="91"/>
  <c r="D28" i="91"/>
  <c r="E28" i="91"/>
  <c r="F28" i="91"/>
  <c r="D29" i="91"/>
  <c r="E29" i="91"/>
  <c r="F29" i="91"/>
  <c r="D30" i="91"/>
  <c r="E30" i="91"/>
  <c r="F30" i="91"/>
  <c r="D31" i="91"/>
  <c r="E31" i="91"/>
  <c r="F31" i="91"/>
  <c r="D32" i="91"/>
  <c r="E32" i="91"/>
  <c r="F32" i="91"/>
  <c r="D33" i="91"/>
  <c r="E33" i="91"/>
  <c r="F33" i="91"/>
  <c r="D34" i="91"/>
  <c r="E34" i="91"/>
  <c r="F34" i="91"/>
  <c r="D35" i="91"/>
  <c r="E35" i="91"/>
  <c r="F35" i="91"/>
  <c r="D36" i="91"/>
  <c r="E36" i="91"/>
  <c r="F36" i="91"/>
  <c r="D37" i="91"/>
  <c r="E37" i="91"/>
  <c r="F37" i="91"/>
  <c r="D38" i="91"/>
  <c r="E38" i="91"/>
  <c r="F38" i="91"/>
  <c r="D39" i="91"/>
  <c r="E39" i="91"/>
  <c r="F39" i="91"/>
  <c r="D40" i="91"/>
  <c r="E40" i="91"/>
  <c r="F40" i="91"/>
  <c r="D41" i="91"/>
  <c r="E41" i="91"/>
  <c r="F41" i="91"/>
  <c r="D42" i="91"/>
  <c r="E42" i="91"/>
  <c r="F42" i="91"/>
  <c r="D43" i="91"/>
  <c r="E43" i="91"/>
  <c r="F43" i="91"/>
  <c r="D44" i="91"/>
  <c r="E44" i="91"/>
  <c r="F44" i="91"/>
  <c r="D45" i="91"/>
  <c r="E45" i="91"/>
  <c r="F45" i="91"/>
  <c r="D46" i="91"/>
  <c r="E46" i="91"/>
  <c r="F46" i="91"/>
  <c r="D47" i="91"/>
  <c r="E47" i="91"/>
  <c r="F47" i="91"/>
  <c r="D48" i="91"/>
  <c r="E48" i="91"/>
  <c r="F48" i="91"/>
  <c r="D49" i="91"/>
  <c r="E49" i="91"/>
  <c r="F49" i="91"/>
  <c r="D50" i="91"/>
  <c r="E50" i="91"/>
  <c r="F50" i="91"/>
  <c r="D51" i="91"/>
  <c r="E51" i="91"/>
  <c r="F51" i="91"/>
  <c r="D52" i="91"/>
  <c r="E52" i="91"/>
  <c r="F52" i="91"/>
  <c r="D53" i="91"/>
  <c r="E53" i="91"/>
  <c r="F53" i="91"/>
  <c r="D54" i="91"/>
  <c r="E54" i="91"/>
  <c r="F54" i="91"/>
  <c r="E5" i="91"/>
  <c r="F5" i="91"/>
  <c r="F64" i="91"/>
  <c r="W64" i="91"/>
  <c r="X63" i="91"/>
  <c r="F63" i="91"/>
  <c r="C54" i="91"/>
  <c r="C53" i="91"/>
  <c r="C52" i="91"/>
  <c r="C51" i="91"/>
  <c r="C50" i="91"/>
  <c r="C49" i="91"/>
  <c r="C48" i="91"/>
  <c r="C47" i="91"/>
  <c r="C46" i="91"/>
  <c r="C45" i="91"/>
  <c r="C44" i="91"/>
  <c r="C43" i="91"/>
  <c r="C42" i="91"/>
  <c r="C41" i="91"/>
  <c r="C40" i="91"/>
  <c r="C39" i="91"/>
  <c r="C38" i="91"/>
  <c r="C37" i="91"/>
  <c r="C36" i="91"/>
  <c r="C35" i="91"/>
  <c r="C34" i="91"/>
  <c r="C33" i="91"/>
  <c r="C32" i="91"/>
  <c r="C31" i="91"/>
  <c r="C30" i="91"/>
  <c r="C29" i="91"/>
  <c r="C28" i="91"/>
  <c r="C27" i="91"/>
  <c r="C26" i="91"/>
  <c r="C25" i="91"/>
  <c r="C24" i="91"/>
  <c r="C23" i="91"/>
  <c r="C22" i="91"/>
  <c r="C21" i="91"/>
  <c r="C20" i="91"/>
  <c r="C19" i="91"/>
  <c r="C18" i="91"/>
  <c r="C17" i="91"/>
  <c r="C16" i="91"/>
  <c r="C15" i="91"/>
  <c r="C14" i="91"/>
  <c r="C13" i="91"/>
  <c r="C12" i="91"/>
  <c r="C11" i="91"/>
  <c r="C10" i="91"/>
  <c r="C9" i="91"/>
  <c r="C8" i="91"/>
  <c r="C7" i="91"/>
  <c r="C6" i="91"/>
  <c r="C5" i="91"/>
  <c r="AK4" i="90"/>
  <c r="AJ4" i="90"/>
  <c r="AI4" i="90"/>
  <c r="AC64" i="90"/>
  <c r="K64" i="90"/>
  <c r="AD63" i="90"/>
  <c r="L63" i="90"/>
  <c r="F57" i="90"/>
  <c r="AK53" i="90"/>
  <c r="AJ53" i="90"/>
  <c r="AI53" i="90"/>
  <c r="C53" i="90"/>
  <c r="AK52" i="90"/>
  <c r="AJ52" i="90"/>
  <c r="AI52" i="90"/>
  <c r="C52" i="90"/>
  <c r="AK51" i="90"/>
  <c r="AJ51" i="90"/>
  <c r="AI51" i="90"/>
  <c r="C51" i="90"/>
  <c r="AK50" i="90"/>
  <c r="AJ50" i="90"/>
  <c r="AI50" i="90"/>
  <c r="C50" i="90"/>
  <c r="AK49" i="90"/>
  <c r="AJ49" i="90"/>
  <c r="AI49" i="90"/>
  <c r="C49" i="90"/>
  <c r="AK48" i="90"/>
  <c r="AJ48" i="90"/>
  <c r="AI48" i="90"/>
  <c r="C48" i="90"/>
  <c r="AK47" i="90"/>
  <c r="AJ47" i="90"/>
  <c r="AI47" i="90"/>
  <c r="C47" i="90"/>
  <c r="AK46" i="90"/>
  <c r="AJ46" i="90"/>
  <c r="AI46" i="90"/>
  <c r="C46" i="90"/>
  <c r="AK45" i="90"/>
  <c r="AJ45" i="90"/>
  <c r="AI45" i="90"/>
  <c r="C45" i="90"/>
  <c r="AK44" i="90"/>
  <c r="AJ44" i="90"/>
  <c r="AI44" i="90"/>
  <c r="C44" i="90"/>
  <c r="AK43" i="90"/>
  <c r="AJ43" i="90"/>
  <c r="AI43" i="90"/>
  <c r="C43" i="90"/>
  <c r="AK42" i="90"/>
  <c r="AJ42" i="90"/>
  <c r="AI42" i="90"/>
  <c r="C42" i="90"/>
  <c r="AK41" i="90"/>
  <c r="AJ41" i="90"/>
  <c r="AI41" i="90"/>
  <c r="C41" i="90"/>
  <c r="AK40" i="90"/>
  <c r="AJ40" i="90"/>
  <c r="AI40" i="90"/>
  <c r="C40" i="90"/>
  <c r="AK39" i="90"/>
  <c r="AJ39" i="90"/>
  <c r="AI39" i="90"/>
  <c r="C39" i="90"/>
  <c r="AK38" i="90"/>
  <c r="AJ38" i="90"/>
  <c r="AI38" i="90"/>
  <c r="C38" i="90"/>
  <c r="AK37" i="90"/>
  <c r="AJ37" i="90"/>
  <c r="AI37" i="90"/>
  <c r="C37" i="90"/>
  <c r="AK36" i="90"/>
  <c r="AJ36" i="90"/>
  <c r="AI36" i="90"/>
  <c r="C36" i="90"/>
  <c r="AK35" i="90"/>
  <c r="AJ35" i="90"/>
  <c r="AI35" i="90"/>
  <c r="C35" i="90"/>
  <c r="AK34" i="90"/>
  <c r="AJ34" i="90"/>
  <c r="AI34" i="90"/>
  <c r="C34" i="90"/>
  <c r="AK33" i="90"/>
  <c r="AJ33" i="90"/>
  <c r="AI33" i="90"/>
  <c r="C33" i="90"/>
  <c r="AK32" i="90"/>
  <c r="AJ32" i="90"/>
  <c r="AI32" i="90"/>
  <c r="C32" i="90"/>
  <c r="AK31" i="90"/>
  <c r="AJ31" i="90"/>
  <c r="AI31" i="90"/>
  <c r="C31" i="90"/>
  <c r="AK30" i="90"/>
  <c r="AJ30" i="90"/>
  <c r="AI30" i="90"/>
  <c r="C30" i="90"/>
  <c r="AK29" i="90"/>
  <c r="AJ29" i="90"/>
  <c r="AI29" i="90"/>
  <c r="C29" i="90"/>
  <c r="AK28" i="90"/>
  <c r="AJ28" i="90"/>
  <c r="AI28" i="90"/>
  <c r="C28" i="90"/>
  <c r="AK27" i="90"/>
  <c r="AJ27" i="90"/>
  <c r="AI27" i="90"/>
  <c r="C27" i="90"/>
  <c r="AK26" i="90"/>
  <c r="AJ26" i="90"/>
  <c r="AI26" i="90"/>
  <c r="C26" i="90"/>
  <c r="AK25" i="90"/>
  <c r="AJ25" i="90"/>
  <c r="AI25" i="90"/>
  <c r="C25" i="90"/>
  <c r="AK24" i="90"/>
  <c r="AJ24" i="90"/>
  <c r="AI24" i="90"/>
  <c r="C24" i="90"/>
  <c r="AK23" i="90"/>
  <c r="AJ23" i="90"/>
  <c r="AI23" i="90"/>
  <c r="C23" i="90"/>
  <c r="AK22" i="90"/>
  <c r="AJ22" i="90"/>
  <c r="AI22" i="90"/>
  <c r="C22" i="90"/>
  <c r="AK21" i="90"/>
  <c r="AJ21" i="90"/>
  <c r="AI21" i="90"/>
  <c r="C21" i="90"/>
  <c r="AK20" i="90"/>
  <c r="AJ20" i="90"/>
  <c r="AI20" i="90"/>
  <c r="C20" i="90"/>
  <c r="AK19" i="90"/>
  <c r="AJ19" i="90"/>
  <c r="AI19" i="90"/>
  <c r="C19" i="90"/>
  <c r="AK18" i="90"/>
  <c r="AJ18" i="90"/>
  <c r="AI18" i="90"/>
  <c r="C18" i="90"/>
  <c r="AK17" i="90"/>
  <c r="AJ17" i="90"/>
  <c r="AI17" i="90"/>
  <c r="C17" i="90"/>
  <c r="AK16" i="90"/>
  <c r="AJ16" i="90"/>
  <c r="AI16" i="90"/>
  <c r="C16" i="90"/>
  <c r="AK15" i="90"/>
  <c r="AJ15" i="90"/>
  <c r="AI15" i="90"/>
  <c r="C15" i="90"/>
  <c r="AK14" i="90"/>
  <c r="AJ14" i="90"/>
  <c r="AI14" i="90"/>
  <c r="C14" i="90"/>
  <c r="AK13" i="90"/>
  <c r="AJ13" i="90"/>
  <c r="AI13" i="90"/>
  <c r="C13" i="90"/>
  <c r="AK12" i="90"/>
  <c r="AJ12" i="90"/>
  <c r="AI12" i="90"/>
  <c r="C12" i="90"/>
  <c r="AK11" i="90"/>
  <c r="AJ11" i="90"/>
  <c r="AI11" i="90"/>
  <c r="C11" i="90"/>
  <c r="AK10" i="90"/>
  <c r="AJ10" i="90"/>
  <c r="AI10" i="90"/>
  <c r="C10" i="90"/>
  <c r="AK9" i="90"/>
  <c r="AJ9" i="90"/>
  <c r="AI9" i="90"/>
  <c r="C9" i="90"/>
  <c r="AK8" i="90"/>
  <c r="AJ8" i="90"/>
  <c r="AI8" i="90"/>
  <c r="C8" i="90"/>
  <c r="AK7" i="90"/>
  <c r="AJ7" i="90"/>
  <c r="AI7" i="90"/>
  <c r="C7" i="90"/>
  <c r="AK6" i="90"/>
  <c r="AJ6" i="90"/>
  <c r="AI6" i="90"/>
  <c r="C6" i="90"/>
  <c r="AK5" i="90"/>
  <c r="AK54" i="90" s="1"/>
  <c r="D62" i="90" s="1"/>
  <c r="AJ5" i="90"/>
  <c r="AJ54" i="90" s="1"/>
  <c r="D61" i="90" s="1"/>
  <c r="AI5" i="90"/>
  <c r="C5" i="90"/>
  <c r="C4" i="90"/>
  <c r="AK4" i="89"/>
  <c r="AJ4" i="89"/>
  <c r="AI4" i="89"/>
  <c r="AC64" i="89"/>
  <c r="K64" i="89"/>
  <c r="AD63" i="89"/>
  <c r="L63" i="89"/>
  <c r="F57" i="89"/>
  <c r="AK53" i="89"/>
  <c r="AJ53" i="89"/>
  <c r="AI53" i="89"/>
  <c r="C53" i="89"/>
  <c r="AK52" i="89"/>
  <c r="AJ52" i="89"/>
  <c r="AI52" i="89"/>
  <c r="C52" i="89"/>
  <c r="AK51" i="89"/>
  <c r="AJ51" i="89"/>
  <c r="AI51" i="89"/>
  <c r="C51" i="89"/>
  <c r="AK50" i="89"/>
  <c r="AJ50" i="89"/>
  <c r="AI50" i="89"/>
  <c r="C50" i="89"/>
  <c r="AK49" i="89"/>
  <c r="AJ49" i="89"/>
  <c r="AI49" i="89"/>
  <c r="C49" i="89"/>
  <c r="AK48" i="89"/>
  <c r="AJ48" i="89"/>
  <c r="AI48" i="89"/>
  <c r="C48" i="89"/>
  <c r="AK47" i="89"/>
  <c r="AJ47" i="89"/>
  <c r="AI47" i="89"/>
  <c r="C47" i="89"/>
  <c r="AK46" i="89"/>
  <c r="AJ46" i="89"/>
  <c r="AI46" i="89"/>
  <c r="C46" i="89"/>
  <c r="AK45" i="89"/>
  <c r="AJ45" i="89"/>
  <c r="AI45" i="89"/>
  <c r="C45" i="89"/>
  <c r="AK44" i="89"/>
  <c r="AJ44" i="89"/>
  <c r="AI44" i="89"/>
  <c r="C44" i="89"/>
  <c r="AK43" i="89"/>
  <c r="AJ43" i="89"/>
  <c r="AI43" i="89"/>
  <c r="C43" i="89"/>
  <c r="AK42" i="89"/>
  <c r="AJ42" i="89"/>
  <c r="AI42" i="89"/>
  <c r="C42" i="89"/>
  <c r="AK41" i="89"/>
  <c r="AJ41" i="89"/>
  <c r="AI41" i="89"/>
  <c r="C41" i="89"/>
  <c r="AK40" i="89"/>
  <c r="AJ40" i="89"/>
  <c r="AI40" i="89"/>
  <c r="C40" i="89"/>
  <c r="AK39" i="89"/>
  <c r="AJ39" i="89"/>
  <c r="AI39" i="89"/>
  <c r="C39" i="89"/>
  <c r="AK38" i="89"/>
  <c r="AJ38" i="89"/>
  <c r="AI38" i="89"/>
  <c r="C38" i="89"/>
  <c r="AK37" i="89"/>
  <c r="AJ37" i="89"/>
  <c r="AI37" i="89"/>
  <c r="C37" i="89"/>
  <c r="AK36" i="89"/>
  <c r="AJ36" i="89"/>
  <c r="AI36" i="89"/>
  <c r="C36" i="89"/>
  <c r="AK35" i="89"/>
  <c r="AJ35" i="89"/>
  <c r="AI35" i="89"/>
  <c r="C35" i="89"/>
  <c r="AK34" i="89"/>
  <c r="AJ34" i="89"/>
  <c r="AI34" i="89"/>
  <c r="C34" i="89"/>
  <c r="AK33" i="89"/>
  <c r="AJ33" i="89"/>
  <c r="AI33" i="89"/>
  <c r="C33" i="89"/>
  <c r="AK32" i="89"/>
  <c r="AJ32" i="89"/>
  <c r="AI32" i="89"/>
  <c r="C32" i="89"/>
  <c r="AK31" i="89"/>
  <c r="AJ31" i="89"/>
  <c r="AI31" i="89"/>
  <c r="C31" i="89"/>
  <c r="AK30" i="89"/>
  <c r="AJ30" i="89"/>
  <c r="AI30" i="89"/>
  <c r="C30" i="89"/>
  <c r="AK29" i="89"/>
  <c r="AJ29" i="89"/>
  <c r="AI29" i="89"/>
  <c r="C29" i="89"/>
  <c r="AK28" i="89"/>
  <c r="AJ28" i="89"/>
  <c r="AI28" i="89"/>
  <c r="C28" i="89"/>
  <c r="AK27" i="89"/>
  <c r="AJ27" i="89"/>
  <c r="AI27" i="89"/>
  <c r="C27" i="89"/>
  <c r="AK26" i="89"/>
  <c r="AJ26" i="89"/>
  <c r="AI26" i="89"/>
  <c r="C26" i="89"/>
  <c r="AK25" i="89"/>
  <c r="AJ25" i="89"/>
  <c r="AI25" i="89"/>
  <c r="C25" i="89"/>
  <c r="AK24" i="89"/>
  <c r="AJ24" i="89"/>
  <c r="AI24" i="89"/>
  <c r="C24" i="89"/>
  <c r="AK23" i="89"/>
  <c r="AJ23" i="89"/>
  <c r="AI23" i="89"/>
  <c r="C23" i="89"/>
  <c r="AK22" i="89"/>
  <c r="AJ22" i="89"/>
  <c r="AI22" i="89"/>
  <c r="C22" i="89"/>
  <c r="AK21" i="89"/>
  <c r="AJ21" i="89"/>
  <c r="AI21" i="89"/>
  <c r="C21" i="89"/>
  <c r="AK20" i="89"/>
  <c r="AJ20" i="89"/>
  <c r="AI20" i="89"/>
  <c r="C20" i="89"/>
  <c r="AK19" i="89"/>
  <c r="AJ19" i="89"/>
  <c r="AI19" i="89"/>
  <c r="C19" i="89"/>
  <c r="AK18" i="89"/>
  <c r="AJ18" i="89"/>
  <c r="AI18" i="89"/>
  <c r="C18" i="89"/>
  <c r="AK17" i="89"/>
  <c r="AJ17" i="89"/>
  <c r="AI17" i="89"/>
  <c r="C17" i="89"/>
  <c r="AK16" i="89"/>
  <c r="AJ16" i="89"/>
  <c r="AI16" i="89"/>
  <c r="C16" i="89"/>
  <c r="AK15" i="89"/>
  <c r="AJ15" i="89"/>
  <c r="AI15" i="89"/>
  <c r="C15" i="89"/>
  <c r="AK14" i="89"/>
  <c r="AJ14" i="89"/>
  <c r="AI14" i="89"/>
  <c r="C14" i="89"/>
  <c r="AK13" i="89"/>
  <c r="AJ13" i="89"/>
  <c r="AI13" i="89"/>
  <c r="C13" i="89"/>
  <c r="AK12" i="89"/>
  <c r="AJ12" i="89"/>
  <c r="AI12" i="89"/>
  <c r="C12" i="89"/>
  <c r="AK11" i="89"/>
  <c r="AJ11" i="89"/>
  <c r="AI11" i="89"/>
  <c r="C11" i="89"/>
  <c r="AK10" i="89"/>
  <c r="AJ10" i="89"/>
  <c r="AI10" i="89"/>
  <c r="C10" i="89"/>
  <c r="AK9" i="89"/>
  <c r="AJ9" i="89"/>
  <c r="AI9" i="89"/>
  <c r="C9" i="89"/>
  <c r="AK8" i="89"/>
  <c r="AJ8" i="89"/>
  <c r="AI8" i="89"/>
  <c r="C8" i="89"/>
  <c r="AK7" i="89"/>
  <c r="AJ7" i="89"/>
  <c r="AI7" i="89"/>
  <c r="C7" i="89"/>
  <c r="AK6" i="89"/>
  <c r="AJ6" i="89"/>
  <c r="AI6" i="89"/>
  <c r="C6" i="89"/>
  <c r="AK5" i="89"/>
  <c r="AK54" i="89" s="1"/>
  <c r="D62" i="89" s="1"/>
  <c r="AJ5" i="89"/>
  <c r="AJ54" i="89" s="1"/>
  <c r="D61" i="89" s="1"/>
  <c r="AI5" i="89"/>
  <c r="C5" i="89"/>
  <c r="C4" i="89"/>
  <c r="AK4" i="88"/>
  <c r="AJ4" i="88"/>
  <c r="AI4" i="88"/>
  <c r="AC64" i="88"/>
  <c r="K64" i="88"/>
  <c r="AD63" i="88"/>
  <c r="L63" i="88"/>
  <c r="F57" i="88"/>
  <c r="AK53" i="88"/>
  <c r="AJ53" i="88"/>
  <c r="AI53" i="88"/>
  <c r="C53" i="88"/>
  <c r="AK52" i="88"/>
  <c r="AJ52" i="88"/>
  <c r="AI52" i="88"/>
  <c r="C52" i="88"/>
  <c r="AK51" i="88"/>
  <c r="AJ51" i="88"/>
  <c r="AI51" i="88"/>
  <c r="C51" i="88"/>
  <c r="AK50" i="88"/>
  <c r="AJ50" i="88"/>
  <c r="AI50" i="88"/>
  <c r="C50" i="88"/>
  <c r="AK49" i="88"/>
  <c r="AJ49" i="88"/>
  <c r="AI49" i="88"/>
  <c r="C49" i="88"/>
  <c r="AK48" i="88"/>
  <c r="AJ48" i="88"/>
  <c r="AI48" i="88"/>
  <c r="C48" i="88"/>
  <c r="AK47" i="88"/>
  <c r="AJ47" i="88"/>
  <c r="AI47" i="88"/>
  <c r="C47" i="88"/>
  <c r="AK46" i="88"/>
  <c r="AJ46" i="88"/>
  <c r="AI46" i="88"/>
  <c r="C46" i="88"/>
  <c r="AK45" i="88"/>
  <c r="AJ45" i="88"/>
  <c r="AI45" i="88"/>
  <c r="C45" i="88"/>
  <c r="AK44" i="88"/>
  <c r="AJ44" i="88"/>
  <c r="AI44" i="88"/>
  <c r="C44" i="88"/>
  <c r="AK43" i="88"/>
  <c r="AJ43" i="88"/>
  <c r="AI43" i="88"/>
  <c r="C43" i="88"/>
  <c r="AK42" i="88"/>
  <c r="AJ42" i="88"/>
  <c r="AI42" i="88"/>
  <c r="C42" i="88"/>
  <c r="AK41" i="88"/>
  <c r="AJ41" i="88"/>
  <c r="AI41" i="88"/>
  <c r="C41" i="88"/>
  <c r="AK40" i="88"/>
  <c r="AJ40" i="88"/>
  <c r="AI40" i="88"/>
  <c r="C40" i="88"/>
  <c r="AK39" i="88"/>
  <c r="AJ39" i="88"/>
  <c r="AI39" i="88"/>
  <c r="C39" i="88"/>
  <c r="AK38" i="88"/>
  <c r="AJ38" i="88"/>
  <c r="AI38" i="88"/>
  <c r="C38" i="88"/>
  <c r="AK37" i="88"/>
  <c r="AJ37" i="88"/>
  <c r="AI37" i="88"/>
  <c r="C37" i="88"/>
  <c r="AK36" i="88"/>
  <c r="AJ36" i="88"/>
  <c r="AI36" i="88"/>
  <c r="C36" i="88"/>
  <c r="AK35" i="88"/>
  <c r="AJ35" i="88"/>
  <c r="AI35" i="88"/>
  <c r="C35" i="88"/>
  <c r="AK34" i="88"/>
  <c r="AJ34" i="88"/>
  <c r="AI34" i="88"/>
  <c r="C34" i="88"/>
  <c r="AK33" i="88"/>
  <c r="AJ33" i="88"/>
  <c r="AI33" i="88"/>
  <c r="C33" i="88"/>
  <c r="AK32" i="88"/>
  <c r="AJ32" i="88"/>
  <c r="AI32" i="88"/>
  <c r="C32" i="88"/>
  <c r="AK31" i="88"/>
  <c r="AJ31" i="88"/>
  <c r="AI31" i="88"/>
  <c r="C31" i="88"/>
  <c r="AK30" i="88"/>
  <c r="AJ30" i="88"/>
  <c r="AI30" i="88"/>
  <c r="C30" i="88"/>
  <c r="AK29" i="88"/>
  <c r="AJ29" i="88"/>
  <c r="AI29" i="88"/>
  <c r="C29" i="88"/>
  <c r="AK28" i="88"/>
  <c r="AJ28" i="88"/>
  <c r="AI28" i="88"/>
  <c r="C28" i="88"/>
  <c r="AK27" i="88"/>
  <c r="AJ27" i="88"/>
  <c r="AI27" i="88"/>
  <c r="C27" i="88"/>
  <c r="AK26" i="88"/>
  <c r="AJ26" i="88"/>
  <c r="AI26" i="88"/>
  <c r="C26" i="88"/>
  <c r="AK25" i="88"/>
  <c r="AJ25" i="88"/>
  <c r="AI25" i="88"/>
  <c r="C25" i="88"/>
  <c r="AK24" i="88"/>
  <c r="AJ24" i="88"/>
  <c r="AI24" i="88"/>
  <c r="C24" i="88"/>
  <c r="AK23" i="88"/>
  <c r="AJ23" i="88"/>
  <c r="AI23" i="88"/>
  <c r="C23" i="88"/>
  <c r="AK22" i="88"/>
  <c r="AJ22" i="88"/>
  <c r="AI22" i="88"/>
  <c r="C22" i="88"/>
  <c r="AK21" i="88"/>
  <c r="AJ21" i="88"/>
  <c r="AI21" i="88"/>
  <c r="C21" i="88"/>
  <c r="AK20" i="88"/>
  <c r="AJ20" i="88"/>
  <c r="AI20" i="88"/>
  <c r="C20" i="88"/>
  <c r="AK19" i="88"/>
  <c r="AJ19" i="88"/>
  <c r="AI19" i="88"/>
  <c r="C19" i="88"/>
  <c r="AK18" i="88"/>
  <c r="AJ18" i="88"/>
  <c r="AI18" i="88"/>
  <c r="C18" i="88"/>
  <c r="AK17" i="88"/>
  <c r="AJ17" i="88"/>
  <c r="AI17" i="88"/>
  <c r="C17" i="88"/>
  <c r="AK16" i="88"/>
  <c r="AJ16" i="88"/>
  <c r="AI16" i="88"/>
  <c r="C16" i="88"/>
  <c r="AK15" i="88"/>
  <c r="AJ15" i="88"/>
  <c r="AI15" i="88"/>
  <c r="C15" i="88"/>
  <c r="AK14" i="88"/>
  <c r="AJ14" i="88"/>
  <c r="AI14" i="88"/>
  <c r="C14" i="88"/>
  <c r="AK13" i="88"/>
  <c r="AJ13" i="88"/>
  <c r="AI13" i="88"/>
  <c r="C13" i="88"/>
  <c r="AK12" i="88"/>
  <c r="AJ12" i="88"/>
  <c r="AI12" i="88"/>
  <c r="C12" i="88"/>
  <c r="AK11" i="88"/>
  <c r="AJ11" i="88"/>
  <c r="AI11" i="88"/>
  <c r="C11" i="88"/>
  <c r="AK10" i="88"/>
  <c r="AJ10" i="88"/>
  <c r="AI10" i="88"/>
  <c r="C10" i="88"/>
  <c r="AK9" i="88"/>
  <c r="AJ9" i="88"/>
  <c r="AI9" i="88"/>
  <c r="C9" i="88"/>
  <c r="AK8" i="88"/>
  <c r="AJ8" i="88"/>
  <c r="AI8" i="88"/>
  <c r="C8" i="88"/>
  <c r="AK7" i="88"/>
  <c r="AJ7" i="88"/>
  <c r="AI7" i="88"/>
  <c r="C7" i="88"/>
  <c r="AK6" i="88"/>
  <c r="AJ6" i="88"/>
  <c r="AI6" i="88"/>
  <c r="C6" i="88"/>
  <c r="AK5" i="88"/>
  <c r="AJ5" i="88"/>
  <c r="AI5" i="88"/>
  <c r="C5" i="88"/>
  <c r="C4" i="88"/>
  <c r="AK4" i="87"/>
  <c r="AJ4" i="87"/>
  <c r="AI4" i="87"/>
  <c r="AC64" i="87"/>
  <c r="K64" i="87"/>
  <c r="AD63" i="87"/>
  <c r="L63" i="87"/>
  <c r="F57" i="87"/>
  <c r="AK53" i="87"/>
  <c r="AJ53" i="87"/>
  <c r="AI53" i="87"/>
  <c r="C53" i="87"/>
  <c r="AK52" i="87"/>
  <c r="AJ52" i="87"/>
  <c r="AI52" i="87"/>
  <c r="C52" i="87"/>
  <c r="AK51" i="87"/>
  <c r="AJ51" i="87"/>
  <c r="AI51" i="87"/>
  <c r="C51" i="87"/>
  <c r="AK50" i="87"/>
  <c r="AJ50" i="87"/>
  <c r="AI50" i="87"/>
  <c r="C50" i="87"/>
  <c r="AK49" i="87"/>
  <c r="AJ49" i="87"/>
  <c r="AI49" i="87"/>
  <c r="C49" i="87"/>
  <c r="AK48" i="87"/>
  <c r="AJ48" i="87"/>
  <c r="AI48" i="87"/>
  <c r="C48" i="87"/>
  <c r="AK47" i="87"/>
  <c r="AJ47" i="87"/>
  <c r="AI47" i="87"/>
  <c r="C47" i="87"/>
  <c r="AK46" i="87"/>
  <c r="AJ46" i="87"/>
  <c r="AI46" i="87"/>
  <c r="C46" i="87"/>
  <c r="AK45" i="87"/>
  <c r="AJ45" i="87"/>
  <c r="AI45" i="87"/>
  <c r="C45" i="87"/>
  <c r="AK44" i="87"/>
  <c r="AJ44" i="87"/>
  <c r="AI44" i="87"/>
  <c r="C44" i="87"/>
  <c r="AK43" i="87"/>
  <c r="AJ43" i="87"/>
  <c r="AI43" i="87"/>
  <c r="C43" i="87"/>
  <c r="AK42" i="87"/>
  <c r="AJ42" i="87"/>
  <c r="AI42" i="87"/>
  <c r="C42" i="87"/>
  <c r="AK41" i="87"/>
  <c r="AJ41" i="87"/>
  <c r="AI41" i="87"/>
  <c r="C41" i="87"/>
  <c r="AK40" i="87"/>
  <c r="AJ40" i="87"/>
  <c r="AI40" i="87"/>
  <c r="C40" i="87"/>
  <c r="AK39" i="87"/>
  <c r="AJ39" i="87"/>
  <c r="AI39" i="87"/>
  <c r="C39" i="87"/>
  <c r="AK38" i="87"/>
  <c r="AJ38" i="87"/>
  <c r="AI38" i="87"/>
  <c r="C38" i="87"/>
  <c r="AK37" i="87"/>
  <c r="AJ37" i="87"/>
  <c r="AI37" i="87"/>
  <c r="C37" i="87"/>
  <c r="AK36" i="87"/>
  <c r="AJ36" i="87"/>
  <c r="AI36" i="87"/>
  <c r="C36" i="87"/>
  <c r="AK35" i="87"/>
  <c r="AJ35" i="87"/>
  <c r="AI35" i="87"/>
  <c r="C35" i="87"/>
  <c r="AK34" i="87"/>
  <c r="AJ34" i="87"/>
  <c r="AI34" i="87"/>
  <c r="C34" i="87"/>
  <c r="AK33" i="87"/>
  <c r="AJ33" i="87"/>
  <c r="AI33" i="87"/>
  <c r="C33" i="87"/>
  <c r="AK32" i="87"/>
  <c r="AJ32" i="87"/>
  <c r="AI32" i="87"/>
  <c r="C32" i="87"/>
  <c r="AK31" i="87"/>
  <c r="AJ31" i="87"/>
  <c r="AI31" i="87"/>
  <c r="C31" i="87"/>
  <c r="AK30" i="87"/>
  <c r="AJ30" i="87"/>
  <c r="AI30" i="87"/>
  <c r="C30" i="87"/>
  <c r="AK29" i="87"/>
  <c r="AJ29" i="87"/>
  <c r="AI29" i="87"/>
  <c r="C29" i="87"/>
  <c r="AK28" i="87"/>
  <c r="AJ28" i="87"/>
  <c r="AI28" i="87"/>
  <c r="C28" i="87"/>
  <c r="AK27" i="87"/>
  <c r="AJ27" i="87"/>
  <c r="AI27" i="87"/>
  <c r="C27" i="87"/>
  <c r="AK26" i="87"/>
  <c r="AJ26" i="87"/>
  <c r="AI26" i="87"/>
  <c r="C26" i="87"/>
  <c r="AK25" i="87"/>
  <c r="AJ25" i="87"/>
  <c r="AI25" i="87"/>
  <c r="C25" i="87"/>
  <c r="AK24" i="87"/>
  <c r="AJ24" i="87"/>
  <c r="AI24" i="87"/>
  <c r="C24" i="87"/>
  <c r="AK23" i="87"/>
  <c r="AJ23" i="87"/>
  <c r="AI23" i="87"/>
  <c r="C23" i="87"/>
  <c r="AK22" i="87"/>
  <c r="AJ22" i="87"/>
  <c r="AI22" i="87"/>
  <c r="C22" i="87"/>
  <c r="AK21" i="87"/>
  <c r="AJ21" i="87"/>
  <c r="AI21" i="87"/>
  <c r="C21" i="87"/>
  <c r="AK20" i="87"/>
  <c r="AJ20" i="87"/>
  <c r="AI20" i="87"/>
  <c r="C20" i="87"/>
  <c r="AK19" i="87"/>
  <c r="AJ19" i="87"/>
  <c r="AI19" i="87"/>
  <c r="C19" i="87"/>
  <c r="AK18" i="87"/>
  <c r="AJ18" i="87"/>
  <c r="AI18" i="87"/>
  <c r="C18" i="87"/>
  <c r="AK17" i="87"/>
  <c r="AJ17" i="87"/>
  <c r="AI17" i="87"/>
  <c r="C17" i="87"/>
  <c r="AK16" i="87"/>
  <c r="AJ16" i="87"/>
  <c r="AI16" i="87"/>
  <c r="C16" i="87"/>
  <c r="AK15" i="87"/>
  <c r="AJ15" i="87"/>
  <c r="AI15" i="87"/>
  <c r="C15" i="87"/>
  <c r="AK14" i="87"/>
  <c r="AJ14" i="87"/>
  <c r="AI14" i="87"/>
  <c r="C14" i="87"/>
  <c r="AK13" i="87"/>
  <c r="AJ13" i="87"/>
  <c r="AI13" i="87"/>
  <c r="C13" i="87"/>
  <c r="AK12" i="87"/>
  <c r="AJ12" i="87"/>
  <c r="AI12" i="87"/>
  <c r="C12" i="87"/>
  <c r="AK11" i="87"/>
  <c r="AJ11" i="87"/>
  <c r="AI11" i="87"/>
  <c r="C11" i="87"/>
  <c r="AK10" i="87"/>
  <c r="AJ10" i="87"/>
  <c r="AI10" i="87"/>
  <c r="C10" i="87"/>
  <c r="AK9" i="87"/>
  <c r="AJ9" i="87"/>
  <c r="AI9" i="87"/>
  <c r="C9" i="87"/>
  <c r="AK8" i="87"/>
  <c r="AJ8" i="87"/>
  <c r="AI8" i="87"/>
  <c r="C8" i="87"/>
  <c r="AK7" i="87"/>
  <c r="AJ7" i="87"/>
  <c r="AI7" i="87"/>
  <c r="C7" i="87"/>
  <c r="AK6" i="87"/>
  <c r="AJ6" i="87"/>
  <c r="AI6" i="87"/>
  <c r="C6" i="87"/>
  <c r="AK5" i="87"/>
  <c r="AK54" i="87" s="1"/>
  <c r="AJ5" i="87"/>
  <c r="AJ54" i="87" s="1"/>
  <c r="AI5" i="87"/>
  <c r="C5" i="87"/>
  <c r="C4" i="87"/>
  <c r="F57" i="85"/>
  <c r="F57" i="86"/>
  <c r="AC64" i="86"/>
  <c r="K64" i="86"/>
  <c r="AD63" i="86"/>
  <c r="L63" i="86"/>
  <c r="AK53" i="86"/>
  <c r="AJ53" i="86"/>
  <c r="AI53" i="86"/>
  <c r="C53" i="86"/>
  <c r="AK52" i="86"/>
  <c r="AJ52" i="86"/>
  <c r="AI52" i="86"/>
  <c r="C52" i="86"/>
  <c r="AK51" i="86"/>
  <c r="AJ51" i="86"/>
  <c r="AI51" i="86"/>
  <c r="C51" i="86"/>
  <c r="AK50" i="86"/>
  <c r="AJ50" i="86"/>
  <c r="AI50" i="86"/>
  <c r="C50" i="86"/>
  <c r="AK49" i="86"/>
  <c r="AJ49" i="86"/>
  <c r="AI49" i="86"/>
  <c r="C49" i="86"/>
  <c r="AK48" i="86"/>
  <c r="AJ48" i="86"/>
  <c r="AI48" i="86"/>
  <c r="C48" i="86"/>
  <c r="AK47" i="86"/>
  <c r="AJ47" i="86"/>
  <c r="AI47" i="86"/>
  <c r="C47" i="86"/>
  <c r="AK46" i="86"/>
  <c r="AJ46" i="86"/>
  <c r="AI46" i="86"/>
  <c r="C46" i="86"/>
  <c r="AK45" i="86"/>
  <c r="AJ45" i="86"/>
  <c r="AI45" i="86"/>
  <c r="C45" i="86"/>
  <c r="AK44" i="86"/>
  <c r="AJ44" i="86"/>
  <c r="AI44" i="86"/>
  <c r="C44" i="86"/>
  <c r="AK43" i="86"/>
  <c r="AJ43" i="86"/>
  <c r="AI43" i="86"/>
  <c r="C43" i="86"/>
  <c r="AK42" i="86"/>
  <c r="AJ42" i="86"/>
  <c r="AI42" i="86"/>
  <c r="C42" i="86"/>
  <c r="AK41" i="86"/>
  <c r="AJ41" i="86"/>
  <c r="AI41" i="86"/>
  <c r="C41" i="86"/>
  <c r="AK40" i="86"/>
  <c r="AJ40" i="86"/>
  <c r="AI40" i="86"/>
  <c r="C40" i="86"/>
  <c r="AK39" i="86"/>
  <c r="AJ39" i="86"/>
  <c r="AI39" i="86"/>
  <c r="C39" i="86"/>
  <c r="AK38" i="86"/>
  <c r="AJ38" i="86"/>
  <c r="AI38" i="86"/>
  <c r="C38" i="86"/>
  <c r="AK37" i="86"/>
  <c r="AJ37" i="86"/>
  <c r="AI37" i="86"/>
  <c r="C37" i="86"/>
  <c r="AK36" i="86"/>
  <c r="AJ36" i="86"/>
  <c r="AI36" i="86"/>
  <c r="C36" i="86"/>
  <c r="AK35" i="86"/>
  <c r="AJ35" i="86"/>
  <c r="AI35" i="86"/>
  <c r="C35" i="86"/>
  <c r="AK34" i="86"/>
  <c r="AJ34" i="86"/>
  <c r="AI34" i="86"/>
  <c r="C34" i="86"/>
  <c r="AK33" i="86"/>
  <c r="AJ33" i="86"/>
  <c r="AI33" i="86"/>
  <c r="C33" i="86"/>
  <c r="AK32" i="86"/>
  <c r="AJ32" i="86"/>
  <c r="AI32" i="86"/>
  <c r="C32" i="86"/>
  <c r="AK31" i="86"/>
  <c r="AJ31" i="86"/>
  <c r="AI31" i="86"/>
  <c r="C31" i="86"/>
  <c r="AK30" i="86"/>
  <c r="AJ30" i="86"/>
  <c r="AI30" i="86"/>
  <c r="C30" i="86"/>
  <c r="AK29" i="86"/>
  <c r="AJ29" i="86"/>
  <c r="AI29" i="86"/>
  <c r="C29" i="86"/>
  <c r="AK28" i="86"/>
  <c r="AJ28" i="86"/>
  <c r="AI28" i="86"/>
  <c r="C28" i="86"/>
  <c r="AK27" i="86"/>
  <c r="AJ27" i="86"/>
  <c r="AI27" i="86"/>
  <c r="C27" i="86"/>
  <c r="AK26" i="86"/>
  <c r="AJ26" i="86"/>
  <c r="AI26" i="86"/>
  <c r="C26" i="86"/>
  <c r="AK25" i="86"/>
  <c r="AJ25" i="86"/>
  <c r="AI25" i="86"/>
  <c r="C25" i="86"/>
  <c r="AK24" i="86"/>
  <c r="AJ24" i="86"/>
  <c r="AI24" i="86"/>
  <c r="C24" i="86"/>
  <c r="AK23" i="86"/>
  <c r="AJ23" i="86"/>
  <c r="AI23" i="86"/>
  <c r="C23" i="86"/>
  <c r="AK22" i="86"/>
  <c r="AJ22" i="86"/>
  <c r="AI22" i="86"/>
  <c r="C22" i="86"/>
  <c r="AK21" i="86"/>
  <c r="AJ21" i="86"/>
  <c r="AI21" i="86"/>
  <c r="C21" i="86"/>
  <c r="AK20" i="86"/>
  <c r="AJ20" i="86"/>
  <c r="AI20" i="86"/>
  <c r="C20" i="86"/>
  <c r="AK19" i="86"/>
  <c r="AJ19" i="86"/>
  <c r="AI19" i="86"/>
  <c r="C19" i="86"/>
  <c r="AK18" i="86"/>
  <c r="AJ18" i="86"/>
  <c r="AI18" i="86"/>
  <c r="C18" i="86"/>
  <c r="AK17" i="86"/>
  <c r="AJ17" i="86"/>
  <c r="AI17" i="86"/>
  <c r="C17" i="86"/>
  <c r="AK16" i="86"/>
  <c r="AJ16" i="86"/>
  <c r="AI16" i="86"/>
  <c r="C16" i="86"/>
  <c r="AK15" i="86"/>
  <c r="AJ15" i="86"/>
  <c r="AI15" i="86"/>
  <c r="C15" i="86"/>
  <c r="AK14" i="86"/>
  <c r="AJ14" i="86"/>
  <c r="AI14" i="86"/>
  <c r="C14" i="86"/>
  <c r="AK13" i="86"/>
  <c r="AJ13" i="86"/>
  <c r="AI13" i="86"/>
  <c r="C13" i="86"/>
  <c r="AK12" i="86"/>
  <c r="AJ12" i="86"/>
  <c r="AI12" i="86"/>
  <c r="C12" i="86"/>
  <c r="AK11" i="86"/>
  <c r="AJ11" i="86"/>
  <c r="AI11" i="86"/>
  <c r="C11" i="86"/>
  <c r="AK10" i="86"/>
  <c r="AJ10" i="86"/>
  <c r="AI10" i="86"/>
  <c r="C10" i="86"/>
  <c r="AK9" i="86"/>
  <c r="AJ9" i="86"/>
  <c r="AI9" i="86"/>
  <c r="C9" i="86"/>
  <c r="AK8" i="86"/>
  <c r="AJ8" i="86"/>
  <c r="AI8" i="86"/>
  <c r="C8" i="86"/>
  <c r="AK7" i="86"/>
  <c r="AJ7" i="86"/>
  <c r="AI7" i="86"/>
  <c r="C7" i="86"/>
  <c r="AK6" i="86"/>
  <c r="AJ6" i="86"/>
  <c r="AI6" i="86"/>
  <c r="C6" i="86"/>
  <c r="AK5" i="86"/>
  <c r="AJ5" i="86"/>
  <c r="AI5" i="86"/>
  <c r="C5" i="86"/>
  <c r="AK4" i="86"/>
  <c r="AJ4" i="86"/>
  <c r="AI4" i="86"/>
  <c r="C4" i="86"/>
  <c r="K64" i="85"/>
  <c r="L63" i="85"/>
  <c r="AC64" i="85"/>
  <c r="AD63" i="85"/>
  <c r="AI32" i="85"/>
  <c r="AJ32" i="85"/>
  <c r="AK32" i="85"/>
  <c r="AI33" i="85"/>
  <c r="AJ33" i="85"/>
  <c r="AK33" i="85"/>
  <c r="AI34" i="85"/>
  <c r="AJ34" i="85"/>
  <c r="AK34" i="85"/>
  <c r="AI35" i="85"/>
  <c r="AJ35" i="85"/>
  <c r="AK35" i="85"/>
  <c r="AI36" i="85"/>
  <c r="AJ36" i="85"/>
  <c r="AK36" i="85"/>
  <c r="AI37" i="85"/>
  <c r="AJ37" i="85"/>
  <c r="AK37" i="85"/>
  <c r="AI38" i="85"/>
  <c r="AJ38" i="85"/>
  <c r="AK38" i="85"/>
  <c r="AI39" i="85"/>
  <c r="AJ39" i="85"/>
  <c r="AK39" i="85"/>
  <c r="AI40" i="85"/>
  <c r="AJ40" i="85"/>
  <c r="AK40" i="85"/>
  <c r="AI41" i="85"/>
  <c r="AJ41" i="85"/>
  <c r="AK41" i="85"/>
  <c r="AI42" i="85"/>
  <c r="AJ42" i="85"/>
  <c r="AK42" i="85"/>
  <c r="AI43" i="85"/>
  <c r="AJ43" i="85"/>
  <c r="AK43" i="85"/>
  <c r="AI44" i="85"/>
  <c r="AJ44" i="85"/>
  <c r="AK44" i="85"/>
  <c r="AI45" i="85"/>
  <c r="AJ45" i="85"/>
  <c r="AK45" i="85"/>
  <c r="AI46" i="85"/>
  <c r="AJ46" i="85"/>
  <c r="AK46" i="85"/>
  <c r="AI47" i="85"/>
  <c r="AJ47" i="85"/>
  <c r="AK47" i="85"/>
  <c r="AI48" i="85"/>
  <c r="AJ48" i="85"/>
  <c r="AK48" i="85"/>
  <c r="AI49" i="85"/>
  <c r="AJ49" i="85"/>
  <c r="AK49" i="85"/>
  <c r="AI50" i="85"/>
  <c r="AJ50" i="85"/>
  <c r="AK50" i="85"/>
  <c r="AI51" i="85"/>
  <c r="AJ51" i="85"/>
  <c r="AK51" i="85"/>
  <c r="AI52" i="85"/>
  <c r="AJ52" i="85"/>
  <c r="AK52" i="85"/>
  <c r="AI53" i="85"/>
  <c r="AJ53" i="85"/>
  <c r="AK53" i="85"/>
  <c r="C32" i="85"/>
  <c r="C33" i="85"/>
  <c r="C34" i="85"/>
  <c r="C35" i="85"/>
  <c r="C36" i="85"/>
  <c r="C37" i="85"/>
  <c r="C38" i="85"/>
  <c r="C39" i="85"/>
  <c r="C40" i="85"/>
  <c r="C41" i="85"/>
  <c r="C42" i="85"/>
  <c r="C43" i="85"/>
  <c r="C44" i="85"/>
  <c r="C45" i="85"/>
  <c r="C46" i="85"/>
  <c r="C47" i="85"/>
  <c r="C48" i="85"/>
  <c r="C49" i="85"/>
  <c r="C50" i="85"/>
  <c r="C51" i="85"/>
  <c r="C52" i="85"/>
  <c r="C53" i="85"/>
  <c r="C5" i="85"/>
  <c r="C6" i="85"/>
  <c r="C7" i="85"/>
  <c r="C8" i="85"/>
  <c r="C9" i="85"/>
  <c r="C10" i="85"/>
  <c r="C11" i="85"/>
  <c r="C12" i="85"/>
  <c r="C13" i="85"/>
  <c r="C14" i="85"/>
  <c r="C15" i="85"/>
  <c r="C16" i="85"/>
  <c r="C17" i="85"/>
  <c r="C18" i="85"/>
  <c r="C19" i="85"/>
  <c r="C20" i="85"/>
  <c r="C21" i="85"/>
  <c r="C22" i="85"/>
  <c r="C23" i="85"/>
  <c r="C24" i="85"/>
  <c r="C25" i="85"/>
  <c r="C26" i="85"/>
  <c r="C27" i="85"/>
  <c r="C28" i="85"/>
  <c r="C29" i="85"/>
  <c r="C30" i="85"/>
  <c r="C31" i="85"/>
  <c r="C4" i="85"/>
  <c r="AK31" i="85"/>
  <c r="AJ31" i="85"/>
  <c r="AI31" i="85"/>
  <c r="AK30" i="85"/>
  <c r="AJ30" i="85"/>
  <c r="AI30" i="85"/>
  <c r="AK29" i="85"/>
  <c r="AJ29" i="85"/>
  <c r="AI29" i="85"/>
  <c r="AK28" i="85"/>
  <c r="AJ28" i="85"/>
  <c r="AI28" i="85"/>
  <c r="AK27" i="85"/>
  <c r="AJ27" i="85"/>
  <c r="AI27" i="85"/>
  <c r="AK26" i="85"/>
  <c r="AJ26" i="85"/>
  <c r="AI26" i="85"/>
  <c r="AK25" i="85"/>
  <c r="AJ25" i="85"/>
  <c r="AI25" i="85"/>
  <c r="AK24" i="85"/>
  <c r="AJ24" i="85"/>
  <c r="AI24" i="85"/>
  <c r="AK23" i="85"/>
  <c r="AJ23" i="85"/>
  <c r="AI23" i="85"/>
  <c r="AK22" i="85"/>
  <c r="AJ22" i="85"/>
  <c r="AI22" i="85"/>
  <c r="AK21" i="85"/>
  <c r="AJ21" i="85"/>
  <c r="AI21" i="85"/>
  <c r="AK20" i="85"/>
  <c r="AJ20" i="85"/>
  <c r="AI20" i="85"/>
  <c r="AK19" i="85"/>
  <c r="AJ19" i="85"/>
  <c r="AI19" i="85"/>
  <c r="AK18" i="85"/>
  <c r="AJ18" i="85"/>
  <c r="AI18" i="85"/>
  <c r="AK17" i="85"/>
  <c r="AJ17" i="85"/>
  <c r="AI17" i="85"/>
  <c r="AK16" i="85"/>
  <c r="AJ16" i="85"/>
  <c r="AI16" i="85"/>
  <c r="AK15" i="85"/>
  <c r="AJ15" i="85"/>
  <c r="AI15" i="85"/>
  <c r="AK14" i="85"/>
  <c r="AJ14" i="85"/>
  <c r="AI14" i="85"/>
  <c r="AK13" i="85"/>
  <c r="AJ13" i="85"/>
  <c r="AI13" i="85"/>
  <c r="AK12" i="85"/>
  <c r="AJ12" i="85"/>
  <c r="AI12" i="85"/>
  <c r="AK11" i="85"/>
  <c r="AJ11" i="85"/>
  <c r="AI11" i="85"/>
  <c r="AK10" i="85"/>
  <c r="AJ10" i="85"/>
  <c r="AI10" i="85"/>
  <c r="AK9" i="85"/>
  <c r="AJ9" i="85"/>
  <c r="AI9" i="85"/>
  <c r="AK8" i="85"/>
  <c r="AJ8" i="85"/>
  <c r="AI8" i="85"/>
  <c r="AK7" i="85"/>
  <c r="AJ7" i="85"/>
  <c r="AI7" i="85"/>
  <c r="AK6" i="85"/>
  <c r="AJ6" i="85"/>
  <c r="AI6" i="85"/>
  <c r="AK5" i="85"/>
  <c r="AJ5" i="85"/>
  <c r="AI5" i="85"/>
  <c r="AK4" i="85"/>
  <c r="AJ4" i="85"/>
  <c r="AI4" i="85"/>
  <c r="AB5" i="91" l="1"/>
  <c r="AD5" i="91"/>
  <c r="AC5" i="91"/>
  <c r="AD53" i="91"/>
  <c r="AC52" i="91"/>
  <c r="AB51" i="91"/>
  <c r="AD49" i="91"/>
  <c r="AC48" i="91"/>
  <c r="AB47" i="91"/>
  <c r="AD45" i="91"/>
  <c r="AC44" i="91"/>
  <c r="AB43" i="91"/>
  <c r="AD41" i="91"/>
  <c r="AC40" i="91"/>
  <c r="AB39" i="91"/>
  <c r="AD37" i="91"/>
  <c r="AC36" i="91"/>
  <c r="AB35" i="91"/>
  <c r="AD33" i="91"/>
  <c r="AC32" i="91"/>
  <c r="AB31" i="91"/>
  <c r="AD29" i="91"/>
  <c r="AC28" i="91"/>
  <c r="AB27" i="91"/>
  <c r="AD25" i="91"/>
  <c r="AC24" i="91"/>
  <c r="AB23" i="91"/>
  <c r="AD21" i="91"/>
  <c r="AC20" i="91"/>
  <c r="AB19" i="91"/>
  <c r="AD17" i="91"/>
  <c r="AC16" i="91"/>
  <c r="AB15" i="91"/>
  <c r="AD13" i="91"/>
  <c r="AC12" i="91"/>
  <c r="AB11" i="91"/>
  <c r="AD9" i="91"/>
  <c r="AC8" i="91"/>
  <c r="AB7" i="91"/>
  <c r="AD54" i="91"/>
  <c r="AC53" i="91"/>
  <c r="AB52" i="91"/>
  <c r="AD50" i="91"/>
  <c r="AC49" i="91"/>
  <c r="AB48" i="91"/>
  <c r="AD46" i="91"/>
  <c r="AC45" i="91"/>
  <c r="AB44" i="91"/>
  <c r="AD42" i="91"/>
  <c r="AC41" i="91"/>
  <c r="AB40" i="91"/>
  <c r="AD38" i="91"/>
  <c r="AC37" i="91"/>
  <c r="AB36" i="91"/>
  <c r="AD34" i="91"/>
  <c r="AC33" i="91"/>
  <c r="AB32" i="91"/>
  <c r="AD30" i="91"/>
  <c r="AC29" i="91"/>
  <c r="AB28" i="91"/>
  <c r="AD26" i="91"/>
  <c r="AC25" i="91"/>
  <c r="AB24" i="91"/>
  <c r="AD22" i="91"/>
  <c r="AC21" i="91"/>
  <c r="AB20" i="91"/>
  <c r="AD18" i="91"/>
  <c r="AC17" i="91"/>
  <c r="AB16" i="91"/>
  <c r="AD14" i="91"/>
  <c r="AC13" i="91"/>
  <c r="AB12" i="91"/>
  <c r="AD10" i="91"/>
  <c r="AC9" i="91"/>
  <c r="AB8" i="91"/>
  <c r="AD6" i="91"/>
  <c r="AC54" i="91"/>
  <c r="AB53" i="91"/>
  <c r="AD51" i="91"/>
  <c r="AC50" i="91"/>
  <c r="AB49" i="91"/>
  <c r="AD47" i="91"/>
  <c r="AC46" i="91"/>
  <c r="AB45" i="91"/>
  <c r="AD43" i="91"/>
  <c r="AC42" i="91"/>
  <c r="AB41" i="91"/>
  <c r="AD39" i="91"/>
  <c r="AC38" i="91"/>
  <c r="AB37" i="91"/>
  <c r="AD35" i="91"/>
  <c r="AC34" i="91"/>
  <c r="AB33" i="91"/>
  <c r="AD31" i="91"/>
  <c r="AC30" i="91"/>
  <c r="AB29" i="91"/>
  <c r="AD27" i="91"/>
  <c r="AC26" i="91"/>
  <c r="AB25" i="91"/>
  <c r="AD23" i="91"/>
  <c r="AC22" i="91"/>
  <c r="AB21" i="91"/>
  <c r="AD19" i="91"/>
  <c r="AC18" i="91"/>
  <c r="AB17" i="91"/>
  <c r="AD15" i="91"/>
  <c r="AC14" i="91"/>
  <c r="AB13" i="91"/>
  <c r="AD11" i="91"/>
  <c r="AC10" i="91"/>
  <c r="AB9" i="91"/>
  <c r="AD7" i="91"/>
  <c r="AC6" i="91"/>
  <c r="AB54" i="91"/>
  <c r="AD52" i="91"/>
  <c r="AC51" i="91"/>
  <c r="AB50" i="91"/>
  <c r="AD48" i="91"/>
  <c r="AC47" i="91"/>
  <c r="AB46" i="91"/>
  <c r="AD44" i="91"/>
  <c r="AC43" i="91"/>
  <c r="AB42" i="91"/>
  <c r="AD40" i="91"/>
  <c r="AC39" i="91"/>
  <c r="AB38" i="91"/>
  <c r="AD36" i="91"/>
  <c r="AC35" i="91"/>
  <c r="AB34" i="91"/>
  <c r="AD32" i="91"/>
  <c r="AC31" i="91"/>
  <c r="AB30" i="91"/>
  <c r="AD28" i="91"/>
  <c r="AC27" i="91"/>
  <c r="AB26" i="91"/>
  <c r="AD24" i="91"/>
  <c r="AC23" i="91"/>
  <c r="AB22" i="91"/>
  <c r="AD20" i="91"/>
  <c r="AC19" i="91"/>
  <c r="AB18" i="91"/>
  <c r="AD16" i="91"/>
  <c r="AC15" i="91"/>
  <c r="AB14" i="91"/>
  <c r="AD12" i="91"/>
  <c r="AC11" i="91"/>
  <c r="AB10" i="91"/>
  <c r="AD8" i="91"/>
  <c r="AC7" i="91"/>
  <c r="AB6" i="91"/>
  <c r="AI54" i="90"/>
  <c r="D60" i="90" s="1"/>
  <c r="AI54" i="89"/>
  <c r="D60" i="89" s="1"/>
  <c r="D61" i="87"/>
  <c r="D62" i="87"/>
  <c r="AI54" i="88"/>
  <c r="D60" i="88" s="1"/>
  <c r="AJ54" i="88"/>
  <c r="D61" i="88" s="1"/>
  <c r="AK54" i="88"/>
  <c r="D62" i="88" s="1"/>
  <c r="AJ54" i="85"/>
  <c r="D61" i="85" s="1"/>
  <c r="AI54" i="87"/>
  <c r="D60" i="87" s="1"/>
  <c r="AI54" i="86"/>
  <c r="D60" i="86" s="1"/>
  <c r="AJ54" i="86"/>
  <c r="D61" i="86" s="1"/>
  <c r="AK54" i="86"/>
  <c r="D62" i="86" s="1"/>
  <c r="AK54" i="85"/>
  <c r="D62" i="85" s="1"/>
  <c r="AI54" i="85"/>
  <c r="D60" i="85" s="1"/>
  <c r="AM6" i="10" l="1"/>
  <c r="AN6" i="10"/>
  <c r="AM7" i="10"/>
  <c r="AN7" i="10"/>
  <c r="AM8" i="10"/>
  <c r="AN8" i="10"/>
  <c r="AM9" i="10"/>
  <c r="AN9" i="10"/>
  <c r="AM10" i="10"/>
  <c r="AN10" i="10"/>
  <c r="AM11" i="10"/>
  <c r="AN11" i="10"/>
  <c r="AM12" i="10"/>
  <c r="AN12" i="10"/>
  <c r="AM13" i="10"/>
  <c r="AN13" i="10"/>
  <c r="AM14" i="10"/>
  <c r="AN14" i="10"/>
  <c r="AM15" i="10"/>
  <c r="AN15" i="10"/>
  <c r="AM16" i="10"/>
  <c r="AN16" i="10"/>
  <c r="AM17" i="10"/>
  <c r="AN17" i="10"/>
  <c r="AM18" i="10"/>
  <c r="AN18" i="10"/>
  <c r="AM19" i="10"/>
  <c r="AN19" i="10"/>
  <c r="AM20" i="10"/>
  <c r="AN20" i="10"/>
  <c r="AM21" i="10"/>
  <c r="AN21" i="10"/>
  <c r="AM22" i="10"/>
  <c r="AN22" i="10"/>
  <c r="AM23" i="10"/>
  <c r="AN23" i="10"/>
  <c r="AM24" i="10"/>
  <c r="AN24" i="10"/>
  <c r="AM25" i="10"/>
  <c r="AN25" i="10"/>
  <c r="AM26" i="10"/>
  <c r="AN26" i="10"/>
  <c r="AM27" i="10"/>
  <c r="AN27" i="10"/>
  <c r="AM28" i="10"/>
  <c r="AN28" i="10"/>
  <c r="AM29" i="10"/>
  <c r="AN29" i="10"/>
  <c r="AM30" i="10"/>
  <c r="AN30" i="10"/>
  <c r="AM31" i="10"/>
  <c r="AN31" i="10"/>
  <c r="AM32" i="10"/>
  <c r="AN32" i="10"/>
  <c r="AM33" i="10"/>
  <c r="AN33" i="10"/>
  <c r="AM34" i="10"/>
  <c r="AN34" i="10"/>
  <c r="AM35" i="10"/>
  <c r="AN35" i="10"/>
  <c r="AM36" i="10"/>
  <c r="AN36" i="10"/>
  <c r="AM37" i="10"/>
  <c r="AN37" i="10"/>
  <c r="AM38" i="10"/>
  <c r="AN38" i="10"/>
  <c r="AM39" i="10"/>
  <c r="AN39" i="10"/>
  <c r="AM40" i="10"/>
  <c r="AN40" i="10"/>
  <c r="AM41" i="10"/>
  <c r="AN41" i="10"/>
  <c r="AM42" i="10"/>
  <c r="AN42" i="10"/>
  <c r="AM43" i="10"/>
  <c r="AN43" i="10"/>
  <c r="AM44" i="10"/>
  <c r="AN44" i="10"/>
  <c r="AM45" i="10"/>
  <c r="AN45" i="10"/>
  <c r="AM46" i="10"/>
  <c r="AN46" i="10"/>
  <c r="AM47" i="10"/>
  <c r="AN47" i="10"/>
  <c r="AM48" i="10"/>
  <c r="AN48" i="10"/>
  <c r="AM49" i="10"/>
  <c r="AN49" i="10"/>
  <c r="AM50" i="10"/>
  <c r="AN50" i="10"/>
  <c r="AM51" i="10"/>
  <c r="AN51" i="10"/>
  <c r="AM52" i="10"/>
  <c r="AN52" i="10"/>
  <c r="AM53" i="10"/>
  <c r="AN53" i="10"/>
  <c r="AM54" i="10"/>
  <c r="AN54" i="10"/>
  <c r="AN5" i="10"/>
  <c r="AB18" i="7"/>
  <c r="AC18" i="7"/>
  <c r="AD18" i="7"/>
  <c r="AE18" i="7"/>
  <c r="AB19" i="7"/>
  <c r="AC19" i="7"/>
  <c r="AD19" i="7"/>
  <c r="AE19" i="7"/>
  <c r="AB20" i="7"/>
  <c r="AC20" i="7"/>
  <c r="AD20" i="7"/>
  <c r="AE20" i="7"/>
  <c r="AB21" i="7"/>
  <c r="AC21" i="7"/>
  <c r="AD21" i="7"/>
  <c r="AE21" i="7"/>
  <c r="AB22" i="7"/>
  <c r="AC22" i="7"/>
  <c r="AD22" i="7"/>
  <c r="AE22" i="7"/>
  <c r="AB23" i="7"/>
  <c r="AC23" i="7"/>
  <c r="AD23" i="7"/>
  <c r="AE23" i="7"/>
  <c r="AB24" i="7"/>
  <c r="AC24" i="7"/>
  <c r="AD24" i="7"/>
  <c r="AE24" i="7"/>
  <c r="AB25" i="7"/>
  <c r="AC25" i="7"/>
  <c r="AD25" i="7"/>
  <c r="AE25" i="7"/>
  <c r="AB26" i="7"/>
  <c r="AC26" i="7"/>
  <c r="AD26" i="7"/>
  <c r="AE26" i="7"/>
  <c r="AB27" i="7"/>
  <c r="AC27" i="7"/>
  <c r="AD27" i="7"/>
  <c r="AE27" i="7"/>
  <c r="AB28" i="7"/>
  <c r="AC28" i="7"/>
  <c r="AD28" i="7"/>
  <c r="AE28" i="7"/>
  <c r="AB29" i="7"/>
  <c r="AC29" i="7"/>
  <c r="AD29" i="7"/>
  <c r="AE29" i="7"/>
  <c r="AB30" i="7"/>
  <c r="AC30" i="7"/>
  <c r="AD30" i="7"/>
  <c r="AE30" i="7"/>
  <c r="AB31" i="7"/>
  <c r="AC31" i="7"/>
  <c r="AD31" i="7"/>
  <c r="AE31" i="7"/>
  <c r="AB32" i="7"/>
  <c r="AC32" i="7"/>
  <c r="AD32" i="7"/>
  <c r="AE32" i="7"/>
  <c r="AB33" i="7"/>
  <c r="AC33" i="7"/>
  <c r="AD33" i="7"/>
  <c r="AE33" i="7"/>
  <c r="AB34" i="7"/>
  <c r="AC34" i="7"/>
  <c r="AD34" i="7"/>
  <c r="AE34" i="7"/>
  <c r="AB35" i="7"/>
  <c r="AC35" i="7"/>
  <c r="AD35" i="7"/>
  <c r="AE35" i="7"/>
  <c r="AB36" i="7"/>
  <c r="AC36" i="7"/>
  <c r="AD36" i="7"/>
  <c r="AE36" i="7"/>
  <c r="AB37" i="7"/>
  <c r="AC37" i="7"/>
  <c r="AD37" i="7"/>
  <c r="AE37" i="7"/>
  <c r="AB38" i="7"/>
  <c r="AC38" i="7"/>
  <c r="AD38" i="7"/>
  <c r="AE38" i="7"/>
  <c r="AB39" i="7"/>
  <c r="AC39" i="7"/>
  <c r="AD39" i="7"/>
  <c r="AE39" i="7"/>
  <c r="AB40" i="7"/>
  <c r="AC40" i="7"/>
  <c r="AD40" i="7"/>
  <c r="AE40" i="7"/>
  <c r="AB41" i="7"/>
  <c r="AC41" i="7"/>
  <c r="AD41" i="7"/>
  <c r="AE41" i="7"/>
  <c r="AB42" i="7"/>
  <c r="AC42" i="7"/>
  <c r="AD42" i="7"/>
  <c r="AE42" i="7"/>
  <c r="AB43" i="7"/>
  <c r="AC43" i="7"/>
  <c r="AD43" i="7"/>
  <c r="AE43" i="7"/>
  <c r="AB44" i="7"/>
  <c r="AC44" i="7"/>
  <c r="AD44" i="7"/>
  <c r="AE44" i="7"/>
  <c r="AB45" i="7"/>
  <c r="AC45" i="7"/>
  <c r="AD45" i="7"/>
  <c r="AE45" i="7"/>
  <c r="AB46" i="7"/>
  <c r="AC46" i="7"/>
  <c r="AD46" i="7"/>
  <c r="AE46" i="7"/>
  <c r="AB47" i="7"/>
  <c r="AC47" i="7"/>
  <c r="AD47" i="7"/>
  <c r="AE47" i="7"/>
  <c r="AB48" i="7"/>
  <c r="AC48" i="7"/>
  <c r="AD48" i="7"/>
  <c r="AE48" i="7"/>
  <c r="AB49" i="7"/>
  <c r="AC49" i="7"/>
  <c r="AD49" i="7"/>
  <c r="AE49" i="7"/>
  <c r="AB50" i="7"/>
  <c r="AC50" i="7"/>
  <c r="AD50" i="7"/>
  <c r="AE50" i="7"/>
  <c r="AB51" i="7"/>
  <c r="AC51" i="7"/>
  <c r="AD51" i="7"/>
  <c r="AE51" i="7"/>
  <c r="AB52" i="7"/>
  <c r="AC52" i="7"/>
  <c r="AD52" i="7"/>
  <c r="AE52" i="7"/>
  <c r="AB53" i="7"/>
  <c r="AC53" i="7"/>
  <c r="AD53" i="7"/>
  <c r="AE53" i="7"/>
  <c r="AB54" i="7"/>
  <c r="AC54" i="7"/>
  <c r="AD54" i="7"/>
  <c r="AE54" i="7"/>
  <c r="AC17" i="7"/>
  <c r="AD17" i="7"/>
  <c r="AE17" i="7"/>
  <c r="AQ7" i="1"/>
  <c r="AR7" i="1"/>
  <c r="AS7" i="1"/>
  <c r="AT7" i="1"/>
  <c r="AU7" i="1"/>
  <c r="AV7" i="1"/>
  <c r="AW7" i="1"/>
  <c r="AX7" i="1"/>
  <c r="AQ8" i="1"/>
  <c r="AR8" i="1"/>
  <c r="AS8" i="1"/>
  <c r="AT8" i="1"/>
  <c r="AU8" i="1"/>
  <c r="AV8" i="1"/>
  <c r="AW8" i="1"/>
  <c r="AX8" i="1"/>
  <c r="AQ9" i="1"/>
  <c r="AR9" i="1"/>
  <c r="AS9" i="1"/>
  <c r="AT9" i="1"/>
  <c r="AU9" i="1"/>
  <c r="AV9" i="1"/>
  <c r="AW9" i="1"/>
  <c r="AX9" i="1"/>
  <c r="AQ10" i="1"/>
  <c r="AR10" i="1"/>
  <c r="AS10" i="1"/>
  <c r="AT10" i="1"/>
  <c r="AU10" i="1"/>
  <c r="AV10" i="1"/>
  <c r="AW10" i="1"/>
  <c r="AX10" i="1"/>
  <c r="AQ11" i="1"/>
  <c r="AR11" i="1"/>
  <c r="AS11" i="1"/>
  <c r="AT11" i="1"/>
  <c r="AU11" i="1"/>
  <c r="AV11" i="1"/>
  <c r="AW11" i="1"/>
  <c r="AX11" i="1"/>
  <c r="AQ12" i="1"/>
  <c r="AR12" i="1"/>
  <c r="AS12" i="1"/>
  <c r="AT12" i="1"/>
  <c r="AU12" i="1"/>
  <c r="AV12" i="1"/>
  <c r="AW12" i="1"/>
  <c r="AX12" i="1"/>
  <c r="AQ13" i="1"/>
  <c r="AR13" i="1"/>
  <c r="AS13" i="1"/>
  <c r="AT13" i="1"/>
  <c r="AU13" i="1"/>
  <c r="AV13" i="1"/>
  <c r="AW13" i="1"/>
  <c r="AX13" i="1"/>
  <c r="AQ14" i="1"/>
  <c r="AR14" i="1"/>
  <c r="AS14" i="1"/>
  <c r="AT14" i="1"/>
  <c r="AU14" i="1"/>
  <c r="AV14" i="1"/>
  <c r="AW14" i="1"/>
  <c r="AX14" i="1"/>
  <c r="AQ15" i="1"/>
  <c r="AR15" i="1"/>
  <c r="AS15" i="1"/>
  <c r="AT15" i="1"/>
  <c r="AU15" i="1"/>
  <c r="AV15" i="1"/>
  <c r="AW15" i="1"/>
  <c r="AX15" i="1"/>
  <c r="AQ16" i="1"/>
  <c r="AR16" i="1"/>
  <c r="AS16" i="1"/>
  <c r="AT16" i="1"/>
  <c r="AU16" i="1"/>
  <c r="AV16" i="1"/>
  <c r="AW16" i="1"/>
  <c r="AX16" i="1"/>
  <c r="AQ17" i="1"/>
  <c r="AR17" i="1"/>
  <c r="AS17" i="1"/>
  <c r="AT17" i="1"/>
  <c r="AU17" i="1"/>
  <c r="AV17" i="1"/>
  <c r="AW17" i="1"/>
  <c r="AX17" i="1"/>
  <c r="AQ18" i="1"/>
  <c r="AR18" i="1"/>
  <c r="AS18" i="1"/>
  <c r="AT18" i="1"/>
  <c r="AU18" i="1"/>
  <c r="AV18" i="1"/>
  <c r="AW18" i="1"/>
  <c r="AX18" i="1"/>
  <c r="AQ19" i="1"/>
  <c r="AR19" i="1"/>
  <c r="AS19" i="1"/>
  <c r="AT19" i="1"/>
  <c r="AU19" i="1"/>
  <c r="AV19" i="1"/>
  <c r="AW19" i="1"/>
  <c r="AX19" i="1"/>
  <c r="AQ20" i="1"/>
  <c r="AR20" i="1"/>
  <c r="AS20" i="1"/>
  <c r="AT20" i="1"/>
  <c r="AU20" i="1"/>
  <c r="AV20" i="1"/>
  <c r="AW20" i="1"/>
  <c r="AX20" i="1"/>
  <c r="AQ21" i="1"/>
  <c r="AR21" i="1"/>
  <c r="AS21" i="1"/>
  <c r="AT21" i="1"/>
  <c r="AU21" i="1"/>
  <c r="AV21" i="1"/>
  <c r="AW21" i="1"/>
  <c r="AX21" i="1"/>
  <c r="AQ22" i="1"/>
  <c r="AR22" i="1"/>
  <c r="AS22" i="1"/>
  <c r="AT22" i="1"/>
  <c r="AU22" i="1"/>
  <c r="AV22" i="1"/>
  <c r="AW22" i="1"/>
  <c r="AX22" i="1"/>
  <c r="AQ23" i="1"/>
  <c r="AR23" i="1"/>
  <c r="AS23" i="1"/>
  <c r="AT23" i="1"/>
  <c r="AU23" i="1"/>
  <c r="AV23" i="1"/>
  <c r="AW23" i="1"/>
  <c r="AX23" i="1"/>
  <c r="AQ24" i="1"/>
  <c r="AR24" i="1"/>
  <c r="AS24" i="1"/>
  <c r="AT24" i="1"/>
  <c r="AU24" i="1"/>
  <c r="AV24" i="1"/>
  <c r="AW24" i="1"/>
  <c r="AX24" i="1"/>
  <c r="AQ25" i="1"/>
  <c r="AR25" i="1"/>
  <c r="AS25" i="1"/>
  <c r="AT25" i="1"/>
  <c r="AU25" i="1"/>
  <c r="AV25" i="1"/>
  <c r="AW25" i="1"/>
  <c r="AX25" i="1"/>
  <c r="AQ26" i="1"/>
  <c r="AR26" i="1"/>
  <c r="AS26" i="1"/>
  <c r="AT26" i="1"/>
  <c r="AU26" i="1"/>
  <c r="AV26" i="1"/>
  <c r="AW26" i="1"/>
  <c r="AX26" i="1"/>
  <c r="AQ27" i="1"/>
  <c r="AR27" i="1"/>
  <c r="AS27" i="1"/>
  <c r="AT27" i="1"/>
  <c r="AU27" i="1"/>
  <c r="AV27" i="1"/>
  <c r="AW27" i="1"/>
  <c r="AX27" i="1"/>
  <c r="AQ28" i="1"/>
  <c r="AR28" i="1"/>
  <c r="AS28" i="1"/>
  <c r="AT28" i="1"/>
  <c r="AU28" i="1"/>
  <c r="AV28" i="1"/>
  <c r="AW28" i="1"/>
  <c r="AX28" i="1"/>
  <c r="AQ29" i="1"/>
  <c r="AR29" i="1"/>
  <c r="AS29" i="1"/>
  <c r="AT29" i="1"/>
  <c r="AU29" i="1"/>
  <c r="AV29" i="1"/>
  <c r="AW29" i="1"/>
  <c r="AX29" i="1"/>
  <c r="AQ30" i="1"/>
  <c r="AR30" i="1"/>
  <c r="AS30" i="1"/>
  <c r="AT30" i="1"/>
  <c r="AU30" i="1"/>
  <c r="AV30" i="1"/>
  <c r="AW30" i="1"/>
  <c r="AX30" i="1"/>
  <c r="AQ31" i="1"/>
  <c r="AR31" i="1"/>
  <c r="AS31" i="1"/>
  <c r="AT31" i="1"/>
  <c r="AU31" i="1"/>
  <c r="AV31" i="1"/>
  <c r="AW31" i="1"/>
  <c r="AX31" i="1"/>
  <c r="AQ32" i="1"/>
  <c r="AR32" i="1"/>
  <c r="AS32" i="1"/>
  <c r="AT32" i="1"/>
  <c r="AU32" i="1"/>
  <c r="AV32" i="1"/>
  <c r="AW32" i="1"/>
  <c r="AX32" i="1"/>
  <c r="AQ33" i="1"/>
  <c r="AR33" i="1"/>
  <c r="AS33" i="1"/>
  <c r="AT33" i="1"/>
  <c r="AU33" i="1"/>
  <c r="AV33" i="1"/>
  <c r="AW33" i="1"/>
  <c r="AX33" i="1"/>
  <c r="AQ34" i="1"/>
  <c r="AR34" i="1"/>
  <c r="AS34" i="1"/>
  <c r="AT34" i="1"/>
  <c r="AU34" i="1"/>
  <c r="AV34" i="1"/>
  <c r="AW34" i="1"/>
  <c r="AX34" i="1"/>
  <c r="AQ35" i="1"/>
  <c r="AR35" i="1"/>
  <c r="AS35" i="1"/>
  <c r="AT35" i="1"/>
  <c r="AU35" i="1"/>
  <c r="AV35" i="1"/>
  <c r="AW35" i="1"/>
  <c r="AX35" i="1"/>
  <c r="AQ36" i="1"/>
  <c r="AR36" i="1"/>
  <c r="AS36" i="1"/>
  <c r="AT36" i="1"/>
  <c r="AU36" i="1"/>
  <c r="AV36" i="1"/>
  <c r="AW36" i="1"/>
  <c r="AX36" i="1"/>
  <c r="AQ37" i="1"/>
  <c r="AR37" i="1"/>
  <c r="AS37" i="1"/>
  <c r="AT37" i="1"/>
  <c r="AU37" i="1"/>
  <c r="AV37" i="1"/>
  <c r="AW37" i="1"/>
  <c r="AX37" i="1"/>
  <c r="AQ38" i="1"/>
  <c r="AR38" i="1"/>
  <c r="AS38" i="1"/>
  <c r="AT38" i="1"/>
  <c r="AU38" i="1"/>
  <c r="AV38" i="1"/>
  <c r="AW38" i="1"/>
  <c r="AX38" i="1"/>
  <c r="AQ39" i="1"/>
  <c r="AR39" i="1"/>
  <c r="AS39" i="1"/>
  <c r="AT39" i="1"/>
  <c r="AU39" i="1"/>
  <c r="AV39" i="1"/>
  <c r="AW39" i="1"/>
  <c r="AX39" i="1"/>
  <c r="AQ40" i="1"/>
  <c r="AR40" i="1"/>
  <c r="AS40" i="1"/>
  <c r="AT40" i="1"/>
  <c r="AU40" i="1"/>
  <c r="AV40" i="1"/>
  <c r="AW40" i="1"/>
  <c r="AX40" i="1"/>
  <c r="AQ41" i="1"/>
  <c r="AR41" i="1"/>
  <c r="AS41" i="1"/>
  <c r="AT41" i="1"/>
  <c r="AU41" i="1"/>
  <c r="AV41" i="1"/>
  <c r="AW41" i="1"/>
  <c r="AX41" i="1"/>
  <c r="AQ42" i="1"/>
  <c r="AR42" i="1"/>
  <c r="AS42" i="1"/>
  <c r="AT42" i="1"/>
  <c r="AU42" i="1"/>
  <c r="AV42" i="1"/>
  <c r="AW42" i="1"/>
  <c r="AX42" i="1"/>
  <c r="AQ43" i="1"/>
  <c r="AR43" i="1"/>
  <c r="AS43" i="1"/>
  <c r="AT43" i="1"/>
  <c r="AU43" i="1"/>
  <c r="AV43" i="1"/>
  <c r="AW43" i="1"/>
  <c r="AX43" i="1"/>
  <c r="AQ44" i="1"/>
  <c r="AR44" i="1"/>
  <c r="AS44" i="1"/>
  <c r="AT44" i="1"/>
  <c r="AU44" i="1"/>
  <c r="AV44" i="1"/>
  <c r="AW44" i="1"/>
  <c r="AX44" i="1"/>
  <c r="AQ45" i="1"/>
  <c r="AR45" i="1"/>
  <c r="AS45" i="1"/>
  <c r="AT45" i="1"/>
  <c r="AU45" i="1"/>
  <c r="AV45" i="1"/>
  <c r="AW45" i="1"/>
  <c r="AX45" i="1"/>
  <c r="AQ46" i="1"/>
  <c r="AR46" i="1"/>
  <c r="AS46" i="1"/>
  <c r="AT46" i="1"/>
  <c r="AU46" i="1"/>
  <c r="AV46" i="1"/>
  <c r="AW46" i="1"/>
  <c r="AX46" i="1"/>
  <c r="AQ47" i="1"/>
  <c r="AR47" i="1"/>
  <c r="AS47" i="1"/>
  <c r="AT47" i="1"/>
  <c r="AU47" i="1"/>
  <c r="AV47" i="1"/>
  <c r="AW47" i="1"/>
  <c r="AX47" i="1"/>
  <c r="AQ48" i="1"/>
  <c r="AR48" i="1"/>
  <c r="AS48" i="1"/>
  <c r="AT48" i="1"/>
  <c r="AU48" i="1"/>
  <c r="AV48" i="1"/>
  <c r="AW48" i="1"/>
  <c r="AX48" i="1"/>
  <c r="AQ49" i="1"/>
  <c r="AR49" i="1"/>
  <c r="AS49" i="1"/>
  <c r="AT49" i="1"/>
  <c r="AU49" i="1"/>
  <c r="AV49" i="1"/>
  <c r="AW49" i="1"/>
  <c r="AX49" i="1"/>
  <c r="AQ50" i="1"/>
  <c r="AR50" i="1"/>
  <c r="AS50" i="1"/>
  <c r="AT50" i="1"/>
  <c r="AU50" i="1"/>
  <c r="AV50" i="1"/>
  <c r="AW50" i="1"/>
  <c r="AX50" i="1"/>
  <c r="AQ51" i="1"/>
  <c r="AR51" i="1"/>
  <c r="AS51" i="1"/>
  <c r="AT51" i="1"/>
  <c r="AU51" i="1"/>
  <c r="AV51" i="1"/>
  <c r="AW51" i="1"/>
  <c r="AX51" i="1"/>
  <c r="AQ52" i="1"/>
  <c r="AR52" i="1"/>
  <c r="AS52" i="1"/>
  <c r="AT52" i="1"/>
  <c r="AU52" i="1"/>
  <c r="AV52" i="1"/>
  <c r="AW52" i="1"/>
  <c r="AX52" i="1"/>
  <c r="AQ53" i="1"/>
  <c r="AR53" i="1"/>
  <c r="AS53" i="1"/>
  <c r="AT53" i="1"/>
  <c r="AU53" i="1"/>
  <c r="AV53" i="1"/>
  <c r="AW53" i="1"/>
  <c r="AX53" i="1"/>
  <c r="AQ54" i="1"/>
  <c r="AR54" i="1"/>
  <c r="AS54" i="1"/>
  <c r="AT54" i="1"/>
  <c r="AU54" i="1"/>
  <c r="AV54" i="1"/>
  <c r="AW54" i="1"/>
  <c r="AX54" i="1"/>
  <c r="AQ55" i="1"/>
  <c r="AR55" i="1"/>
  <c r="AS55" i="1"/>
  <c r="AT55" i="1"/>
  <c r="AU55" i="1"/>
  <c r="AV55" i="1"/>
  <c r="AW55" i="1"/>
  <c r="AX55" i="1"/>
  <c r="AR6" i="1"/>
  <c r="AS6" i="1"/>
  <c r="AT6" i="1"/>
  <c r="AU6" i="1"/>
  <c r="AV6" i="1"/>
  <c r="AW6" i="1"/>
  <c r="AX6" i="1"/>
  <c r="AQ6" i="1"/>
  <c r="I33" i="84" l="1"/>
  <c r="I31" i="84"/>
  <c r="I29" i="84"/>
  <c r="I27" i="84"/>
  <c r="I25" i="84"/>
  <c r="I23" i="84"/>
  <c r="I21" i="84"/>
  <c r="A44" i="84"/>
  <c r="H33" i="84"/>
  <c r="H31" i="84"/>
  <c r="H29" i="84"/>
  <c r="H27" i="84"/>
  <c r="H25" i="84"/>
  <c r="H23" i="84"/>
  <c r="H21" i="84"/>
  <c r="H58" i="84"/>
  <c r="H59" i="84"/>
  <c r="M52" i="84"/>
  <c r="M51" i="84"/>
  <c r="M47" i="84"/>
  <c r="B40" i="84"/>
  <c r="B38" i="84"/>
  <c r="B36" i="84"/>
  <c r="F14" i="84"/>
  <c r="Q13" i="84"/>
  <c r="F13" i="84"/>
  <c r="Q12" i="84"/>
  <c r="F12" i="84"/>
  <c r="Q11" i="84"/>
  <c r="F11" i="84"/>
  <c r="A5" i="84"/>
  <c r="A4" i="84"/>
  <c r="A3" i="84"/>
  <c r="A1" i="84"/>
  <c r="AH7" i="83"/>
  <c r="AH8" i="83"/>
  <c r="AH9" i="83"/>
  <c r="AH10" i="83"/>
  <c r="AH11" i="83"/>
  <c r="AH12" i="83"/>
  <c r="AH13" i="83"/>
  <c r="AH14" i="83"/>
  <c r="AH15" i="83"/>
  <c r="AH16" i="83"/>
  <c r="AH17" i="83"/>
  <c r="AH18" i="83"/>
  <c r="AH19" i="83"/>
  <c r="AH20" i="83"/>
  <c r="AH21" i="83"/>
  <c r="AH22" i="83"/>
  <c r="AH23" i="83"/>
  <c r="AH24" i="83"/>
  <c r="AH25" i="83"/>
  <c r="AH26" i="83"/>
  <c r="AH27" i="83"/>
  <c r="AH28" i="83"/>
  <c r="AH29" i="83"/>
  <c r="AH30" i="83"/>
  <c r="AH31" i="83"/>
  <c r="AH32" i="83"/>
  <c r="AH33" i="83"/>
  <c r="AH34" i="83"/>
  <c r="AH35" i="83"/>
  <c r="AH36" i="83"/>
  <c r="AH37" i="83"/>
  <c r="AH38" i="83"/>
  <c r="AH39" i="83"/>
  <c r="AH40" i="83"/>
  <c r="AH41" i="83"/>
  <c r="AH42" i="83"/>
  <c r="AH43" i="83"/>
  <c r="AH44" i="83"/>
  <c r="AH45" i="83"/>
  <c r="AH46" i="83"/>
  <c r="AH47" i="83"/>
  <c r="AH48" i="83"/>
  <c r="AH49" i="83"/>
  <c r="AH50" i="83"/>
  <c r="AH51" i="83"/>
  <c r="AH52" i="83"/>
  <c r="AH53" i="83"/>
  <c r="AH54" i="83"/>
  <c r="AH55" i="83"/>
  <c r="AE7" i="83"/>
  <c r="AE8" i="83"/>
  <c r="AE9" i="83"/>
  <c r="AE10" i="83"/>
  <c r="AE11" i="83"/>
  <c r="AE12" i="83"/>
  <c r="AE13" i="83"/>
  <c r="AE14" i="83"/>
  <c r="AE15" i="83"/>
  <c r="AE16" i="83"/>
  <c r="AE17" i="83"/>
  <c r="AE18" i="83"/>
  <c r="AE19" i="83"/>
  <c r="AE20" i="83"/>
  <c r="AE21" i="83"/>
  <c r="AE22" i="83"/>
  <c r="AE23" i="83"/>
  <c r="AE24" i="83"/>
  <c r="AE25" i="83"/>
  <c r="AE26" i="83"/>
  <c r="AE27" i="83"/>
  <c r="AE28" i="83"/>
  <c r="AE29" i="83"/>
  <c r="AE30" i="83"/>
  <c r="AE31" i="83"/>
  <c r="AE32" i="83"/>
  <c r="AE33" i="83"/>
  <c r="AE34" i="83"/>
  <c r="AE35" i="83"/>
  <c r="AE36" i="83"/>
  <c r="AE37" i="83"/>
  <c r="AE38" i="83"/>
  <c r="AE39" i="83"/>
  <c r="AE40" i="83"/>
  <c r="AE41" i="83"/>
  <c r="AE42" i="83"/>
  <c r="AE43" i="83"/>
  <c r="AE44" i="83"/>
  <c r="AE45" i="83"/>
  <c r="AE46" i="83"/>
  <c r="AE47" i="83"/>
  <c r="AE48" i="83"/>
  <c r="AE49" i="83"/>
  <c r="AE50" i="83"/>
  <c r="AE51" i="83"/>
  <c r="AE52" i="83"/>
  <c r="AE53" i="83"/>
  <c r="AE54" i="83"/>
  <c r="AE55" i="83"/>
  <c r="AB7" i="83"/>
  <c r="AB8" i="83"/>
  <c r="AB9" i="83"/>
  <c r="AB10" i="83"/>
  <c r="AB11" i="83"/>
  <c r="AB12" i="83"/>
  <c r="AB13" i="83"/>
  <c r="AB14" i="83"/>
  <c r="AB15" i="83"/>
  <c r="AB16" i="83"/>
  <c r="AB17" i="83"/>
  <c r="AB18" i="83"/>
  <c r="AB19" i="83"/>
  <c r="AB20" i="83"/>
  <c r="AB21" i="83"/>
  <c r="AB22" i="83"/>
  <c r="AB23" i="83"/>
  <c r="AB24" i="83"/>
  <c r="AB25" i="83"/>
  <c r="AB26" i="83"/>
  <c r="AB27" i="83"/>
  <c r="AB28" i="83"/>
  <c r="AB29" i="83"/>
  <c r="AB30" i="83"/>
  <c r="AB31" i="83"/>
  <c r="AB32" i="83"/>
  <c r="AB33" i="83"/>
  <c r="AB34" i="83"/>
  <c r="AB35" i="83"/>
  <c r="AB36" i="83"/>
  <c r="AB37" i="83"/>
  <c r="AB38" i="83"/>
  <c r="AB39" i="83"/>
  <c r="AB40" i="83"/>
  <c r="AB41" i="83"/>
  <c r="AB42" i="83"/>
  <c r="AB43" i="83"/>
  <c r="AB44" i="83"/>
  <c r="AB45" i="83"/>
  <c r="AB46" i="83"/>
  <c r="AB47" i="83"/>
  <c r="AB48" i="83"/>
  <c r="AB49" i="83"/>
  <c r="AB50" i="83"/>
  <c r="AB51" i="83"/>
  <c r="AB52" i="83"/>
  <c r="AB53" i="83"/>
  <c r="AB54" i="83"/>
  <c r="AB55" i="83"/>
  <c r="Z7" i="83"/>
  <c r="Z8" i="83"/>
  <c r="Z9" i="83"/>
  <c r="Z10" i="83"/>
  <c r="Z11" i="83"/>
  <c r="Z12" i="83"/>
  <c r="Z13" i="83"/>
  <c r="Z14" i="83"/>
  <c r="Z15" i="83"/>
  <c r="Z16" i="83"/>
  <c r="Z17" i="83"/>
  <c r="Z18" i="83"/>
  <c r="Z19" i="83"/>
  <c r="Z20" i="83"/>
  <c r="Z21" i="83"/>
  <c r="Z22" i="83"/>
  <c r="Z23" i="83"/>
  <c r="Z24" i="83"/>
  <c r="Z25" i="83"/>
  <c r="Z26" i="83"/>
  <c r="Z27" i="83"/>
  <c r="Z28" i="83"/>
  <c r="Z29" i="83"/>
  <c r="Z30" i="83"/>
  <c r="Z31" i="83"/>
  <c r="Z32" i="83"/>
  <c r="Z33" i="83"/>
  <c r="Z34" i="83"/>
  <c r="Z35" i="83"/>
  <c r="Z36" i="83"/>
  <c r="Z37" i="83"/>
  <c r="Z38" i="83"/>
  <c r="Z39" i="83"/>
  <c r="Z40" i="83"/>
  <c r="Z41" i="83"/>
  <c r="Z42" i="83"/>
  <c r="Z43" i="83"/>
  <c r="Z44" i="83"/>
  <c r="Z45" i="83"/>
  <c r="Z46" i="83"/>
  <c r="Z47" i="83"/>
  <c r="Z48" i="83"/>
  <c r="Z49" i="83"/>
  <c r="Z50" i="83"/>
  <c r="Z51" i="83"/>
  <c r="Z52" i="83"/>
  <c r="Z53" i="83"/>
  <c r="Z54" i="83"/>
  <c r="Z55" i="83"/>
  <c r="Z6" i="83"/>
  <c r="Y7" i="83"/>
  <c r="Y8" i="83"/>
  <c r="Y9" i="83"/>
  <c r="Y10" i="83"/>
  <c r="Y11" i="83"/>
  <c r="Y12" i="83"/>
  <c r="Y13" i="83"/>
  <c r="Y14" i="83"/>
  <c r="Y15" i="83"/>
  <c r="Y16" i="83"/>
  <c r="Y17" i="83"/>
  <c r="Y18" i="83"/>
  <c r="Y19" i="83"/>
  <c r="Y20" i="83"/>
  <c r="Y21" i="83"/>
  <c r="Y22" i="83"/>
  <c r="Y23" i="83"/>
  <c r="Y24" i="83"/>
  <c r="Y25" i="83"/>
  <c r="Y26" i="83"/>
  <c r="Y27" i="83"/>
  <c r="Y28" i="83"/>
  <c r="Y29" i="83"/>
  <c r="Y30" i="83"/>
  <c r="Y31" i="83"/>
  <c r="Y32" i="83"/>
  <c r="Y33" i="83"/>
  <c r="Y34" i="83"/>
  <c r="Y35" i="83"/>
  <c r="Y36" i="83"/>
  <c r="Y37" i="83"/>
  <c r="Y38" i="83"/>
  <c r="Y39" i="83"/>
  <c r="Y40" i="83"/>
  <c r="Y41" i="83"/>
  <c r="Y42" i="83"/>
  <c r="Y43" i="83"/>
  <c r="Y44" i="83"/>
  <c r="Y45" i="83"/>
  <c r="Y46" i="83"/>
  <c r="Y47" i="83"/>
  <c r="Y48" i="83"/>
  <c r="Y49" i="83"/>
  <c r="Y50" i="83"/>
  <c r="Y51" i="83"/>
  <c r="Y52" i="83"/>
  <c r="Y53" i="83"/>
  <c r="Y54" i="83"/>
  <c r="Y55" i="83"/>
  <c r="Y6" i="83"/>
  <c r="V7" i="83"/>
  <c r="W7" i="83"/>
  <c r="V8" i="83"/>
  <c r="W8" i="83"/>
  <c r="V9" i="83"/>
  <c r="W9" i="83"/>
  <c r="V10" i="83"/>
  <c r="W10" i="83"/>
  <c r="V11" i="83"/>
  <c r="W11" i="83"/>
  <c r="V12" i="83"/>
  <c r="W12" i="83"/>
  <c r="V13" i="83"/>
  <c r="W13" i="83"/>
  <c r="V14" i="83"/>
  <c r="W14" i="83"/>
  <c r="V15" i="83"/>
  <c r="W15" i="83"/>
  <c r="V16" i="83"/>
  <c r="W16" i="83"/>
  <c r="V17" i="83"/>
  <c r="W17" i="83"/>
  <c r="V18" i="83"/>
  <c r="W18" i="83"/>
  <c r="V19" i="83"/>
  <c r="W19" i="83"/>
  <c r="V20" i="83"/>
  <c r="W20" i="83"/>
  <c r="V21" i="83"/>
  <c r="W21" i="83"/>
  <c r="V22" i="83"/>
  <c r="W22" i="83"/>
  <c r="V23" i="83"/>
  <c r="W23" i="83"/>
  <c r="V24" i="83"/>
  <c r="W24" i="83"/>
  <c r="V25" i="83"/>
  <c r="W25" i="83"/>
  <c r="V26" i="83"/>
  <c r="W26" i="83"/>
  <c r="V27" i="83"/>
  <c r="W27" i="83"/>
  <c r="V28" i="83"/>
  <c r="W28" i="83"/>
  <c r="V29" i="83"/>
  <c r="W29" i="83"/>
  <c r="V30" i="83"/>
  <c r="W30" i="83"/>
  <c r="V31" i="83"/>
  <c r="W31" i="83"/>
  <c r="V32" i="83"/>
  <c r="W32" i="83"/>
  <c r="V33" i="83"/>
  <c r="W33" i="83"/>
  <c r="V34" i="83"/>
  <c r="W34" i="83"/>
  <c r="V35" i="83"/>
  <c r="W35" i="83"/>
  <c r="V36" i="83"/>
  <c r="W36" i="83"/>
  <c r="V37" i="83"/>
  <c r="W37" i="83"/>
  <c r="V38" i="83"/>
  <c r="W38" i="83"/>
  <c r="V39" i="83"/>
  <c r="W39" i="83"/>
  <c r="V40" i="83"/>
  <c r="W40" i="83"/>
  <c r="V41" i="83"/>
  <c r="W41" i="83"/>
  <c r="V42" i="83"/>
  <c r="W42" i="83"/>
  <c r="V43" i="83"/>
  <c r="W43" i="83"/>
  <c r="V44" i="83"/>
  <c r="W44" i="83"/>
  <c r="V45" i="83"/>
  <c r="W45" i="83"/>
  <c r="V46" i="83"/>
  <c r="W46" i="83"/>
  <c r="V47" i="83"/>
  <c r="W47" i="83"/>
  <c r="V48" i="83"/>
  <c r="W48" i="83"/>
  <c r="V49" i="83"/>
  <c r="W49" i="83"/>
  <c r="V50" i="83"/>
  <c r="W50" i="83"/>
  <c r="V51" i="83"/>
  <c r="W51" i="83"/>
  <c r="V52" i="83"/>
  <c r="W52" i="83"/>
  <c r="V53" i="83"/>
  <c r="W53" i="83"/>
  <c r="V54" i="83"/>
  <c r="W54" i="83"/>
  <c r="V55" i="83"/>
  <c r="W55" i="83"/>
  <c r="W6" i="83"/>
  <c r="V6" i="83"/>
  <c r="S7" i="83"/>
  <c r="T7" i="83"/>
  <c r="S8" i="83"/>
  <c r="T8" i="83"/>
  <c r="S9" i="83"/>
  <c r="T9" i="83"/>
  <c r="S10" i="83"/>
  <c r="T10" i="83"/>
  <c r="S11" i="83"/>
  <c r="T11" i="83"/>
  <c r="S12" i="83"/>
  <c r="T12" i="83"/>
  <c r="S13" i="83"/>
  <c r="T13" i="83"/>
  <c r="S14" i="83"/>
  <c r="T14" i="83"/>
  <c r="S15" i="83"/>
  <c r="T15" i="83"/>
  <c r="S16" i="83"/>
  <c r="T16" i="83"/>
  <c r="S17" i="83"/>
  <c r="T17" i="83"/>
  <c r="S18" i="83"/>
  <c r="T18" i="83"/>
  <c r="S19" i="83"/>
  <c r="T19" i="83"/>
  <c r="S20" i="83"/>
  <c r="T20" i="83"/>
  <c r="S21" i="83"/>
  <c r="T21" i="83"/>
  <c r="S22" i="83"/>
  <c r="T22" i="83"/>
  <c r="S23" i="83"/>
  <c r="T23" i="83"/>
  <c r="S24" i="83"/>
  <c r="T24" i="83"/>
  <c r="S25" i="83"/>
  <c r="T25" i="83"/>
  <c r="S26" i="83"/>
  <c r="T26" i="83"/>
  <c r="S27" i="83"/>
  <c r="T27" i="83"/>
  <c r="S28" i="83"/>
  <c r="T28" i="83"/>
  <c r="S29" i="83"/>
  <c r="T29" i="83"/>
  <c r="S30" i="83"/>
  <c r="T30" i="83"/>
  <c r="S31" i="83"/>
  <c r="T31" i="83"/>
  <c r="S32" i="83"/>
  <c r="T32" i="83"/>
  <c r="S33" i="83"/>
  <c r="T33" i="83"/>
  <c r="S34" i="83"/>
  <c r="T34" i="83"/>
  <c r="S35" i="83"/>
  <c r="T35" i="83"/>
  <c r="S36" i="83"/>
  <c r="T36" i="83"/>
  <c r="S37" i="83"/>
  <c r="T37" i="83"/>
  <c r="S38" i="83"/>
  <c r="T38" i="83"/>
  <c r="S39" i="83"/>
  <c r="T39" i="83"/>
  <c r="S40" i="83"/>
  <c r="T40" i="83"/>
  <c r="S41" i="83"/>
  <c r="T41" i="83"/>
  <c r="S42" i="83"/>
  <c r="T42" i="83"/>
  <c r="S43" i="83"/>
  <c r="T43" i="83"/>
  <c r="S44" i="83"/>
  <c r="T44" i="83"/>
  <c r="S45" i="83"/>
  <c r="T45" i="83"/>
  <c r="S46" i="83"/>
  <c r="T46" i="83"/>
  <c r="S47" i="83"/>
  <c r="T47" i="83"/>
  <c r="S48" i="83"/>
  <c r="T48" i="83"/>
  <c r="S49" i="83"/>
  <c r="T49" i="83"/>
  <c r="S50" i="83"/>
  <c r="T50" i="83"/>
  <c r="S51" i="83"/>
  <c r="T51" i="83"/>
  <c r="S52" i="83"/>
  <c r="T52" i="83"/>
  <c r="S53" i="83"/>
  <c r="T53" i="83"/>
  <c r="S54" i="83"/>
  <c r="T54" i="83"/>
  <c r="S55" i="83"/>
  <c r="T55" i="83"/>
  <c r="T6" i="83"/>
  <c r="S6" i="83"/>
  <c r="Q7" i="83"/>
  <c r="Q8" i="83"/>
  <c r="Q9" i="83"/>
  <c r="Q10" i="83"/>
  <c r="Q11" i="83"/>
  <c r="Q12" i="83"/>
  <c r="Q13" i="83"/>
  <c r="Q14" i="83"/>
  <c r="Q15" i="83"/>
  <c r="Q16" i="83"/>
  <c r="Q17" i="83"/>
  <c r="Q18" i="83"/>
  <c r="Q19" i="83"/>
  <c r="Q20" i="83"/>
  <c r="Q21" i="83"/>
  <c r="Q22" i="83"/>
  <c r="Q23" i="83"/>
  <c r="Q24" i="83"/>
  <c r="Q25" i="83"/>
  <c r="Q26" i="83"/>
  <c r="Q27" i="83"/>
  <c r="Q28" i="83"/>
  <c r="Q29" i="83"/>
  <c r="Q30" i="83"/>
  <c r="Q31" i="83"/>
  <c r="Q32" i="83"/>
  <c r="Q33" i="83"/>
  <c r="Q34" i="83"/>
  <c r="Q35" i="83"/>
  <c r="Q36" i="83"/>
  <c r="Q37" i="83"/>
  <c r="Q38" i="83"/>
  <c r="Q39" i="83"/>
  <c r="Q40" i="83"/>
  <c r="Q41" i="83"/>
  <c r="Q42" i="83"/>
  <c r="Q43" i="83"/>
  <c r="Q44" i="83"/>
  <c r="Q45" i="83"/>
  <c r="Q46" i="83"/>
  <c r="Q47" i="83"/>
  <c r="Q48" i="83"/>
  <c r="Q49" i="83"/>
  <c r="Q50" i="83"/>
  <c r="Q51" i="83"/>
  <c r="Q52" i="83"/>
  <c r="Q53" i="83"/>
  <c r="Q54" i="83"/>
  <c r="Q55" i="83"/>
  <c r="Q6" i="83"/>
  <c r="P7" i="83"/>
  <c r="P8" i="83"/>
  <c r="P9" i="83"/>
  <c r="P10" i="83"/>
  <c r="P11" i="83"/>
  <c r="P12" i="83"/>
  <c r="P13" i="83"/>
  <c r="P14" i="83"/>
  <c r="P15" i="83"/>
  <c r="P16" i="83"/>
  <c r="P17" i="83"/>
  <c r="P18" i="83"/>
  <c r="P19" i="83"/>
  <c r="P20" i="83"/>
  <c r="P21" i="83"/>
  <c r="P22" i="83"/>
  <c r="P23" i="83"/>
  <c r="P24" i="83"/>
  <c r="P25" i="83"/>
  <c r="P26" i="83"/>
  <c r="P27" i="83"/>
  <c r="P28" i="83"/>
  <c r="P29" i="83"/>
  <c r="P30" i="83"/>
  <c r="P31" i="83"/>
  <c r="P32" i="83"/>
  <c r="P33" i="83"/>
  <c r="P34" i="83"/>
  <c r="P35" i="83"/>
  <c r="P36" i="83"/>
  <c r="P37" i="83"/>
  <c r="P38" i="83"/>
  <c r="P39" i="83"/>
  <c r="P40" i="83"/>
  <c r="P41" i="83"/>
  <c r="P42" i="83"/>
  <c r="P43" i="83"/>
  <c r="P44" i="83"/>
  <c r="P45" i="83"/>
  <c r="P46" i="83"/>
  <c r="P47" i="83"/>
  <c r="P48" i="83"/>
  <c r="P49" i="83"/>
  <c r="P50" i="83"/>
  <c r="P51" i="83"/>
  <c r="P52" i="83"/>
  <c r="P53" i="83"/>
  <c r="P54" i="83"/>
  <c r="P55" i="83"/>
  <c r="P6" i="83"/>
  <c r="M7" i="83"/>
  <c r="N7" i="83"/>
  <c r="M8" i="83"/>
  <c r="N8" i="83"/>
  <c r="M9" i="83"/>
  <c r="N9" i="83"/>
  <c r="M10" i="83"/>
  <c r="N10" i="83"/>
  <c r="M11" i="83"/>
  <c r="N11" i="83"/>
  <c r="M12" i="83"/>
  <c r="N12" i="83"/>
  <c r="M13" i="83"/>
  <c r="N13" i="83"/>
  <c r="M14" i="83"/>
  <c r="N14" i="83"/>
  <c r="M15" i="83"/>
  <c r="N15" i="83"/>
  <c r="M16" i="83"/>
  <c r="N16" i="83"/>
  <c r="M17" i="83"/>
  <c r="N17" i="83"/>
  <c r="M18" i="83"/>
  <c r="N18" i="83"/>
  <c r="M19" i="83"/>
  <c r="N19" i="83"/>
  <c r="M20" i="83"/>
  <c r="N20" i="83"/>
  <c r="M21" i="83"/>
  <c r="N21" i="83"/>
  <c r="M22" i="83"/>
  <c r="N22" i="83"/>
  <c r="M23" i="83"/>
  <c r="N23" i="83"/>
  <c r="M24" i="83"/>
  <c r="N24" i="83"/>
  <c r="M25" i="83"/>
  <c r="N25" i="83"/>
  <c r="M26" i="83"/>
  <c r="N26" i="83"/>
  <c r="M27" i="83"/>
  <c r="N27" i="83"/>
  <c r="M28" i="83"/>
  <c r="N28" i="83"/>
  <c r="M29" i="83"/>
  <c r="N29" i="83"/>
  <c r="M30" i="83"/>
  <c r="N30" i="83"/>
  <c r="M31" i="83"/>
  <c r="N31" i="83"/>
  <c r="M32" i="83"/>
  <c r="N32" i="83"/>
  <c r="M33" i="83"/>
  <c r="N33" i="83"/>
  <c r="M34" i="83"/>
  <c r="N34" i="83"/>
  <c r="M35" i="83"/>
  <c r="N35" i="83"/>
  <c r="M36" i="83"/>
  <c r="N36" i="83"/>
  <c r="M37" i="83"/>
  <c r="N37" i="83"/>
  <c r="M38" i="83"/>
  <c r="N38" i="83"/>
  <c r="M39" i="83"/>
  <c r="N39" i="83"/>
  <c r="M40" i="83"/>
  <c r="N40" i="83"/>
  <c r="M41" i="83"/>
  <c r="N41" i="83"/>
  <c r="M42" i="83"/>
  <c r="N42" i="83"/>
  <c r="M43" i="83"/>
  <c r="N43" i="83"/>
  <c r="M44" i="83"/>
  <c r="N44" i="83"/>
  <c r="M45" i="83"/>
  <c r="N45" i="83"/>
  <c r="M46" i="83"/>
  <c r="N46" i="83"/>
  <c r="M47" i="83"/>
  <c r="N47" i="83"/>
  <c r="M48" i="83"/>
  <c r="N48" i="83"/>
  <c r="M49" i="83"/>
  <c r="N49" i="83"/>
  <c r="M50" i="83"/>
  <c r="N50" i="83"/>
  <c r="M51" i="83"/>
  <c r="N51" i="83"/>
  <c r="M52" i="83"/>
  <c r="N52" i="83"/>
  <c r="M53" i="83"/>
  <c r="N53" i="83"/>
  <c r="M54" i="83"/>
  <c r="N54" i="83"/>
  <c r="M55" i="83"/>
  <c r="N55" i="83"/>
  <c r="N6" i="83"/>
  <c r="M6" i="83"/>
  <c r="J7" i="83"/>
  <c r="K7" i="83"/>
  <c r="J8" i="83"/>
  <c r="K8" i="83"/>
  <c r="J9" i="83"/>
  <c r="K9" i="83"/>
  <c r="J10" i="83"/>
  <c r="K10" i="83"/>
  <c r="J11" i="83"/>
  <c r="K11" i="83"/>
  <c r="J12" i="83"/>
  <c r="K12" i="83"/>
  <c r="J13" i="83"/>
  <c r="K13" i="83"/>
  <c r="J14" i="83"/>
  <c r="K14" i="83"/>
  <c r="J15" i="83"/>
  <c r="K15" i="83"/>
  <c r="J16" i="83"/>
  <c r="K16" i="83"/>
  <c r="J17" i="83"/>
  <c r="K17" i="83"/>
  <c r="J18" i="83"/>
  <c r="K18" i="83"/>
  <c r="J19" i="83"/>
  <c r="K19" i="83"/>
  <c r="J20" i="83"/>
  <c r="K20" i="83"/>
  <c r="J21" i="83"/>
  <c r="K21" i="83"/>
  <c r="J22" i="83"/>
  <c r="K22" i="83"/>
  <c r="J23" i="83"/>
  <c r="K23" i="83"/>
  <c r="J24" i="83"/>
  <c r="K24" i="83"/>
  <c r="J25" i="83"/>
  <c r="K25" i="83"/>
  <c r="J26" i="83"/>
  <c r="K26" i="83"/>
  <c r="J27" i="83"/>
  <c r="K27" i="83"/>
  <c r="J28" i="83"/>
  <c r="K28" i="83"/>
  <c r="J29" i="83"/>
  <c r="K29" i="83"/>
  <c r="J30" i="83"/>
  <c r="K30" i="83"/>
  <c r="J31" i="83"/>
  <c r="K31" i="83"/>
  <c r="J32" i="83"/>
  <c r="K32" i="83"/>
  <c r="J33" i="83"/>
  <c r="K33" i="83"/>
  <c r="J34" i="83"/>
  <c r="K34" i="83"/>
  <c r="J35" i="83"/>
  <c r="K35" i="83"/>
  <c r="J36" i="83"/>
  <c r="K36" i="83"/>
  <c r="J37" i="83"/>
  <c r="K37" i="83"/>
  <c r="J38" i="83"/>
  <c r="K38" i="83"/>
  <c r="J39" i="83"/>
  <c r="K39" i="83"/>
  <c r="J40" i="83"/>
  <c r="K40" i="83"/>
  <c r="J41" i="83"/>
  <c r="K41" i="83"/>
  <c r="J42" i="83"/>
  <c r="K42" i="83"/>
  <c r="J43" i="83"/>
  <c r="K43" i="83"/>
  <c r="J44" i="83"/>
  <c r="K44" i="83"/>
  <c r="J45" i="83"/>
  <c r="K45" i="83"/>
  <c r="J46" i="83"/>
  <c r="K46" i="83"/>
  <c r="J47" i="83"/>
  <c r="K47" i="83"/>
  <c r="J48" i="83"/>
  <c r="K48" i="83"/>
  <c r="J49" i="83"/>
  <c r="K49" i="83"/>
  <c r="J50" i="83"/>
  <c r="K50" i="83"/>
  <c r="J51" i="83"/>
  <c r="K51" i="83"/>
  <c r="J52" i="83"/>
  <c r="K52" i="83"/>
  <c r="J53" i="83"/>
  <c r="K53" i="83"/>
  <c r="J54" i="83"/>
  <c r="K54" i="83"/>
  <c r="J55" i="83"/>
  <c r="K55" i="83"/>
  <c r="K6" i="83"/>
  <c r="J6" i="83"/>
  <c r="G7" i="83"/>
  <c r="H7" i="83"/>
  <c r="G8" i="83"/>
  <c r="H8" i="83"/>
  <c r="G9" i="83"/>
  <c r="H9" i="83"/>
  <c r="G10" i="83"/>
  <c r="H10" i="83"/>
  <c r="G11" i="83"/>
  <c r="H11" i="83"/>
  <c r="G12" i="83"/>
  <c r="H12" i="83"/>
  <c r="G13" i="83"/>
  <c r="H13" i="83"/>
  <c r="G14" i="83"/>
  <c r="H14" i="83"/>
  <c r="G15" i="83"/>
  <c r="H15" i="83"/>
  <c r="G16" i="83"/>
  <c r="H16" i="83"/>
  <c r="G17" i="83"/>
  <c r="H17" i="83"/>
  <c r="G18" i="83"/>
  <c r="H18" i="83"/>
  <c r="G19" i="83"/>
  <c r="H19" i="83"/>
  <c r="G20" i="83"/>
  <c r="H20" i="83"/>
  <c r="G21" i="83"/>
  <c r="H21" i="83"/>
  <c r="G22" i="83"/>
  <c r="H22" i="83"/>
  <c r="G23" i="83"/>
  <c r="H23" i="83"/>
  <c r="G24" i="83"/>
  <c r="H24" i="83"/>
  <c r="G25" i="83"/>
  <c r="H25" i="83"/>
  <c r="G26" i="83"/>
  <c r="H26" i="83"/>
  <c r="G27" i="83"/>
  <c r="H27" i="83"/>
  <c r="G28" i="83"/>
  <c r="H28" i="83"/>
  <c r="G29" i="83"/>
  <c r="H29" i="83"/>
  <c r="G30" i="83"/>
  <c r="H30" i="83"/>
  <c r="G31" i="83"/>
  <c r="H31" i="83"/>
  <c r="G32" i="83"/>
  <c r="H32" i="83"/>
  <c r="G33" i="83"/>
  <c r="H33" i="83"/>
  <c r="G34" i="83"/>
  <c r="H34" i="83"/>
  <c r="G35" i="83"/>
  <c r="H35" i="83"/>
  <c r="G36" i="83"/>
  <c r="H36" i="83"/>
  <c r="G37" i="83"/>
  <c r="H37" i="83"/>
  <c r="G38" i="83"/>
  <c r="H38" i="83"/>
  <c r="G39" i="83"/>
  <c r="H39" i="83"/>
  <c r="G40" i="83"/>
  <c r="H40" i="83"/>
  <c r="G41" i="83"/>
  <c r="H41" i="83"/>
  <c r="G42" i="83"/>
  <c r="H42" i="83"/>
  <c r="G43" i="83"/>
  <c r="H43" i="83"/>
  <c r="G44" i="83"/>
  <c r="H44" i="83"/>
  <c r="G45" i="83"/>
  <c r="H45" i="83"/>
  <c r="G46" i="83"/>
  <c r="H46" i="83"/>
  <c r="G47" i="83"/>
  <c r="H47" i="83"/>
  <c r="G48" i="83"/>
  <c r="H48" i="83"/>
  <c r="G49" i="83"/>
  <c r="H49" i="83"/>
  <c r="G50" i="83"/>
  <c r="H50" i="83"/>
  <c r="G51" i="83"/>
  <c r="H51" i="83"/>
  <c r="G52" i="83"/>
  <c r="H52" i="83"/>
  <c r="G53" i="83"/>
  <c r="H53" i="83"/>
  <c r="G54" i="83"/>
  <c r="H54" i="83"/>
  <c r="G55" i="83"/>
  <c r="H55" i="83"/>
  <c r="H6" i="83"/>
  <c r="G6" i="83"/>
  <c r="D7" i="83"/>
  <c r="D8" i="83"/>
  <c r="D9" i="83"/>
  <c r="D10" i="83"/>
  <c r="D11" i="83"/>
  <c r="D12" i="83"/>
  <c r="D13" i="83"/>
  <c r="D14" i="83"/>
  <c r="D15" i="83"/>
  <c r="D16" i="83"/>
  <c r="D17" i="83"/>
  <c r="D18" i="83"/>
  <c r="D19" i="83"/>
  <c r="D20" i="83"/>
  <c r="D21" i="83"/>
  <c r="D22" i="83"/>
  <c r="D23" i="83"/>
  <c r="D24" i="83"/>
  <c r="D25" i="83"/>
  <c r="D26" i="83"/>
  <c r="D27" i="83"/>
  <c r="D28" i="83"/>
  <c r="D29" i="83"/>
  <c r="D30" i="83"/>
  <c r="D31" i="83"/>
  <c r="D32" i="83"/>
  <c r="D33" i="83"/>
  <c r="D34" i="83"/>
  <c r="D35" i="83"/>
  <c r="D36" i="83"/>
  <c r="D37" i="83"/>
  <c r="D38" i="83"/>
  <c r="D39" i="83"/>
  <c r="D40" i="83"/>
  <c r="D41" i="83"/>
  <c r="D42" i="83"/>
  <c r="D43" i="83"/>
  <c r="D44" i="83"/>
  <c r="D45" i="83"/>
  <c r="D46" i="83"/>
  <c r="D47" i="83"/>
  <c r="D48" i="83"/>
  <c r="D49" i="83"/>
  <c r="D50" i="83"/>
  <c r="D51" i="83"/>
  <c r="D52" i="83"/>
  <c r="D53" i="83"/>
  <c r="D54" i="83"/>
  <c r="D55" i="83"/>
  <c r="B6" i="83"/>
  <c r="B7" i="83"/>
  <c r="B8" i="83"/>
  <c r="B9" i="83"/>
  <c r="B10" i="83"/>
  <c r="B11" i="83"/>
  <c r="B12" i="83"/>
  <c r="B13" i="83"/>
  <c r="B14" i="83"/>
  <c r="B15" i="83"/>
  <c r="B16" i="83"/>
  <c r="B17" i="83"/>
  <c r="B18" i="83"/>
  <c r="B19" i="83"/>
  <c r="B20" i="83"/>
  <c r="B21" i="83"/>
  <c r="B22" i="83"/>
  <c r="B23" i="83"/>
  <c r="B24" i="83"/>
  <c r="B25" i="83"/>
  <c r="B26" i="83"/>
  <c r="B27" i="83"/>
  <c r="B28" i="83"/>
  <c r="B29" i="83"/>
  <c r="B30" i="83"/>
  <c r="B31" i="83"/>
  <c r="B32" i="83"/>
  <c r="B33" i="83"/>
  <c r="B34" i="83"/>
  <c r="B35" i="83"/>
  <c r="B36" i="83"/>
  <c r="B37" i="83"/>
  <c r="B38" i="83"/>
  <c r="B39" i="83"/>
  <c r="B40" i="83"/>
  <c r="B41" i="83"/>
  <c r="B42" i="83"/>
  <c r="B43" i="83"/>
  <c r="B44" i="83"/>
  <c r="B45" i="83"/>
  <c r="B46" i="83"/>
  <c r="B47" i="83"/>
  <c r="B48" i="83"/>
  <c r="B49" i="83"/>
  <c r="B50" i="83"/>
  <c r="B51" i="83"/>
  <c r="B52" i="83"/>
  <c r="B53" i="83"/>
  <c r="B54" i="83"/>
  <c r="B55" i="83"/>
  <c r="C55" i="83"/>
  <c r="C54" i="83"/>
  <c r="C53" i="83"/>
  <c r="C52" i="83"/>
  <c r="C51" i="83"/>
  <c r="C50" i="83"/>
  <c r="C49" i="83"/>
  <c r="C48" i="83"/>
  <c r="C47" i="83"/>
  <c r="C46" i="83"/>
  <c r="C45" i="83"/>
  <c r="C44" i="83"/>
  <c r="C43" i="83"/>
  <c r="C42" i="83"/>
  <c r="C41" i="83"/>
  <c r="C40" i="83"/>
  <c r="C39" i="83"/>
  <c r="C38" i="83"/>
  <c r="C37" i="83"/>
  <c r="C36" i="83"/>
  <c r="C35" i="83"/>
  <c r="C34" i="83"/>
  <c r="C33" i="83"/>
  <c r="C32" i="83"/>
  <c r="C31" i="83"/>
  <c r="C30" i="83"/>
  <c r="C29" i="83"/>
  <c r="C28" i="83"/>
  <c r="C27" i="83"/>
  <c r="C26" i="83"/>
  <c r="C25" i="83"/>
  <c r="C24" i="83"/>
  <c r="C23" i="83"/>
  <c r="C22" i="83"/>
  <c r="C21" i="83"/>
  <c r="C20" i="83"/>
  <c r="C19" i="83"/>
  <c r="C18" i="83"/>
  <c r="C17" i="83"/>
  <c r="C16" i="83"/>
  <c r="C15" i="83"/>
  <c r="C14" i="83"/>
  <c r="C13" i="83"/>
  <c r="C12" i="83"/>
  <c r="C11" i="83"/>
  <c r="C10" i="83"/>
  <c r="C9" i="83"/>
  <c r="C8" i="83"/>
  <c r="C7" i="83"/>
  <c r="C6" i="83"/>
  <c r="AH3" i="83"/>
  <c r="AE3" i="83"/>
  <c r="AB3" i="83"/>
  <c r="BT54" i="15"/>
  <c r="BU54" i="15" s="1"/>
  <c r="BS54" i="15"/>
  <c r="BR54" i="15"/>
  <c r="BP54" i="15"/>
  <c r="BQ54" i="15" s="1"/>
  <c r="AI55" i="83" s="1"/>
  <c r="BU53" i="15"/>
  <c r="BT53" i="15"/>
  <c r="BS53" i="15"/>
  <c r="BR53" i="15"/>
  <c r="BQ53" i="15"/>
  <c r="AI54" i="83" s="1"/>
  <c r="BP53" i="15"/>
  <c r="BU52" i="15"/>
  <c r="BT52" i="15"/>
  <c r="BR52" i="15"/>
  <c r="BS52" i="15" s="1"/>
  <c r="BQ52" i="15"/>
  <c r="AI53" i="83" s="1"/>
  <c r="BP52" i="15"/>
  <c r="BU51" i="15"/>
  <c r="BT51" i="15"/>
  <c r="BS51" i="15"/>
  <c r="BR51" i="15"/>
  <c r="BQ51" i="15"/>
  <c r="AI52" i="83" s="1"/>
  <c r="BP51" i="15"/>
  <c r="BT50" i="15"/>
  <c r="BU50" i="15" s="1"/>
  <c r="BS50" i="15"/>
  <c r="BR50" i="15"/>
  <c r="BP50" i="15"/>
  <c r="BQ50" i="15" s="1"/>
  <c r="AI51" i="83" s="1"/>
  <c r="BT49" i="15"/>
  <c r="BU49" i="15" s="1"/>
  <c r="BS49" i="15"/>
  <c r="BR49" i="15"/>
  <c r="BP49" i="15"/>
  <c r="BQ49" i="15" s="1"/>
  <c r="AI50" i="83" s="1"/>
  <c r="BU48" i="15"/>
  <c r="BT48" i="15"/>
  <c r="BR48" i="15"/>
  <c r="BS48" i="15" s="1"/>
  <c r="BQ48" i="15"/>
  <c r="AI49" i="83" s="1"/>
  <c r="BP48" i="15"/>
  <c r="BU47" i="15"/>
  <c r="BT47" i="15"/>
  <c r="BR47" i="15"/>
  <c r="BS47" i="15" s="1"/>
  <c r="BQ47" i="15"/>
  <c r="AI48" i="83" s="1"/>
  <c r="BP47" i="15"/>
  <c r="BT46" i="15"/>
  <c r="BU46" i="15" s="1"/>
  <c r="BS46" i="15"/>
  <c r="BR46" i="15"/>
  <c r="BP46" i="15"/>
  <c r="BQ46" i="15" s="1"/>
  <c r="AI47" i="83" s="1"/>
  <c r="BU45" i="15"/>
  <c r="BT45" i="15"/>
  <c r="BS45" i="15"/>
  <c r="BR45" i="15"/>
  <c r="BQ45" i="15"/>
  <c r="AI46" i="83" s="1"/>
  <c r="BP45" i="15"/>
  <c r="BU44" i="15"/>
  <c r="BT44" i="15"/>
  <c r="BR44" i="15"/>
  <c r="BS44" i="15" s="1"/>
  <c r="BQ44" i="15"/>
  <c r="AI45" i="83" s="1"/>
  <c r="BP44" i="15"/>
  <c r="BU43" i="15"/>
  <c r="BT43" i="15"/>
  <c r="BS43" i="15"/>
  <c r="BR43" i="15"/>
  <c r="BQ43" i="15"/>
  <c r="AI44" i="83" s="1"/>
  <c r="BP43" i="15"/>
  <c r="BT42" i="15"/>
  <c r="BU42" i="15" s="1"/>
  <c r="BS42" i="15"/>
  <c r="BR42" i="15"/>
  <c r="BP42" i="15"/>
  <c r="BQ42" i="15" s="1"/>
  <c r="AI43" i="83" s="1"/>
  <c r="BU41" i="15"/>
  <c r="BT41" i="15"/>
  <c r="BS41" i="15"/>
  <c r="BR41" i="15"/>
  <c r="BQ41" i="15"/>
  <c r="AI42" i="83" s="1"/>
  <c r="BP41" i="15"/>
  <c r="BU40" i="15"/>
  <c r="BT40" i="15"/>
  <c r="BR40" i="15"/>
  <c r="BS40" i="15" s="1"/>
  <c r="BQ40" i="15"/>
  <c r="AI41" i="83" s="1"/>
  <c r="BP40" i="15"/>
  <c r="BU39" i="15"/>
  <c r="BT39" i="15"/>
  <c r="BS39" i="15"/>
  <c r="BR39" i="15"/>
  <c r="BQ39" i="15"/>
  <c r="AI40" i="83" s="1"/>
  <c r="BP39" i="15"/>
  <c r="BT38" i="15"/>
  <c r="BU38" i="15" s="1"/>
  <c r="BS38" i="15"/>
  <c r="BR38" i="15"/>
  <c r="BP38" i="15"/>
  <c r="BQ38" i="15" s="1"/>
  <c r="AI39" i="83" s="1"/>
  <c r="BT37" i="15"/>
  <c r="BU37" i="15" s="1"/>
  <c r="BS37" i="15"/>
  <c r="BR37" i="15"/>
  <c r="BP37" i="15"/>
  <c r="BQ37" i="15" s="1"/>
  <c r="AI38" i="83" s="1"/>
  <c r="BU36" i="15"/>
  <c r="BT36" i="15"/>
  <c r="BR36" i="15"/>
  <c r="BS36" i="15" s="1"/>
  <c r="BQ36" i="15"/>
  <c r="AI37" i="83" s="1"/>
  <c r="BP36" i="15"/>
  <c r="BU35" i="15"/>
  <c r="BT35" i="15"/>
  <c r="BS35" i="15"/>
  <c r="BR35" i="15"/>
  <c r="BQ35" i="15"/>
  <c r="AI36" i="83" s="1"/>
  <c r="BP35" i="15"/>
  <c r="BT34" i="15"/>
  <c r="BU34" i="15" s="1"/>
  <c r="BS34" i="15"/>
  <c r="BR34" i="15"/>
  <c r="BP34" i="15"/>
  <c r="BQ34" i="15" s="1"/>
  <c r="AI35" i="83" s="1"/>
  <c r="BU33" i="15"/>
  <c r="BT33" i="15"/>
  <c r="BS33" i="15"/>
  <c r="BR33" i="15"/>
  <c r="BQ33" i="15"/>
  <c r="AI34" i="83" s="1"/>
  <c r="BP33" i="15"/>
  <c r="BT32" i="15"/>
  <c r="BU32" i="15" s="1"/>
  <c r="BR32" i="15"/>
  <c r="BS32" i="15" s="1"/>
  <c r="BQ32" i="15"/>
  <c r="AI33" i="83" s="1"/>
  <c r="BP32" i="15"/>
  <c r="BU31" i="15"/>
  <c r="BT31" i="15"/>
  <c r="BR31" i="15"/>
  <c r="BS31" i="15" s="1"/>
  <c r="BQ31" i="15"/>
  <c r="AI32" i="83" s="1"/>
  <c r="BP31" i="15"/>
  <c r="BT30" i="15"/>
  <c r="BU30" i="15" s="1"/>
  <c r="BS30" i="15"/>
  <c r="BR30" i="15"/>
  <c r="BP30" i="15"/>
  <c r="BQ30" i="15" s="1"/>
  <c r="AI31" i="83" s="1"/>
  <c r="BU29" i="15"/>
  <c r="BT29" i="15"/>
  <c r="BS29" i="15"/>
  <c r="BR29" i="15"/>
  <c r="BQ29" i="15"/>
  <c r="AI30" i="83" s="1"/>
  <c r="BP29" i="15"/>
  <c r="BT28" i="15"/>
  <c r="BU28" i="15" s="1"/>
  <c r="BR28" i="15"/>
  <c r="BS28" i="15" s="1"/>
  <c r="BQ28" i="15"/>
  <c r="AI29" i="83" s="1"/>
  <c r="BP28" i="15"/>
  <c r="BU27" i="15"/>
  <c r="BT27" i="15"/>
  <c r="BS27" i="15"/>
  <c r="BR27" i="15"/>
  <c r="BQ27" i="15"/>
  <c r="AI28" i="83" s="1"/>
  <c r="BP27" i="15"/>
  <c r="BT26" i="15"/>
  <c r="BU26" i="15" s="1"/>
  <c r="BS26" i="15"/>
  <c r="BR26" i="15"/>
  <c r="BP26" i="15"/>
  <c r="BQ26" i="15" s="1"/>
  <c r="AI27" i="83" s="1"/>
  <c r="BU25" i="15"/>
  <c r="BT25" i="15"/>
  <c r="BS25" i="15"/>
  <c r="BR25" i="15"/>
  <c r="BQ25" i="15"/>
  <c r="AI26" i="83" s="1"/>
  <c r="BP25" i="15"/>
  <c r="BT24" i="15"/>
  <c r="BU24" i="15" s="1"/>
  <c r="BR24" i="15"/>
  <c r="BS24" i="15" s="1"/>
  <c r="BQ24" i="15"/>
  <c r="AI25" i="83" s="1"/>
  <c r="BP24" i="15"/>
  <c r="BU23" i="15"/>
  <c r="BT23" i="15"/>
  <c r="BR23" i="15"/>
  <c r="BS23" i="15" s="1"/>
  <c r="BQ23" i="15"/>
  <c r="AI24" i="83" s="1"/>
  <c r="BP23" i="15"/>
  <c r="BT22" i="15"/>
  <c r="BU22" i="15" s="1"/>
  <c r="BS22" i="15"/>
  <c r="BR22" i="15"/>
  <c r="BP22" i="15"/>
  <c r="BQ22" i="15" s="1"/>
  <c r="AI23" i="83" s="1"/>
  <c r="BU21" i="15"/>
  <c r="BT21" i="15"/>
  <c r="BR21" i="15"/>
  <c r="BS21" i="15" s="1"/>
  <c r="BQ21" i="15"/>
  <c r="AI22" i="83" s="1"/>
  <c r="BP21" i="15"/>
  <c r="BT20" i="15"/>
  <c r="BU20" i="15" s="1"/>
  <c r="BS20" i="15"/>
  <c r="BR20" i="15"/>
  <c r="BP20" i="15"/>
  <c r="BQ20" i="15" s="1"/>
  <c r="AI21" i="83" s="1"/>
  <c r="BU19" i="15"/>
  <c r="BT19" i="15"/>
  <c r="BS19" i="15"/>
  <c r="BR19" i="15"/>
  <c r="BQ19" i="15"/>
  <c r="AI20" i="83" s="1"/>
  <c r="BP19" i="15"/>
  <c r="BT18" i="15"/>
  <c r="BU18" i="15" s="1"/>
  <c r="BR18" i="15"/>
  <c r="BS18" i="15" s="1"/>
  <c r="BQ18" i="15"/>
  <c r="AI19" i="83" s="1"/>
  <c r="BP18" i="15"/>
  <c r="BU17" i="15"/>
  <c r="BT17" i="15"/>
  <c r="BR17" i="15"/>
  <c r="BS17" i="15" s="1"/>
  <c r="BQ17" i="15"/>
  <c r="AI18" i="83" s="1"/>
  <c r="BP17" i="15"/>
  <c r="BT16" i="15"/>
  <c r="BU16" i="15" s="1"/>
  <c r="BS16" i="15"/>
  <c r="BR16" i="15"/>
  <c r="BP16" i="15"/>
  <c r="BQ16" i="15" s="1"/>
  <c r="AI17" i="83" s="1"/>
  <c r="BU15" i="15"/>
  <c r="BT15" i="15"/>
  <c r="BS15" i="15"/>
  <c r="BR15" i="15"/>
  <c r="BQ15" i="15"/>
  <c r="AI16" i="83" s="1"/>
  <c r="BP15" i="15"/>
  <c r="BT14" i="15"/>
  <c r="BU14" i="15" s="1"/>
  <c r="BR14" i="15"/>
  <c r="BS14" i="15" s="1"/>
  <c r="BQ14" i="15"/>
  <c r="AI15" i="83" s="1"/>
  <c r="BP14" i="15"/>
  <c r="BU13" i="15"/>
  <c r="BT13" i="15"/>
  <c r="BR13" i="15"/>
  <c r="BS13" i="15" s="1"/>
  <c r="BQ13" i="15"/>
  <c r="AI14" i="83" s="1"/>
  <c r="BP13" i="15"/>
  <c r="BT12" i="15"/>
  <c r="BU12" i="15" s="1"/>
  <c r="BS12" i="15"/>
  <c r="BR12" i="15"/>
  <c r="BP12" i="15"/>
  <c r="BQ12" i="15" s="1"/>
  <c r="AI13" i="83" s="1"/>
  <c r="BU11" i="15"/>
  <c r="BT11" i="15"/>
  <c r="BS11" i="15"/>
  <c r="BR11" i="15"/>
  <c r="BQ11" i="15"/>
  <c r="AI12" i="83" s="1"/>
  <c r="BP11" i="15"/>
  <c r="BT10" i="15"/>
  <c r="BU10" i="15" s="1"/>
  <c r="BR10" i="15"/>
  <c r="BS10" i="15" s="1"/>
  <c r="BQ10" i="15"/>
  <c r="AI11" i="83" s="1"/>
  <c r="BP10" i="15"/>
  <c r="BU9" i="15"/>
  <c r="BT9" i="15"/>
  <c r="BR9" i="15"/>
  <c r="BS9" i="15" s="1"/>
  <c r="BQ9" i="15"/>
  <c r="AI10" i="83" s="1"/>
  <c r="BP9" i="15"/>
  <c r="BT8" i="15"/>
  <c r="BU8" i="15" s="1"/>
  <c r="BS8" i="15"/>
  <c r="BR8" i="15"/>
  <c r="BP8" i="15"/>
  <c r="BQ8" i="15" s="1"/>
  <c r="AI9" i="83" s="1"/>
  <c r="BT7" i="15"/>
  <c r="BU7" i="15" s="1"/>
  <c r="BR7" i="15"/>
  <c r="BS7" i="15" s="1"/>
  <c r="BP7" i="15"/>
  <c r="BQ7" i="15" s="1"/>
  <c r="AI8" i="83" s="1"/>
  <c r="BU6" i="15"/>
  <c r="BT6" i="15"/>
  <c r="BS6" i="15"/>
  <c r="BR6" i="15"/>
  <c r="BQ6" i="15"/>
  <c r="AI7" i="83" s="1"/>
  <c r="BP6" i="15"/>
  <c r="BT5" i="15"/>
  <c r="BU5" i="15" s="1"/>
  <c r="BR5" i="15"/>
  <c r="BS5" i="15" s="1"/>
  <c r="BP5" i="15"/>
  <c r="BQ5" i="15" s="1"/>
  <c r="AI6" i="83" s="1"/>
  <c r="I40" i="84" s="1"/>
  <c r="BT54" i="14"/>
  <c r="BU54" i="14" s="1"/>
  <c r="BR54" i="14"/>
  <c r="BS54" i="14" s="1"/>
  <c r="BP54" i="14"/>
  <c r="BQ54" i="14" s="1"/>
  <c r="AF55" i="83" s="1"/>
  <c r="BU53" i="14"/>
  <c r="BT53" i="14"/>
  <c r="BS53" i="14"/>
  <c r="BR53" i="14"/>
  <c r="BQ53" i="14"/>
  <c r="AF54" i="83" s="1"/>
  <c r="BP53" i="14"/>
  <c r="BT52" i="14"/>
  <c r="BU52" i="14" s="1"/>
  <c r="BR52" i="14"/>
  <c r="BS52" i="14" s="1"/>
  <c r="BP52" i="14"/>
  <c r="BQ52" i="14" s="1"/>
  <c r="AF53" i="83" s="1"/>
  <c r="BU51" i="14"/>
  <c r="BT51" i="14"/>
  <c r="BS51" i="14"/>
  <c r="BR51" i="14"/>
  <c r="BQ51" i="14"/>
  <c r="AF52" i="83" s="1"/>
  <c r="BP51" i="14"/>
  <c r="BT50" i="14"/>
  <c r="BU50" i="14" s="1"/>
  <c r="BR50" i="14"/>
  <c r="BS50" i="14" s="1"/>
  <c r="BP50" i="14"/>
  <c r="BQ50" i="14" s="1"/>
  <c r="AF51" i="83" s="1"/>
  <c r="BU49" i="14"/>
  <c r="BT49" i="14"/>
  <c r="BS49" i="14"/>
  <c r="BR49" i="14"/>
  <c r="BQ49" i="14"/>
  <c r="AF50" i="83" s="1"/>
  <c r="BP49" i="14"/>
  <c r="BT48" i="14"/>
  <c r="BU48" i="14" s="1"/>
  <c r="BR48" i="14"/>
  <c r="BS48" i="14" s="1"/>
  <c r="BP48" i="14"/>
  <c r="BQ48" i="14" s="1"/>
  <c r="AF49" i="83" s="1"/>
  <c r="BU47" i="14"/>
  <c r="BT47" i="14"/>
  <c r="BS47" i="14"/>
  <c r="BR47" i="14"/>
  <c r="BQ47" i="14"/>
  <c r="AF48" i="83" s="1"/>
  <c r="BP47" i="14"/>
  <c r="BT46" i="14"/>
  <c r="BU46" i="14" s="1"/>
  <c r="BR46" i="14"/>
  <c r="BS46" i="14" s="1"/>
  <c r="BP46" i="14"/>
  <c r="BQ46" i="14" s="1"/>
  <c r="AF47" i="83" s="1"/>
  <c r="BU45" i="14"/>
  <c r="BT45" i="14"/>
  <c r="BS45" i="14"/>
  <c r="BR45" i="14"/>
  <c r="BQ45" i="14"/>
  <c r="AF46" i="83" s="1"/>
  <c r="BP45" i="14"/>
  <c r="BT44" i="14"/>
  <c r="BU44" i="14" s="1"/>
  <c r="BR44" i="14"/>
  <c r="BS44" i="14" s="1"/>
  <c r="BP44" i="14"/>
  <c r="BQ44" i="14" s="1"/>
  <c r="AF45" i="83" s="1"/>
  <c r="BU43" i="14"/>
  <c r="BT43" i="14"/>
  <c r="BS43" i="14"/>
  <c r="BR43" i="14"/>
  <c r="BQ43" i="14"/>
  <c r="AF44" i="83" s="1"/>
  <c r="BP43" i="14"/>
  <c r="BT42" i="14"/>
  <c r="BU42" i="14" s="1"/>
  <c r="BR42" i="14"/>
  <c r="BS42" i="14" s="1"/>
  <c r="BP42" i="14"/>
  <c r="BQ42" i="14" s="1"/>
  <c r="AF43" i="83" s="1"/>
  <c r="BU41" i="14"/>
  <c r="BT41" i="14"/>
  <c r="BS41" i="14"/>
  <c r="BR41" i="14"/>
  <c r="BQ41" i="14"/>
  <c r="AF42" i="83" s="1"/>
  <c r="BP41" i="14"/>
  <c r="BT40" i="14"/>
  <c r="BU40" i="14" s="1"/>
  <c r="BR40" i="14"/>
  <c r="BS40" i="14" s="1"/>
  <c r="BP40" i="14"/>
  <c r="BQ40" i="14" s="1"/>
  <c r="AF41" i="83" s="1"/>
  <c r="BU39" i="14"/>
  <c r="BT39" i="14"/>
  <c r="BS39" i="14"/>
  <c r="BR39" i="14"/>
  <c r="BQ39" i="14"/>
  <c r="AF40" i="83" s="1"/>
  <c r="BP39" i="14"/>
  <c r="BT38" i="14"/>
  <c r="BU38" i="14" s="1"/>
  <c r="BR38" i="14"/>
  <c r="BS38" i="14" s="1"/>
  <c r="BP38" i="14"/>
  <c r="BQ38" i="14" s="1"/>
  <c r="AF39" i="83" s="1"/>
  <c r="BU37" i="14"/>
  <c r="BT37" i="14"/>
  <c r="BS37" i="14"/>
  <c r="BR37" i="14"/>
  <c r="BQ37" i="14"/>
  <c r="AF38" i="83" s="1"/>
  <c r="BP37" i="14"/>
  <c r="BT36" i="14"/>
  <c r="BU36" i="14" s="1"/>
  <c r="BR36" i="14"/>
  <c r="BS36" i="14" s="1"/>
  <c r="BP36" i="14"/>
  <c r="BQ36" i="14" s="1"/>
  <c r="AF37" i="83" s="1"/>
  <c r="BU35" i="14"/>
  <c r="BT35" i="14"/>
  <c r="BS35" i="14"/>
  <c r="BR35" i="14"/>
  <c r="BQ35" i="14"/>
  <c r="AF36" i="83" s="1"/>
  <c r="BP35" i="14"/>
  <c r="BT34" i="14"/>
  <c r="BU34" i="14" s="1"/>
  <c r="BR34" i="14"/>
  <c r="BS34" i="14" s="1"/>
  <c r="BP34" i="14"/>
  <c r="BQ34" i="14" s="1"/>
  <c r="AF35" i="83" s="1"/>
  <c r="BU33" i="14"/>
  <c r="BT33" i="14"/>
  <c r="BS33" i="14"/>
  <c r="BR33" i="14"/>
  <c r="BQ33" i="14"/>
  <c r="AF34" i="83" s="1"/>
  <c r="BP33" i="14"/>
  <c r="BT32" i="14"/>
  <c r="BU32" i="14" s="1"/>
  <c r="BR32" i="14"/>
  <c r="BS32" i="14" s="1"/>
  <c r="BP32" i="14"/>
  <c r="BQ32" i="14" s="1"/>
  <c r="AF33" i="83" s="1"/>
  <c r="BU31" i="14"/>
  <c r="BT31" i="14"/>
  <c r="BS31" i="14"/>
  <c r="BR31" i="14"/>
  <c r="BQ31" i="14"/>
  <c r="AF32" i="83" s="1"/>
  <c r="BP31" i="14"/>
  <c r="BT30" i="14"/>
  <c r="BU30" i="14" s="1"/>
  <c r="BR30" i="14"/>
  <c r="BS30" i="14" s="1"/>
  <c r="BP30" i="14"/>
  <c r="BQ30" i="14" s="1"/>
  <c r="AF31" i="83" s="1"/>
  <c r="BU29" i="14"/>
  <c r="BT29" i="14"/>
  <c r="BS29" i="14"/>
  <c r="BR29" i="14"/>
  <c r="BQ29" i="14"/>
  <c r="AF30" i="83" s="1"/>
  <c r="BP29" i="14"/>
  <c r="BT28" i="14"/>
  <c r="BU28" i="14" s="1"/>
  <c r="BR28" i="14"/>
  <c r="BS28" i="14" s="1"/>
  <c r="BP28" i="14"/>
  <c r="BQ28" i="14" s="1"/>
  <c r="AF29" i="83" s="1"/>
  <c r="BU27" i="14"/>
  <c r="BT27" i="14"/>
  <c r="BS27" i="14"/>
  <c r="BR27" i="14"/>
  <c r="BQ27" i="14"/>
  <c r="AF28" i="83" s="1"/>
  <c r="BP27" i="14"/>
  <c r="BT26" i="14"/>
  <c r="BU26" i="14" s="1"/>
  <c r="BR26" i="14"/>
  <c r="BS26" i="14" s="1"/>
  <c r="BP26" i="14"/>
  <c r="BQ26" i="14" s="1"/>
  <c r="AF27" i="83" s="1"/>
  <c r="BU25" i="14"/>
  <c r="BT25" i="14"/>
  <c r="BS25" i="14"/>
  <c r="BR25" i="14"/>
  <c r="BQ25" i="14"/>
  <c r="AF26" i="83" s="1"/>
  <c r="BP25" i="14"/>
  <c r="BT24" i="14"/>
  <c r="BU24" i="14" s="1"/>
  <c r="BR24" i="14"/>
  <c r="BS24" i="14" s="1"/>
  <c r="BP24" i="14"/>
  <c r="BQ24" i="14" s="1"/>
  <c r="AF25" i="83" s="1"/>
  <c r="BU23" i="14"/>
  <c r="BT23" i="14"/>
  <c r="BS23" i="14"/>
  <c r="BR23" i="14"/>
  <c r="BQ23" i="14"/>
  <c r="AF24" i="83" s="1"/>
  <c r="BP23" i="14"/>
  <c r="BT22" i="14"/>
  <c r="BU22" i="14" s="1"/>
  <c r="BR22" i="14"/>
  <c r="BS22" i="14" s="1"/>
  <c r="BP22" i="14"/>
  <c r="BQ22" i="14" s="1"/>
  <c r="AF23" i="83" s="1"/>
  <c r="BT21" i="14"/>
  <c r="BU21" i="14" s="1"/>
  <c r="BR21" i="14"/>
  <c r="BS21" i="14" s="1"/>
  <c r="BP21" i="14"/>
  <c r="BQ21" i="14" s="1"/>
  <c r="AF22" i="83" s="1"/>
  <c r="BU20" i="14"/>
  <c r="BT20" i="14"/>
  <c r="BS20" i="14"/>
  <c r="BR20" i="14"/>
  <c r="BQ20" i="14"/>
  <c r="AF21" i="83" s="1"/>
  <c r="BP20" i="14"/>
  <c r="BT19" i="14"/>
  <c r="BU19" i="14" s="1"/>
  <c r="BR19" i="14"/>
  <c r="BS19" i="14" s="1"/>
  <c r="BP19" i="14"/>
  <c r="BQ19" i="14" s="1"/>
  <c r="AF20" i="83" s="1"/>
  <c r="BU18" i="14"/>
  <c r="BT18" i="14"/>
  <c r="BS18" i="14"/>
  <c r="BR18" i="14"/>
  <c r="BQ18" i="14"/>
  <c r="AF19" i="83" s="1"/>
  <c r="BP18" i="14"/>
  <c r="BT17" i="14"/>
  <c r="BU17" i="14" s="1"/>
  <c r="BR17" i="14"/>
  <c r="BS17" i="14" s="1"/>
  <c r="BP17" i="14"/>
  <c r="BQ17" i="14" s="1"/>
  <c r="AF18" i="83" s="1"/>
  <c r="BU16" i="14"/>
  <c r="BT16" i="14"/>
  <c r="BS16" i="14"/>
  <c r="BR16" i="14"/>
  <c r="BQ16" i="14"/>
  <c r="AF17" i="83" s="1"/>
  <c r="BP16" i="14"/>
  <c r="BT15" i="14"/>
  <c r="BU15" i="14" s="1"/>
  <c r="BR15" i="14"/>
  <c r="BS15" i="14" s="1"/>
  <c r="BP15" i="14"/>
  <c r="BQ15" i="14" s="1"/>
  <c r="AF16" i="83" s="1"/>
  <c r="BU14" i="14"/>
  <c r="BT14" i="14"/>
  <c r="BS14" i="14"/>
  <c r="BR14" i="14"/>
  <c r="BQ14" i="14"/>
  <c r="AF15" i="83" s="1"/>
  <c r="BP14" i="14"/>
  <c r="BT13" i="14"/>
  <c r="BU13" i="14" s="1"/>
  <c r="BR13" i="14"/>
  <c r="BS13" i="14" s="1"/>
  <c r="BP13" i="14"/>
  <c r="BQ13" i="14" s="1"/>
  <c r="AF14" i="83" s="1"/>
  <c r="BU12" i="14"/>
  <c r="BT12" i="14"/>
  <c r="BS12" i="14"/>
  <c r="BR12" i="14"/>
  <c r="BQ12" i="14"/>
  <c r="AF13" i="83" s="1"/>
  <c r="BP12" i="14"/>
  <c r="BT11" i="14"/>
  <c r="BU11" i="14" s="1"/>
  <c r="BR11" i="14"/>
  <c r="BS11" i="14" s="1"/>
  <c r="BP11" i="14"/>
  <c r="BQ11" i="14" s="1"/>
  <c r="AF12" i="83" s="1"/>
  <c r="BU10" i="14"/>
  <c r="BT10" i="14"/>
  <c r="BS10" i="14"/>
  <c r="BR10" i="14"/>
  <c r="BQ10" i="14"/>
  <c r="AF11" i="83" s="1"/>
  <c r="BP10" i="14"/>
  <c r="BT9" i="14"/>
  <c r="BU9" i="14" s="1"/>
  <c r="BR9" i="14"/>
  <c r="BS9" i="14" s="1"/>
  <c r="BP9" i="14"/>
  <c r="BQ9" i="14" s="1"/>
  <c r="AF10" i="83" s="1"/>
  <c r="BU8" i="14"/>
  <c r="BT8" i="14"/>
  <c r="BS8" i="14"/>
  <c r="BR8" i="14"/>
  <c r="BQ8" i="14"/>
  <c r="AF9" i="83" s="1"/>
  <c r="BP8" i="14"/>
  <c r="BT7" i="14"/>
  <c r="BU7" i="14" s="1"/>
  <c r="BR7" i="14"/>
  <c r="BS7" i="14" s="1"/>
  <c r="BP7" i="14"/>
  <c r="BQ7" i="14" s="1"/>
  <c r="AF8" i="83" s="1"/>
  <c r="BU6" i="14"/>
  <c r="BT6" i="14"/>
  <c r="BS6" i="14"/>
  <c r="BR6" i="14"/>
  <c r="BQ6" i="14"/>
  <c r="AF7" i="83" s="1"/>
  <c r="BP6" i="14"/>
  <c r="BT5" i="14"/>
  <c r="BU5" i="14" s="1"/>
  <c r="BR5" i="14"/>
  <c r="BS5" i="14" s="1"/>
  <c r="BP5" i="14"/>
  <c r="BQ5" i="14" s="1"/>
  <c r="AF6" i="83" s="1"/>
  <c r="I38" i="84" s="1"/>
  <c r="BX54" i="13"/>
  <c r="BY54" i="13" s="1"/>
  <c r="BV54" i="13"/>
  <c r="BW54" i="13" s="1"/>
  <c r="BT54" i="13"/>
  <c r="BU54" i="13" s="1"/>
  <c r="AC55" i="83" s="1"/>
  <c r="BX53" i="13"/>
  <c r="BY53" i="13" s="1"/>
  <c r="BW53" i="13"/>
  <c r="BV53" i="13"/>
  <c r="BT53" i="13"/>
  <c r="BU53" i="13" s="1"/>
  <c r="AC54" i="83" s="1"/>
  <c r="BX52" i="13"/>
  <c r="BY52" i="13" s="1"/>
  <c r="BV52" i="13"/>
  <c r="BW52" i="13" s="1"/>
  <c r="BT52" i="13"/>
  <c r="BU52" i="13" s="1"/>
  <c r="AC53" i="83" s="1"/>
  <c r="BY51" i="13"/>
  <c r="BX51" i="13"/>
  <c r="BV51" i="13"/>
  <c r="BW51" i="13" s="1"/>
  <c r="BU51" i="13"/>
  <c r="AC52" i="83" s="1"/>
  <c r="BT51" i="13"/>
  <c r="BX50" i="13"/>
  <c r="BY50" i="13" s="1"/>
  <c r="BV50" i="13"/>
  <c r="BW50" i="13" s="1"/>
  <c r="BT50" i="13"/>
  <c r="BU50" i="13" s="1"/>
  <c r="AC51" i="83" s="1"/>
  <c r="BX49" i="13"/>
  <c r="BY49" i="13" s="1"/>
  <c r="BW49" i="13"/>
  <c r="BV49" i="13"/>
  <c r="BT49" i="13"/>
  <c r="BU49" i="13" s="1"/>
  <c r="AC50" i="83" s="1"/>
  <c r="BX48" i="13"/>
  <c r="BY48" i="13" s="1"/>
  <c r="BV48" i="13"/>
  <c r="BW48" i="13" s="1"/>
  <c r="BT48" i="13"/>
  <c r="BU48" i="13" s="1"/>
  <c r="AC49" i="83" s="1"/>
  <c r="BY47" i="13"/>
  <c r="BX47" i="13"/>
  <c r="BV47" i="13"/>
  <c r="BW47" i="13" s="1"/>
  <c r="BU47" i="13"/>
  <c r="AC48" i="83" s="1"/>
  <c r="BT47" i="13"/>
  <c r="BX46" i="13"/>
  <c r="BY46" i="13" s="1"/>
  <c r="BV46" i="13"/>
  <c r="BW46" i="13" s="1"/>
  <c r="BT46" i="13"/>
  <c r="BU46" i="13" s="1"/>
  <c r="AC47" i="83" s="1"/>
  <c r="BX45" i="13"/>
  <c r="BY45" i="13" s="1"/>
  <c r="BW45" i="13"/>
  <c r="BV45" i="13"/>
  <c r="BT45" i="13"/>
  <c r="BU45" i="13" s="1"/>
  <c r="AC46" i="83" s="1"/>
  <c r="BX44" i="13"/>
  <c r="BY44" i="13" s="1"/>
  <c r="BV44" i="13"/>
  <c r="BW44" i="13" s="1"/>
  <c r="BT44" i="13"/>
  <c r="BU44" i="13" s="1"/>
  <c r="AC45" i="83" s="1"/>
  <c r="BY43" i="13"/>
  <c r="BX43" i="13"/>
  <c r="BV43" i="13"/>
  <c r="BW43" i="13" s="1"/>
  <c r="BU43" i="13"/>
  <c r="AC44" i="83" s="1"/>
  <c r="BT43" i="13"/>
  <c r="BX42" i="13"/>
  <c r="BY42" i="13" s="1"/>
  <c r="BV42" i="13"/>
  <c r="BW42" i="13" s="1"/>
  <c r="BT42" i="13"/>
  <c r="BU42" i="13" s="1"/>
  <c r="AC43" i="83" s="1"/>
  <c r="BX41" i="13"/>
  <c r="BY41" i="13" s="1"/>
  <c r="BW41" i="13"/>
  <c r="BV41" i="13"/>
  <c r="BT41" i="13"/>
  <c r="BU41" i="13" s="1"/>
  <c r="AC42" i="83" s="1"/>
  <c r="BX40" i="13"/>
  <c r="BY40" i="13" s="1"/>
  <c r="BV40" i="13"/>
  <c r="BW40" i="13" s="1"/>
  <c r="BT40" i="13"/>
  <c r="BU40" i="13" s="1"/>
  <c r="AC41" i="83" s="1"/>
  <c r="BY39" i="13"/>
  <c r="BX39" i="13"/>
  <c r="BV39" i="13"/>
  <c r="BW39" i="13" s="1"/>
  <c r="BU39" i="13"/>
  <c r="AC40" i="83" s="1"/>
  <c r="BT39" i="13"/>
  <c r="BX38" i="13"/>
  <c r="BY38" i="13" s="1"/>
  <c r="BV38" i="13"/>
  <c r="BW38" i="13" s="1"/>
  <c r="BT38" i="13"/>
  <c r="BU38" i="13" s="1"/>
  <c r="AC39" i="83" s="1"/>
  <c r="BX37" i="13"/>
  <c r="BY37" i="13" s="1"/>
  <c r="BW37" i="13"/>
  <c r="BV37" i="13"/>
  <c r="BT37" i="13"/>
  <c r="BU37" i="13" s="1"/>
  <c r="AC38" i="83" s="1"/>
  <c r="BX36" i="13"/>
  <c r="BY36" i="13" s="1"/>
  <c r="BV36" i="13"/>
  <c r="BW36" i="13" s="1"/>
  <c r="BT36" i="13"/>
  <c r="BU36" i="13" s="1"/>
  <c r="AC37" i="83" s="1"/>
  <c r="BY35" i="13"/>
  <c r="BX35" i="13"/>
  <c r="BV35" i="13"/>
  <c r="BW35" i="13" s="1"/>
  <c r="BU35" i="13"/>
  <c r="AC36" i="83" s="1"/>
  <c r="BT35" i="13"/>
  <c r="BX34" i="13"/>
  <c r="BY34" i="13" s="1"/>
  <c r="BV34" i="13"/>
  <c r="BW34" i="13" s="1"/>
  <c r="BT34" i="13"/>
  <c r="BU34" i="13" s="1"/>
  <c r="AC35" i="83" s="1"/>
  <c r="BX33" i="13"/>
  <c r="BY33" i="13" s="1"/>
  <c r="BW33" i="13"/>
  <c r="BV33" i="13"/>
  <c r="BT33" i="13"/>
  <c r="BU33" i="13" s="1"/>
  <c r="AC34" i="83" s="1"/>
  <c r="BX32" i="13"/>
  <c r="BY32" i="13" s="1"/>
  <c r="BV32" i="13"/>
  <c r="BW32" i="13" s="1"/>
  <c r="BT32" i="13"/>
  <c r="BU32" i="13" s="1"/>
  <c r="AC33" i="83" s="1"/>
  <c r="BY31" i="13"/>
  <c r="BX31" i="13"/>
  <c r="BV31" i="13"/>
  <c r="BW31" i="13" s="1"/>
  <c r="BU31" i="13"/>
  <c r="AC32" i="83" s="1"/>
  <c r="BT31" i="13"/>
  <c r="BX30" i="13"/>
  <c r="BY30" i="13" s="1"/>
  <c r="BV30" i="13"/>
  <c r="BW30" i="13" s="1"/>
  <c r="BT30" i="13"/>
  <c r="BU30" i="13" s="1"/>
  <c r="AC31" i="83" s="1"/>
  <c r="BX29" i="13"/>
  <c r="BY29" i="13" s="1"/>
  <c r="BW29" i="13"/>
  <c r="BV29" i="13"/>
  <c r="BT29" i="13"/>
  <c r="BU29" i="13" s="1"/>
  <c r="AC30" i="83" s="1"/>
  <c r="BX28" i="13"/>
  <c r="BY28" i="13" s="1"/>
  <c r="BV28" i="13"/>
  <c r="BW28" i="13" s="1"/>
  <c r="BT28" i="13"/>
  <c r="BU28" i="13" s="1"/>
  <c r="AC29" i="83" s="1"/>
  <c r="BY27" i="13"/>
  <c r="BX27" i="13"/>
  <c r="BV27" i="13"/>
  <c r="BW27" i="13" s="1"/>
  <c r="BU27" i="13"/>
  <c r="AC28" i="83" s="1"/>
  <c r="BT27" i="13"/>
  <c r="BX26" i="13"/>
  <c r="BY26" i="13" s="1"/>
  <c r="BV26" i="13"/>
  <c r="BW26" i="13" s="1"/>
  <c r="BT26" i="13"/>
  <c r="BU26" i="13" s="1"/>
  <c r="AC27" i="83" s="1"/>
  <c r="BX25" i="13"/>
  <c r="BY25" i="13" s="1"/>
  <c r="BW25" i="13"/>
  <c r="BV25" i="13"/>
  <c r="BT25" i="13"/>
  <c r="BU25" i="13" s="1"/>
  <c r="AC26" i="83" s="1"/>
  <c r="BX24" i="13"/>
  <c r="BY24" i="13" s="1"/>
  <c r="BV24" i="13"/>
  <c r="BW24" i="13" s="1"/>
  <c r="BT24" i="13"/>
  <c r="BU24" i="13" s="1"/>
  <c r="AC25" i="83" s="1"/>
  <c r="BY23" i="13"/>
  <c r="BX23" i="13"/>
  <c r="BV23" i="13"/>
  <c r="BW23" i="13" s="1"/>
  <c r="BU23" i="13"/>
  <c r="AC24" i="83" s="1"/>
  <c r="BT23" i="13"/>
  <c r="BX22" i="13"/>
  <c r="BY22" i="13" s="1"/>
  <c r="BV22" i="13"/>
  <c r="BW22" i="13" s="1"/>
  <c r="BT22" i="13"/>
  <c r="BU22" i="13" s="1"/>
  <c r="AC23" i="83" s="1"/>
  <c r="BX21" i="13"/>
  <c r="BY21" i="13" s="1"/>
  <c r="BV21" i="13"/>
  <c r="BW21" i="13" s="1"/>
  <c r="BT21" i="13"/>
  <c r="BU21" i="13" s="1"/>
  <c r="AC22" i="83" s="1"/>
  <c r="BY20" i="13"/>
  <c r="BX20" i="13"/>
  <c r="BV20" i="13"/>
  <c r="BW20" i="13" s="1"/>
  <c r="BU20" i="13"/>
  <c r="AC21" i="83" s="1"/>
  <c r="BT20" i="13"/>
  <c r="BX19" i="13"/>
  <c r="BY19" i="13" s="1"/>
  <c r="BV19" i="13"/>
  <c r="BW19" i="13" s="1"/>
  <c r="BT19" i="13"/>
  <c r="BU19" i="13" s="1"/>
  <c r="AC20" i="83" s="1"/>
  <c r="BX18" i="13"/>
  <c r="BY18" i="13" s="1"/>
  <c r="BW18" i="13"/>
  <c r="BV18" i="13"/>
  <c r="BT18" i="13"/>
  <c r="BU18" i="13" s="1"/>
  <c r="AC19" i="83" s="1"/>
  <c r="BX17" i="13"/>
  <c r="BY17" i="13" s="1"/>
  <c r="BV17" i="13"/>
  <c r="BW17" i="13" s="1"/>
  <c r="BT17" i="13"/>
  <c r="BU17" i="13" s="1"/>
  <c r="AC18" i="83" s="1"/>
  <c r="BX16" i="13"/>
  <c r="BY16" i="13" s="1"/>
  <c r="BW16" i="13"/>
  <c r="BV16" i="13"/>
  <c r="BT16" i="13"/>
  <c r="BU16" i="13" s="1"/>
  <c r="AC17" i="83" s="1"/>
  <c r="BX15" i="13"/>
  <c r="BY15" i="13" s="1"/>
  <c r="BV15" i="13"/>
  <c r="BW15" i="13" s="1"/>
  <c r="BT15" i="13"/>
  <c r="BU15" i="13" s="1"/>
  <c r="AC16" i="83" s="1"/>
  <c r="BY14" i="13"/>
  <c r="BX14" i="13"/>
  <c r="BV14" i="13"/>
  <c r="BW14" i="13" s="1"/>
  <c r="BU14" i="13"/>
  <c r="AC15" i="83" s="1"/>
  <c r="BT14" i="13"/>
  <c r="BX13" i="13"/>
  <c r="BY13" i="13" s="1"/>
  <c r="BV13" i="13"/>
  <c r="BW13" i="13" s="1"/>
  <c r="BT13" i="13"/>
  <c r="BU13" i="13" s="1"/>
  <c r="AC14" i="83" s="1"/>
  <c r="BY12" i="13"/>
  <c r="BX12" i="13"/>
  <c r="BV12" i="13"/>
  <c r="BW12" i="13" s="1"/>
  <c r="BU12" i="13"/>
  <c r="AC13" i="83" s="1"/>
  <c r="BT12" i="13"/>
  <c r="BX11" i="13"/>
  <c r="BY11" i="13" s="1"/>
  <c r="BV11" i="13"/>
  <c r="BW11" i="13" s="1"/>
  <c r="BT11" i="13"/>
  <c r="BU11" i="13" s="1"/>
  <c r="AC12" i="83" s="1"/>
  <c r="BX10" i="13"/>
  <c r="BY10" i="13" s="1"/>
  <c r="BW10" i="13"/>
  <c r="BV10" i="13"/>
  <c r="BT10" i="13"/>
  <c r="BU10" i="13" s="1"/>
  <c r="AC11" i="83" s="1"/>
  <c r="BX9" i="13"/>
  <c r="BY9" i="13" s="1"/>
  <c r="BV9" i="13"/>
  <c r="BW9" i="13" s="1"/>
  <c r="BT9" i="13"/>
  <c r="BU9" i="13" s="1"/>
  <c r="AC10" i="83" s="1"/>
  <c r="BX8" i="13"/>
  <c r="BY8" i="13" s="1"/>
  <c r="BW8" i="13"/>
  <c r="BV8" i="13"/>
  <c r="BT8" i="13"/>
  <c r="BU8" i="13" s="1"/>
  <c r="AC9" i="83" s="1"/>
  <c r="BX7" i="13"/>
  <c r="BY7" i="13" s="1"/>
  <c r="BV7" i="13"/>
  <c r="BW7" i="13" s="1"/>
  <c r="BT7" i="13"/>
  <c r="BU7" i="13" s="1"/>
  <c r="AC8" i="83" s="1"/>
  <c r="BY6" i="13"/>
  <c r="BX6" i="13"/>
  <c r="BW6" i="13"/>
  <c r="BV6" i="13"/>
  <c r="BU6" i="13"/>
  <c r="AC7" i="83" s="1"/>
  <c r="BT6" i="13"/>
  <c r="BX5" i="13"/>
  <c r="BY5" i="13" s="1"/>
  <c r="BV5" i="13"/>
  <c r="BW5" i="13" s="1"/>
  <c r="BT5" i="13"/>
  <c r="BU5" i="13" s="1"/>
  <c r="AC6" i="83" s="1"/>
  <c r="I36" i="84" s="1"/>
  <c r="BQ54" i="26"/>
  <c r="BR54" i="26" s="1"/>
  <c r="BO54" i="26"/>
  <c r="BP54" i="26" s="1"/>
  <c r="BM54" i="26"/>
  <c r="BN54" i="26" s="1"/>
  <c r="BQ53" i="26"/>
  <c r="BR53" i="26" s="1"/>
  <c r="BO53" i="26"/>
  <c r="BP53" i="26" s="1"/>
  <c r="BN53" i="26"/>
  <c r="BM53" i="26"/>
  <c r="BQ52" i="26"/>
  <c r="BR52" i="26" s="1"/>
  <c r="BP52" i="26"/>
  <c r="BO52" i="26"/>
  <c r="BM52" i="26"/>
  <c r="BN52" i="26" s="1"/>
  <c r="BQ51" i="26"/>
  <c r="BR51" i="26" s="1"/>
  <c r="BO51" i="26"/>
  <c r="BP51" i="26" s="1"/>
  <c r="BM51" i="26"/>
  <c r="BN51" i="26" s="1"/>
  <c r="BR50" i="26"/>
  <c r="BQ50" i="26"/>
  <c r="BO50" i="26"/>
  <c r="BP50" i="26" s="1"/>
  <c r="BN50" i="26"/>
  <c r="BM50" i="26"/>
  <c r="BQ49" i="26"/>
  <c r="BR49" i="26" s="1"/>
  <c r="BO49" i="26"/>
  <c r="BP49" i="26" s="1"/>
  <c r="BM49" i="26"/>
  <c r="BN49" i="26" s="1"/>
  <c r="BQ48" i="26"/>
  <c r="BR48" i="26" s="1"/>
  <c r="BP48" i="26"/>
  <c r="BO48" i="26"/>
  <c r="BM48" i="26"/>
  <c r="BN48" i="26" s="1"/>
  <c r="BQ47" i="26"/>
  <c r="BR47" i="26" s="1"/>
  <c r="BO47" i="26"/>
  <c r="BP47" i="26" s="1"/>
  <c r="BM47" i="26"/>
  <c r="BN47" i="26" s="1"/>
  <c r="BR46" i="26"/>
  <c r="BQ46" i="26"/>
  <c r="BO46" i="26"/>
  <c r="BP46" i="26" s="1"/>
  <c r="BN46" i="26"/>
  <c r="BM46" i="26"/>
  <c r="BQ45" i="26"/>
  <c r="BR45" i="26" s="1"/>
  <c r="BO45" i="26"/>
  <c r="BP45" i="26" s="1"/>
  <c r="BM45" i="26"/>
  <c r="BN45" i="26" s="1"/>
  <c r="BQ44" i="26"/>
  <c r="BR44" i="26" s="1"/>
  <c r="BP44" i="26"/>
  <c r="BO44" i="26"/>
  <c r="BM44" i="26"/>
  <c r="BN44" i="26" s="1"/>
  <c r="BQ43" i="26"/>
  <c r="BR43" i="26" s="1"/>
  <c r="BO43" i="26"/>
  <c r="BP43" i="26" s="1"/>
  <c r="BM43" i="26"/>
  <c r="BN43" i="26" s="1"/>
  <c r="BQ42" i="26"/>
  <c r="BR42" i="26" s="1"/>
  <c r="BO42" i="26"/>
  <c r="BP42" i="26" s="1"/>
  <c r="BM42" i="26"/>
  <c r="BN42" i="26" s="1"/>
  <c r="BQ41" i="26"/>
  <c r="BR41" i="26" s="1"/>
  <c r="BO41" i="26"/>
  <c r="BP41" i="26" s="1"/>
  <c r="BM41" i="26"/>
  <c r="BN41" i="26" s="1"/>
  <c r="BQ40" i="26"/>
  <c r="BR40" i="26" s="1"/>
  <c r="BO40" i="26"/>
  <c r="BP40" i="26" s="1"/>
  <c r="BM40" i="26"/>
  <c r="BN40" i="26" s="1"/>
  <c r="BQ39" i="26"/>
  <c r="BR39" i="26" s="1"/>
  <c r="BO39" i="26"/>
  <c r="BP39" i="26" s="1"/>
  <c r="BM39" i="26"/>
  <c r="BN39" i="26" s="1"/>
  <c r="BR38" i="26"/>
  <c r="BQ38" i="26"/>
  <c r="BP38" i="26"/>
  <c r="BO38" i="26"/>
  <c r="BN38" i="26"/>
  <c r="BM38" i="26"/>
  <c r="BQ37" i="26"/>
  <c r="BR37" i="26" s="1"/>
  <c r="BO37" i="26"/>
  <c r="BP37" i="26" s="1"/>
  <c r="BM37" i="26"/>
  <c r="BN37" i="26" s="1"/>
  <c r="BQ36" i="26"/>
  <c r="BR36" i="26" s="1"/>
  <c r="BO36" i="26"/>
  <c r="BP36" i="26" s="1"/>
  <c r="BM36" i="26"/>
  <c r="BN36" i="26" s="1"/>
  <c r="BQ35" i="26"/>
  <c r="BR35" i="26" s="1"/>
  <c r="BO35" i="26"/>
  <c r="BP35" i="26" s="1"/>
  <c r="BM35" i="26"/>
  <c r="BN35" i="26" s="1"/>
  <c r="BR34" i="26"/>
  <c r="BQ34" i="26"/>
  <c r="BP34" i="26"/>
  <c r="BO34" i="26"/>
  <c r="BN34" i="26"/>
  <c r="BM34" i="26"/>
  <c r="BQ33" i="26"/>
  <c r="BR33" i="26" s="1"/>
  <c r="BO33" i="26"/>
  <c r="BP33" i="26" s="1"/>
  <c r="BM33" i="26"/>
  <c r="BN33" i="26" s="1"/>
  <c r="BQ32" i="26"/>
  <c r="BR32" i="26" s="1"/>
  <c r="BO32" i="26"/>
  <c r="BP32" i="26" s="1"/>
  <c r="BM32" i="26"/>
  <c r="BN32" i="26" s="1"/>
  <c r="BQ31" i="26"/>
  <c r="BR31" i="26" s="1"/>
  <c r="BO31" i="26"/>
  <c r="BP31" i="26" s="1"/>
  <c r="BM31" i="26"/>
  <c r="BN31" i="26" s="1"/>
  <c r="BR30" i="26"/>
  <c r="BQ30" i="26"/>
  <c r="BP30" i="26"/>
  <c r="BO30" i="26"/>
  <c r="BN30" i="26"/>
  <c r="BM30" i="26"/>
  <c r="BQ29" i="26"/>
  <c r="BR29" i="26" s="1"/>
  <c r="BO29" i="26"/>
  <c r="BP29" i="26" s="1"/>
  <c r="BM29" i="26"/>
  <c r="BN29" i="26" s="1"/>
  <c r="BQ28" i="26"/>
  <c r="BR28" i="26" s="1"/>
  <c r="BO28" i="26"/>
  <c r="BP28" i="26" s="1"/>
  <c r="BM28" i="26"/>
  <c r="BN28" i="26" s="1"/>
  <c r="BQ27" i="26"/>
  <c r="BR27" i="26" s="1"/>
  <c r="BO27" i="26"/>
  <c r="BP27" i="26" s="1"/>
  <c r="BM27" i="26"/>
  <c r="BN27" i="26" s="1"/>
  <c r="BR26" i="26"/>
  <c r="BQ26" i="26"/>
  <c r="BP26" i="26"/>
  <c r="BO26" i="26"/>
  <c r="BN26" i="26"/>
  <c r="BM26" i="26"/>
  <c r="BQ25" i="26"/>
  <c r="BR25" i="26" s="1"/>
  <c r="BO25" i="26"/>
  <c r="BP25" i="26" s="1"/>
  <c r="BM25" i="26"/>
  <c r="BN25" i="26" s="1"/>
  <c r="BQ24" i="26"/>
  <c r="BR24" i="26" s="1"/>
  <c r="BO24" i="26"/>
  <c r="BP24" i="26" s="1"/>
  <c r="BM24" i="26"/>
  <c r="BN24" i="26" s="1"/>
  <c r="BQ23" i="26"/>
  <c r="BR23" i="26" s="1"/>
  <c r="BO23" i="26"/>
  <c r="BP23" i="26" s="1"/>
  <c r="BM23" i="26"/>
  <c r="BN23" i="26" s="1"/>
  <c r="BQ22" i="26"/>
  <c r="BR22" i="26" s="1"/>
  <c r="BO22" i="26"/>
  <c r="BP22" i="26" s="1"/>
  <c r="BM22" i="26"/>
  <c r="BN22" i="26" s="1"/>
  <c r="BQ21" i="26"/>
  <c r="BR21" i="26" s="1"/>
  <c r="BO21" i="26"/>
  <c r="BP21" i="26" s="1"/>
  <c r="BN21" i="26"/>
  <c r="BM21" i="26"/>
  <c r="BR20" i="26"/>
  <c r="BQ20" i="26"/>
  <c r="BP20" i="26"/>
  <c r="BO20" i="26"/>
  <c r="BN20" i="26"/>
  <c r="BM20" i="26"/>
  <c r="BQ19" i="26"/>
  <c r="BR19" i="26" s="1"/>
  <c r="BO19" i="26"/>
  <c r="BP19" i="26" s="1"/>
  <c r="BM19" i="26"/>
  <c r="BN19" i="26" s="1"/>
  <c r="BR18" i="26"/>
  <c r="BQ18" i="26"/>
  <c r="BP18" i="26"/>
  <c r="BO18" i="26"/>
  <c r="BN18" i="26"/>
  <c r="BM18" i="26"/>
  <c r="BR17" i="26"/>
  <c r="BQ17" i="26"/>
  <c r="BO17" i="26"/>
  <c r="BP17" i="26" s="1"/>
  <c r="BM17" i="26"/>
  <c r="BN17" i="26" s="1"/>
  <c r="BQ16" i="26"/>
  <c r="BR16" i="26" s="1"/>
  <c r="BO16" i="26"/>
  <c r="BP16" i="26" s="1"/>
  <c r="BM16" i="26"/>
  <c r="BN16" i="26" s="1"/>
  <c r="BQ15" i="26"/>
  <c r="BR15" i="26" s="1"/>
  <c r="BP15" i="26"/>
  <c r="BO15" i="26"/>
  <c r="BM15" i="26"/>
  <c r="BN15" i="26" s="1"/>
  <c r="BQ14" i="26"/>
  <c r="BR14" i="26" s="1"/>
  <c r="BO14" i="26"/>
  <c r="BP14" i="26" s="1"/>
  <c r="BM14" i="26"/>
  <c r="BN14" i="26" s="1"/>
  <c r="BQ13" i="26"/>
  <c r="BR13" i="26" s="1"/>
  <c r="BO13" i="26"/>
  <c r="BP13" i="26" s="1"/>
  <c r="BN13" i="26"/>
  <c r="BM13" i="26"/>
  <c r="BR12" i="26"/>
  <c r="BQ12" i="26"/>
  <c r="BP12" i="26"/>
  <c r="BO12" i="26"/>
  <c r="BN12" i="26"/>
  <c r="BM12" i="26"/>
  <c r="BQ11" i="26"/>
  <c r="BR11" i="26" s="1"/>
  <c r="BO11" i="26"/>
  <c r="BP11" i="26" s="1"/>
  <c r="BM11" i="26"/>
  <c r="BN11" i="26" s="1"/>
  <c r="BR10" i="26"/>
  <c r="BQ10" i="26"/>
  <c r="BP10" i="26"/>
  <c r="BO10" i="26"/>
  <c r="BN10" i="26"/>
  <c r="BM10" i="26"/>
  <c r="BR9" i="26"/>
  <c r="BQ9" i="26"/>
  <c r="BO9" i="26"/>
  <c r="BP9" i="26" s="1"/>
  <c r="BM9" i="26"/>
  <c r="BN9" i="26" s="1"/>
  <c r="BQ8" i="26"/>
  <c r="BR8" i="26" s="1"/>
  <c r="BO8" i="26"/>
  <c r="BP8" i="26" s="1"/>
  <c r="BM8" i="26"/>
  <c r="BN8" i="26" s="1"/>
  <c r="BQ7" i="26"/>
  <c r="BR7" i="26" s="1"/>
  <c r="BP7" i="26"/>
  <c r="BO7" i="26"/>
  <c r="BM7" i="26"/>
  <c r="BN7" i="26" s="1"/>
  <c r="BQ6" i="26"/>
  <c r="BR6" i="26" s="1"/>
  <c r="BO6" i="26"/>
  <c r="BP6" i="26" s="1"/>
  <c r="BM6" i="26"/>
  <c r="BN6" i="26" s="1"/>
  <c r="BQ5" i="26"/>
  <c r="BR5" i="26" s="1"/>
  <c r="BO5" i="26"/>
  <c r="BP5" i="26" s="1"/>
  <c r="BN5" i="26"/>
  <c r="BM5" i="26"/>
  <c r="BR54" i="12"/>
  <c r="BQ54" i="12"/>
  <c r="BP54" i="12"/>
  <c r="BO54" i="12"/>
  <c r="BN54" i="12"/>
  <c r="BM54" i="12"/>
  <c r="BQ53" i="12"/>
  <c r="BR53" i="12" s="1"/>
  <c r="BO53" i="12"/>
  <c r="BP53" i="12" s="1"/>
  <c r="BN53" i="12"/>
  <c r="BM53" i="12"/>
  <c r="BR52" i="12"/>
  <c r="BQ52" i="12"/>
  <c r="BO52" i="12"/>
  <c r="BP52" i="12" s="1"/>
  <c r="BN52" i="12"/>
  <c r="BM52" i="12"/>
  <c r="BQ51" i="12"/>
  <c r="BR51" i="12" s="1"/>
  <c r="BP51" i="12"/>
  <c r="BO51" i="12"/>
  <c r="BM51" i="12"/>
  <c r="BN51" i="12" s="1"/>
  <c r="BR50" i="12"/>
  <c r="BQ50" i="12"/>
  <c r="BP50" i="12"/>
  <c r="BO50" i="12"/>
  <c r="BN50" i="12"/>
  <c r="BM50" i="12"/>
  <c r="BR49" i="12"/>
  <c r="BQ49" i="12"/>
  <c r="BO49" i="12"/>
  <c r="BP49" i="12" s="1"/>
  <c r="BN49" i="12"/>
  <c r="BM49" i="12"/>
  <c r="BR48" i="12"/>
  <c r="BQ48" i="12"/>
  <c r="BP48" i="12"/>
  <c r="BO48" i="12"/>
  <c r="BN48" i="12"/>
  <c r="BM48" i="12"/>
  <c r="BQ47" i="12"/>
  <c r="BR47" i="12" s="1"/>
  <c r="BP47" i="12"/>
  <c r="BO47" i="12"/>
  <c r="BM47" i="12"/>
  <c r="BN47" i="12" s="1"/>
  <c r="BR46" i="12"/>
  <c r="BQ46" i="12"/>
  <c r="BP46" i="12"/>
  <c r="BO46" i="12"/>
  <c r="BN46" i="12"/>
  <c r="BM46" i="12"/>
  <c r="BQ45" i="12"/>
  <c r="BR45" i="12" s="1"/>
  <c r="BO45" i="12"/>
  <c r="BP45" i="12" s="1"/>
  <c r="BM45" i="12"/>
  <c r="BN45" i="12" s="1"/>
  <c r="BR44" i="12"/>
  <c r="BQ44" i="12"/>
  <c r="BO44" i="12"/>
  <c r="BP44" i="12" s="1"/>
  <c r="BN44" i="12"/>
  <c r="BM44" i="12"/>
  <c r="BQ43" i="12"/>
  <c r="BR43" i="12" s="1"/>
  <c r="BO43" i="12"/>
  <c r="BP43" i="12" s="1"/>
  <c r="BM43" i="12"/>
  <c r="BN43" i="12" s="1"/>
  <c r="BQ42" i="12"/>
  <c r="BR42" i="12" s="1"/>
  <c r="BP42" i="12"/>
  <c r="BO42" i="12"/>
  <c r="BM42" i="12"/>
  <c r="BN42" i="12" s="1"/>
  <c r="BR41" i="12"/>
  <c r="BQ41" i="12"/>
  <c r="BO41" i="12"/>
  <c r="BP41" i="12" s="1"/>
  <c r="BN41" i="12"/>
  <c r="BM41" i="12"/>
  <c r="BR40" i="12"/>
  <c r="BQ40" i="12"/>
  <c r="BP40" i="12"/>
  <c r="BO40" i="12"/>
  <c r="BN40" i="12"/>
  <c r="BM40" i="12"/>
  <c r="BQ39" i="12"/>
  <c r="BR39" i="12" s="1"/>
  <c r="BP39" i="12"/>
  <c r="BO39" i="12"/>
  <c r="BM39" i="12"/>
  <c r="BN39" i="12" s="1"/>
  <c r="BR38" i="12"/>
  <c r="BQ38" i="12"/>
  <c r="BP38" i="12"/>
  <c r="BO38" i="12"/>
  <c r="BN38" i="12"/>
  <c r="BM38" i="12"/>
  <c r="BQ37" i="12"/>
  <c r="BR37" i="12" s="1"/>
  <c r="BO37" i="12"/>
  <c r="BP37" i="12" s="1"/>
  <c r="BM37" i="12"/>
  <c r="BN37" i="12" s="1"/>
  <c r="BR36" i="12"/>
  <c r="BQ36" i="12"/>
  <c r="BO36" i="12"/>
  <c r="BP36" i="12" s="1"/>
  <c r="BN36" i="12"/>
  <c r="BM36" i="12"/>
  <c r="BQ35" i="12"/>
  <c r="BR35" i="12" s="1"/>
  <c r="BO35" i="12"/>
  <c r="BP35" i="12" s="1"/>
  <c r="BM35" i="12"/>
  <c r="BN35" i="12" s="1"/>
  <c r="BQ34" i="12"/>
  <c r="BR34" i="12" s="1"/>
  <c r="BP34" i="12"/>
  <c r="BO34" i="12"/>
  <c r="BM34" i="12"/>
  <c r="BN34" i="12" s="1"/>
  <c r="BR33" i="12"/>
  <c r="BQ33" i="12"/>
  <c r="BO33" i="12"/>
  <c r="BP33" i="12" s="1"/>
  <c r="BN33" i="12"/>
  <c r="BM33" i="12"/>
  <c r="BR32" i="12"/>
  <c r="BQ32" i="12"/>
  <c r="BP32" i="12"/>
  <c r="BO32" i="12"/>
  <c r="BN32" i="12"/>
  <c r="BM32" i="12"/>
  <c r="BQ31" i="12"/>
  <c r="BR31" i="12" s="1"/>
  <c r="BP31" i="12"/>
  <c r="BO31" i="12"/>
  <c r="BM31" i="12"/>
  <c r="BN31" i="12" s="1"/>
  <c r="BR30" i="12"/>
  <c r="BQ30" i="12"/>
  <c r="BP30" i="12"/>
  <c r="BO30" i="12"/>
  <c r="BN30" i="12"/>
  <c r="BM30" i="12"/>
  <c r="BQ29" i="12"/>
  <c r="BR29" i="12" s="1"/>
  <c r="BO29" i="12"/>
  <c r="BP29" i="12" s="1"/>
  <c r="BM29" i="12"/>
  <c r="BN29" i="12" s="1"/>
  <c r="BR28" i="12"/>
  <c r="BQ28" i="12"/>
  <c r="BO28" i="12"/>
  <c r="BP28" i="12" s="1"/>
  <c r="BN28" i="12"/>
  <c r="BM28" i="12"/>
  <c r="BQ27" i="12"/>
  <c r="BR27" i="12" s="1"/>
  <c r="BO27" i="12"/>
  <c r="BP27" i="12" s="1"/>
  <c r="BM27" i="12"/>
  <c r="BN27" i="12" s="1"/>
  <c r="BQ26" i="12"/>
  <c r="BR26" i="12" s="1"/>
  <c r="BP26" i="12"/>
  <c r="BO26" i="12"/>
  <c r="BM26" i="12"/>
  <c r="BN26" i="12" s="1"/>
  <c r="BR25" i="12"/>
  <c r="BQ25" i="12"/>
  <c r="BO25" i="12"/>
  <c r="BP25" i="12" s="1"/>
  <c r="BM25" i="12"/>
  <c r="BN25" i="12" s="1"/>
  <c r="BR24" i="12"/>
  <c r="BQ24" i="12"/>
  <c r="BP24" i="12"/>
  <c r="BO24" i="12"/>
  <c r="BN24" i="12"/>
  <c r="BM24" i="12"/>
  <c r="BQ23" i="12"/>
  <c r="BR23" i="12" s="1"/>
  <c r="BP23" i="12"/>
  <c r="BO23" i="12"/>
  <c r="BM23" i="12"/>
  <c r="BN23" i="12" s="1"/>
  <c r="BR22" i="12"/>
  <c r="BQ22" i="12"/>
  <c r="BP22" i="12"/>
  <c r="BO22" i="12"/>
  <c r="BN22" i="12"/>
  <c r="BM22" i="12"/>
  <c r="BR21" i="12"/>
  <c r="BQ21" i="12"/>
  <c r="BO21" i="12"/>
  <c r="BP21" i="12" s="1"/>
  <c r="BM21" i="12"/>
  <c r="BN21" i="12" s="1"/>
  <c r="BQ20" i="12"/>
  <c r="BR20" i="12" s="1"/>
  <c r="BP20" i="12"/>
  <c r="BO20" i="12"/>
  <c r="BM20" i="12"/>
  <c r="BN20" i="12" s="1"/>
  <c r="BR19" i="12"/>
  <c r="BQ19" i="12"/>
  <c r="BO19" i="12"/>
  <c r="BP19" i="12" s="1"/>
  <c r="BN19" i="12"/>
  <c r="BM19" i="12"/>
  <c r="BR18" i="12"/>
  <c r="BQ18" i="12"/>
  <c r="BP18" i="12"/>
  <c r="BO18" i="12"/>
  <c r="BN18" i="12"/>
  <c r="BM18" i="12"/>
  <c r="BQ17" i="12"/>
  <c r="BR17" i="12" s="1"/>
  <c r="BP17" i="12"/>
  <c r="BO17" i="12"/>
  <c r="BM17" i="12"/>
  <c r="BN17" i="12" s="1"/>
  <c r="BR16" i="12"/>
  <c r="BQ16" i="12"/>
  <c r="BP16" i="12"/>
  <c r="BO16" i="12"/>
  <c r="BN16" i="12"/>
  <c r="BM16" i="12"/>
  <c r="BQ15" i="12"/>
  <c r="BR15" i="12" s="1"/>
  <c r="BO15" i="12"/>
  <c r="BP15" i="12" s="1"/>
  <c r="BM15" i="12"/>
  <c r="BN15" i="12" s="1"/>
  <c r="BR14" i="12"/>
  <c r="BQ14" i="12"/>
  <c r="BO14" i="12"/>
  <c r="BP14" i="12" s="1"/>
  <c r="BN14" i="12"/>
  <c r="BM14" i="12"/>
  <c r="BQ13" i="12"/>
  <c r="BR13" i="12" s="1"/>
  <c r="BO13" i="12"/>
  <c r="BP13" i="12" s="1"/>
  <c r="BM13" i="12"/>
  <c r="BN13" i="12" s="1"/>
  <c r="BQ12" i="12"/>
  <c r="BR12" i="12" s="1"/>
  <c r="BP12" i="12"/>
  <c r="BO12" i="12"/>
  <c r="BM12" i="12"/>
  <c r="BN12" i="12" s="1"/>
  <c r="BR11" i="12"/>
  <c r="BQ11" i="12"/>
  <c r="BO11" i="12"/>
  <c r="BP11" i="12" s="1"/>
  <c r="BN11" i="12"/>
  <c r="BM11" i="12"/>
  <c r="BR10" i="12"/>
  <c r="BQ10" i="12"/>
  <c r="BO10" i="12"/>
  <c r="BP10" i="12" s="1"/>
  <c r="BN10" i="12"/>
  <c r="BM10" i="12"/>
  <c r="BQ9" i="12"/>
  <c r="BR9" i="12" s="1"/>
  <c r="BP9" i="12"/>
  <c r="BO9" i="12"/>
  <c r="BM9" i="12"/>
  <c r="BN9" i="12" s="1"/>
  <c r="BQ8" i="12"/>
  <c r="BR8" i="12" s="1"/>
  <c r="BP8" i="12"/>
  <c r="BO8" i="12"/>
  <c r="BM8" i="12"/>
  <c r="BN8" i="12" s="1"/>
  <c r="BR7" i="12"/>
  <c r="BQ7" i="12"/>
  <c r="BO7" i="12"/>
  <c r="BP7" i="12" s="1"/>
  <c r="BN7" i="12"/>
  <c r="BM7" i="12"/>
  <c r="BR6" i="12"/>
  <c r="BQ6" i="12"/>
  <c r="BO6" i="12"/>
  <c r="BP6" i="12" s="1"/>
  <c r="BN6" i="12"/>
  <c r="BM6" i="12"/>
  <c r="BQ5" i="12"/>
  <c r="BR5" i="12" s="1"/>
  <c r="BP5" i="12"/>
  <c r="BO5" i="12"/>
  <c r="BM5" i="12"/>
  <c r="BN5" i="12" s="1"/>
  <c r="BR54" i="34"/>
  <c r="BQ54" i="34"/>
  <c r="BO54" i="34"/>
  <c r="BP54" i="34" s="1"/>
  <c r="BN54" i="34"/>
  <c r="BM54" i="34"/>
  <c r="BR53" i="34"/>
  <c r="BQ53" i="34"/>
  <c r="BO53" i="34"/>
  <c r="BP53" i="34" s="1"/>
  <c r="BN53" i="34"/>
  <c r="BM53" i="34"/>
  <c r="BR52" i="34"/>
  <c r="BQ52" i="34"/>
  <c r="BP52" i="34"/>
  <c r="BO52" i="34"/>
  <c r="BN52" i="34"/>
  <c r="BM52" i="34"/>
  <c r="BQ51" i="34"/>
  <c r="BR51" i="34" s="1"/>
  <c r="BP51" i="34"/>
  <c r="BO51" i="34"/>
  <c r="BM51" i="34"/>
  <c r="BN51" i="34" s="1"/>
  <c r="BR50" i="34"/>
  <c r="BQ50" i="34"/>
  <c r="BP50" i="34"/>
  <c r="BO50" i="34"/>
  <c r="BN50" i="34"/>
  <c r="BM50" i="34"/>
  <c r="BR49" i="34"/>
  <c r="BQ49" i="34"/>
  <c r="BO49" i="34"/>
  <c r="BP49" i="34" s="1"/>
  <c r="BN49" i="34"/>
  <c r="BM49" i="34"/>
  <c r="BR48" i="34"/>
  <c r="BQ48" i="34"/>
  <c r="BP48" i="34"/>
  <c r="BO48" i="34"/>
  <c r="BN48" i="34"/>
  <c r="BM48" i="34"/>
  <c r="BQ47" i="34"/>
  <c r="BR47" i="34" s="1"/>
  <c r="BP47" i="34"/>
  <c r="BO47" i="34"/>
  <c r="BM47" i="34"/>
  <c r="BN47" i="34" s="1"/>
  <c r="BR46" i="34"/>
  <c r="BQ46" i="34"/>
  <c r="BP46" i="34"/>
  <c r="BO46" i="34"/>
  <c r="BN46" i="34"/>
  <c r="BM46" i="34"/>
  <c r="BR45" i="34"/>
  <c r="BQ45" i="34"/>
  <c r="BO45" i="34"/>
  <c r="BP45" i="34" s="1"/>
  <c r="BN45" i="34"/>
  <c r="BM45" i="34"/>
  <c r="BR44" i="34"/>
  <c r="BQ44" i="34"/>
  <c r="BP44" i="34"/>
  <c r="BO44" i="34"/>
  <c r="BN44" i="34"/>
  <c r="BM44" i="34"/>
  <c r="BQ43" i="34"/>
  <c r="BR43" i="34" s="1"/>
  <c r="BP43" i="34"/>
  <c r="BO43" i="34"/>
  <c r="BM43" i="34"/>
  <c r="BN43" i="34" s="1"/>
  <c r="BR42" i="34"/>
  <c r="BQ42" i="34"/>
  <c r="BP42" i="34"/>
  <c r="BO42" i="34"/>
  <c r="BN42" i="34"/>
  <c r="BM42" i="34"/>
  <c r="BR41" i="34"/>
  <c r="BQ41" i="34"/>
  <c r="BO41" i="34"/>
  <c r="BP41" i="34" s="1"/>
  <c r="BN41" i="34"/>
  <c r="BM41" i="34"/>
  <c r="BR40" i="34"/>
  <c r="BQ40" i="34"/>
  <c r="BP40" i="34"/>
  <c r="BO40" i="34"/>
  <c r="BN40" i="34"/>
  <c r="BM40" i="34"/>
  <c r="BQ39" i="34"/>
  <c r="BR39" i="34" s="1"/>
  <c r="BP39" i="34"/>
  <c r="BO39" i="34"/>
  <c r="BM39" i="34"/>
  <c r="BN39" i="34" s="1"/>
  <c r="BR38" i="34"/>
  <c r="BQ38" i="34"/>
  <c r="BP38" i="34"/>
  <c r="BO38" i="34"/>
  <c r="BN38" i="34"/>
  <c r="BM38" i="34"/>
  <c r="BR37" i="34"/>
  <c r="BQ37" i="34"/>
  <c r="BO37" i="34"/>
  <c r="BP37" i="34" s="1"/>
  <c r="BN37" i="34"/>
  <c r="BM37" i="34"/>
  <c r="BR36" i="34"/>
  <c r="BQ36" i="34"/>
  <c r="BO36" i="34"/>
  <c r="BP36" i="34" s="1"/>
  <c r="BN36" i="34"/>
  <c r="BM36" i="34"/>
  <c r="BQ35" i="34"/>
  <c r="BR35" i="34" s="1"/>
  <c r="BP35" i="34"/>
  <c r="BO35" i="34"/>
  <c r="BM35" i="34"/>
  <c r="BN35" i="34" s="1"/>
  <c r="BR34" i="34"/>
  <c r="BQ34" i="34"/>
  <c r="BP34" i="34"/>
  <c r="BO34" i="34"/>
  <c r="BN34" i="34"/>
  <c r="BM34" i="34"/>
  <c r="BQ33" i="34"/>
  <c r="BR33" i="34" s="1"/>
  <c r="BO33" i="34"/>
  <c r="BP33" i="34" s="1"/>
  <c r="BN33" i="34"/>
  <c r="BM33" i="34"/>
  <c r="BR32" i="34"/>
  <c r="BQ32" i="34"/>
  <c r="BO32" i="34"/>
  <c r="BP32" i="34" s="1"/>
  <c r="BN32" i="34"/>
  <c r="BM32" i="34"/>
  <c r="BQ31" i="34"/>
  <c r="BR31" i="34" s="1"/>
  <c r="BP31" i="34"/>
  <c r="BO31" i="34"/>
  <c r="BM31" i="34"/>
  <c r="BN31" i="34" s="1"/>
  <c r="BR30" i="34"/>
  <c r="BQ30" i="34"/>
  <c r="BP30" i="34"/>
  <c r="BO30" i="34"/>
  <c r="BN30" i="34"/>
  <c r="BM30" i="34"/>
  <c r="BQ29" i="34"/>
  <c r="BR29" i="34" s="1"/>
  <c r="BO29" i="34"/>
  <c r="BP29" i="34" s="1"/>
  <c r="BN29" i="34"/>
  <c r="BM29" i="34"/>
  <c r="BR28" i="34"/>
  <c r="BQ28" i="34"/>
  <c r="BO28" i="34"/>
  <c r="BP28" i="34" s="1"/>
  <c r="BN28" i="34"/>
  <c r="BM28" i="34"/>
  <c r="BQ27" i="34"/>
  <c r="BR27" i="34" s="1"/>
  <c r="BP27" i="34"/>
  <c r="BO27" i="34"/>
  <c r="BM27" i="34"/>
  <c r="BN27" i="34" s="1"/>
  <c r="BR26" i="34"/>
  <c r="BQ26" i="34"/>
  <c r="BP26" i="34"/>
  <c r="BO26" i="34"/>
  <c r="BN26" i="34"/>
  <c r="BM26" i="34"/>
  <c r="BQ25" i="34"/>
  <c r="BR25" i="34" s="1"/>
  <c r="BO25" i="34"/>
  <c r="BP25" i="34" s="1"/>
  <c r="BN25" i="34"/>
  <c r="BM25" i="34"/>
  <c r="BR24" i="34"/>
  <c r="BQ24" i="34"/>
  <c r="BO24" i="34"/>
  <c r="BP24" i="34" s="1"/>
  <c r="BN24" i="34"/>
  <c r="BM24" i="34"/>
  <c r="BQ23" i="34"/>
  <c r="BR23" i="34" s="1"/>
  <c r="BP23" i="34"/>
  <c r="BO23" i="34"/>
  <c r="BM23" i="34"/>
  <c r="BN23" i="34" s="1"/>
  <c r="BR22" i="34"/>
  <c r="BQ22" i="34"/>
  <c r="BP22" i="34"/>
  <c r="BO22" i="34"/>
  <c r="BN22" i="34"/>
  <c r="BM22" i="34"/>
  <c r="BQ21" i="34"/>
  <c r="BR21" i="34" s="1"/>
  <c r="BO21" i="34"/>
  <c r="BP21" i="34" s="1"/>
  <c r="BN21" i="34"/>
  <c r="BM21" i="34"/>
  <c r="BQ20" i="34"/>
  <c r="BR20" i="34" s="1"/>
  <c r="BO20" i="34"/>
  <c r="BP20" i="34" s="1"/>
  <c r="BM20" i="34"/>
  <c r="BN20" i="34" s="1"/>
  <c r="BR19" i="34"/>
  <c r="BQ19" i="34"/>
  <c r="BP19" i="34"/>
  <c r="BO19" i="34"/>
  <c r="BN19" i="34"/>
  <c r="BM19" i="34"/>
  <c r="BQ18" i="34"/>
  <c r="BR18" i="34" s="1"/>
  <c r="BO18" i="34"/>
  <c r="BP18" i="34" s="1"/>
  <c r="BM18" i="34"/>
  <c r="BN18" i="34" s="1"/>
  <c r="BR17" i="34"/>
  <c r="BQ17" i="34"/>
  <c r="BP17" i="34"/>
  <c r="BO17" i="34"/>
  <c r="BN17" i="34"/>
  <c r="BM17" i="34"/>
  <c r="BQ16" i="34"/>
  <c r="BR16" i="34" s="1"/>
  <c r="BO16" i="34"/>
  <c r="BP16" i="34" s="1"/>
  <c r="BM16" i="34"/>
  <c r="BN16" i="34" s="1"/>
  <c r="BR15" i="34"/>
  <c r="BQ15" i="34"/>
  <c r="BP15" i="34"/>
  <c r="BO15" i="34"/>
  <c r="BN15" i="34"/>
  <c r="BM15" i="34"/>
  <c r="BQ14" i="34"/>
  <c r="BR14" i="34" s="1"/>
  <c r="BO14" i="34"/>
  <c r="BP14" i="34" s="1"/>
  <c r="BM14" i="34"/>
  <c r="BN14" i="34" s="1"/>
  <c r="BR13" i="34"/>
  <c r="BQ13" i="34"/>
  <c r="BP13" i="34"/>
  <c r="BO13" i="34"/>
  <c r="BN13" i="34"/>
  <c r="BM13" i="34"/>
  <c r="BQ12" i="34"/>
  <c r="BR12" i="34" s="1"/>
  <c r="BO12" i="34"/>
  <c r="BP12" i="34" s="1"/>
  <c r="BM12" i="34"/>
  <c r="BN12" i="34" s="1"/>
  <c r="BR11" i="34"/>
  <c r="BQ11" i="34"/>
  <c r="BP11" i="34"/>
  <c r="BO11" i="34"/>
  <c r="BN11" i="34"/>
  <c r="BM11" i="34"/>
  <c r="BQ10" i="34"/>
  <c r="BR10" i="34" s="1"/>
  <c r="BO10" i="34"/>
  <c r="BP10" i="34" s="1"/>
  <c r="BM10" i="34"/>
  <c r="BN10" i="34" s="1"/>
  <c r="BR9" i="34"/>
  <c r="BQ9" i="34"/>
  <c r="BP9" i="34"/>
  <c r="BO9" i="34"/>
  <c r="BN9" i="34"/>
  <c r="BM9" i="34"/>
  <c r="BQ8" i="34"/>
  <c r="BR8" i="34" s="1"/>
  <c r="BO8" i="34"/>
  <c r="BP8" i="34" s="1"/>
  <c r="BM8" i="34"/>
  <c r="BN8" i="34" s="1"/>
  <c r="BR7" i="34"/>
  <c r="BQ7" i="34"/>
  <c r="BP7" i="34"/>
  <c r="BO7" i="34"/>
  <c r="BN7" i="34"/>
  <c r="BM7" i="34"/>
  <c r="BQ6" i="34"/>
  <c r="BR6" i="34" s="1"/>
  <c r="BO6" i="34"/>
  <c r="BP6" i="34" s="1"/>
  <c r="BM6" i="34"/>
  <c r="BN6" i="34" s="1"/>
  <c r="BQ5" i="34"/>
  <c r="BR5" i="34" s="1"/>
  <c r="BO5" i="34"/>
  <c r="BP5" i="34" s="1"/>
  <c r="BM5" i="34"/>
  <c r="BN5" i="34" s="1"/>
  <c r="BQ6" i="33"/>
  <c r="BQ7" i="33"/>
  <c r="BQ8" i="33"/>
  <c r="BQ9" i="33"/>
  <c r="BQ10" i="33"/>
  <c r="BQ11" i="33"/>
  <c r="BR11" i="33" s="1"/>
  <c r="BQ12" i="33"/>
  <c r="BQ13" i="33"/>
  <c r="BQ14" i="33"/>
  <c r="BR14" i="33" s="1"/>
  <c r="BQ15" i="33"/>
  <c r="BR15" i="33" s="1"/>
  <c r="BQ16" i="33"/>
  <c r="BQ17" i="33"/>
  <c r="BQ18" i="33"/>
  <c r="BR18" i="33" s="1"/>
  <c r="BQ19" i="33"/>
  <c r="BR19" i="33" s="1"/>
  <c r="BQ20" i="33"/>
  <c r="BQ21" i="33"/>
  <c r="BQ22" i="33"/>
  <c r="BR22" i="33" s="1"/>
  <c r="BQ23" i="33"/>
  <c r="BR23" i="33" s="1"/>
  <c r="BQ24" i="33"/>
  <c r="BQ25" i="33"/>
  <c r="BQ26" i="33"/>
  <c r="BQ27" i="33"/>
  <c r="BR27" i="33" s="1"/>
  <c r="BQ28" i="33"/>
  <c r="BQ29" i="33"/>
  <c r="BQ30" i="33"/>
  <c r="BQ31" i="33"/>
  <c r="BQ32" i="33"/>
  <c r="BQ33" i="33"/>
  <c r="BQ34" i="33"/>
  <c r="BR34" i="33" s="1"/>
  <c r="BQ35" i="33"/>
  <c r="BQ36" i="33"/>
  <c r="BQ37" i="33"/>
  <c r="BQ38" i="33"/>
  <c r="BR38" i="33" s="1"/>
  <c r="BQ39" i="33"/>
  <c r="BR39" i="33" s="1"/>
  <c r="BQ40" i="33"/>
  <c r="BQ41" i="33"/>
  <c r="BQ42" i="33"/>
  <c r="BR42" i="33" s="1"/>
  <c r="BQ43" i="33"/>
  <c r="BR43" i="33" s="1"/>
  <c r="BQ44" i="33"/>
  <c r="BQ45" i="33"/>
  <c r="BQ46" i="33"/>
  <c r="BR46" i="33" s="1"/>
  <c r="BQ47" i="33"/>
  <c r="BR47" i="33" s="1"/>
  <c r="BQ48" i="33"/>
  <c r="BQ49" i="33"/>
  <c r="BQ50" i="33"/>
  <c r="BR50" i="33" s="1"/>
  <c r="BQ51" i="33"/>
  <c r="BR51" i="33" s="1"/>
  <c r="BQ52" i="33"/>
  <c r="BQ53" i="33"/>
  <c r="BQ54" i="33"/>
  <c r="BR54" i="33" s="1"/>
  <c r="BQ5" i="33"/>
  <c r="BO6" i="33"/>
  <c r="BO7" i="33"/>
  <c r="BO8" i="33"/>
  <c r="BO9" i="33"/>
  <c r="BO10" i="33"/>
  <c r="BO11" i="33"/>
  <c r="BO12" i="33"/>
  <c r="BO13" i="33"/>
  <c r="BO14" i="33"/>
  <c r="BO15" i="33"/>
  <c r="BO16" i="33"/>
  <c r="BO17" i="33"/>
  <c r="BO18" i="33"/>
  <c r="BO19" i="33"/>
  <c r="BO20" i="33"/>
  <c r="BO21" i="33"/>
  <c r="BO22" i="33"/>
  <c r="BO23" i="33"/>
  <c r="BO24" i="33"/>
  <c r="BO25" i="33"/>
  <c r="BO26" i="33"/>
  <c r="BO27" i="33"/>
  <c r="BO28" i="33"/>
  <c r="BO29" i="33"/>
  <c r="BO30" i="33"/>
  <c r="BO31" i="33"/>
  <c r="BO32" i="33"/>
  <c r="BO33" i="33"/>
  <c r="BO34" i="33"/>
  <c r="BO35" i="33"/>
  <c r="BO36" i="33"/>
  <c r="BO37" i="33"/>
  <c r="BO38" i="33"/>
  <c r="BO39" i="33"/>
  <c r="BO40" i="33"/>
  <c r="BP40" i="33" s="1"/>
  <c r="BO41" i="33"/>
  <c r="BO42" i="33"/>
  <c r="BO43" i="33"/>
  <c r="BO44" i="33"/>
  <c r="BO45" i="33"/>
  <c r="BO46" i="33"/>
  <c r="BP46" i="33" s="1"/>
  <c r="BO47" i="33"/>
  <c r="BO48" i="33"/>
  <c r="BP48" i="33" s="1"/>
  <c r="BO49" i="33"/>
  <c r="BO50" i="33"/>
  <c r="BO51" i="33"/>
  <c r="BO52" i="33"/>
  <c r="BP52" i="33" s="1"/>
  <c r="BO53" i="33"/>
  <c r="BO54" i="33"/>
  <c r="BO5" i="33"/>
  <c r="BM6" i="33"/>
  <c r="BM7" i="33"/>
  <c r="BM8" i="33"/>
  <c r="BM9" i="33"/>
  <c r="BM10" i="33"/>
  <c r="BM11" i="33"/>
  <c r="BN11" i="33" s="1"/>
  <c r="BM12" i="33"/>
  <c r="BM13" i="33"/>
  <c r="BM14" i="33"/>
  <c r="BM15" i="33"/>
  <c r="BM16" i="33"/>
  <c r="BM17" i="33"/>
  <c r="BM18" i="33"/>
  <c r="BM19" i="33"/>
  <c r="BM20" i="33"/>
  <c r="BM21" i="33"/>
  <c r="BM22" i="33"/>
  <c r="BM23" i="33"/>
  <c r="BM24" i="33"/>
  <c r="BM25" i="33"/>
  <c r="BM26" i="33"/>
  <c r="BN26" i="33" s="1"/>
  <c r="BM27" i="33"/>
  <c r="BN27" i="33" s="1"/>
  <c r="BM28" i="33"/>
  <c r="BM29" i="33"/>
  <c r="BM30" i="33"/>
  <c r="BM31" i="33"/>
  <c r="BM32" i="33"/>
  <c r="BM33" i="33"/>
  <c r="BM34" i="33"/>
  <c r="BN34" i="33" s="1"/>
  <c r="BM35" i="33"/>
  <c r="BN35" i="33" s="1"/>
  <c r="BM36" i="33"/>
  <c r="BM37" i="33"/>
  <c r="BM38" i="33"/>
  <c r="BM39" i="33"/>
  <c r="BM40" i="33"/>
  <c r="BM41" i="33"/>
  <c r="BM42" i="33"/>
  <c r="BN42" i="33" s="1"/>
  <c r="BM43" i="33"/>
  <c r="BN43" i="33" s="1"/>
  <c r="BM44" i="33"/>
  <c r="BM45" i="33"/>
  <c r="BM46" i="33"/>
  <c r="BM47" i="33"/>
  <c r="BM48" i="33"/>
  <c r="BM49" i="33"/>
  <c r="BM50" i="33"/>
  <c r="BN50" i="33" s="1"/>
  <c r="BM51" i="33"/>
  <c r="BN51" i="33" s="1"/>
  <c r="BM52" i="33"/>
  <c r="BM53" i="33"/>
  <c r="BM54" i="33"/>
  <c r="BN8" i="33"/>
  <c r="BM5" i="33"/>
  <c r="BP54" i="33"/>
  <c r="BN54" i="33"/>
  <c r="BR53" i="33"/>
  <c r="BP53" i="33"/>
  <c r="BN53" i="33"/>
  <c r="BR52" i="33"/>
  <c r="BN52" i="33"/>
  <c r="BP51" i="33"/>
  <c r="BP50" i="33"/>
  <c r="BR49" i="33"/>
  <c r="BP49" i="33"/>
  <c r="BN49" i="33"/>
  <c r="BR48" i="33"/>
  <c r="BN48" i="33"/>
  <c r="BP47" i="33"/>
  <c r="BN47" i="33"/>
  <c r="BN46" i="33"/>
  <c r="BR45" i="33"/>
  <c r="BP45" i="33"/>
  <c r="BN45" i="33"/>
  <c r="BR44" i="33"/>
  <c r="BP44" i="33"/>
  <c r="BN44" i="33"/>
  <c r="BP43" i="33"/>
  <c r="BP42" i="33"/>
  <c r="BR41" i="33"/>
  <c r="BP41" i="33"/>
  <c r="BN41" i="33"/>
  <c r="BR40" i="33"/>
  <c r="BN40" i="33"/>
  <c r="BP39" i="33"/>
  <c r="BN39" i="33"/>
  <c r="BP38" i="33"/>
  <c r="BN38" i="33"/>
  <c r="BR37" i="33"/>
  <c r="BP37" i="33"/>
  <c r="BN37" i="33"/>
  <c r="BR36" i="33"/>
  <c r="BP36" i="33"/>
  <c r="BN36" i="33"/>
  <c r="BR35" i="33"/>
  <c r="BP35" i="33"/>
  <c r="BP34" i="33"/>
  <c r="BR33" i="33"/>
  <c r="BP33" i="33"/>
  <c r="BN33" i="33"/>
  <c r="BR32" i="33"/>
  <c r="BP32" i="33"/>
  <c r="BN32" i="33"/>
  <c r="BR31" i="33"/>
  <c r="BP31" i="33"/>
  <c r="BN31" i="33"/>
  <c r="BR30" i="33"/>
  <c r="BP30" i="33"/>
  <c r="BN30" i="33"/>
  <c r="BR29" i="33"/>
  <c r="BP29" i="33"/>
  <c r="BN29" i="33"/>
  <c r="BR28" i="33"/>
  <c r="BP28" i="33"/>
  <c r="BN28" i="33"/>
  <c r="BP27" i="33"/>
  <c r="BR26" i="33"/>
  <c r="BP26" i="33"/>
  <c r="BR25" i="33"/>
  <c r="BP25" i="33"/>
  <c r="BN25" i="33"/>
  <c r="BR24" i="33"/>
  <c r="BP24" i="33"/>
  <c r="BN24" i="33"/>
  <c r="BP23" i="33"/>
  <c r="BN23" i="33"/>
  <c r="BP22" i="33"/>
  <c r="BN22" i="33"/>
  <c r="BR21" i="33"/>
  <c r="BP21" i="33"/>
  <c r="BN21" i="33"/>
  <c r="BR20" i="33"/>
  <c r="BP20" i="33"/>
  <c r="BN20" i="33"/>
  <c r="BP19" i="33"/>
  <c r="BN19" i="33"/>
  <c r="BP18" i="33"/>
  <c r="BN18" i="33"/>
  <c r="BR17" i="33"/>
  <c r="BP17" i="33"/>
  <c r="BN17" i="33"/>
  <c r="BR16" i="33"/>
  <c r="BP16" i="33"/>
  <c r="BN16" i="33"/>
  <c r="BP15" i="33"/>
  <c r="BN15" i="33"/>
  <c r="BP14" i="33"/>
  <c r="BN14" i="33"/>
  <c r="BR13" i="33"/>
  <c r="BP13" i="33"/>
  <c r="BN13" i="33"/>
  <c r="BR12" i="33"/>
  <c r="BP12" i="33"/>
  <c r="BN12" i="33"/>
  <c r="BP11" i="33"/>
  <c r="BR10" i="33"/>
  <c r="BP10" i="33"/>
  <c r="BN10" i="33"/>
  <c r="BR9" i="33"/>
  <c r="BP9" i="33"/>
  <c r="BN9" i="33"/>
  <c r="BR8" i="33"/>
  <c r="BP8" i="33"/>
  <c r="BR7" i="33"/>
  <c r="BP7" i="33"/>
  <c r="BN7" i="33"/>
  <c r="BR6" i="33"/>
  <c r="BP6" i="33"/>
  <c r="BN6" i="33"/>
  <c r="BR5" i="33"/>
  <c r="BP5" i="33"/>
  <c r="BN5" i="33"/>
  <c r="CG6" i="11"/>
  <c r="CG7" i="11"/>
  <c r="CG8" i="11"/>
  <c r="CG9" i="11"/>
  <c r="CG10" i="11"/>
  <c r="CG11" i="11"/>
  <c r="CG12" i="11"/>
  <c r="CG13" i="11"/>
  <c r="CG14" i="11"/>
  <c r="CG15" i="11"/>
  <c r="CG16" i="11"/>
  <c r="CG17" i="11"/>
  <c r="CG18" i="11"/>
  <c r="CG19" i="11"/>
  <c r="CG20" i="11"/>
  <c r="CG21" i="11"/>
  <c r="CG22" i="11"/>
  <c r="CG23" i="11"/>
  <c r="CG24" i="11"/>
  <c r="CG25" i="11"/>
  <c r="CG26" i="11"/>
  <c r="CG27" i="11"/>
  <c r="CG28" i="11"/>
  <c r="CH28" i="11" s="1"/>
  <c r="CG29" i="11"/>
  <c r="CG30" i="11"/>
  <c r="CH30" i="11" s="1"/>
  <c r="CG31" i="11"/>
  <c r="CG32" i="11"/>
  <c r="CG33" i="11"/>
  <c r="CG34" i="11"/>
  <c r="CG35" i="11"/>
  <c r="CG36" i="11"/>
  <c r="CH36" i="11" s="1"/>
  <c r="CG37" i="11"/>
  <c r="CG38" i="11"/>
  <c r="CH38" i="11" s="1"/>
  <c r="CG39" i="11"/>
  <c r="CG40" i="11"/>
  <c r="CG41" i="11"/>
  <c r="CG42" i="11"/>
  <c r="CG43" i="11"/>
  <c r="CG44" i="11"/>
  <c r="CH44" i="11" s="1"/>
  <c r="CG45" i="11"/>
  <c r="CG46" i="11"/>
  <c r="CH46" i="11" s="1"/>
  <c r="CG47" i="11"/>
  <c r="CG48" i="11"/>
  <c r="CG49" i="11"/>
  <c r="CG50" i="11"/>
  <c r="CH50" i="11" s="1"/>
  <c r="CG51" i="11"/>
  <c r="CG52" i="11"/>
  <c r="CH52" i="11" s="1"/>
  <c r="CG53" i="11"/>
  <c r="CG54" i="11"/>
  <c r="CG5" i="11"/>
  <c r="CE6" i="11"/>
  <c r="CE7" i="11"/>
  <c r="CE8" i="11"/>
  <c r="CE9" i="11"/>
  <c r="CE10" i="11"/>
  <c r="CE11" i="11"/>
  <c r="CE12" i="11"/>
  <c r="CE13" i="11"/>
  <c r="CE14" i="11"/>
  <c r="CE15" i="11"/>
  <c r="CE16" i="11"/>
  <c r="CE17" i="11"/>
  <c r="CE18" i="11"/>
  <c r="CE19" i="11"/>
  <c r="CE20" i="11"/>
  <c r="CE21" i="11"/>
  <c r="CF21" i="11" s="1"/>
  <c r="CE22" i="11"/>
  <c r="CE23" i="11"/>
  <c r="CE24" i="11"/>
  <c r="CE25" i="11"/>
  <c r="CF25" i="11" s="1"/>
  <c r="CE26" i="11"/>
  <c r="CE27" i="11"/>
  <c r="CE28" i="11"/>
  <c r="CE29" i="11"/>
  <c r="CF29" i="11" s="1"/>
  <c r="CE30" i="11"/>
  <c r="CE31" i="11"/>
  <c r="CE32" i="11"/>
  <c r="CE33" i="11"/>
  <c r="CF33" i="11" s="1"/>
  <c r="CE34" i="11"/>
  <c r="CE35" i="11"/>
  <c r="CE36" i="11"/>
  <c r="CF36" i="11" s="1"/>
  <c r="CE37" i="11"/>
  <c r="CF37" i="11" s="1"/>
  <c r="CE38" i="11"/>
  <c r="CE39" i="11"/>
  <c r="CE40" i="11"/>
  <c r="CF40" i="11" s="1"/>
  <c r="CE41" i="11"/>
  <c r="CF41" i="11" s="1"/>
  <c r="CE42" i="11"/>
  <c r="CF42" i="11" s="1"/>
  <c r="CE43" i="11"/>
  <c r="CE44" i="11"/>
  <c r="CE45" i="11"/>
  <c r="CF45" i="11" s="1"/>
  <c r="CE46" i="11"/>
  <c r="CE47" i="11"/>
  <c r="CE48" i="11"/>
  <c r="CE49" i="11"/>
  <c r="CF49" i="11" s="1"/>
  <c r="CE50" i="11"/>
  <c r="CF50" i="11" s="1"/>
  <c r="CE51" i="11"/>
  <c r="CE52" i="11"/>
  <c r="CF52" i="11" s="1"/>
  <c r="CE53" i="11"/>
  <c r="CF53" i="11" s="1"/>
  <c r="CE54" i="11"/>
  <c r="CF54" i="11" s="1"/>
  <c r="CE5" i="11"/>
  <c r="CC5" i="11"/>
  <c r="CC6" i="11"/>
  <c r="CC7" i="11"/>
  <c r="CC8" i="11"/>
  <c r="CC9" i="11"/>
  <c r="CC10" i="11"/>
  <c r="CC11" i="11"/>
  <c r="CC12" i="11"/>
  <c r="CC13" i="11"/>
  <c r="CC14" i="11"/>
  <c r="CC15" i="11"/>
  <c r="CC16" i="11"/>
  <c r="CC17" i="11"/>
  <c r="CC18" i="11"/>
  <c r="CC19" i="11"/>
  <c r="CC20" i="11"/>
  <c r="CC21" i="11"/>
  <c r="CC22" i="11"/>
  <c r="CC23" i="11"/>
  <c r="CD23" i="11" s="1"/>
  <c r="CC24" i="11"/>
  <c r="CC25" i="11"/>
  <c r="CD25" i="11" s="1"/>
  <c r="CC26" i="11"/>
  <c r="CC27" i="11"/>
  <c r="CC28" i="11"/>
  <c r="CC29" i="11"/>
  <c r="CC30" i="11"/>
  <c r="CD30" i="11" s="1"/>
  <c r="CC31" i="11"/>
  <c r="CC32" i="11"/>
  <c r="CC33" i="11"/>
  <c r="CD33" i="11" s="1"/>
  <c r="CC34" i="11"/>
  <c r="CC35" i="11"/>
  <c r="CD35" i="11" s="1"/>
  <c r="CC36" i="11"/>
  <c r="CC37" i="11"/>
  <c r="CC38" i="11"/>
  <c r="CD38" i="11" s="1"/>
  <c r="CC39" i="11"/>
  <c r="CD39" i="11" s="1"/>
  <c r="CC40" i="11"/>
  <c r="CC41" i="11"/>
  <c r="CD41" i="11" s="1"/>
  <c r="CC42" i="11"/>
  <c r="CC43" i="11"/>
  <c r="CD43" i="11" s="1"/>
  <c r="CC44" i="11"/>
  <c r="CC45" i="11"/>
  <c r="CC46" i="11"/>
  <c r="CD46" i="11" s="1"/>
  <c r="CC47" i="11"/>
  <c r="CD47" i="11" s="1"/>
  <c r="CC48" i="11"/>
  <c r="CC49" i="11"/>
  <c r="CD49" i="11" s="1"/>
  <c r="CC50" i="11"/>
  <c r="CC51" i="11"/>
  <c r="CC52" i="11"/>
  <c r="CC53" i="11"/>
  <c r="CC54" i="11"/>
  <c r="CD54" i="11" s="1"/>
  <c r="CH54" i="11"/>
  <c r="CH53" i="11"/>
  <c r="CD53" i="11"/>
  <c r="CD52" i="11"/>
  <c r="CH51" i="11"/>
  <c r="CF51" i="11"/>
  <c r="CD51" i="11"/>
  <c r="CD50" i="11"/>
  <c r="CH49" i="11"/>
  <c r="CH48" i="11"/>
  <c r="CF48" i="11"/>
  <c r="CD48" i="11"/>
  <c r="CH47" i="11"/>
  <c r="CF47" i="11"/>
  <c r="CF46" i="11"/>
  <c r="CH45" i="11"/>
  <c r="CD45" i="11"/>
  <c r="CF44" i="11"/>
  <c r="CD44" i="11"/>
  <c r="CH43" i="11"/>
  <c r="CF43" i="11"/>
  <c r="CH42" i="11"/>
  <c r="CD42" i="11"/>
  <c r="CH41" i="11"/>
  <c r="CH40" i="11"/>
  <c r="CD40" i="11"/>
  <c r="CH39" i="11"/>
  <c r="CF39" i="11"/>
  <c r="CF38" i="11"/>
  <c r="CH37" i="11"/>
  <c r="CD37" i="11"/>
  <c r="CD36" i="11"/>
  <c r="CH35" i="11"/>
  <c r="CF35" i="11"/>
  <c r="CH34" i="11"/>
  <c r="CF34" i="11"/>
  <c r="CD34" i="11"/>
  <c r="CH33" i="11"/>
  <c r="CH32" i="11"/>
  <c r="CF32" i="11"/>
  <c r="CD32" i="11"/>
  <c r="CH31" i="11"/>
  <c r="CF31" i="11"/>
  <c r="CD31" i="11"/>
  <c r="CF30" i="11"/>
  <c r="CH29" i="11"/>
  <c r="CD29" i="11"/>
  <c r="CF28" i="11"/>
  <c r="CD28" i="11"/>
  <c r="CH27" i="11"/>
  <c r="CF27" i="11"/>
  <c r="CD27" i="11"/>
  <c r="CH26" i="11"/>
  <c r="CF26" i="11"/>
  <c r="CD26" i="11"/>
  <c r="CH25" i="11"/>
  <c r="CH24" i="11"/>
  <c r="CF24" i="11"/>
  <c r="CD24" i="11"/>
  <c r="CH23" i="11"/>
  <c r="CF23" i="11"/>
  <c r="CH22" i="11"/>
  <c r="CF22" i="11"/>
  <c r="CD22" i="11"/>
  <c r="CH21" i="11"/>
  <c r="CD21" i="11"/>
  <c r="CH20" i="11"/>
  <c r="CF20" i="11"/>
  <c r="CD20" i="11"/>
  <c r="CH19" i="11"/>
  <c r="CF19" i="11"/>
  <c r="CD19" i="11"/>
  <c r="CH18" i="11"/>
  <c r="CF18" i="11"/>
  <c r="CD18" i="11"/>
  <c r="CH17" i="11"/>
  <c r="CF17" i="11"/>
  <c r="CD17" i="11"/>
  <c r="CH16" i="11"/>
  <c r="CF16" i="11"/>
  <c r="CD16" i="11"/>
  <c r="CH15" i="11"/>
  <c r="CF15" i="11"/>
  <c r="CD15" i="11"/>
  <c r="CH14" i="11"/>
  <c r="CF14" i="11"/>
  <c r="CD14" i="11"/>
  <c r="CH13" i="11"/>
  <c r="CF13" i="11"/>
  <c r="CD13" i="11"/>
  <c r="CH12" i="11"/>
  <c r="CF12" i="11"/>
  <c r="CD12" i="11"/>
  <c r="CH11" i="11"/>
  <c r="CF11" i="11"/>
  <c r="CD11" i="11"/>
  <c r="CH10" i="11"/>
  <c r="CF10" i="11"/>
  <c r="CD10" i="11"/>
  <c r="CH9" i="11"/>
  <c r="CF9" i="11"/>
  <c r="CD9" i="11"/>
  <c r="CH8" i="11"/>
  <c r="CF8" i="11"/>
  <c r="CD8" i="11"/>
  <c r="CH7" i="11"/>
  <c r="CF7" i="11"/>
  <c r="CD7" i="11"/>
  <c r="CH6" i="11"/>
  <c r="CF6" i="11"/>
  <c r="CD6" i="11"/>
  <c r="CH5" i="11"/>
  <c r="CF5" i="11"/>
  <c r="CD5" i="11"/>
  <c r="BX6" i="10"/>
  <c r="BX7" i="10"/>
  <c r="BX8" i="10"/>
  <c r="BX9" i="10"/>
  <c r="BX10" i="10"/>
  <c r="BX11" i="10"/>
  <c r="BX12" i="10"/>
  <c r="BX13" i="10"/>
  <c r="BX14" i="10"/>
  <c r="BX15" i="10"/>
  <c r="BX16" i="10"/>
  <c r="BX17" i="10"/>
  <c r="BX18" i="10"/>
  <c r="BX19" i="10"/>
  <c r="BX20" i="10"/>
  <c r="BX21" i="10"/>
  <c r="BX22" i="10"/>
  <c r="BX23" i="10"/>
  <c r="BX24" i="10"/>
  <c r="BX25" i="10"/>
  <c r="BX26" i="10"/>
  <c r="BX27" i="10"/>
  <c r="BX28" i="10"/>
  <c r="BX29" i="10"/>
  <c r="BX30" i="10"/>
  <c r="BX31" i="10"/>
  <c r="BX32" i="10"/>
  <c r="BX33" i="10"/>
  <c r="BX34" i="10"/>
  <c r="BX35" i="10"/>
  <c r="BX36" i="10"/>
  <c r="BX37" i="10"/>
  <c r="BX38" i="10"/>
  <c r="BX39" i="10"/>
  <c r="BX40" i="10"/>
  <c r="BX41" i="10"/>
  <c r="BX42" i="10"/>
  <c r="BX43" i="10"/>
  <c r="BX44" i="10"/>
  <c r="BX45" i="10"/>
  <c r="BX46" i="10"/>
  <c r="BX47" i="10"/>
  <c r="BX48" i="10"/>
  <c r="BX49" i="10"/>
  <c r="BX50" i="10"/>
  <c r="BX51" i="10"/>
  <c r="BX52" i="10"/>
  <c r="BY52" i="10" s="1"/>
  <c r="BX53" i="10"/>
  <c r="BX54" i="10"/>
  <c r="BX5" i="10"/>
  <c r="BY5" i="10" s="1"/>
  <c r="BV6" i="10"/>
  <c r="BV7" i="10"/>
  <c r="BV8" i="10"/>
  <c r="BV9" i="10"/>
  <c r="BV10" i="10"/>
  <c r="BV11" i="10"/>
  <c r="BV12" i="10"/>
  <c r="BV13" i="10"/>
  <c r="BV14" i="10"/>
  <c r="BV15" i="10"/>
  <c r="BV16" i="10"/>
  <c r="BV17" i="10"/>
  <c r="BV18" i="10"/>
  <c r="BV19" i="10"/>
  <c r="BV20" i="10"/>
  <c r="BW20" i="10" s="1"/>
  <c r="BV21" i="10"/>
  <c r="BV22" i="10"/>
  <c r="BV23" i="10"/>
  <c r="BV24" i="10"/>
  <c r="BV25" i="10"/>
  <c r="BV26" i="10"/>
  <c r="BV27" i="10"/>
  <c r="BV28" i="10"/>
  <c r="BW28" i="10" s="1"/>
  <c r="BV29" i="10"/>
  <c r="BV30" i="10"/>
  <c r="BW30" i="10" s="1"/>
  <c r="BV31" i="10"/>
  <c r="BV32" i="10"/>
  <c r="BW32" i="10" s="1"/>
  <c r="BV33" i="10"/>
  <c r="BV34" i="10"/>
  <c r="BW34" i="10" s="1"/>
  <c r="BV35" i="10"/>
  <c r="BV36" i="10"/>
  <c r="BV37" i="10"/>
  <c r="BV38" i="10"/>
  <c r="BW38" i="10" s="1"/>
  <c r="BV39" i="10"/>
  <c r="BV40" i="10"/>
  <c r="BW40" i="10" s="1"/>
  <c r="BV41" i="10"/>
  <c r="BV42" i="10"/>
  <c r="BW42" i="10" s="1"/>
  <c r="BV43" i="10"/>
  <c r="BV44" i="10"/>
  <c r="BV45" i="10"/>
  <c r="BV46" i="10"/>
  <c r="BW46" i="10" s="1"/>
  <c r="BV47" i="10"/>
  <c r="BV48" i="10"/>
  <c r="BW48" i="10" s="1"/>
  <c r="BV49" i="10"/>
  <c r="BV50" i="10"/>
  <c r="BW50" i="10" s="1"/>
  <c r="BV51" i="10"/>
  <c r="BV52" i="10"/>
  <c r="BV53" i="10"/>
  <c r="BV54" i="10"/>
  <c r="BV5" i="10"/>
  <c r="BW5" i="10" s="1"/>
  <c r="BT5" i="10"/>
  <c r="BU5" i="10" s="1"/>
  <c r="BT6" i="10"/>
  <c r="BT7" i="10"/>
  <c r="BT8" i="10"/>
  <c r="BT9" i="10"/>
  <c r="BT10" i="10"/>
  <c r="BT11" i="10"/>
  <c r="BT12" i="10"/>
  <c r="BT13" i="10"/>
  <c r="BT14" i="10"/>
  <c r="BT15" i="10"/>
  <c r="BT16" i="10"/>
  <c r="BT17" i="10"/>
  <c r="BT18" i="10"/>
  <c r="BT19" i="10"/>
  <c r="BT20" i="10"/>
  <c r="BT21" i="10"/>
  <c r="BT22" i="10"/>
  <c r="BT23" i="10"/>
  <c r="BT24" i="10"/>
  <c r="BT25" i="10"/>
  <c r="BT26" i="10"/>
  <c r="BT27" i="10"/>
  <c r="BT28" i="10"/>
  <c r="BT29" i="10"/>
  <c r="BT30" i="10"/>
  <c r="BT31" i="10"/>
  <c r="BT32" i="10"/>
  <c r="BT33" i="10"/>
  <c r="BT34" i="10"/>
  <c r="BT35" i="10"/>
  <c r="BT36" i="10"/>
  <c r="BT37" i="10"/>
  <c r="BU37" i="10" s="1"/>
  <c r="BT38" i="10"/>
  <c r="BT39" i="10"/>
  <c r="BT40" i="10"/>
  <c r="BT41" i="10"/>
  <c r="BT42" i="10"/>
  <c r="BT43" i="10"/>
  <c r="BT44" i="10"/>
  <c r="BU44" i="10" s="1"/>
  <c r="BT45" i="10"/>
  <c r="BU45" i="10" s="1"/>
  <c r="BT46" i="10"/>
  <c r="BT47" i="10"/>
  <c r="BT48" i="10"/>
  <c r="BT49" i="10"/>
  <c r="BT50" i="10"/>
  <c r="BT51" i="10"/>
  <c r="BT52" i="10"/>
  <c r="BU52" i="10" s="1"/>
  <c r="BT53" i="10"/>
  <c r="BU53" i="10" s="1"/>
  <c r="BT54" i="10"/>
  <c r="BY54" i="10"/>
  <c r="BW54" i="10"/>
  <c r="BU54" i="10"/>
  <c r="BY53" i="10"/>
  <c r="BW53" i="10"/>
  <c r="BW52" i="10"/>
  <c r="BY51" i="10"/>
  <c r="BW51" i="10"/>
  <c r="BU51" i="10"/>
  <c r="BY50" i="10"/>
  <c r="BU50" i="10"/>
  <c r="BY49" i="10"/>
  <c r="BW49" i="10"/>
  <c r="BU49" i="10"/>
  <c r="BY48" i="10"/>
  <c r="BU48" i="10"/>
  <c r="BY47" i="10"/>
  <c r="BW47" i="10"/>
  <c r="BU47" i="10"/>
  <c r="BY46" i="10"/>
  <c r="BU46" i="10"/>
  <c r="BY45" i="10"/>
  <c r="BW45" i="10"/>
  <c r="BY44" i="10"/>
  <c r="BW44" i="10"/>
  <c r="BY43" i="10"/>
  <c r="BW43" i="10"/>
  <c r="BU43" i="10"/>
  <c r="BY42" i="10"/>
  <c r="BU42" i="10"/>
  <c r="BY41" i="10"/>
  <c r="BW41" i="10"/>
  <c r="BU41" i="10"/>
  <c r="BY40" i="10"/>
  <c r="BU40" i="10"/>
  <c r="BY39" i="10"/>
  <c r="BW39" i="10"/>
  <c r="BU39" i="10"/>
  <c r="BY38" i="10"/>
  <c r="BU38" i="10"/>
  <c r="BY37" i="10"/>
  <c r="BW37" i="10"/>
  <c r="BY36" i="10"/>
  <c r="BW36" i="10"/>
  <c r="BU36" i="10"/>
  <c r="BY35" i="10"/>
  <c r="BW35" i="10"/>
  <c r="BU35" i="10"/>
  <c r="BY34" i="10"/>
  <c r="BU34" i="10"/>
  <c r="BY33" i="10"/>
  <c r="BW33" i="10"/>
  <c r="BU33" i="10"/>
  <c r="BY32" i="10"/>
  <c r="BU32" i="10"/>
  <c r="BY31" i="10"/>
  <c r="BW31" i="10"/>
  <c r="BU31" i="10"/>
  <c r="BY30" i="10"/>
  <c r="BU30" i="10"/>
  <c r="BY29" i="10"/>
  <c r="BW29" i="10"/>
  <c r="BU29" i="10"/>
  <c r="BY28" i="10"/>
  <c r="BU28" i="10"/>
  <c r="BY27" i="10"/>
  <c r="BW27" i="10"/>
  <c r="BU27" i="10"/>
  <c r="BY26" i="10"/>
  <c r="BW26" i="10"/>
  <c r="BU26" i="10"/>
  <c r="BY25" i="10"/>
  <c r="BW25" i="10"/>
  <c r="BU25" i="10"/>
  <c r="BY24" i="10"/>
  <c r="BW24" i="10"/>
  <c r="BU24" i="10"/>
  <c r="BY23" i="10"/>
  <c r="BW23" i="10"/>
  <c r="BU23" i="10"/>
  <c r="BY22" i="10"/>
  <c r="BW22" i="10"/>
  <c r="BU22" i="10"/>
  <c r="BY21" i="10"/>
  <c r="BW21" i="10"/>
  <c r="BU21" i="10"/>
  <c r="BY20" i="10"/>
  <c r="BU20" i="10"/>
  <c r="BY19" i="10"/>
  <c r="BW19" i="10"/>
  <c r="BU19" i="10"/>
  <c r="BY18" i="10"/>
  <c r="BW18" i="10"/>
  <c r="BU18" i="10"/>
  <c r="BY17" i="10"/>
  <c r="BW17" i="10"/>
  <c r="BU17" i="10"/>
  <c r="BY16" i="10"/>
  <c r="BW16" i="10"/>
  <c r="BU16" i="10"/>
  <c r="BY15" i="10"/>
  <c r="BW15" i="10"/>
  <c r="BU15" i="10"/>
  <c r="BY14" i="10"/>
  <c r="BW14" i="10"/>
  <c r="BU14" i="10"/>
  <c r="BY13" i="10"/>
  <c r="BW13" i="10"/>
  <c r="BU13" i="10"/>
  <c r="BY12" i="10"/>
  <c r="BW12" i="10"/>
  <c r="BU12" i="10"/>
  <c r="BY11" i="10"/>
  <c r="BW11" i="10"/>
  <c r="BU11" i="10"/>
  <c r="BY10" i="10"/>
  <c r="BW10" i="10"/>
  <c r="BU10" i="10"/>
  <c r="BY9" i="10"/>
  <c r="BW9" i="10"/>
  <c r="BU9" i="10"/>
  <c r="BY8" i="10"/>
  <c r="BW8" i="10"/>
  <c r="BU8" i="10"/>
  <c r="BY7" i="10"/>
  <c r="BW7" i="10"/>
  <c r="BU7" i="10"/>
  <c r="BY6" i="10"/>
  <c r="BW6" i="10"/>
  <c r="BU6" i="10"/>
  <c r="BM6" i="7"/>
  <c r="BM7" i="7"/>
  <c r="BN7" i="7" s="1"/>
  <c r="BM8" i="7"/>
  <c r="BM9" i="7"/>
  <c r="BM10" i="7"/>
  <c r="BM11" i="7"/>
  <c r="BN11" i="7" s="1"/>
  <c r="BM12" i="7"/>
  <c r="BM13" i="7"/>
  <c r="BM14" i="7"/>
  <c r="BM15" i="7"/>
  <c r="BN15" i="7" s="1"/>
  <c r="BM16" i="7"/>
  <c r="BM17" i="7"/>
  <c r="BM18" i="7"/>
  <c r="BM19" i="7"/>
  <c r="BM20" i="7"/>
  <c r="BM21" i="7"/>
  <c r="BM22" i="7"/>
  <c r="BN22" i="7" s="1"/>
  <c r="BM23" i="7"/>
  <c r="BM24" i="7"/>
  <c r="BN24" i="7" s="1"/>
  <c r="BM25" i="7"/>
  <c r="BM26" i="7"/>
  <c r="BN26" i="7" s="1"/>
  <c r="BM27" i="7"/>
  <c r="BN27" i="7" s="1"/>
  <c r="BM28" i="7"/>
  <c r="BM29" i="7"/>
  <c r="BM30" i="7"/>
  <c r="BM31" i="7"/>
  <c r="BN31" i="7" s="1"/>
  <c r="BM32" i="7"/>
  <c r="BM33" i="7"/>
  <c r="BM34" i="7"/>
  <c r="BM35" i="7"/>
  <c r="BN35" i="7" s="1"/>
  <c r="BM36" i="7"/>
  <c r="BN36" i="7" s="1"/>
  <c r="BM37" i="7"/>
  <c r="BM38" i="7"/>
  <c r="BN38" i="7" s="1"/>
  <c r="BM39" i="7"/>
  <c r="BM40" i="7"/>
  <c r="BN40" i="7" s="1"/>
  <c r="BM41" i="7"/>
  <c r="BM42" i="7"/>
  <c r="BM43" i="7"/>
  <c r="BM44" i="7"/>
  <c r="BN44" i="7" s="1"/>
  <c r="BM45" i="7"/>
  <c r="BM46" i="7"/>
  <c r="BM47" i="7"/>
  <c r="BN47" i="7" s="1"/>
  <c r="BM48" i="7"/>
  <c r="BN48" i="7" s="1"/>
  <c r="BM49" i="7"/>
  <c r="BM50" i="7"/>
  <c r="BN50" i="7" s="1"/>
  <c r="BM51" i="7"/>
  <c r="BN51" i="7" s="1"/>
  <c r="BM52" i="7"/>
  <c r="BN52" i="7" s="1"/>
  <c r="BM53" i="7"/>
  <c r="BM54" i="7"/>
  <c r="BN54" i="7" s="1"/>
  <c r="BM5" i="7"/>
  <c r="BK6" i="7"/>
  <c r="BK7" i="7"/>
  <c r="BK8" i="7"/>
  <c r="BK9" i="7"/>
  <c r="BK10" i="7"/>
  <c r="BK11" i="7"/>
  <c r="BK12" i="7"/>
  <c r="BK13" i="7"/>
  <c r="BK14" i="7"/>
  <c r="BK15" i="7"/>
  <c r="BK16" i="7"/>
  <c r="BK17" i="7"/>
  <c r="BK18" i="7"/>
  <c r="BK19" i="7"/>
  <c r="BK20" i="7"/>
  <c r="BK21" i="7"/>
  <c r="BK22" i="7"/>
  <c r="BK23" i="7"/>
  <c r="BK24" i="7"/>
  <c r="BK25" i="7"/>
  <c r="BK26" i="7"/>
  <c r="BK27" i="7"/>
  <c r="BK28" i="7"/>
  <c r="BK29" i="7"/>
  <c r="BK30" i="7"/>
  <c r="BK31" i="7"/>
  <c r="BK32" i="7"/>
  <c r="BK33" i="7"/>
  <c r="BK34" i="7"/>
  <c r="BK35" i="7"/>
  <c r="BK36" i="7"/>
  <c r="BK37" i="7"/>
  <c r="BK38" i="7"/>
  <c r="BK39" i="7"/>
  <c r="BK40" i="7"/>
  <c r="BK41" i="7"/>
  <c r="BK42" i="7"/>
  <c r="BK43" i="7"/>
  <c r="BK44" i="7"/>
  <c r="BK45" i="7"/>
  <c r="BK46" i="7"/>
  <c r="BK47" i="7"/>
  <c r="BK48" i="7"/>
  <c r="BK49" i="7"/>
  <c r="BK50" i="7"/>
  <c r="BK51" i="7"/>
  <c r="BK52" i="7"/>
  <c r="BK53" i="7"/>
  <c r="BK54" i="7"/>
  <c r="BI6" i="7"/>
  <c r="BJ6" i="7" s="1"/>
  <c r="BI7" i="7"/>
  <c r="BI8" i="7"/>
  <c r="BI9" i="7"/>
  <c r="BI10" i="7"/>
  <c r="BJ10" i="7" s="1"/>
  <c r="BI11" i="7"/>
  <c r="BI12" i="7"/>
  <c r="BI13" i="7"/>
  <c r="BI14" i="7"/>
  <c r="BJ14" i="7" s="1"/>
  <c r="BI15" i="7"/>
  <c r="BI16" i="7"/>
  <c r="BI17" i="7"/>
  <c r="BI18" i="7"/>
  <c r="BJ18" i="7" s="1"/>
  <c r="BI19" i="7"/>
  <c r="BJ19" i="7" s="1"/>
  <c r="BI20" i="7"/>
  <c r="BI21" i="7"/>
  <c r="BI22" i="7"/>
  <c r="BJ22" i="7" s="1"/>
  <c r="BI23" i="7"/>
  <c r="BI24" i="7"/>
  <c r="BI25" i="7"/>
  <c r="BJ25" i="7" s="1"/>
  <c r="BI26" i="7"/>
  <c r="BI27" i="7"/>
  <c r="BI28" i="7"/>
  <c r="BI29" i="7"/>
  <c r="BI30" i="7"/>
  <c r="BJ30" i="7" s="1"/>
  <c r="BI31" i="7"/>
  <c r="BI32" i="7"/>
  <c r="BI33" i="7"/>
  <c r="BI34" i="7"/>
  <c r="BJ34" i="7" s="1"/>
  <c r="BI35" i="7"/>
  <c r="BI36" i="7"/>
  <c r="BI37" i="7"/>
  <c r="BI38" i="7"/>
  <c r="BJ38" i="7" s="1"/>
  <c r="BI39" i="7"/>
  <c r="BI40" i="7"/>
  <c r="BI41" i="7"/>
  <c r="BJ41" i="7" s="1"/>
  <c r="BI42" i="7"/>
  <c r="BJ42" i="7" s="1"/>
  <c r="BI43" i="7"/>
  <c r="BJ43" i="7" s="1"/>
  <c r="BI44" i="7"/>
  <c r="BI45" i="7"/>
  <c r="BJ45" i="7" s="1"/>
  <c r="BI46" i="7"/>
  <c r="BJ46" i="7" s="1"/>
  <c r="BI47" i="7"/>
  <c r="BJ47" i="7" s="1"/>
  <c r="BI48" i="7"/>
  <c r="BI49" i="7"/>
  <c r="BI50" i="7"/>
  <c r="BJ50" i="7" s="1"/>
  <c r="BI51" i="7"/>
  <c r="BJ51" i="7" s="1"/>
  <c r="BI52" i="7"/>
  <c r="BI53" i="7"/>
  <c r="BI54" i="7"/>
  <c r="BJ54" i="7" s="1"/>
  <c r="BL6" i="7"/>
  <c r="BL7" i="7"/>
  <c r="BL8" i="7"/>
  <c r="BL9" i="7"/>
  <c r="BL10" i="7"/>
  <c r="BL11" i="7"/>
  <c r="BL12" i="7"/>
  <c r="BL13" i="7"/>
  <c r="BL14" i="7"/>
  <c r="BL15" i="7"/>
  <c r="BL16" i="7"/>
  <c r="BL17" i="7"/>
  <c r="BL18" i="7"/>
  <c r="BL19" i="7"/>
  <c r="BL20" i="7"/>
  <c r="BL21" i="7"/>
  <c r="BL22" i="7"/>
  <c r="BL23" i="7"/>
  <c r="BL24" i="7"/>
  <c r="BL25" i="7"/>
  <c r="BL26" i="7"/>
  <c r="BL27" i="7"/>
  <c r="BL28" i="7"/>
  <c r="BL29" i="7"/>
  <c r="BL30" i="7"/>
  <c r="BL31" i="7"/>
  <c r="BL32" i="7"/>
  <c r="BL33" i="7"/>
  <c r="BL34" i="7"/>
  <c r="BL35" i="7"/>
  <c r="BL36" i="7"/>
  <c r="BL37" i="7"/>
  <c r="BL38" i="7"/>
  <c r="BL39" i="7"/>
  <c r="BL40" i="7"/>
  <c r="BL41" i="7"/>
  <c r="BL42" i="7"/>
  <c r="BL43" i="7"/>
  <c r="BL44" i="7"/>
  <c r="BL45" i="7"/>
  <c r="BL46" i="7"/>
  <c r="BL47" i="7"/>
  <c r="BL48" i="7"/>
  <c r="BL49" i="7"/>
  <c r="BL50" i="7"/>
  <c r="BL51" i="7"/>
  <c r="BL52" i="7"/>
  <c r="BL53" i="7"/>
  <c r="BL54" i="7"/>
  <c r="BK5" i="7"/>
  <c r="BL5" i="7" s="1"/>
  <c r="BI5" i="7"/>
  <c r="BN5" i="7"/>
  <c r="BJ5" i="7"/>
  <c r="BN53" i="7"/>
  <c r="BJ53" i="7"/>
  <c r="BJ52" i="7"/>
  <c r="BN49" i="7"/>
  <c r="BJ49" i="7"/>
  <c r="BJ48" i="7"/>
  <c r="BN46" i="7"/>
  <c r="BN45" i="7"/>
  <c r="BJ44" i="7"/>
  <c r="BN43" i="7"/>
  <c r="BN42" i="7"/>
  <c r="BN41" i="7"/>
  <c r="BJ40" i="7"/>
  <c r="BN39" i="7"/>
  <c r="BJ39" i="7"/>
  <c r="BN37" i="7"/>
  <c r="BJ37" i="7"/>
  <c r="BJ36" i="7"/>
  <c r="BJ35" i="7"/>
  <c r="BN34" i="7"/>
  <c r="BN33" i="7"/>
  <c r="BJ33" i="7"/>
  <c r="BN32" i="7"/>
  <c r="BJ32" i="7"/>
  <c r="BJ31" i="7"/>
  <c r="BN30" i="7"/>
  <c r="BN29" i="7"/>
  <c r="BJ29" i="7"/>
  <c r="BN28" i="7"/>
  <c r="BJ28" i="7"/>
  <c r="BJ27" i="7"/>
  <c r="BJ26" i="7"/>
  <c r="BN25" i="7"/>
  <c r="BJ24" i="7"/>
  <c r="BN23" i="7"/>
  <c r="BJ23" i="7"/>
  <c r="BN21" i="7"/>
  <c r="BJ21" i="7"/>
  <c r="BN20" i="7"/>
  <c r="BJ20" i="7"/>
  <c r="BN19" i="7"/>
  <c r="BN18" i="7"/>
  <c r="BN17" i="7"/>
  <c r="BJ17" i="7"/>
  <c r="BN16" i="7"/>
  <c r="BJ16" i="7"/>
  <c r="BJ15" i="7"/>
  <c r="BN14" i="7"/>
  <c r="BN13" i="7"/>
  <c r="BJ13" i="7"/>
  <c r="BN12" i="7"/>
  <c r="BJ12" i="7"/>
  <c r="BJ11" i="7"/>
  <c r="BN10" i="7"/>
  <c r="BN9" i="7"/>
  <c r="BJ9" i="7"/>
  <c r="BN8" i="7"/>
  <c r="BJ8" i="7"/>
  <c r="BJ7" i="7"/>
  <c r="BN6" i="7"/>
  <c r="EZ7" i="1"/>
  <c r="FA7" i="1" s="1"/>
  <c r="FB7" i="1"/>
  <c r="FC7" i="1" s="1"/>
  <c r="EZ8" i="1"/>
  <c r="FA8" i="1" s="1"/>
  <c r="FB8" i="1"/>
  <c r="FC8" i="1" s="1"/>
  <c r="EZ9" i="1"/>
  <c r="FA9" i="1" s="1"/>
  <c r="FB9" i="1"/>
  <c r="FC9" i="1" s="1"/>
  <c r="EZ10" i="1"/>
  <c r="FA10" i="1" s="1"/>
  <c r="FB10" i="1"/>
  <c r="FC10" i="1" s="1"/>
  <c r="EZ11" i="1"/>
  <c r="FA11" i="1" s="1"/>
  <c r="FB11" i="1"/>
  <c r="FC11" i="1" s="1"/>
  <c r="EZ12" i="1"/>
  <c r="FA12" i="1" s="1"/>
  <c r="FB12" i="1"/>
  <c r="FC12" i="1" s="1"/>
  <c r="EZ13" i="1"/>
  <c r="FA13" i="1" s="1"/>
  <c r="FB13" i="1"/>
  <c r="FC13" i="1" s="1"/>
  <c r="EZ14" i="1"/>
  <c r="FA14" i="1" s="1"/>
  <c r="FB14" i="1"/>
  <c r="FC14" i="1" s="1"/>
  <c r="EZ15" i="1"/>
  <c r="FA15" i="1" s="1"/>
  <c r="FB15" i="1"/>
  <c r="FC15" i="1" s="1"/>
  <c r="EZ16" i="1"/>
  <c r="FA16" i="1" s="1"/>
  <c r="FB16" i="1"/>
  <c r="FC16" i="1" s="1"/>
  <c r="EZ17" i="1"/>
  <c r="FA17" i="1" s="1"/>
  <c r="FB17" i="1"/>
  <c r="FC17" i="1" s="1"/>
  <c r="EZ18" i="1"/>
  <c r="FA18" i="1" s="1"/>
  <c r="FB18" i="1"/>
  <c r="FC18" i="1" s="1"/>
  <c r="EZ19" i="1"/>
  <c r="FA19" i="1" s="1"/>
  <c r="FB19" i="1"/>
  <c r="FC19" i="1" s="1"/>
  <c r="EZ20" i="1"/>
  <c r="FA20" i="1" s="1"/>
  <c r="FB20" i="1"/>
  <c r="FC20" i="1" s="1"/>
  <c r="EZ21" i="1"/>
  <c r="FA21" i="1" s="1"/>
  <c r="FB21" i="1"/>
  <c r="FC21" i="1" s="1"/>
  <c r="EZ22" i="1"/>
  <c r="FA22" i="1" s="1"/>
  <c r="FB22" i="1"/>
  <c r="FC22" i="1" s="1"/>
  <c r="EZ23" i="1"/>
  <c r="FA23" i="1" s="1"/>
  <c r="FB23" i="1"/>
  <c r="FC23" i="1" s="1"/>
  <c r="EZ24" i="1"/>
  <c r="FA24" i="1" s="1"/>
  <c r="FB24" i="1"/>
  <c r="FC24" i="1" s="1"/>
  <c r="EZ25" i="1"/>
  <c r="FA25" i="1" s="1"/>
  <c r="FB25" i="1"/>
  <c r="FC25" i="1" s="1"/>
  <c r="EZ26" i="1"/>
  <c r="FA26" i="1" s="1"/>
  <c r="FB26" i="1"/>
  <c r="FC26" i="1" s="1"/>
  <c r="EZ27" i="1"/>
  <c r="FA27" i="1" s="1"/>
  <c r="FB27" i="1"/>
  <c r="FC27" i="1" s="1"/>
  <c r="EZ28" i="1"/>
  <c r="FA28" i="1" s="1"/>
  <c r="FB28" i="1"/>
  <c r="FC28" i="1" s="1"/>
  <c r="EZ29" i="1"/>
  <c r="FA29" i="1" s="1"/>
  <c r="FB29" i="1"/>
  <c r="FC29" i="1" s="1"/>
  <c r="EZ30" i="1"/>
  <c r="FA30" i="1" s="1"/>
  <c r="FB30" i="1"/>
  <c r="FC30" i="1" s="1"/>
  <c r="EZ31" i="1"/>
  <c r="FA31" i="1" s="1"/>
  <c r="FB31" i="1"/>
  <c r="FC31" i="1" s="1"/>
  <c r="EZ32" i="1"/>
  <c r="FA32" i="1" s="1"/>
  <c r="FB32" i="1"/>
  <c r="FC32" i="1"/>
  <c r="EZ33" i="1"/>
  <c r="FA33" i="1" s="1"/>
  <c r="FB33" i="1"/>
  <c r="FC33" i="1" s="1"/>
  <c r="EZ34" i="1"/>
  <c r="FA34" i="1" s="1"/>
  <c r="FB34" i="1"/>
  <c r="FC34" i="1" s="1"/>
  <c r="EZ35" i="1"/>
  <c r="FA35" i="1" s="1"/>
  <c r="FB35" i="1"/>
  <c r="FC35" i="1"/>
  <c r="EZ36" i="1"/>
  <c r="FA36" i="1" s="1"/>
  <c r="FB36" i="1"/>
  <c r="FC36" i="1"/>
  <c r="EZ37" i="1"/>
  <c r="FA37" i="1" s="1"/>
  <c r="FB37" i="1"/>
  <c r="FC37" i="1" s="1"/>
  <c r="EZ38" i="1"/>
  <c r="FA38" i="1" s="1"/>
  <c r="FB38" i="1"/>
  <c r="FC38" i="1" s="1"/>
  <c r="EZ39" i="1"/>
  <c r="FA39" i="1" s="1"/>
  <c r="FB39" i="1"/>
  <c r="FC39" i="1"/>
  <c r="EZ40" i="1"/>
  <c r="FA40" i="1" s="1"/>
  <c r="FB40" i="1"/>
  <c r="FC40" i="1"/>
  <c r="EZ41" i="1"/>
  <c r="FA41" i="1" s="1"/>
  <c r="FB41" i="1"/>
  <c r="FC41" i="1" s="1"/>
  <c r="EZ42" i="1"/>
  <c r="FA42" i="1" s="1"/>
  <c r="FB42" i="1"/>
  <c r="FC42" i="1" s="1"/>
  <c r="EZ43" i="1"/>
  <c r="FA43" i="1" s="1"/>
  <c r="FB43" i="1"/>
  <c r="FC43" i="1"/>
  <c r="EZ44" i="1"/>
  <c r="FA44" i="1" s="1"/>
  <c r="FB44" i="1"/>
  <c r="FC44" i="1"/>
  <c r="EZ45" i="1"/>
  <c r="FA45" i="1" s="1"/>
  <c r="FB45" i="1"/>
  <c r="FC45" i="1" s="1"/>
  <c r="EZ46" i="1"/>
  <c r="FA46" i="1" s="1"/>
  <c r="FB46" i="1"/>
  <c r="FC46" i="1" s="1"/>
  <c r="EZ47" i="1"/>
  <c r="FA47" i="1" s="1"/>
  <c r="FB47" i="1"/>
  <c r="FC47" i="1"/>
  <c r="EZ48" i="1"/>
  <c r="FA48" i="1" s="1"/>
  <c r="FB48" i="1"/>
  <c r="FC48" i="1"/>
  <c r="EZ49" i="1"/>
  <c r="FA49" i="1" s="1"/>
  <c r="FB49" i="1"/>
  <c r="FC49" i="1" s="1"/>
  <c r="EZ50" i="1"/>
  <c r="FA50" i="1" s="1"/>
  <c r="FB50" i="1"/>
  <c r="FC50" i="1" s="1"/>
  <c r="EZ51" i="1"/>
  <c r="FA51" i="1" s="1"/>
  <c r="FB51" i="1"/>
  <c r="FC51" i="1"/>
  <c r="EZ52" i="1"/>
  <c r="FA52" i="1" s="1"/>
  <c r="FB52" i="1"/>
  <c r="FC52" i="1"/>
  <c r="EZ53" i="1"/>
  <c r="FA53" i="1" s="1"/>
  <c r="FB53" i="1"/>
  <c r="FC53" i="1" s="1"/>
  <c r="EZ54" i="1"/>
  <c r="FA54" i="1" s="1"/>
  <c r="FB54" i="1"/>
  <c r="FC54" i="1" s="1"/>
  <c r="EZ55" i="1"/>
  <c r="FA55" i="1" s="1"/>
  <c r="FB55" i="1"/>
  <c r="FC55" i="1"/>
  <c r="FB6" i="1"/>
  <c r="EZ6" i="1"/>
  <c r="EY8" i="1"/>
  <c r="E8" i="83" s="1"/>
  <c r="EY12" i="1"/>
  <c r="E12" i="83" s="1"/>
  <c r="EY16" i="1"/>
  <c r="E16" i="83" s="1"/>
  <c r="EY20" i="1"/>
  <c r="E20" i="83" s="1"/>
  <c r="EY24" i="1"/>
  <c r="E24" i="83" s="1"/>
  <c r="EY28" i="1"/>
  <c r="E28" i="83" s="1"/>
  <c r="EY32" i="1"/>
  <c r="E32" i="83" s="1"/>
  <c r="EY36" i="1"/>
  <c r="E36" i="83" s="1"/>
  <c r="EY40" i="1"/>
  <c r="E40" i="83" s="1"/>
  <c r="EY44" i="1"/>
  <c r="E44" i="83" s="1"/>
  <c r="EY48" i="1"/>
  <c r="E48" i="83" s="1"/>
  <c r="EY52" i="1"/>
  <c r="E52" i="83" s="1"/>
  <c r="EX7" i="1"/>
  <c r="EY7" i="1" s="1"/>
  <c r="E7" i="83" s="1"/>
  <c r="EX8" i="1"/>
  <c r="EX9" i="1"/>
  <c r="EY9" i="1" s="1"/>
  <c r="E9" i="83" s="1"/>
  <c r="EX10" i="1"/>
  <c r="EY10" i="1" s="1"/>
  <c r="E10" i="83" s="1"/>
  <c r="EX11" i="1"/>
  <c r="EY11" i="1" s="1"/>
  <c r="E11" i="83" s="1"/>
  <c r="EX12" i="1"/>
  <c r="EX13" i="1"/>
  <c r="EY13" i="1" s="1"/>
  <c r="E13" i="83" s="1"/>
  <c r="EX14" i="1"/>
  <c r="EY14" i="1" s="1"/>
  <c r="E14" i="83" s="1"/>
  <c r="EX15" i="1"/>
  <c r="EY15" i="1" s="1"/>
  <c r="E15" i="83" s="1"/>
  <c r="EX16" i="1"/>
  <c r="EX17" i="1"/>
  <c r="EY17" i="1" s="1"/>
  <c r="E17" i="83" s="1"/>
  <c r="EX18" i="1"/>
  <c r="EY18" i="1" s="1"/>
  <c r="E18" i="83" s="1"/>
  <c r="EX19" i="1"/>
  <c r="EY19" i="1" s="1"/>
  <c r="E19" i="83" s="1"/>
  <c r="EX20" i="1"/>
  <c r="EX21" i="1"/>
  <c r="EY21" i="1" s="1"/>
  <c r="E21" i="83" s="1"/>
  <c r="EX22" i="1"/>
  <c r="EY22" i="1" s="1"/>
  <c r="E22" i="83" s="1"/>
  <c r="EX23" i="1"/>
  <c r="EY23" i="1" s="1"/>
  <c r="E23" i="83" s="1"/>
  <c r="EX24" i="1"/>
  <c r="EX25" i="1"/>
  <c r="EY25" i="1" s="1"/>
  <c r="E25" i="83" s="1"/>
  <c r="EX26" i="1"/>
  <c r="EY26" i="1" s="1"/>
  <c r="E26" i="83" s="1"/>
  <c r="EX27" i="1"/>
  <c r="EY27" i="1" s="1"/>
  <c r="E27" i="83" s="1"/>
  <c r="EX28" i="1"/>
  <c r="EX29" i="1"/>
  <c r="EY29" i="1" s="1"/>
  <c r="E29" i="83" s="1"/>
  <c r="EX30" i="1"/>
  <c r="EY30" i="1" s="1"/>
  <c r="E30" i="83" s="1"/>
  <c r="EX31" i="1"/>
  <c r="EY31" i="1" s="1"/>
  <c r="E31" i="83" s="1"/>
  <c r="EX32" i="1"/>
  <c r="EX33" i="1"/>
  <c r="EY33" i="1" s="1"/>
  <c r="E33" i="83" s="1"/>
  <c r="EX34" i="1"/>
  <c r="EY34" i="1" s="1"/>
  <c r="E34" i="83" s="1"/>
  <c r="EX35" i="1"/>
  <c r="EY35" i="1" s="1"/>
  <c r="E35" i="83" s="1"/>
  <c r="EX36" i="1"/>
  <c r="EX37" i="1"/>
  <c r="EY37" i="1" s="1"/>
  <c r="E37" i="83" s="1"/>
  <c r="EX38" i="1"/>
  <c r="EY38" i="1" s="1"/>
  <c r="E38" i="83" s="1"/>
  <c r="EX39" i="1"/>
  <c r="EY39" i="1" s="1"/>
  <c r="E39" i="83" s="1"/>
  <c r="EX40" i="1"/>
  <c r="EX41" i="1"/>
  <c r="EY41" i="1" s="1"/>
  <c r="E41" i="83" s="1"/>
  <c r="EX42" i="1"/>
  <c r="EY42" i="1" s="1"/>
  <c r="E42" i="83" s="1"/>
  <c r="EX43" i="1"/>
  <c r="EY43" i="1" s="1"/>
  <c r="E43" i="83" s="1"/>
  <c r="EX44" i="1"/>
  <c r="EX45" i="1"/>
  <c r="EY45" i="1" s="1"/>
  <c r="E45" i="83" s="1"/>
  <c r="EX46" i="1"/>
  <c r="EY46" i="1" s="1"/>
  <c r="E46" i="83" s="1"/>
  <c r="EX47" i="1"/>
  <c r="EY47" i="1" s="1"/>
  <c r="E47" i="83" s="1"/>
  <c r="EX48" i="1"/>
  <c r="EX49" i="1"/>
  <c r="EY49" i="1" s="1"/>
  <c r="E49" i="83" s="1"/>
  <c r="EX50" i="1"/>
  <c r="EY50" i="1" s="1"/>
  <c r="E50" i="83" s="1"/>
  <c r="EX51" i="1"/>
  <c r="EY51" i="1" s="1"/>
  <c r="E51" i="83" s="1"/>
  <c r="EX52" i="1"/>
  <c r="EX53" i="1"/>
  <c r="EY53" i="1" s="1"/>
  <c r="E53" i="83" s="1"/>
  <c r="EX54" i="1"/>
  <c r="EY54" i="1" s="1"/>
  <c r="E54" i="83" s="1"/>
  <c r="EX55" i="1"/>
  <c r="EY55" i="1" s="1"/>
  <c r="E55" i="83" s="1"/>
  <c r="EX6" i="1"/>
  <c r="D6" i="83" s="1"/>
  <c r="H19" i="84" s="1"/>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7" i="78"/>
  <c r="AH6" i="83" l="1"/>
  <c r="H40" i="84" s="1"/>
  <c r="AE6" i="83"/>
  <c r="H38" i="84" s="1"/>
  <c r="AB6" i="83"/>
  <c r="H36" i="84" s="1"/>
  <c r="AL55" i="13"/>
  <c r="AM55" i="13"/>
  <c r="AN55" i="13"/>
  <c r="AF6" i="26"/>
  <c r="AG6" i="26"/>
  <c r="AH6" i="26"/>
  <c r="AI6" i="26"/>
  <c r="AJ6" i="26"/>
  <c r="AF7" i="26"/>
  <c r="AG7" i="26"/>
  <c r="AH7" i="26"/>
  <c r="AI7" i="26"/>
  <c r="AJ7" i="26"/>
  <c r="AF8" i="26"/>
  <c r="AG8" i="26"/>
  <c r="AH8" i="26"/>
  <c r="AI8" i="26"/>
  <c r="AJ8" i="26"/>
  <c r="AF9" i="26"/>
  <c r="AG9" i="26"/>
  <c r="AH9" i="26"/>
  <c r="AI9" i="26"/>
  <c r="AJ9" i="26"/>
  <c r="AF10" i="26"/>
  <c r="AG10" i="26"/>
  <c r="AH10" i="26"/>
  <c r="AI10" i="26"/>
  <c r="AJ10" i="26"/>
  <c r="AF11" i="26"/>
  <c r="AG11" i="26"/>
  <c r="AH11" i="26"/>
  <c r="AI11" i="26"/>
  <c r="AJ11" i="26"/>
  <c r="AF12" i="26"/>
  <c r="AG12" i="26"/>
  <c r="AH12" i="26"/>
  <c r="AI12" i="26"/>
  <c r="AJ12" i="26"/>
  <c r="AF13" i="26"/>
  <c r="AG13" i="26"/>
  <c r="AH13" i="26"/>
  <c r="AI13" i="26"/>
  <c r="AJ13" i="26"/>
  <c r="AF14" i="26"/>
  <c r="AG14" i="26"/>
  <c r="AH14" i="26"/>
  <c r="AI14" i="26"/>
  <c r="AJ14" i="26"/>
  <c r="AF15" i="26"/>
  <c r="AG15" i="26"/>
  <c r="AH15" i="26"/>
  <c r="AI15" i="26"/>
  <c r="AJ15" i="26"/>
  <c r="AF16" i="26"/>
  <c r="AG16" i="26"/>
  <c r="AH16" i="26"/>
  <c r="AI16" i="26"/>
  <c r="AJ16" i="26"/>
  <c r="AF17" i="26"/>
  <c r="AG17" i="26"/>
  <c r="AH17" i="26"/>
  <c r="AI17" i="26"/>
  <c r="AJ17" i="26"/>
  <c r="AF18" i="26"/>
  <c r="AG18" i="26"/>
  <c r="AH18" i="26"/>
  <c r="AI18" i="26"/>
  <c r="AJ18" i="26"/>
  <c r="AF19" i="26"/>
  <c r="AG19" i="26"/>
  <c r="AH19" i="26"/>
  <c r="AI19" i="26"/>
  <c r="AJ19" i="26"/>
  <c r="AF20" i="26"/>
  <c r="AG20" i="26"/>
  <c r="AH20" i="26"/>
  <c r="AI20" i="26"/>
  <c r="AJ20" i="26"/>
  <c r="AF21" i="26"/>
  <c r="AG21" i="26"/>
  <c r="AH21" i="26"/>
  <c r="AI21" i="26"/>
  <c r="AJ21" i="26"/>
  <c r="AF22" i="26"/>
  <c r="AG22" i="26"/>
  <c r="AH22" i="26"/>
  <c r="AI22" i="26"/>
  <c r="AJ22" i="26"/>
  <c r="AF23" i="26"/>
  <c r="AG23" i="26"/>
  <c r="AH23" i="26"/>
  <c r="AI23" i="26"/>
  <c r="AJ23" i="26"/>
  <c r="AF24" i="26"/>
  <c r="AG24" i="26"/>
  <c r="AH24" i="26"/>
  <c r="AI24" i="26"/>
  <c r="AJ24" i="26"/>
  <c r="AF25" i="26"/>
  <c r="AG25" i="26"/>
  <c r="AH25" i="26"/>
  <c r="AI25" i="26"/>
  <c r="AJ25" i="26"/>
  <c r="AF26" i="26"/>
  <c r="AG26" i="26"/>
  <c r="AH26" i="26"/>
  <c r="AI26" i="26"/>
  <c r="AJ26" i="26"/>
  <c r="AF27" i="26"/>
  <c r="AG27" i="26"/>
  <c r="AH27" i="26"/>
  <c r="AI27" i="26"/>
  <c r="AJ27" i="26"/>
  <c r="AF28" i="26"/>
  <c r="AG28" i="26"/>
  <c r="AH28" i="26"/>
  <c r="AI28" i="26"/>
  <c r="AJ28" i="26"/>
  <c r="AF29" i="26"/>
  <c r="AG29" i="26"/>
  <c r="AH29" i="26"/>
  <c r="AI29" i="26"/>
  <c r="AJ29" i="26"/>
  <c r="AF30" i="26"/>
  <c r="AG30" i="26"/>
  <c r="AH30" i="26"/>
  <c r="AI30" i="26"/>
  <c r="AJ30" i="26"/>
  <c r="AF31" i="26"/>
  <c r="AG31" i="26"/>
  <c r="AH31" i="26"/>
  <c r="AI31" i="26"/>
  <c r="AJ31" i="26"/>
  <c r="AF32" i="26"/>
  <c r="AG32" i="26"/>
  <c r="AH32" i="26"/>
  <c r="AI32" i="26"/>
  <c r="AJ32" i="26"/>
  <c r="AF33" i="26"/>
  <c r="AG33" i="26"/>
  <c r="AH33" i="26"/>
  <c r="AI33" i="26"/>
  <c r="AJ33" i="26"/>
  <c r="AF34" i="26"/>
  <c r="AG34" i="26"/>
  <c r="AH34" i="26"/>
  <c r="AI34" i="26"/>
  <c r="AJ34" i="26"/>
  <c r="AF35" i="26"/>
  <c r="AG35" i="26"/>
  <c r="AH35" i="26"/>
  <c r="AI35" i="26"/>
  <c r="AJ35" i="26"/>
  <c r="AF36" i="26"/>
  <c r="AG36" i="26"/>
  <c r="AH36" i="26"/>
  <c r="AI36" i="26"/>
  <c r="AJ36" i="26"/>
  <c r="AF37" i="26"/>
  <c r="AG37" i="26"/>
  <c r="AH37" i="26"/>
  <c r="AI37" i="26"/>
  <c r="AJ37" i="26"/>
  <c r="AF38" i="26"/>
  <c r="AG38" i="26"/>
  <c r="AH38" i="26"/>
  <c r="AI38" i="26"/>
  <c r="AJ38" i="26"/>
  <c r="AF39" i="26"/>
  <c r="AG39" i="26"/>
  <c r="AH39" i="26"/>
  <c r="AI39" i="26"/>
  <c r="AJ39" i="26"/>
  <c r="AF40" i="26"/>
  <c r="AG40" i="26"/>
  <c r="AH40" i="26"/>
  <c r="AI40" i="26"/>
  <c r="AJ40" i="26"/>
  <c r="AF41" i="26"/>
  <c r="AG41" i="26"/>
  <c r="AH41" i="26"/>
  <c r="AI41" i="26"/>
  <c r="AJ41" i="26"/>
  <c r="AF42" i="26"/>
  <c r="AG42" i="26"/>
  <c r="AH42" i="26"/>
  <c r="AI42" i="26"/>
  <c r="AJ42" i="26"/>
  <c r="AF43" i="26"/>
  <c r="AG43" i="26"/>
  <c r="AH43" i="26"/>
  <c r="AI43" i="26"/>
  <c r="AJ43" i="26"/>
  <c r="AF44" i="26"/>
  <c r="AG44" i="26"/>
  <c r="AH44" i="26"/>
  <c r="AI44" i="26"/>
  <c r="AJ44" i="26"/>
  <c r="AF45" i="26"/>
  <c r="AG45" i="26"/>
  <c r="AH45" i="26"/>
  <c r="AI45" i="26"/>
  <c r="AJ45" i="26"/>
  <c r="AF46" i="26"/>
  <c r="AG46" i="26"/>
  <c r="AH46" i="26"/>
  <c r="AI46" i="26"/>
  <c r="AJ46" i="26"/>
  <c r="AF47" i="26"/>
  <c r="AG47" i="26"/>
  <c r="AH47" i="26"/>
  <c r="AI47" i="26"/>
  <c r="AJ47" i="26"/>
  <c r="AF48" i="26"/>
  <c r="AG48" i="26"/>
  <c r="AH48" i="26"/>
  <c r="AI48" i="26"/>
  <c r="AJ48" i="26"/>
  <c r="AF49" i="26"/>
  <c r="AG49" i="26"/>
  <c r="AH49" i="26"/>
  <c r="AI49" i="26"/>
  <c r="AJ49" i="26"/>
  <c r="AF50" i="26"/>
  <c r="AG50" i="26"/>
  <c r="AH50" i="26"/>
  <c r="AI50" i="26"/>
  <c r="AJ50" i="26"/>
  <c r="AF51" i="26"/>
  <c r="AG51" i="26"/>
  <c r="AH51" i="26"/>
  <c r="AI51" i="26"/>
  <c r="AJ51" i="26"/>
  <c r="AF52" i="26"/>
  <c r="AG52" i="26"/>
  <c r="AH52" i="26"/>
  <c r="AI52" i="26"/>
  <c r="AJ52" i="26"/>
  <c r="AF53" i="26"/>
  <c r="AG53" i="26"/>
  <c r="AH53" i="26"/>
  <c r="AI53" i="26"/>
  <c r="AJ53" i="26"/>
  <c r="AF54" i="26"/>
  <c r="AG54" i="26"/>
  <c r="AH54" i="26"/>
  <c r="AI54" i="26"/>
  <c r="AJ54" i="26"/>
  <c r="AG5" i="26"/>
  <c r="AH5" i="26"/>
  <c r="AI5" i="26"/>
  <c r="AJ5" i="26"/>
  <c r="AF5" i="26"/>
  <c r="AF6" i="12"/>
  <c r="AG6" i="12"/>
  <c r="AH6" i="12"/>
  <c r="AI6" i="12"/>
  <c r="AF7" i="12"/>
  <c r="AG7" i="12"/>
  <c r="AH7" i="12"/>
  <c r="AI7" i="12"/>
  <c r="AF8" i="12"/>
  <c r="AG8" i="12"/>
  <c r="AH8" i="12"/>
  <c r="AI8" i="12"/>
  <c r="AF9" i="12"/>
  <c r="AG9" i="12"/>
  <c r="AH9" i="12"/>
  <c r="AI9" i="12"/>
  <c r="AF10" i="12"/>
  <c r="AG10" i="12"/>
  <c r="AH10" i="12"/>
  <c r="AI10" i="12"/>
  <c r="AF11" i="12"/>
  <c r="AG11" i="12"/>
  <c r="AH11" i="12"/>
  <c r="AI11" i="12"/>
  <c r="AF12" i="12"/>
  <c r="AG12" i="12"/>
  <c r="AH12" i="12"/>
  <c r="AI12" i="12"/>
  <c r="AF13" i="12"/>
  <c r="AG13" i="12"/>
  <c r="AH13" i="12"/>
  <c r="AI13" i="12"/>
  <c r="AF14" i="12"/>
  <c r="AG14" i="12"/>
  <c r="AH14" i="12"/>
  <c r="AI14" i="12"/>
  <c r="AF15" i="12"/>
  <c r="AG15" i="12"/>
  <c r="AH15" i="12"/>
  <c r="AI15" i="12"/>
  <c r="AF16" i="12"/>
  <c r="AG16" i="12"/>
  <c r="AH16" i="12"/>
  <c r="AI16" i="12"/>
  <c r="AF17" i="12"/>
  <c r="AG17" i="12"/>
  <c r="AH17" i="12"/>
  <c r="AI17" i="12"/>
  <c r="AF18" i="12"/>
  <c r="AG18" i="12"/>
  <c r="AH18" i="12"/>
  <c r="AI18" i="12"/>
  <c r="AF19" i="12"/>
  <c r="AG19" i="12"/>
  <c r="AH19" i="12"/>
  <c r="AI19" i="12"/>
  <c r="AF20" i="12"/>
  <c r="AG20" i="12"/>
  <c r="AH20" i="12"/>
  <c r="AI20" i="12"/>
  <c r="AF21" i="12"/>
  <c r="AG21" i="12"/>
  <c r="AH21" i="12"/>
  <c r="AI21" i="12"/>
  <c r="AF22" i="12"/>
  <c r="AG22" i="12"/>
  <c r="AH22" i="12"/>
  <c r="AI22" i="12"/>
  <c r="AF23" i="12"/>
  <c r="AG23" i="12"/>
  <c r="AH23" i="12"/>
  <c r="AI23" i="12"/>
  <c r="AF24" i="12"/>
  <c r="AG24" i="12"/>
  <c r="AH24" i="12"/>
  <c r="AI24" i="12"/>
  <c r="AF25" i="12"/>
  <c r="AG25" i="12"/>
  <c r="AH25" i="12"/>
  <c r="AI25" i="12"/>
  <c r="AF26" i="12"/>
  <c r="AG26" i="12"/>
  <c r="AH26" i="12"/>
  <c r="AI26" i="12"/>
  <c r="AF27" i="12"/>
  <c r="AG27" i="12"/>
  <c r="AH27" i="12"/>
  <c r="AI27" i="12"/>
  <c r="AF28" i="12"/>
  <c r="AG28" i="12"/>
  <c r="AH28" i="12"/>
  <c r="AI28" i="12"/>
  <c r="AF29" i="12"/>
  <c r="AG29" i="12"/>
  <c r="AH29" i="12"/>
  <c r="AI29" i="12"/>
  <c r="AF30" i="12"/>
  <c r="AG30" i="12"/>
  <c r="AH30" i="12"/>
  <c r="AI30" i="12"/>
  <c r="AF31" i="12"/>
  <c r="AG31" i="12"/>
  <c r="AH31" i="12"/>
  <c r="AI31" i="12"/>
  <c r="AF32" i="12"/>
  <c r="AG32" i="12"/>
  <c r="AH32" i="12"/>
  <c r="AI32" i="12"/>
  <c r="AF33" i="12"/>
  <c r="AG33" i="12"/>
  <c r="AH33" i="12"/>
  <c r="AI33" i="12"/>
  <c r="AF34" i="12"/>
  <c r="AG34" i="12"/>
  <c r="AH34" i="12"/>
  <c r="AI34" i="12"/>
  <c r="AF35" i="12"/>
  <c r="AG35" i="12"/>
  <c r="AH35" i="12"/>
  <c r="AI35" i="12"/>
  <c r="AF36" i="12"/>
  <c r="AG36" i="12"/>
  <c r="AH36" i="12"/>
  <c r="AI36" i="12"/>
  <c r="AF37" i="12"/>
  <c r="AG37" i="12"/>
  <c r="AH37" i="12"/>
  <c r="AI37" i="12"/>
  <c r="AF38" i="12"/>
  <c r="AG38" i="12"/>
  <c r="AH38" i="12"/>
  <c r="AI38" i="12"/>
  <c r="AF39" i="12"/>
  <c r="AG39" i="12"/>
  <c r="AH39" i="12"/>
  <c r="AI39" i="12"/>
  <c r="AF40" i="12"/>
  <c r="AG40" i="12"/>
  <c r="AH40" i="12"/>
  <c r="AI40" i="12"/>
  <c r="AF41" i="12"/>
  <c r="AG41" i="12"/>
  <c r="AH41" i="12"/>
  <c r="AI41" i="12"/>
  <c r="AF42" i="12"/>
  <c r="AG42" i="12"/>
  <c r="AH42" i="12"/>
  <c r="AI42" i="12"/>
  <c r="AF43" i="12"/>
  <c r="AG43" i="12"/>
  <c r="AH43" i="12"/>
  <c r="AI43" i="12"/>
  <c r="AF44" i="12"/>
  <c r="AG44" i="12"/>
  <c r="AH44" i="12"/>
  <c r="AI44" i="12"/>
  <c r="AF45" i="12"/>
  <c r="AG45" i="12"/>
  <c r="AH45" i="12"/>
  <c r="AI45" i="12"/>
  <c r="AF46" i="12"/>
  <c r="AG46" i="12"/>
  <c r="AH46" i="12"/>
  <c r="AI46" i="12"/>
  <c r="AF47" i="12"/>
  <c r="AG47" i="12"/>
  <c r="AH47" i="12"/>
  <c r="AI47" i="12"/>
  <c r="AF48" i="12"/>
  <c r="AG48" i="12"/>
  <c r="AH48" i="12"/>
  <c r="AI48" i="12"/>
  <c r="AF49" i="12"/>
  <c r="AG49" i="12"/>
  <c r="AH49" i="12"/>
  <c r="AI49" i="12"/>
  <c r="AF50" i="12"/>
  <c r="AG50" i="12"/>
  <c r="AH50" i="12"/>
  <c r="AI50" i="12"/>
  <c r="AF51" i="12"/>
  <c r="AG51" i="12"/>
  <c r="AH51" i="12"/>
  <c r="AI51" i="12"/>
  <c r="AF52" i="12"/>
  <c r="AG52" i="12"/>
  <c r="AH52" i="12"/>
  <c r="AI52" i="12"/>
  <c r="AF53" i="12"/>
  <c r="AG53" i="12"/>
  <c r="AH53" i="12"/>
  <c r="AI53" i="12"/>
  <c r="AF54" i="12"/>
  <c r="AG54" i="12"/>
  <c r="AH54" i="12"/>
  <c r="AI54" i="12"/>
  <c r="AG5" i="12"/>
  <c r="AH5" i="12"/>
  <c r="AI5" i="12"/>
  <c r="AF5" i="12"/>
  <c r="AF6" i="34"/>
  <c r="AG6" i="34"/>
  <c r="AH6" i="34"/>
  <c r="AF7" i="34"/>
  <c r="AG7" i="34"/>
  <c r="AH7" i="34"/>
  <c r="AF8" i="34"/>
  <c r="AG8" i="34"/>
  <c r="AH8" i="34"/>
  <c r="AF9" i="34"/>
  <c r="AG9" i="34"/>
  <c r="AH9" i="34"/>
  <c r="AF10" i="34"/>
  <c r="AG10" i="34"/>
  <c r="AH10" i="34"/>
  <c r="AF11" i="34"/>
  <c r="AG11" i="34"/>
  <c r="AH11" i="34"/>
  <c r="AF12" i="34"/>
  <c r="AG12" i="34"/>
  <c r="AH12" i="34"/>
  <c r="AF13" i="34"/>
  <c r="AG13" i="34"/>
  <c r="AH13" i="34"/>
  <c r="AF14" i="34"/>
  <c r="AG14" i="34"/>
  <c r="AH14" i="34"/>
  <c r="AF15" i="34"/>
  <c r="AG15" i="34"/>
  <c r="AH15" i="34"/>
  <c r="AF16" i="34"/>
  <c r="AG16" i="34"/>
  <c r="AH16" i="34"/>
  <c r="AF17" i="34"/>
  <c r="AG17" i="34"/>
  <c r="AH17" i="34"/>
  <c r="AF18" i="34"/>
  <c r="AG18" i="34"/>
  <c r="AH18" i="34"/>
  <c r="AF19" i="34"/>
  <c r="AG19" i="34"/>
  <c r="AH19" i="34"/>
  <c r="AF20" i="34"/>
  <c r="AG20" i="34"/>
  <c r="AH20" i="34"/>
  <c r="AF21" i="34"/>
  <c r="AG21" i="34"/>
  <c r="AH21" i="34"/>
  <c r="AF22" i="34"/>
  <c r="AG22" i="34"/>
  <c r="AH22" i="34"/>
  <c r="AF23" i="34"/>
  <c r="AG23" i="34"/>
  <c r="AH23" i="34"/>
  <c r="AF24" i="34"/>
  <c r="AG24" i="34"/>
  <c r="AH24" i="34"/>
  <c r="AF25" i="34"/>
  <c r="AG25" i="34"/>
  <c r="AH25" i="34"/>
  <c r="AF26" i="34"/>
  <c r="AG26" i="34"/>
  <c r="AH26" i="34"/>
  <c r="AF27" i="34"/>
  <c r="AG27" i="34"/>
  <c r="AH27" i="34"/>
  <c r="AF28" i="34"/>
  <c r="AG28" i="34"/>
  <c r="AH28" i="34"/>
  <c r="AF29" i="34"/>
  <c r="AG29" i="34"/>
  <c r="AH29" i="34"/>
  <c r="AF30" i="34"/>
  <c r="AG30" i="34"/>
  <c r="AH30" i="34"/>
  <c r="AF31" i="34"/>
  <c r="AG31" i="34"/>
  <c r="AH31" i="34"/>
  <c r="AF32" i="34"/>
  <c r="AG32" i="34"/>
  <c r="AH32" i="34"/>
  <c r="AF33" i="34"/>
  <c r="AG33" i="34"/>
  <c r="AH33" i="34"/>
  <c r="AF34" i="34"/>
  <c r="AG34" i="34"/>
  <c r="AH34" i="34"/>
  <c r="AF35" i="34"/>
  <c r="AG35" i="34"/>
  <c r="AH35" i="34"/>
  <c r="AF36" i="34"/>
  <c r="AG36" i="34"/>
  <c r="AH36" i="34"/>
  <c r="AF37" i="34"/>
  <c r="AG37" i="34"/>
  <c r="AH37" i="34"/>
  <c r="AF38" i="34"/>
  <c r="AG38" i="34"/>
  <c r="AH38" i="34"/>
  <c r="AF39" i="34"/>
  <c r="AG39" i="34"/>
  <c r="AH39" i="34"/>
  <c r="AF40" i="34"/>
  <c r="AG40" i="34"/>
  <c r="AH40" i="34"/>
  <c r="AF41" i="34"/>
  <c r="AG41" i="34"/>
  <c r="AH41" i="34"/>
  <c r="AF42" i="34"/>
  <c r="AG42" i="34"/>
  <c r="AH42" i="34"/>
  <c r="AF43" i="34"/>
  <c r="AG43" i="34"/>
  <c r="AH43" i="34"/>
  <c r="AF44" i="34"/>
  <c r="AG44" i="34"/>
  <c r="AH44" i="34"/>
  <c r="AF45" i="34"/>
  <c r="AG45" i="34"/>
  <c r="AH45" i="34"/>
  <c r="AF46" i="34"/>
  <c r="AG46" i="34"/>
  <c r="AH46" i="34"/>
  <c r="AF47" i="34"/>
  <c r="AG47" i="34"/>
  <c r="AH47" i="34"/>
  <c r="AF48" i="34"/>
  <c r="AG48" i="34"/>
  <c r="AH48" i="34"/>
  <c r="AF49" i="34"/>
  <c r="AG49" i="34"/>
  <c r="AH49" i="34"/>
  <c r="AF50" i="34"/>
  <c r="AG50" i="34"/>
  <c r="AH50" i="34"/>
  <c r="AF51" i="34"/>
  <c r="AG51" i="34"/>
  <c r="AH51" i="34"/>
  <c r="AF52" i="34"/>
  <c r="AG52" i="34"/>
  <c r="AH52" i="34"/>
  <c r="AF53" i="34"/>
  <c r="AG53" i="34"/>
  <c r="AH53" i="34"/>
  <c r="AF54" i="34"/>
  <c r="AG54" i="34"/>
  <c r="AH54" i="34"/>
  <c r="AG5" i="34"/>
  <c r="AH5" i="34"/>
  <c r="AF5" i="34"/>
  <c r="AF6" i="33"/>
  <c r="AG6" i="33"/>
  <c r="AH6" i="33"/>
  <c r="AI6" i="33"/>
  <c r="AF7" i="33"/>
  <c r="AG7" i="33"/>
  <c r="AH7" i="33"/>
  <c r="AI7" i="33"/>
  <c r="AF8" i="33"/>
  <c r="AG8" i="33"/>
  <c r="AH8" i="33"/>
  <c r="AI8" i="33"/>
  <c r="AF9" i="33"/>
  <c r="AG9" i="33"/>
  <c r="AH9" i="33"/>
  <c r="AI9" i="33"/>
  <c r="AF10" i="33"/>
  <c r="AG10" i="33"/>
  <c r="AH10" i="33"/>
  <c r="AI10" i="33"/>
  <c r="AF11" i="33"/>
  <c r="AG11" i="33"/>
  <c r="AH11" i="33"/>
  <c r="AI11" i="33"/>
  <c r="AF12" i="33"/>
  <c r="AG12" i="33"/>
  <c r="AH12" i="33"/>
  <c r="AI12" i="33"/>
  <c r="AF13" i="33"/>
  <c r="AG13" i="33"/>
  <c r="AH13" i="33"/>
  <c r="AI13" i="33"/>
  <c r="AF14" i="33"/>
  <c r="AG14" i="33"/>
  <c r="AH14" i="33"/>
  <c r="AI14" i="33"/>
  <c r="AF15" i="33"/>
  <c r="AG15" i="33"/>
  <c r="AH15" i="33"/>
  <c r="AI15" i="33"/>
  <c r="AF16" i="33"/>
  <c r="AG16" i="33"/>
  <c r="AH16" i="33"/>
  <c r="AI16" i="33"/>
  <c r="AF17" i="33"/>
  <c r="AG17" i="33"/>
  <c r="AH17" i="33"/>
  <c r="AI17" i="33"/>
  <c r="AF18" i="33"/>
  <c r="AG18" i="33"/>
  <c r="AH18" i="33"/>
  <c r="AI18" i="33"/>
  <c r="AF19" i="33"/>
  <c r="AG19" i="33"/>
  <c r="AH19" i="33"/>
  <c r="AI19" i="33"/>
  <c r="AF20" i="33"/>
  <c r="AG20" i="33"/>
  <c r="AH20" i="33"/>
  <c r="AI20" i="33"/>
  <c r="AF21" i="33"/>
  <c r="AG21" i="33"/>
  <c r="AH21" i="33"/>
  <c r="AI21" i="33"/>
  <c r="AF22" i="33"/>
  <c r="AG22" i="33"/>
  <c r="AH22" i="33"/>
  <c r="AI22" i="33"/>
  <c r="AF23" i="33"/>
  <c r="AG23" i="33"/>
  <c r="AH23" i="33"/>
  <c r="AI23" i="33"/>
  <c r="AF24" i="33"/>
  <c r="AG24" i="33"/>
  <c r="AH24" i="33"/>
  <c r="AI24" i="33"/>
  <c r="AF25" i="33"/>
  <c r="AG25" i="33"/>
  <c r="AH25" i="33"/>
  <c r="AI25" i="33"/>
  <c r="AF26" i="33"/>
  <c r="AG26" i="33"/>
  <c r="AH26" i="33"/>
  <c r="AI26" i="33"/>
  <c r="AF27" i="33"/>
  <c r="AG27" i="33"/>
  <c r="AH27" i="33"/>
  <c r="AI27" i="33"/>
  <c r="AF28" i="33"/>
  <c r="AG28" i="33"/>
  <c r="AH28" i="33"/>
  <c r="AI28" i="33"/>
  <c r="AF29" i="33"/>
  <c r="AG29" i="33"/>
  <c r="AH29" i="33"/>
  <c r="AI29" i="33"/>
  <c r="AF30" i="33"/>
  <c r="AG30" i="33"/>
  <c r="AH30" i="33"/>
  <c r="AI30" i="33"/>
  <c r="AF31" i="33"/>
  <c r="AG31" i="33"/>
  <c r="AH31" i="33"/>
  <c r="AI31" i="33"/>
  <c r="AF32" i="33"/>
  <c r="AG32" i="33"/>
  <c r="AH32" i="33"/>
  <c r="AI32" i="33"/>
  <c r="AF33" i="33"/>
  <c r="AG33" i="33"/>
  <c r="AH33" i="33"/>
  <c r="AI33" i="33"/>
  <c r="AF34" i="33"/>
  <c r="AG34" i="33"/>
  <c r="AH34" i="33"/>
  <c r="AI34" i="33"/>
  <c r="AF35" i="33"/>
  <c r="AG35" i="33"/>
  <c r="AH35" i="33"/>
  <c r="AI35" i="33"/>
  <c r="AF36" i="33"/>
  <c r="AG36" i="33"/>
  <c r="AH36" i="33"/>
  <c r="AI36" i="33"/>
  <c r="AF37" i="33"/>
  <c r="AG37" i="33"/>
  <c r="AH37" i="33"/>
  <c r="AI37" i="33"/>
  <c r="AF38" i="33"/>
  <c r="AG38" i="33"/>
  <c r="AH38" i="33"/>
  <c r="AI38" i="33"/>
  <c r="AF39" i="33"/>
  <c r="AG39" i="33"/>
  <c r="AH39" i="33"/>
  <c r="AI39" i="33"/>
  <c r="AF40" i="33"/>
  <c r="AG40" i="33"/>
  <c r="AH40" i="33"/>
  <c r="AI40" i="33"/>
  <c r="AF41" i="33"/>
  <c r="AG41" i="33"/>
  <c r="AH41" i="33"/>
  <c r="AI41" i="33"/>
  <c r="AF42" i="33"/>
  <c r="AG42" i="33"/>
  <c r="AH42" i="33"/>
  <c r="AI42" i="33"/>
  <c r="AF43" i="33"/>
  <c r="AG43" i="33"/>
  <c r="AH43" i="33"/>
  <c r="AI43" i="33"/>
  <c r="AF44" i="33"/>
  <c r="AG44" i="33"/>
  <c r="AH44" i="33"/>
  <c r="AI44" i="33"/>
  <c r="AF45" i="33"/>
  <c r="AG45" i="33"/>
  <c r="AH45" i="33"/>
  <c r="AI45" i="33"/>
  <c r="AF46" i="33"/>
  <c r="AG46" i="33"/>
  <c r="AH46" i="33"/>
  <c r="AI46" i="33"/>
  <c r="AF47" i="33"/>
  <c r="AG47" i="33"/>
  <c r="AH47" i="33"/>
  <c r="AI47" i="33"/>
  <c r="AF48" i="33"/>
  <c r="AG48" i="33"/>
  <c r="AH48" i="33"/>
  <c r="AI48" i="33"/>
  <c r="AF49" i="33"/>
  <c r="AG49" i="33"/>
  <c r="AH49" i="33"/>
  <c r="AI49" i="33"/>
  <c r="AF50" i="33"/>
  <c r="AG50" i="33"/>
  <c r="AH50" i="33"/>
  <c r="AI50" i="33"/>
  <c r="AF51" i="33"/>
  <c r="AG51" i="33"/>
  <c r="AH51" i="33"/>
  <c r="AI51" i="33"/>
  <c r="AF52" i="33"/>
  <c r="AG52" i="33"/>
  <c r="AH52" i="33"/>
  <c r="AI52" i="33"/>
  <c r="AF53" i="33"/>
  <c r="AG53" i="33"/>
  <c r="AH53" i="33"/>
  <c r="AI53" i="33"/>
  <c r="AF54" i="33"/>
  <c r="AG54" i="33"/>
  <c r="AH54" i="33"/>
  <c r="AI54" i="33"/>
  <c r="AG5" i="33"/>
  <c r="AH5" i="33"/>
  <c r="AI5" i="33"/>
  <c r="AF5" i="33"/>
  <c r="AM6" i="11"/>
  <c r="AN6" i="11"/>
  <c r="AO6" i="11"/>
  <c r="AP6" i="11"/>
  <c r="AQ6" i="11"/>
  <c r="AR6" i="11"/>
  <c r="AS6" i="11"/>
  <c r="AM7" i="11"/>
  <c r="AN7" i="11"/>
  <c r="AO7" i="11"/>
  <c r="AP7" i="11"/>
  <c r="AQ7" i="11"/>
  <c r="AR7" i="11"/>
  <c r="AS7" i="11"/>
  <c r="AM8" i="11"/>
  <c r="AN8" i="11"/>
  <c r="AO8" i="11"/>
  <c r="AP8" i="11"/>
  <c r="AQ8" i="11"/>
  <c r="AR8" i="11"/>
  <c r="AS8" i="11"/>
  <c r="AM9" i="11"/>
  <c r="AN9" i="11"/>
  <c r="AO9" i="11"/>
  <c r="AP9" i="11"/>
  <c r="AQ9" i="11"/>
  <c r="AR9" i="11"/>
  <c r="AS9" i="11"/>
  <c r="AM10" i="11"/>
  <c r="AN10" i="11"/>
  <c r="AO10" i="11"/>
  <c r="AP10" i="11"/>
  <c r="AQ10" i="11"/>
  <c r="AR10" i="11"/>
  <c r="AS10" i="11"/>
  <c r="AM11" i="11"/>
  <c r="AN11" i="11"/>
  <c r="AO11" i="11"/>
  <c r="AP11" i="11"/>
  <c r="AQ11" i="11"/>
  <c r="AR11" i="11"/>
  <c r="AS11" i="11"/>
  <c r="AM12" i="11"/>
  <c r="AN12" i="11"/>
  <c r="AO12" i="11"/>
  <c r="AP12" i="11"/>
  <c r="AQ12" i="11"/>
  <c r="AR12" i="11"/>
  <c r="AS12" i="11"/>
  <c r="AM13" i="11"/>
  <c r="AN13" i="11"/>
  <c r="AO13" i="11"/>
  <c r="AP13" i="11"/>
  <c r="AQ13" i="11"/>
  <c r="AR13" i="11"/>
  <c r="AS13" i="11"/>
  <c r="AM14" i="11"/>
  <c r="AN14" i="11"/>
  <c r="AO14" i="11"/>
  <c r="AP14" i="11"/>
  <c r="AQ14" i="11"/>
  <c r="AR14" i="11"/>
  <c r="AS14" i="11"/>
  <c r="AM15" i="11"/>
  <c r="AN15" i="11"/>
  <c r="AO15" i="11"/>
  <c r="AP15" i="11"/>
  <c r="AQ15" i="11"/>
  <c r="AR15" i="11"/>
  <c r="AS15" i="11"/>
  <c r="AM16" i="11"/>
  <c r="AN16" i="11"/>
  <c r="AO16" i="11"/>
  <c r="AP16" i="11"/>
  <c r="AQ16" i="11"/>
  <c r="AR16" i="11"/>
  <c r="AS16" i="11"/>
  <c r="AM17" i="11"/>
  <c r="AN17" i="11"/>
  <c r="AO17" i="11"/>
  <c r="AP17" i="11"/>
  <c r="AQ17" i="11"/>
  <c r="AR17" i="11"/>
  <c r="AS17" i="11"/>
  <c r="AM18" i="11"/>
  <c r="AN18" i="11"/>
  <c r="AO18" i="11"/>
  <c r="AP18" i="11"/>
  <c r="AQ18" i="11"/>
  <c r="AR18" i="11"/>
  <c r="AS18" i="11"/>
  <c r="AM19" i="11"/>
  <c r="AN19" i="11"/>
  <c r="AO19" i="11"/>
  <c r="AP19" i="11"/>
  <c r="AQ19" i="11"/>
  <c r="AR19" i="11"/>
  <c r="AS19" i="11"/>
  <c r="AM20" i="11"/>
  <c r="AN20" i="11"/>
  <c r="AO20" i="11"/>
  <c r="AP20" i="11"/>
  <c r="AQ20" i="11"/>
  <c r="AR20" i="11"/>
  <c r="AS20" i="11"/>
  <c r="AM21" i="11"/>
  <c r="AN21" i="11"/>
  <c r="AO21" i="11"/>
  <c r="AP21" i="11"/>
  <c r="AQ21" i="11"/>
  <c r="AR21" i="11"/>
  <c r="AS21" i="11"/>
  <c r="AM22" i="11"/>
  <c r="AN22" i="11"/>
  <c r="AO22" i="11"/>
  <c r="AP22" i="11"/>
  <c r="AQ22" i="11"/>
  <c r="AR22" i="11"/>
  <c r="AS22" i="11"/>
  <c r="AM23" i="11"/>
  <c r="AN23" i="11"/>
  <c r="AO23" i="11"/>
  <c r="AP23" i="11"/>
  <c r="AQ23" i="11"/>
  <c r="AR23" i="11"/>
  <c r="AS23" i="11"/>
  <c r="AM24" i="11"/>
  <c r="AN24" i="11"/>
  <c r="AO24" i="11"/>
  <c r="AP24" i="11"/>
  <c r="AQ24" i="11"/>
  <c r="AR24" i="11"/>
  <c r="AS24" i="11"/>
  <c r="AM25" i="11"/>
  <c r="AN25" i="11"/>
  <c r="AO25" i="11"/>
  <c r="AP25" i="11"/>
  <c r="AQ25" i="11"/>
  <c r="AR25" i="11"/>
  <c r="AS25" i="11"/>
  <c r="AM26" i="11"/>
  <c r="AN26" i="11"/>
  <c r="AO26" i="11"/>
  <c r="AP26" i="11"/>
  <c r="AQ26" i="11"/>
  <c r="AR26" i="11"/>
  <c r="AS26" i="11"/>
  <c r="AM27" i="11"/>
  <c r="AN27" i="11"/>
  <c r="AO27" i="11"/>
  <c r="AP27" i="11"/>
  <c r="AQ27" i="11"/>
  <c r="AR27" i="11"/>
  <c r="AS27" i="11"/>
  <c r="AM28" i="11"/>
  <c r="AN28" i="11"/>
  <c r="AO28" i="11"/>
  <c r="AP28" i="11"/>
  <c r="AQ28" i="11"/>
  <c r="AR28" i="11"/>
  <c r="AS28" i="11"/>
  <c r="AM29" i="11"/>
  <c r="AN29" i="11"/>
  <c r="AO29" i="11"/>
  <c r="AP29" i="11"/>
  <c r="AQ29" i="11"/>
  <c r="AR29" i="11"/>
  <c r="AS29" i="11"/>
  <c r="AM30" i="11"/>
  <c r="AN30" i="11"/>
  <c r="AO30" i="11"/>
  <c r="AP30" i="11"/>
  <c r="AQ30" i="11"/>
  <c r="AR30" i="11"/>
  <c r="AS30" i="11"/>
  <c r="AM31" i="11"/>
  <c r="AN31" i="11"/>
  <c r="AO31" i="11"/>
  <c r="AP31" i="11"/>
  <c r="AQ31" i="11"/>
  <c r="AR31" i="11"/>
  <c r="AS31" i="11"/>
  <c r="AM32" i="11"/>
  <c r="AN32" i="11"/>
  <c r="AO32" i="11"/>
  <c r="AP32" i="11"/>
  <c r="AQ32" i="11"/>
  <c r="AR32" i="11"/>
  <c r="AS32" i="11"/>
  <c r="AM33" i="11"/>
  <c r="AN33" i="11"/>
  <c r="AO33" i="11"/>
  <c r="AP33" i="11"/>
  <c r="AQ33" i="11"/>
  <c r="AR33" i="11"/>
  <c r="AS33" i="11"/>
  <c r="AM34" i="11"/>
  <c r="AN34" i="11"/>
  <c r="AO34" i="11"/>
  <c r="AP34" i="11"/>
  <c r="AQ34" i="11"/>
  <c r="AR34" i="11"/>
  <c r="AS34" i="11"/>
  <c r="AM35" i="11"/>
  <c r="AN35" i="11"/>
  <c r="AO35" i="11"/>
  <c r="AP35" i="11"/>
  <c r="AQ35" i="11"/>
  <c r="AR35" i="11"/>
  <c r="AS35" i="11"/>
  <c r="AM36" i="11"/>
  <c r="AN36" i="11"/>
  <c r="AO36" i="11"/>
  <c r="AP36" i="11"/>
  <c r="AQ36" i="11"/>
  <c r="AR36" i="11"/>
  <c r="AS36" i="11"/>
  <c r="AM37" i="11"/>
  <c r="AN37" i="11"/>
  <c r="AO37" i="11"/>
  <c r="AP37" i="11"/>
  <c r="AQ37" i="11"/>
  <c r="AR37" i="11"/>
  <c r="AS37" i="11"/>
  <c r="AM38" i="11"/>
  <c r="AN38" i="11"/>
  <c r="AO38" i="11"/>
  <c r="AP38" i="11"/>
  <c r="AQ38" i="11"/>
  <c r="AR38" i="11"/>
  <c r="AS38" i="11"/>
  <c r="AM39" i="11"/>
  <c r="AN39" i="11"/>
  <c r="AO39" i="11"/>
  <c r="AP39" i="11"/>
  <c r="AQ39" i="11"/>
  <c r="AR39" i="11"/>
  <c r="AS39" i="11"/>
  <c r="AM40" i="11"/>
  <c r="AN40" i="11"/>
  <c r="AO40" i="11"/>
  <c r="AP40" i="11"/>
  <c r="AQ40" i="11"/>
  <c r="AR40" i="11"/>
  <c r="AS40" i="11"/>
  <c r="AM41" i="11"/>
  <c r="AN41" i="11"/>
  <c r="AO41" i="11"/>
  <c r="AP41" i="11"/>
  <c r="AQ41" i="11"/>
  <c r="AR41" i="11"/>
  <c r="AS41" i="11"/>
  <c r="AM42" i="11"/>
  <c r="AN42" i="11"/>
  <c r="AO42" i="11"/>
  <c r="AP42" i="11"/>
  <c r="AQ42" i="11"/>
  <c r="AR42" i="11"/>
  <c r="AS42" i="11"/>
  <c r="AM43" i="11"/>
  <c r="AN43" i="11"/>
  <c r="AO43" i="11"/>
  <c r="AP43" i="11"/>
  <c r="AQ43" i="11"/>
  <c r="AR43" i="11"/>
  <c r="AS43" i="11"/>
  <c r="AM44" i="11"/>
  <c r="AN44" i="11"/>
  <c r="AO44" i="11"/>
  <c r="AP44" i="11"/>
  <c r="AQ44" i="11"/>
  <c r="AR44" i="11"/>
  <c r="AS44" i="11"/>
  <c r="AM45" i="11"/>
  <c r="AN45" i="11"/>
  <c r="AO45" i="11"/>
  <c r="AP45" i="11"/>
  <c r="AQ45" i="11"/>
  <c r="AR45" i="11"/>
  <c r="AS45" i="11"/>
  <c r="AM46" i="11"/>
  <c r="AN46" i="11"/>
  <c r="AO46" i="11"/>
  <c r="AP46" i="11"/>
  <c r="AQ46" i="11"/>
  <c r="AR46" i="11"/>
  <c r="AS46" i="11"/>
  <c r="AM47" i="11"/>
  <c r="AN47" i="11"/>
  <c r="AO47" i="11"/>
  <c r="AP47" i="11"/>
  <c r="AQ47" i="11"/>
  <c r="AR47" i="11"/>
  <c r="AS47" i="11"/>
  <c r="AM48" i="11"/>
  <c r="AN48" i="11"/>
  <c r="AO48" i="11"/>
  <c r="AP48" i="11"/>
  <c r="AQ48" i="11"/>
  <c r="AR48" i="11"/>
  <c r="AS48" i="11"/>
  <c r="AM49" i="11"/>
  <c r="AN49" i="11"/>
  <c r="AO49" i="11"/>
  <c r="AP49" i="11"/>
  <c r="AQ49" i="11"/>
  <c r="AR49" i="11"/>
  <c r="AS49" i="11"/>
  <c r="AM50" i="11"/>
  <c r="AN50" i="11"/>
  <c r="AO50" i="11"/>
  <c r="AP50" i="11"/>
  <c r="AQ50" i="11"/>
  <c r="AR50" i="11"/>
  <c r="AS50" i="11"/>
  <c r="AM51" i="11"/>
  <c r="AN51" i="11"/>
  <c r="AO51" i="11"/>
  <c r="AP51" i="11"/>
  <c r="AQ51" i="11"/>
  <c r="AR51" i="11"/>
  <c r="AS51" i="11"/>
  <c r="AM52" i="11"/>
  <c r="AN52" i="11"/>
  <c r="AO52" i="11"/>
  <c r="AP52" i="11"/>
  <c r="AQ52" i="11"/>
  <c r="AR52" i="11"/>
  <c r="AS52" i="11"/>
  <c r="AM53" i="11"/>
  <c r="AN53" i="11"/>
  <c r="AO53" i="11"/>
  <c r="AP53" i="11"/>
  <c r="AQ53" i="11"/>
  <c r="AR53" i="11"/>
  <c r="AS53" i="11"/>
  <c r="AM54" i="11"/>
  <c r="AN54" i="11"/>
  <c r="AO54" i="11"/>
  <c r="AP54" i="11"/>
  <c r="AQ54" i="11"/>
  <c r="AR54" i="11"/>
  <c r="AS54" i="11"/>
  <c r="AN5" i="11"/>
  <c r="AO5" i="11"/>
  <c r="AP5" i="11"/>
  <c r="AQ5" i="11"/>
  <c r="AR5" i="11"/>
  <c r="AS5" i="11"/>
  <c r="AM5" i="11"/>
  <c r="AI6" i="10"/>
  <c r="AJ6" i="10"/>
  <c r="AK6" i="10"/>
  <c r="AL6" i="10"/>
  <c r="AI7" i="10"/>
  <c r="AJ7" i="10"/>
  <c r="AK7" i="10"/>
  <c r="AL7" i="10"/>
  <c r="AI8" i="10"/>
  <c r="AJ8" i="10"/>
  <c r="AK8" i="10"/>
  <c r="AL8" i="10"/>
  <c r="AI9" i="10"/>
  <c r="AJ9" i="10"/>
  <c r="AK9" i="10"/>
  <c r="AL9" i="10"/>
  <c r="AI10" i="10"/>
  <c r="AJ10" i="10"/>
  <c r="AK10" i="10"/>
  <c r="AL10" i="10"/>
  <c r="AI11" i="10"/>
  <c r="AJ11" i="10"/>
  <c r="AK11" i="10"/>
  <c r="AL11" i="10"/>
  <c r="AI12" i="10"/>
  <c r="AJ12" i="10"/>
  <c r="AK12" i="10"/>
  <c r="AL12" i="10"/>
  <c r="AI13" i="10"/>
  <c r="AJ13" i="10"/>
  <c r="AK13" i="10"/>
  <c r="AL13" i="10"/>
  <c r="AI14" i="10"/>
  <c r="AJ14" i="10"/>
  <c r="AK14" i="10"/>
  <c r="AL14" i="10"/>
  <c r="AI15" i="10"/>
  <c r="AJ15" i="10"/>
  <c r="AK15" i="10"/>
  <c r="AL15" i="10"/>
  <c r="AI16" i="10"/>
  <c r="AJ16" i="10"/>
  <c r="AK16" i="10"/>
  <c r="AL16" i="10"/>
  <c r="AI17" i="10"/>
  <c r="AJ17" i="10"/>
  <c r="AK17" i="10"/>
  <c r="AL17" i="10"/>
  <c r="AI18" i="10"/>
  <c r="AJ18" i="10"/>
  <c r="AK18" i="10"/>
  <c r="AL18" i="10"/>
  <c r="AI19" i="10"/>
  <c r="AJ19" i="10"/>
  <c r="AK19" i="10"/>
  <c r="AL19" i="10"/>
  <c r="AI20" i="10"/>
  <c r="AJ20" i="10"/>
  <c r="AK20" i="10"/>
  <c r="AL20" i="10"/>
  <c r="AI21" i="10"/>
  <c r="AJ21" i="10"/>
  <c r="AK21" i="10"/>
  <c r="AL21" i="10"/>
  <c r="AI22" i="10"/>
  <c r="AJ22" i="10"/>
  <c r="AK22" i="10"/>
  <c r="AL22" i="10"/>
  <c r="AI23" i="10"/>
  <c r="AJ23" i="10"/>
  <c r="AK23" i="10"/>
  <c r="AL23" i="10"/>
  <c r="AI24" i="10"/>
  <c r="AJ24" i="10"/>
  <c r="AK24" i="10"/>
  <c r="AL24" i="10"/>
  <c r="AI25" i="10"/>
  <c r="AJ25" i="10"/>
  <c r="AK25" i="10"/>
  <c r="AL25" i="10"/>
  <c r="AI26" i="10"/>
  <c r="AJ26" i="10"/>
  <c r="AK26" i="10"/>
  <c r="AL26" i="10"/>
  <c r="AI27" i="10"/>
  <c r="AJ27" i="10"/>
  <c r="AK27" i="10"/>
  <c r="AL27" i="10"/>
  <c r="AI28" i="10"/>
  <c r="AJ28" i="10"/>
  <c r="AK28" i="10"/>
  <c r="AL28" i="10"/>
  <c r="AI29" i="10"/>
  <c r="AJ29" i="10"/>
  <c r="AK29" i="10"/>
  <c r="AL29" i="10"/>
  <c r="AI30" i="10"/>
  <c r="AJ30" i="10"/>
  <c r="AK30" i="10"/>
  <c r="AL30" i="10"/>
  <c r="AI31" i="10"/>
  <c r="AJ31" i="10"/>
  <c r="AK31" i="10"/>
  <c r="AL31" i="10"/>
  <c r="AI32" i="10"/>
  <c r="AJ32" i="10"/>
  <c r="AK32" i="10"/>
  <c r="AL32" i="10"/>
  <c r="AI33" i="10"/>
  <c r="AJ33" i="10"/>
  <c r="AK33" i="10"/>
  <c r="AL33" i="10"/>
  <c r="AI34" i="10"/>
  <c r="AJ34" i="10"/>
  <c r="AK34" i="10"/>
  <c r="AL34" i="10"/>
  <c r="AI35" i="10"/>
  <c r="AJ35" i="10"/>
  <c r="AK35" i="10"/>
  <c r="AL35" i="10"/>
  <c r="AI36" i="10"/>
  <c r="AJ36" i="10"/>
  <c r="AK36" i="10"/>
  <c r="AL36" i="10"/>
  <c r="AI37" i="10"/>
  <c r="AJ37" i="10"/>
  <c r="AK37" i="10"/>
  <c r="AL37" i="10"/>
  <c r="AI38" i="10"/>
  <c r="AJ38" i="10"/>
  <c r="AK38" i="10"/>
  <c r="AL38" i="10"/>
  <c r="AI39" i="10"/>
  <c r="AJ39" i="10"/>
  <c r="AK39" i="10"/>
  <c r="AL39" i="10"/>
  <c r="AI40" i="10"/>
  <c r="AJ40" i="10"/>
  <c r="AK40" i="10"/>
  <c r="AL40" i="10"/>
  <c r="AI41" i="10"/>
  <c r="AJ41" i="10"/>
  <c r="AK41" i="10"/>
  <c r="AL41" i="10"/>
  <c r="AI42" i="10"/>
  <c r="AJ42" i="10"/>
  <c r="AK42" i="10"/>
  <c r="AL42" i="10"/>
  <c r="AI43" i="10"/>
  <c r="AJ43" i="10"/>
  <c r="AK43" i="10"/>
  <c r="AL43" i="10"/>
  <c r="AI44" i="10"/>
  <c r="AJ44" i="10"/>
  <c r="AK44" i="10"/>
  <c r="AL44" i="10"/>
  <c r="AI45" i="10"/>
  <c r="AJ45" i="10"/>
  <c r="AK45" i="10"/>
  <c r="AL45" i="10"/>
  <c r="AI46" i="10"/>
  <c r="AJ46" i="10"/>
  <c r="AK46" i="10"/>
  <c r="AL46" i="10"/>
  <c r="AI47" i="10"/>
  <c r="AJ47" i="10"/>
  <c r="AK47" i="10"/>
  <c r="AL47" i="10"/>
  <c r="AI48" i="10"/>
  <c r="AJ48" i="10"/>
  <c r="AK48" i="10"/>
  <c r="AL48" i="10"/>
  <c r="AI49" i="10"/>
  <c r="AJ49" i="10"/>
  <c r="AK49" i="10"/>
  <c r="AL49" i="10"/>
  <c r="AI50" i="10"/>
  <c r="AJ50" i="10"/>
  <c r="AK50" i="10"/>
  <c r="AL50" i="10"/>
  <c r="AI51" i="10"/>
  <c r="AJ51" i="10"/>
  <c r="AK51" i="10"/>
  <c r="AL51" i="10"/>
  <c r="AI52" i="10"/>
  <c r="AJ52" i="10"/>
  <c r="AK52" i="10"/>
  <c r="AL52" i="10"/>
  <c r="AI53" i="10"/>
  <c r="AJ53" i="10"/>
  <c r="AK53" i="10"/>
  <c r="AL53" i="10"/>
  <c r="AI54" i="10"/>
  <c r="AJ54" i="10"/>
  <c r="AK54" i="10"/>
  <c r="AL54" i="10"/>
  <c r="AJ5" i="10"/>
  <c r="AK5" i="10"/>
  <c r="AL5" i="10"/>
  <c r="AM5" i="10"/>
  <c r="AI5" i="10"/>
  <c r="Z6" i="7"/>
  <c r="AA6" i="7"/>
  <c r="AB6" i="7"/>
  <c r="Z7" i="7"/>
  <c r="AA7" i="7"/>
  <c r="AB7" i="7"/>
  <c r="Z8" i="7"/>
  <c r="AA8" i="7"/>
  <c r="AB8" i="7"/>
  <c r="Z9" i="7"/>
  <c r="AA9" i="7"/>
  <c r="AB9" i="7"/>
  <c r="Z10" i="7"/>
  <c r="AA10" i="7"/>
  <c r="AB10" i="7"/>
  <c r="Z11" i="7"/>
  <c r="AA11" i="7"/>
  <c r="AB11" i="7"/>
  <c r="Z12" i="7"/>
  <c r="AA12" i="7"/>
  <c r="AB12" i="7"/>
  <c r="Z13" i="7"/>
  <c r="AA13" i="7"/>
  <c r="AB13" i="7"/>
  <c r="Z14" i="7"/>
  <c r="AA14" i="7"/>
  <c r="AB14" i="7"/>
  <c r="Z15" i="7"/>
  <c r="AA15" i="7"/>
  <c r="AB15" i="7"/>
  <c r="Z16" i="7"/>
  <c r="AA16" i="7"/>
  <c r="AB16" i="7"/>
  <c r="Z17" i="7"/>
  <c r="AA17" i="7"/>
  <c r="AB17" i="7"/>
  <c r="Z18" i="7"/>
  <c r="AA18" i="7"/>
  <c r="Z19" i="7"/>
  <c r="AA19" i="7"/>
  <c r="Z20" i="7"/>
  <c r="AA20" i="7"/>
  <c r="Z21" i="7"/>
  <c r="AA21" i="7"/>
  <c r="Z22" i="7"/>
  <c r="AA22" i="7"/>
  <c r="Z23" i="7"/>
  <c r="AA23" i="7"/>
  <c r="Z24" i="7"/>
  <c r="AA24" i="7"/>
  <c r="Z25" i="7"/>
  <c r="AA25" i="7"/>
  <c r="Z26" i="7"/>
  <c r="AA26" i="7"/>
  <c r="Z27" i="7"/>
  <c r="AA27" i="7"/>
  <c r="Z28" i="7"/>
  <c r="AA28" i="7"/>
  <c r="Z29" i="7"/>
  <c r="AA29" i="7"/>
  <c r="Z30" i="7"/>
  <c r="AA30" i="7"/>
  <c r="Z31" i="7"/>
  <c r="AA31" i="7"/>
  <c r="Z32" i="7"/>
  <c r="AA32" i="7"/>
  <c r="Z33" i="7"/>
  <c r="AA33" i="7"/>
  <c r="Z34" i="7"/>
  <c r="AA34" i="7"/>
  <c r="Z35" i="7"/>
  <c r="AA35" i="7"/>
  <c r="Z36" i="7"/>
  <c r="AA36" i="7"/>
  <c r="Z37" i="7"/>
  <c r="AA37" i="7"/>
  <c r="Z38" i="7"/>
  <c r="AA38" i="7"/>
  <c r="Z39" i="7"/>
  <c r="AA39" i="7"/>
  <c r="Z40" i="7"/>
  <c r="AA40" i="7"/>
  <c r="Z41" i="7"/>
  <c r="AA41" i="7"/>
  <c r="Z42" i="7"/>
  <c r="AA42" i="7"/>
  <c r="Z43" i="7"/>
  <c r="AA43" i="7"/>
  <c r="Z44" i="7"/>
  <c r="AA44" i="7"/>
  <c r="Z45" i="7"/>
  <c r="AA45" i="7"/>
  <c r="Z46" i="7"/>
  <c r="AA46" i="7"/>
  <c r="Z47" i="7"/>
  <c r="AA47" i="7"/>
  <c r="Z48" i="7"/>
  <c r="AA48" i="7"/>
  <c r="Z49" i="7"/>
  <c r="AA49" i="7"/>
  <c r="Z50" i="7"/>
  <c r="AA50" i="7"/>
  <c r="Z51" i="7"/>
  <c r="AA51" i="7"/>
  <c r="Z52" i="7"/>
  <c r="AA52" i="7"/>
  <c r="Z53" i="7"/>
  <c r="AA53" i="7"/>
  <c r="Z54" i="7"/>
  <c r="AA54" i="7"/>
  <c r="AA5" i="7"/>
  <c r="AB5" i="7"/>
  <c r="Z5" i="7"/>
  <c r="BC5" i="11" l="1"/>
  <c r="I10" i="38"/>
  <c r="H10" i="38"/>
  <c r="G10" i="38"/>
  <c r="B5" i="9"/>
  <c r="B4" i="9"/>
  <c r="AC131" i="82" l="1"/>
  <c r="AC130" i="82"/>
  <c r="AC121" i="82"/>
  <c r="AC120" i="82"/>
  <c r="C131" i="82"/>
  <c r="C130" i="82"/>
  <c r="C121" i="82"/>
  <c r="AC131" i="80"/>
  <c r="AC121" i="80"/>
  <c r="AC130" i="80"/>
  <c r="AC120" i="80"/>
  <c r="C131" i="80"/>
  <c r="C130" i="80"/>
  <c r="C121" i="80"/>
  <c r="AK29" i="82" l="1"/>
  <c r="AL29" i="82"/>
  <c r="AM29" i="82"/>
  <c r="AN29" i="82"/>
  <c r="AO29" i="82"/>
  <c r="AJ29" i="82"/>
  <c r="AJ34" i="82" s="1"/>
  <c r="AE29" i="82"/>
  <c r="AE31" i="82" s="1"/>
  <c r="AF29" i="82"/>
  <c r="AG29" i="82"/>
  <c r="AG33" i="82" s="1"/>
  <c r="AH29" i="82"/>
  <c r="AI29" i="82"/>
  <c r="AI31" i="82" s="1"/>
  <c r="AD29" i="82"/>
  <c r="AD31" i="82" s="1"/>
  <c r="Y29" i="82"/>
  <c r="Z29" i="82"/>
  <c r="AA29" i="82"/>
  <c r="AA33" i="82" s="1"/>
  <c r="AA75" i="82" s="1"/>
  <c r="AB29" i="82"/>
  <c r="AC29" i="82"/>
  <c r="X29" i="82"/>
  <c r="Q29" i="82"/>
  <c r="R29" i="82"/>
  <c r="S29" i="82"/>
  <c r="T29" i="82"/>
  <c r="U29" i="82"/>
  <c r="V29" i="82"/>
  <c r="W29" i="82"/>
  <c r="P29" i="82"/>
  <c r="D29" i="82"/>
  <c r="E29" i="82"/>
  <c r="F29" i="82"/>
  <c r="G29" i="82"/>
  <c r="H29" i="82"/>
  <c r="H60" i="82" s="1"/>
  <c r="H102" i="82" s="1"/>
  <c r="I29" i="82"/>
  <c r="J29" i="82"/>
  <c r="K29" i="82"/>
  <c r="L29" i="82"/>
  <c r="L60" i="82" s="1"/>
  <c r="L102" i="82" s="1"/>
  <c r="M29" i="82"/>
  <c r="N29" i="82"/>
  <c r="O29" i="82"/>
  <c r="C29" i="82"/>
  <c r="V8" i="82"/>
  <c r="W8" i="82"/>
  <c r="AA8" i="82"/>
  <c r="AB8" i="82"/>
  <c r="AC8" i="82"/>
  <c r="AH8" i="82"/>
  <c r="AI8" i="82"/>
  <c r="AL8" i="82"/>
  <c r="AM8" i="82"/>
  <c r="AN8" i="82"/>
  <c r="AO8" i="82"/>
  <c r="V9" i="82"/>
  <c r="W9" i="82"/>
  <c r="AA9" i="82"/>
  <c r="AB9" i="82"/>
  <c r="AC9" i="82"/>
  <c r="AH9" i="82"/>
  <c r="AI9" i="82"/>
  <c r="AL9" i="82"/>
  <c r="AM9" i="82"/>
  <c r="AN9" i="82"/>
  <c r="AO9" i="82"/>
  <c r="V10" i="82"/>
  <c r="W10" i="82"/>
  <c r="AA10" i="82"/>
  <c r="AB10" i="82"/>
  <c r="AC10" i="82"/>
  <c r="AH10" i="82"/>
  <c r="AI10" i="82"/>
  <c r="AL10" i="82"/>
  <c r="AM10" i="82"/>
  <c r="AN10" i="82"/>
  <c r="AO10" i="82"/>
  <c r="V11" i="82"/>
  <c r="W11" i="82"/>
  <c r="AA11" i="82"/>
  <c r="AB11" i="82"/>
  <c r="AC11" i="82"/>
  <c r="AH11" i="82"/>
  <c r="AI11" i="82"/>
  <c r="AL11" i="82"/>
  <c r="AM11" i="82"/>
  <c r="AN11" i="82"/>
  <c r="AO11" i="82"/>
  <c r="V12" i="82"/>
  <c r="W12" i="82"/>
  <c r="AA12" i="82"/>
  <c r="AB12" i="82"/>
  <c r="AC12" i="82"/>
  <c r="AH12" i="82"/>
  <c r="AI12" i="82"/>
  <c r="AL12" i="82"/>
  <c r="AM12" i="82"/>
  <c r="AN12" i="82"/>
  <c r="AO12" i="82"/>
  <c r="V13" i="82"/>
  <c r="W13" i="82"/>
  <c r="AA13" i="82"/>
  <c r="AB13" i="82"/>
  <c r="AC13" i="82"/>
  <c r="AH13" i="82"/>
  <c r="AI13" i="82"/>
  <c r="AL13" i="82"/>
  <c r="AM13" i="82"/>
  <c r="AN13" i="82"/>
  <c r="AO13" i="82"/>
  <c r="V14" i="82"/>
  <c r="W14" i="82"/>
  <c r="AA14" i="82"/>
  <c r="AB14" i="82"/>
  <c r="AC14" i="82"/>
  <c r="AH14" i="82"/>
  <c r="AI14" i="82"/>
  <c r="AL14" i="82"/>
  <c r="AM14" i="82"/>
  <c r="AN14" i="82"/>
  <c r="AO14" i="82"/>
  <c r="V15" i="82"/>
  <c r="W15" i="82"/>
  <c r="AA15" i="82"/>
  <c r="AB15" i="82"/>
  <c r="AC15" i="82"/>
  <c r="AH15" i="82"/>
  <c r="AI15" i="82"/>
  <c r="AL15" i="82"/>
  <c r="AM15" i="82"/>
  <c r="AN15" i="82"/>
  <c r="AO15" i="82"/>
  <c r="V16" i="82"/>
  <c r="W16" i="82"/>
  <c r="AA16" i="82"/>
  <c r="AB16" i="82"/>
  <c r="AC16" i="82"/>
  <c r="AH16" i="82"/>
  <c r="AI16" i="82"/>
  <c r="AL16" i="82"/>
  <c r="AM16" i="82"/>
  <c r="AN16" i="82"/>
  <c r="AO16" i="82"/>
  <c r="V17" i="82"/>
  <c r="W17" i="82"/>
  <c r="AA17" i="82"/>
  <c r="AB17" i="82"/>
  <c r="AC17" i="82"/>
  <c r="AH17" i="82"/>
  <c r="AI17" i="82"/>
  <c r="AL17" i="82"/>
  <c r="AM17" i="82"/>
  <c r="AN17" i="82"/>
  <c r="AO17" i="82"/>
  <c r="V18" i="82"/>
  <c r="W18" i="82"/>
  <c r="AA18" i="82"/>
  <c r="AB18" i="82"/>
  <c r="AC18" i="82"/>
  <c r="AH18" i="82"/>
  <c r="AI18" i="82"/>
  <c r="AL18" i="82"/>
  <c r="AM18" i="82"/>
  <c r="AN18" i="82"/>
  <c r="AO18" i="82"/>
  <c r="V19" i="82"/>
  <c r="W19" i="82"/>
  <c r="AA19" i="82"/>
  <c r="AB19" i="82"/>
  <c r="AC19" i="82"/>
  <c r="AH19" i="82"/>
  <c r="AI19" i="82"/>
  <c r="AL19" i="82"/>
  <c r="AM19" i="82"/>
  <c r="AN19" i="82"/>
  <c r="AO19" i="82"/>
  <c r="V20" i="82"/>
  <c r="W20" i="82"/>
  <c r="AA20" i="82"/>
  <c r="AB20" i="82"/>
  <c r="AC20" i="82"/>
  <c r="AH20" i="82"/>
  <c r="AI20" i="82"/>
  <c r="AL20" i="82"/>
  <c r="AM20" i="82"/>
  <c r="AN20" i="82"/>
  <c r="AO20" i="82"/>
  <c r="V21" i="82"/>
  <c r="W21" i="82"/>
  <c r="AA21" i="82"/>
  <c r="AB21" i="82"/>
  <c r="AC21" i="82"/>
  <c r="AH21" i="82"/>
  <c r="AI21" i="82"/>
  <c r="AL21" i="82"/>
  <c r="AM21" i="82"/>
  <c r="AN21" i="82"/>
  <c r="AO21" i="82"/>
  <c r="V22" i="82"/>
  <c r="W22" i="82"/>
  <c r="AA22" i="82"/>
  <c r="AB22" i="82"/>
  <c r="AC22" i="82"/>
  <c r="AH22" i="82"/>
  <c r="AI22" i="82"/>
  <c r="AL22" i="82"/>
  <c r="AM22" i="82"/>
  <c r="AN22" i="82"/>
  <c r="AO22" i="82"/>
  <c r="V23" i="82"/>
  <c r="W23" i="82"/>
  <c r="AA23" i="82"/>
  <c r="AB23" i="82"/>
  <c r="AC23" i="82"/>
  <c r="AH23" i="82"/>
  <c r="AI23" i="82"/>
  <c r="AL23" i="82"/>
  <c r="AM23" i="82"/>
  <c r="AN23" i="82"/>
  <c r="AO23" i="82"/>
  <c r="V24" i="82"/>
  <c r="W24" i="82"/>
  <c r="AA24" i="82"/>
  <c r="AB24" i="82"/>
  <c r="AC24" i="82"/>
  <c r="AH24" i="82"/>
  <c r="AI24" i="82"/>
  <c r="AL24" i="82"/>
  <c r="AM24" i="82"/>
  <c r="AN24" i="82"/>
  <c r="AO24" i="82"/>
  <c r="V25" i="82"/>
  <c r="W25" i="82"/>
  <c r="AA25" i="82"/>
  <c r="AB25" i="82"/>
  <c r="AC25" i="82"/>
  <c r="AH25" i="82"/>
  <c r="AI25" i="82"/>
  <c r="AL25" i="82"/>
  <c r="AM25" i="82"/>
  <c r="AN25" i="82"/>
  <c r="AO25" i="82"/>
  <c r="V26" i="82"/>
  <c r="W26" i="82"/>
  <c r="AA26" i="82"/>
  <c r="AB26" i="82"/>
  <c r="AC26" i="82"/>
  <c r="AH26" i="82"/>
  <c r="AI26" i="82"/>
  <c r="AL26" i="82"/>
  <c r="AM26" i="82"/>
  <c r="AN26" i="82"/>
  <c r="AO26" i="82"/>
  <c r="V27" i="82"/>
  <c r="W27" i="82"/>
  <c r="AA27" i="82"/>
  <c r="AB27" i="82"/>
  <c r="AC27" i="82"/>
  <c r="AH27" i="82"/>
  <c r="AI27" i="82"/>
  <c r="AL27" i="82"/>
  <c r="AM27" i="82"/>
  <c r="AN27" i="82"/>
  <c r="AO27" i="82"/>
  <c r="V28" i="82"/>
  <c r="W28" i="82"/>
  <c r="AA28" i="82"/>
  <c r="AB28" i="82"/>
  <c r="AC28" i="82"/>
  <c r="AH28" i="82"/>
  <c r="AI28" i="82"/>
  <c r="AL28" i="82"/>
  <c r="AM28" i="82"/>
  <c r="AN28" i="82"/>
  <c r="AO28" i="82"/>
  <c r="E31" i="82"/>
  <c r="G31" i="82"/>
  <c r="I31" i="82"/>
  <c r="K31" i="82"/>
  <c r="M31" i="82"/>
  <c r="O31" i="82"/>
  <c r="P31" i="82"/>
  <c r="Q31" i="82"/>
  <c r="R31" i="82"/>
  <c r="S31" i="82"/>
  <c r="T31" i="82"/>
  <c r="U31" i="82"/>
  <c r="V31" i="82"/>
  <c r="W31" i="82"/>
  <c r="X31" i="82"/>
  <c r="Y31" i="82"/>
  <c r="Z31" i="82"/>
  <c r="AA31" i="82"/>
  <c r="AB31" i="82"/>
  <c r="AC31" i="82"/>
  <c r="AF31" i="82"/>
  <c r="AH31" i="82"/>
  <c r="AK31" i="82"/>
  <c r="AL31" i="82"/>
  <c r="AM31" i="82"/>
  <c r="AN31" i="82"/>
  <c r="AO31" i="82"/>
  <c r="E32" i="82"/>
  <c r="G32" i="82"/>
  <c r="I32" i="82"/>
  <c r="K32" i="82"/>
  <c r="M32" i="82"/>
  <c r="O32" i="82"/>
  <c r="P32" i="82"/>
  <c r="Q32" i="82"/>
  <c r="R32" i="82"/>
  <c r="S32" i="82"/>
  <c r="T32" i="82"/>
  <c r="U32" i="82"/>
  <c r="V32" i="82"/>
  <c r="W32" i="82"/>
  <c r="X32" i="82"/>
  <c r="X50" i="82" s="1"/>
  <c r="Y32" i="82"/>
  <c r="Z32" i="82"/>
  <c r="AB32" i="82"/>
  <c r="AB50" i="82" s="1"/>
  <c r="AC32" i="82"/>
  <c r="AF32" i="82"/>
  <c r="AH32" i="82"/>
  <c r="AJ32" i="82"/>
  <c r="AK32" i="82"/>
  <c r="AL32" i="82"/>
  <c r="AM32" i="82"/>
  <c r="AN32" i="82"/>
  <c r="AO32" i="82"/>
  <c r="E33" i="82"/>
  <c r="G33" i="82"/>
  <c r="I33" i="82"/>
  <c r="K33" i="82"/>
  <c r="M33" i="82"/>
  <c r="O33" i="82"/>
  <c r="P33" i="82"/>
  <c r="Q33" i="82"/>
  <c r="R33" i="82"/>
  <c r="S33" i="82"/>
  <c r="T33" i="82"/>
  <c r="U33" i="82"/>
  <c r="V33" i="82"/>
  <c r="W33" i="82"/>
  <c r="X33" i="82"/>
  <c r="Y33" i="82"/>
  <c r="Z33" i="82"/>
  <c r="AB33" i="82"/>
  <c r="AC33" i="82"/>
  <c r="AF33" i="82"/>
  <c r="AH33" i="82"/>
  <c r="AJ33" i="82"/>
  <c r="AK33" i="82"/>
  <c r="AL33" i="82"/>
  <c r="AM33" i="82"/>
  <c r="AN33" i="82"/>
  <c r="AO33" i="82"/>
  <c r="E34" i="82"/>
  <c r="G34" i="82"/>
  <c r="I34" i="82"/>
  <c r="K34" i="82"/>
  <c r="M34" i="82"/>
  <c r="O34" i="82"/>
  <c r="P34" i="82"/>
  <c r="Q34" i="82"/>
  <c r="R34" i="82"/>
  <c r="S34" i="82"/>
  <c r="T34" i="82"/>
  <c r="U34" i="82"/>
  <c r="V34" i="82"/>
  <c r="W34" i="82"/>
  <c r="X34" i="82"/>
  <c r="Y34" i="82"/>
  <c r="Z34" i="82"/>
  <c r="AB34" i="82"/>
  <c r="AC34" i="82"/>
  <c r="AE34" i="82"/>
  <c r="AF34" i="82"/>
  <c r="AG34" i="82"/>
  <c r="AH34" i="82"/>
  <c r="AI34" i="82"/>
  <c r="AK34" i="82"/>
  <c r="AL34" i="82"/>
  <c r="AM34" i="82"/>
  <c r="AN34" i="82"/>
  <c r="AO34" i="82"/>
  <c r="E35" i="82"/>
  <c r="G35" i="82"/>
  <c r="I35" i="82"/>
  <c r="K35" i="82"/>
  <c r="M35" i="82"/>
  <c r="O35" i="82"/>
  <c r="P35" i="82"/>
  <c r="Q35" i="82"/>
  <c r="R35" i="82"/>
  <c r="S35" i="82"/>
  <c r="T35" i="82"/>
  <c r="U35" i="82"/>
  <c r="V35" i="82"/>
  <c r="W35" i="82"/>
  <c r="X35" i="82"/>
  <c r="Y35" i="82"/>
  <c r="Z35" i="82"/>
  <c r="AA35" i="82"/>
  <c r="AB35" i="82"/>
  <c r="AC35" i="82"/>
  <c r="AF35" i="82"/>
  <c r="AH35" i="82"/>
  <c r="AK35" i="82"/>
  <c r="AL35" i="82"/>
  <c r="AM35" i="82"/>
  <c r="AN35" i="82"/>
  <c r="AO35" i="82"/>
  <c r="E36" i="82"/>
  <c r="G36" i="82"/>
  <c r="I36" i="82"/>
  <c r="K36" i="82"/>
  <c r="M36" i="82"/>
  <c r="O36" i="82"/>
  <c r="P36" i="82"/>
  <c r="Q36" i="82"/>
  <c r="R36" i="82"/>
  <c r="S36" i="82"/>
  <c r="T36" i="82"/>
  <c r="U36" i="82"/>
  <c r="V36" i="82"/>
  <c r="W36" i="82"/>
  <c r="X36" i="82"/>
  <c r="Y36" i="82"/>
  <c r="Z36" i="82"/>
  <c r="AB36" i="82"/>
  <c r="AC36" i="82"/>
  <c r="AE36" i="82"/>
  <c r="AF36" i="82"/>
  <c r="AG36" i="82"/>
  <c r="AH36" i="82"/>
  <c r="AI36" i="82"/>
  <c r="AJ36" i="82"/>
  <c r="AK36" i="82"/>
  <c r="AL36" i="82"/>
  <c r="AM36" i="82"/>
  <c r="AN36" i="82"/>
  <c r="AO36" i="82"/>
  <c r="E37" i="82"/>
  <c r="G37" i="82"/>
  <c r="I37" i="82"/>
  <c r="K37" i="82"/>
  <c r="M37" i="82"/>
  <c r="O37" i="82"/>
  <c r="P37" i="82"/>
  <c r="Q37" i="82"/>
  <c r="R37" i="82"/>
  <c r="S37" i="82"/>
  <c r="T37" i="82"/>
  <c r="U37" i="82"/>
  <c r="V37" i="82"/>
  <c r="W37" i="82"/>
  <c r="X37" i="82"/>
  <c r="Y37" i="82"/>
  <c r="Z37" i="82"/>
  <c r="AB37" i="82"/>
  <c r="AC37" i="82"/>
  <c r="AF37" i="82"/>
  <c r="AH37" i="82"/>
  <c r="AJ37" i="82"/>
  <c r="AK37" i="82"/>
  <c r="AL37" i="82"/>
  <c r="AM37" i="82"/>
  <c r="AN37" i="82"/>
  <c r="AO37" i="82"/>
  <c r="E38" i="82"/>
  <c r="G38" i="82"/>
  <c r="I38" i="82"/>
  <c r="K38" i="82"/>
  <c r="M38" i="82"/>
  <c r="O38" i="82"/>
  <c r="P38" i="82"/>
  <c r="Q38" i="82"/>
  <c r="R38" i="82"/>
  <c r="S38" i="82"/>
  <c r="T38" i="82"/>
  <c r="U38" i="82"/>
  <c r="V38" i="82"/>
  <c r="W38" i="82"/>
  <c r="X38" i="82"/>
  <c r="Y38" i="82"/>
  <c r="Z38" i="82"/>
  <c r="AB38" i="82"/>
  <c r="AC38" i="82"/>
  <c r="AF38" i="82"/>
  <c r="AH38" i="82"/>
  <c r="AK38" i="82"/>
  <c r="AL38" i="82"/>
  <c r="AM38" i="82"/>
  <c r="AN38" i="82"/>
  <c r="AO38" i="82"/>
  <c r="E39" i="82"/>
  <c r="G39" i="82"/>
  <c r="I39" i="82"/>
  <c r="K39" i="82"/>
  <c r="M39" i="82"/>
  <c r="O39" i="82"/>
  <c r="P39" i="82"/>
  <c r="Q39" i="82"/>
  <c r="R39" i="82"/>
  <c r="S39" i="82"/>
  <c r="T39" i="82"/>
  <c r="U39" i="82"/>
  <c r="V39" i="82"/>
  <c r="W39" i="82"/>
  <c r="X39" i="82"/>
  <c r="Y39" i="82"/>
  <c r="Z39" i="82"/>
  <c r="AA39" i="82"/>
  <c r="AB39" i="82"/>
  <c r="AC39" i="82"/>
  <c r="AF39" i="82"/>
  <c r="AH39" i="82"/>
  <c r="AK39" i="82"/>
  <c r="AL39" i="82"/>
  <c r="AM39" i="82"/>
  <c r="AN39" i="82"/>
  <c r="AO39" i="82"/>
  <c r="E40" i="82"/>
  <c r="G40" i="82"/>
  <c r="I40" i="82"/>
  <c r="K40" i="82"/>
  <c r="M40" i="82"/>
  <c r="O40" i="82"/>
  <c r="P40" i="82"/>
  <c r="Q40" i="82"/>
  <c r="R40" i="82"/>
  <c r="S40" i="82"/>
  <c r="T40" i="82"/>
  <c r="U40" i="82"/>
  <c r="V40" i="82"/>
  <c r="W40" i="82"/>
  <c r="X40" i="82"/>
  <c r="Y40" i="82"/>
  <c r="Z40" i="82"/>
  <c r="AB40" i="82"/>
  <c r="AC40" i="82"/>
  <c r="AF40" i="82"/>
  <c r="AH40" i="82"/>
  <c r="AJ40" i="82"/>
  <c r="AK40" i="82"/>
  <c r="AL40" i="82"/>
  <c r="AM40" i="82"/>
  <c r="AN40" i="82"/>
  <c r="AO40" i="82"/>
  <c r="E41" i="82"/>
  <c r="G41" i="82"/>
  <c r="I41" i="82"/>
  <c r="K41" i="82"/>
  <c r="M41" i="82"/>
  <c r="O41" i="82"/>
  <c r="P41" i="82"/>
  <c r="Q41" i="82"/>
  <c r="R41" i="82"/>
  <c r="S41" i="82"/>
  <c r="T41" i="82"/>
  <c r="U41" i="82"/>
  <c r="V41" i="82"/>
  <c r="W41" i="82"/>
  <c r="X41" i="82"/>
  <c r="Y41" i="82"/>
  <c r="Z41" i="82"/>
  <c r="AB41" i="82"/>
  <c r="AC41" i="82"/>
  <c r="AF41" i="82"/>
  <c r="AH41" i="82"/>
  <c r="AJ41" i="82"/>
  <c r="AK41" i="82"/>
  <c r="AL41" i="82"/>
  <c r="AM41" i="82"/>
  <c r="AN41" i="82"/>
  <c r="AO41" i="82"/>
  <c r="E42" i="82"/>
  <c r="G42" i="82"/>
  <c r="I42" i="82"/>
  <c r="K42" i="82"/>
  <c r="M42" i="82"/>
  <c r="O42" i="82"/>
  <c r="P42" i="82"/>
  <c r="Q42" i="82"/>
  <c r="R42" i="82"/>
  <c r="S42" i="82"/>
  <c r="T42" i="82"/>
  <c r="U42" i="82"/>
  <c r="V42" i="82"/>
  <c r="W42" i="82"/>
  <c r="X42" i="82"/>
  <c r="Y42" i="82"/>
  <c r="Z42" i="82"/>
  <c r="AB42" i="82"/>
  <c r="AC42" i="82"/>
  <c r="AE42" i="82"/>
  <c r="AF42" i="82"/>
  <c r="AG42" i="82"/>
  <c r="AH42" i="82"/>
  <c r="AI42" i="82"/>
  <c r="AK42" i="82"/>
  <c r="AL42" i="82"/>
  <c r="AM42" i="82"/>
  <c r="AN42" i="82"/>
  <c r="AO42" i="82"/>
  <c r="E43" i="82"/>
  <c r="G43" i="82"/>
  <c r="I43" i="82"/>
  <c r="K43" i="82"/>
  <c r="M43" i="82"/>
  <c r="O43" i="82"/>
  <c r="P43" i="82"/>
  <c r="Q43" i="82"/>
  <c r="R43" i="82"/>
  <c r="S43" i="82"/>
  <c r="T43" i="82"/>
  <c r="U43" i="82"/>
  <c r="V43" i="82"/>
  <c r="W43" i="82"/>
  <c r="X43" i="82"/>
  <c r="Y43" i="82"/>
  <c r="Z43" i="82"/>
  <c r="AA43" i="82"/>
  <c r="AB43" i="82"/>
  <c r="AC43" i="82"/>
  <c r="AF43" i="82"/>
  <c r="AH43" i="82"/>
  <c r="AK43" i="82"/>
  <c r="AL43" i="82"/>
  <c r="AM43" i="82"/>
  <c r="AN43" i="82"/>
  <c r="AO43" i="82"/>
  <c r="E44" i="82"/>
  <c r="G44" i="82"/>
  <c r="I44" i="82"/>
  <c r="K44" i="82"/>
  <c r="M44" i="82"/>
  <c r="O44" i="82"/>
  <c r="P44" i="82"/>
  <c r="Q44" i="82"/>
  <c r="R44" i="82"/>
  <c r="S44" i="82"/>
  <c r="T44" i="82"/>
  <c r="U44" i="82"/>
  <c r="V44" i="82"/>
  <c r="W44" i="82"/>
  <c r="X44" i="82"/>
  <c r="Y44" i="82"/>
  <c r="Z44" i="82"/>
  <c r="AB44" i="82"/>
  <c r="AC44" i="82"/>
  <c r="AE44" i="82"/>
  <c r="AF44" i="82"/>
  <c r="AG44" i="82"/>
  <c r="AH44" i="82"/>
  <c r="AI44" i="82"/>
  <c r="AJ44" i="82"/>
  <c r="AK44" i="82"/>
  <c r="AL44" i="82"/>
  <c r="AM44" i="82"/>
  <c r="AN44" i="82"/>
  <c r="AO44" i="82"/>
  <c r="E45" i="82"/>
  <c r="G45" i="82"/>
  <c r="I45" i="82"/>
  <c r="K45" i="82"/>
  <c r="M45" i="82"/>
  <c r="O45" i="82"/>
  <c r="P45" i="82"/>
  <c r="Q45" i="82"/>
  <c r="R45" i="82"/>
  <c r="S45" i="82"/>
  <c r="T45" i="82"/>
  <c r="U45" i="82"/>
  <c r="V45" i="82"/>
  <c r="W45" i="82"/>
  <c r="X45" i="82"/>
  <c r="Y45" i="82"/>
  <c r="Z45" i="82"/>
  <c r="AB45" i="82"/>
  <c r="AC45" i="82"/>
  <c r="AF45" i="82"/>
  <c r="AH45" i="82"/>
  <c r="AJ45" i="82"/>
  <c r="AK45" i="82"/>
  <c r="AL45" i="82"/>
  <c r="AM45" i="82"/>
  <c r="AN45" i="82"/>
  <c r="AO45" i="82"/>
  <c r="E46" i="82"/>
  <c r="G46" i="82"/>
  <c r="I46" i="82"/>
  <c r="K46" i="82"/>
  <c r="M46" i="82"/>
  <c r="O46" i="82"/>
  <c r="P46" i="82"/>
  <c r="Q46" i="82"/>
  <c r="R46" i="82"/>
  <c r="S46" i="82"/>
  <c r="T46" i="82"/>
  <c r="U46" i="82"/>
  <c r="V46" i="82"/>
  <c r="W46" i="82"/>
  <c r="X46" i="82"/>
  <c r="Y46" i="82"/>
  <c r="Z46" i="82"/>
  <c r="AB46" i="82"/>
  <c r="AC46" i="82"/>
  <c r="AF46" i="82"/>
  <c r="AH46" i="82"/>
  <c r="AK46" i="82"/>
  <c r="AL46" i="82"/>
  <c r="AM46" i="82"/>
  <c r="AN46" i="82"/>
  <c r="AO46" i="82"/>
  <c r="E47" i="82"/>
  <c r="G47" i="82"/>
  <c r="I47" i="82"/>
  <c r="K47" i="82"/>
  <c r="M47" i="82"/>
  <c r="O47" i="82"/>
  <c r="P47" i="82"/>
  <c r="Q47" i="82"/>
  <c r="R47" i="82"/>
  <c r="S47" i="82"/>
  <c r="T47" i="82"/>
  <c r="U47" i="82"/>
  <c r="V47" i="82"/>
  <c r="W47" i="82"/>
  <c r="X47" i="82"/>
  <c r="Y47" i="82"/>
  <c r="Z47" i="82"/>
  <c r="AA47" i="82"/>
  <c r="AB47" i="82"/>
  <c r="AC47" i="82"/>
  <c r="AF47" i="82"/>
  <c r="AH47" i="82"/>
  <c r="AK47" i="82"/>
  <c r="AL47" i="82"/>
  <c r="AM47" i="82"/>
  <c r="AN47" i="82"/>
  <c r="AO47" i="82"/>
  <c r="E48" i="82"/>
  <c r="G48" i="82"/>
  <c r="I48" i="82"/>
  <c r="K48" i="82"/>
  <c r="M48" i="82"/>
  <c r="O48" i="82"/>
  <c r="P48" i="82"/>
  <c r="Q48" i="82"/>
  <c r="R48" i="82"/>
  <c r="S48" i="82"/>
  <c r="T48" i="82"/>
  <c r="U48" i="82"/>
  <c r="V48" i="82"/>
  <c r="W48" i="82"/>
  <c r="X48" i="82"/>
  <c r="Y48" i="82"/>
  <c r="Z48" i="82"/>
  <c r="AA48" i="82"/>
  <c r="AB48" i="82"/>
  <c r="AC48" i="82"/>
  <c r="AE48" i="82"/>
  <c r="AF48" i="82"/>
  <c r="AG48" i="82"/>
  <c r="AH48" i="82"/>
  <c r="AI48" i="82"/>
  <c r="AJ48" i="82"/>
  <c r="AK48" i="82"/>
  <c r="AL48" i="82"/>
  <c r="AM48" i="82"/>
  <c r="AN48" i="82"/>
  <c r="AO48" i="82"/>
  <c r="E49" i="82"/>
  <c r="G49" i="82"/>
  <c r="I49" i="82"/>
  <c r="K49" i="82"/>
  <c r="M49" i="82"/>
  <c r="O49" i="82"/>
  <c r="P49" i="82"/>
  <c r="Q49" i="82"/>
  <c r="R49" i="82"/>
  <c r="S49" i="82"/>
  <c r="T49" i="82"/>
  <c r="U49" i="82"/>
  <c r="V49" i="82"/>
  <c r="W49" i="82"/>
  <c r="X49" i="82"/>
  <c r="Y49" i="82"/>
  <c r="Z49" i="82"/>
  <c r="AA49" i="82"/>
  <c r="AB49" i="82"/>
  <c r="AC49" i="82"/>
  <c r="AF49" i="82"/>
  <c r="AH49" i="82"/>
  <c r="AJ49" i="82"/>
  <c r="AK49" i="82"/>
  <c r="AK50" i="82" s="1"/>
  <c r="AL49" i="82"/>
  <c r="AM49" i="82"/>
  <c r="AN49" i="82"/>
  <c r="AO49" i="82"/>
  <c r="E50" i="82"/>
  <c r="G50" i="82"/>
  <c r="I50" i="82"/>
  <c r="K50" i="82"/>
  <c r="M50" i="82"/>
  <c r="O50" i="82"/>
  <c r="P50" i="82"/>
  <c r="Q50" i="82"/>
  <c r="R50" i="82"/>
  <c r="S50" i="82"/>
  <c r="T50" i="82"/>
  <c r="U50" i="82"/>
  <c r="V50" i="82"/>
  <c r="W50" i="82"/>
  <c r="Y50" i="82"/>
  <c r="Z50" i="82"/>
  <c r="AC50" i="82"/>
  <c r="AL50" i="82"/>
  <c r="AM50" i="82"/>
  <c r="AN50" i="82"/>
  <c r="AO50" i="82"/>
  <c r="E52" i="82"/>
  <c r="E71" i="82" s="1"/>
  <c r="G52" i="82"/>
  <c r="I52" i="82"/>
  <c r="K52" i="82"/>
  <c r="M52" i="82"/>
  <c r="O52" i="82"/>
  <c r="P52" i="82"/>
  <c r="P71" i="82" s="1"/>
  <c r="Q52" i="82"/>
  <c r="R52" i="82"/>
  <c r="S52" i="82"/>
  <c r="S71" i="82" s="1"/>
  <c r="T52" i="82"/>
  <c r="U52" i="82"/>
  <c r="U71" i="82" s="1"/>
  <c r="V52" i="82"/>
  <c r="W52" i="82"/>
  <c r="X52" i="82"/>
  <c r="X94" i="82" s="1"/>
  <c r="Y52" i="82"/>
  <c r="Y71" i="82" s="1"/>
  <c r="Z52" i="82"/>
  <c r="AA52" i="82"/>
  <c r="AB52" i="82"/>
  <c r="AC52" i="82"/>
  <c r="AF52" i="82"/>
  <c r="AH52" i="82"/>
  <c r="AJ52" i="82"/>
  <c r="AJ94" i="82" s="1"/>
  <c r="AK52" i="82"/>
  <c r="AL52" i="82"/>
  <c r="AM52" i="82"/>
  <c r="AN52" i="82"/>
  <c r="AO52" i="82"/>
  <c r="E53" i="82"/>
  <c r="G53" i="82"/>
  <c r="I53" i="82"/>
  <c r="K53" i="82"/>
  <c r="M53" i="82"/>
  <c r="O53" i="82"/>
  <c r="P53" i="82"/>
  <c r="P95" i="82" s="1"/>
  <c r="Q53" i="82"/>
  <c r="Q95" i="82" s="1"/>
  <c r="R53" i="82"/>
  <c r="S53" i="82"/>
  <c r="S95" i="82" s="1"/>
  <c r="T53" i="82"/>
  <c r="U53" i="82"/>
  <c r="U95" i="82" s="1"/>
  <c r="V53" i="82"/>
  <c r="W53" i="82"/>
  <c r="W95" i="82" s="1"/>
  <c r="W113" i="82" s="1"/>
  <c r="W117" i="82" s="1"/>
  <c r="X53" i="82"/>
  <c r="X95" i="82" s="1"/>
  <c r="Y53" i="82"/>
  <c r="Z53" i="82"/>
  <c r="AA53" i="82"/>
  <c r="AB53" i="82"/>
  <c r="AC53" i="82"/>
  <c r="AE53" i="82"/>
  <c r="AE95" i="82" s="1"/>
  <c r="AF53" i="82"/>
  <c r="AG53" i="82"/>
  <c r="AG95" i="82" s="1"/>
  <c r="AH53" i="82"/>
  <c r="AI53" i="82"/>
  <c r="AI95" i="82" s="1"/>
  <c r="AK53" i="82"/>
  <c r="AL53" i="82"/>
  <c r="AM53" i="82"/>
  <c r="AN53" i="82"/>
  <c r="AO53" i="82"/>
  <c r="E54" i="82"/>
  <c r="G54" i="82"/>
  <c r="I54" i="82"/>
  <c r="K54" i="82"/>
  <c r="K71" i="82" s="1"/>
  <c r="M54" i="82"/>
  <c r="O54" i="82"/>
  <c r="P54" i="82"/>
  <c r="P96" i="82" s="1"/>
  <c r="Q54" i="82"/>
  <c r="R54" i="82"/>
  <c r="S54" i="82"/>
  <c r="T54" i="82"/>
  <c r="U54" i="82"/>
  <c r="V54" i="82"/>
  <c r="W54" i="82"/>
  <c r="X54" i="82"/>
  <c r="X96" i="82" s="1"/>
  <c r="Y54" i="82"/>
  <c r="Z54" i="82"/>
  <c r="AA54" i="82"/>
  <c r="AB54" i="82"/>
  <c r="AC54" i="82"/>
  <c r="AE54" i="82"/>
  <c r="AE96" i="82" s="1"/>
  <c r="AF54" i="82"/>
  <c r="AG54" i="82"/>
  <c r="AG96" i="82" s="1"/>
  <c r="AH54" i="82"/>
  <c r="AI54" i="82"/>
  <c r="AI96" i="82" s="1"/>
  <c r="AJ54" i="82"/>
  <c r="AJ96" i="82" s="1"/>
  <c r="AK54" i="82"/>
  <c r="AL54" i="82"/>
  <c r="AM54" i="82"/>
  <c r="AN54" i="82"/>
  <c r="AO54" i="82"/>
  <c r="E55" i="82"/>
  <c r="G55" i="82"/>
  <c r="I55" i="82"/>
  <c r="K55" i="82"/>
  <c r="M55" i="82"/>
  <c r="O55" i="82"/>
  <c r="P55" i="82"/>
  <c r="P97" i="82" s="1"/>
  <c r="Q55" i="82"/>
  <c r="Q97" i="82" s="1"/>
  <c r="R55" i="82"/>
  <c r="S55" i="82"/>
  <c r="S97" i="82" s="1"/>
  <c r="T55" i="82"/>
  <c r="U55" i="82"/>
  <c r="U97" i="82" s="1"/>
  <c r="V55" i="82"/>
  <c r="W55" i="82"/>
  <c r="W97" i="82" s="1"/>
  <c r="X55" i="82"/>
  <c r="Y55" i="82"/>
  <c r="Z55" i="82"/>
  <c r="AA55" i="82"/>
  <c r="AB55" i="82"/>
  <c r="AB71" i="82" s="1"/>
  <c r="AC55" i="82"/>
  <c r="AF55" i="82"/>
  <c r="AF97" i="82" s="1"/>
  <c r="AH55" i="82"/>
  <c r="AH97" i="82" s="1"/>
  <c r="AK55" i="82"/>
  <c r="AL55" i="82"/>
  <c r="AM55" i="82"/>
  <c r="AN55" i="82"/>
  <c r="AO55" i="82"/>
  <c r="E56" i="82"/>
  <c r="G56" i="82"/>
  <c r="I56" i="82"/>
  <c r="K56" i="82"/>
  <c r="M56" i="82"/>
  <c r="O56" i="82"/>
  <c r="P56" i="82"/>
  <c r="P98" i="82" s="1"/>
  <c r="Q56" i="82"/>
  <c r="R56" i="82"/>
  <c r="S56" i="82"/>
  <c r="T56" i="82"/>
  <c r="U56" i="82"/>
  <c r="V56" i="82"/>
  <c r="W56" i="82"/>
  <c r="X56" i="82"/>
  <c r="X98" i="82" s="1"/>
  <c r="Y56" i="82"/>
  <c r="Z56" i="82"/>
  <c r="AA56" i="82"/>
  <c r="AB56" i="82"/>
  <c r="AC56" i="82"/>
  <c r="AF56" i="82"/>
  <c r="AF98" i="82" s="1"/>
  <c r="AH56" i="82"/>
  <c r="AH98" i="82" s="1"/>
  <c r="AJ56" i="82"/>
  <c r="AK56" i="82"/>
  <c r="AL56" i="82"/>
  <c r="AM56" i="82"/>
  <c r="AN56" i="82"/>
  <c r="AO56" i="82"/>
  <c r="E57" i="82"/>
  <c r="G57" i="82"/>
  <c r="I57" i="82"/>
  <c r="K57" i="82"/>
  <c r="M57" i="82"/>
  <c r="O57" i="82"/>
  <c r="P57" i="82"/>
  <c r="P99" i="82" s="1"/>
  <c r="Q57" i="82"/>
  <c r="Q99" i="82" s="1"/>
  <c r="R57" i="82"/>
  <c r="S57" i="82"/>
  <c r="S99" i="82" s="1"/>
  <c r="T57" i="82"/>
  <c r="U57" i="82"/>
  <c r="U99" i="82" s="1"/>
  <c r="V57" i="82"/>
  <c r="W57" i="82"/>
  <c r="W99" i="82" s="1"/>
  <c r="X57" i="82"/>
  <c r="X99" i="82" s="1"/>
  <c r="Y57" i="82"/>
  <c r="Z57" i="82"/>
  <c r="AA57" i="82"/>
  <c r="AB57" i="82"/>
  <c r="AC57" i="82"/>
  <c r="AE57" i="82"/>
  <c r="AE99" i="82" s="1"/>
  <c r="AF57" i="82"/>
  <c r="AG57" i="82"/>
  <c r="AG99" i="82" s="1"/>
  <c r="AH57" i="82"/>
  <c r="AI57" i="82"/>
  <c r="AI99" i="82" s="1"/>
  <c r="AK57" i="82"/>
  <c r="AL57" i="82"/>
  <c r="AM57" i="82"/>
  <c r="AN57" i="82"/>
  <c r="AO57" i="82"/>
  <c r="E58" i="82"/>
  <c r="G58" i="82"/>
  <c r="I58" i="82"/>
  <c r="K58" i="82"/>
  <c r="M58" i="82"/>
  <c r="O58" i="82"/>
  <c r="P58" i="82"/>
  <c r="Q58" i="82"/>
  <c r="R58" i="82"/>
  <c r="S58" i="82"/>
  <c r="T58" i="82"/>
  <c r="U58" i="82"/>
  <c r="V58" i="82"/>
  <c r="W58" i="82"/>
  <c r="X58" i="82"/>
  <c r="X100" i="82" s="1"/>
  <c r="Y58" i="82"/>
  <c r="Z58" i="82"/>
  <c r="AA58" i="82"/>
  <c r="AB58" i="82"/>
  <c r="AC58" i="82"/>
  <c r="AE58" i="82"/>
  <c r="AE100" i="82" s="1"/>
  <c r="AF58" i="82"/>
  <c r="AG58" i="82"/>
  <c r="AG100" i="82" s="1"/>
  <c r="AH58" i="82"/>
  <c r="AI58" i="82"/>
  <c r="AI100" i="82" s="1"/>
  <c r="AJ58" i="82"/>
  <c r="AK58" i="82"/>
  <c r="AL58" i="82"/>
  <c r="AM58" i="82"/>
  <c r="AN58" i="82"/>
  <c r="AO58" i="82"/>
  <c r="E59" i="82"/>
  <c r="G59" i="82"/>
  <c r="I59" i="82"/>
  <c r="K59" i="82"/>
  <c r="M59" i="82"/>
  <c r="O59" i="82"/>
  <c r="P59" i="82"/>
  <c r="P101" i="82" s="1"/>
  <c r="Q59" i="82"/>
  <c r="Q101" i="82" s="1"/>
  <c r="R59" i="82"/>
  <c r="S59" i="82"/>
  <c r="S101" i="82" s="1"/>
  <c r="T59" i="82"/>
  <c r="U59" i="82"/>
  <c r="U101" i="82" s="1"/>
  <c r="V59" i="82"/>
  <c r="W59" i="82"/>
  <c r="W101" i="82" s="1"/>
  <c r="X59" i="82"/>
  <c r="Y59" i="82"/>
  <c r="Z59" i="82"/>
  <c r="AA59" i="82"/>
  <c r="AB59" i="82"/>
  <c r="AC59" i="82"/>
  <c r="AF59" i="82"/>
  <c r="AH59" i="82"/>
  <c r="AK59" i="82"/>
  <c r="AL59" i="82"/>
  <c r="AM59" i="82"/>
  <c r="AN59" i="82"/>
  <c r="AO59" i="82"/>
  <c r="E60" i="82"/>
  <c r="G60" i="82"/>
  <c r="I60" i="82"/>
  <c r="J60" i="82"/>
  <c r="K60" i="82"/>
  <c r="M60" i="82"/>
  <c r="N60" i="82"/>
  <c r="O60" i="82"/>
  <c r="P60" i="82"/>
  <c r="Q60" i="82"/>
  <c r="Q102" i="82" s="1"/>
  <c r="R60" i="82"/>
  <c r="S60" i="82"/>
  <c r="S102" i="82" s="1"/>
  <c r="T60" i="82"/>
  <c r="U60" i="82"/>
  <c r="U102" i="82" s="1"/>
  <c r="V60" i="82"/>
  <c r="W60" i="82"/>
  <c r="W102" i="82" s="1"/>
  <c r="X60" i="82"/>
  <c r="Y60" i="82"/>
  <c r="Z60" i="82"/>
  <c r="AA60" i="82"/>
  <c r="AB60" i="82"/>
  <c r="AC60" i="82"/>
  <c r="AF60" i="82"/>
  <c r="AH60" i="82"/>
  <c r="AJ60" i="82"/>
  <c r="AK60" i="82"/>
  <c r="AL60" i="82"/>
  <c r="AM60" i="82"/>
  <c r="AN60" i="82"/>
  <c r="AO60" i="82"/>
  <c r="D61" i="82"/>
  <c r="E61" i="82"/>
  <c r="F61" i="82"/>
  <c r="G61" i="82"/>
  <c r="G71" i="82" s="1"/>
  <c r="H61" i="82"/>
  <c r="I61" i="82"/>
  <c r="J61" i="82"/>
  <c r="K61" i="82"/>
  <c r="L61" i="82"/>
  <c r="M61" i="82"/>
  <c r="N61" i="82"/>
  <c r="O61" i="82"/>
  <c r="P61" i="82"/>
  <c r="P103" i="82" s="1"/>
  <c r="Q61" i="82"/>
  <c r="R61" i="82"/>
  <c r="S61" i="82"/>
  <c r="T61" i="82"/>
  <c r="U61" i="82"/>
  <c r="V61" i="82"/>
  <c r="W61" i="82"/>
  <c r="X61" i="82"/>
  <c r="X103" i="82" s="1"/>
  <c r="Y61" i="82"/>
  <c r="Z61" i="82"/>
  <c r="AA61" i="82"/>
  <c r="AB61" i="82"/>
  <c r="AC61" i="82"/>
  <c r="AE61" i="82"/>
  <c r="AE103" i="82" s="1"/>
  <c r="AF61" i="82"/>
  <c r="AG61" i="82"/>
  <c r="AG103" i="82" s="1"/>
  <c r="AH61" i="82"/>
  <c r="AI61" i="82"/>
  <c r="AI103" i="82" s="1"/>
  <c r="AK61" i="82"/>
  <c r="AL61" i="82"/>
  <c r="AM61" i="82"/>
  <c r="AN61" i="82"/>
  <c r="AO61" i="82"/>
  <c r="D62" i="82"/>
  <c r="E62" i="82"/>
  <c r="F62" i="82"/>
  <c r="G62" i="82"/>
  <c r="I62" i="82"/>
  <c r="J62" i="82"/>
  <c r="K62" i="82"/>
  <c r="M62" i="82"/>
  <c r="N62" i="82"/>
  <c r="O62" i="82"/>
  <c r="P62" i="82"/>
  <c r="P104" i="82" s="1"/>
  <c r="Q62" i="82"/>
  <c r="Q104" i="82" s="1"/>
  <c r="R62" i="82"/>
  <c r="S62" i="82"/>
  <c r="S104" i="82" s="1"/>
  <c r="T62" i="82"/>
  <c r="U62" i="82"/>
  <c r="U104" i="82" s="1"/>
  <c r="V62" i="82"/>
  <c r="W62" i="82"/>
  <c r="W104" i="82" s="1"/>
  <c r="X62" i="82"/>
  <c r="X104" i="82" s="1"/>
  <c r="Y62" i="82"/>
  <c r="Z62" i="82"/>
  <c r="AA62" i="82"/>
  <c r="AB62" i="82"/>
  <c r="AC62" i="82"/>
  <c r="AE62" i="82"/>
  <c r="AE104" i="82" s="1"/>
  <c r="AF62" i="82"/>
  <c r="AG62" i="82"/>
  <c r="AG104" i="82" s="1"/>
  <c r="AH62" i="82"/>
  <c r="AI62" i="82"/>
  <c r="AI104" i="82" s="1"/>
  <c r="AJ62" i="82"/>
  <c r="AJ104" i="82" s="1"/>
  <c r="AK62" i="82"/>
  <c r="AL62" i="82"/>
  <c r="AM62" i="82"/>
  <c r="AN62" i="82"/>
  <c r="AO62" i="82"/>
  <c r="D63" i="82"/>
  <c r="E63" i="82"/>
  <c r="F63" i="82"/>
  <c r="G63" i="82"/>
  <c r="H63" i="82"/>
  <c r="I63" i="82"/>
  <c r="J63" i="82"/>
  <c r="K63" i="82"/>
  <c r="L63" i="82"/>
  <c r="M63" i="82"/>
  <c r="N63" i="82"/>
  <c r="O63" i="82"/>
  <c r="P63" i="82"/>
  <c r="Q63" i="82"/>
  <c r="Q105" i="82" s="1"/>
  <c r="R63" i="82"/>
  <c r="S63" i="82"/>
  <c r="S105" i="82" s="1"/>
  <c r="T63" i="82"/>
  <c r="U63" i="82"/>
  <c r="U105" i="82" s="1"/>
  <c r="V63" i="82"/>
  <c r="W63" i="82"/>
  <c r="W105" i="82" s="1"/>
  <c r="X63" i="82"/>
  <c r="Y63" i="82"/>
  <c r="Z63" i="82"/>
  <c r="AA63" i="82"/>
  <c r="AB63" i="82"/>
  <c r="AC63" i="82"/>
  <c r="AF63" i="82"/>
  <c r="AH63" i="82"/>
  <c r="AK63" i="82"/>
  <c r="AL63" i="82"/>
  <c r="AM63" i="82"/>
  <c r="AN63" i="82"/>
  <c r="AO63" i="82"/>
  <c r="D64" i="82"/>
  <c r="E64" i="82"/>
  <c r="F64" i="82"/>
  <c r="G64" i="82"/>
  <c r="H64" i="82"/>
  <c r="I64" i="82"/>
  <c r="J64" i="82"/>
  <c r="K64" i="82"/>
  <c r="L64" i="82"/>
  <c r="M64" i="82"/>
  <c r="N64" i="82"/>
  <c r="O64" i="82"/>
  <c r="P64" i="82"/>
  <c r="P106" i="82" s="1"/>
  <c r="Q64" i="82"/>
  <c r="R64" i="82"/>
  <c r="S64" i="82"/>
  <c r="T64" i="82"/>
  <c r="U64" i="82"/>
  <c r="V64" i="82"/>
  <c r="W64" i="82"/>
  <c r="X64" i="82"/>
  <c r="X106" i="82" s="1"/>
  <c r="Y64" i="82"/>
  <c r="Z64" i="82"/>
  <c r="AA64" i="82"/>
  <c r="AB64" i="82"/>
  <c r="AC64" i="82"/>
  <c r="AF64" i="82"/>
  <c r="AH64" i="82"/>
  <c r="AJ64" i="82"/>
  <c r="AJ106" i="82" s="1"/>
  <c r="AK64" i="82"/>
  <c r="AL64" i="82"/>
  <c r="AM64" i="82"/>
  <c r="AN64" i="82"/>
  <c r="AO64" i="82"/>
  <c r="D65" i="82"/>
  <c r="E65" i="82"/>
  <c r="F65" i="82"/>
  <c r="G65" i="82"/>
  <c r="H65" i="82"/>
  <c r="I65" i="82"/>
  <c r="J65" i="82"/>
  <c r="K65" i="82"/>
  <c r="L65" i="82"/>
  <c r="M65" i="82"/>
  <c r="N65" i="82"/>
  <c r="O65" i="82"/>
  <c r="P65" i="82"/>
  <c r="Q65" i="82"/>
  <c r="R65" i="82"/>
  <c r="S65" i="82"/>
  <c r="T65" i="82"/>
  <c r="U65" i="82"/>
  <c r="V65" i="82"/>
  <c r="W65" i="82"/>
  <c r="X65" i="82"/>
  <c r="Y65" i="82"/>
  <c r="Z65" i="82"/>
  <c r="AA65" i="82"/>
  <c r="AB65" i="82"/>
  <c r="AC65" i="82"/>
  <c r="AE65" i="82"/>
  <c r="AE107" i="82" s="1"/>
  <c r="AF65" i="82"/>
  <c r="AG65" i="82"/>
  <c r="AG107" i="82" s="1"/>
  <c r="AH65" i="82"/>
  <c r="AI65" i="82"/>
  <c r="AI107" i="82" s="1"/>
  <c r="AK65" i="82"/>
  <c r="AL65" i="82"/>
  <c r="AM65" i="82"/>
  <c r="AN65" i="82"/>
  <c r="AO65" i="82"/>
  <c r="D66" i="82"/>
  <c r="E66" i="82"/>
  <c r="F66" i="82"/>
  <c r="G66" i="82"/>
  <c r="H66" i="82"/>
  <c r="I66" i="82"/>
  <c r="J66" i="82"/>
  <c r="K66" i="82"/>
  <c r="L66" i="82"/>
  <c r="M66" i="82"/>
  <c r="N66" i="82"/>
  <c r="O66" i="82"/>
  <c r="P66" i="82"/>
  <c r="P108" i="82" s="1"/>
  <c r="Q66" i="82"/>
  <c r="Q108" i="82" s="1"/>
  <c r="R66" i="82"/>
  <c r="S66" i="82"/>
  <c r="S108" i="82" s="1"/>
  <c r="T66" i="82"/>
  <c r="U66" i="82"/>
  <c r="U108" i="82" s="1"/>
  <c r="V66" i="82"/>
  <c r="W66" i="82"/>
  <c r="W108" i="82" s="1"/>
  <c r="X66" i="82"/>
  <c r="Y66" i="82"/>
  <c r="Z66" i="82"/>
  <c r="AA66" i="82"/>
  <c r="AB66" i="82"/>
  <c r="AC66" i="82"/>
  <c r="AE66" i="82"/>
  <c r="AF66" i="82"/>
  <c r="AG66" i="82"/>
  <c r="AH66" i="82"/>
  <c r="AI66" i="82"/>
  <c r="AJ66" i="82"/>
  <c r="AK66" i="82"/>
  <c r="AL66" i="82"/>
  <c r="AM66" i="82"/>
  <c r="AN66" i="82"/>
  <c r="AO66" i="82"/>
  <c r="D67" i="82"/>
  <c r="E67" i="82"/>
  <c r="F67" i="82"/>
  <c r="G67" i="82"/>
  <c r="H67" i="82"/>
  <c r="I67" i="82"/>
  <c r="J67" i="82"/>
  <c r="K67" i="82"/>
  <c r="L67" i="82"/>
  <c r="M67" i="82"/>
  <c r="N67" i="82"/>
  <c r="O67" i="82"/>
  <c r="P67" i="82"/>
  <c r="Q67" i="82"/>
  <c r="Q109" i="82" s="1"/>
  <c r="R67" i="82"/>
  <c r="S67" i="82"/>
  <c r="S109" i="82" s="1"/>
  <c r="T67" i="82"/>
  <c r="U67" i="82"/>
  <c r="U109" i="82" s="1"/>
  <c r="V67" i="82"/>
  <c r="W67" i="82"/>
  <c r="W109" i="82" s="1"/>
  <c r="X67" i="82"/>
  <c r="Y67" i="82"/>
  <c r="Z67" i="82"/>
  <c r="AA67" i="82"/>
  <c r="AB67" i="82"/>
  <c r="AC67" i="82"/>
  <c r="AE67" i="82"/>
  <c r="AF67" i="82"/>
  <c r="AG67" i="82"/>
  <c r="AH67" i="82"/>
  <c r="AK67" i="82"/>
  <c r="AL67" i="82"/>
  <c r="AM67" i="82"/>
  <c r="AN67" i="82"/>
  <c r="AO67" i="82"/>
  <c r="D68" i="82"/>
  <c r="E68" i="82"/>
  <c r="F68" i="82"/>
  <c r="G68" i="82"/>
  <c r="H68" i="82"/>
  <c r="I68" i="82"/>
  <c r="J68" i="82"/>
  <c r="J110" i="82" s="1"/>
  <c r="K68" i="82"/>
  <c r="L68" i="82"/>
  <c r="M68" i="82"/>
  <c r="N68" i="82"/>
  <c r="N110" i="82" s="1"/>
  <c r="O68" i="82"/>
  <c r="P68" i="82"/>
  <c r="Q68" i="82"/>
  <c r="Q110" i="82" s="1"/>
  <c r="R68" i="82"/>
  <c r="S68" i="82"/>
  <c r="S110" i="82" s="1"/>
  <c r="T68" i="82"/>
  <c r="U68" i="82"/>
  <c r="U110" i="82" s="1"/>
  <c r="V68" i="82"/>
  <c r="W68" i="82"/>
  <c r="W110" i="82" s="1"/>
  <c r="X68" i="82"/>
  <c r="X110" i="82" s="1"/>
  <c r="Y68" i="82"/>
  <c r="Z68" i="82"/>
  <c r="AA68" i="82"/>
  <c r="AB68" i="82"/>
  <c r="AC68" i="82"/>
  <c r="AE68" i="82"/>
  <c r="AF68" i="82"/>
  <c r="AF110" i="82" s="1"/>
  <c r="AG68" i="82"/>
  <c r="AH68" i="82"/>
  <c r="AH110" i="82" s="1"/>
  <c r="AI68" i="82"/>
  <c r="AJ68" i="82"/>
  <c r="AJ110" i="82" s="1"/>
  <c r="AK68" i="82"/>
  <c r="AL68" i="82"/>
  <c r="AM68" i="82"/>
  <c r="AN68" i="82"/>
  <c r="AO68" i="82"/>
  <c r="D69" i="82"/>
  <c r="D111" i="82" s="1"/>
  <c r="E69" i="82"/>
  <c r="F69" i="82"/>
  <c r="G69" i="82"/>
  <c r="H69" i="82"/>
  <c r="H111" i="82" s="1"/>
  <c r="I69" i="82"/>
  <c r="J69" i="82"/>
  <c r="K69" i="82"/>
  <c r="L69" i="82"/>
  <c r="L111" i="82" s="1"/>
  <c r="M69" i="82"/>
  <c r="N69" i="82"/>
  <c r="O69" i="82"/>
  <c r="P69" i="82"/>
  <c r="Q69" i="82"/>
  <c r="R69" i="82"/>
  <c r="S69" i="82"/>
  <c r="T69" i="82"/>
  <c r="U69" i="82"/>
  <c r="V69" i="82"/>
  <c r="W69" i="82"/>
  <c r="X69" i="82"/>
  <c r="Y69" i="82"/>
  <c r="Z69" i="82"/>
  <c r="AA69" i="82"/>
  <c r="AB69" i="82"/>
  <c r="AC69" i="82"/>
  <c r="AE69" i="82"/>
  <c r="AE111" i="82" s="1"/>
  <c r="AF69" i="82"/>
  <c r="AG69" i="82"/>
  <c r="AG111" i="82" s="1"/>
  <c r="AH69" i="82"/>
  <c r="AI69" i="82"/>
  <c r="AI111" i="82" s="1"/>
  <c r="AK69" i="82"/>
  <c r="AL69" i="82"/>
  <c r="AM69" i="82"/>
  <c r="AN69" i="82"/>
  <c r="AO69" i="82"/>
  <c r="D70" i="82"/>
  <c r="E70" i="82"/>
  <c r="F70" i="82"/>
  <c r="F112" i="82" s="1"/>
  <c r="G70" i="82"/>
  <c r="H70" i="82"/>
  <c r="I70" i="82"/>
  <c r="J70" i="82"/>
  <c r="J112" i="82" s="1"/>
  <c r="K70" i="82"/>
  <c r="L70" i="82"/>
  <c r="M70" i="82"/>
  <c r="N70" i="82"/>
  <c r="N112" i="82" s="1"/>
  <c r="O70" i="82"/>
  <c r="P70" i="82"/>
  <c r="P112" i="82" s="1"/>
  <c r="Q70" i="82"/>
  <c r="R70" i="82"/>
  <c r="R71" i="82" s="1"/>
  <c r="S70" i="82"/>
  <c r="T70" i="82"/>
  <c r="U70" i="82"/>
  <c r="V70" i="82"/>
  <c r="V71" i="82" s="1"/>
  <c r="W70" i="82"/>
  <c r="X70" i="82"/>
  <c r="X112" i="82" s="1"/>
  <c r="Y70" i="82"/>
  <c r="Z70" i="82"/>
  <c r="AA70" i="82"/>
  <c r="AB70" i="82"/>
  <c r="AC70" i="82"/>
  <c r="AE70" i="82"/>
  <c r="AF70" i="82"/>
  <c r="AG70" i="82"/>
  <c r="AH70" i="82"/>
  <c r="AI70" i="82"/>
  <c r="AJ70" i="82"/>
  <c r="AJ112" i="82" s="1"/>
  <c r="AK70" i="82"/>
  <c r="AL70" i="82"/>
  <c r="AL71" i="82" s="1"/>
  <c r="AM70" i="82"/>
  <c r="AN70" i="82"/>
  <c r="AO70" i="82"/>
  <c r="I71" i="82"/>
  <c r="M71" i="82"/>
  <c r="O71" i="82"/>
  <c r="Q71" i="82"/>
  <c r="T71" i="82"/>
  <c r="W71" i="82"/>
  <c r="X71" i="82"/>
  <c r="AF71" i="82"/>
  <c r="AK71" i="82"/>
  <c r="AM71" i="82"/>
  <c r="AN71" i="82"/>
  <c r="AO71" i="82"/>
  <c r="V73" i="82"/>
  <c r="W73" i="82"/>
  <c r="AA73" i="82"/>
  <c r="AB73" i="82"/>
  <c r="AC73" i="82"/>
  <c r="AH73" i="82"/>
  <c r="AL73" i="82"/>
  <c r="AM73" i="82"/>
  <c r="AN73" i="82"/>
  <c r="AO73" i="82"/>
  <c r="V74" i="82"/>
  <c r="W74" i="82"/>
  <c r="AB74" i="82"/>
  <c r="AC74" i="82"/>
  <c r="AH74" i="82"/>
  <c r="AL74" i="82"/>
  <c r="AM74" i="82"/>
  <c r="AN74" i="82"/>
  <c r="AO74" i="82"/>
  <c r="V75" i="82"/>
  <c r="W75" i="82"/>
  <c r="AB75" i="82"/>
  <c r="AC75" i="82"/>
  <c r="AH75" i="82"/>
  <c r="AL75" i="82"/>
  <c r="AM75" i="82"/>
  <c r="AN75" i="82"/>
  <c r="AO75" i="82"/>
  <c r="V76" i="82"/>
  <c r="W76" i="82"/>
  <c r="AB76" i="82"/>
  <c r="AC76" i="82"/>
  <c r="AH76" i="82"/>
  <c r="AI76" i="82"/>
  <c r="AL76" i="82"/>
  <c r="AM76" i="82"/>
  <c r="AN76" i="82"/>
  <c r="AO76" i="82"/>
  <c r="V77" i="82"/>
  <c r="W77" i="82"/>
  <c r="AA77" i="82"/>
  <c r="AB77" i="82"/>
  <c r="AC77" i="82"/>
  <c r="AH77" i="82"/>
  <c r="AL77" i="82"/>
  <c r="AM77" i="82"/>
  <c r="AN77" i="82"/>
  <c r="AO77" i="82"/>
  <c r="V78" i="82"/>
  <c r="W78" i="82"/>
  <c r="AB78" i="82"/>
  <c r="AC78" i="82"/>
  <c r="AH78" i="82"/>
  <c r="AI78" i="82"/>
  <c r="AL78" i="82"/>
  <c r="AM78" i="82"/>
  <c r="AN78" i="82"/>
  <c r="AO78" i="82"/>
  <c r="P79" i="82"/>
  <c r="Q79" i="82"/>
  <c r="R79" i="82"/>
  <c r="S79" i="82"/>
  <c r="T79" i="82"/>
  <c r="U79" i="82"/>
  <c r="V79" i="82"/>
  <c r="W79" i="82"/>
  <c r="AB79" i="82"/>
  <c r="AC79" i="82"/>
  <c r="AH79" i="82"/>
  <c r="AL79" i="82"/>
  <c r="AM79" i="82"/>
  <c r="AN79" i="82"/>
  <c r="AO79" i="82"/>
  <c r="P80" i="82"/>
  <c r="Q80" i="82"/>
  <c r="R80" i="82"/>
  <c r="S80" i="82"/>
  <c r="T80" i="82"/>
  <c r="U80" i="82"/>
  <c r="V80" i="82"/>
  <c r="W80" i="82"/>
  <c r="AB80" i="82"/>
  <c r="AC80" i="82"/>
  <c r="AH80" i="82"/>
  <c r="AL80" i="82"/>
  <c r="AM80" i="82"/>
  <c r="AN80" i="82"/>
  <c r="AO80" i="82"/>
  <c r="E81" i="82"/>
  <c r="G81" i="82"/>
  <c r="I81" i="82"/>
  <c r="K81" i="82"/>
  <c r="M81" i="82"/>
  <c r="O81" i="82"/>
  <c r="P81" i="82"/>
  <c r="Q81" i="82"/>
  <c r="R81" i="82"/>
  <c r="S81" i="82"/>
  <c r="T81" i="82"/>
  <c r="U81" i="82"/>
  <c r="V81" i="82"/>
  <c r="W81" i="82"/>
  <c r="X81" i="82"/>
  <c r="Y81" i="82"/>
  <c r="Z81" i="82"/>
  <c r="AA81" i="82"/>
  <c r="AB81" i="82"/>
  <c r="AC81" i="82"/>
  <c r="AF81" i="82"/>
  <c r="AH81" i="82"/>
  <c r="AK81" i="82"/>
  <c r="AL81" i="82"/>
  <c r="AM81" i="82"/>
  <c r="AN81" i="82"/>
  <c r="AO81" i="82"/>
  <c r="E82" i="82"/>
  <c r="G82" i="82"/>
  <c r="I82" i="82"/>
  <c r="K82" i="82"/>
  <c r="M82" i="82"/>
  <c r="O82" i="82"/>
  <c r="P82" i="82"/>
  <c r="Q82" i="82"/>
  <c r="R82" i="82"/>
  <c r="S82" i="82"/>
  <c r="T82" i="82"/>
  <c r="U82" i="82"/>
  <c r="V82" i="82"/>
  <c r="W82" i="82"/>
  <c r="X82" i="82"/>
  <c r="Y82" i="82"/>
  <c r="Z82" i="82"/>
  <c r="AB82" i="82"/>
  <c r="AC82" i="82"/>
  <c r="AF82" i="82"/>
  <c r="AH82" i="82"/>
  <c r="AJ82" i="82"/>
  <c r="AK82" i="82"/>
  <c r="AL82" i="82"/>
  <c r="AM82" i="82"/>
  <c r="AN82" i="82"/>
  <c r="AO82" i="82"/>
  <c r="E83" i="82"/>
  <c r="G83" i="82"/>
  <c r="I83" i="82"/>
  <c r="K83" i="82"/>
  <c r="M83" i="82"/>
  <c r="O83" i="82"/>
  <c r="P83" i="82"/>
  <c r="Q83" i="82"/>
  <c r="R83" i="82"/>
  <c r="S83" i="82"/>
  <c r="T83" i="82"/>
  <c r="U83" i="82"/>
  <c r="V83" i="82"/>
  <c r="W83" i="82"/>
  <c r="X83" i="82"/>
  <c r="Y83" i="82"/>
  <c r="Z83" i="82"/>
  <c r="AB83" i="82"/>
  <c r="AC83" i="82"/>
  <c r="AF83" i="82"/>
  <c r="AH83" i="82"/>
  <c r="AJ83" i="82"/>
  <c r="AK83" i="82"/>
  <c r="AL83" i="82"/>
  <c r="AM83" i="82"/>
  <c r="AN83" i="82"/>
  <c r="AO83" i="82"/>
  <c r="E84" i="82"/>
  <c r="G84" i="82"/>
  <c r="I84" i="82"/>
  <c r="K84" i="82"/>
  <c r="M84" i="82"/>
  <c r="O84" i="82"/>
  <c r="P84" i="82"/>
  <c r="Q84" i="82"/>
  <c r="R84" i="82"/>
  <c r="S84" i="82"/>
  <c r="T84" i="82"/>
  <c r="U84" i="82"/>
  <c r="V84" i="82"/>
  <c r="W84" i="82"/>
  <c r="X84" i="82"/>
  <c r="Y84" i="82"/>
  <c r="Z84" i="82"/>
  <c r="AB84" i="82"/>
  <c r="AC84" i="82"/>
  <c r="AE84" i="82"/>
  <c r="AF84" i="82"/>
  <c r="AG84" i="82"/>
  <c r="AH84" i="82"/>
  <c r="AI84" i="82"/>
  <c r="AK84" i="82"/>
  <c r="AL84" i="82"/>
  <c r="AM84" i="82"/>
  <c r="AN84" i="82"/>
  <c r="AO84" i="82"/>
  <c r="E85" i="82"/>
  <c r="G85" i="82"/>
  <c r="I85" i="82"/>
  <c r="K85" i="82"/>
  <c r="M85" i="82"/>
  <c r="O85" i="82"/>
  <c r="P85" i="82"/>
  <c r="Q85" i="82"/>
  <c r="R85" i="82"/>
  <c r="S85" i="82"/>
  <c r="T85" i="82"/>
  <c r="U85" i="82"/>
  <c r="V85" i="82"/>
  <c r="W85" i="82"/>
  <c r="X85" i="82"/>
  <c r="Y85" i="82"/>
  <c r="Z85" i="82"/>
  <c r="AA85" i="82"/>
  <c r="AB85" i="82"/>
  <c r="AC85" i="82"/>
  <c r="AF85" i="82"/>
  <c r="AH85" i="82"/>
  <c r="AK85" i="82"/>
  <c r="AL85" i="82"/>
  <c r="AM85" i="82"/>
  <c r="AN85" i="82"/>
  <c r="AO85" i="82"/>
  <c r="E86" i="82"/>
  <c r="G86" i="82"/>
  <c r="I86" i="82"/>
  <c r="K86" i="82"/>
  <c r="M86" i="82"/>
  <c r="O86" i="82"/>
  <c r="P86" i="82"/>
  <c r="Q86" i="82"/>
  <c r="R86" i="82"/>
  <c r="S86" i="82"/>
  <c r="T86" i="82"/>
  <c r="U86" i="82"/>
  <c r="V86" i="82"/>
  <c r="W86" i="82"/>
  <c r="X86" i="82"/>
  <c r="Y86" i="82"/>
  <c r="Z86" i="82"/>
  <c r="AB86" i="82"/>
  <c r="AC86" i="82"/>
  <c r="AE86" i="82"/>
  <c r="AF86" i="82"/>
  <c r="AG86" i="82"/>
  <c r="AH86" i="82"/>
  <c r="AI86" i="82"/>
  <c r="AJ86" i="82"/>
  <c r="AK86" i="82"/>
  <c r="AL86" i="82"/>
  <c r="AM86" i="82"/>
  <c r="AN86" i="82"/>
  <c r="AO86" i="82"/>
  <c r="E87" i="82"/>
  <c r="G87" i="82"/>
  <c r="I87" i="82"/>
  <c r="K87" i="82"/>
  <c r="M87" i="82"/>
  <c r="O87" i="82"/>
  <c r="P87" i="82"/>
  <c r="Q87" i="82"/>
  <c r="R87" i="82"/>
  <c r="S87" i="82"/>
  <c r="T87" i="82"/>
  <c r="U87" i="82"/>
  <c r="V87" i="82"/>
  <c r="W87" i="82"/>
  <c r="X87" i="82"/>
  <c r="Y87" i="82"/>
  <c r="Z87" i="82"/>
  <c r="AB87" i="82"/>
  <c r="AC87" i="82"/>
  <c r="AF87" i="82"/>
  <c r="AH87" i="82"/>
  <c r="AJ87" i="82"/>
  <c r="AK87" i="82"/>
  <c r="AL87" i="82"/>
  <c r="AM87" i="82"/>
  <c r="AN87" i="82"/>
  <c r="AO87" i="82"/>
  <c r="E88" i="82"/>
  <c r="G88" i="82"/>
  <c r="I88" i="82"/>
  <c r="K88" i="82"/>
  <c r="M88" i="82"/>
  <c r="O88" i="82"/>
  <c r="P88" i="82"/>
  <c r="Q88" i="82"/>
  <c r="R88" i="82"/>
  <c r="S88" i="82"/>
  <c r="T88" i="82"/>
  <c r="U88" i="82"/>
  <c r="V88" i="82"/>
  <c r="W88" i="82"/>
  <c r="X88" i="82"/>
  <c r="Y88" i="82"/>
  <c r="Z88" i="82"/>
  <c r="AB88" i="82"/>
  <c r="AC88" i="82"/>
  <c r="AF88" i="82"/>
  <c r="AH88" i="82"/>
  <c r="AK88" i="82"/>
  <c r="AL88" i="82"/>
  <c r="AM88" i="82"/>
  <c r="AN88" i="82"/>
  <c r="AO88" i="82"/>
  <c r="E89" i="82"/>
  <c r="G89" i="82"/>
  <c r="I89" i="82"/>
  <c r="K89" i="82"/>
  <c r="M89" i="82"/>
  <c r="O89" i="82"/>
  <c r="P89" i="82"/>
  <c r="Q89" i="82"/>
  <c r="R89" i="82"/>
  <c r="S89" i="82"/>
  <c r="T89" i="82"/>
  <c r="U89" i="82"/>
  <c r="V89" i="82"/>
  <c r="W89" i="82"/>
  <c r="X89" i="82"/>
  <c r="Y89" i="82"/>
  <c r="Z89" i="82"/>
  <c r="AA89" i="82"/>
  <c r="AB89" i="82"/>
  <c r="AC89" i="82"/>
  <c r="AF89" i="82"/>
  <c r="AH89" i="82"/>
  <c r="AK89" i="82"/>
  <c r="AL89" i="82"/>
  <c r="AM89" i="82"/>
  <c r="AN89" i="82"/>
  <c r="AO89" i="82"/>
  <c r="E90" i="82"/>
  <c r="G90" i="82"/>
  <c r="I90" i="82"/>
  <c r="K90" i="82"/>
  <c r="M90" i="82"/>
  <c r="O90" i="82"/>
  <c r="P90" i="82"/>
  <c r="Q90" i="82"/>
  <c r="R90" i="82"/>
  <c r="S90" i="82"/>
  <c r="T90" i="82"/>
  <c r="U90" i="82"/>
  <c r="V90" i="82"/>
  <c r="W90" i="82"/>
  <c r="X90" i="82"/>
  <c r="Y90" i="82"/>
  <c r="Z90" i="82"/>
  <c r="AA90" i="82"/>
  <c r="AB90" i="82"/>
  <c r="AC90" i="82"/>
  <c r="AE90" i="82"/>
  <c r="AF90" i="82"/>
  <c r="AG90" i="82"/>
  <c r="AH90" i="82"/>
  <c r="AI90" i="82"/>
  <c r="AJ90" i="82"/>
  <c r="AK90" i="82"/>
  <c r="AL90" i="82"/>
  <c r="AM90" i="82"/>
  <c r="AN90" i="82"/>
  <c r="AO90" i="82"/>
  <c r="E91" i="82"/>
  <c r="G91" i="82"/>
  <c r="I91" i="82"/>
  <c r="K91" i="82"/>
  <c r="M91" i="82"/>
  <c r="O91" i="82"/>
  <c r="P91" i="82"/>
  <c r="Q91" i="82"/>
  <c r="R91" i="82"/>
  <c r="S91" i="82"/>
  <c r="T91" i="82"/>
  <c r="U91" i="82"/>
  <c r="V91" i="82"/>
  <c r="W91" i="82"/>
  <c r="X91" i="82"/>
  <c r="Y91" i="82"/>
  <c r="Z91" i="82"/>
  <c r="AA91" i="82"/>
  <c r="AB91" i="82"/>
  <c r="AC91" i="82"/>
  <c r="AF91" i="82"/>
  <c r="AH91" i="82"/>
  <c r="AJ91" i="82"/>
  <c r="AK91" i="82"/>
  <c r="AL91" i="82"/>
  <c r="AM91" i="82"/>
  <c r="AN91" i="82"/>
  <c r="AO91" i="82"/>
  <c r="AN92" i="82"/>
  <c r="E94" i="82"/>
  <c r="G94" i="82"/>
  <c r="I94" i="82"/>
  <c r="K94" i="82"/>
  <c r="M94" i="82"/>
  <c r="O94" i="82"/>
  <c r="Q94" i="82"/>
  <c r="R94" i="82"/>
  <c r="S94" i="82"/>
  <c r="T94" i="82"/>
  <c r="U94" i="82"/>
  <c r="V94" i="82"/>
  <c r="W94" i="82"/>
  <c r="Y94" i="82"/>
  <c r="Z94" i="82"/>
  <c r="AA94" i="82"/>
  <c r="AB94" i="82"/>
  <c r="AB113" i="82" s="1"/>
  <c r="AB117" i="82" s="1"/>
  <c r="AC94" i="82"/>
  <c r="AF94" i="82"/>
  <c r="AH94" i="82"/>
  <c r="AK94" i="82"/>
  <c r="AL94" i="82"/>
  <c r="AM94" i="82"/>
  <c r="AN94" i="82"/>
  <c r="AO94" i="82"/>
  <c r="E95" i="82"/>
  <c r="G95" i="82"/>
  <c r="I95" i="82"/>
  <c r="K95" i="82"/>
  <c r="M95" i="82"/>
  <c r="O95" i="82"/>
  <c r="R95" i="82"/>
  <c r="T95" i="82"/>
  <c r="V95" i="82"/>
  <c r="Y95" i="82"/>
  <c r="Z95" i="82"/>
  <c r="AA95" i="82"/>
  <c r="AB95" i="82"/>
  <c r="AC95" i="82"/>
  <c r="AF95" i="82"/>
  <c r="AH95" i="82"/>
  <c r="AK95" i="82"/>
  <c r="AL95" i="82"/>
  <c r="AM95" i="82"/>
  <c r="AN95" i="82"/>
  <c r="AO95" i="82"/>
  <c r="E96" i="82"/>
  <c r="G96" i="82"/>
  <c r="I96" i="82"/>
  <c r="K96" i="82"/>
  <c r="M96" i="82"/>
  <c r="O96" i="82"/>
  <c r="Q96" i="82"/>
  <c r="R96" i="82"/>
  <c r="S96" i="82"/>
  <c r="T96" i="82"/>
  <c r="U96" i="82"/>
  <c r="V96" i="82"/>
  <c r="W96" i="82"/>
  <c r="Y96" i="82"/>
  <c r="Z96" i="82"/>
  <c r="AA96" i="82"/>
  <c r="AB96" i="82"/>
  <c r="AC96" i="82"/>
  <c r="AF96" i="82"/>
  <c r="AH96" i="82"/>
  <c r="AK96" i="82"/>
  <c r="AL96" i="82"/>
  <c r="AM96" i="82"/>
  <c r="AN96" i="82"/>
  <c r="AO96" i="82"/>
  <c r="E97" i="82"/>
  <c r="G97" i="82"/>
  <c r="I97" i="82"/>
  <c r="K97" i="82"/>
  <c r="M97" i="82"/>
  <c r="O97" i="82"/>
  <c r="R97" i="82"/>
  <c r="T97" i="82"/>
  <c r="V97" i="82"/>
  <c r="X97" i="82"/>
  <c r="Y97" i="82"/>
  <c r="Z97" i="82"/>
  <c r="AA97" i="82"/>
  <c r="AB97" i="82"/>
  <c r="AC97" i="82"/>
  <c r="AK97" i="82"/>
  <c r="AL97" i="82"/>
  <c r="AM97" i="82"/>
  <c r="AN97" i="82"/>
  <c r="AO97" i="82"/>
  <c r="E98" i="82"/>
  <c r="G98" i="82"/>
  <c r="I98" i="82"/>
  <c r="K98" i="82"/>
  <c r="M98" i="82"/>
  <c r="O98" i="82"/>
  <c r="Q98" i="82"/>
  <c r="R98" i="82"/>
  <c r="S98" i="82"/>
  <c r="T98" i="82"/>
  <c r="U98" i="82"/>
  <c r="V98" i="82"/>
  <c r="W98" i="82"/>
  <c r="Y98" i="82"/>
  <c r="Z98" i="82"/>
  <c r="AA98" i="82"/>
  <c r="AB98" i="82"/>
  <c r="AC98" i="82"/>
  <c r="AJ98" i="82"/>
  <c r="AK98" i="82"/>
  <c r="AL98" i="82"/>
  <c r="AM98" i="82"/>
  <c r="AN98" i="82"/>
  <c r="AO98" i="82"/>
  <c r="E99" i="82"/>
  <c r="G99" i="82"/>
  <c r="I99" i="82"/>
  <c r="K99" i="82"/>
  <c r="M99" i="82"/>
  <c r="O99" i="82"/>
  <c r="R99" i="82"/>
  <c r="T99" i="82"/>
  <c r="V99" i="82"/>
  <c r="Y99" i="82"/>
  <c r="Z99" i="82"/>
  <c r="AA99" i="82"/>
  <c r="AB99" i="82"/>
  <c r="AC99" i="82"/>
  <c r="AF99" i="82"/>
  <c r="AH99" i="82"/>
  <c r="AK99" i="82"/>
  <c r="AL99" i="82"/>
  <c r="AM99" i="82"/>
  <c r="AN99" i="82"/>
  <c r="AO99" i="82"/>
  <c r="E100" i="82"/>
  <c r="G100" i="82"/>
  <c r="I100" i="82"/>
  <c r="K100" i="82"/>
  <c r="M100" i="82"/>
  <c r="O100" i="82"/>
  <c r="V100" i="82"/>
  <c r="W100" i="82"/>
  <c r="Y100" i="82"/>
  <c r="Z100" i="82"/>
  <c r="AA100" i="82"/>
  <c r="AB100" i="82"/>
  <c r="AC100" i="82"/>
  <c r="AF100" i="82"/>
  <c r="AH100" i="82"/>
  <c r="AJ100" i="82"/>
  <c r="AK100" i="82"/>
  <c r="AL100" i="82"/>
  <c r="AM100" i="82"/>
  <c r="AN100" i="82"/>
  <c r="AO100" i="82"/>
  <c r="E101" i="82"/>
  <c r="G101" i="82"/>
  <c r="I101" i="82"/>
  <c r="K101" i="82"/>
  <c r="M101" i="82"/>
  <c r="O101" i="82"/>
  <c r="R101" i="82"/>
  <c r="T101" i="82"/>
  <c r="V101" i="82"/>
  <c r="X101" i="82"/>
  <c r="Y101" i="82"/>
  <c r="Z101" i="82"/>
  <c r="AA101" i="82"/>
  <c r="AB101" i="82"/>
  <c r="AC101" i="82"/>
  <c r="AF101" i="82"/>
  <c r="AH101" i="82"/>
  <c r="AK101" i="82"/>
  <c r="AL101" i="82"/>
  <c r="AM101" i="82"/>
  <c r="AN101" i="82"/>
  <c r="AO101" i="82"/>
  <c r="E102" i="82"/>
  <c r="G102" i="82"/>
  <c r="I102" i="82"/>
  <c r="J102" i="82"/>
  <c r="K102" i="82"/>
  <c r="M102" i="82"/>
  <c r="N102" i="82"/>
  <c r="O102" i="82"/>
  <c r="P102" i="82"/>
  <c r="R102" i="82"/>
  <c r="T102" i="82"/>
  <c r="V102" i="82"/>
  <c r="X102" i="82"/>
  <c r="Y102" i="82"/>
  <c r="Z102" i="82"/>
  <c r="AA102" i="82"/>
  <c r="AB102" i="82"/>
  <c r="AC102" i="82"/>
  <c r="AF102" i="82"/>
  <c r="AH102" i="82"/>
  <c r="AL102" i="82"/>
  <c r="AM102" i="82"/>
  <c r="AN102" i="82"/>
  <c r="AO102" i="82"/>
  <c r="D103" i="82"/>
  <c r="E103" i="82"/>
  <c r="F103" i="82"/>
  <c r="G103" i="82"/>
  <c r="H103" i="82"/>
  <c r="I103" i="82"/>
  <c r="J103" i="82"/>
  <c r="K103" i="82"/>
  <c r="L103" i="82"/>
  <c r="M103" i="82"/>
  <c r="N103" i="82"/>
  <c r="O103" i="82"/>
  <c r="Q103" i="82"/>
  <c r="R103" i="82"/>
  <c r="S103" i="82"/>
  <c r="T103" i="82"/>
  <c r="U103" i="82"/>
  <c r="V103" i="82"/>
  <c r="W103" i="82"/>
  <c r="Y103" i="82"/>
  <c r="Z103" i="82"/>
  <c r="AA103" i="82"/>
  <c r="AB103" i="82"/>
  <c r="AC103" i="82"/>
  <c r="AF103" i="82"/>
  <c r="AH103" i="82"/>
  <c r="AK103" i="82"/>
  <c r="AL103" i="82"/>
  <c r="AM103" i="82"/>
  <c r="AN103" i="82"/>
  <c r="AO103" i="82"/>
  <c r="D104" i="82"/>
  <c r="E104" i="82"/>
  <c r="F104" i="82"/>
  <c r="G104" i="82"/>
  <c r="I104" i="82"/>
  <c r="J104" i="82"/>
  <c r="K104" i="82"/>
  <c r="M104" i="82"/>
  <c r="N104" i="82"/>
  <c r="O104" i="82"/>
  <c r="R104" i="82"/>
  <c r="T104" i="82"/>
  <c r="V104" i="82"/>
  <c r="Y104" i="82"/>
  <c r="Z104" i="82"/>
  <c r="AA104" i="82"/>
  <c r="AB104" i="82"/>
  <c r="AC104" i="82"/>
  <c r="AF104" i="82"/>
  <c r="AH104" i="82"/>
  <c r="AK104" i="82"/>
  <c r="AL104" i="82"/>
  <c r="AM104" i="82"/>
  <c r="AN104" i="82"/>
  <c r="AO104" i="82"/>
  <c r="D105" i="82"/>
  <c r="E105" i="82"/>
  <c r="F105" i="82"/>
  <c r="G105" i="82"/>
  <c r="H105" i="82"/>
  <c r="I105" i="82"/>
  <c r="J105" i="82"/>
  <c r="K105" i="82"/>
  <c r="L105" i="82"/>
  <c r="M105" i="82"/>
  <c r="N105" i="82"/>
  <c r="O105" i="82"/>
  <c r="P105" i="82"/>
  <c r="R105" i="82"/>
  <c r="T105" i="82"/>
  <c r="V105" i="82"/>
  <c r="X105" i="82"/>
  <c r="Y105" i="82"/>
  <c r="Z105" i="82"/>
  <c r="AA105" i="82"/>
  <c r="AB105" i="82"/>
  <c r="AC105" i="82"/>
  <c r="AF105" i="82"/>
  <c r="AH105" i="82"/>
  <c r="AK105" i="82"/>
  <c r="AL105" i="82"/>
  <c r="AM105" i="82"/>
  <c r="AN105" i="82"/>
  <c r="AO105" i="82"/>
  <c r="D106" i="82"/>
  <c r="E106" i="82"/>
  <c r="F106" i="82"/>
  <c r="G106" i="82"/>
  <c r="H106" i="82"/>
  <c r="I106" i="82"/>
  <c r="J106" i="82"/>
  <c r="K106" i="82"/>
  <c r="L106" i="82"/>
  <c r="M106" i="82"/>
  <c r="N106" i="82"/>
  <c r="O106" i="82"/>
  <c r="Q106" i="82"/>
  <c r="R106" i="82"/>
  <c r="S106" i="82"/>
  <c r="T106" i="82"/>
  <c r="U106" i="82"/>
  <c r="V106" i="82"/>
  <c r="W106" i="82"/>
  <c r="Y106" i="82"/>
  <c r="Z106" i="82"/>
  <c r="AA106" i="82"/>
  <c r="AB106" i="82"/>
  <c r="AC106" i="82"/>
  <c r="AF106" i="82"/>
  <c r="AH106" i="82"/>
  <c r="AK106" i="82"/>
  <c r="AL106" i="82"/>
  <c r="AM106" i="82"/>
  <c r="AN106" i="82"/>
  <c r="AO106" i="82"/>
  <c r="D107" i="82"/>
  <c r="E107" i="82"/>
  <c r="F107" i="82"/>
  <c r="G107" i="82"/>
  <c r="H107" i="82"/>
  <c r="I107" i="82"/>
  <c r="J107" i="82"/>
  <c r="K107" i="82"/>
  <c r="L107" i="82"/>
  <c r="M107" i="82"/>
  <c r="N107" i="82"/>
  <c r="O107" i="82"/>
  <c r="P107" i="82"/>
  <c r="Q107" i="82"/>
  <c r="R107" i="82"/>
  <c r="S107" i="82"/>
  <c r="T107" i="82"/>
  <c r="U107" i="82"/>
  <c r="V107" i="82"/>
  <c r="W107" i="82"/>
  <c r="X107" i="82"/>
  <c r="Y107" i="82"/>
  <c r="Z107" i="82"/>
  <c r="AA107" i="82"/>
  <c r="AB107" i="82"/>
  <c r="AC107" i="82"/>
  <c r="AF107" i="82"/>
  <c r="AH107" i="82"/>
  <c r="AK107" i="82"/>
  <c r="AL107" i="82"/>
  <c r="AM107" i="82"/>
  <c r="AN107" i="82"/>
  <c r="AO107" i="82"/>
  <c r="D108" i="82"/>
  <c r="E108" i="82"/>
  <c r="F108" i="82"/>
  <c r="G108" i="82"/>
  <c r="H108" i="82"/>
  <c r="I108" i="82"/>
  <c r="J108" i="82"/>
  <c r="K108" i="82"/>
  <c r="L108" i="82"/>
  <c r="M108" i="82"/>
  <c r="N108" i="82"/>
  <c r="O108" i="82"/>
  <c r="R108" i="82"/>
  <c r="T108" i="82"/>
  <c r="V108" i="82"/>
  <c r="X108" i="82"/>
  <c r="Y108" i="82"/>
  <c r="Z108" i="82"/>
  <c r="AA108" i="82"/>
  <c r="AB108" i="82"/>
  <c r="AC108" i="82"/>
  <c r="AE108" i="82"/>
  <c r="AF108" i="82"/>
  <c r="AG108" i="82"/>
  <c r="AH108" i="82"/>
  <c r="AI108" i="82"/>
  <c r="AJ108" i="82"/>
  <c r="AK108" i="82"/>
  <c r="AL108" i="82"/>
  <c r="AM108" i="82"/>
  <c r="AN108" i="82"/>
  <c r="AO108" i="82"/>
  <c r="D109" i="82"/>
  <c r="E109" i="82"/>
  <c r="F109" i="82"/>
  <c r="G109" i="82"/>
  <c r="H109" i="82"/>
  <c r="I109" i="82"/>
  <c r="J109" i="82"/>
  <c r="K109" i="82"/>
  <c r="L109" i="82"/>
  <c r="M109" i="82"/>
  <c r="N109" i="82"/>
  <c r="O109" i="82"/>
  <c r="P109" i="82"/>
  <c r="R109" i="82"/>
  <c r="T109" i="82"/>
  <c r="V109" i="82"/>
  <c r="X109" i="82"/>
  <c r="Y109" i="82"/>
  <c r="Z109" i="82"/>
  <c r="AA109" i="82"/>
  <c r="AB109" i="82"/>
  <c r="AC109" i="82"/>
  <c r="AE109" i="82"/>
  <c r="AF109" i="82"/>
  <c r="AG109" i="82"/>
  <c r="AH109" i="82"/>
  <c r="AK109" i="82"/>
  <c r="AL109" i="82"/>
  <c r="AM109" i="82"/>
  <c r="AN109" i="82"/>
  <c r="AO109" i="82"/>
  <c r="D110" i="82"/>
  <c r="E110" i="82"/>
  <c r="F110" i="82"/>
  <c r="G110" i="82"/>
  <c r="H110" i="82"/>
  <c r="I110" i="82"/>
  <c r="K110" i="82"/>
  <c r="L110" i="82"/>
  <c r="M110" i="82"/>
  <c r="O110" i="82"/>
  <c r="P110" i="82"/>
  <c r="R110" i="82"/>
  <c r="T110" i="82"/>
  <c r="V110" i="82"/>
  <c r="Y110" i="82"/>
  <c r="Z110" i="82"/>
  <c r="AA110" i="82"/>
  <c r="AB110" i="82"/>
  <c r="AC110" i="82"/>
  <c r="AE110" i="82"/>
  <c r="AG110" i="82"/>
  <c r="AI110" i="82"/>
  <c r="AK110" i="82"/>
  <c r="AL110" i="82"/>
  <c r="AM110" i="82"/>
  <c r="AN110" i="82"/>
  <c r="AO110" i="82"/>
  <c r="E111" i="82"/>
  <c r="F111" i="82"/>
  <c r="G111" i="82"/>
  <c r="I111" i="82"/>
  <c r="J111" i="82"/>
  <c r="K111" i="82"/>
  <c r="M111" i="82"/>
  <c r="N111" i="82"/>
  <c r="O111" i="82"/>
  <c r="P111" i="82"/>
  <c r="Q111" i="82"/>
  <c r="R111" i="82"/>
  <c r="S111" i="82"/>
  <c r="T111" i="82"/>
  <c r="U111" i="82"/>
  <c r="V111" i="82"/>
  <c r="W111" i="82"/>
  <c r="X111" i="82"/>
  <c r="Y111" i="82"/>
  <c r="Z111" i="82"/>
  <c r="AA111" i="82"/>
  <c r="AB111" i="82"/>
  <c r="AC111" i="82"/>
  <c r="AF111" i="82"/>
  <c r="AH111" i="82"/>
  <c r="AK111" i="82"/>
  <c r="AL111" i="82"/>
  <c r="AM111" i="82"/>
  <c r="AN111" i="82"/>
  <c r="AO111" i="82"/>
  <c r="D112" i="82"/>
  <c r="E112" i="82"/>
  <c r="G112" i="82"/>
  <c r="H112" i="82"/>
  <c r="I112" i="82"/>
  <c r="K112" i="82"/>
  <c r="L112" i="82"/>
  <c r="M112" i="82"/>
  <c r="O112" i="82"/>
  <c r="Q112" i="82"/>
  <c r="R112" i="82"/>
  <c r="S112" i="82"/>
  <c r="T112" i="82"/>
  <c r="U112" i="82"/>
  <c r="V112" i="82"/>
  <c r="W112" i="82"/>
  <c r="Y112" i="82"/>
  <c r="Z112" i="82"/>
  <c r="AA112" i="82"/>
  <c r="AB112" i="82"/>
  <c r="AC112" i="82"/>
  <c r="AE112" i="82"/>
  <c r="AF112" i="82"/>
  <c r="AG112" i="82"/>
  <c r="AH112" i="82"/>
  <c r="AI112" i="82"/>
  <c r="AK112" i="82"/>
  <c r="AL112" i="82"/>
  <c r="AM112" i="82"/>
  <c r="AN112" i="82"/>
  <c r="AO112" i="82"/>
  <c r="AM113" i="82"/>
  <c r="AM117" i="82" s="1"/>
  <c r="AO113" i="82"/>
  <c r="AN115" i="82"/>
  <c r="AO117" i="82"/>
  <c r="AA7" i="82"/>
  <c r="AB7" i="82"/>
  <c r="AC7" i="82"/>
  <c r="V7" i="82"/>
  <c r="W7" i="82"/>
  <c r="P6" i="82"/>
  <c r="C6" i="82"/>
  <c r="C49" i="82"/>
  <c r="C91" i="82" s="1"/>
  <c r="A5" i="82"/>
  <c r="C3" i="82"/>
  <c r="G66" i="44"/>
  <c r="G65" i="44"/>
  <c r="G64" i="44"/>
  <c r="E58" i="44"/>
  <c r="E57" i="44"/>
  <c r="E56" i="44"/>
  <c r="D58" i="44"/>
  <c r="D57" i="44"/>
  <c r="D56" i="44"/>
  <c r="H48" i="44"/>
  <c r="G48" i="44"/>
  <c r="H47" i="44"/>
  <c r="G47" i="44"/>
  <c r="H46" i="44"/>
  <c r="G46" i="44"/>
  <c r="H44" i="44"/>
  <c r="G44" i="44"/>
  <c r="H43" i="44"/>
  <c r="G43" i="44"/>
  <c r="H42" i="44"/>
  <c r="G42" i="44"/>
  <c r="H41" i="44"/>
  <c r="G41" i="44"/>
  <c r="H40" i="44"/>
  <c r="G40" i="44"/>
  <c r="H39" i="44"/>
  <c r="G39" i="44"/>
  <c r="H38" i="44"/>
  <c r="G38" i="44"/>
  <c r="H37" i="44"/>
  <c r="G37" i="44"/>
  <c r="AL29" i="80"/>
  <c r="AL32" i="80" s="1"/>
  <c r="AM29" i="80"/>
  <c r="AN29" i="80"/>
  <c r="AN31" i="80" s="1"/>
  <c r="AO29" i="80"/>
  <c r="AP29" i="80"/>
  <c r="AP32" i="80" s="1"/>
  <c r="AK29" i="80"/>
  <c r="AK41" i="80" s="1"/>
  <c r="AK83" i="80" s="1"/>
  <c r="AL33" i="80"/>
  <c r="AF29" i="80"/>
  <c r="AF31" i="80" s="1"/>
  <c r="AG29" i="80"/>
  <c r="AH29" i="80"/>
  <c r="AH32" i="80" s="1"/>
  <c r="AI29" i="80"/>
  <c r="AJ29" i="80"/>
  <c r="AJ40" i="80" s="1"/>
  <c r="AJ82" i="80" s="1"/>
  <c r="AE29" i="80"/>
  <c r="Z29" i="80"/>
  <c r="Z31" i="80" s="1"/>
  <c r="AA29" i="80"/>
  <c r="AB29" i="80"/>
  <c r="AB32" i="80" s="1"/>
  <c r="AC29" i="80"/>
  <c r="AD29" i="80"/>
  <c r="AD39" i="80" s="1"/>
  <c r="AD81" i="80" s="1"/>
  <c r="Y29" i="80"/>
  <c r="R29" i="80"/>
  <c r="R36" i="80" s="1"/>
  <c r="S29" i="80"/>
  <c r="T29" i="80"/>
  <c r="T31" i="80" s="1"/>
  <c r="U29" i="80"/>
  <c r="V29" i="80"/>
  <c r="V35" i="80" s="1"/>
  <c r="W29" i="80"/>
  <c r="X29" i="80"/>
  <c r="X33" i="80" s="1"/>
  <c r="Q29" i="80"/>
  <c r="Q34" i="80" s="1"/>
  <c r="J29" i="80"/>
  <c r="K29" i="80"/>
  <c r="L29" i="80"/>
  <c r="M29" i="80"/>
  <c r="N29" i="80"/>
  <c r="O29" i="80"/>
  <c r="P29" i="80"/>
  <c r="I29" i="80"/>
  <c r="I33" i="80" s="1"/>
  <c r="D29" i="80"/>
  <c r="E29" i="80"/>
  <c r="E33" i="80" s="1"/>
  <c r="F29" i="80"/>
  <c r="G29" i="80"/>
  <c r="G31" i="80" s="1"/>
  <c r="H29" i="80"/>
  <c r="K31" i="80"/>
  <c r="M33" i="80"/>
  <c r="O31" i="80"/>
  <c r="Q33" i="80"/>
  <c r="S31" i="80"/>
  <c r="U33" i="80"/>
  <c r="W31" i="80"/>
  <c r="Y33" i="80"/>
  <c r="AA31" i="80"/>
  <c r="AC33" i="80"/>
  <c r="AE31" i="80"/>
  <c r="AG33" i="80"/>
  <c r="AI31" i="80"/>
  <c r="AM31" i="80"/>
  <c r="AO33" i="80"/>
  <c r="D31" i="80"/>
  <c r="F31" i="80"/>
  <c r="H31" i="80"/>
  <c r="J31" i="80"/>
  <c r="L31" i="80"/>
  <c r="N31" i="80"/>
  <c r="P31" i="80"/>
  <c r="R31" i="80"/>
  <c r="V31" i="80"/>
  <c r="AB31" i="80"/>
  <c r="AH31" i="80"/>
  <c r="AP31" i="80"/>
  <c r="D32" i="80"/>
  <c r="E32" i="80"/>
  <c r="F32" i="80"/>
  <c r="G32" i="80"/>
  <c r="H32" i="80"/>
  <c r="I32" i="80"/>
  <c r="J32" i="80"/>
  <c r="K32" i="80"/>
  <c r="L32" i="80"/>
  <c r="M32" i="80"/>
  <c r="N32" i="80"/>
  <c r="O32" i="80"/>
  <c r="P32" i="80"/>
  <c r="R32" i="80"/>
  <c r="S32" i="80"/>
  <c r="T32" i="80"/>
  <c r="U32" i="80"/>
  <c r="V32" i="80"/>
  <c r="W32" i="80"/>
  <c r="X32" i="80"/>
  <c r="Y32" i="80"/>
  <c r="AA32" i="80"/>
  <c r="AC32" i="80"/>
  <c r="AE32" i="80"/>
  <c r="AG32" i="80"/>
  <c r="AI32" i="80"/>
  <c r="AM32" i="80"/>
  <c r="AO32" i="80"/>
  <c r="D33" i="80"/>
  <c r="F33" i="80"/>
  <c r="H33" i="80"/>
  <c r="J33" i="80"/>
  <c r="L33" i="80"/>
  <c r="N33" i="80"/>
  <c r="P33" i="80"/>
  <c r="R33" i="80"/>
  <c r="V33" i="80"/>
  <c r="AB33" i="80"/>
  <c r="AF33" i="80"/>
  <c r="AJ33" i="80"/>
  <c r="AN33" i="80"/>
  <c r="D34" i="80"/>
  <c r="E34" i="80"/>
  <c r="F34" i="80"/>
  <c r="G34" i="80"/>
  <c r="H34" i="80"/>
  <c r="J34" i="80"/>
  <c r="K34" i="80"/>
  <c r="L34" i="80"/>
  <c r="M34" i="80"/>
  <c r="N34" i="80"/>
  <c r="O34" i="80"/>
  <c r="P34" i="80"/>
  <c r="S34" i="80"/>
  <c r="U34" i="80"/>
  <c r="W34" i="80"/>
  <c r="Y34" i="80"/>
  <c r="Z34" i="80"/>
  <c r="AA34" i="80"/>
  <c r="AB34" i="80"/>
  <c r="AC34" i="80"/>
  <c r="AD34" i="80"/>
  <c r="AE34" i="80"/>
  <c r="AF34" i="80"/>
  <c r="AG34" i="80"/>
  <c r="AH34" i="80"/>
  <c r="AI34" i="80"/>
  <c r="AJ34" i="80"/>
  <c r="AM34" i="80"/>
  <c r="AO34" i="80"/>
  <c r="D35" i="80"/>
  <c r="F35" i="80"/>
  <c r="H35" i="80"/>
  <c r="J35" i="80"/>
  <c r="L35" i="80"/>
  <c r="N35" i="80"/>
  <c r="P35" i="80"/>
  <c r="T35" i="80"/>
  <c r="X35" i="80"/>
  <c r="Z35" i="80"/>
  <c r="AD35" i="80"/>
  <c r="AF35" i="80"/>
  <c r="AJ35" i="80"/>
  <c r="AP35" i="80"/>
  <c r="D36" i="80"/>
  <c r="E36" i="80"/>
  <c r="F36" i="80"/>
  <c r="G36" i="80"/>
  <c r="H36" i="80"/>
  <c r="J36" i="80"/>
  <c r="K36" i="80"/>
  <c r="L36" i="80"/>
  <c r="M36" i="80"/>
  <c r="N36" i="80"/>
  <c r="O36" i="80"/>
  <c r="P36" i="80"/>
  <c r="Q36" i="80"/>
  <c r="S36" i="80"/>
  <c r="U36" i="80"/>
  <c r="W36" i="80"/>
  <c r="Y36" i="80"/>
  <c r="Z36" i="80"/>
  <c r="AA36" i="80"/>
  <c r="AB36" i="80"/>
  <c r="AC36" i="80"/>
  <c r="AD36" i="80"/>
  <c r="AE36" i="80"/>
  <c r="AG36" i="80"/>
  <c r="AI36" i="80"/>
  <c r="AK36" i="80"/>
  <c r="AM36" i="80"/>
  <c r="AN36" i="80"/>
  <c r="AO36" i="80"/>
  <c r="AP36" i="80"/>
  <c r="D37" i="80"/>
  <c r="F37" i="80"/>
  <c r="H37" i="80"/>
  <c r="J37" i="80"/>
  <c r="L37" i="80"/>
  <c r="N37" i="80"/>
  <c r="P37" i="80"/>
  <c r="T37" i="80"/>
  <c r="X37" i="80"/>
  <c r="Z37" i="80"/>
  <c r="AD37" i="80"/>
  <c r="AH37" i="80"/>
  <c r="AN37" i="80"/>
  <c r="D38" i="80"/>
  <c r="E38" i="80"/>
  <c r="F38" i="80"/>
  <c r="G38" i="80"/>
  <c r="H38" i="80"/>
  <c r="I38" i="80"/>
  <c r="J38" i="80"/>
  <c r="K38" i="80"/>
  <c r="L38" i="80"/>
  <c r="M38" i="80"/>
  <c r="N38" i="80"/>
  <c r="O38" i="80"/>
  <c r="P38" i="80"/>
  <c r="S38" i="80"/>
  <c r="U38" i="80"/>
  <c r="W38" i="80"/>
  <c r="Y38" i="80"/>
  <c r="Z38" i="80"/>
  <c r="AA38" i="80"/>
  <c r="AB38" i="80"/>
  <c r="AC38" i="80"/>
  <c r="AD38" i="80"/>
  <c r="AE38" i="80"/>
  <c r="AF38" i="80"/>
  <c r="AG38" i="80"/>
  <c r="AH38" i="80"/>
  <c r="AI38" i="80"/>
  <c r="AJ38" i="80"/>
  <c r="AK38" i="80"/>
  <c r="AK80" i="80" s="1"/>
  <c r="AM38" i="80"/>
  <c r="AM80" i="80" s="1"/>
  <c r="AO38" i="80"/>
  <c r="AO80" i="80" s="1"/>
  <c r="D39" i="80"/>
  <c r="E39" i="80"/>
  <c r="F39" i="80"/>
  <c r="G39" i="80"/>
  <c r="H39" i="80"/>
  <c r="I39" i="80"/>
  <c r="J39" i="80"/>
  <c r="K39" i="80"/>
  <c r="L39" i="80"/>
  <c r="M39" i="80"/>
  <c r="N39" i="80"/>
  <c r="O39" i="80"/>
  <c r="P39" i="80"/>
  <c r="Q39" i="80"/>
  <c r="R39" i="80"/>
  <c r="S39" i="80"/>
  <c r="T39" i="80"/>
  <c r="U39" i="80"/>
  <c r="V39" i="80"/>
  <c r="W39" i="80"/>
  <c r="X39" i="80"/>
  <c r="Y39" i="80"/>
  <c r="AA39" i="80"/>
  <c r="AC39" i="80"/>
  <c r="AE39" i="80"/>
  <c r="AF39" i="80"/>
  <c r="AG39" i="80"/>
  <c r="AH39" i="80"/>
  <c r="AI39" i="80"/>
  <c r="AJ39" i="80"/>
  <c r="AK39" i="80"/>
  <c r="AK81" i="80" s="1"/>
  <c r="AM39" i="80"/>
  <c r="AO39" i="80"/>
  <c r="D40" i="80"/>
  <c r="E40" i="80"/>
  <c r="F40" i="80"/>
  <c r="G40" i="80"/>
  <c r="H40" i="80"/>
  <c r="I40" i="80"/>
  <c r="J40" i="80"/>
  <c r="K40" i="80"/>
  <c r="L40" i="80"/>
  <c r="M40" i="80"/>
  <c r="N40" i="80"/>
  <c r="O40" i="80"/>
  <c r="P40" i="80"/>
  <c r="Q40" i="80"/>
  <c r="S40" i="80"/>
  <c r="U40" i="80"/>
  <c r="W40" i="80"/>
  <c r="Y40" i="80"/>
  <c r="Z40" i="80"/>
  <c r="AA40" i="80"/>
  <c r="AB40" i="80"/>
  <c r="AC40" i="80"/>
  <c r="AD40" i="80"/>
  <c r="AE40" i="80"/>
  <c r="AG40" i="80"/>
  <c r="AI40" i="80"/>
  <c r="AK40" i="80"/>
  <c r="AK82" i="80" s="1"/>
  <c r="AM40" i="80"/>
  <c r="AM82" i="80" s="1"/>
  <c r="AO40" i="80"/>
  <c r="AO82" i="80" s="1"/>
  <c r="D41" i="80"/>
  <c r="E41" i="80"/>
  <c r="F41" i="80"/>
  <c r="G41" i="80"/>
  <c r="H41" i="80"/>
  <c r="I41" i="80"/>
  <c r="J41" i="80"/>
  <c r="K41" i="80"/>
  <c r="L41" i="80"/>
  <c r="M41" i="80"/>
  <c r="N41" i="80"/>
  <c r="O41" i="80"/>
  <c r="P41" i="80"/>
  <c r="Q41" i="80"/>
  <c r="R41" i="80"/>
  <c r="S41" i="80"/>
  <c r="T41" i="80"/>
  <c r="U41" i="80"/>
  <c r="V41" i="80"/>
  <c r="W41" i="80"/>
  <c r="X41" i="80"/>
  <c r="Y41" i="80"/>
  <c r="AA41" i="80"/>
  <c r="AC41" i="80"/>
  <c r="AE41" i="80"/>
  <c r="AG41" i="80"/>
  <c r="AI41" i="80"/>
  <c r="AM41" i="80"/>
  <c r="AN41" i="80"/>
  <c r="AN83" i="80" s="1"/>
  <c r="AO41" i="80"/>
  <c r="AP41" i="80"/>
  <c r="AP83" i="80" s="1"/>
  <c r="D42" i="80"/>
  <c r="E42" i="80"/>
  <c r="F42" i="80"/>
  <c r="G42" i="80"/>
  <c r="H42" i="80"/>
  <c r="I42" i="80"/>
  <c r="J42" i="80"/>
  <c r="K42" i="80"/>
  <c r="L42" i="80"/>
  <c r="M42" i="80"/>
  <c r="N42" i="80"/>
  <c r="O42" i="80"/>
  <c r="P42" i="80"/>
  <c r="Q42" i="80"/>
  <c r="S42" i="80"/>
  <c r="U42" i="80"/>
  <c r="W42" i="80"/>
  <c r="Y42" i="80"/>
  <c r="Z42" i="80"/>
  <c r="AA42" i="80"/>
  <c r="AB42" i="80"/>
  <c r="AC42" i="80"/>
  <c r="AD42" i="80"/>
  <c r="AE42" i="80"/>
  <c r="AF42" i="80"/>
  <c r="AG42" i="80"/>
  <c r="AH42" i="80"/>
  <c r="AI42" i="80"/>
  <c r="AJ42" i="80"/>
  <c r="AL42" i="80"/>
  <c r="AL84" i="80" s="1"/>
  <c r="AM42" i="80"/>
  <c r="AN42" i="80"/>
  <c r="AN84" i="80" s="1"/>
  <c r="AO42" i="80"/>
  <c r="AP42" i="80"/>
  <c r="AP84" i="80" s="1"/>
  <c r="D43" i="80"/>
  <c r="E43" i="80"/>
  <c r="F43" i="80"/>
  <c r="G43" i="80"/>
  <c r="H43" i="80"/>
  <c r="I43" i="80"/>
  <c r="J43" i="80"/>
  <c r="K43" i="80"/>
  <c r="L43" i="80"/>
  <c r="M43" i="80"/>
  <c r="N43" i="80"/>
  <c r="O43" i="80"/>
  <c r="P43" i="80"/>
  <c r="Q43" i="80"/>
  <c r="R43" i="80"/>
  <c r="S43" i="80"/>
  <c r="T43" i="80"/>
  <c r="U43" i="80"/>
  <c r="V43" i="80"/>
  <c r="W43" i="80"/>
  <c r="X43" i="80"/>
  <c r="Y43" i="80"/>
  <c r="AA43" i="80"/>
  <c r="AC43" i="80"/>
  <c r="AE43" i="80"/>
  <c r="AF43" i="80"/>
  <c r="AG43" i="80"/>
  <c r="AH43" i="80"/>
  <c r="AI43" i="80"/>
  <c r="AJ43" i="80"/>
  <c r="AM43" i="80"/>
  <c r="AM85" i="80" s="1"/>
  <c r="AO43" i="80"/>
  <c r="AO85" i="80" s="1"/>
  <c r="D44" i="80"/>
  <c r="E44" i="80"/>
  <c r="F44" i="80"/>
  <c r="G44" i="80"/>
  <c r="H44" i="80"/>
  <c r="I44" i="80"/>
  <c r="J44" i="80"/>
  <c r="K44" i="80"/>
  <c r="L44" i="80"/>
  <c r="M44" i="80"/>
  <c r="N44" i="80"/>
  <c r="O44" i="80"/>
  <c r="P44" i="80"/>
  <c r="Q44" i="80"/>
  <c r="S44" i="80"/>
  <c r="U44" i="80"/>
  <c r="W44" i="80"/>
  <c r="Y44" i="80"/>
  <c r="Z44" i="80"/>
  <c r="AA44" i="80"/>
  <c r="AB44" i="80"/>
  <c r="AC44" i="80"/>
  <c r="AD44" i="80"/>
  <c r="AE44" i="80"/>
  <c r="AG44" i="80"/>
  <c r="AI44" i="80"/>
  <c r="AL44" i="80"/>
  <c r="AL86" i="80" s="1"/>
  <c r="AM44" i="80"/>
  <c r="AN44" i="80"/>
  <c r="AN86" i="80" s="1"/>
  <c r="AO44" i="80"/>
  <c r="AP44" i="80"/>
  <c r="AP86" i="80" s="1"/>
  <c r="D45" i="80"/>
  <c r="D50" i="80" s="1"/>
  <c r="E45" i="80"/>
  <c r="F45" i="80"/>
  <c r="F50" i="80" s="1"/>
  <c r="G45" i="80"/>
  <c r="H45" i="80"/>
  <c r="H50" i="80" s="1"/>
  <c r="I45" i="80"/>
  <c r="J45" i="80"/>
  <c r="K45" i="80"/>
  <c r="L45" i="80"/>
  <c r="M45" i="80"/>
  <c r="N45" i="80"/>
  <c r="O45" i="80"/>
  <c r="P45" i="80"/>
  <c r="Q45" i="80"/>
  <c r="R45" i="80"/>
  <c r="S45" i="80"/>
  <c r="T45" i="80"/>
  <c r="U45" i="80"/>
  <c r="V45" i="80"/>
  <c r="W45" i="80"/>
  <c r="X45" i="80"/>
  <c r="Y45" i="80"/>
  <c r="AA45" i="80"/>
  <c r="AC45" i="80"/>
  <c r="AE45" i="80"/>
  <c r="AG45" i="80"/>
  <c r="AI45" i="80"/>
  <c r="AK45" i="80"/>
  <c r="AK87" i="80" s="1"/>
  <c r="AM45" i="80"/>
  <c r="AN45" i="80"/>
  <c r="AO45" i="80"/>
  <c r="AP45" i="80"/>
  <c r="D46" i="80"/>
  <c r="E46" i="80"/>
  <c r="F46" i="80"/>
  <c r="G46" i="80"/>
  <c r="H46" i="80"/>
  <c r="I46" i="80"/>
  <c r="J46" i="80"/>
  <c r="K46" i="80"/>
  <c r="L46" i="80"/>
  <c r="M46" i="80"/>
  <c r="N46" i="80"/>
  <c r="O46" i="80"/>
  <c r="P46" i="80"/>
  <c r="Q46" i="80"/>
  <c r="S46" i="80"/>
  <c r="U46" i="80"/>
  <c r="W46" i="80"/>
  <c r="Y46" i="80"/>
  <c r="Z46" i="80"/>
  <c r="AA46" i="80"/>
  <c r="AB46" i="80"/>
  <c r="AC46" i="80"/>
  <c r="AD46" i="80"/>
  <c r="AE46" i="80"/>
  <c r="AF46" i="80"/>
  <c r="AG46" i="80"/>
  <c r="AH46" i="80"/>
  <c r="AI46" i="80"/>
  <c r="AJ46" i="80"/>
  <c r="AK46" i="80"/>
  <c r="AK88" i="80" s="1"/>
  <c r="AM46" i="80"/>
  <c r="AM88" i="80" s="1"/>
  <c r="AO46" i="80"/>
  <c r="AO88" i="80" s="1"/>
  <c r="D47" i="80"/>
  <c r="E47" i="80"/>
  <c r="F47" i="80"/>
  <c r="G47" i="80"/>
  <c r="H47" i="80"/>
  <c r="I47" i="80"/>
  <c r="J47" i="80"/>
  <c r="K47" i="80"/>
  <c r="L47" i="80"/>
  <c r="M47" i="80"/>
  <c r="N47" i="80"/>
  <c r="O47" i="80"/>
  <c r="P47" i="80"/>
  <c r="Q47" i="80"/>
  <c r="R47" i="80"/>
  <c r="S47" i="80"/>
  <c r="T47" i="80"/>
  <c r="U47" i="80"/>
  <c r="V47" i="80"/>
  <c r="W47" i="80"/>
  <c r="X47" i="80"/>
  <c r="Y47" i="80"/>
  <c r="AA47" i="80"/>
  <c r="AC47" i="80"/>
  <c r="AE47" i="80"/>
  <c r="AF47" i="80"/>
  <c r="AG47" i="80"/>
  <c r="AH47" i="80"/>
  <c r="AI47" i="80"/>
  <c r="AJ47" i="80"/>
  <c r="AK47" i="80"/>
  <c r="AK89" i="80" s="1"/>
  <c r="AM47" i="80"/>
  <c r="AO47" i="80"/>
  <c r="D48" i="80"/>
  <c r="E48" i="80"/>
  <c r="F48" i="80"/>
  <c r="G48" i="80"/>
  <c r="H48" i="80"/>
  <c r="I48" i="80"/>
  <c r="J48" i="80"/>
  <c r="K48" i="80"/>
  <c r="L48" i="80"/>
  <c r="M48" i="80"/>
  <c r="N48" i="80"/>
  <c r="O48" i="80"/>
  <c r="P48" i="80"/>
  <c r="Q48" i="80"/>
  <c r="S48" i="80"/>
  <c r="U48" i="80"/>
  <c r="W48" i="80"/>
  <c r="Y48" i="80"/>
  <c r="Z48" i="80"/>
  <c r="AA48" i="80"/>
  <c r="AB48" i="80"/>
  <c r="AC48" i="80"/>
  <c r="AD48" i="80"/>
  <c r="AE48" i="80"/>
  <c r="AG48" i="80"/>
  <c r="AI48" i="80"/>
  <c r="AK48" i="80"/>
  <c r="AK90" i="80" s="1"/>
  <c r="AM48" i="80"/>
  <c r="AM90" i="80" s="1"/>
  <c r="AO48" i="80"/>
  <c r="AO90" i="80" s="1"/>
  <c r="D49" i="80"/>
  <c r="E49" i="80"/>
  <c r="F49" i="80"/>
  <c r="G49" i="80"/>
  <c r="H49" i="80"/>
  <c r="I49" i="80"/>
  <c r="J49" i="80"/>
  <c r="K49" i="80"/>
  <c r="L49" i="80"/>
  <c r="M49" i="80"/>
  <c r="N49" i="80"/>
  <c r="O49" i="80"/>
  <c r="P49" i="80"/>
  <c r="Q49" i="80"/>
  <c r="R49" i="80"/>
  <c r="S49" i="80"/>
  <c r="T49" i="80"/>
  <c r="U49" i="80"/>
  <c r="V49" i="80"/>
  <c r="W49" i="80"/>
  <c r="X49" i="80"/>
  <c r="Y49" i="80"/>
  <c r="AA49" i="80"/>
  <c r="AC49" i="80"/>
  <c r="AE49" i="80"/>
  <c r="AG49" i="80"/>
  <c r="AI49" i="80"/>
  <c r="AM49" i="80"/>
  <c r="AN49" i="80"/>
  <c r="AN91" i="80" s="1"/>
  <c r="AO49" i="80"/>
  <c r="AP49" i="80"/>
  <c r="AP91" i="80" s="1"/>
  <c r="D52" i="80"/>
  <c r="E52" i="80"/>
  <c r="F52" i="80"/>
  <c r="G52" i="80"/>
  <c r="H52" i="80"/>
  <c r="I52" i="80"/>
  <c r="J52" i="80"/>
  <c r="K52" i="80"/>
  <c r="L52" i="80"/>
  <c r="M52" i="80"/>
  <c r="N52" i="80"/>
  <c r="O52" i="80"/>
  <c r="P52" i="80"/>
  <c r="Q52" i="80"/>
  <c r="R52" i="80"/>
  <c r="S52" i="80"/>
  <c r="T52" i="80"/>
  <c r="U52" i="80"/>
  <c r="U71" i="80" s="1"/>
  <c r="V52" i="80"/>
  <c r="W52" i="80"/>
  <c r="X52" i="80"/>
  <c r="Y52" i="80"/>
  <c r="Z52" i="80"/>
  <c r="Z94" i="80" s="1"/>
  <c r="AA52" i="80"/>
  <c r="AB52" i="80"/>
  <c r="AB94" i="80" s="1"/>
  <c r="AC52" i="80"/>
  <c r="AD52" i="80"/>
  <c r="AD94" i="80" s="1"/>
  <c r="AE52" i="80"/>
  <c r="AF52" i="80"/>
  <c r="AG52" i="80"/>
  <c r="AH52" i="80"/>
  <c r="AI52" i="80"/>
  <c r="AJ52" i="80"/>
  <c r="AL52" i="80"/>
  <c r="AL94" i="80" s="1"/>
  <c r="AM52" i="80"/>
  <c r="AN52" i="80"/>
  <c r="AN94" i="80" s="1"/>
  <c r="AO52" i="80"/>
  <c r="AP52" i="80"/>
  <c r="AP94" i="80" s="1"/>
  <c r="D53" i="80"/>
  <c r="E53" i="80"/>
  <c r="F53" i="80"/>
  <c r="G53" i="80"/>
  <c r="H53" i="80"/>
  <c r="I53" i="80"/>
  <c r="J53" i="80"/>
  <c r="K53" i="80"/>
  <c r="L53" i="80"/>
  <c r="M53" i="80"/>
  <c r="N53" i="80"/>
  <c r="O53" i="80"/>
  <c r="P53" i="80"/>
  <c r="Q53" i="80"/>
  <c r="R53" i="80"/>
  <c r="S53" i="80"/>
  <c r="T53" i="80"/>
  <c r="U53" i="80"/>
  <c r="V53" i="80"/>
  <c r="W53" i="80"/>
  <c r="X53" i="80"/>
  <c r="Y53" i="80"/>
  <c r="AA53" i="80"/>
  <c r="AA95" i="80" s="1"/>
  <c r="AC53" i="80"/>
  <c r="AC95" i="80" s="1"/>
  <c r="AE53" i="80"/>
  <c r="AF53" i="80"/>
  <c r="AG53" i="80"/>
  <c r="AH53" i="80"/>
  <c r="AI53" i="80"/>
  <c r="AJ53" i="80"/>
  <c r="AM53" i="80"/>
  <c r="AM71" i="80" s="1"/>
  <c r="AO53" i="80"/>
  <c r="D54" i="80"/>
  <c r="E54" i="80"/>
  <c r="F54" i="80"/>
  <c r="G54" i="80"/>
  <c r="H54" i="80"/>
  <c r="I54" i="80"/>
  <c r="J54" i="80"/>
  <c r="K54" i="80"/>
  <c r="L54" i="80"/>
  <c r="M54" i="80"/>
  <c r="N54" i="80"/>
  <c r="O54" i="80"/>
  <c r="P54" i="80"/>
  <c r="Q54" i="80"/>
  <c r="R54" i="80"/>
  <c r="S54" i="80"/>
  <c r="T54" i="80"/>
  <c r="U54" i="80"/>
  <c r="V54" i="80"/>
  <c r="W54" i="80"/>
  <c r="X54" i="80"/>
  <c r="Y54" i="80"/>
  <c r="Z54" i="80"/>
  <c r="Z96" i="80" s="1"/>
  <c r="AA54" i="80"/>
  <c r="AB54" i="80"/>
  <c r="AB96" i="80" s="1"/>
  <c r="AC54" i="80"/>
  <c r="AD54" i="80"/>
  <c r="AD96" i="80" s="1"/>
  <c r="AE54" i="80"/>
  <c r="AG54" i="80"/>
  <c r="AG96" i="80" s="1"/>
  <c r="AI54" i="80"/>
  <c r="AI96" i="80" s="1"/>
  <c r="AL54" i="80"/>
  <c r="AL96" i="80" s="1"/>
  <c r="AM54" i="80"/>
  <c r="AN54" i="80"/>
  <c r="AN96" i="80" s="1"/>
  <c r="AO54" i="80"/>
  <c r="AP54" i="80"/>
  <c r="AP96" i="80" s="1"/>
  <c r="D55" i="80"/>
  <c r="E55" i="80"/>
  <c r="F55" i="80"/>
  <c r="G55" i="80"/>
  <c r="H55" i="80"/>
  <c r="I55" i="80"/>
  <c r="J55" i="80"/>
  <c r="K55" i="80"/>
  <c r="L55" i="80"/>
  <c r="M55" i="80"/>
  <c r="N55" i="80"/>
  <c r="O55" i="80"/>
  <c r="P55" i="80"/>
  <c r="Q55" i="80"/>
  <c r="R55" i="80"/>
  <c r="S55" i="80"/>
  <c r="T55" i="80"/>
  <c r="U55" i="80"/>
  <c r="V55" i="80"/>
  <c r="W55" i="80"/>
  <c r="X55" i="80"/>
  <c r="Y55" i="80"/>
  <c r="AA55" i="80"/>
  <c r="AA97" i="80" s="1"/>
  <c r="AC55" i="80"/>
  <c r="AC97" i="80" s="1"/>
  <c r="AE55" i="80"/>
  <c r="AG55" i="80"/>
  <c r="AG97" i="80" s="1"/>
  <c r="AI55" i="80"/>
  <c r="AI97" i="80" s="1"/>
  <c r="AK55" i="80"/>
  <c r="AK97" i="80" s="1"/>
  <c r="AM55" i="80"/>
  <c r="AN55" i="80"/>
  <c r="AO55" i="80"/>
  <c r="AP55" i="80"/>
  <c r="D56" i="80"/>
  <c r="E56" i="80"/>
  <c r="F56" i="80"/>
  <c r="G56" i="80"/>
  <c r="H56" i="80"/>
  <c r="I56" i="80"/>
  <c r="J56" i="80"/>
  <c r="K56" i="80"/>
  <c r="L56" i="80"/>
  <c r="M56" i="80"/>
  <c r="N56" i="80"/>
  <c r="O56" i="80"/>
  <c r="P56" i="80"/>
  <c r="Q56" i="80"/>
  <c r="R56" i="80"/>
  <c r="S56" i="80"/>
  <c r="T56" i="80"/>
  <c r="U56" i="80"/>
  <c r="V56" i="80"/>
  <c r="W56" i="80"/>
  <c r="X56" i="80"/>
  <c r="Y56" i="80"/>
  <c r="Z56" i="80"/>
  <c r="Z98" i="80" s="1"/>
  <c r="AA56" i="80"/>
  <c r="AB56" i="80"/>
  <c r="AB98" i="80" s="1"/>
  <c r="AC56" i="80"/>
  <c r="AD56" i="80"/>
  <c r="AD98" i="80" s="1"/>
  <c r="AE56" i="80"/>
  <c r="AF56" i="80"/>
  <c r="AG56" i="80"/>
  <c r="AH56" i="80"/>
  <c r="AI56" i="80"/>
  <c r="AJ56" i="80"/>
  <c r="AK56" i="80"/>
  <c r="AM56" i="80"/>
  <c r="AO56" i="80"/>
  <c r="D57" i="80"/>
  <c r="E57" i="80"/>
  <c r="F57" i="80"/>
  <c r="G57" i="80"/>
  <c r="H57" i="80"/>
  <c r="I57" i="80"/>
  <c r="J57" i="80"/>
  <c r="K57" i="80"/>
  <c r="L57" i="80"/>
  <c r="M57" i="80"/>
  <c r="N57" i="80"/>
  <c r="O57" i="80"/>
  <c r="P57" i="80"/>
  <c r="Q57" i="80"/>
  <c r="R57" i="80"/>
  <c r="S57" i="80"/>
  <c r="T57" i="80"/>
  <c r="U57" i="80"/>
  <c r="V57" i="80"/>
  <c r="W57" i="80"/>
  <c r="X57" i="80"/>
  <c r="Y57" i="80"/>
  <c r="AA57" i="80"/>
  <c r="AA99" i="80" s="1"/>
  <c r="AC57" i="80"/>
  <c r="AC99" i="80" s="1"/>
  <c r="AE57" i="80"/>
  <c r="AF57" i="80"/>
  <c r="AG57" i="80"/>
  <c r="AH57" i="80"/>
  <c r="AI57" i="80"/>
  <c r="AJ57" i="80"/>
  <c r="AK57" i="80"/>
  <c r="AK99" i="80" s="1"/>
  <c r="AM57" i="80"/>
  <c r="AO57" i="80"/>
  <c r="D58" i="80"/>
  <c r="E58" i="80"/>
  <c r="F58" i="80"/>
  <c r="G58" i="80"/>
  <c r="H58" i="80"/>
  <c r="I58" i="80"/>
  <c r="J58" i="80"/>
  <c r="K58" i="80"/>
  <c r="L58" i="80"/>
  <c r="M58" i="80"/>
  <c r="N58" i="80"/>
  <c r="O58" i="80"/>
  <c r="P58" i="80"/>
  <c r="Q58" i="80"/>
  <c r="R58" i="80"/>
  <c r="S58" i="80"/>
  <c r="T58" i="80"/>
  <c r="U58" i="80"/>
  <c r="V58" i="80"/>
  <c r="W58" i="80"/>
  <c r="X58" i="80"/>
  <c r="Y58" i="80"/>
  <c r="Z58" i="80"/>
  <c r="Z100" i="80" s="1"/>
  <c r="AA58" i="80"/>
  <c r="AB58" i="80"/>
  <c r="AB100" i="80" s="1"/>
  <c r="AC58" i="80"/>
  <c r="AD58" i="80"/>
  <c r="AD100" i="80" s="1"/>
  <c r="AE58" i="80"/>
  <c r="AG58" i="80"/>
  <c r="AG100" i="80" s="1"/>
  <c r="AI58" i="80"/>
  <c r="AI100" i="80" s="1"/>
  <c r="AK58" i="80"/>
  <c r="AK100" i="80" s="1"/>
  <c r="AM58" i="80"/>
  <c r="AO58" i="80"/>
  <c r="D59" i="80"/>
  <c r="E59" i="80"/>
  <c r="F59" i="80"/>
  <c r="G59" i="80"/>
  <c r="H59" i="80"/>
  <c r="I59" i="80"/>
  <c r="J59" i="80"/>
  <c r="K59" i="80"/>
  <c r="L59" i="80"/>
  <c r="M59" i="80"/>
  <c r="N59" i="80"/>
  <c r="O59" i="80"/>
  <c r="P59" i="80"/>
  <c r="Q59" i="80"/>
  <c r="R59" i="80"/>
  <c r="S59" i="80"/>
  <c r="T59" i="80"/>
  <c r="U59" i="80"/>
  <c r="V59" i="80"/>
  <c r="W59" i="80"/>
  <c r="X59" i="80"/>
  <c r="Y59" i="80"/>
  <c r="AA59" i="80"/>
  <c r="AA101" i="80" s="1"/>
  <c r="AC59" i="80"/>
  <c r="AC101" i="80" s="1"/>
  <c r="AE59" i="80"/>
  <c r="AG59" i="80"/>
  <c r="AG101" i="80" s="1"/>
  <c r="AI59" i="80"/>
  <c r="AI101" i="80" s="1"/>
  <c r="AM59" i="80"/>
  <c r="AN59" i="80"/>
  <c r="AO59" i="80"/>
  <c r="AP59" i="80"/>
  <c r="D60" i="80"/>
  <c r="E60" i="80"/>
  <c r="F60" i="80"/>
  <c r="G60" i="80"/>
  <c r="H60" i="80"/>
  <c r="I60" i="80"/>
  <c r="J60" i="80"/>
  <c r="K60" i="80"/>
  <c r="L60" i="80"/>
  <c r="M60" i="80"/>
  <c r="N60" i="80"/>
  <c r="O60" i="80"/>
  <c r="P60" i="80"/>
  <c r="Q60" i="80"/>
  <c r="R60" i="80"/>
  <c r="S60" i="80"/>
  <c r="T60" i="80"/>
  <c r="U60" i="80"/>
  <c r="V60" i="80"/>
  <c r="W60" i="80"/>
  <c r="X60" i="80"/>
  <c r="Y60" i="80"/>
  <c r="Z60" i="80"/>
  <c r="Z102" i="80" s="1"/>
  <c r="AA60" i="80"/>
  <c r="AB60" i="80"/>
  <c r="AB102" i="80" s="1"/>
  <c r="AC60" i="80"/>
  <c r="AD60" i="80"/>
  <c r="AD102" i="80" s="1"/>
  <c r="AE60" i="80"/>
  <c r="AF60" i="80"/>
  <c r="AG60" i="80"/>
  <c r="AH60" i="80"/>
  <c r="AI60" i="80"/>
  <c r="AJ60" i="80"/>
  <c r="AL60" i="80"/>
  <c r="AL102" i="80" s="1"/>
  <c r="AM60" i="80"/>
  <c r="AN60" i="80"/>
  <c r="AO60" i="80"/>
  <c r="AP60" i="80"/>
  <c r="D61" i="80"/>
  <c r="E61" i="80"/>
  <c r="F61" i="80"/>
  <c r="G61" i="80"/>
  <c r="H61" i="80"/>
  <c r="I61" i="80"/>
  <c r="J61" i="80"/>
  <c r="K61" i="80"/>
  <c r="L61" i="80"/>
  <c r="M61" i="80"/>
  <c r="N61" i="80"/>
  <c r="O61" i="80"/>
  <c r="P61" i="80"/>
  <c r="Q61" i="80"/>
  <c r="R61" i="80"/>
  <c r="S61" i="80"/>
  <c r="T61" i="80"/>
  <c r="U61" i="80"/>
  <c r="V61" i="80"/>
  <c r="W61" i="80"/>
  <c r="X61" i="80"/>
  <c r="Y61" i="80"/>
  <c r="AA61" i="80"/>
  <c r="AA103" i="80" s="1"/>
  <c r="AC61" i="80"/>
  <c r="AC103" i="80" s="1"/>
  <c r="AE61" i="80"/>
  <c r="AF61" i="80"/>
  <c r="AG61" i="80"/>
  <c r="AH61" i="80"/>
  <c r="AI61" i="80"/>
  <c r="AJ61" i="80"/>
  <c r="AM61" i="80"/>
  <c r="AM103" i="80" s="1"/>
  <c r="AO61" i="80"/>
  <c r="AO103" i="80" s="1"/>
  <c r="D62" i="80"/>
  <c r="E62" i="80"/>
  <c r="F62" i="80"/>
  <c r="G62" i="80"/>
  <c r="H62" i="80"/>
  <c r="I62" i="80"/>
  <c r="J62" i="80"/>
  <c r="K62" i="80"/>
  <c r="L62" i="80"/>
  <c r="M62" i="80"/>
  <c r="N62" i="80"/>
  <c r="O62" i="80"/>
  <c r="P62" i="80"/>
  <c r="Q62" i="80"/>
  <c r="R62" i="80"/>
  <c r="S62" i="80"/>
  <c r="T62" i="80"/>
  <c r="U62" i="80"/>
  <c r="V62" i="80"/>
  <c r="W62" i="80"/>
  <c r="X62" i="80"/>
  <c r="Y62" i="80"/>
  <c r="Z62" i="80"/>
  <c r="Z104" i="80" s="1"/>
  <c r="AA62" i="80"/>
  <c r="AB62" i="80"/>
  <c r="AB104" i="80" s="1"/>
  <c r="AC62" i="80"/>
  <c r="AD62" i="80"/>
  <c r="AD104" i="80" s="1"/>
  <c r="AE62" i="80"/>
  <c r="AG62" i="80"/>
  <c r="AG104" i="80" s="1"/>
  <c r="AI62" i="80"/>
  <c r="AI104" i="80" s="1"/>
  <c r="AL62" i="80"/>
  <c r="AM62" i="80"/>
  <c r="AN62" i="80"/>
  <c r="AO62" i="80"/>
  <c r="AP62" i="80"/>
  <c r="D63" i="80"/>
  <c r="E63" i="80"/>
  <c r="F63" i="80"/>
  <c r="G63" i="80"/>
  <c r="H63" i="80"/>
  <c r="I63" i="80"/>
  <c r="J63" i="80"/>
  <c r="K63" i="80"/>
  <c r="L63" i="80"/>
  <c r="M63" i="80"/>
  <c r="N63" i="80"/>
  <c r="O63" i="80"/>
  <c r="P63" i="80"/>
  <c r="Q63" i="80"/>
  <c r="R63" i="80"/>
  <c r="S63" i="80"/>
  <c r="T63" i="80"/>
  <c r="U63" i="80"/>
  <c r="V63" i="80"/>
  <c r="W63" i="80"/>
  <c r="X63" i="80"/>
  <c r="Y63" i="80"/>
  <c r="AA63" i="80"/>
  <c r="AA105" i="80" s="1"/>
  <c r="AC63" i="80"/>
  <c r="AC105" i="80" s="1"/>
  <c r="AE63" i="80"/>
  <c r="AG63" i="80"/>
  <c r="AG105" i="80" s="1"/>
  <c r="AI63" i="80"/>
  <c r="AI105" i="80" s="1"/>
  <c r="AK63" i="80"/>
  <c r="AK105" i="80" s="1"/>
  <c r="AM63" i="80"/>
  <c r="AN63" i="80"/>
  <c r="AN105" i="80" s="1"/>
  <c r="AO63" i="80"/>
  <c r="AP63" i="80"/>
  <c r="AP105" i="80" s="1"/>
  <c r="D64" i="80"/>
  <c r="E64" i="80"/>
  <c r="F64" i="80"/>
  <c r="G64" i="80"/>
  <c r="H64" i="80"/>
  <c r="I64" i="80"/>
  <c r="J64" i="80"/>
  <c r="K64" i="80"/>
  <c r="L64" i="80"/>
  <c r="M64" i="80"/>
  <c r="N64" i="80"/>
  <c r="O64" i="80"/>
  <c r="P64" i="80"/>
  <c r="Q64" i="80"/>
  <c r="R64" i="80"/>
  <c r="S64" i="80"/>
  <c r="T64" i="80"/>
  <c r="U64" i="80"/>
  <c r="V64" i="80"/>
  <c r="W64" i="80"/>
  <c r="X64" i="80"/>
  <c r="Y64" i="80"/>
  <c r="Z64" i="80"/>
  <c r="Z106" i="80" s="1"/>
  <c r="AA64" i="80"/>
  <c r="AB64" i="80"/>
  <c r="AB106" i="80" s="1"/>
  <c r="AC64" i="80"/>
  <c r="AD64" i="80"/>
  <c r="AD106" i="80" s="1"/>
  <c r="AE64" i="80"/>
  <c r="AF64" i="80"/>
  <c r="AG64" i="80"/>
  <c r="AH64" i="80"/>
  <c r="AI64" i="80"/>
  <c r="AJ64" i="80"/>
  <c r="AK64" i="80"/>
  <c r="AM64" i="80"/>
  <c r="AM106" i="80" s="1"/>
  <c r="AO64" i="80"/>
  <c r="AO106" i="80" s="1"/>
  <c r="D65" i="80"/>
  <c r="E65" i="80"/>
  <c r="F65" i="80"/>
  <c r="G65" i="80"/>
  <c r="H65" i="80"/>
  <c r="I65" i="80"/>
  <c r="J65" i="80"/>
  <c r="K65" i="80"/>
  <c r="L65" i="80"/>
  <c r="M65" i="80"/>
  <c r="N65" i="80"/>
  <c r="O65" i="80"/>
  <c r="P65" i="80"/>
  <c r="Q65" i="80"/>
  <c r="R65" i="80"/>
  <c r="S65" i="80"/>
  <c r="T65" i="80"/>
  <c r="U65" i="80"/>
  <c r="V65" i="80"/>
  <c r="W65" i="80"/>
  <c r="X65" i="80"/>
  <c r="Y65" i="80"/>
  <c r="AA65" i="80"/>
  <c r="AA107" i="80" s="1"/>
  <c r="AC65" i="80"/>
  <c r="AC107" i="80" s="1"/>
  <c r="AE65" i="80"/>
  <c r="AF65" i="80"/>
  <c r="AG65" i="80"/>
  <c r="AH65" i="80"/>
  <c r="AI65" i="80"/>
  <c r="AJ65" i="80"/>
  <c r="AK65" i="80"/>
  <c r="AK107" i="80" s="1"/>
  <c r="AM65" i="80"/>
  <c r="AM107" i="80" s="1"/>
  <c r="AO65" i="80"/>
  <c r="AO107" i="80" s="1"/>
  <c r="D66" i="80"/>
  <c r="E66" i="80"/>
  <c r="F66" i="80"/>
  <c r="G66" i="80"/>
  <c r="H66" i="80"/>
  <c r="I66" i="80"/>
  <c r="J66" i="80"/>
  <c r="K66" i="80"/>
  <c r="L66" i="80"/>
  <c r="M66" i="80"/>
  <c r="N66" i="80"/>
  <c r="O66" i="80"/>
  <c r="P66" i="80"/>
  <c r="Q66" i="80"/>
  <c r="R66" i="80"/>
  <c r="S66" i="80"/>
  <c r="T66" i="80"/>
  <c r="U66" i="80"/>
  <c r="V66" i="80"/>
  <c r="W66" i="80"/>
  <c r="X66" i="80"/>
  <c r="Y66" i="80"/>
  <c r="Z66" i="80"/>
  <c r="Z108" i="80" s="1"/>
  <c r="AA66" i="80"/>
  <c r="AB66" i="80"/>
  <c r="AB108" i="80" s="1"/>
  <c r="AC66" i="80"/>
  <c r="AD66" i="80"/>
  <c r="AD108" i="80" s="1"/>
  <c r="AE66" i="80"/>
  <c r="AG66" i="80"/>
  <c r="AG108" i="80" s="1"/>
  <c r="AI66" i="80"/>
  <c r="AI108" i="80" s="1"/>
  <c r="AK66" i="80"/>
  <c r="AK108" i="80" s="1"/>
  <c r="AM66" i="80"/>
  <c r="AM108" i="80" s="1"/>
  <c r="AO66" i="80"/>
  <c r="AO108" i="80" s="1"/>
  <c r="D67" i="80"/>
  <c r="E67" i="80"/>
  <c r="F67" i="80"/>
  <c r="G67" i="80"/>
  <c r="H67" i="80"/>
  <c r="I67" i="80"/>
  <c r="J67" i="80"/>
  <c r="K67" i="80"/>
  <c r="L67" i="80"/>
  <c r="M67" i="80"/>
  <c r="N67" i="80"/>
  <c r="O67" i="80"/>
  <c r="P67" i="80"/>
  <c r="Q67" i="80"/>
  <c r="R67" i="80"/>
  <c r="S67" i="80"/>
  <c r="T67" i="80"/>
  <c r="U67" i="80"/>
  <c r="V67" i="80"/>
  <c r="W67" i="80"/>
  <c r="X67" i="80"/>
  <c r="Y67" i="80"/>
  <c r="Z67" i="80"/>
  <c r="AA67" i="80"/>
  <c r="AA109" i="80" s="1"/>
  <c r="AB67" i="80"/>
  <c r="AC67" i="80"/>
  <c r="AC109" i="80" s="1"/>
  <c r="AD67" i="80"/>
  <c r="AE67" i="80"/>
  <c r="AF67" i="80"/>
  <c r="AF109" i="80" s="1"/>
  <c r="AG67" i="80"/>
  <c r="AH67" i="80"/>
  <c r="AH109" i="80" s="1"/>
  <c r="AI67" i="80"/>
  <c r="AJ67" i="80"/>
  <c r="AJ109" i="80" s="1"/>
  <c r="AM67" i="80"/>
  <c r="AN67" i="80"/>
  <c r="AO67" i="80"/>
  <c r="AP67" i="80"/>
  <c r="D68" i="80"/>
  <c r="E68" i="80"/>
  <c r="F68" i="80"/>
  <c r="G68" i="80"/>
  <c r="H68" i="80"/>
  <c r="I68" i="80"/>
  <c r="J68" i="80"/>
  <c r="K68" i="80"/>
  <c r="K71" i="80" s="1"/>
  <c r="L68" i="80"/>
  <c r="M68" i="80"/>
  <c r="N68" i="80"/>
  <c r="O68" i="80"/>
  <c r="O71" i="80" s="1"/>
  <c r="P68" i="80"/>
  <c r="Q68" i="80"/>
  <c r="R68" i="80"/>
  <c r="S68" i="80"/>
  <c r="T68" i="80"/>
  <c r="U68" i="80"/>
  <c r="V68" i="80"/>
  <c r="W68" i="80"/>
  <c r="X68" i="80"/>
  <c r="Y68" i="80"/>
  <c r="Z68" i="80"/>
  <c r="Z110" i="80" s="1"/>
  <c r="AA68" i="80"/>
  <c r="AB68" i="80"/>
  <c r="AB110" i="80" s="1"/>
  <c r="AC68" i="80"/>
  <c r="AD68" i="80"/>
  <c r="AD110" i="80" s="1"/>
  <c r="AE68" i="80"/>
  <c r="AG68" i="80"/>
  <c r="AI68" i="80"/>
  <c r="AK68" i="80"/>
  <c r="AK110" i="80" s="1"/>
  <c r="AM68" i="80"/>
  <c r="AO68" i="80"/>
  <c r="D69" i="80"/>
  <c r="E69" i="80"/>
  <c r="E71" i="80" s="1"/>
  <c r="F69" i="80"/>
  <c r="G69" i="80"/>
  <c r="H69" i="80"/>
  <c r="I69" i="80"/>
  <c r="I71" i="80" s="1"/>
  <c r="J69" i="80"/>
  <c r="K69" i="80"/>
  <c r="L69" i="80"/>
  <c r="M69" i="80"/>
  <c r="N69" i="80"/>
  <c r="O69" i="80"/>
  <c r="P69" i="80"/>
  <c r="Q69" i="80"/>
  <c r="R69" i="80"/>
  <c r="S69" i="80"/>
  <c r="T69" i="80"/>
  <c r="U69" i="80"/>
  <c r="V69" i="80"/>
  <c r="W69" i="80"/>
  <c r="X69" i="80"/>
  <c r="Y69" i="80"/>
  <c r="Z69" i="80"/>
  <c r="AA69" i="80"/>
  <c r="AA111" i="80" s="1"/>
  <c r="AB69" i="80"/>
  <c r="AC69" i="80"/>
  <c r="AC111" i="80" s="1"/>
  <c r="AD69" i="80"/>
  <c r="AE69" i="80"/>
  <c r="AF69" i="80"/>
  <c r="AG69" i="80"/>
  <c r="AH69" i="80"/>
  <c r="AI69" i="80"/>
  <c r="AJ69" i="80"/>
  <c r="AK69" i="80"/>
  <c r="AK111" i="80" s="1"/>
  <c r="AL69" i="80"/>
  <c r="AL111" i="80" s="1"/>
  <c r="AM69" i="80"/>
  <c r="AN69" i="80"/>
  <c r="AN111" i="80" s="1"/>
  <c r="AO69" i="80"/>
  <c r="AP69" i="80"/>
  <c r="AP111" i="80" s="1"/>
  <c r="D70" i="80"/>
  <c r="E70" i="80"/>
  <c r="F70" i="80"/>
  <c r="G70" i="80"/>
  <c r="H70" i="80"/>
  <c r="I70" i="80"/>
  <c r="J70" i="80"/>
  <c r="K70" i="80"/>
  <c r="L70" i="80"/>
  <c r="M70" i="80"/>
  <c r="N70" i="80"/>
  <c r="O70" i="80"/>
  <c r="P70" i="80"/>
  <c r="Q70" i="80"/>
  <c r="R70" i="80"/>
  <c r="S70" i="80"/>
  <c r="T70" i="80"/>
  <c r="U70" i="80"/>
  <c r="V70" i="80"/>
  <c r="W70" i="80"/>
  <c r="X70" i="80"/>
  <c r="Y70" i="80"/>
  <c r="Z70" i="80"/>
  <c r="Z112" i="80" s="1"/>
  <c r="AA70" i="80"/>
  <c r="AB70" i="80"/>
  <c r="AB112" i="80" s="1"/>
  <c r="AC70" i="80"/>
  <c r="AD70" i="80"/>
  <c r="AD112" i="80" s="1"/>
  <c r="AE70" i="80"/>
  <c r="AF70" i="80"/>
  <c r="AG70" i="80"/>
  <c r="AG112" i="80" s="1"/>
  <c r="AH70" i="80"/>
  <c r="AI70" i="80"/>
  <c r="AI112" i="80" s="1"/>
  <c r="AJ70" i="80"/>
  <c r="AM70" i="80"/>
  <c r="AO70" i="80"/>
  <c r="G71" i="80"/>
  <c r="M71" i="80"/>
  <c r="Q71" i="80"/>
  <c r="W71" i="80"/>
  <c r="Y71" i="80"/>
  <c r="AC71" i="80"/>
  <c r="AE71" i="80"/>
  <c r="AO71" i="80"/>
  <c r="I80" i="80"/>
  <c r="J80" i="80"/>
  <c r="K80" i="80"/>
  <c r="L80" i="80"/>
  <c r="M80" i="80"/>
  <c r="N80" i="80"/>
  <c r="O80" i="80"/>
  <c r="P80" i="80"/>
  <c r="S80" i="80"/>
  <c r="U80" i="80"/>
  <c r="W80" i="80"/>
  <c r="Y80" i="80"/>
  <c r="Z80" i="80"/>
  <c r="AA80" i="80"/>
  <c r="AB80" i="80"/>
  <c r="AC80" i="80"/>
  <c r="AD80" i="80"/>
  <c r="AE80" i="80"/>
  <c r="AF80" i="80"/>
  <c r="AG80" i="80"/>
  <c r="AH80" i="80"/>
  <c r="AI80" i="80"/>
  <c r="AJ80" i="80"/>
  <c r="D81" i="80"/>
  <c r="E81" i="80"/>
  <c r="F81" i="80"/>
  <c r="G81" i="80"/>
  <c r="H81" i="80"/>
  <c r="I81" i="80"/>
  <c r="J81" i="80"/>
  <c r="K81" i="80"/>
  <c r="L81" i="80"/>
  <c r="M81" i="80"/>
  <c r="N81" i="80"/>
  <c r="O81" i="80"/>
  <c r="P81" i="80"/>
  <c r="Q81" i="80"/>
  <c r="R81" i="80"/>
  <c r="S81" i="80"/>
  <c r="T81" i="80"/>
  <c r="U81" i="80"/>
  <c r="V81" i="80"/>
  <c r="W81" i="80"/>
  <c r="X81" i="80"/>
  <c r="Y81" i="80"/>
  <c r="AA81" i="80"/>
  <c r="AC81" i="80"/>
  <c r="AE81" i="80"/>
  <c r="AF81" i="80"/>
  <c r="AG81" i="80"/>
  <c r="AH81" i="80"/>
  <c r="AI81" i="80"/>
  <c r="AJ81" i="80"/>
  <c r="AM81" i="80"/>
  <c r="AO81" i="80"/>
  <c r="D82" i="80"/>
  <c r="E82" i="80"/>
  <c r="F82" i="80"/>
  <c r="G82" i="80"/>
  <c r="H82" i="80"/>
  <c r="I82" i="80"/>
  <c r="J82" i="80"/>
  <c r="K82" i="80"/>
  <c r="L82" i="80"/>
  <c r="M82" i="80"/>
  <c r="N82" i="80"/>
  <c r="O82" i="80"/>
  <c r="P82" i="80"/>
  <c r="Q82" i="80"/>
  <c r="S82" i="80"/>
  <c r="U82" i="80"/>
  <c r="W82" i="80"/>
  <c r="Y82" i="80"/>
  <c r="Z82" i="80"/>
  <c r="AA82" i="80"/>
  <c r="AB82" i="80"/>
  <c r="AC82" i="80"/>
  <c r="AD82" i="80"/>
  <c r="AE82" i="80"/>
  <c r="AG82" i="80"/>
  <c r="AI82" i="80"/>
  <c r="D83" i="80"/>
  <c r="E83" i="80"/>
  <c r="F83" i="80"/>
  <c r="G83" i="80"/>
  <c r="H83" i="80"/>
  <c r="I83" i="80"/>
  <c r="J83" i="80"/>
  <c r="K83" i="80"/>
  <c r="L83" i="80"/>
  <c r="M83" i="80"/>
  <c r="N83" i="80"/>
  <c r="O83" i="80"/>
  <c r="P83" i="80"/>
  <c r="Q83" i="80"/>
  <c r="R83" i="80"/>
  <c r="S83" i="80"/>
  <c r="T83" i="80"/>
  <c r="U83" i="80"/>
  <c r="V83" i="80"/>
  <c r="W83" i="80"/>
  <c r="X83" i="80"/>
  <c r="Y83" i="80"/>
  <c r="AA83" i="80"/>
  <c r="AC83" i="80"/>
  <c r="AE83" i="80"/>
  <c r="AG83" i="80"/>
  <c r="AI83" i="80"/>
  <c r="AM83" i="80"/>
  <c r="AO83" i="80"/>
  <c r="D84" i="80"/>
  <c r="E84" i="80"/>
  <c r="F84" i="80"/>
  <c r="G84" i="80"/>
  <c r="H84" i="80"/>
  <c r="I84" i="80"/>
  <c r="J84" i="80"/>
  <c r="K84" i="80"/>
  <c r="L84" i="80"/>
  <c r="M84" i="80"/>
  <c r="N84" i="80"/>
  <c r="O84" i="80"/>
  <c r="P84" i="80"/>
  <c r="Q84" i="80"/>
  <c r="S84" i="80"/>
  <c r="U84" i="80"/>
  <c r="W84" i="80"/>
  <c r="Y84" i="80"/>
  <c r="Z84" i="80"/>
  <c r="AA84" i="80"/>
  <c r="AB84" i="80"/>
  <c r="AC84" i="80"/>
  <c r="AD84" i="80"/>
  <c r="AE84" i="80"/>
  <c r="AF84" i="80"/>
  <c r="AG84" i="80"/>
  <c r="AH84" i="80"/>
  <c r="AI84" i="80"/>
  <c r="AJ84" i="80"/>
  <c r="AM84" i="80"/>
  <c r="AO84" i="80"/>
  <c r="D85" i="80"/>
  <c r="E85" i="80"/>
  <c r="F85" i="80"/>
  <c r="G85" i="80"/>
  <c r="H85" i="80"/>
  <c r="I85" i="80"/>
  <c r="J85" i="80"/>
  <c r="K85" i="80"/>
  <c r="L85" i="80"/>
  <c r="M85" i="80"/>
  <c r="N85" i="80"/>
  <c r="O85" i="80"/>
  <c r="P85" i="80"/>
  <c r="Q85" i="80"/>
  <c r="R85" i="80"/>
  <c r="S85" i="80"/>
  <c r="T85" i="80"/>
  <c r="U85" i="80"/>
  <c r="V85" i="80"/>
  <c r="W85" i="80"/>
  <c r="X85" i="80"/>
  <c r="Y85" i="80"/>
  <c r="AA85" i="80"/>
  <c r="AC85" i="80"/>
  <c r="AE85" i="80"/>
  <c r="AF85" i="80"/>
  <c r="AG85" i="80"/>
  <c r="AH85" i="80"/>
  <c r="AI85" i="80"/>
  <c r="AJ85" i="80"/>
  <c r="D86" i="80"/>
  <c r="E86" i="80"/>
  <c r="F86" i="80"/>
  <c r="G86" i="80"/>
  <c r="H86" i="80"/>
  <c r="I86" i="80"/>
  <c r="J86" i="80"/>
  <c r="K86" i="80"/>
  <c r="L86" i="80"/>
  <c r="M86" i="80"/>
  <c r="N86" i="80"/>
  <c r="O86" i="80"/>
  <c r="P86" i="80"/>
  <c r="Q86" i="80"/>
  <c r="S86" i="80"/>
  <c r="U86" i="80"/>
  <c r="W86" i="80"/>
  <c r="Y86" i="80"/>
  <c r="Z86" i="80"/>
  <c r="AA86" i="80"/>
  <c r="AB86" i="80"/>
  <c r="AC86" i="80"/>
  <c r="AD86" i="80"/>
  <c r="AE86" i="80"/>
  <c r="AG86" i="80"/>
  <c r="AI86" i="80"/>
  <c r="AM86" i="80"/>
  <c r="AO86" i="80"/>
  <c r="D87" i="80"/>
  <c r="E87" i="80"/>
  <c r="F87" i="80"/>
  <c r="G87" i="80"/>
  <c r="H87" i="80"/>
  <c r="I87" i="80"/>
  <c r="J87" i="80"/>
  <c r="K87" i="80"/>
  <c r="L87" i="80"/>
  <c r="M87" i="80"/>
  <c r="N87" i="80"/>
  <c r="O87" i="80"/>
  <c r="P87" i="80"/>
  <c r="Q87" i="80"/>
  <c r="R87" i="80"/>
  <c r="S87" i="80"/>
  <c r="T87" i="80"/>
  <c r="U87" i="80"/>
  <c r="V87" i="80"/>
  <c r="W87" i="80"/>
  <c r="X87" i="80"/>
  <c r="Y87" i="80"/>
  <c r="AA87" i="80"/>
  <c r="AC87" i="80"/>
  <c r="AE87" i="80"/>
  <c r="AG87" i="80"/>
  <c r="AI87" i="80"/>
  <c r="AM87" i="80"/>
  <c r="AN87" i="80"/>
  <c r="AO87" i="80"/>
  <c r="AP87" i="80"/>
  <c r="D88" i="80"/>
  <c r="E88" i="80"/>
  <c r="F88" i="80"/>
  <c r="G88" i="80"/>
  <c r="H88" i="80"/>
  <c r="I88" i="80"/>
  <c r="J88" i="80"/>
  <c r="K88" i="80"/>
  <c r="L88" i="80"/>
  <c r="M88" i="80"/>
  <c r="N88" i="80"/>
  <c r="O88" i="80"/>
  <c r="P88" i="80"/>
  <c r="Q88" i="80"/>
  <c r="S88" i="80"/>
  <c r="U88" i="80"/>
  <c r="W88" i="80"/>
  <c r="Y88" i="80"/>
  <c r="Z88" i="80"/>
  <c r="AA88" i="80"/>
  <c r="AB88" i="80"/>
  <c r="AC88" i="80"/>
  <c r="AD88" i="80"/>
  <c r="AE88" i="80"/>
  <c r="AF88" i="80"/>
  <c r="AG88" i="80"/>
  <c r="AH88" i="80"/>
  <c r="AI88" i="80"/>
  <c r="AJ88" i="80"/>
  <c r="D89" i="80"/>
  <c r="E89" i="80"/>
  <c r="F89" i="80"/>
  <c r="G89" i="80"/>
  <c r="H89" i="80"/>
  <c r="I89" i="80"/>
  <c r="J89" i="80"/>
  <c r="K89" i="80"/>
  <c r="L89" i="80"/>
  <c r="M89" i="80"/>
  <c r="N89" i="80"/>
  <c r="O89" i="80"/>
  <c r="P89" i="80"/>
  <c r="Q89" i="80"/>
  <c r="R89" i="80"/>
  <c r="S89" i="80"/>
  <c r="T89" i="80"/>
  <c r="U89" i="80"/>
  <c r="V89" i="80"/>
  <c r="W89" i="80"/>
  <c r="X89" i="80"/>
  <c r="Y89" i="80"/>
  <c r="AA89" i="80"/>
  <c r="AC89" i="80"/>
  <c r="AE89" i="80"/>
  <c r="AF89" i="80"/>
  <c r="AG89" i="80"/>
  <c r="AH89" i="80"/>
  <c r="AI89" i="80"/>
  <c r="AJ89" i="80"/>
  <c r="AM89" i="80"/>
  <c r="AO89" i="80"/>
  <c r="D90" i="80"/>
  <c r="E90" i="80"/>
  <c r="F90" i="80"/>
  <c r="G90" i="80"/>
  <c r="H90" i="80"/>
  <c r="I90" i="80"/>
  <c r="J90" i="80"/>
  <c r="K90" i="80"/>
  <c r="L90" i="80"/>
  <c r="M90" i="80"/>
  <c r="N90" i="80"/>
  <c r="O90" i="80"/>
  <c r="P90" i="80"/>
  <c r="Q90" i="80"/>
  <c r="S90" i="80"/>
  <c r="U90" i="80"/>
  <c r="W90" i="80"/>
  <c r="Y90" i="80"/>
  <c r="Z90" i="80"/>
  <c r="AA90" i="80"/>
  <c r="AB90" i="80"/>
  <c r="AC90" i="80"/>
  <c r="AD90" i="80"/>
  <c r="AE90" i="80"/>
  <c r="AG90" i="80"/>
  <c r="AI90" i="80"/>
  <c r="D91" i="80"/>
  <c r="E91" i="80"/>
  <c r="F91" i="80"/>
  <c r="G91" i="80"/>
  <c r="H91" i="80"/>
  <c r="I91" i="80"/>
  <c r="J91" i="80"/>
  <c r="K91" i="80"/>
  <c r="L91" i="80"/>
  <c r="M91" i="80"/>
  <c r="N91" i="80"/>
  <c r="O91" i="80"/>
  <c r="P91" i="80"/>
  <c r="Q91" i="80"/>
  <c r="R91" i="80"/>
  <c r="S91" i="80"/>
  <c r="T91" i="80"/>
  <c r="U91" i="80"/>
  <c r="V91" i="80"/>
  <c r="W91" i="80"/>
  <c r="X91" i="80"/>
  <c r="Y91" i="80"/>
  <c r="AA91" i="80"/>
  <c r="AC91" i="80"/>
  <c r="AE91" i="80"/>
  <c r="AG91" i="80"/>
  <c r="AI91" i="80"/>
  <c r="AM91" i="80"/>
  <c r="AO91" i="80"/>
  <c r="D94" i="80"/>
  <c r="E94" i="80"/>
  <c r="F94" i="80"/>
  <c r="G94" i="80"/>
  <c r="H94" i="80"/>
  <c r="I94" i="80"/>
  <c r="J94" i="80"/>
  <c r="K94" i="80"/>
  <c r="L94" i="80"/>
  <c r="M94" i="80"/>
  <c r="N94" i="80"/>
  <c r="O94" i="80"/>
  <c r="P94" i="80"/>
  <c r="Q94" i="80"/>
  <c r="R94" i="80"/>
  <c r="S94" i="80"/>
  <c r="T94" i="80"/>
  <c r="U94" i="80"/>
  <c r="V94" i="80"/>
  <c r="W94" i="80"/>
  <c r="X94" i="80"/>
  <c r="Y94" i="80"/>
  <c r="AA94" i="80"/>
  <c r="AC94" i="80"/>
  <c r="AE94" i="80"/>
  <c r="AF94" i="80"/>
  <c r="AG94" i="80"/>
  <c r="AH94" i="80"/>
  <c r="AI94" i="80"/>
  <c r="AJ94" i="80"/>
  <c r="AM94" i="80"/>
  <c r="AO94" i="80"/>
  <c r="D95" i="80"/>
  <c r="E95" i="80"/>
  <c r="F95" i="80"/>
  <c r="G95" i="80"/>
  <c r="H95" i="80"/>
  <c r="I95" i="80"/>
  <c r="J95" i="80"/>
  <c r="K95" i="80"/>
  <c r="L95" i="80"/>
  <c r="M95" i="80"/>
  <c r="N95" i="80"/>
  <c r="O95" i="80"/>
  <c r="P95" i="80"/>
  <c r="Q95" i="80"/>
  <c r="R95" i="80"/>
  <c r="S95" i="80"/>
  <c r="T95" i="80"/>
  <c r="U95" i="80"/>
  <c r="V95" i="80"/>
  <c r="W95" i="80"/>
  <c r="X95" i="80"/>
  <c r="Y95" i="80"/>
  <c r="AE95" i="80"/>
  <c r="AF95" i="80"/>
  <c r="AG95" i="80"/>
  <c r="AH95" i="80"/>
  <c r="AI95" i="80"/>
  <c r="AJ95" i="80"/>
  <c r="AM95" i="80"/>
  <c r="AO95" i="80"/>
  <c r="D96" i="80"/>
  <c r="E96" i="80"/>
  <c r="F96" i="80"/>
  <c r="G96" i="80"/>
  <c r="H96" i="80"/>
  <c r="I96" i="80"/>
  <c r="J96" i="80"/>
  <c r="K96" i="80"/>
  <c r="L96" i="80"/>
  <c r="M96" i="80"/>
  <c r="N96" i="80"/>
  <c r="O96" i="80"/>
  <c r="P96" i="80"/>
  <c r="Q96" i="80"/>
  <c r="R96" i="80"/>
  <c r="S96" i="80"/>
  <c r="T96" i="80"/>
  <c r="U96" i="80"/>
  <c r="V96" i="80"/>
  <c r="W96" i="80"/>
  <c r="X96" i="80"/>
  <c r="Y96" i="80"/>
  <c r="AA96" i="80"/>
  <c r="AC96" i="80"/>
  <c r="AE96" i="80"/>
  <c r="AM96" i="80"/>
  <c r="AO96" i="80"/>
  <c r="D97" i="80"/>
  <c r="E97" i="80"/>
  <c r="F97" i="80"/>
  <c r="G97" i="80"/>
  <c r="H97" i="80"/>
  <c r="I97" i="80"/>
  <c r="J97" i="80"/>
  <c r="K97" i="80"/>
  <c r="L97" i="80"/>
  <c r="M97" i="80"/>
  <c r="N97" i="80"/>
  <c r="O97" i="80"/>
  <c r="P97" i="80"/>
  <c r="Q97" i="80"/>
  <c r="R97" i="80"/>
  <c r="S97" i="80"/>
  <c r="T97" i="80"/>
  <c r="U97" i="80"/>
  <c r="V97" i="80"/>
  <c r="W97" i="80"/>
  <c r="X97" i="80"/>
  <c r="Y97" i="80"/>
  <c r="AE97" i="80"/>
  <c r="AM97" i="80"/>
  <c r="AN97" i="80"/>
  <c r="AO97" i="80"/>
  <c r="AP97" i="80"/>
  <c r="D98" i="80"/>
  <c r="E98" i="80"/>
  <c r="F98" i="80"/>
  <c r="G98" i="80"/>
  <c r="H98" i="80"/>
  <c r="I98" i="80"/>
  <c r="J98" i="80"/>
  <c r="K98" i="80"/>
  <c r="L98" i="80"/>
  <c r="M98" i="80"/>
  <c r="N98" i="80"/>
  <c r="O98" i="80"/>
  <c r="P98" i="80"/>
  <c r="Q98" i="80"/>
  <c r="R98" i="80"/>
  <c r="S98" i="80"/>
  <c r="T98" i="80"/>
  <c r="U98" i="80"/>
  <c r="V98" i="80"/>
  <c r="W98" i="80"/>
  <c r="X98" i="80"/>
  <c r="Y98" i="80"/>
  <c r="AA98" i="80"/>
  <c r="AC98" i="80"/>
  <c r="AE98" i="80"/>
  <c r="AF98" i="80"/>
  <c r="AG98" i="80"/>
  <c r="AH98" i="80"/>
  <c r="AI98" i="80"/>
  <c r="AJ98" i="80"/>
  <c r="AK98" i="80"/>
  <c r="AM98" i="80"/>
  <c r="AO98" i="80"/>
  <c r="D99" i="80"/>
  <c r="E99" i="80"/>
  <c r="F99" i="80"/>
  <c r="G99" i="80"/>
  <c r="H99" i="80"/>
  <c r="I99" i="80"/>
  <c r="J99" i="80"/>
  <c r="K99" i="80"/>
  <c r="L99" i="80"/>
  <c r="M99" i="80"/>
  <c r="N99" i="80"/>
  <c r="O99" i="80"/>
  <c r="P99" i="80"/>
  <c r="Q99" i="80"/>
  <c r="R99" i="80"/>
  <c r="S99" i="80"/>
  <c r="T99" i="80"/>
  <c r="U99" i="80"/>
  <c r="V99" i="80"/>
  <c r="W99" i="80"/>
  <c r="X99" i="80"/>
  <c r="Y99" i="80"/>
  <c r="AE99" i="80"/>
  <c r="AF99" i="80"/>
  <c r="AG99" i="80"/>
  <c r="AH99" i="80"/>
  <c r="AI99" i="80"/>
  <c r="AJ99" i="80"/>
  <c r="AM99" i="80"/>
  <c r="AO99" i="80"/>
  <c r="D100" i="80"/>
  <c r="E100" i="80"/>
  <c r="F100" i="80"/>
  <c r="G100" i="80"/>
  <c r="H100" i="80"/>
  <c r="I100" i="80"/>
  <c r="J100" i="80"/>
  <c r="K100" i="80"/>
  <c r="L100" i="80"/>
  <c r="M100" i="80"/>
  <c r="N100" i="80"/>
  <c r="O100" i="80"/>
  <c r="P100" i="80"/>
  <c r="Q100" i="80"/>
  <c r="R100" i="80"/>
  <c r="S100" i="80"/>
  <c r="T100" i="80"/>
  <c r="U100" i="80"/>
  <c r="V100" i="80"/>
  <c r="W100" i="80"/>
  <c r="X100" i="80"/>
  <c r="Y100" i="80"/>
  <c r="AA100" i="80"/>
  <c r="AC100" i="80"/>
  <c r="AE100" i="80"/>
  <c r="AM100" i="80"/>
  <c r="AO100" i="80"/>
  <c r="D101" i="80"/>
  <c r="E101" i="80"/>
  <c r="F101" i="80"/>
  <c r="G101" i="80"/>
  <c r="H101" i="80"/>
  <c r="Q101" i="80"/>
  <c r="R101" i="80"/>
  <c r="S101" i="80"/>
  <c r="T101" i="80"/>
  <c r="U101" i="80"/>
  <c r="V101" i="80"/>
  <c r="W101" i="80"/>
  <c r="X101" i="80"/>
  <c r="Y101" i="80"/>
  <c r="AE101" i="80"/>
  <c r="AM101" i="80"/>
  <c r="AN101" i="80"/>
  <c r="AO101" i="80"/>
  <c r="AP101" i="80"/>
  <c r="D102" i="80"/>
  <c r="E102" i="80"/>
  <c r="F102" i="80"/>
  <c r="G102" i="80"/>
  <c r="H102" i="80"/>
  <c r="I102" i="80"/>
  <c r="J102" i="80"/>
  <c r="K102" i="80"/>
  <c r="L102" i="80"/>
  <c r="M102" i="80"/>
  <c r="N102" i="80"/>
  <c r="O102" i="80"/>
  <c r="P102" i="80"/>
  <c r="Q102" i="80"/>
  <c r="R102" i="80"/>
  <c r="S102" i="80"/>
  <c r="T102" i="80"/>
  <c r="U102" i="80"/>
  <c r="V102" i="80"/>
  <c r="W102" i="80"/>
  <c r="X102" i="80"/>
  <c r="Y102" i="80"/>
  <c r="AA102" i="80"/>
  <c r="AC102" i="80"/>
  <c r="AE102" i="80"/>
  <c r="AF102" i="80"/>
  <c r="AG102" i="80"/>
  <c r="AH102" i="80"/>
  <c r="AI102" i="80"/>
  <c r="AJ102" i="80"/>
  <c r="AM102" i="80"/>
  <c r="AN102" i="80"/>
  <c r="AO102" i="80"/>
  <c r="AP102" i="80"/>
  <c r="D103" i="80"/>
  <c r="E103" i="80"/>
  <c r="F103" i="80"/>
  <c r="G103" i="80"/>
  <c r="H103" i="80"/>
  <c r="I103" i="80"/>
  <c r="J103" i="80"/>
  <c r="K103" i="80"/>
  <c r="L103" i="80"/>
  <c r="M103" i="80"/>
  <c r="N103" i="80"/>
  <c r="O103" i="80"/>
  <c r="P103" i="80"/>
  <c r="Q103" i="80"/>
  <c r="R103" i="80"/>
  <c r="S103" i="80"/>
  <c r="T103" i="80"/>
  <c r="U103" i="80"/>
  <c r="V103" i="80"/>
  <c r="W103" i="80"/>
  <c r="X103" i="80"/>
  <c r="Y103" i="80"/>
  <c r="AE103" i="80"/>
  <c r="AF103" i="80"/>
  <c r="AG103" i="80"/>
  <c r="AH103" i="80"/>
  <c r="AI103" i="80"/>
  <c r="AJ103" i="80"/>
  <c r="D104" i="80"/>
  <c r="E104" i="80"/>
  <c r="F104" i="80"/>
  <c r="G104" i="80"/>
  <c r="H104" i="80"/>
  <c r="I104" i="80"/>
  <c r="J104" i="80"/>
  <c r="K104" i="80"/>
  <c r="L104" i="80"/>
  <c r="M104" i="80"/>
  <c r="N104" i="80"/>
  <c r="O104" i="80"/>
  <c r="P104" i="80"/>
  <c r="Q104" i="80"/>
  <c r="R104" i="80"/>
  <c r="S104" i="80"/>
  <c r="T104" i="80"/>
  <c r="U104" i="80"/>
  <c r="V104" i="80"/>
  <c r="W104" i="80"/>
  <c r="X104" i="80"/>
  <c r="Y104" i="80"/>
  <c r="AA104" i="80"/>
  <c r="AC104" i="80"/>
  <c r="AE104" i="80"/>
  <c r="AL104" i="80"/>
  <c r="AM104" i="80"/>
  <c r="AN104" i="80"/>
  <c r="AO104" i="80"/>
  <c r="AP104" i="80"/>
  <c r="D105" i="80"/>
  <c r="E105" i="80"/>
  <c r="F105" i="80"/>
  <c r="G105" i="80"/>
  <c r="H105" i="80"/>
  <c r="I105" i="80"/>
  <c r="J105" i="80"/>
  <c r="K105" i="80"/>
  <c r="L105" i="80"/>
  <c r="M105" i="80"/>
  <c r="N105" i="80"/>
  <c r="O105" i="80"/>
  <c r="P105" i="80"/>
  <c r="Q105" i="80"/>
  <c r="R105" i="80"/>
  <c r="S105" i="80"/>
  <c r="T105" i="80"/>
  <c r="U105" i="80"/>
  <c r="V105" i="80"/>
  <c r="W105" i="80"/>
  <c r="X105" i="80"/>
  <c r="Y105" i="80"/>
  <c r="AE105" i="80"/>
  <c r="AM105" i="80"/>
  <c r="AO105" i="80"/>
  <c r="D106" i="80"/>
  <c r="E106" i="80"/>
  <c r="F106" i="80"/>
  <c r="G106" i="80"/>
  <c r="H106" i="80"/>
  <c r="I106" i="80"/>
  <c r="J106" i="80"/>
  <c r="K106" i="80"/>
  <c r="L106" i="80"/>
  <c r="M106" i="80"/>
  <c r="N106" i="80"/>
  <c r="O106" i="80"/>
  <c r="P106" i="80"/>
  <c r="Q106" i="80"/>
  <c r="R106" i="80"/>
  <c r="S106" i="80"/>
  <c r="T106" i="80"/>
  <c r="U106" i="80"/>
  <c r="V106" i="80"/>
  <c r="W106" i="80"/>
  <c r="X106" i="80"/>
  <c r="Y106" i="80"/>
  <c r="AA106" i="80"/>
  <c r="AC106" i="80"/>
  <c r="AE106" i="80"/>
  <c r="AF106" i="80"/>
  <c r="AG106" i="80"/>
  <c r="AH106" i="80"/>
  <c r="AI106" i="80"/>
  <c r="AJ106" i="80"/>
  <c r="AK106" i="80"/>
  <c r="D107" i="80"/>
  <c r="E107" i="80"/>
  <c r="F107" i="80"/>
  <c r="G107" i="80"/>
  <c r="H107" i="80"/>
  <c r="I107" i="80"/>
  <c r="J107" i="80"/>
  <c r="K107" i="80"/>
  <c r="L107" i="80"/>
  <c r="M107" i="80"/>
  <c r="N107" i="80"/>
  <c r="O107" i="80"/>
  <c r="P107" i="80"/>
  <c r="Q107" i="80"/>
  <c r="R107" i="80"/>
  <c r="S107" i="80"/>
  <c r="T107" i="80"/>
  <c r="U107" i="80"/>
  <c r="V107" i="80"/>
  <c r="W107" i="80"/>
  <c r="X107" i="80"/>
  <c r="Y107" i="80"/>
  <c r="AE107" i="80"/>
  <c r="AF107" i="80"/>
  <c r="AG107" i="80"/>
  <c r="AH107" i="80"/>
  <c r="AI107" i="80"/>
  <c r="AJ107" i="80"/>
  <c r="D108" i="80"/>
  <c r="E108" i="80"/>
  <c r="F108" i="80"/>
  <c r="G108" i="80"/>
  <c r="H108" i="80"/>
  <c r="I108" i="80"/>
  <c r="J108" i="80"/>
  <c r="K108" i="80"/>
  <c r="L108" i="80"/>
  <c r="M108" i="80"/>
  <c r="N108" i="80"/>
  <c r="O108" i="80"/>
  <c r="P108" i="80"/>
  <c r="Q108" i="80"/>
  <c r="R108" i="80"/>
  <c r="S108" i="80"/>
  <c r="T108" i="80"/>
  <c r="U108" i="80"/>
  <c r="V108" i="80"/>
  <c r="W108" i="80"/>
  <c r="X108" i="80"/>
  <c r="Y108" i="80"/>
  <c r="AA108" i="80"/>
  <c r="AC108" i="80"/>
  <c r="AE108" i="80"/>
  <c r="D109" i="80"/>
  <c r="E109" i="80"/>
  <c r="F109" i="80"/>
  <c r="G109" i="80"/>
  <c r="H109" i="80"/>
  <c r="I109" i="80"/>
  <c r="J109" i="80"/>
  <c r="K109" i="80"/>
  <c r="L109" i="80"/>
  <c r="M109" i="80"/>
  <c r="N109" i="80"/>
  <c r="O109" i="80"/>
  <c r="P109" i="80"/>
  <c r="Q109" i="80"/>
  <c r="R109" i="80"/>
  <c r="S109" i="80"/>
  <c r="T109" i="80"/>
  <c r="U109" i="80"/>
  <c r="V109" i="80"/>
  <c r="W109" i="80"/>
  <c r="X109" i="80"/>
  <c r="Y109" i="80"/>
  <c r="Z109" i="80"/>
  <c r="AB109" i="80"/>
  <c r="AD109" i="80"/>
  <c r="AE109" i="80"/>
  <c r="AG109" i="80"/>
  <c r="AI109" i="80"/>
  <c r="AM109" i="80"/>
  <c r="AN109" i="80"/>
  <c r="AO109" i="80"/>
  <c r="AP109" i="80"/>
  <c r="D110" i="80"/>
  <c r="E110" i="80"/>
  <c r="F110" i="80"/>
  <c r="G110" i="80"/>
  <c r="H110" i="80"/>
  <c r="I110" i="80"/>
  <c r="J110" i="80"/>
  <c r="K110" i="80"/>
  <c r="L110" i="80"/>
  <c r="M110" i="80"/>
  <c r="N110" i="80"/>
  <c r="O110" i="80"/>
  <c r="P110" i="80"/>
  <c r="Q110" i="80"/>
  <c r="R110" i="80"/>
  <c r="S110" i="80"/>
  <c r="T110" i="80"/>
  <c r="U110" i="80"/>
  <c r="V110" i="80"/>
  <c r="W110" i="80"/>
  <c r="X110" i="80"/>
  <c r="Y110" i="80"/>
  <c r="AA110" i="80"/>
  <c r="AC110" i="80"/>
  <c r="AE110" i="80"/>
  <c r="AG110" i="80"/>
  <c r="AI110" i="80"/>
  <c r="AM110" i="80"/>
  <c r="AO110" i="80"/>
  <c r="D111" i="80"/>
  <c r="E111" i="80"/>
  <c r="F111" i="80"/>
  <c r="G111" i="80"/>
  <c r="H111" i="80"/>
  <c r="I111" i="80"/>
  <c r="J111" i="80"/>
  <c r="K111" i="80"/>
  <c r="L111" i="80"/>
  <c r="M111" i="80"/>
  <c r="N111" i="80"/>
  <c r="O111" i="80"/>
  <c r="P111" i="80"/>
  <c r="Q111" i="80"/>
  <c r="R111" i="80"/>
  <c r="S111" i="80"/>
  <c r="T111" i="80"/>
  <c r="U111" i="80"/>
  <c r="V111" i="80"/>
  <c r="W111" i="80"/>
  <c r="X111" i="80"/>
  <c r="Y111" i="80"/>
  <c r="Z111" i="80"/>
  <c r="AB111" i="80"/>
  <c r="AD111" i="80"/>
  <c r="AE111" i="80"/>
  <c r="AF111" i="80"/>
  <c r="AG111" i="80"/>
  <c r="AH111" i="80"/>
  <c r="AI111" i="80"/>
  <c r="AJ111" i="80"/>
  <c r="AM111" i="80"/>
  <c r="AO111" i="80"/>
  <c r="D112" i="80"/>
  <c r="E112" i="80"/>
  <c r="F112" i="80"/>
  <c r="G112" i="80"/>
  <c r="H112" i="80"/>
  <c r="I112" i="80"/>
  <c r="J112" i="80"/>
  <c r="K112" i="80"/>
  <c r="L112" i="80"/>
  <c r="M112" i="80"/>
  <c r="N112" i="80"/>
  <c r="O112" i="80"/>
  <c r="P112" i="80"/>
  <c r="Q112" i="80"/>
  <c r="R112" i="80"/>
  <c r="S112" i="80"/>
  <c r="T112" i="80"/>
  <c r="U112" i="80"/>
  <c r="V112" i="80"/>
  <c r="W112" i="80"/>
  <c r="X112" i="80"/>
  <c r="Y112" i="80"/>
  <c r="AA112" i="80"/>
  <c r="AC112" i="80"/>
  <c r="AE112" i="80"/>
  <c r="AF112" i="80"/>
  <c r="AH112" i="80"/>
  <c r="AJ112" i="80"/>
  <c r="AM112" i="80"/>
  <c r="AO112" i="80"/>
  <c r="C29" i="80"/>
  <c r="C45" i="80" s="1"/>
  <c r="C87" i="80" s="1"/>
  <c r="G113" i="82" l="1"/>
  <c r="G117" i="82" s="1"/>
  <c r="I113" i="82"/>
  <c r="I117" i="82" s="1"/>
  <c r="O113" i="82"/>
  <c r="O117" i="82" s="1"/>
  <c r="M113" i="82"/>
  <c r="M117" i="82" s="1"/>
  <c r="E113" i="82"/>
  <c r="E117" i="82" s="1"/>
  <c r="K113" i="82"/>
  <c r="K117" i="82" s="1"/>
  <c r="AI64" i="82"/>
  <c r="AI106" i="82" s="1"/>
  <c r="AE64" i="82"/>
  <c r="AE106" i="82" s="1"/>
  <c r="AI63" i="82"/>
  <c r="AI105" i="82" s="1"/>
  <c r="AE63" i="82"/>
  <c r="AE105" i="82" s="1"/>
  <c r="AI60" i="82"/>
  <c r="AI102" i="82" s="1"/>
  <c r="AE60" i="82"/>
  <c r="AE102" i="82" s="1"/>
  <c r="AI59" i="82"/>
  <c r="AI101" i="82" s="1"/>
  <c r="AE59" i="82"/>
  <c r="AE101" i="82" s="1"/>
  <c r="AI56" i="82"/>
  <c r="AI98" i="82" s="1"/>
  <c r="AE56" i="82"/>
  <c r="AE98" i="82" s="1"/>
  <c r="AG55" i="82"/>
  <c r="AG97" i="82" s="1"/>
  <c r="AI46" i="82"/>
  <c r="AI88" i="82" s="1"/>
  <c r="AE46" i="82"/>
  <c r="AE88" i="82" s="1"/>
  <c r="AG40" i="82"/>
  <c r="AG82" i="82" s="1"/>
  <c r="AG38" i="82"/>
  <c r="AI32" i="82"/>
  <c r="AI74" i="82" s="1"/>
  <c r="AE32" i="82"/>
  <c r="AH50" i="82"/>
  <c r="AH71" i="82"/>
  <c r="AI67" i="82"/>
  <c r="AI109" i="82" s="1"/>
  <c r="AG64" i="82"/>
  <c r="AG106" i="82" s="1"/>
  <c r="AG63" i="82"/>
  <c r="AG105" i="82" s="1"/>
  <c r="AG60" i="82"/>
  <c r="AG102" i="82" s="1"/>
  <c r="AG59" i="82"/>
  <c r="AG101" i="82" s="1"/>
  <c r="AG56" i="82"/>
  <c r="AG98" i="82" s="1"/>
  <c r="AI55" i="82"/>
  <c r="AI97" i="82" s="1"/>
  <c r="AE55" i="82"/>
  <c r="AE97" i="82" s="1"/>
  <c r="AG46" i="82"/>
  <c r="AG88" i="82" s="1"/>
  <c r="AI40" i="82"/>
  <c r="AI82" i="82" s="1"/>
  <c r="AE40" i="82"/>
  <c r="AE82" i="82" s="1"/>
  <c r="AI38" i="82"/>
  <c r="AI80" i="82" s="1"/>
  <c r="AE38" i="82"/>
  <c r="AG32" i="82"/>
  <c r="AF50" i="82"/>
  <c r="AC71" i="82"/>
  <c r="AA71" i="82"/>
  <c r="Z71" i="82"/>
  <c r="AA44" i="82"/>
  <c r="AA86" i="82" s="1"/>
  <c r="AA40" i="82"/>
  <c r="AA82" i="82" s="1"/>
  <c r="AA36" i="82"/>
  <c r="AA78" i="82" s="1"/>
  <c r="AA32" i="82"/>
  <c r="AA74" i="82" s="1"/>
  <c r="AC113" i="82"/>
  <c r="AC117" i="82" s="1"/>
  <c r="Y113" i="82"/>
  <c r="Y117" i="82" s="1"/>
  <c r="AA113" i="82"/>
  <c r="AA117" i="82" s="1"/>
  <c r="AA46" i="82"/>
  <c r="AA88" i="82" s="1"/>
  <c r="AA45" i="82"/>
  <c r="AA87" i="82" s="1"/>
  <c r="AA42" i="82"/>
  <c r="AA84" i="82" s="1"/>
  <c r="AA41" i="82"/>
  <c r="AA83" i="82" s="1"/>
  <c r="AA38" i="82"/>
  <c r="AA80" i="82" s="1"/>
  <c r="AA37" i="82"/>
  <c r="AA79" i="82" s="1"/>
  <c r="AA34" i="82"/>
  <c r="AA76" i="82" s="1"/>
  <c r="AM92" i="82"/>
  <c r="AM115" i="82" s="1"/>
  <c r="AM116" i="82"/>
  <c r="AO92" i="82"/>
  <c r="AO115" i="82" s="1"/>
  <c r="AN113" i="82"/>
  <c r="AN117" i="82" s="1"/>
  <c r="AN116" i="82" s="1"/>
  <c r="AJ67" i="82"/>
  <c r="AJ109" i="82" s="1"/>
  <c r="AJ63" i="82"/>
  <c r="AJ105" i="82" s="1"/>
  <c r="AJ61" i="82"/>
  <c r="AJ103" i="82" s="1"/>
  <c r="AJ57" i="82"/>
  <c r="AJ99" i="82" s="1"/>
  <c r="AJ53" i="82"/>
  <c r="AJ47" i="82"/>
  <c r="AJ89" i="82" s="1"/>
  <c r="AJ46" i="82"/>
  <c r="AJ88" i="82" s="1"/>
  <c r="AJ39" i="82"/>
  <c r="AJ81" i="82" s="1"/>
  <c r="AJ38" i="82"/>
  <c r="AJ31" i="82"/>
  <c r="AJ69" i="82"/>
  <c r="AJ111" i="82" s="1"/>
  <c r="AJ65" i="82"/>
  <c r="AJ107" i="82" s="1"/>
  <c r="AJ59" i="82"/>
  <c r="AJ101" i="82" s="1"/>
  <c r="AJ55" i="82"/>
  <c r="AJ97" i="82" s="1"/>
  <c r="AJ43" i="82"/>
  <c r="AJ85" i="82" s="1"/>
  <c r="AJ42" i="82"/>
  <c r="AJ84" i="82" s="1"/>
  <c r="AJ35" i="82"/>
  <c r="AI73" i="82"/>
  <c r="AG52" i="82"/>
  <c r="AI49" i="82"/>
  <c r="AI91" i="82" s="1"/>
  <c r="AE49" i="82"/>
  <c r="AE91" i="82" s="1"/>
  <c r="AG47" i="82"/>
  <c r="AG89" i="82" s="1"/>
  <c r="AI45" i="82"/>
  <c r="AI87" i="82" s="1"/>
  <c r="AE45" i="82"/>
  <c r="AE87" i="82" s="1"/>
  <c r="AG43" i="82"/>
  <c r="AG85" i="82" s="1"/>
  <c r="AI41" i="82"/>
  <c r="AI83" i="82" s="1"/>
  <c r="AE41" i="82"/>
  <c r="AE83" i="82" s="1"/>
  <c r="AG39" i="82"/>
  <c r="AG81" i="82" s="1"/>
  <c r="AI37" i="82"/>
  <c r="AI79" i="82" s="1"/>
  <c r="AE37" i="82"/>
  <c r="AG35" i="82"/>
  <c r="AI33" i="82"/>
  <c r="AI75" i="82" s="1"/>
  <c r="AE33" i="82"/>
  <c r="AG31" i="82"/>
  <c r="AF113" i="82"/>
  <c r="AF117" i="82" s="1"/>
  <c r="AI52" i="82"/>
  <c r="AE52" i="82"/>
  <c r="AG49" i="82"/>
  <c r="AG91" i="82" s="1"/>
  <c r="AI47" i="82"/>
  <c r="AI89" i="82" s="1"/>
  <c r="AE47" i="82"/>
  <c r="AE89" i="82" s="1"/>
  <c r="AG45" i="82"/>
  <c r="AG87" i="82" s="1"/>
  <c r="AI43" i="82"/>
  <c r="AI85" i="82" s="1"/>
  <c r="AE43" i="82"/>
  <c r="AE85" i="82" s="1"/>
  <c r="AG41" i="82"/>
  <c r="AG83" i="82" s="1"/>
  <c r="AI39" i="82"/>
  <c r="AI81" i="82" s="1"/>
  <c r="AE39" i="82"/>
  <c r="AE81" i="82" s="1"/>
  <c r="AG37" i="82"/>
  <c r="AI35" i="82"/>
  <c r="AI77" i="82" s="1"/>
  <c r="AE35" i="82"/>
  <c r="AD69" i="82"/>
  <c r="AD111" i="82" s="1"/>
  <c r="AD67" i="82"/>
  <c r="AD109" i="82" s="1"/>
  <c r="AD65" i="82"/>
  <c r="AD107" i="82" s="1"/>
  <c r="AD63" i="82"/>
  <c r="AD105" i="82" s="1"/>
  <c r="AD60" i="82"/>
  <c r="AD102" i="82" s="1"/>
  <c r="AD70" i="82"/>
  <c r="AD68" i="82"/>
  <c r="AD110" i="82" s="1"/>
  <c r="AD66" i="82"/>
  <c r="AD108" i="82" s="1"/>
  <c r="AD64" i="82"/>
  <c r="AD106" i="82" s="1"/>
  <c r="AD62" i="82"/>
  <c r="AD104" i="82" s="1"/>
  <c r="AD61" i="82"/>
  <c r="AD103" i="82" s="1"/>
  <c r="AD59" i="82"/>
  <c r="AD101" i="82" s="1"/>
  <c r="AD58" i="82"/>
  <c r="AD100" i="82" s="1"/>
  <c r="AD57" i="82"/>
  <c r="AD99" i="82" s="1"/>
  <c r="AD56" i="82"/>
  <c r="AD98" i="82" s="1"/>
  <c r="AD55" i="82"/>
  <c r="AD97" i="82" s="1"/>
  <c r="AD54" i="82"/>
  <c r="AD96" i="82" s="1"/>
  <c r="AD53" i="82"/>
  <c r="AD95" i="82" s="1"/>
  <c r="AD52" i="82"/>
  <c r="AD94" i="82" s="1"/>
  <c r="AD49" i="82"/>
  <c r="AD91" i="82" s="1"/>
  <c r="AD48" i="82"/>
  <c r="AD90" i="82" s="1"/>
  <c r="AD47" i="82"/>
  <c r="AD89" i="82" s="1"/>
  <c r="AD46" i="82"/>
  <c r="AD88" i="82" s="1"/>
  <c r="AD45" i="82"/>
  <c r="AD87" i="82" s="1"/>
  <c r="AD44" i="82"/>
  <c r="AD86" i="82" s="1"/>
  <c r="AD43" i="82"/>
  <c r="AD85" i="82" s="1"/>
  <c r="AD42" i="82"/>
  <c r="AD84" i="82" s="1"/>
  <c r="AD41" i="82"/>
  <c r="AD83" i="82" s="1"/>
  <c r="AD40" i="82"/>
  <c r="AD82" i="82" s="1"/>
  <c r="AD39" i="82"/>
  <c r="AD81" i="82" s="1"/>
  <c r="AD38" i="82"/>
  <c r="AD37" i="82"/>
  <c r="AD36" i="82"/>
  <c r="AD35" i="82"/>
  <c r="AD34" i="82"/>
  <c r="AD33" i="82"/>
  <c r="AD32" i="82"/>
  <c r="AB92" i="82"/>
  <c r="AB115" i="82" s="1"/>
  <c r="AB116" i="82" s="1"/>
  <c r="AC92" i="82"/>
  <c r="AC115" i="82" s="1"/>
  <c r="X113" i="82"/>
  <c r="X117" i="82" s="1"/>
  <c r="W92" i="82"/>
  <c r="W115" i="82" s="1"/>
  <c r="W116" i="82" s="1"/>
  <c r="P94" i="82"/>
  <c r="L62" i="82"/>
  <c r="L104" i="82" s="1"/>
  <c r="H62" i="82"/>
  <c r="H104" i="82" s="1"/>
  <c r="N32" i="82"/>
  <c r="N34" i="82"/>
  <c r="N36" i="82"/>
  <c r="N38" i="82"/>
  <c r="N40" i="82"/>
  <c r="N82" i="82" s="1"/>
  <c r="N42" i="82"/>
  <c r="N84" i="82" s="1"/>
  <c r="N44" i="82"/>
  <c r="N86" i="82" s="1"/>
  <c r="N46" i="82"/>
  <c r="N88" i="82" s="1"/>
  <c r="N48" i="82"/>
  <c r="N90" i="82" s="1"/>
  <c r="N53" i="82"/>
  <c r="N95" i="82" s="1"/>
  <c r="N55" i="82"/>
  <c r="N97" i="82" s="1"/>
  <c r="N57" i="82"/>
  <c r="N99" i="82" s="1"/>
  <c r="N59" i="82"/>
  <c r="N101" i="82" s="1"/>
  <c r="N31" i="82"/>
  <c r="N33" i="82"/>
  <c r="N35" i="82"/>
  <c r="N37" i="82"/>
  <c r="N39" i="82"/>
  <c r="N81" i="82" s="1"/>
  <c r="N41" i="82"/>
  <c r="N83" i="82" s="1"/>
  <c r="N43" i="82"/>
  <c r="N85" i="82" s="1"/>
  <c r="N45" i="82"/>
  <c r="N87" i="82" s="1"/>
  <c r="N47" i="82"/>
  <c r="N89" i="82" s="1"/>
  <c r="N49" i="82"/>
  <c r="N91" i="82" s="1"/>
  <c r="N52" i="82"/>
  <c r="N94" i="82" s="1"/>
  <c r="N113" i="82" s="1"/>
  <c r="N117" i="82" s="1"/>
  <c r="N54" i="82"/>
  <c r="N96" i="82" s="1"/>
  <c r="N56" i="82"/>
  <c r="N98" i="82" s="1"/>
  <c r="N58" i="82"/>
  <c r="N100" i="82" s="1"/>
  <c r="J32" i="82"/>
  <c r="J34" i="82"/>
  <c r="J36" i="82"/>
  <c r="J38" i="82"/>
  <c r="J40" i="82"/>
  <c r="J82" i="82" s="1"/>
  <c r="J42" i="82"/>
  <c r="J84" i="82" s="1"/>
  <c r="J44" i="82"/>
  <c r="J86" i="82" s="1"/>
  <c r="J46" i="82"/>
  <c r="J88" i="82" s="1"/>
  <c r="J48" i="82"/>
  <c r="J90" i="82" s="1"/>
  <c r="J53" i="82"/>
  <c r="J95" i="82" s="1"/>
  <c r="J55" i="82"/>
  <c r="J97" i="82" s="1"/>
  <c r="J57" i="82"/>
  <c r="J99" i="82" s="1"/>
  <c r="J59" i="82"/>
  <c r="J101" i="82" s="1"/>
  <c r="J31" i="82"/>
  <c r="J33" i="82"/>
  <c r="J35" i="82"/>
  <c r="J37" i="82"/>
  <c r="J39" i="82"/>
  <c r="J81" i="82" s="1"/>
  <c r="J41" i="82"/>
  <c r="J83" i="82" s="1"/>
  <c r="J43" i="82"/>
  <c r="J85" i="82" s="1"/>
  <c r="J45" i="82"/>
  <c r="J87" i="82" s="1"/>
  <c r="J47" i="82"/>
  <c r="J89" i="82" s="1"/>
  <c r="J49" i="82"/>
  <c r="J91" i="82" s="1"/>
  <c r="J52" i="82"/>
  <c r="J94" i="82" s="1"/>
  <c r="J54" i="82"/>
  <c r="J96" i="82" s="1"/>
  <c r="J56" i="82"/>
  <c r="J98" i="82" s="1"/>
  <c r="J58" i="82"/>
  <c r="J100" i="82" s="1"/>
  <c r="F32" i="82"/>
  <c r="F34" i="82"/>
  <c r="F36" i="82"/>
  <c r="F38" i="82"/>
  <c r="F40" i="82"/>
  <c r="F82" i="82" s="1"/>
  <c r="F42" i="82"/>
  <c r="F84" i="82" s="1"/>
  <c r="F44" i="82"/>
  <c r="F86" i="82" s="1"/>
  <c r="F46" i="82"/>
  <c r="F88" i="82" s="1"/>
  <c r="F48" i="82"/>
  <c r="F90" i="82" s="1"/>
  <c r="F53" i="82"/>
  <c r="F95" i="82" s="1"/>
  <c r="F55" i="82"/>
  <c r="F97" i="82" s="1"/>
  <c r="F57" i="82"/>
  <c r="F99" i="82" s="1"/>
  <c r="F59" i="82"/>
  <c r="F101" i="82" s="1"/>
  <c r="F31" i="82"/>
  <c r="F33" i="82"/>
  <c r="F35" i="82"/>
  <c r="F37" i="82"/>
  <c r="F39" i="82"/>
  <c r="F81" i="82" s="1"/>
  <c r="F41" i="82"/>
  <c r="F83" i="82" s="1"/>
  <c r="F43" i="82"/>
  <c r="F85" i="82" s="1"/>
  <c r="F45" i="82"/>
  <c r="F87" i="82" s="1"/>
  <c r="F47" i="82"/>
  <c r="F89" i="82" s="1"/>
  <c r="F49" i="82"/>
  <c r="F91" i="82" s="1"/>
  <c r="F52" i="82"/>
  <c r="F94" i="82" s="1"/>
  <c r="F54" i="82"/>
  <c r="F96" i="82" s="1"/>
  <c r="F56" i="82"/>
  <c r="F98" i="82" s="1"/>
  <c r="F58" i="82"/>
  <c r="F100" i="82" s="1"/>
  <c r="F60" i="82"/>
  <c r="F102" i="82" s="1"/>
  <c r="L31" i="82"/>
  <c r="L33" i="82"/>
  <c r="L35" i="82"/>
  <c r="L37" i="82"/>
  <c r="L39" i="82"/>
  <c r="L81" i="82" s="1"/>
  <c r="L41" i="82"/>
  <c r="L83" i="82" s="1"/>
  <c r="L43" i="82"/>
  <c r="L85" i="82" s="1"/>
  <c r="L45" i="82"/>
  <c r="L87" i="82" s="1"/>
  <c r="L47" i="82"/>
  <c r="L89" i="82" s="1"/>
  <c r="L49" i="82"/>
  <c r="L91" i="82" s="1"/>
  <c r="L52" i="82"/>
  <c r="L54" i="82"/>
  <c r="L96" i="82" s="1"/>
  <c r="L56" i="82"/>
  <c r="L98" i="82" s="1"/>
  <c r="L58" i="82"/>
  <c r="L100" i="82" s="1"/>
  <c r="L32" i="82"/>
  <c r="L34" i="82"/>
  <c r="L36" i="82"/>
  <c r="L38" i="82"/>
  <c r="L40" i="82"/>
  <c r="L82" i="82" s="1"/>
  <c r="L42" i="82"/>
  <c r="L84" i="82" s="1"/>
  <c r="L44" i="82"/>
  <c r="L86" i="82" s="1"/>
  <c r="L46" i="82"/>
  <c r="L88" i="82" s="1"/>
  <c r="L48" i="82"/>
  <c r="L90" i="82" s="1"/>
  <c r="L53" i="82"/>
  <c r="L95" i="82" s="1"/>
  <c r="L55" i="82"/>
  <c r="L97" i="82" s="1"/>
  <c r="L57" i="82"/>
  <c r="L99" i="82" s="1"/>
  <c r="L59" i="82"/>
  <c r="L101" i="82" s="1"/>
  <c r="H31" i="82"/>
  <c r="H33" i="82"/>
  <c r="H35" i="82"/>
  <c r="H37" i="82"/>
  <c r="H39" i="82"/>
  <c r="H81" i="82" s="1"/>
  <c r="H41" i="82"/>
  <c r="H83" i="82" s="1"/>
  <c r="H43" i="82"/>
  <c r="H85" i="82" s="1"/>
  <c r="H45" i="82"/>
  <c r="H87" i="82" s="1"/>
  <c r="H47" i="82"/>
  <c r="H89" i="82" s="1"/>
  <c r="H49" i="82"/>
  <c r="H91" i="82" s="1"/>
  <c r="H52" i="82"/>
  <c r="H54" i="82"/>
  <c r="H96" i="82" s="1"/>
  <c r="H56" i="82"/>
  <c r="H98" i="82" s="1"/>
  <c r="H58" i="82"/>
  <c r="H100" i="82" s="1"/>
  <c r="H32" i="82"/>
  <c r="H34" i="82"/>
  <c r="H36" i="82"/>
  <c r="H38" i="82"/>
  <c r="H40" i="82"/>
  <c r="H82" i="82" s="1"/>
  <c r="H42" i="82"/>
  <c r="H84" i="82" s="1"/>
  <c r="H44" i="82"/>
  <c r="H86" i="82" s="1"/>
  <c r="H46" i="82"/>
  <c r="H88" i="82" s="1"/>
  <c r="H48" i="82"/>
  <c r="H90" i="82" s="1"/>
  <c r="H53" i="82"/>
  <c r="H95" i="82" s="1"/>
  <c r="H55" i="82"/>
  <c r="H97" i="82" s="1"/>
  <c r="H57" i="82"/>
  <c r="H99" i="82" s="1"/>
  <c r="H59" i="82"/>
  <c r="H101" i="82" s="1"/>
  <c r="D31" i="82"/>
  <c r="D33" i="82"/>
  <c r="D35" i="82"/>
  <c r="D37" i="82"/>
  <c r="D39" i="82"/>
  <c r="D81" i="82" s="1"/>
  <c r="D41" i="82"/>
  <c r="D83" i="82" s="1"/>
  <c r="D43" i="82"/>
  <c r="D85" i="82" s="1"/>
  <c r="D45" i="82"/>
  <c r="D87" i="82" s="1"/>
  <c r="D47" i="82"/>
  <c r="D89" i="82" s="1"/>
  <c r="D49" i="82"/>
  <c r="D91" i="82" s="1"/>
  <c r="D52" i="82"/>
  <c r="D54" i="82"/>
  <c r="D96" i="82" s="1"/>
  <c r="D56" i="82"/>
  <c r="D98" i="82" s="1"/>
  <c r="D58" i="82"/>
  <c r="D100" i="82" s="1"/>
  <c r="D60" i="82"/>
  <c r="D102" i="82" s="1"/>
  <c r="D32" i="82"/>
  <c r="D34" i="82"/>
  <c r="D36" i="82"/>
  <c r="D38" i="82"/>
  <c r="D40" i="82"/>
  <c r="D82" i="82" s="1"/>
  <c r="D42" i="82"/>
  <c r="D84" i="82" s="1"/>
  <c r="D44" i="82"/>
  <c r="D86" i="82" s="1"/>
  <c r="D46" i="82"/>
  <c r="D88" i="82" s="1"/>
  <c r="D48" i="82"/>
  <c r="D90" i="82" s="1"/>
  <c r="D53" i="82"/>
  <c r="D95" i="82" s="1"/>
  <c r="D55" i="82"/>
  <c r="D97" i="82" s="1"/>
  <c r="D57" i="82"/>
  <c r="D99" i="82" s="1"/>
  <c r="D59" i="82"/>
  <c r="D101" i="82" s="1"/>
  <c r="AC116" i="82"/>
  <c r="AL92" i="82"/>
  <c r="AL115" i="82" s="1"/>
  <c r="AL116" i="82" s="1"/>
  <c r="AH92" i="82"/>
  <c r="AH115" i="82" s="1"/>
  <c r="V92" i="82"/>
  <c r="V115" i="82" s="1"/>
  <c r="AO116" i="82"/>
  <c r="AL113" i="82"/>
  <c r="AL117" i="82" s="1"/>
  <c r="AH113" i="82"/>
  <c r="AH117" i="82" s="1"/>
  <c r="AH116" i="82" s="1"/>
  <c r="Z113" i="82"/>
  <c r="Z117" i="82" s="1"/>
  <c r="V113" i="82"/>
  <c r="V117" i="82" s="1"/>
  <c r="C52" i="82"/>
  <c r="C53" i="82"/>
  <c r="C95" i="82" s="1"/>
  <c r="C54" i="82"/>
  <c r="C96" i="82" s="1"/>
  <c r="C70" i="82"/>
  <c r="C112" i="82" s="1"/>
  <c r="C69" i="82"/>
  <c r="C111" i="82" s="1"/>
  <c r="C68" i="82"/>
  <c r="C110" i="82" s="1"/>
  <c r="C67" i="82"/>
  <c r="C109" i="82" s="1"/>
  <c r="C66" i="82"/>
  <c r="C108" i="82" s="1"/>
  <c r="C65" i="82"/>
  <c r="C107" i="82" s="1"/>
  <c r="C64" i="82"/>
  <c r="C106" i="82" s="1"/>
  <c r="C63" i="82"/>
  <c r="C105" i="82" s="1"/>
  <c r="C62" i="82"/>
  <c r="C104" i="82" s="1"/>
  <c r="C61" i="82"/>
  <c r="C103" i="82" s="1"/>
  <c r="C60" i="82"/>
  <c r="C102" i="82" s="1"/>
  <c r="C59" i="82"/>
  <c r="C101" i="82" s="1"/>
  <c r="C58" i="82"/>
  <c r="C100" i="82" s="1"/>
  <c r="C57" i="82"/>
  <c r="C99" i="82" s="1"/>
  <c r="C56" i="82"/>
  <c r="C98" i="82" s="1"/>
  <c r="C55" i="82"/>
  <c r="C97" i="82" s="1"/>
  <c r="C31" i="82"/>
  <c r="C32" i="82"/>
  <c r="C33" i="82"/>
  <c r="C34" i="82"/>
  <c r="C35" i="82"/>
  <c r="C36" i="82"/>
  <c r="C37" i="82"/>
  <c r="C94" i="82"/>
  <c r="C38" i="82"/>
  <c r="C39" i="82"/>
  <c r="C81" i="82" s="1"/>
  <c r="C40" i="82"/>
  <c r="C82" i="82" s="1"/>
  <c r="C41" i="82"/>
  <c r="C83" i="82" s="1"/>
  <c r="C42" i="82"/>
  <c r="C84" i="82" s="1"/>
  <c r="C43" i="82"/>
  <c r="C85" i="82" s="1"/>
  <c r="C44" i="82"/>
  <c r="C86" i="82" s="1"/>
  <c r="C45" i="82"/>
  <c r="C87" i="82" s="1"/>
  <c r="C46" i="82"/>
  <c r="C88" i="82" s="1"/>
  <c r="C47" i="82"/>
  <c r="C89" i="82" s="1"/>
  <c r="C48" i="82"/>
  <c r="C90" i="82" s="1"/>
  <c r="V113" i="80"/>
  <c r="V117" i="80" s="1"/>
  <c r="F113" i="80"/>
  <c r="F117" i="80" s="1"/>
  <c r="AP70" i="80"/>
  <c r="AP112" i="80" s="1"/>
  <c r="AP68" i="80"/>
  <c r="AP110" i="80" s="1"/>
  <c r="AP66" i="80"/>
  <c r="AP108" i="80" s="1"/>
  <c r="AL66" i="80"/>
  <c r="AL108" i="80" s="1"/>
  <c r="AP65" i="80"/>
  <c r="AP107" i="80" s="1"/>
  <c r="AL65" i="80"/>
  <c r="AL107" i="80" s="1"/>
  <c r="AP64" i="80"/>
  <c r="AP106" i="80" s="1"/>
  <c r="AL64" i="80"/>
  <c r="AL106" i="80" s="1"/>
  <c r="AN61" i="80"/>
  <c r="AN103" i="80" s="1"/>
  <c r="AN58" i="80"/>
  <c r="AN100" i="80" s="1"/>
  <c r="AN57" i="80"/>
  <c r="AN99" i="80" s="1"/>
  <c r="AN56" i="80"/>
  <c r="AN98" i="80" s="1"/>
  <c r="AP53" i="80"/>
  <c r="AP95" i="80" s="1"/>
  <c r="AL53" i="80"/>
  <c r="AL95" i="80" s="1"/>
  <c r="AP48" i="80"/>
  <c r="AP90" i="80" s="1"/>
  <c r="AL48" i="80"/>
  <c r="AL90" i="80" s="1"/>
  <c r="AP47" i="80"/>
  <c r="AP89" i="80" s="1"/>
  <c r="AL47" i="80"/>
  <c r="AL89" i="80" s="1"/>
  <c r="AP46" i="80"/>
  <c r="AP88" i="80" s="1"/>
  <c r="AL46" i="80"/>
  <c r="AL88" i="80" s="1"/>
  <c r="AN43" i="80"/>
  <c r="AN85" i="80" s="1"/>
  <c r="AN40" i="80"/>
  <c r="AN82" i="80" s="1"/>
  <c r="AN39" i="80"/>
  <c r="AN81" i="80" s="1"/>
  <c r="AN38" i="80"/>
  <c r="AN80" i="80" s="1"/>
  <c r="AP37" i="80"/>
  <c r="AP34" i="80"/>
  <c r="AL34" i="80"/>
  <c r="AP33" i="80"/>
  <c r="AN32" i="80"/>
  <c r="AN70" i="80"/>
  <c r="AN112" i="80" s="1"/>
  <c r="AN68" i="80"/>
  <c r="AN110" i="80" s="1"/>
  <c r="AN66" i="80"/>
  <c r="AN108" i="80" s="1"/>
  <c r="AN65" i="80"/>
  <c r="AN107" i="80" s="1"/>
  <c r="AN64" i="80"/>
  <c r="AN106" i="80" s="1"/>
  <c r="AP61" i="80"/>
  <c r="AP103" i="80" s="1"/>
  <c r="AL61" i="80"/>
  <c r="AL103" i="80" s="1"/>
  <c r="AP58" i="80"/>
  <c r="AP100" i="80" s="1"/>
  <c r="AL58" i="80"/>
  <c r="AL100" i="80" s="1"/>
  <c r="AP57" i="80"/>
  <c r="AP99" i="80" s="1"/>
  <c r="AL57" i="80"/>
  <c r="AL99" i="80" s="1"/>
  <c r="AP56" i="80"/>
  <c r="AP98" i="80" s="1"/>
  <c r="AL56" i="80"/>
  <c r="AL98" i="80" s="1"/>
  <c r="AN53" i="80"/>
  <c r="AN95" i="80" s="1"/>
  <c r="AN48" i="80"/>
  <c r="AN90" i="80" s="1"/>
  <c r="AN47" i="80"/>
  <c r="AN89" i="80" s="1"/>
  <c r="AN46" i="80"/>
  <c r="AN88" i="80" s="1"/>
  <c r="AP43" i="80"/>
  <c r="AP85" i="80" s="1"/>
  <c r="AL43" i="80"/>
  <c r="AL85" i="80" s="1"/>
  <c r="AP40" i="80"/>
  <c r="AP82" i="80" s="1"/>
  <c r="AL40" i="80"/>
  <c r="AL82" i="80" s="1"/>
  <c r="AP39" i="80"/>
  <c r="AP81" i="80" s="1"/>
  <c r="AL39" i="80"/>
  <c r="AL81" i="80" s="1"/>
  <c r="AP38" i="80"/>
  <c r="AP80" i="80" s="1"/>
  <c r="AL38" i="80"/>
  <c r="AL80" i="80" s="1"/>
  <c r="AL37" i="80"/>
  <c r="AN35" i="80"/>
  <c r="AN34" i="80"/>
  <c r="AK62" i="80"/>
  <c r="AK104" i="80" s="1"/>
  <c r="AK61" i="80"/>
  <c r="AK103" i="80" s="1"/>
  <c r="AK60" i="80"/>
  <c r="AK102" i="80" s="1"/>
  <c r="AK49" i="80"/>
  <c r="AK91" i="80" s="1"/>
  <c r="AK44" i="80"/>
  <c r="AK86" i="80" s="1"/>
  <c r="AK43" i="80"/>
  <c r="AK85" i="80" s="1"/>
  <c r="AK42" i="80"/>
  <c r="AK84" i="80" s="1"/>
  <c r="AK32" i="80"/>
  <c r="AK34" i="80"/>
  <c r="AK33" i="80"/>
  <c r="AK70" i="80"/>
  <c r="AK112" i="80" s="1"/>
  <c r="AK67" i="80"/>
  <c r="AK109" i="80" s="1"/>
  <c r="AK59" i="80"/>
  <c r="AK101" i="80" s="1"/>
  <c r="AK54" i="80"/>
  <c r="AK53" i="80"/>
  <c r="AK95" i="80" s="1"/>
  <c r="AK52" i="80"/>
  <c r="AK94" i="80" s="1"/>
  <c r="AL68" i="80"/>
  <c r="AL110" i="80" s="1"/>
  <c r="AL67" i="80"/>
  <c r="AL109" i="80" s="1"/>
  <c r="AL36" i="80"/>
  <c r="AL35" i="80"/>
  <c r="AL31" i="80"/>
  <c r="AL70" i="80"/>
  <c r="AL112" i="80" s="1"/>
  <c r="AL63" i="80"/>
  <c r="AL105" i="80" s="1"/>
  <c r="AL59" i="80"/>
  <c r="AL101" i="80" s="1"/>
  <c r="AL55" i="80"/>
  <c r="AL97" i="80" s="1"/>
  <c r="AL49" i="80"/>
  <c r="AL91" i="80" s="1"/>
  <c r="AL45" i="80"/>
  <c r="AL41" i="80"/>
  <c r="AL83" i="80" s="1"/>
  <c r="AG71" i="80"/>
  <c r="AJ68" i="80"/>
  <c r="AJ110" i="80" s="1"/>
  <c r="AF68" i="80"/>
  <c r="AF110" i="80" s="1"/>
  <c r="AI71" i="80"/>
  <c r="AH66" i="80"/>
  <c r="AH108" i="80" s="1"/>
  <c r="AJ63" i="80"/>
  <c r="AJ105" i="80" s="1"/>
  <c r="AF63" i="80"/>
  <c r="AF105" i="80" s="1"/>
  <c r="AJ62" i="80"/>
  <c r="AJ104" i="80" s="1"/>
  <c r="AF62" i="80"/>
  <c r="AF104" i="80" s="1"/>
  <c r="AH59" i="80"/>
  <c r="AH101" i="80" s="1"/>
  <c r="AH58" i="80"/>
  <c r="AH100" i="80" s="1"/>
  <c r="AJ55" i="80"/>
  <c r="AJ97" i="80" s="1"/>
  <c r="AF55" i="80"/>
  <c r="AF97" i="80" s="1"/>
  <c r="AJ54" i="80"/>
  <c r="AJ96" i="80" s="1"/>
  <c r="AJ113" i="80" s="1"/>
  <c r="AJ117" i="80" s="1"/>
  <c r="AF54" i="80"/>
  <c r="AF96" i="80" s="1"/>
  <c r="AH49" i="80"/>
  <c r="AH91" i="80" s="1"/>
  <c r="AH48" i="80"/>
  <c r="AH90" i="80" s="1"/>
  <c r="AJ45" i="80"/>
  <c r="AF45" i="80"/>
  <c r="AJ44" i="80"/>
  <c r="AJ86" i="80" s="1"/>
  <c r="AF44" i="80"/>
  <c r="AF86" i="80" s="1"/>
  <c r="AH41" i="80"/>
  <c r="AH83" i="80" s="1"/>
  <c r="AH40" i="80"/>
  <c r="AH82" i="80" s="1"/>
  <c r="AJ37" i="80"/>
  <c r="AJ36" i="80"/>
  <c r="AF36" i="80"/>
  <c r="AH35" i="80"/>
  <c r="AJ32" i="80"/>
  <c r="AF32" i="80"/>
  <c r="AJ31" i="80"/>
  <c r="AH68" i="80"/>
  <c r="AH110" i="80" s="1"/>
  <c r="AJ66" i="80"/>
  <c r="AJ108" i="80" s="1"/>
  <c r="AF66" i="80"/>
  <c r="AF108" i="80" s="1"/>
  <c r="AH63" i="80"/>
  <c r="AH105" i="80" s="1"/>
  <c r="AH62" i="80"/>
  <c r="AH104" i="80" s="1"/>
  <c r="AJ59" i="80"/>
  <c r="AJ101" i="80" s="1"/>
  <c r="AF59" i="80"/>
  <c r="AF101" i="80" s="1"/>
  <c r="AJ58" i="80"/>
  <c r="AJ100" i="80" s="1"/>
  <c r="AF58" i="80"/>
  <c r="AF100" i="80" s="1"/>
  <c r="AH55" i="80"/>
  <c r="AH97" i="80" s="1"/>
  <c r="AH54" i="80"/>
  <c r="AH96" i="80" s="1"/>
  <c r="AJ49" i="80"/>
  <c r="AJ91" i="80" s="1"/>
  <c r="AF49" i="80"/>
  <c r="AF91" i="80" s="1"/>
  <c r="AJ48" i="80"/>
  <c r="AJ90" i="80" s="1"/>
  <c r="AF48" i="80"/>
  <c r="AF90" i="80" s="1"/>
  <c r="AH45" i="80"/>
  <c r="AH44" i="80"/>
  <c r="AH86" i="80" s="1"/>
  <c r="AJ41" i="80"/>
  <c r="AJ83" i="80" s="1"/>
  <c r="AF41" i="80"/>
  <c r="AF83" i="80" s="1"/>
  <c r="AF40" i="80"/>
  <c r="AF82" i="80" s="1"/>
  <c r="AF37" i="80"/>
  <c r="AH36" i="80"/>
  <c r="AH33" i="80"/>
  <c r="AB65" i="80"/>
  <c r="AB107" i="80" s="1"/>
  <c r="AD63" i="80"/>
  <c r="AD105" i="80" s="1"/>
  <c r="Z63" i="80"/>
  <c r="Z105" i="80" s="1"/>
  <c r="AB61" i="80"/>
  <c r="AB103" i="80" s="1"/>
  <c r="AD59" i="80"/>
  <c r="AD101" i="80" s="1"/>
  <c r="Z59" i="80"/>
  <c r="Z101" i="80" s="1"/>
  <c r="AB57" i="80"/>
  <c r="AB99" i="80" s="1"/>
  <c r="AD55" i="80"/>
  <c r="AD97" i="80" s="1"/>
  <c r="Z55" i="80"/>
  <c r="Z97" i="80" s="1"/>
  <c r="AB53" i="80"/>
  <c r="AB95" i="80" s="1"/>
  <c r="AD49" i="80"/>
  <c r="AD91" i="80" s="1"/>
  <c r="Z49" i="80"/>
  <c r="Z91" i="80" s="1"/>
  <c r="AB47" i="80"/>
  <c r="AB89" i="80" s="1"/>
  <c r="AD45" i="80"/>
  <c r="Z45" i="80"/>
  <c r="AB43" i="80"/>
  <c r="AB85" i="80" s="1"/>
  <c r="AD41" i="80"/>
  <c r="AD83" i="80" s="1"/>
  <c r="Z41" i="80"/>
  <c r="Z83" i="80" s="1"/>
  <c r="AB39" i="80"/>
  <c r="AB81" i="80" s="1"/>
  <c r="AD33" i="80"/>
  <c r="AD32" i="80"/>
  <c r="Z32" i="80"/>
  <c r="AD31" i="80"/>
  <c r="AD65" i="80"/>
  <c r="AD107" i="80" s="1"/>
  <c r="Z65" i="80"/>
  <c r="Z107" i="80" s="1"/>
  <c r="AB63" i="80"/>
  <c r="AB105" i="80" s="1"/>
  <c r="AD61" i="80"/>
  <c r="AD103" i="80" s="1"/>
  <c r="Z61" i="80"/>
  <c r="Z103" i="80" s="1"/>
  <c r="AB59" i="80"/>
  <c r="AB101" i="80" s="1"/>
  <c r="AD57" i="80"/>
  <c r="AD99" i="80" s="1"/>
  <c r="Z57" i="80"/>
  <c r="Z99" i="80" s="1"/>
  <c r="AB55" i="80"/>
  <c r="AB97" i="80" s="1"/>
  <c r="AD53" i="80"/>
  <c r="AD95" i="80" s="1"/>
  <c r="Z53" i="80"/>
  <c r="Z95" i="80" s="1"/>
  <c r="AB49" i="80"/>
  <c r="AB91" i="80" s="1"/>
  <c r="AD47" i="80"/>
  <c r="AD89" i="80" s="1"/>
  <c r="Z47" i="80"/>
  <c r="Z89" i="80" s="1"/>
  <c r="AB45" i="80"/>
  <c r="AD43" i="80"/>
  <c r="AD85" i="80" s="1"/>
  <c r="Z43" i="80"/>
  <c r="Z85" i="80" s="1"/>
  <c r="AB41" i="80"/>
  <c r="AB83" i="80" s="1"/>
  <c r="Z39" i="80"/>
  <c r="Z81" i="80" s="1"/>
  <c r="AB37" i="80"/>
  <c r="AB35" i="80"/>
  <c r="Z33" i="80"/>
  <c r="AA71" i="80"/>
  <c r="X48" i="80"/>
  <c r="X90" i="80" s="1"/>
  <c r="T48" i="80"/>
  <c r="T90" i="80" s="1"/>
  <c r="V46" i="80"/>
  <c r="V88" i="80" s="1"/>
  <c r="R46" i="80"/>
  <c r="R88" i="80" s="1"/>
  <c r="X44" i="80"/>
  <c r="X86" i="80" s="1"/>
  <c r="T44" i="80"/>
  <c r="T86" i="80" s="1"/>
  <c r="V42" i="80"/>
  <c r="V84" i="80" s="1"/>
  <c r="R42" i="80"/>
  <c r="R84" i="80" s="1"/>
  <c r="X40" i="80"/>
  <c r="X82" i="80" s="1"/>
  <c r="T40" i="80"/>
  <c r="T82" i="80" s="1"/>
  <c r="V38" i="80"/>
  <c r="V80" i="80" s="1"/>
  <c r="R38" i="80"/>
  <c r="R80" i="80" s="1"/>
  <c r="V37" i="80"/>
  <c r="X36" i="80"/>
  <c r="T36" i="80"/>
  <c r="R35" i="80"/>
  <c r="V34" i="80"/>
  <c r="R34" i="80"/>
  <c r="T33" i="80"/>
  <c r="X31" i="80"/>
  <c r="X50" i="80"/>
  <c r="T50" i="80"/>
  <c r="R113" i="80"/>
  <c r="R117" i="80" s="1"/>
  <c r="S71" i="80"/>
  <c r="V48" i="80"/>
  <c r="V90" i="80" s="1"/>
  <c r="R48" i="80"/>
  <c r="R90" i="80" s="1"/>
  <c r="X46" i="80"/>
  <c r="X88" i="80" s="1"/>
  <c r="T46" i="80"/>
  <c r="T88" i="80" s="1"/>
  <c r="V44" i="80"/>
  <c r="V86" i="80" s="1"/>
  <c r="R44" i="80"/>
  <c r="R86" i="80" s="1"/>
  <c r="X42" i="80"/>
  <c r="X84" i="80" s="1"/>
  <c r="T42" i="80"/>
  <c r="T84" i="80" s="1"/>
  <c r="V40" i="80"/>
  <c r="V82" i="80" s="1"/>
  <c r="R40" i="80"/>
  <c r="R82" i="80" s="1"/>
  <c r="X38" i="80"/>
  <c r="X80" i="80" s="1"/>
  <c r="T38" i="80"/>
  <c r="T80" i="80" s="1"/>
  <c r="R37" i="80"/>
  <c r="V36" i="80"/>
  <c r="X34" i="80"/>
  <c r="T34" i="80"/>
  <c r="V50" i="80"/>
  <c r="R50" i="80"/>
  <c r="Q32" i="80"/>
  <c r="Q38" i="80"/>
  <c r="Q80" i="80" s="1"/>
  <c r="N50" i="80"/>
  <c r="J50" i="80"/>
  <c r="P50" i="80"/>
  <c r="L50" i="80"/>
  <c r="I34" i="80"/>
  <c r="I36" i="80"/>
  <c r="X113" i="80"/>
  <c r="X117" i="80" s="1"/>
  <c r="H113" i="80"/>
  <c r="H117" i="80" s="1"/>
  <c r="AI113" i="80"/>
  <c r="AI117" i="80" s="1"/>
  <c r="AA113" i="80"/>
  <c r="AA117" i="80" s="1"/>
  <c r="S113" i="80"/>
  <c r="S117" i="80" s="1"/>
  <c r="G113" i="80"/>
  <c r="G117" i="80" s="1"/>
  <c r="T113" i="80"/>
  <c r="T117" i="80" s="1"/>
  <c r="D113" i="80"/>
  <c r="D117" i="80" s="1"/>
  <c r="AM113" i="80"/>
  <c r="AM117" i="80" s="1"/>
  <c r="AE113" i="80"/>
  <c r="AE117" i="80" s="1"/>
  <c r="W113" i="80"/>
  <c r="W117" i="80" s="1"/>
  <c r="AO113" i="80"/>
  <c r="AO117" i="80" s="1"/>
  <c r="AG113" i="80"/>
  <c r="AG117" i="80" s="1"/>
  <c r="AC113" i="80"/>
  <c r="AC117" i="80" s="1"/>
  <c r="Y113" i="80"/>
  <c r="Y117" i="80" s="1"/>
  <c r="U113" i="80"/>
  <c r="U117" i="80" s="1"/>
  <c r="Q113" i="80"/>
  <c r="Q117" i="80" s="1"/>
  <c r="E113" i="80"/>
  <c r="E117" i="80" s="1"/>
  <c r="AP71" i="80"/>
  <c r="AH71" i="80"/>
  <c r="AD71" i="80"/>
  <c r="V71" i="80"/>
  <c r="R71" i="80"/>
  <c r="N71" i="80"/>
  <c r="J71" i="80"/>
  <c r="F71" i="80"/>
  <c r="AN71" i="80"/>
  <c r="AJ71" i="80"/>
  <c r="AF71" i="80"/>
  <c r="AB71" i="80"/>
  <c r="X71" i="80"/>
  <c r="T71" i="80"/>
  <c r="P71" i="80"/>
  <c r="L71" i="80"/>
  <c r="H71" i="80"/>
  <c r="D71" i="80"/>
  <c r="AM37" i="80"/>
  <c r="AI37" i="80"/>
  <c r="AE37" i="80"/>
  <c r="AA37" i="80"/>
  <c r="W37" i="80"/>
  <c r="S37" i="80"/>
  <c r="O37" i="80"/>
  <c r="K37" i="80"/>
  <c r="G37" i="80"/>
  <c r="AO35" i="80"/>
  <c r="AK35" i="80"/>
  <c r="AG35" i="80"/>
  <c r="AC35" i="80"/>
  <c r="Y35" i="80"/>
  <c r="U35" i="80"/>
  <c r="Q35" i="80"/>
  <c r="M35" i="80"/>
  <c r="I35" i="80"/>
  <c r="E35" i="80"/>
  <c r="AM33" i="80"/>
  <c r="AI33" i="80"/>
  <c r="AE33" i="80"/>
  <c r="AA33" i="80"/>
  <c r="W33" i="80"/>
  <c r="S33" i="80"/>
  <c r="O33" i="80"/>
  <c r="K33" i="80"/>
  <c r="G33" i="80"/>
  <c r="AO31" i="80"/>
  <c r="AK31" i="80"/>
  <c r="AG31" i="80"/>
  <c r="AC31" i="80"/>
  <c r="Y31" i="80"/>
  <c r="U31" i="80"/>
  <c r="Q31" i="80"/>
  <c r="M31" i="80"/>
  <c r="I31" i="80"/>
  <c r="E31" i="80"/>
  <c r="AO37" i="80"/>
  <c r="AK37" i="80"/>
  <c r="AG37" i="80"/>
  <c r="AC37" i="80"/>
  <c r="Y37" i="80"/>
  <c r="U37" i="80"/>
  <c r="Q37" i="80"/>
  <c r="M37" i="80"/>
  <c r="I37" i="80"/>
  <c r="E37" i="80"/>
  <c r="AM35" i="80"/>
  <c r="AI35" i="80"/>
  <c r="AE35" i="80"/>
  <c r="AA35" i="80"/>
  <c r="W35" i="80"/>
  <c r="S35" i="80"/>
  <c r="O35" i="80"/>
  <c r="K35" i="80"/>
  <c r="G35" i="80"/>
  <c r="C31" i="80"/>
  <c r="C35" i="80"/>
  <c r="C39" i="80"/>
  <c r="C81" i="80" s="1"/>
  <c r="C43" i="80"/>
  <c r="C85" i="80" s="1"/>
  <c r="C47" i="80"/>
  <c r="C89" i="80" s="1"/>
  <c r="C53" i="80"/>
  <c r="C95" i="80" s="1"/>
  <c r="C57" i="80"/>
  <c r="C99" i="80" s="1"/>
  <c r="C61" i="80"/>
  <c r="C103" i="80" s="1"/>
  <c r="C65" i="80"/>
  <c r="C107" i="80" s="1"/>
  <c r="C69" i="80"/>
  <c r="C111" i="80" s="1"/>
  <c r="C33" i="80"/>
  <c r="C37" i="80"/>
  <c r="C41" i="80"/>
  <c r="C83" i="80" s="1"/>
  <c r="C49" i="80"/>
  <c r="C91" i="80" s="1"/>
  <c r="C55" i="80"/>
  <c r="C97" i="80" s="1"/>
  <c r="C59" i="80"/>
  <c r="C101" i="80" s="1"/>
  <c r="C63" i="80"/>
  <c r="C105" i="80" s="1"/>
  <c r="C34" i="80"/>
  <c r="C38" i="80"/>
  <c r="C42" i="80"/>
  <c r="C84" i="80" s="1"/>
  <c r="C46" i="80"/>
  <c r="C88" i="80" s="1"/>
  <c r="C52" i="80"/>
  <c r="C94" i="80" s="1"/>
  <c r="C56" i="80"/>
  <c r="C98" i="80" s="1"/>
  <c r="C60" i="80"/>
  <c r="C102" i="80" s="1"/>
  <c r="C64" i="80"/>
  <c r="C106" i="80" s="1"/>
  <c r="C68" i="80"/>
  <c r="C110" i="80" s="1"/>
  <c r="C32" i="80"/>
  <c r="C36" i="80"/>
  <c r="C40" i="80"/>
  <c r="C82" i="80" s="1"/>
  <c r="C44" i="80"/>
  <c r="C86" i="80" s="1"/>
  <c r="C48" i="80"/>
  <c r="C90" i="80" s="1"/>
  <c r="C54" i="80"/>
  <c r="C96" i="80" s="1"/>
  <c r="C58" i="80"/>
  <c r="C100" i="80" s="1"/>
  <c r="C62" i="80"/>
  <c r="C104" i="80" s="1"/>
  <c r="C66" i="80"/>
  <c r="C108" i="80" s="1"/>
  <c r="C70" i="80"/>
  <c r="C112" i="80" s="1"/>
  <c r="C67" i="80"/>
  <c r="C109" i="80" s="1"/>
  <c r="C50" i="80"/>
  <c r="J113" i="82" l="1"/>
  <c r="J117" i="82" s="1"/>
  <c r="F113" i="82"/>
  <c r="F117" i="82" s="1"/>
  <c r="AA92" i="82"/>
  <c r="AA115" i="82" s="1"/>
  <c r="AA116" i="82" s="1"/>
  <c r="AA50" i="82"/>
  <c r="AJ50" i="82"/>
  <c r="AJ71" i="82"/>
  <c r="AJ95" i="82"/>
  <c r="AE71" i="82"/>
  <c r="AE94" i="82"/>
  <c r="AE113" i="82" s="1"/>
  <c r="AE117" i="82" s="1"/>
  <c r="AI71" i="82"/>
  <c r="AI94" i="82"/>
  <c r="AI113" i="82" s="1"/>
  <c r="AI117" i="82" s="1"/>
  <c r="AE50" i="82"/>
  <c r="AI92" i="82"/>
  <c r="AI115" i="82" s="1"/>
  <c r="AG71" i="82"/>
  <c r="AG94" i="82"/>
  <c r="AG113" i="82" s="1"/>
  <c r="AG117" i="82" s="1"/>
  <c r="AG50" i="82"/>
  <c r="AI50" i="82"/>
  <c r="AD50" i="82"/>
  <c r="AD71" i="82"/>
  <c r="AD112" i="82"/>
  <c r="AD113" i="82" s="1"/>
  <c r="AD117" i="82" s="1"/>
  <c r="V116" i="82"/>
  <c r="H50" i="82"/>
  <c r="J71" i="82"/>
  <c r="J50" i="82"/>
  <c r="F71" i="82"/>
  <c r="D50" i="82"/>
  <c r="L94" i="82"/>
  <c r="L113" i="82" s="1"/>
  <c r="L117" i="82" s="1"/>
  <c r="L71" i="82"/>
  <c r="N71" i="82"/>
  <c r="F50" i="82"/>
  <c r="H71" i="82"/>
  <c r="H94" i="82"/>
  <c r="H113" i="82" s="1"/>
  <c r="H117" i="82" s="1"/>
  <c r="D71" i="82"/>
  <c r="D94" i="82"/>
  <c r="D113" i="82" s="1"/>
  <c r="D117" i="82" s="1"/>
  <c r="L50" i="82"/>
  <c r="N50" i="82"/>
  <c r="C71" i="82"/>
  <c r="C113" i="82"/>
  <c r="C117" i="82" s="1"/>
  <c r="C50" i="82"/>
  <c r="AH113" i="80"/>
  <c r="AH117" i="80" s="1"/>
  <c r="AL113" i="80"/>
  <c r="AL117" i="80" s="1"/>
  <c r="AB113" i="80"/>
  <c r="AB117" i="80" s="1"/>
  <c r="AD113" i="80"/>
  <c r="AD117" i="80" s="1"/>
  <c r="AN113" i="80"/>
  <c r="AN117" i="80" s="1"/>
  <c r="AP113" i="80"/>
  <c r="AP117" i="80" s="1"/>
  <c r="AF113" i="80"/>
  <c r="AF117" i="80" s="1"/>
  <c r="Z113" i="80"/>
  <c r="Z117" i="80" s="1"/>
  <c r="AP50" i="80"/>
  <c r="AN50" i="80"/>
  <c r="AK71" i="80"/>
  <c r="AK96" i="80"/>
  <c r="AK113" i="80" s="1"/>
  <c r="AK117" i="80" s="1"/>
  <c r="AL50" i="80"/>
  <c r="AL87" i="80"/>
  <c r="AL71" i="80"/>
  <c r="AH50" i="80"/>
  <c r="AH87" i="80"/>
  <c r="AF50" i="80"/>
  <c r="AF87" i="80"/>
  <c r="AJ50" i="80"/>
  <c r="AJ87" i="80"/>
  <c r="AE50" i="80"/>
  <c r="Z71" i="80"/>
  <c r="AB50" i="80"/>
  <c r="AB87" i="80"/>
  <c r="Z50" i="80"/>
  <c r="Z87" i="80"/>
  <c r="AD50" i="80"/>
  <c r="AD87" i="80"/>
  <c r="O50" i="80"/>
  <c r="M50" i="80"/>
  <c r="AC50" i="80"/>
  <c r="G50" i="80"/>
  <c r="W50" i="80"/>
  <c r="AM50" i="80"/>
  <c r="Q50" i="80"/>
  <c r="AG50" i="80"/>
  <c r="E50" i="80"/>
  <c r="U50" i="80"/>
  <c r="AK50" i="80"/>
  <c r="K50" i="80"/>
  <c r="S50" i="80"/>
  <c r="AA50" i="80"/>
  <c r="AI50" i="80"/>
  <c r="I50" i="80"/>
  <c r="Y50" i="80"/>
  <c r="AO50" i="80"/>
  <c r="C113" i="80"/>
  <c r="C117" i="80" s="1"/>
  <c r="C71" i="80"/>
  <c r="AI116" i="82" l="1"/>
  <c r="A5" i="80"/>
  <c r="C3" i="80"/>
  <c r="AP7" i="80"/>
  <c r="P7" i="80"/>
  <c r="Y60" i="79"/>
  <c r="X5" i="81" s="1"/>
  <c r="AE60" i="79"/>
  <c r="AD5" i="81" s="1"/>
  <c r="AJ60" i="79"/>
  <c r="AI5" i="81" s="1"/>
  <c r="AK60" i="79"/>
  <c r="AJ5" i="81" s="1"/>
  <c r="AP60" i="79"/>
  <c r="AO5" i="81" s="1"/>
  <c r="AQ60" i="79"/>
  <c r="AP5" i="81" s="1"/>
  <c r="BK60" i="79"/>
  <c r="BJ5" i="81" s="1"/>
  <c r="BL60" i="79"/>
  <c r="BK5" i="81" s="1"/>
  <c r="BP60" i="79"/>
  <c r="BO5" i="81" s="1"/>
  <c r="BQ60" i="79"/>
  <c r="BP5" i="81" s="1"/>
  <c r="BR60" i="79"/>
  <c r="BQ5" i="81" s="1"/>
  <c r="BW60" i="79"/>
  <c r="BV5" i="81" s="1"/>
  <c r="BX60" i="79"/>
  <c r="BW5" i="81" s="1"/>
  <c r="CA60" i="79"/>
  <c r="BZ5" i="81" s="1"/>
  <c r="CB60" i="79"/>
  <c r="CA5" i="81" s="1"/>
  <c r="CC60" i="79"/>
  <c r="CB5" i="81" s="1"/>
  <c r="CD60" i="79"/>
  <c r="CC5" i="81" s="1"/>
  <c r="Y61" i="79"/>
  <c r="X6" i="81" s="1"/>
  <c r="AE61" i="79"/>
  <c r="AD6" i="81" s="1"/>
  <c r="AJ61" i="79"/>
  <c r="AI6" i="81" s="1"/>
  <c r="AK61" i="79"/>
  <c r="AJ6" i="81" s="1"/>
  <c r="AP61" i="79"/>
  <c r="AO6" i="81" s="1"/>
  <c r="AQ61" i="79"/>
  <c r="AP6" i="81" s="1"/>
  <c r="BK61" i="79"/>
  <c r="BJ6" i="81" s="1"/>
  <c r="BL61" i="79"/>
  <c r="BK6" i="81" s="1"/>
  <c r="BP61" i="79"/>
  <c r="BO6" i="81" s="1"/>
  <c r="BQ61" i="79"/>
  <c r="BP6" i="81" s="1"/>
  <c r="BR61" i="79"/>
  <c r="BQ6" i="81" s="1"/>
  <c r="BW61" i="79"/>
  <c r="BV6" i="81" s="1"/>
  <c r="BX61" i="79"/>
  <c r="BW6" i="81" s="1"/>
  <c r="CA61" i="79"/>
  <c r="BZ6" i="81" s="1"/>
  <c r="CB61" i="79"/>
  <c r="CA6" i="81" s="1"/>
  <c r="CC61" i="79"/>
  <c r="CB6" i="81" s="1"/>
  <c r="CD61" i="79"/>
  <c r="CC6" i="81" s="1"/>
  <c r="Y62" i="79"/>
  <c r="X7" i="81" s="1"/>
  <c r="AE62" i="79"/>
  <c r="AD7" i="81" s="1"/>
  <c r="AJ62" i="79"/>
  <c r="AI7" i="81" s="1"/>
  <c r="AK62" i="79"/>
  <c r="AJ7" i="81" s="1"/>
  <c r="AP62" i="79"/>
  <c r="AO7" i="81" s="1"/>
  <c r="AQ62" i="79"/>
  <c r="AP7" i="81" s="1"/>
  <c r="BK62" i="79"/>
  <c r="BJ7" i="81" s="1"/>
  <c r="BL62" i="79"/>
  <c r="BK7" i="81" s="1"/>
  <c r="BP62" i="79"/>
  <c r="BO7" i="81" s="1"/>
  <c r="BQ62" i="79"/>
  <c r="BP7" i="81" s="1"/>
  <c r="BR62" i="79"/>
  <c r="BQ7" i="81" s="1"/>
  <c r="BW62" i="79"/>
  <c r="BV7" i="81" s="1"/>
  <c r="BX62" i="79"/>
  <c r="BW7" i="81" s="1"/>
  <c r="CA62" i="79"/>
  <c r="BZ7" i="81" s="1"/>
  <c r="CB62" i="79"/>
  <c r="CA7" i="81" s="1"/>
  <c r="CC62" i="79"/>
  <c r="CB7" i="81" s="1"/>
  <c r="CD62" i="79"/>
  <c r="CC7" i="81" s="1"/>
  <c r="Y63" i="79"/>
  <c r="X8" i="81" s="1"/>
  <c r="AE63" i="79"/>
  <c r="AD8" i="81" s="1"/>
  <c r="AJ63" i="79"/>
  <c r="AI8" i="81" s="1"/>
  <c r="AK63" i="79"/>
  <c r="AJ8" i="81" s="1"/>
  <c r="AP63" i="79"/>
  <c r="AO8" i="81" s="1"/>
  <c r="AQ63" i="79"/>
  <c r="AP8" i="81" s="1"/>
  <c r="BK63" i="79"/>
  <c r="BJ8" i="81" s="1"/>
  <c r="BL63" i="79"/>
  <c r="BK8" i="81" s="1"/>
  <c r="BP63" i="79"/>
  <c r="BO8" i="81" s="1"/>
  <c r="BQ63" i="79"/>
  <c r="BP8" i="81" s="1"/>
  <c r="BR63" i="79"/>
  <c r="BQ8" i="81" s="1"/>
  <c r="BW63" i="79"/>
  <c r="BV8" i="81" s="1"/>
  <c r="BX63" i="79"/>
  <c r="BW8" i="81" s="1"/>
  <c r="CA63" i="79"/>
  <c r="BZ8" i="81" s="1"/>
  <c r="CB63" i="79"/>
  <c r="CA8" i="81" s="1"/>
  <c r="CC63" i="79"/>
  <c r="CB8" i="81" s="1"/>
  <c r="CD63" i="79"/>
  <c r="CC8" i="81" s="1"/>
  <c r="Y64" i="79"/>
  <c r="X9" i="81" s="1"/>
  <c r="AE64" i="79"/>
  <c r="AD9" i="81" s="1"/>
  <c r="AJ64" i="79"/>
  <c r="AI9" i="81" s="1"/>
  <c r="AK64" i="79"/>
  <c r="AJ9" i="81" s="1"/>
  <c r="AP64" i="79"/>
  <c r="AO9" i="81" s="1"/>
  <c r="AQ64" i="79"/>
  <c r="AP9" i="81" s="1"/>
  <c r="BK64" i="79"/>
  <c r="BJ9" i="81" s="1"/>
  <c r="BL64" i="79"/>
  <c r="BK9" i="81" s="1"/>
  <c r="BP64" i="79"/>
  <c r="BO9" i="81" s="1"/>
  <c r="BQ64" i="79"/>
  <c r="BP9" i="81" s="1"/>
  <c r="BR64" i="79"/>
  <c r="BQ9" i="81" s="1"/>
  <c r="BW64" i="79"/>
  <c r="BV9" i="81" s="1"/>
  <c r="BX64" i="79"/>
  <c r="BW9" i="81" s="1"/>
  <c r="CA64" i="79"/>
  <c r="BZ9" i="81" s="1"/>
  <c r="CB64" i="79"/>
  <c r="CA9" i="81" s="1"/>
  <c r="CC64" i="79"/>
  <c r="CB9" i="81" s="1"/>
  <c r="CD64" i="79"/>
  <c r="CC9" i="81" s="1"/>
  <c r="Y65" i="79"/>
  <c r="X10" i="81" s="1"/>
  <c r="AE65" i="79"/>
  <c r="AD10" i="81" s="1"/>
  <c r="AJ65" i="79"/>
  <c r="AI10" i="81" s="1"/>
  <c r="AK65" i="79"/>
  <c r="AJ10" i="81" s="1"/>
  <c r="AP65" i="79"/>
  <c r="AO10" i="81" s="1"/>
  <c r="AQ65" i="79"/>
  <c r="AP10" i="81" s="1"/>
  <c r="BK65" i="79"/>
  <c r="BJ10" i="81" s="1"/>
  <c r="BL65" i="79"/>
  <c r="BK10" i="81" s="1"/>
  <c r="BP65" i="79"/>
  <c r="BO10" i="81" s="1"/>
  <c r="BQ65" i="79"/>
  <c r="BP10" i="81" s="1"/>
  <c r="BR65" i="79"/>
  <c r="BQ10" i="81" s="1"/>
  <c r="BW65" i="79"/>
  <c r="BV10" i="81" s="1"/>
  <c r="BX65" i="79"/>
  <c r="BW10" i="81" s="1"/>
  <c r="CA65" i="79"/>
  <c r="BZ10" i="81" s="1"/>
  <c r="CB65" i="79"/>
  <c r="CA10" i="81" s="1"/>
  <c r="CC65" i="79"/>
  <c r="CB10" i="81" s="1"/>
  <c r="CD65" i="79"/>
  <c r="CC10" i="81" s="1"/>
  <c r="Y66" i="79"/>
  <c r="X11" i="81" s="1"/>
  <c r="AE66" i="79"/>
  <c r="AD11" i="81" s="1"/>
  <c r="AJ66" i="79"/>
  <c r="AI11" i="81" s="1"/>
  <c r="AK66" i="79"/>
  <c r="AJ11" i="81" s="1"/>
  <c r="AP66" i="79"/>
  <c r="AO11" i="81" s="1"/>
  <c r="AQ66" i="79"/>
  <c r="AP11" i="81" s="1"/>
  <c r="BK66" i="79"/>
  <c r="BJ11" i="81" s="1"/>
  <c r="BL66" i="79"/>
  <c r="BK11" i="81" s="1"/>
  <c r="BP66" i="79"/>
  <c r="BO11" i="81" s="1"/>
  <c r="BQ66" i="79"/>
  <c r="BP11" i="81" s="1"/>
  <c r="BR66" i="79"/>
  <c r="BQ11" i="81" s="1"/>
  <c r="BW66" i="79"/>
  <c r="BV11" i="81" s="1"/>
  <c r="BX66" i="79"/>
  <c r="BW11" i="81" s="1"/>
  <c r="CA66" i="79"/>
  <c r="BZ11" i="81" s="1"/>
  <c r="CB66" i="79"/>
  <c r="CA11" i="81" s="1"/>
  <c r="CC66" i="79"/>
  <c r="CB11" i="81" s="1"/>
  <c r="CD66" i="79"/>
  <c r="CC11" i="81" s="1"/>
  <c r="Y67" i="79"/>
  <c r="X12" i="81" s="1"/>
  <c r="AE67" i="79"/>
  <c r="AD12" i="81" s="1"/>
  <c r="AJ67" i="79"/>
  <c r="AI12" i="81" s="1"/>
  <c r="AK67" i="79"/>
  <c r="AJ12" i="81" s="1"/>
  <c r="AP67" i="79"/>
  <c r="AO12" i="81" s="1"/>
  <c r="AQ67" i="79"/>
  <c r="AP12" i="81" s="1"/>
  <c r="BK67" i="79"/>
  <c r="BJ12" i="81" s="1"/>
  <c r="BL67" i="79"/>
  <c r="BK12" i="81" s="1"/>
  <c r="BP67" i="79"/>
  <c r="BO12" i="81" s="1"/>
  <c r="BQ67" i="79"/>
  <c r="BP12" i="81" s="1"/>
  <c r="BR67" i="79"/>
  <c r="BQ12" i="81" s="1"/>
  <c r="BW67" i="79"/>
  <c r="BV12" i="81" s="1"/>
  <c r="BX67" i="79"/>
  <c r="BW12" i="81" s="1"/>
  <c r="CA67" i="79"/>
  <c r="BZ12" i="81" s="1"/>
  <c r="CB67" i="79"/>
  <c r="CA12" i="81" s="1"/>
  <c r="CC67" i="79"/>
  <c r="CB12" i="81" s="1"/>
  <c r="CD67" i="79"/>
  <c r="CC12" i="81" s="1"/>
  <c r="Y68" i="79"/>
  <c r="X13" i="81" s="1"/>
  <c r="AE68" i="79"/>
  <c r="AD13" i="81" s="1"/>
  <c r="AJ68" i="79"/>
  <c r="AI13" i="81" s="1"/>
  <c r="AK68" i="79"/>
  <c r="AJ13" i="81" s="1"/>
  <c r="AP68" i="79"/>
  <c r="AO13" i="81" s="1"/>
  <c r="AQ68" i="79"/>
  <c r="AP13" i="81" s="1"/>
  <c r="BK68" i="79"/>
  <c r="BJ13" i="81" s="1"/>
  <c r="BL68" i="79"/>
  <c r="BK13" i="81" s="1"/>
  <c r="BP68" i="79"/>
  <c r="BO13" i="81" s="1"/>
  <c r="BQ68" i="79"/>
  <c r="BP13" i="81" s="1"/>
  <c r="BR68" i="79"/>
  <c r="BQ13" i="81" s="1"/>
  <c r="BW68" i="79"/>
  <c r="BV13" i="81" s="1"/>
  <c r="BX68" i="79"/>
  <c r="BW13" i="81" s="1"/>
  <c r="CA68" i="79"/>
  <c r="BZ13" i="81" s="1"/>
  <c r="CB68" i="79"/>
  <c r="CA13" i="81" s="1"/>
  <c r="CC68" i="79"/>
  <c r="CB13" i="81" s="1"/>
  <c r="CD68" i="79"/>
  <c r="CC13" i="81" s="1"/>
  <c r="Y69" i="79"/>
  <c r="X14" i="81" s="1"/>
  <c r="AE69" i="79"/>
  <c r="AD14" i="81" s="1"/>
  <c r="AJ69" i="79"/>
  <c r="AI14" i="81" s="1"/>
  <c r="AK69" i="79"/>
  <c r="AJ14" i="81" s="1"/>
  <c r="AP69" i="79"/>
  <c r="AO14" i="81" s="1"/>
  <c r="AQ69" i="79"/>
  <c r="AP14" i="81" s="1"/>
  <c r="BK69" i="79"/>
  <c r="BJ14" i="81" s="1"/>
  <c r="BL69" i="79"/>
  <c r="BK14" i="81" s="1"/>
  <c r="BP69" i="79"/>
  <c r="BO14" i="81" s="1"/>
  <c r="BQ69" i="79"/>
  <c r="BP14" i="81" s="1"/>
  <c r="BR69" i="79"/>
  <c r="BQ14" i="81" s="1"/>
  <c r="BW69" i="79"/>
  <c r="BV14" i="81" s="1"/>
  <c r="BX69" i="79"/>
  <c r="BW14" i="81" s="1"/>
  <c r="CA69" i="79"/>
  <c r="BZ14" i="81" s="1"/>
  <c r="CB69" i="79"/>
  <c r="CA14" i="81" s="1"/>
  <c r="CC69" i="79"/>
  <c r="CB14" i="81" s="1"/>
  <c r="CD69" i="79"/>
  <c r="CC14" i="81" s="1"/>
  <c r="Y70" i="79"/>
  <c r="X15" i="81" s="1"/>
  <c r="AE70" i="79"/>
  <c r="AD15" i="81" s="1"/>
  <c r="AJ70" i="79"/>
  <c r="AI15" i="81" s="1"/>
  <c r="AK70" i="79"/>
  <c r="AJ15" i="81" s="1"/>
  <c r="AP70" i="79"/>
  <c r="AO15" i="81" s="1"/>
  <c r="AQ70" i="79"/>
  <c r="AP15" i="81" s="1"/>
  <c r="BK70" i="79"/>
  <c r="BJ15" i="81" s="1"/>
  <c r="BL70" i="79"/>
  <c r="BK15" i="81" s="1"/>
  <c r="BP70" i="79"/>
  <c r="BO15" i="81" s="1"/>
  <c r="BQ70" i="79"/>
  <c r="BP15" i="81" s="1"/>
  <c r="BR70" i="79"/>
  <c r="BQ15" i="81" s="1"/>
  <c r="BW70" i="79"/>
  <c r="BV15" i="81" s="1"/>
  <c r="BX70" i="79"/>
  <c r="BW15" i="81" s="1"/>
  <c r="CA70" i="79"/>
  <c r="BZ15" i="81" s="1"/>
  <c r="CB70" i="79"/>
  <c r="CA15" i="81" s="1"/>
  <c r="CC70" i="79"/>
  <c r="CB15" i="81" s="1"/>
  <c r="CD70" i="79"/>
  <c r="CC15" i="81" s="1"/>
  <c r="Y71" i="79"/>
  <c r="X16" i="81" s="1"/>
  <c r="AE71" i="79"/>
  <c r="AD16" i="81" s="1"/>
  <c r="AJ71" i="79"/>
  <c r="AI16" i="81" s="1"/>
  <c r="AK71" i="79"/>
  <c r="AJ16" i="81" s="1"/>
  <c r="AP71" i="79"/>
  <c r="AO16" i="81" s="1"/>
  <c r="AQ71" i="79"/>
  <c r="AP16" i="81" s="1"/>
  <c r="BK71" i="79"/>
  <c r="BJ16" i="81" s="1"/>
  <c r="BL71" i="79"/>
  <c r="BK16" i="81" s="1"/>
  <c r="BP71" i="79"/>
  <c r="BO16" i="81" s="1"/>
  <c r="BQ71" i="79"/>
  <c r="BP16" i="81" s="1"/>
  <c r="BR71" i="79"/>
  <c r="BQ16" i="81" s="1"/>
  <c r="BW71" i="79"/>
  <c r="BV16" i="81" s="1"/>
  <c r="BX71" i="79"/>
  <c r="BW16" i="81" s="1"/>
  <c r="CA71" i="79"/>
  <c r="BZ16" i="81" s="1"/>
  <c r="CB71" i="79"/>
  <c r="CA16" i="81" s="1"/>
  <c r="CC71" i="79"/>
  <c r="CB16" i="81" s="1"/>
  <c r="CD71" i="79"/>
  <c r="CC16" i="81" s="1"/>
  <c r="Y72" i="79"/>
  <c r="X17" i="81" s="1"/>
  <c r="AE72" i="79"/>
  <c r="AD17" i="81" s="1"/>
  <c r="AJ72" i="79"/>
  <c r="AI17" i="81" s="1"/>
  <c r="AK72" i="79"/>
  <c r="AJ17" i="81" s="1"/>
  <c r="AP72" i="79"/>
  <c r="AO17" i="81" s="1"/>
  <c r="AQ72" i="79"/>
  <c r="AP17" i="81" s="1"/>
  <c r="BK72" i="79"/>
  <c r="BJ17" i="81" s="1"/>
  <c r="BL72" i="79"/>
  <c r="BK17" i="81" s="1"/>
  <c r="BP72" i="79"/>
  <c r="BO17" i="81" s="1"/>
  <c r="BQ72" i="79"/>
  <c r="BP17" i="81" s="1"/>
  <c r="BR72" i="79"/>
  <c r="BQ17" i="81" s="1"/>
  <c r="BW72" i="79"/>
  <c r="BV17" i="81" s="1"/>
  <c r="BX72" i="79"/>
  <c r="BW17" i="81" s="1"/>
  <c r="CA72" i="79"/>
  <c r="BZ17" i="81" s="1"/>
  <c r="CB72" i="79"/>
  <c r="CA17" i="81" s="1"/>
  <c r="CC72" i="79"/>
  <c r="CB17" i="81" s="1"/>
  <c r="CD72" i="79"/>
  <c r="CC17" i="81" s="1"/>
  <c r="Y73" i="79"/>
  <c r="X18" i="81" s="1"/>
  <c r="AE73" i="79"/>
  <c r="AD18" i="81" s="1"/>
  <c r="AJ73" i="79"/>
  <c r="AI18" i="81" s="1"/>
  <c r="AK73" i="79"/>
  <c r="AJ18" i="81" s="1"/>
  <c r="AP73" i="79"/>
  <c r="AO18" i="81" s="1"/>
  <c r="AQ73" i="79"/>
  <c r="AP18" i="81" s="1"/>
  <c r="BK73" i="79"/>
  <c r="BJ18" i="81" s="1"/>
  <c r="BL73" i="79"/>
  <c r="BK18" i="81" s="1"/>
  <c r="BP73" i="79"/>
  <c r="BO18" i="81" s="1"/>
  <c r="BQ73" i="79"/>
  <c r="BP18" i="81" s="1"/>
  <c r="BR73" i="79"/>
  <c r="BQ18" i="81" s="1"/>
  <c r="BW73" i="79"/>
  <c r="BV18" i="81" s="1"/>
  <c r="BX73" i="79"/>
  <c r="BW18" i="81" s="1"/>
  <c r="CA73" i="79"/>
  <c r="BZ18" i="81" s="1"/>
  <c r="CB73" i="79"/>
  <c r="CA18" i="81" s="1"/>
  <c r="CC73" i="79"/>
  <c r="CB18" i="81" s="1"/>
  <c r="CD73" i="79"/>
  <c r="CC18" i="81" s="1"/>
  <c r="Y74" i="79"/>
  <c r="X19" i="81" s="1"/>
  <c r="AE74" i="79"/>
  <c r="AD19" i="81" s="1"/>
  <c r="AJ74" i="79"/>
  <c r="AI19" i="81" s="1"/>
  <c r="AK74" i="79"/>
  <c r="AJ19" i="81" s="1"/>
  <c r="AP74" i="79"/>
  <c r="AO19" i="81" s="1"/>
  <c r="AQ74" i="79"/>
  <c r="AP19" i="81" s="1"/>
  <c r="BK74" i="79"/>
  <c r="BJ19" i="81" s="1"/>
  <c r="BL74" i="79"/>
  <c r="BK19" i="81" s="1"/>
  <c r="BP74" i="79"/>
  <c r="BO19" i="81" s="1"/>
  <c r="BQ74" i="79"/>
  <c r="BP19" i="81" s="1"/>
  <c r="BR74" i="79"/>
  <c r="BQ19" i="81" s="1"/>
  <c r="BW74" i="79"/>
  <c r="BV19" i="81" s="1"/>
  <c r="BX74" i="79"/>
  <c r="BW19" i="81" s="1"/>
  <c r="CA74" i="79"/>
  <c r="BZ19" i="81" s="1"/>
  <c r="CB74" i="79"/>
  <c r="CA19" i="81" s="1"/>
  <c r="CC74" i="79"/>
  <c r="CB19" i="81" s="1"/>
  <c r="CD74" i="79"/>
  <c r="CC19" i="81" s="1"/>
  <c r="Y75" i="79"/>
  <c r="X20" i="81" s="1"/>
  <c r="AE75" i="79"/>
  <c r="AD20" i="81" s="1"/>
  <c r="AJ75" i="79"/>
  <c r="AI20" i="81" s="1"/>
  <c r="AK75" i="79"/>
  <c r="AJ20" i="81" s="1"/>
  <c r="AP75" i="79"/>
  <c r="AO20" i="81" s="1"/>
  <c r="AQ75" i="79"/>
  <c r="AP20" i="81" s="1"/>
  <c r="BK75" i="79"/>
  <c r="BJ20" i="81" s="1"/>
  <c r="BL75" i="79"/>
  <c r="BK20" i="81" s="1"/>
  <c r="BP75" i="79"/>
  <c r="BO20" i="81" s="1"/>
  <c r="BQ75" i="79"/>
  <c r="BP20" i="81" s="1"/>
  <c r="BR75" i="79"/>
  <c r="BQ20" i="81" s="1"/>
  <c r="BW75" i="79"/>
  <c r="BV20" i="81" s="1"/>
  <c r="BX75" i="79"/>
  <c r="BW20" i="81" s="1"/>
  <c r="CA75" i="79"/>
  <c r="BZ20" i="81" s="1"/>
  <c r="CB75" i="79"/>
  <c r="CA20" i="81" s="1"/>
  <c r="CC75" i="79"/>
  <c r="CB20" i="81" s="1"/>
  <c r="CD75" i="79"/>
  <c r="CC20" i="81" s="1"/>
  <c r="Y76" i="79"/>
  <c r="X21" i="81" s="1"/>
  <c r="AE76" i="79"/>
  <c r="AD21" i="81" s="1"/>
  <c r="AJ76" i="79"/>
  <c r="AI21" i="81" s="1"/>
  <c r="AK76" i="79"/>
  <c r="AJ21" i="81" s="1"/>
  <c r="AP76" i="79"/>
  <c r="AO21" i="81" s="1"/>
  <c r="AQ76" i="79"/>
  <c r="AP21" i="81" s="1"/>
  <c r="BK76" i="79"/>
  <c r="BJ21" i="81" s="1"/>
  <c r="BL76" i="79"/>
  <c r="BK21" i="81" s="1"/>
  <c r="BP76" i="79"/>
  <c r="BO21" i="81" s="1"/>
  <c r="BQ76" i="79"/>
  <c r="BP21" i="81" s="1"/>
  <c r="BR76" i="79"/>
  <c r="BQ21" i="81" s="1"/>
  <c r="BW76" i="79"/>
  <c r="BV21" i="81" s="1"/>
  <c r="BX76" i="79"/>
  <c r="BW21" i="81" s="1"/>
  <c r="CA76" i="79"/>
  <c r="BZ21" i="81" s="1"/>
  <c r="CB76" i="79"/>
  <c r="CA21" i="81" s="1"/>
  <c r="CC76" i="79"/>
  <c r="CB21" i="81" s="1"/>
  <c r="CD76" i="79"/>
  <c r="CC21" i="81" s="1"/>
  <c r="Y77" i="79"/>
  <c r="X22" i="81" s="1"/>
  <c r="AE77" i="79"/>
  <c r="AD22" i="81" s="1"/>
  <c r="AJ77" i="79"/>
  <c r="AI22" i="81" s="1"/>
  <c r="AK77" i="79"/>
  <c r="AJ22" i="81" s="1"/>
  <c r="AP77" i="79"/>
  <c r="AO22" i="81" s="1"/>
  <c r="AQ77" i="79"/>
  <c r="AP22" i="81" s="1"/>
  <c r="BK77" i="79"/>
  <c r="BJ22" i="81" s="1"/>
  <c r="BL77" i="79"/>
  <c r="BK22" i="81" s="1"/>
  <c r="BP77" i="79"/>
  <c r="BO22" i="81" s="1"/>
  <c r="BQ77" i="79"/>
  <c r="BP22" i="81" s="1"/>
  <c r="BR77" i="79"/>
  <c r="BQ22" i="81" s="1"/>
  <c r="BW77" i="79"/>
  <c r="BV22" i="81" s="1"/>
  <c r="BX77" i="79"/>
  <c r="BW22" i="81" s="1"/>
  <c r="CA77" i="79"/>
  <c r="BZ22" i="81" s="1"/>
  <c r="CB77" i="79"/>
  <c r="CA22" i="81" s="1"/>
  <c r="CC77" i="79"/>
  <c r="CB22" i="81" s="1"/>
  <c r="CD77" i="79"/>
  <c r="CC22" i="81" s="1"/>
  <c r="Y78" i="79"/>
  <c r="X23" i="81" s="1"/>
  <c r="AE78" i="79"/>
  <c r="AD23" i="81" s="1"/>
  <c r="AJ78" i="79"/>
  <c r="AI23" i="81" s="1"/>
  <c r="AK78" i="79"/>
  <c r="AJ23" i="81" s="1"/>
  <c r="AP78" i="79"/>
  <c r="AO23" i="81" s="1"/>
  <c r="AQ78" i="79"/>
  <c r="AP23" i="81" s="1"/>
  <c r="BK78" i="79"/>
  <c r="BJ23" i="81" s="1"/>
  <c r="BL78" i="79"/>
  <c r="BK23" i="81" s="1"/>
  <c r="BP78" i="79"/>
  <c r="BO23" i="81" s="1"/>
  <c r="BQ78" i="79"/>
  <c r="BP23" i="81" s="1"/>
  <c r="BR78" i="79"/>
  <c r="BQ23" i="81" s="1"/>
  <c r="BW78" i="79"/>
  <c r="BV23" i="81" s="1"/>
  <c r="BX78" i="79"/>
  <c r="BW23" i="81" s="1"/>
  <c r="CA78" i="79"/>
  <c r="BZ23" i="81" s="1"/>
  <c r="CB78" i="79"/>
  <c r="CA23" i="81" s="1"/>
  <c r="CC78" i="79"/>
  <c r="CB23" i="81" s="1"/>
  <c r="CD78" i="79"/>
  <c r="CC23" i="81" s="1"/>
  <c r="Y79" i="79"/>
  <c r="X24" i="81" s="1"/>
  <c r="AE79" i="79"/>
  <c r="AD24" i="81" s="1"/>
  <c r="AJ79" i="79"/>
  <c r="AI24" i="81" s="1"/>
  <c r="AK79" i="79"/>
  <c r="AJ24" i="81" s="1"/>
  <c r="AP79" i="79"/>
  <c r="AO24" i="81" s="1"/>
  <c r="AQ79" i="79"/>
  <c r="AP24" i="81" s="1"/>
  <c r="BK79" i="79"/>
  <c r="BJ24" i="81" s="1"/>
  <c r="BL79" i="79"/>
  <c r="BK24" i="81" s="1"/>
  <c r="BP79" i="79"/>
  <c r="BO24" i="81" s="1"/>
  <c r="BQ79" i="79"/>
  <c r="BP24" i="81" s="1"/>
  <c r="BR79" i="79"/>
  <c r="BQ24" i="81" s="1"/>
  <c r="BW79" i="79"/>
  <c r="BV24" i="81" s="1"/>
  <c r="BX79" i="79"/>
  <c r="BW24" i="81" s="1"/>
  <c r="CA79" i="79"/>
  <c r="BZ24" i="81" s="1"/>
  <c r="CB79" i="79"/>
  <c r="CA24" i="81" s="1"/>
  <c r="CC79" i="79"/>
  <c r="CB24" i="81" s="1"/>
  <c r="CD79" i="79"/>
  <c r="CC24" i="81" s="1"/>
  <c r="Y80" i="79"/>
  <c r="X25" i="81" s="1"/>
  <c r="AE80" i="79"/>
  <c r="AD25" i="81" s="1"/>
  <c r="AJ80" i="79"/>
  <c r="AI25" i="81" s="1"/>
  <c r="AK80" i="79"/>
  <c r="AJ25" i="81" s="1"/>
  <c r="AP80" i="79"/>
  <c r="AO25" i="81" s="1"/>
  <c r="AQ80" i="79"/>
  <c r="AP25" i="81" s="1"/>
  <c r="BK80" i="79"/>
  <c r="BJ25" i="81" s="1"/>
  <c r="BL80" i="79"/>
  <c r="BK25" i="81" s="1"/>
  <c r="BP80" i="79"/>
  <c r="BO25" i="81" s="1"/>
  <c r="BQ80" i="79"/>
  <c r="BP25" i="81" s="1"/>
  <c r="BR80" i="79"/>
  <c r="BQ25" i="81" s="1"/>
  <c r="BW80" i="79"/>
  <c r="BV25" i="81" s="1"/>
  <c r="BX80" i="79"/>
  <c r="BW25" i="81" s="1"/>
  <c r="CA80" i="79"/>
  <c r="BZ25" i="81" s="1"/>
  <c r="CB80" i="79"/>
  <c r="CA25" i="81" s="1"/>
  <c r="CC80" i="79"/>
  <c r="CB25" i="81" s="1"/>
  <c r="CD80" i="79"/>
  <c r="CC25" i="81" s="1"/>
  <c r="Y81" i="79"/>
  <c r="X26" i="81" s="1"/>
  <c r="AE81" i="79"/>
  <c r="AD26" i="81" s="1"/>
  <c r="AJ81" i="79"/>
  <c r="AI26" i="81" s="1"/>
  <c r="AK81" i="79"/>
  <c r="AJ26" i="81" s="1"/>
  <c r="AP81" i="79"/>
  <c r="AO26" i="81" s="1"/>
  <c r="AQ81" i="79"/>
  <c r="AP26" i="81" s="1"/>
  <c r="BK81" i="79"/>
  <c r="BJ26" i="81" s="1"/>
  <c r="BL81" i="79"/>
  <c r="BK26" i="81" s="1"/>
  <c r="BP81" i="79"/>
  <c r="BO26" i="81" s="1"/>
  <c r="BQ81" i="79"/>
  <c r="BP26" i="81" s="1"/>
  <c r="BR81" i="79"/>
  <c r="BQ26" i="81" s="1"/>
  <c r="BW81" i="79"/>
  <c r="BV26" i="81" s="1"/>
  <c r="BX81" i="79"/>
  <c r="BW26" i="81" s="1"/>
  <c r="CA81" i="79"/>
  <c r="BZ26" i="81" s="1"/>
  <c r="CB81" i="79"/>
  <c r="CA26" i="81" s="1"/>
  <c r="CC81" i="79"/>
  <c r="CB26" i="81" s="1"/>
  <c r="CD81" i="79"/>
  <c r="CC26" i="81" s="1"/>
  <c r="Y82" i="79"/>
  <c r="X27" i="81" s="1"/>
  <c r="AE82" i="79"/>
  <c r="AD27" i="81" s="1"/>
  <c r="AJ82" i="79"/>
  <c r="AI27" i="81" s="1"/>
  <c r="AK82" i="79"/>
  <c r="AJ27" i="81" s="1"/>
  <c r="AP82" i="79"/>
  <c r="AO27" i="81" s="1"/>
  <c r="AQ82" i="79"/>
  <c r="AP27" i="81" s="1"/>
  <c r="BK82" i="79"/>
  <c r="BJ27" i="81" s="1"/>
  <c r="BL82" i="79"/>
  <c r="BK27" i="81" s="1"/>
  <c r="BP82" i="79"/>
  <c r="BO27" i="81" s="1"/>
  <c r="BQ82" i="79"/>
  <c r="BP27" i="81" s="1"/>
  <c r="BR82" i="79"/>
  <c r="BQ27" i="81" s="1"/>
  <c r="BW82" i="79"/>
  <c r="BV27" i="81" s="1"/>
  <c r="BX82" i="79"/>
  <c r="BW27" i="81" s="1"/>
  <c r="CA82" i="79"/>
  <c r="BZ27" i="81" s="1"/>
  <c r="CB82" i="79"/>
  <c r="CA27" i="81" s="1"/>
  <c r="CC82" i="79"/>
  <c r="CB27" i="81" s="1"/>
  <c r="CD82" i="79"/>
  <c r="CC27" i="81" s="1"/>
  <c r="Y83" i="79"/>
  <c r="X28" i="81" s="1"/>
  <c r="AE83" i="79"/>
  <c r="AD28" i="81" s="1"/>
  <c r="AJ83" i="79"/>
  <c r="AI28" i="81" s="1"/>
  <c r="AK83" i="79"/>
  <c r="AJ28" i="81" s="1"/>
  <c r="AP83" i="79"/>
  <c r="AO28" i="81" s="1"/>
  <c r="AQ83" i="79"/>
  <c r="AP28" i="81" s="1"/>
  <c r="BK83" i="79"/>
  <c r="BJ28" i="81" s="1"/>
  <c r="BL83" i="79"/>
  <c r="BK28" i="81" s="1"/>
  <c r="BP83" i="79"/>
  <c r="BO28" i="81" s="1"/>
  <c r="BQ83" i="79"/>
  <c r="BP28" i="81" s="1"/>
  <c r="BR83" i="79"/>
  <c r="BQ28" i="81" s="1"/>
  <c r="BW83" i="79"/>
  <c r="BV28" i="81" s="1"/>
  <c r="BX83" i="79"/>
  <c r="BW28" i="81" s="1"/>
  <c r="CA83" i="79"/>
  <c r="BZ28" i="81" s="1"/>
  <c r="CB83" i="79"/>
  <c r="CA28" i="81" s="1"/>
  <c r="CC83" i="79"/>
  <c r="CB28" i="81" s="1"/>
  <c r="CD83" i="79"/>
  <c r="CC28" i="81" s="1"/>
  <c r="Y84" i="79"/>
  <c r="X29" i="81" s="1"/>
  <c r="AE84" i="79"/>
  <c r="AD29" i="81" s="1"/>
  <c r="AJ84" i="79"/>
  <c r="AI29" i="81" s="1"/>
  <c r="AK84" i="79"/>
  <c r="AJ29" i="81" s="1"/>
  <c r="AP84" i="79"/>
  <c r="AO29" i="81" s="1"/>
  <c r="AQ84" i="79"/>
  <c r="AP29" i="81" s="1"/>
  <c r="BK84" i="79"/>
  <c r="BJ29" i="81" s="1"/>
  <c r="BL84" i="79"/>
  <c r="BK29" i="81" s="1"/>
  <c r="BP84" i="79"/>
  <c r="BO29" i="81" s="1"/>
  <c r="BQ84" i="79"/>
  <c r="BP29" i="81" s="1"/>
  <c r="BR84" i="79"/>
  <c r="BQ29" i="81" s="1"/>
  <c r="BW84" i="79"/>
  <c r="BV29" i="81" s="1"/>
  <c r="BX84" i="79"/>
  <c r="BW29" i="81" s="1"/>
  <c r="CA84" i="79"/>
  <c r="BZ29" i="81" s="1"/>
  <c r="CB84" i="79"/>
  <c r="CA29" i="81" s="1"/>
  <c r="CC84" i="79"/>
  <c r="CB29" i="81" s="1"/>
  <c r="CD84" i="79"/>
  <c r="CC29" i="81" s="1"/>
  <c r="Y85" i="79"/>
  <c r="X30" i="81" s="1"/>
  <c r="AE85" i="79"/>
  <c r="AD30" i="81" s="1"/>
  <c r="AJ85" i="79"/>
  <c r="AI30" i="81" s="1"/>
  <c r="AK85" i="79"/>
  <c r="AJ30" i="81" s="1"/>
  <c r="AP85" i="79"/>
  <c r="AO30" i="81" s="1"/>
  <c r="AQ85" i="79"/>
  <c r="AP30" i="81" s="1"/>
  <c r="BK85" i="79"/>
  <c r="BJ30" i="81" s="1"/>
  <c r="BL85" i="79"/>
  <c r="BK30" i="81" s="1"/>
  <c r="BP85" i="79"/>
  <c r="BO30" i="81" s="1"/>
  <c r="BQ85" i="79"/>
  <c r="BP30" i="81" s="1"/>
  <c r="BR85" i="79"/>
  <c r="BQ30" i="81" s="1"/>
  <c r="BW85" i="79"/>
  <c r="BV30" i="81" s="1"/>
  <c r="BX85" i="79"/>
  <c r="BW30" i="81" s="1"/>
  <c r="CA85" i="79"/>
  <c r="BZ30" i="81" s="1"/>
  <c r="CB85" i="79"/>
  <c r="CA30" i="81" s="1"/>
  <c r="CC85" i="79"/>
  <c r="CB30" i="81" s="1"/>
  <c r="CD85" i="79"/>
  <c r="CC30" i="81" s="1"/>
  <c r="Y86" i="79"/>
  <c r="X31" i="81" s="1"/>
  <c r="AE86" i="79"/>
  <c r="AD31" i="81" s="1"/>
  <c r="AJ86" i="79"/>
  <c r="AI31" i="81" s="1"/>
  <c r="AK86" i="79"/>
  <c r="AJ31" i="81" s="1"/>
  <c r="AP86" i="79"/>
  <c r="AO31" i="81" s="1"/>
  <c r="AQ86" i="79"/>
  <c r="AP31" i="81" s="1"/>
  <c r="BK86" i="79"/>
  <c r="BJ31" i="81" s="1"/>
  <c r="BL86" i="79"/>
  <c r="BK31" i="81" s="1"/>
  <c r="BP86" i="79"/>
  <c r="BO31" i="81" s="1"/>
  <c r="BQ86" i="79"/>
  <c r="BP31" i="81" s="1"/>
  <c r="BR86" i="79"/>
  <c r="BQ31" i="81" s="1"/>
  <c r="BW86" i="79"/>
  <c r="BV31" i="81" s="1"/>
  <c r="BX86" i="79"/>
  <c r="BW31" i="81" s="1"/>
  <c r="CA86" i="79"/>
  <c r="BZ31" i="81" s="1"/>
  <c r="CB86" i="79"/>
  <c r="CA31" i="81" s="1"/>
  <c r="CC86" i="79"/>
  <c r="CB31" i="81" s="1"/>
  <c r="CD86" i="79"/>
  <c r="CC31" i="81" s="1"/>
  <c r="Y87" i="79"/>
  <c r="X32" i="81" s="1"/>
  <c r="AE87" i="79"/>
  <c r="AD32" i="81" s="1"/>
  <c r="AJ87" i="79"/>
  <c r="AI32" i="81" s="1"/>
  <c r="AK87" i="79"/>
  <c r="AJ32" i="81" s="1"/>
  <c r="AP87" i="79"/>
  <c r="AO32" i="81" s="1"/>
  <c r="AQ87" i="79"/>
  <c r="AP32" i="81" s="1"/>
  <c r="BK87" i="79"/>
  <c r="BJ32" i="81" s="1"/>
  <c r="BL87" i="79"/>
  <c r="BK32" i="81" s="1"/>
  <c r="BP87" i="79"/>
  <c r="BO32" i="81" s="1"/>
  <c r="BQ87" i="79"/>
  <c r="BP32" i="81" s="1"/>
  <c r="BR87" i="79"/>
  <c r="BQ32" i="81" s="1"/>
  <c r="BW87" i="79"/>
  <c r="BV32" i="81" s="1"/>
  <c r="BX87" i="79"/>
  <c r="BW32" i="81" s="1"/>
  <c r="CA87" i="79"/>
  <c r="BZ32" i="81" s="1"/>
  <c r="CB87" i="79"/>
  <c r="CA32" i="81" s="1"/>
  <c r="CC87" i="79"/>
  <c r="CB32" i="81" s="1"/>
  <c r="CD87" i="79"/>
  <c r="CC32" i="81" s="1"/>
  <c r="Y88" i="79"/>
  <c r="X33" i="81" s="1"/>
  <c r="AE88" i="79"/>
  <c r="AD33" i="81" s="1"/>
  <c r="AJ88" i="79"/>
  <c r="AI33" i="81" s="1"/>
  <c r="AK88" i="79"/>
  <c r="AJ33" i="81" s="1"/>
  <c r="AP88" i="79"/>
  <c r="AO33" i="81" s="1"/>
  <c r="AQ88" i="79"/>
  <c r="AP33" i="81" s="1"/>
  <c r="BK88" i="79"/>
  <c r="BJ33" i="81" s="1"/>
  <c r="BL88" i="79"/>
  <c r="BK33" i="81" s="1"/>
  <c r="BP88" i="79"/>
  <c r="BO33" i="81" s="1"/>
  <c r="BQ88" i="79"/>
  <c r="BP33" i="81" s="1"/>
  <c r="BR88" i="79"/>
  <c r="BQ33" i="81" s="1"/>
  <c r="BW88" i="79"/>
  <c r="BV33" i="81" s="1"/>
  <c r="BX88" i="79"/>
  <c r="BW33" i="81" s="1"/>
  <c r="CA88" i="79"/>
  <c r="BZ33" i="81" s="1"/>
  <c r="CB88" i="79"/>
  <c r="CA33" i="81" s="1"/>
  <c r="CC88" i="79"/>
  <c r="CB33" i="81" s="1"/>
  <c r="CD88" i="79"/>
  <c r="CC33" i="81" s="1"/>
  <c r="Y89" i="79"/>
  <c r="X34" i="81" s="1"/>
  <c r="AE89" i="79"/>
  <c r="AD34" i="81" s="1"/>
  <c r="AJ89" i="79"/>
  <c r="AI34" i="81" s="1"/>
  <c r="AK89" i="79"/>
  <c r="AJ34" i="81" s="1"/>
  <c r="AP89" i="79"/>
  <c r="AO34" i="81" s="1"/>
  <c r="AQ89" i="79"/>
  <c r="AP34" i="81" s="1"/>
  <c r="BK89" i="79"/>
  <c r="BJ34" i="81" s="1"/>
  <c r="BL89" i="79"/>
  <c r="BK34" i="81" s="1"/>
  <c r="BP89" i="79"/>
  <c r="BO34" i="81" s="1"/>
  <c r="BQ89" i="79"/>
  <c r="BP34" i="81" s="1"/>
  <c r="BR89" i="79"/>
  <c r="BQ34" i="81" s="1"/>
  <c r="BW89" i="79"/>
  <c r="BV34" i="81" s="1"/>
  <c r="BX89" i="79"/>
  <c r="BW34" i="81" s="1"/>
  <c r="CA89" i="79"/>
  <c r="BZ34" i="81" s="1"/>
  <c r="CB89" i="79"/>
  <c r="CA34" i="81" s="1"/>
  <c r="CC89" i="79"/>
  <c r="CB34" i="81" s="1"/>
  <c r="CD89" i="79"/>
  <c r="CC34" i="81" s="1"/>
  <c r="Y90" i="79"/>
  <c r="X35" i="81" s="1"/>
  <c r="AE90" i="79"/>
  <c r="AD35" i="81" s="1"/>
  <c r="AJ90" i="79"/>
  <c r="AI35" i="81" s="1"/>
  <c r="AK90" i="79"/>
  <c r="AJ35" i="81" s="1"/>
  <c r="AP90" i="79"/>
  <c r="AO35" i="81" s="1"/>
  <c r="AQ90" i="79"/>
  <c r="AP35" i="81" s="1"/>
  <c r="BK90" i="79"/>
  <c r="BJ35" i="81" s="1"/>
  <c r="BL90" i="79"/>
  <c r="BK35" i="81" s="1"/>
  <c r="BP90" i="79"/>
  <c r="BO35" i="81" s="1"/>
  <c r="BQ90" i="79"/>
  <c r="BP35" i="81" s="1"/>
  <c r="BR90" i="79"/>
  <c r="BQ35" i="81" s="1"/>
  <c r="BW90" i="79"/>
  <c r="BV35" i="81" s="1"/>
  <c r="BX90" i="79"/>
  <c r="BW35" i="81" s="1"/>
  <c r="CA90" i="79"/>
  <c r="BZ35" i="81" s="1"/>
  <c r="CB90" i="79"/>
  <c r="CA35" i="81" s="1"/>
  <c r="CC90" i="79"/>
  <c r="CB35" i="81" s="1"/>
  <c r="CD90" i="79"/>
  <c r="CC35" i="81" s="1"/>
  <c r="Y91" i="79"/>
  <c r="X36" i="81" s="1"/>
  <c r="AE91" i="79"/>
  <c r="AD36" i="81" s="1"/>
  <c r="AJ91" i="79"/>
  <c r="AI36" i="81" s="1"/>
  <c r="AK91" i="79"/>
  <c r="AJ36" i="81" s="1"/>
  <c r="AP91" i="79"/>
  <c r="AO36" i="81" s="1"/>
  <c r="AQ91" i="79"/>
  <c r="AP36" i="81" s="1"/>
  <c r="BK91" i="79"/>
  <c r="BJ36" i="81" s="1"/>
  <c r="BL91" i="79"/>
  <c r="BK36" i="81" s="1"/>
  <c r="BP91" i="79"/>
  <c r="BO36" i="81" s="1"/>
  <c r="BQ91" i="79"/>
  <c r="BP36" i="81" s="1"/>
  <c r="BR91" i="79"/>
  <c r="BQ36" i="81" s="1"/>
  <c r="BW91" i="79"/>
  <c r="BV36" i="81" s="1"/>
  <c r="BX91" i="79"/>
  <c r="BW36" i="81" s="1"/>
  <c r="CA91" i="79"/>
  <c r="BZ36" i="81" s="1"/>
  <c r="CB91" i="79"/>
  <c r="CA36" i="81" s="1"/>
  <c r="CC91" i="79"/>
  <c r="CB36" i="81" s="1"/>
  <c r="CD91" i="79"/>
  <c r="CC36" i="81" s="1"/>
  <c r="Y92" i="79"/>
  <c r="X37" i="81" s="1"/>
  <c r="AE92" i="79"/>
  <c r="AD37" i="81" s="1"/>
  <c r="AJ92" i="79"/>
  <c r="AI37" i="81" s="1"/>
  <c r="AK92" i="79"/>
  <c r="AJ37" i="81" s="1"/>
  <c r="AP92" i="79"/>
  <c r="AO37" i="81" s="1"/>
  <c r="AQ92" i="79"/>
  <c r="AP37" i="81" s="1"/>
  <c r="BK92" i="79"/>
  <c r="BJ37" i="81" s="1"/>
  <c r="BL92" i="79"/>
  <c r="BK37" i="81" s="1"/>
  <c r="BP92" i="79"/>
  <c r="BO37" i="81" s="1"/>
  <c r="BQ92" i="79"/>
  <c r="BP37" i="81" s="1"/>
  <c r="BR92" i="79"/>
  <c r="BQ37" i="81" s="1"/>
  <c r="BW92" i="79"/>
  <c r="BV37" i="81" s="1"/>
  <c r="BX92" i="79"/>
  <c r="BW37" i="81" s="1"/>
  <c r="CA92" i="79"/>
  <c r="BZ37" i="81" s="1"/>
  <c r="CB92" i="79"/>
  <c r="CA37" i="81" s="1"/>
  <c r="CC92" i="79"/>
  <c r="CB37" i="81" s="1"/>
  <c r="CD92" i="79"/>
  <c r="CC37" i="81" s="1"/>
  <c r="Y93" i="79"/>
  <c r="X38" i="81" s="1"/>
  <c r="AE93" i="79"/>
  <c r="AD38" i="81" s="1"/>
  <c r="AJ93" i="79"/>
  <c r="AI38" i="81" s="1"/>
  <c r="AK93" i="79"/>
  <c r="AJ38" i="81" s="1"/>
  <c r="AP93" i="79"/>
  <c r="AO38" i="81" s="1"/>
  <c r="AQ93" i="79"/>
  <c r="AP38" i="81" s="1"/>
  <c r="BK93" i="79"/>
  <c r="BJ38" i="81" s="1"/>
  <c r="BL93" i="79"/>
  <c r="BK38" i="81" s="1"/>
  <c r="BP93" i="79"/>
  <c r="BO38" i="81" s="1"/>
  <c r="BQ93" i="79"/>
  <c r="BP38" i="81" s="1"/>
  <c r="BR93" i="79"/>
  <c r="BQ38" i="81" s="1"/>
  <c r="BW93" i="79"/>
  <c r="BV38" i="81" s="1"/>
  <c r="BX93" i="79"/>
  <c r="BW38" i="81" s="1"/>
  <c r="CA93" i="79"/>
  <c r="BZ38" i="81" s="1"/>
  <c r="CB93" i="79"/>
  <c r="CA38" i="81" s="1"/>
  <c r="CC93" i="79"/>
  <c r="CB38" i="81" s="1"/>
  <c r="CD93" i="79"/>
  <c r="CC38" i="81" s="1"/>
  <c r="Y94" i="79"/>
  <c r="X39" i="81" s="1"/>
  <c r="AE94" i="79"/>
  <c r="AD39" i="81" s="1"/>
  <c r="AJ94" i="79"/>
  <c r="AI39" i="81" s="1"/>
  <c r="AK94" i="79"/>
  <c r="AJ39" i="81" s="1"/>
  <c r="AP94" i="79"/>
  <c r="AO39" i="81" s="1"/>
  <c r="AQ94" i="79"/>
  <c r="AP39" i="81" s="1"/>
  <c r="BK94" i="79"/>
  <c r="BJ39" i="81" s="1"/>
  <c r="BL94" i="79"/>
  <c r="BK39" i="81" s="1"/>
  <c r="BP94" i="79"/>
  <c r="BO39" i="81" s="1"/>
  <c r="BQ94" i="79"/>
  <c r="BP39" i="81" s="1"/>
  <c r="BR94" i="79"/>
  <c r="BQ39" i="81" s="1"/>
  <c r="BW94" i="79"/>
  <c r="BV39" i="81" s="1"/>
  <c r="BX94" i="79"/>
  <c r="BW39" i="81" s="1"/>
  <c r="CA94" i="79"/>
  <c r="BZ39" i="81" s="1"/>
  <c r="CB94" i="79"/>
  <c r="CA39" i="81" s="1"/>
  <c r="CC94" i="79"/>
  <c r="CB39" i="81" s="1"/>
  <c r="CD94" i="79"/>
  <c r="CC39" i="81" s="1"/>
  <c r="Y95" i="79"/>
  <c r="X40" i="81" s="1"/>
  <c r="AE95" i="79"/>
  <c r="AD40" i="81" s="1"/>
  <c r="AJ95" i="79"/>
  <c r="AI40" i="81" s="1"/>
  <c r="AK95" i="79"/>
  <c r="AJ40" i="81" s="1"/>
  <c r="AP95" i="79"/>
  <c r="AO40" i="81" s="1"/>
  <c r="AQ95" i="79"/>
  <c r="AP40" i="81" s="1"/>
  <c r="BK95" i="79"/>
  <c r="BJ40" i="81" s="1"/>
  <c r="BL95" i="79"/>
  <c r="BK40" i="81" s="1"/>
  <c r="BP95" i="79"/>
  <c r="BO40" i="81" s="1"/>
  <c r="BQ95" i="79"/>
  <c r="BP40" i="81" s="1"/>
  <c r="BR95" i="79"/>
  <c r="BQ40" i="81" s="1"/>
  <c r="BW95" i="79"/>
  <c r="BV40" i="81" s="1"/>
  <c r="BX95" i="79"/>
  <c r="BW40" i="81" s="1"/>
  <c r="CA95" i="79"/>
  <c r="BZ40" i="81" s="1"/>
  <c r="CB95" i="79"/>
  <c r="CA40" i="81" s="1"/>
  <c r="CC95" i="79"/>
  <c r="CB40" i="81" s="1"/>
  <c r="CD95" i="79"/>
  <c r="CC40" i="81" s="1"/>
  <c r="Y96" i="79"/>
  <c r="X41" i="81" s="1"/>
  <c r="AE96" i="79"/>
  <c r="AD41" i="81" s="1"/>
  <c r="AJ96" i="79"/>
  <c r="AI41" i="81" s="1"/>
  <c r="AK96" i="79"/>
  <c r="AJ41" i="81" s="1"/>
  <c r="AP96" i="79"/>
  <c r="AO41" i="81" s="1"/>
  <c r="AQ96" i="79"/>
  <c r="AP41" i="81" s="1"/>
  <c r="BK96" i="79"/>
  <c r="BJ41" i="81" s="1"/>
  <c r="BL96" i="79"/>
  <c r="BK41" i="81" s="1"/>
  <c r="BP96" i="79"/>
  <c r="BO41" i="81" s="1"/>
  <c r="BQ96" i="79"/>
  <c r="BP41" i="81" s="1"/>
  <c r="BR96" i="79"/>
  <c r="BQ41" i="81" s="1"/>
  <c r="BW96" i="79"/>
  <c r="BV41" i="81" s="1"/>
  <c r="BX96" i="79"/>
  <c r="BW41" i="81" s="1"/>
  <c r="CA96" i="79"/>
  <c r="BZ41" i="81" s="1"/>
  <c r="CB96" i="79"/>
  <c r="CA41" i="81" s="1"/>
  <c r="CC96" i="79"/>
  <c r="CB41" i="81" s="1"/>
  <c r="CD96" i="79"/>
  <c r="CC41" i="81" s="1"/>
  <c r="Y97" i="79"/>
  <c r="X42" i="81" s="1"/>
  <c r="AE97" i="79"/>
  <c r="AD42" i="81" s="1"/>
  <c r="AJ97" i="79"/>
  <c r="AI42" i="81" s="1"/>
  <c r="AK97" i="79"/>
  <c r="AJ42" i="81" s="1"/>
  <c r="AP97" i="79"/>
  <c r="AO42" i="81" s="1"/>
  <c r="AQ97" i="79"/>
  <c r="AP42" i="81" s="1"/>
  <c r="BK97" i="79"/>
  <c r="BJ42" i="81" s="1"/>
  <c r="BL97" i="79"/>
  <c r="BK42" i="81" s="1"/>
  <c r="BP97" i="79"/>
  <c r="BO42" i="81" s="1"/>
  <c r="BQ97" i="79"/>
  <c r="BP42" i="81" s="1"/>
  <c r="BR97" i="79"/>
  <c r="BQ42" i="81" s="1"/>
  <c r="BW97" i="79"/>
  <c r="BV42" i="81" s="1"/>
  <c r="BX97" i="79"/>
  <c r="BW42" i="81" s="1"/>
  <c r="CA97" i="79"/>
  <c r="BZ42" i="81" s="1"/>
  <c r="CB97" i="79"/>
  <c r="CA42" i="81" s="1"/>
  <c r="CC97" i="79"/>
  <c r="CB42" i="81" s="1"/>
  <c r="CD97" i="79"/>
  <c r="CC42" i="81" s="1"/>
  <c r="Y98" i="79"/>
  <c r="X43" i="81" s="1"/>
  <c r="AE98" i="79"/>
  <c r="AD43" i="81" s="1"/>
  <c r="AJ98" i="79"/>
  <c r="AI43" i="81" s="1"/>
  <c r="AK98" i="79"/>
  <c r="AJ43" i="81" s="1"/>
  <c r="AP98" i="79"/>
  <c r="AO43" i="81" s="1"/>
  <c r="AQ98" i="79"/>
  <c r="AP43" i="81" s="1"/>
  <c r="BK98" i="79"/>
  <c r="BJ43" i="81" s="1"/>
  <c r="BL98" i="79"/>
  <c r="BK43" i="81" s="1"/>
  <c r="BP98" i="79"/>
  <c r="BO43" i="81" s="1"/>
  <c r="BQ98" i="79"/>
  <c r="BP43" i="81" s="1"/>
  <c r="BR98" i="79"/>
  <c r="BQ43" i="81" s="1"/>
  <c r="BW98" i="79"/>
  <c r="BV43" i="81" s="1"/>
  <c r="BX98" i="79"/>
  <c r="BW43" i="81" s="1"/>
  <c r="CA98" i="79"/>
  <c r="BZ43" i="81" s="1"/>
  <c r="CB98" i="79"/>
  <c r="CA43" i="81" s="1"/>
  <c r="CC98" i="79"/>
  <c r="CB43" i="81" s="1"/>
  <c r="CD98" i="79"/>
  <c r="CC43" i="81" s="1"/>
  <c r="Y99" i="79"/>
  <c r="X44" i="81" s="1"/>
  <c r="AE99" i="79"/>
  <c r="AD44" i="81" s="1"/>
  <c r="AJ99" i="79"/>
  <c r="AI44" i="81" s="1"/>
  <c r="AK99" i="79"/>
  <c r="AJ44" i="81" s="1"/>
  <c r="AP99" i="79"/>
  <c r="AO44" i="81" s="1"/>
  <c r="AQ99" i="79"/>
  <c r="AP44" i="81" s="1"/>
  <c r="BK99" i="79"/>
  <c r="BJ44" i="81" s="1"/>
  <c r="BL99" i="79"/>
  <c r="BK44" i="81" s="1"/>
  <c r="BP99" i="79"/>
  <c r="BO44" i="81" s="1"/>
  <c r="BQ99" i="79"/>
  <c r="BP44" i="81" s="1"/>
  <c r="BR99" i="79"/>
  <c r="BQ44" i="81" s="1"/>
  <c r="BW99" i="79"/>
  <c r="BV44" i="81" s="1"/>
  <c r="BX99" i="79"/>
  <c r="BW44" i="81" s="1"/>
  <c r="CA99" i="79"/>
  <c r="BZ44" i="81" s="1"/>
  <c r="CB99" i="79"/>
  <c r="CA44" i="81" s="1"/>
  <c r="CC99" i="79"/>
  <c r="CB44" i="81" s="1"/>
  <c r="CD99" i="79"/>
  <c r="CC44" i="81" s="1"/>
  <c r="Y100" i="79"/>
  <c r="X45" i="81" s="1"/>
  <c r="AE100" i="79"/>
  <c r="AD45" i="81" s="1"/>
  <c r="AJ100" i="79"/>
  <c r="AI45" i="81" s="1"/>
  <c r="AK100" i="79"/>
  <c r="AJ45" i="81" s="1"/>
  <c r="AP100" i="79"/>
  <c r="AO45" i="81" s="1"/>
  <c r="AQ100" i="79"/>
  <c r="AP45" i="81" s="1"/>
  <c r="BK100" i="79"/>
  <c r="BJ45" i="81" s="1"/>
  <c r="BL100" i="79"/>
  <c r="BK45" i="81" s="1"/>
  <c r="BP100" i="79"/>
  <c r="BO45" i="81" s="1"/>
  <c r="BQ100" i="79"/>
  <c r="BP45" i="81" s="1"/>
  <c r="BR100" i="79"/>
  <c r="BQ45" i="81" s="1"/>
  <c r="BW100" i="79"/>
  <c r="BV45" i="81" s="1"/>
  <c r="BX100" i="79"/>
  <c r="BW45" i="81" s="1"/>
  <c r="CA100" i="79"/>
  <c r="BZ45" i="81" s="1"/>
  <c r="CB100" i="79"/>
  <c r="CA45" i="81" s="1"/>
  <c r="CC100" i="79"/>
  <c r="CB45" i="81" s="1"/>
  <c r="CD100" i="79"/>
  <c r="CC45" i="81" s="1"/>
  <c r="Y101" i="79"/>
  <c r="X46" i="81" s="1"/>
  <c r="AE101" i="79"/>
  <c r="AD46" i="81" s="1"/>
  <c r="AJ101" i="79"/>
  <c r="AI46" i="81" s="1"/>
  <c r="AK101" i="79"/>
  <c r="AJ46" i="81" s="1"/>
  <c r="AP101" i="79"/>
  <c r="AO46" i="81" s="1"/>
  <c r="AQ101" i="79"/>
  <c r="AP46" i="81" s="1"/>
  <c r="BK101" i="79"/>
  <c r="BJ46" i="81" s="1"/>
  <c r="BL101" i="79"/>
  <c r="BK46" i="81" s="1"/>
  <c r="BP101" i="79"/>
  <c r="BO46" i="81" s="1"/>
  <c r="BQ101" i="79"/>
  <c r="BP46" i="81" s="1"/>
  <c r="BR101" i="79"/>
  <c r="BQ46" i="81" s="1"/>
  <c r="BW101" i="79"/>
  <c r="BV46" i="81" s="1"/>
  <c r="BX101" i="79"/>
  <c r="BW46" i="81" s="1"/>
  <c r="CA101" i="79"/>
  <c r="BZ46" i="81" s="1"/>
  <c r="CB101" i="79"/>
  <c r="CA46" i="81" s="1"/>
  <c r="CC101" i="79"/>
  <c r="CB46" i="81" s="1"/>
  <c r="CD101" i="79"/>
  <c r="CC46" i="81" s="1"/>
  <c r="Y102" i="79"/>
  <c r="X47" i="81" s="1"/>
  <c r="AE102" i="79"/>
  <c r="AD47" i="81" s="1"/>
  <c r="AJ102" i="79"/>
  <c r="AI47" i="81" s="1"/>
  <c r="AK102" i="79"/>
  <c r="AJ47" i="81" s="1"/>
  <c r="AP102" i="79"/>
  <c r="AO47" i="81" s="1"/>
  <c r="AQ102" i="79"/>
  <c r="AP47" i="81" s="1"/>
  <c r="BK102" i="79"/>
  <c r="BJ47" i="81" s="1"/>
  <c r="BL102" i="79"/>
  <c r="BK47" i="81" s="1"/>
  <c r="BP102" i="79"/>
  <c r="BO47" i="81" s="1"/>
  <c r="BQ102" i="79"/>
  <c r="BP47" i="81" s="1"/>
  <c r="BR102" i="79"/>
  <c r="BQ47" i="81" s="1"/>
  <c r="BW102" i="79"/>
  <c r="BV47" i="81" s="1"/>
  <c r="BX102" i="79"/>
  <c r="BW47" i="81" s="1"/>
  <c r="CA102" i="79"/>
  <c r="BZ47" i="81" s="1"/>
  <c r="CB102" i="79"/>
  <c r="CA47" i="81" s="1"/>
  <c r="CC102" i="79"/>
  <c r="CB47" i="81" s="1"/>
  <c r="CD102" i="79"/>
  <c r="CC47" i="81" s="1"/>
  <c r="Y103" i="79"/>
  <c r="X48" i="81" s="1"/>
  <c r="AE103" i="79"/>
  <c r="AD48" i="81" s="1"/>
  <c r="AJ103" i="79"/>
  <c r="AI48" i="81" s="1"/>
  <c r="AK103" i="79"/>
  <c r="AJ48" i="81" s="1"/>
  <c r="AP103" i="79"/>
  <c r="AO48" i="81" s="1"/>
  <c r="AQ103" i="79"/>
  <c r="AP48" i="81" s="1"/>
  <c r="BK103" i="79"/>
  <c r="BJ48" i="81" s="1"/>
  <c r="BL103" i="79"/>
  <c r="BK48" i="81" s="1"/>
  <c r="BP103" i="79"/>
  <c r="BO48" i="81" s="1"/>
  <c r="BQ103" i="79"/>
  <c r="BP48" i="81" s="1"/>
  <c r="BR103" i="79"/>
  <c r="BQ48" i="81" s="1"/>
  <c r="BW103" i="79"/>
  <c r="BV48" i="81" s="1"/>
  <c r="BX103" i="79"/>
  <c r="BW48" i="81" s="1"/>
  <c r="CA103" i="79"/>
  <c r="BZ48" i="81" s="1"/>
  <c r="CB103" i="79"/>
  <c r="CA48" i="81" s="1"/>
  <c r="CC103" i="79"/>
  <c r="CB48" i="81" s="1"/>
  <c r="CD103" i="79"/>
  <c r="CC48" i="81" s="1"/>
  <c r="Y104" i="79"/>
  <c r="X49" i="81" s="1"/>
  <c r="AE104" i="79"/>
  <c r="AD49" i="81" s="1"/>
  <c r="AJ104" i="79"/>
  <c r="AI49" i="81" s="1"/>
  <c r="AK104" i="79"/>
  <c r="AJ49" i="81" s="1"/>
  <c r="AP104" i="79"/>
  <c r="AO49" i="81" s="1"/>
  <c r="AQ104" i="79"/>
  <c r="AP49" i="81" s="1"/>
  <c r="BK104" i="79"/>
  <c r="BJ49" i="81" s="1"/>
  <c r="BL104" i="79"/>
  <c r="BK49" i="81" s="1"/>
  <c r="BP104" i="79"/>
  <c r="BO49" i="81" s="1"/>
  <c r="BQ104" i="79"/>
  <c r="BP49" i="81" s="1"/>
  <c r="BR104" i="79"/>
  <c r="BQ49" i="81" s="1"/>
  <c r="BW104" i="79"/>
  <c r="BV49" i="81" s="1"/>
  <c r="BX104" i="79"/>
  <c r="BW49" i="81" s="1"/>
  <c r="CA104" i="79"/>
  <c r="BZ49" i="81" s="1"/>
  <c r="CB104" i="79"/>
  <c r="CA49" i="81" s="1"/>
  <c r="CC104" i="79"/>
  <c r="CB49" i="81" s="1"/>
  <c r="CD104" i="79"/>
  <c r="CC49" i="81" s="1"/>
  <c r="Y105" i="79"/>
  <c r="X50" i="81" s="1"/>
  <c r="AE105" i="79"/>
  <c r="AD50" i="81" s="1"/>
  <c r="AJ105" i="79"/>
  <c r="AI50" i="81" s="1"/>
  <c r="AK105" i="79"/>
  <c r="AJ50" i="81" s="1"/>
  <c r="AP105" i="79"/>
  <c r="AO50" i="81" s="1"/>
  <c r="AQ105" i="79"/>
  <c r="AP50" i="81" s="1"/>
  <c r="BK105" i="79"/>
  <c r="BJ50" i="81" s="1"/>
  <c r="BL105" i="79"/>
  <c r="BK50" i="81" s="1"/>
  <c r="BP105" i="79"/>
  <c r="BO50" i="81" s="1"/>
  <c r="BQ105" i="79"/>
  <c r="BP50" i="81" s="1"/>
  <c r="BR105" i="79"/>
  <c r="BQ50" i="81" s="1"/>
  <c r="BW105" i="79"/>
  <c r="BV50" i="81" s="1"/>
  <c r="BX105" i="79"/>
  <c r="BW50" i="81" s="1"/>
  <c r="CA105" i="79"/>
  <c r="BZ50" i="81" s="1"/>
  <c r="CB105" i="79"/>
  <c r="CA50" i="81" s="1"/>
  <c r="CC105" i="79"/>
  <c r="CB50" i="81" s="1"/>
  <c r="CD105" i="79"/>
  <c r="CC50" i="81" s="1"/>
  <c r="Y106" i="79"/>
  <c r="X51" i="81" s="1"/>
  <c r="AE106" i="79"/>
  <c r="AD51" i="81" s="1"/>
  <c r="AJ106" i="79"/>
  <c r="AI51" i="81" s="1"/>
  <c r="AK106" i="79"/>
  <c r="AJ51" i="81" s="1"/>
  <c r="AP106" i="79"/>
  <c r="AO51" i="81" s="1"/>
  <c r="AQ106" i="79"/>
  <c r="AP51" i="81" s="1"/>
  <c r="BK106" i="79"/>
  <c r="BJ51" i="81" s="1"/>
  <c r="BL106" i="79"/>
  <c r="BK51" i="81" s="1"/>
  <c r="BP106" i="79"/>
  <c r="BO51" i="81" s="1"/>
  <c r="BQ106" i="79"/>
  <c r="BP51" i="81" s="1"/>
  <c r="BR106" i="79"/>
  <c r="BQ51" i="81" s="1"/>
  <c r="BW106" i="79"/>
  <c r="BV51" i="81" s="1"/>
  <c r="BX106" i="79"/>
  <c r="BW51" i="81" s="1"/>
  <c r="CA106" i="79"/>
  <c r="BZ51" i="81" s="1"/>
  <c r="CB106" i="79"/>
  <c r="CA51" i="81" s="1"/>
  <c r="CC106" i="79"/>
  <c r="CB51" i="81" s="1"/>
  <c r="CD106" i="79"/>
  <c r="CC51" i="81" s="1"/>
  <c r="Y107" i="79"/>
  <c r="X52" i="81" s="1"/>
  <c r="AE107" i="79"/>
  <c r="AD52" i="81" s="1"/>
  <c r="AJ107" i="79"/>
  <c r="AI52" i="81" s="1"/>
  <c r="AK107" i="79"/>
  <c r="AJ52" i="81" s="1"/>
  <c r="AP107" i="79"/>
  <c r="AO52" i="81" s="1"/>
  <c r="AQ107" i="79"/>
  <c r="AP52" i="81" s="1"/>
  <c r="BK107" i="79"/>
  <c r="BJ52" i="81" s="1"/>
  <c r="BL107" i="79"/>
  <c r="BK52" i="81" s="1"/>
  <c r="BP107" i="79"/>
  <c r="BO52" i="81" s="1"/>
  <c r="BQ107" i="79"/>
  <c r="BP52" i="81" s="1"/>
  <c r="BR107" i="79"/>
  <c r="BQ52" i="81" s="1"/>
  <c r="BW107" i="79"/>
  <c r="BV52" i="81" s="1"/>
  <c r="BX107" i="79"/>
  <c r="BW52" i="81" s="1"/>
  <c r="CA107" i="79"/>
  <c r="BZ52" i="81" s="1"/>
  <c r="CB107" i="79"/>
  <c r="CA52" i="81" s="1"/>
  <c r="CC107" i="79"/>
  <c r="CB52" i="81" s="1"/>
  <c r="CD107" i="79"/>
  <c r="CC52" i="81" s="1"/>
  <c r="Y108" i="79"/>
  <c r="X53" i="81" s="1"/>
  <c r="AE108" i="79"/>
  <c r="AD53" i="81" s="1"/>
  <c r="AJ108" i="79"/>
  <c r="AI53" i="81" s="1"/>
  <c r="AK108" i="79"/>
  <c r="AJ53" i="81" s="1"/>
  <c r="AP108" i="79"/>
  <c r="AO53" i="81" s="1"/>
  <c r="AQ108" i="79"/>
  <c r="AP53" i="81" s="1"/>
  <c r="BK108" i="79"/>
  <c r="BJ53" i="81" s="1"/>
  <c r="BL108" i="79"/>
  <c r="BK53" i="81" s="1"/>
  <c r="BP108" i="79"/>
  <c r="BO53" i="81" s="1"/>
  <c r="BQ108" i="79"/>
  <c r="BP53" i="81" s="1"/>
  <c r="BR108" i="79"/>
  <c r="BQ53" i="81" s="1"/>
  <c r="BW108" i="79"/>
  <c r="BV53" i="81" s="1"/>
  <c r="BX108" i="79"/>
  <c r="BW53" i="81" s="1"/>
  <c r="CA108" i="79"/>
  <c r="BZ53" i="81" s="1"/>
  <c r="CB108" i="79"/>
  <c r="CA53" i="81" s="1"/>
  <c r="CC108" i="79"/>
  <c r="CB53" i="81" s="1"/>
  <c r="CD108" i="79"/>
  <c r="CC53" i="81" s="1"/>
  <c r="Y59" i="79"/>
  <c r="X4" i="81" s="1"/>
  <c r="AE59" i="79"/>
  <c r="AD4" i="81" s="1"/>
  <c r="AJ59" i="79"/>
  <c r="AI4" i="81" s="1"/>
  <c r="AK59" i="79"/>
  <c r="AJ4" i="81" s="1"/>
  <c r="AP59" i="79"/>
  <c r="AO4" i="81" s="1"/>
  <c r="AQ59" i="79"/>
  <c r="AP4" i="81" s="1"/>
  <c r="BK59" i="79"/>
  <c r="BJ4" i="81" s="1"/>
  <c r="BL59" i="79"/>
  <c r="BK4" i="81" s="1"/>
  <c r="BP59" i="79"/>
  <c r="BO4" i="81" s="1"/>
  <c r="BQ59" i="79"/>
  <c r="BP4" i="81" s="1"/>
  <c r="BR59" i="79"/>
  <c r="BQ4" i="81" s="1"/>
  <c r="BW59" i="79"/>
  <c r="BV4" i="81" s="1"/>
  <c r="BX59" i="79"/>
  <c r="BW4" i="81" s="1"/>
  <c r="CA59" i="79"/>
  <c r="BZ4" i="81" s="1"/>
  <c r="CB59" i="79"/>
  <c r="CA4" i="81" s="1"/>
  <c r="CC59" i="79"/>
  <c r="CB4" i="81" s="1"/>
  <c r="CD59" i="79"/>
  <c r="CC4" i="81" s="1"/>
  <c r="CA58" i="79"/>
  <c r="CB58" i="79"/>
  <c r="CC58" i="79"/>
  <c r="CD58" i="79"/>
  <c r="BP58" i="79"/>
  <c r="BQ58" i="79"/>
  <c r="BR58" i="79"/>
  <c r="BK58" i="79"/>
  <c r="BL58" i="79"/>
  <c r="AQ58" i="79"/>
  <c r="Q58" i="79"/>
  <c r="D57" i="79"/>
  <c r="B53" i="81"/>
  <c r="B52" i="81"/>
  <c r="B51" i="81"/>
  <c r="B50" i="81"/>
  <c r="B49" i="81"/>
  <c r="B48" i="81"/>
  <c r="B47" i="81"/>
  <c r="B46" i="81"/>
  <c r="B45" i="81"/>
  <c r="B44" i="81"/>
  <c r="B43" i="81"/>
  <c r="B42" i="81"/>
  <c r="B41" i="81"/>
  <c r="B40" i="81"/>
  <c r="B39" i="81"/>
  <c r="B38" i="81"/>
  <c r="B37" i="81"/>
  <c r="B36" i="81"/>
  <c r="B35" i="81"/>
  <c r="B34" i="81"/>
  <c r="B33" i="81"/>
  <c r="B32" i="81"/>
  <c r="B31" i="81"/>
  <c r="B30" i="81"/>
  <c r="B29" i="81"/>
  <c r="B28" i="81"/>
  <c r="B27" i="81"/>
  <c r="B26" i="81"/>
  <c r="B25" i="81"/>
  <c r="B24" i="81"/>
  <c r="B23" i="81"/>
  <c r="B22" i="81"/>
  <c r="B21" i="81"/>
  <c r="B20" i="81"/>
  <c r="B19" i="81"/>
  <c r="B18" i="81"/>
  <c r="B17" i="81"/>
  <c r="B16" i="81"/>
  <c r="B15" i="81"/>
  <c r="B14" i="81"/>
  <c r="B13" i="81"/>
  <c r="B12" i="81"/>
  <c r="B11" i="81"/>
  <c r="B10" i="81"/>
  <c r="B9" i="81"/>
  <c r="B8" i="81"/>
  <c r="B7" i="81"/>
  <c r="B6" i="81"/>
  <c r="B5" i="81"/>
  <c r="B4" i="81"/>
  <c r="X3" i="81"/>
  <c r="X7" i="80" s="1"/>
  <c r="BX2" i="81"/>
  <c r="AJ6" i="82" s="1"/>
  <c r="BR2" i="81"/>
  <c r="AD6" i="82" s="1"/>
  <c r="BL2" i="81"/>
  <c r="X6" i="82" s="1"/>
  <c r="BY5" i="79"/>
  <c r="BY60" i="79" s="1"/>
  <c r="BX5" i="81" s="1"/>
  <c r="BZ5" i="79"/>
  <c r="BZ60" i="79" s="1"/>
  <c r="BY5" i="81" s="1"/>
  <c r="BY6" i="79"/>
  <c r="BY61" i="79" s="1"/>
  <c r="BX6" i="81" s="1"/>
  <c r="BZ6" i="79"/>
  <c r="BZ61" i="79" s="1"/>
  <c r="BY6" i="81" s="1"/>
  <c r="BY7" i="79"/>
  <c r="BY62" i="79" s="1"/>
  <c r="BX7" i="81" s="1"/>
  <c r="BZ7" i="79"/>
  <c r="BZ62" i="79" s="1"/>
  <c r="BY7" i="81" s="1"/>
  <c r="BY8" i="79"/>
  <c r="BY63" i="79" s="1"/>
  <c r="BX8" i="81" s="1"/>
  <c r="BZ8" i="79"/>
  <c r="BZ63" i="79" s="1"/>
  <c r="BY8" i="81" s="1"/>
  <c r="BY9" i="79"/>
  <c r="BY64" i="79" s="1"/>
  <c r="BX9" i="81" s="1"/>
  <c r="BZ9" i="79"/>
  <c r="BZ64" i="79" s="1"/>
  <c r="BY9" i="81" s="1"/>
  <c r="BY10" i="79"/>
  <c r="BY65" i="79" s="1"/>
  <c r="BX10" i="81" s="1"/>
  <c r="BZ10" i="79"/>
  <c r="BZ65" i="79" s="1"/>
  <c r="BY10" i="81" s="1"/>
  <c r="BY11" i="79"/>
  <c r="BY66" i="79" s="1"/>
  <c r="BX11" i="81" s="1"/>
  <c r="BZ11" i="79"/>
  <c r="BZ66" i="79" s="1"/>
  <c r="BY11" i="81" s="1"/>
  <c r="BY12" i="79"/>
  <c r="BY67" i="79" s="1"/>
  <c r="BX12" i="81" s="1"/>
  <c r="BZ12" i="79"/>
  <c r="BZ67" i="79" s="1"/>
  <c r="BY12" i="81" s="1"/>
  <c r="BY13" i="79"/>
  <c r="BY68" i="79" s="1"/>
  <c r="BX13" i="81" s="1"/>
  <c r="BZ13" i="79"/>
  <c r="BZ68" i="79" s="1"/>
  <c r="BY13" i="81" s="1"/>
  <c r="BY14" i="79"/>
  <c r="BY69" i="79" s="1"/>
  <c r="BX14" i="81" s="1"/>
  <c r="BZ14" i="79"/>
  <c r="BZ69" i="79" s="1"/>
  <c r="BY14" i="81" s="1"/>
  <c r="BY15" i="79"/>
  <c r="BY70" i="79" s="1"/>
  <c r="BX15" i="81" s="1"/>
  <c r="BZ15" i="79"/>
  <c r="BZ70" i="79" s="1"/>
  <c r="BY15" i="81" s="1"/>
  <c r="BY16" i="79"/>
  <c r="BY71" i="79" s="1"/>
  <c r="BX16" i="81" s="1"/>
  <c r="BZ16" i="79"/>
  <c r="BZ71" i="79" s="1"/>
  <c r="BY16" i="81" s="1"/>
  <c r="BY17" i="79"/>
  <c r="BY72" i="79" s="1"/>
  <c r="BX17" i="81" s="1"/>
  <c r="BZ17" i="79"/>
  <c r="BZ72" i="79" s="1"/>
  <c r="BY17" i="81" s="1"/>
  <c r="BY18" i="79"/>
  <c r="BY73" i="79" s="1"/>
  <c r="BX18" i="81" s="1"/>
  <c r="BZ18" i="79"/>
  <c r="BZ73" i="79" s="1"/>
  <c r="BY18" i="81" s="1"/>
  <c r="BY19" i="79"/>
  <c r="BY74" i="79" s="1"/>
  <c r="BX19" i="81" s="1"/>
  <c r="BZ19" i="79"/>
  <c r="BZ74" i="79" s="1"/>
  <c r="BY19" i="81" s="1"/>
  <c r="BY20" i="79"/>
  <c r="BY75" i="79" s="1"/>
  <c r="BX20" i="81" s="1"/>
  <c r="BZ20" i="79"/>
  <c r="BZ75" i="79" s="1"/>
  <c r="BY20" i="81" s="1"/>
  <c r="BY21" i="79"/>
  <c r="BY76" i="79" s="1"/>
  <c r="BX21" i="81" s="1"/>
  <c r="BZ21" i="79"/>
  <c r="BZ76" i="79" s="1"/>
  <c r="BY21" i="81" s="1"/>
  <c r="BY22" i="79"/>
  <c r="BY77" i="79" s="1"/>
  <c r="BX22" i="81" s="1"/>
  <c r="BZ22" i="79"/>
  <c r="BZ77" i="79" s="1"/>
  <c r="BY22" i="81" s="1"/>
  <c r="BY23" i="79"/>
  <c r="BY78" i="79" s="1"/>
  <c r="BX23" i="81" s="1"/>
  <c r="BZ23" i="79"/>
  <c r="BZ78" i="79" s="1"/>
  <c r="BY23" i="81" s="1"/>
  <c r="BY24" i="79"/>
  <c r="BY79" i="79" s="1"/>
  <c r="BX24" i="81" s="1"/>
  <c r="BZ24" i="79"/>
  <c r="BZ79" i="79" s="1"/>
  <c r="BY24" i="81" s="1"/>
  <c r="BY25" i="79"/>
  <c r="BY80" i="79" s="1"/>
  <c r="BX25" i="81" s="1"/>
  <c r="BZ25" i="79"/>
  <c r="BZ80" i="79" s="1"/>
  <c r="BY25" i="81" s="1"/>
  <c r="BY26" i="79"/>
  <c r="BY81" i="79" s="1"/>
  <c r="BX26" i="81" s="1"/>
  <c r="BZ26" i="79"/>
  <c r="BZ81" i="79" s="1"/>
  <c r="BY26" i="81" s="1"/>
  <c r="BY27" i="79"/>
  <c r="BY82" i="79" s="1"/>
  <c r="BX27" i="81" s="1"/>
  <c r="BZ27" i="79"/>
  <c r="BZ82" i="79" s="1"/>
  <c r="BY27" i="81" s="1"/>
  <c r="BY28" i="79"/>
  <c r="BY83" i="79" s="1"/>
  <c r="BX28" i="81" s="1"/>
  <c r="BZ28" i="79"/>
  <c r="BZ83" i="79" s="1"/>
  <c r="BY28" i="81" s="1"/>
  <c r="BY29" i="79"/>
  <c r="BY84" i="79" s="1"/>
  <c r="BX29" i="81" s="1"/>
  <c r="BZ29" i="79"/>
  <c r="BZ84" i="79" s="1"/>
  <c r="BY29" i="81" s="1"/>
  <c r="BY30" i="79"/>
  <c r="BY85" i="79" s="1"/>
  <c r="BX30" i="81" s="1"/>
  <c r="BZ30" i="79"/>
  <c r="BZ85" i="79" s="1"/>
  <c r="BY30" i="81" s="1"/>
  <c r="BY31" i="79"/>
  <c r="BY86" i="79" s="1"/>
  <c r="BX31" i="81" s="1"/>
  <c r="BZ31" i="79"/>
  <c r="BZ86" i="79" s="1"/>
  <c r="BY31" i="81" s="1"/>
  <c r="BY32" i="79"/>
  <c r="BY87" i="79" s="1"/>
  <c r="BX32" i="81" s="1"/>
  <c r="BZ32" i="79"/>
  <c r="BZ87" i="79" s="1"/>
  <c r="BY32" i="81" s="1"/>
  <c r="BY33" i="79"/>
  <c r="BY88" i="79" s="1"/>
  <c r="BX33" i="81" s="1"/>
  <c r="BZ33" i="79"/>
  <c r="BZ88" i="79" s="1"/>
  <c r="BY33" i="81" s="1"/>
  <c r="BY34" i="79"/>
  <c r="BY89" i="79" s="1"/>
  <c r="BX34" i="81" s="1"/>
  <c r="BZ34" i="79"/>
  <c r="BZ89" i="79" s="1"/>
  <c r="BY34" i="81" s="1"/>
  <c r="BY35" i="79"/>
  <c r="BY90" i="79" s="1"/>
  <c r="BX35" i="81" s="1"/>
  <c r="BZ35" i="79"/>
  <c r="BZ90" i="79" s="1"/>
  <c r="BY35" i="81" s="1"/>
  <c r="BY36" i="79"/>
  <c r="BY91" i="79" s="1"/>
  <c r="BX36" i="81" s="1"/>
  <c r="BZ36" i="79"/>
  <c r="BZ91" i="79" s="1"/>
  <c r="BY36" i="81" s="1"/>
  <c r="BY37" i="79"/>
  <c r="BY92" i="79" s="1"/>
  <c r="BX37" i="81" s="1"/>
  <c r="BZ37" i="79"/>
  <c r="BZ92" i="79" s="1"/>
  <c r="BY37" i="81" s="1"/>
  <c r="BY38" i="79"/>
  <c r="BY93" i="79" s="1"/>
  <c r="BX38" i="81" s="1"/>
  <c r="BZ38" i="79"/>
  <c r="BZ93" i="79" s="1"/>
  <c r="BY38" i="81" s="1"/>
  <c r="BY39" i="79"/>
  <c r="BY94" i="79" s="1"/>
  <c r="BX39" i="81" s="1"/>
  <c r="BZ39" i="79"/>
  <c r="BZ94" i="79" s="1"/>
  <c r="BY39" i="81" s="1"/>
  <c r="BY40" i="79"/>
  <c r="BY95" i="79" s="1"/>
  <c r="BX40" i="81" s="1"/>
  <c r="BZ40" i="79"/>
  <c r="BZ95" i="79" s="1"/>
  <c r="BY40" i="81" s="1"/>
  <c r="BY41" i="79"/>
  <c r="BY96" i="79" s="1"/>
  <c r="BX41" i="81" s="1"/>
  <c r="BZ41" i="79"/>
  <c r="BZ96" i="79" s="1"/>
  <c r="BY41" i="81" s="1"/>
  <c r="BY42" i="79"/>
  <c r="BY97" i="79" s="1"/>
  <c r="BX42" i="81" s="1"/>
  <c r="BZ42" i="79"/>
  <c r="BZ97" i="79" s="1"/>
  <c r="BY42" i="81" s="1"/>
  <c r="BY43" i="79"/>
  <c r="BY98" i="79" s="1"/>
  <c r="BX43" i="81" s="1"/>
  <c r="BZ43" i="79"/>
  <c r="BZ98" i="79" s="1"/>
  <c r="BY43" i="81" s="1"/>
  <c r="BY44" i="79"/>
  <c r="BY99" i="79" s="1"/>
  <c r="BX44" i="81" s="1"/>
  <c r="BZ44" i="79"/>
  <c r="BZ99" i="79" s="1"/>
  <c r="BY44" i="81" s="1"/>
  <c r="BY45" i="79"/>
  <c r="BY100" i="79" s="1"/>
  <c r="BX45" i="81" s="1"/>
  <c r="BZ45" i="79"/>
  <c r="BZ100" i="79" s="1"/>
  <c r="BY45" i="81" s="1"/>
  <c r="BY46" i="79"/>
  <c r="BY101" i="79" s="1"/>
  <c r="BX46" i="81" s="1"/>
  <c r="BZ46" i="79"/>
  <c r="BZ101" i="79" s="1"/>
  <c r="BY46" i="81" s="1"/>
  <c r="BY47" i="79"/>
  <c r="BY102" i="79" s="1"/>
  <c r="BX47" i="81" s="1"/>
  <c r="BZ47" i="79"/>
  <c r="BZ102" i="79" s="1"/>
  <c r="BY47" i="81" s="1"/>
  <c r="BY48" i="79"/>
  <c r="BY103" i="79" s="1"/>
  <c r="BX48" i="81" s="1"/>
  <c r="BZ48" i="79"/>
  <c r="BZ103" i="79" s="1"/>
  <c r="BY48" i="81" s="1"/>
  <c r="BY49" i="79"/>
  <c r="BY104" i="79" s="1"/>
  <c r="BX49" i="81" s="1"/>
  <c r="BZ49" i="79"/>
  <c r="BZ104" i="79" s="1"/>
  <c r="BY49" i="81" s="1"/>
  <c r="BY50" i="79"/>
  <c r="BY105" i="79" s="1"/>
  <c r="BX50" i="81" s="1"/>
  <c r="BZ50" i="79"/>
  <c r="BZ105" i="79" s="1"/>
  <c r="BY50" i="81" s="1"/>
  <c r="BY51" i="79"/>
  <c r="BY106" i="79" s="1"/>
  <c r="BX51" i="81" s="1"/>
  <c r="BZ51" i="79"/>
  <c r="BZ106" i="79" s="1"/>
  <c r="BY51" i="81" s="1"/>
  <c r="BY52" i="79"/>
  <c r="BY107" i="79" s="1"/>
  <c r="BX52" i="81" s="1"/>
  <c r="BZ52" i="79"/>
  <c r="BZ107" i="79" s="1"/>
  <c r="BY52" i="81" s="1"/>
  <c r="BY53" i="79"/>
  <c r="BY108" i="79" s="1"/>
  <c r="BX53" i="81" s="1"/>
  <c r="BZ53" i="79"/>
  <c r="BZ108" i="79" s="1"/>
  <c r="BY53" i="81" s="1"/>
  <c r="BZ4" i="79"/>
  <c r="BZ59" i="79" s="1"/>
  <c r="BY4" i="81" s="1"/>
  <c r="BY4" i="79"/>
  <c r="BY59" i="79" s="1"/>
  <c r="BX4" i="81" s="1"/>
  <c r="BS5" i="79"/>
  <c r="BS60" i="79" s="1"/>
  <c r="BR5" i="81" s="1"/>
  <c r="BT5" i="79"/>
  <c r="BT60" i="79" s="1"/>
  <c r="BS5" i="81" s="1"/>
  <c r="BU5" i="79"/>
  <c r="BU60" i="79" s="1"/>
  <c r="BT5" i="81" s="1"/>
  <c r="BV5" i="79"/>
  <c r="BV60" i="79" s="1"/>
  <c r="BU5" i="81" s="1"/>
  <c r="BS6" i="79"/>
  <c r="BS61" i="79" s="1"/>
  <c r="BR6" i="81" s="1"/>
  <c r="BT6" i="79"/>
  <c r="BT61" i="79" s="1"/>
  <c r="BS6" i="81" s="1"/>
  <c r="BU6" i="79"/>
  <c r="BU61" i="79" s="1"/>
  <c r="BT6" i="81" s="1"/>
  <c r="BV6" i="79"/>
  <c r="BV61" i="79" s="1"/>
  <c r="BU6" i="81" s="1"/>
  <c r="BS7" i="79"/>
  <c r="BS62" i="79" s="1"/>
  <c r="BR7" i="81" s="1"/>
  <c r="BT7" i="79"/>
  <c r="BT62" i="79" s="1"/>
  <c r="BS7" i="81" s="1"/>
  <c r="BU7" i="79"/>
  <c r="BU62" i="79" s="1"/>
  <c r="BT7" i="81" s="1"/>
  <c r="BV7" i="79"/>
  <c r="BV62" i="79" s="1"/>
  <c r="BU7" i="81" s="1"/>
  <c r="BS8" i="79"/>
  <c r="BS63" i="79" s="1"/>
  <c r="BR8" i="81" s="1"/>
  <c r="BT8" i="79"/>
  <c r="BT63" i="79" s="1"/>
  <c r="BS8" i="81" s="1"/>
  <c r="BU8" i="79"/>
  <c r="BU63" i="79" s="1"/>
  <c r="BT8" i="81" s="1"/>
  <c r="BV8" i="79"/>
  <c r="BV63" i="79" s="1"/>
  <c r="BU8" i="81" s="1"/>
  <c r="BS9" i="79"/>
  <c r="BS64" i="79" s="1"/>
  <c r="BR9" i="81" s="1"/>
  <c r="BT9" i="79"/>
  <c r="BT64" i="79" s="1"/>
  <c r="BS9" i="81" s="1"/>
  <c r="BU9" i="79"/>
  <c r="BU64" i="79" s="1"/>
  <c r="BT9" i="81" s="1"/>
  <c r="BV9" i="79"/>
  <c r="BV64" i="79" s="1"/>
  <c r="BU9" i="81" s="1"/>
  <c r="BS10" i="79"/>
  <c r="BS65" i="79" s="1"/>
  <c r="BR10" i="81" s="1"/>
  <c r="BT10" i="79"/>
  <c r="BT65" i="79" s="1"/>
  <c r="BS10" i="81" s="1"/>
  <c r="BU10" i="79"/>
  <c r="BU65" i="79" s="1"/>
  <c r="BT10" i="81" s="1"/>
  <c r="BV10" i="79"/>
  <c r="BV65" i="79" s="1"/>
  <c r="BU10" i="81" s="1"/>
  <c r="BS11" i="79"/>
  <c r="BS66" i="79" s="1"/>
  <c r="BR11" i="81" s="1"/>
  <c r="BT11" i="79"/>
  <c r="BT66" i="79" s="1"/>
  <c r="BS11" i="81" s="1"/>
  <c r="BU11" i="79"/>
  <c r="BU66" i="79" s="1"/>
  <c r="BT11" i="81" s="1"/>
  <c r="BV11" i="79"/>
  <c r="BV66" i="79" s="1"/>
  <c r="BU11" i="81" s="1"/>
  <c r="BS12" i="79"/>
  <c r="BS67" i="79" s="1"/>
  <c r="BR12" i="81" s="1"/>
  <c r="BT12" i="79"/>
  <c r="BT67" i="79" s="1"/>
  <c r="BS12" i="81" s="1"/>
  <c r="BU12" i="79"/>
  <c r="BU67" i="79" s="1"/>
  <c r="BT12" i="81" s="1"/>
  <c r="BV12" i="79"/>
  <c r="BV67" i="79" s="1"/>
  <c r="BU12" i="81" s="1"/>
  <c r="BS13" i="79"/>
  <c r="BS68" i="79" s="1"/>
  <c r="BR13" i="81" s="1"/>
  <c r="BT13" i="79"/>
  <c r="BT68" i="79" s="1"/>
  <c r="BS13" i="81" s="1"/>
  <c r="BU13" i="79"/>
  <c r="BU68" i="79" s="1"/>
  <c r="BT13" i="81" s="1"/>
  <c r="BV13" i="79"/>
  <c r="BV68" i="79" s="1"/>
  <c r="BU13" i="81" s="1"/>
  <c r="BS14" i="79"/>
  <c r="BS69" i="79" s="1"/>
  <c r="BR14" i="81" s="1"/>
  <c r="BT14" i="79"/>
  <c r="BT69" i="79" s="1"/>
  <c r="BS14" i="81" s="1"/>
  <c r="BU14" i="79"/>
  <c r="BU69" i="79" s="1"/>
  <c r="BT14" i="81" s="1"/>
  <c r="BV14" i="79"/>
  <c r="BV69" i="79" s="1"/>
  <c r="BU14" i="81" s="1"/>
  <c r="BS15" i="79"/>
  <c r="BS70" i="79" s="1"/>
  <c r="BR15" i="81" s="1"/>
  <c r="BT15" i="79"/>
  <c r="BT70" i="79" s="1"/>
  <c r="BS15" i="81" s="1"/>
  <c r="BU15" i="79"/>
  <c r="BU70" i="79" s="1"/>
  <c r="BT15" i="81" s="1"/>
  <c r="BV15" i="79"/>
  <c r="BV70" i="79" s="1"/>
  <c r="BU15" i="81" s="1"/>
  <c r="BS16" i="79"/>
  <c r="BS71" i="79" s="1"/>
  <c r="BR16" i="81" s="1"/>
  <c r="BT16" i="79"/>
  <c r="BT71" i="79" s="1"/>
  <c r="BS16" i="81" s="1"/>
  <c r="BU16" i="79"/>
  <c r="BU71" i="79" s="1"/>
  <c r="BT16" i="81" s="1"/>
  <c r="BV16" i="79"/>
  <c r="BV71" i="79" s="1"/>
  <c r="BU16" i="81" s="1"/>
  <c r="BS17" i="79"/>
  <c r="BS72" i="79" s="1"/>
  <c r="BR17" i="81" s="1"/>
  <c r="BT17" i="79"/>
  <c r="BT72" i="79" s="1"/>
  <c r="BS17" i="81" s="1"/>
  <c r="BU17" i="79"/>
  <c r="BU72" i="79" s="1"/>
  <c r="BT17" i="81" s="1"/>
  <c r="BV17" i="79"/>
  <c r="BV72" i="79" s="1"/>
  <c r="BU17" i="81" s="1"/>
  <c r="BS18" i="79"/>
  <c r="BS73" i="79" s="1"/>
  <c r="BR18" i="81" s="1"/>
  <c r="BT18" i="79"/>
  <c r="BT73" i="79" s="1"/>
  <c r="BS18" i="81" s="1"/>
  <c r="BU18" i="79"/>
  <c r="BU73" i="79" s="1"/>
  <c r="BT18" i="81" s="1"/>
  <c r="BV18" i="79"/>
  <c r="BV73" i="79" s="1"/>
  <c r="BU18" i="81" s="1"/>
  <c r="BS19" i="79"/>
  <c r="BS74" i="79" s="1"/>
  <c r="BR19" i="81" s="1"/>
  <c r="BT19" i="79"/>
  <c r="BT74" i="79" s="1"/>
  <c r="BS19" i="81" s="1"/>
  <c r="BU19" i="79"/>
  <c r="BU74" i="79" s="1"/>
  <c r="BT19" i="81" s="1"/>
  <c r="BV19" i="79"/>
  <c r="BV74" i="79" s="1"/>
  <c r="BU19" i="81" s="1"/>
  <c r="BS20" i="79"/>
  <c r="BS75" i="79" s="1"/>
  <c r="BR20" i="81" s="1"/>
  <c r="BT20" i="79"/>
  <c r="BT75" i="79" s="1"/>
  <c r="BS20" i="81" s="1"/>
  <c r="BU20" i="79"/>
  <c r="BU75" i="79" s="1"/>
  <c r="BT20" i="81" s="1"/>
  <c r="BV20" i="79"/>
  <c r="BV75" i="79" s="1"/>
  <c r="BU20" i="81" s="1"/>
  <c r="BS21" i="79"/>
  <c r="BS76" i="79" s="1"/>
  <c r="BR21" i="81" s="1"/>
  <c r="BT21" i="79"/>
  <c r="BT76" i="79" s="1"/>
  <c r="BS21" i="81" s="1"/>
  <c r="BU21" i="79"/>
  <c r="BU76" i="79" s="1"/>
  <c r="BT21" i="81" s="1"/>
  <c r="BV21" i="79"/>
  <c r="BV76" i="79" s="1"/>
  <c r="BU21" i="81" s="1"/>
  <c r="BS22" i="79"/>
  <c r="BS77" i="79" s="1"/>
  <c r="BR22" i="81" s="1"/>
  <c r="BT22" i="79"/>
  <c r="BT77" i="79" s="1"/>
  <c r="BS22" i="81" s="1"/>
  <c r="BU22" i="79"/>
  <c r="BU77" i="79" s="1"/>
  <c r="BT22" i="81" s="1"/>
  <c r="BV22" i="79"/>
  <c r="BV77" i="79" s="1"/>
  <c r="BU22" i="81" s="1"/>
  <c r="BS23" i="79"/>
  <c r="BS78" i="79" s="1"/>
  <c r="BR23" i="81" s="1"/>
  <c r="BT23" i="79"/>
  <c r="BT78" i="79" s="1"/>
  <c r="BS23" i="81" s="1"/>
  <c r="BU23" i="79"/>
  <c r="BU78" i="79" s="1"/>
  <c r="BT23" i="81" s="1"/>
  <c r="BV23" i="79"/>
  <c r="BV78" i="79" s="1"/>
  <c r="BU23" i="81" s="1"/>
  <c r="BS24" i="79"/>
  <c r="BS79" i="79" s="1"/>
  <c r="BR24" i="81" s="1"/>
  <c r="BT24" i="79"/>
  <c r="BT79" i="79" s="1"/>
  <c r="BS24" i="81" s="1"/>
  <c r="BU24" i="79"/>
  <c r="BU79" i="79" s="1"/>
  <c r="BT24" i="81" s="1"/>
  <c r="BV24" i="79"/>
  <c r="BV79" i="79" s="1"/>
  <c r="BU24" i="81" s="1"/>
  <c r="BS25" i="79"/>
  <c r="BS80" i="79" s="1"/>
  <c r="BR25" i="81" s="1"/>
  <c r="BT25" i="79"/>
  <c r="BT80" i="79" s="1"/>
  <c r="BS25" i="81" s="1"/>
  <c r="BU25" i="79"/>
  <c r="BU80" i="79" s="1"/>
  <c r="BT25" i="81" s="1"/>
  <c r="BV25" i="79"/>
  <c r="BV80" i="79" s="1"/>
  <c r="BU25" i="81" s="1"/>
  <c r="BS26" i="79"/>
  <c r="BS81" i="79" s="1"/>
  <c r="BR26" i="81" s="1"/>
  <c r="BT26" i="79"/>
  <c r="BT81" i="79" s="1"/>
  <c r="BS26" i="81" s="1"/>
  <c r="BU26" i="79"/>
  <c r="BU81" i="79" s="1"/>
  <c r="BT26" i="81" s="1"/>
  <c r="BV26" i="79"/>
  <c r="BV81" i="79" s="1"/>
  <c r="BU26" i="81" s="1"/>
  <c r="BS27" i="79"/>
  <c r="BS82" i="79" s="1"/>
  <c r="BR27" i="81" s="1"/>
  <c r="BT27" i="79"/>
  <c r="BT82" i="79" s="1"/>
  <c r="BS27" i="81" s="1"/>
  <c r="BU27" i="79"/>
  <c r="BU82" i="79" s="1"/>
  <c r="BT27" i="81" s="1"/>
  <c r="BV27" i="79"/>
  <c r="BV82" i="79" s="1"/>
  <c r="BU27" i="81" s="1"/>
  <c r="BS28" i="79"/>
  <c r="BS83" i="79" s="1"/>
  <c r="BR28" i="81" s="1"/>
  <c r="BT28" i="79"/>
  <c r="BT83" i="79" s="1"/>
  <c r="BS28" i="81" s="1"/>
  <c r="BU28" i="79"/>
  <c r="BU83" i="79" s="1"/>
  <c r="BT28" i="81" s="1"/>
  <c r="BV28" i="79"/>
  <c r="BV83" i="79" s="1"/>
  <c r="BU28" i="81" s="1"/>
  <c r="BS29" i="79"/>
  <c r="BS84" i="79" s="1"/>
  <c r="BR29" i="81" s="1"/>
  <c r="BT29" i="79"/>
  <c r="BT84" i="79" s="1"/>
  <c r="BS29" i="81" s="1"/>
  <c r="BU29" i="79"/>
  <c r="BU84" i="79" s="1"/>
  <c r="BT29" i="81" s="1"/>
  <c r="BV29" i="79"/>
  <c r="BV84" i="79" s="1"/>
  <c r="BU29" i="81" s="1"/>
  <c r="BS30" i="79"/>
  <c r="BS85" i="79" s="1"/>
  <c r="BR30" i="81" s="1"/>
  <c r="BT30" i="79"/>
  <c r="BT85" i="79" s="1"/>
  <c r="BS30" i="81" s="1"/>
  <c r="BU30" i="79"/>
  <c r="BU85" i="79" s="1"/>
  <c r="BT30" i="81" s="1"/>
  <c r="BV30" i="79"/>
  <c r="BV85" i="79" s="1"/>
  <c r="BU30" i="81" s="1"/>
  <c r="BS31" i="79"/>
  <c r="BS86" i="79" s="1"/>
  <c r="BR31" i="81" s="1"/>
  <c r="BT31" i="79"/>
  <c r="BT86" i="79" s="1"/>
  <c r="BS31" i="81" s="1"/>
  <c r="BU31" i="79"/>
  <c r="BU86" i="79" s="1"/>
  <c r="BT31" i="81" s="1"/>
  <c r="BV31" i="79"/>
  <c r="BV86" i="79" s="1"/>
  <c r="BU31" i="81" s="1"/>
  <c r="BS32" i="79"/>
  <c r="BS87" i="79" s="1"/>
  <c r="BR32" i="81" s="1"/>
  <c r="BT32" i="79"/>
  <c r="BT87" i="79" s="1"/>
  <c r="BS32" i="81" s="1"/>
  <c r="BU32" i="79"/>
  <c r="BU87" i="79" s="1"/>
  <c r="BT32" i="81" s="1"/>
  <c r="BV32" i="79"/>
  <c r="BV87" i="79" s="1"/>
  <c r="BU32" i="81" s="1"/>
  <c r="BS33" i="79"/>
  <c r="BS88" i="79" s="1"/>
  <c r="BR33" i="81" s="1"/>
  <c r="BT33" i="79"/>
  <c r="BT88" i="79" s="1"/>
  <c r="BS33" i="81" s="1"/>
  <c r="BU33" i="79"/>
  <c r="BU88" i="79" s="1"/>
  <c r="BT33" i="81" s="1"/>
  <c r="BV33" i="79"/>
  <c r="BV88" i="79" s="1"/>
  <c r="BU33" i="81" s="1"/>
  <c r="BS34" i="79"/>
  <c r="BS89" i="79" s="1"/>
  <c r="BR34" i="81" s="1"/>
  <c r="BT34" i="79"/>
  <c r="BT89" i="79" s="1"/>
  <c r="BS34" i="81" s="1"/>
  <c r="BU34" i="79"/>
  <c r="BU89" i="79" s="1"/>
  <c r="BT34" i="81" s="1"/>
  <c r="BV34" i="79"/>
  <c r="BV89" i="79" s="1"/>
  <c r="BU34" i="81" s="1"/>
  <c r="BS35" i="79"/>
  <c r="BS90" i="79" s="1"/>
  <c r="BR35" i="81" s="1"/>
  <c r="BT35" i="79"/>
  <c r="BT90" i="79" s="1"/>
  <c r="BS35" i="81" s="1"/>
  <c r="BU35" i="79"/>
  <c r="BU90" i="79" s="1"/>
  <c r="BT35" i="81" s="1"/>
  <c r="BV35" i="79"/>
  <c r="BV90" i="79" s="1"/>
  <c r="BU35" i="81" s="1"/>
  <c r="BS36" i="79"/>
  <c r="BS91" i="79" s="1"/>
  <c r="BR36" i="81" s="1"/>
  <c r="BT36" i="79"/>
  <c r="BT91" i="79" s="1"/>
  <c r="BS36" i="81" s="1"/>
  <c r="BU36" i="79"/>
  <c r="BU91" i="79" s="1"/>
  <c r="BT36" i="81" s="1"/>
  <c r="BV36" i="79"/>
  <c r="BV91" i="79" s="1"/>
  <c r="BU36" i="81" s="1"/>
  <c r="BS37" i="79"/>
  <c r="BS92" i="79" s="1"/>
  <c r="BR37" i="81" s="1"/>
  <c r="BT37" i="79"/>
  <c r="BT92" i="79" s="1"/>
  <c r="BS37" i="81" s="1"/>
  <c r="BU37" i="79"/>
  <c r="BU92" i="79" s="1"/>
  <c r="BT37" i="81" s="1"/>
  <c r="BV37" i="79"/>
  <c r="BV92" i="79" s="1"/>
  <c r="BU37" i="81" s="1"/>
  <c r="BS38" i="79"/>
  <c r="BS93" i="79" s="1"/>
  <c r="BR38" i="81" s="1"/>
  <c r="BT38" i="79"/>
  <c r="BT93" i="79" s="1"/>
  <c r="BS38" i="81" s="1"/>
  <c r="BU38" i="79"/>
  <c r="BU93" i="79" s="1"/>
  <c r="BT38" i="81" s="1"/>
  <c r="BV38" i="79"/>
  <c r="BV93" i="79" s="1"/>
  <c r="BU38" i="81" s="1"/>
  <c r="BS39" i="79"/>
  <c r="BS94" i="79" s="1"/>
  <c r="BR39" i="81" s="1"/>
  <c r="BT39" i="79"/>
  <c r="BT94" i="79" s="1"/>
  <c r="BS39" i="81" s="1"/>
  <c r="BU39" i="79"/>
  <c r="BU94" i="79" s="1"/>
  <c r="BT39" i="81" s="1"/>
  <c r="BV39" i="79"/>
  <c r="BV94" i="79" s="1"/>
  <c r="BU39" i="81" s="1"/>
  <c r="BS40" i="79"/>
  <c r="BS95" i="79" s="1"/>
  <c r="BR40" i="81" s="1"/>
  <c r="BT40" i="79"/>
  <c r="BT95" i="79" s="1"/>
  <c r="BS40" i="81" s="1"/>
  <c r="BU40" i="79"/>
  <c r="BU95" i="79" s="1"/>
  <c r="BT40" i="81" s="1"/>
  <c r="BV40" i="79"/>
  <c r="BV95" i="79" s="1"/>
  <c r="BU40" i="81" s="1"/>
  <c r="BS41" i="79"/>
  <c r="BS96" i="79" s="1"/>
  <c r="BR41" i="81" s="1"/>
  <c r="BT41" i="79"/>
  <c r="BT96" i="79" s="1"/>
  <c r="BS41" i="81" s="1"/>
  <c r="BU41" i="79"/>
  <c r="BU96" i="79" s="1"/>
  <c r="BT41" i="81" s="1"/>
  <c r="BV41" i="79"/>
  <c r="BV96" i="79" s="1"/>
  <c r="BU41" i="81" s="1"/>
  <c r="BS42" i="79"/>
  <c r="BS97" i="79" s="1"/>
  <c r="BR42" i="81" s="1"/>
  <c r="BT42" i="79"/>
  <c r="BT97" i="79" s="1"/>
  <c r="BS42" i="81" s="1"/>
  <c r="BU42" i="79"/>
  <c r="BU97" i="79" s="1"/>
  <c r="BT42" i="81" s="1"/>
  <c r="BV42" i="79"/>
  <c r="BV97" i="79" s="1"/>
  <c r="BU42" i="81" s="1"/>
  <c r="BS43" i="79"/>
  <c r="BS98" i="79" s="1"/>
  <c r="BR43" i="81" s="1"/>
  <c r="BT43" i="79"/>
  <c r="BT98" i="79" s="1"/>
  <c r="BS43" i="81" s="1"/>
  <c r="BU43" i="79"/>
  <c r="BU98" i="79" s="1"/>
  <c r="BT43" i="81" s="1"/>
  <c r="BV43" i="79"/>
  <c r="BV98" i="79" s="1"/>
  <c r="BU43" i="81" s="1"/>
  <c r="BS44" i="79"/>
  <c r="BS99" i="79" s="1"/>
  <c r="BR44" i="81" s="1"/>
  <c r="BT44" i="79"/>
  <c r="BT99" i="79" s="1"/>
  <c r="BS44" i="81" s="1"/>
  <c r="BU44" i="79"/>
  <c r="BU99" i="79" s="1"/>
  <c r="BT44" i="81" s="1"/>
  <c r="BV44" i="79"/>
  <c r="BV99" i="79" s="1"/>
  <c r="BU44" i="81" s="1"/>
  <c r="BS45" i="79"/>
  <c r="BS100" i="79" s="1"/>
  <c r="BR45" i="81" s="1"/>
  <c r="BT45" i="79"/>
  <c r="BT100" i="79" s="1"/>
  <c r="BS45" i="81" s="1"/>
  <c r="BU45" i="79"/>
  <c r="BU100" i="79" s="1"/>
  <c r="BT45" i="81" s="1"/>
  <c r="BV45" i="79"/>
  <c r="BV100" i="79" s="1"/>
  <c r="BU45" i="81" s="1"/>
  <c r="BS46" i="79"/>
  <c r="BS101" i="79" s="1"/>
  <c r="BR46" i="81" s="1"/>
  <c r="BT46" i="79"/>
  <c r="BT101" i="79" s="1"/>
  <c r="BS46" i="81" s="1"/>
  <c r="BU46" i="79"/>
  <c r="BU101" i="79" s="1"/>
  <c r="BT46" i="81" s="1"/>
  <c r="BV46" i="79"/>
  <c r="BV101" i="79" s="1"/>
  <c r="BU46" i="81" s="1"/>
  <c r="BS47" i="79"/>
  <c r="BS102" i="79" s="1"/>
  <c r="BR47" i="81" s="1"/>
  <c r="BT47" i="79"/>
  <c r="BT102" i="79" s="1"/>
  <c r="BS47" i="81" s="1"/>
  <c r="BU47" i="79"/>
  <c r="BU102" i="79" s="1"/>
  <c r="BT47" i="81" s="1"/>
  <c r="BV47" i="79"/>
  <c r="BV102" i="79" s="1"/>
  <c r="BU47" i="81" s="1"/>
  <c r="BS48" i="79"/>
  <c r="BS103" i="79" s="1"/>
  <c r="BR48" i="81" s="1"/>
  <c r="BT48" i="79"/>
  <c r="BT103" i="79" s="1"/>
  <c r="BS48" i="81" s="1"/>
  <c r="BU48" i="79"/>
  <c r="BU103" i="79" s="1"/>
  <c r="BT48" i="81" s="1"/>
  <c r="BV48" i="79"/>
  <c r="BV103" i="79" s="1"/>
  <c r="BU48" i="81" s="1"/>
  <c r="BS49" i="79"/>
  <c r="BS104" i="79" s="1"/>
  <c r="BR49" i="81" s="1"/>
  <c r="BT49" i="79"/>
  <c r="BT104" i="79" s="1"/>
  <c r="BS49" i="81" s="1"/>
  <c r="BU49" i="79"/>
  <c r="BU104" i="79" s="1"/>
  <c r="BT49" i="81" s="1"/>
  <c r="BV49" i="79"/>
  <c r="BV104" i="79" s="1"/>
  <c r="BU49" i="81" s="1"/>
  <c r="BS50" i="79"/>
  <c r="BS105" i="79" s="1"/>
  <c r="BR50" i="81" s="1"/>
  <c r="BT50" i="79"/>
  <c r="BT105" i="79" s="1"/>
  <c r="BS50" i="81" s="1"/>
  <c r="BU50" i="79"/>
  <c r="BU105" i="79" s="1"/>
  <c r="BT50" i="81" s="1"/>
  <c r="BV50" i="79"/>
  <c r="BV105" i="79" s="1"/>
  <c r="BU50" i="81" s="1"/>
  <c r="BS51" i="79"/>
  <c r="BS106" i="79" s="1"/>
  <c r="BR51" i="81" s="1"/>
  <c r="BT51" i="79"/>
  <c r="BT106" i="79" s="1"/>
  <c r="BS51" i="81" s="1"/>
  <c r="BU51" i="79"/>
  <c r="BU106" i="79" s="1"/>
  <c r="BT51" i="81" s="1"/>
  <c r="BV51" i="79"/>
  <c r="BV106" i="79" s="1"/>
  <c r="BU51" i="81" s="1"/>
  <c r="BS52" i="79"/>
  <c r="BS107" i="79" s="1"/>
  <c r="BR52" i="81" s="1"/>
  <c r="BT52" i="79"/>
  <c r="BT107" i="79" s="1"/>
  <c r="BS52" i="81" s="1"/>
  <c r="BU52" i="79"/>
  <c r="BU107" i="79" s="1"/>
  <c r="BT52" i="81" s="1"/>
  <c r="BV52" i="79"/>
  <c r="BV107" i="79" s="1"/>
  <c r="BU52" i="81" s="1"/>
  <c r="BS53" i="79"/>
  <c r="BS108" i="79" s="1"/>
  <c r="BR53" i="81" s="1"/>
  <c r="BT53" i="79"/>
  <c r="BT108" i="79" s="1"/>
  <c r="BS53" i="81" s="1"/>
  <c r="BU53" i="79"/>
  <c r="BU108" i="79" s="1"/>
  <c r="BT53" i="81" s="1"/>
  <c r="BV53" i="79"/>
  <c r="BV108" i="79" s="1"/>
  <c r="BU53" i="81" s="1"/>
  <c r="BT4" i="79"/>
  <c r="BT59" i="79" s="1"/>
  <c r="BS4" i="81" s="1"/>
  <c r="BU4" i="79"/>
  <c r="BU59" i="79" s="1"/>
  <c r="BT4" i="81" s="1"/>
  <c r="BV4" i="79"/>
  <c r="BV59" i="79" s="1"/>
  <c r="BU4" i="81" s="1"/>
  <c r="BS4" i="79"/>
  <c r="BS59" i="79" s="1"/>
  <c r="BR4" i="81" s="1"/>
  <c r="BM5" i="79"/>
  <c r="BM60" i="79" s="1"/>
  <c r="BL5" i="81" s="1"/>
  <c r="BN5" i="79"/>
  <c r="BN60" i="79" s="1"/>
  <c r="BM5" i="81" s="1"/>
  <c r="BO5" i="79"/>
  <c r="BO60" i="79" s="1"/>
  <c r="BN5" i="81" s="1"/>
  <c r="BM6" i="79"/>
  <c r="BM61" i="79" s="1"/>
  <c r="BL6" i="81" s="1"/>
  <c r="BN6" i="79"/>
  <c r="BN61" i="79" s="1"/>
  <c r="BM6" i="81" s="1"/>
  <c r="BO6" i="79"/>
  <c r="BO61" i="79" s="1"/>
  <c r="BN6" i="81" s="1"/>
  <c r="BM7" i="79"/>
  <c r="BM62" i="79" s="1"/>
  <c r="BL7" i="81" s="1"/>
  <c r="BN7" i="79"/>
  <c r="BN62" i="79" s="1"/>
  <c r="BM7" i="81" s="1"/>
  <c r="BO7" i="79"/>
  <c r="BO62" i="79" s="1"/>
  <c r="BN7" i="81" s="1"/>
  <c r="BM8" i="79"/>
  <c r="BM63" i="79" s="1"/>
  <c r="BL8" i="81" s="1"/>
  <c r="BN8" i="79"/>
  <c r="BN63" i="79" s="1"/>
  <c r="BM8" i="81" s="1"/>
  <c r="BO8" i="79"/>
  <c r="BO63" i="79" s="1"/>
  <c r="BN8" i="81" s="1"/>
  <c r="BM9" i="79"/>
  <c r="BM64" i="79" s="1"/>
  <c r="BL9" i="81" s="1"/>
  <c r="BN9" i="79"/>
  <c r="BN64" i="79" s="1"/>
  <c r="BM9" i="81" s="1"/>
  <c r="BO9" i="79"/>
  <c r="BO64" i="79" s="1"/>
  <c r="BN9" i="81" s="1"/>
  <c r="BM10" i="79"/>
  <c r="BM65" i="79" s="1"/>
  <c r="BL10" i="81" s="1"/>
  <c r="BN10" i="79"/>
  <c r="BN65" i="79" s="1"/>
  <c r="BM10" i="81" s="1"/>
  <c r="BO10" i="79"/>
  <c r="BO65" i="79" s="1"/>
  <c r="BN10" i="81" s="1"/>
  <c r="BM11" i="79"/>
  <c r="BM66" i="79" s="1"/>
  <c r="BL11" i="81" s="1"/>
  <c r="BN11" i="79"/>
  <c r="BN66" i="79" s="1"/>
  <c r="BM11" i="81" s="1"/>
  <c r="BO11" i="79"/>
  <c r="BO66" i="79" s="1"/>
  <c r="BN11" i="81" s="1"/>
  <c r="BM12" i="79"/>
  <c r="BM67" i="79" s="1"/>
  <c r="BL12" i="81" s="1"/>
  <c r="BN12" i="79"/>
  <c r="BN67" i="79" s="1"/>
  <c r="BM12" i="81" s="1"/>
  <c r="BO12" i="79"/>
  <c r="BO67" i="79" s="1"/>
  <c r="BN12" i="81" s="1"/>
  <c r="BM13" i="79"/>
  <c r="BM68" i="79" s="1"/>
  <c r="BL13" i="81" s="1"/>
  <c r="BN13" i="79"/>
  <c r="BN68" i="79" s="1"/>
  <c r="BM13" i="81" s="1"/>
  <c r="BO13" i="79"/>
  <c r="BO68" i="79" s="1"/>
  <c r="BN13" i="81" s="1"/>
  <c r="BM14" i="79"/>
  <c r="BM69" i="79" s="1"/>
  <c r="BL14" i="81" s="1"/>
  <c r="BN14" i="79"/>
  <c r="BN69" i="79" s="1"/>
  <c r="BM14" i="81" s="1"/>
  <c r="BO14" i="79"/>
  <c r="BO69" i="79" s="1"/>
  <c r="BN14" i="81" s="1"/>
  <c r="BM15" i="79"/>
  <c r="BM70" i="79" s="1"/>
  <c r="BL15" i="81" s="1"/>
  <c r="BN15" i="79"/>
  <c r="BN70" i="79" s="1"/>
  <c r="BM15" i="81" s="1"/>
  <c r="BO15" i="79"/>
  <c r="BO70" i="79" s="1"/>
  <c r="BN15" i="81" s="1"/>
  <c r="BM16" i="79"/>
  <c r="BM71" i="79" s="1"/>
  <c r="BL16" i="81" s="1"/>
  <c r="BN16" i="79"/>
  <c r="BN71" i="79" s="1"/>
  <c r="BM16" i="81" s="1"/>
  <c r="BO16" i="79"/>
  <c r="BO71" i="79" s="1"/>
  <c r="BN16" i="81" s="1"/>
  <c r="BM17" i="79"/>
  <c r="BM72" i="79" s="1"/>
  <c r="BL17" i="81" s="1"/>
  <c r="BN17" i="79"/>
  <c r="BN72" i="79" s="1"/>
  <c r="BM17" i="81" s="1"/>
  <c r="BO17" i="79"/>
  <c r="BO72" i="79" s="1"/>
  <c r="BN17" i="81" s="1"/>
  <c r="BM18" i="79"/>
  <c r="BM73" i="79" s="1"/>
  <c r="BL18" i="81" s="1"/>
  <c r="BN18" i="79"/>
  <c r="BN73" i="79" s="1"/>
  <c r="BM18" i="81" s="1"/>
  <c r="BO18" i="79"/>
  <c r="BO73" i="79" s="1"/>
  <c r="BN18" i="81" s="1"/>
  <c r="BM19" i="79"/>
  <c r="BM74" i="79" s="1"/>
  <c r="BL19" i="81" s="1"/>
  <c r="BN19" i="79"/>
  <c r="BN74" i="79" s="1"/>
  <c r="BM19" i="81" s="1"/>
  <c r="BO19" i="79"/>
  <c r="BO74" i="79" s="1"/>
  <c r="BN19" i="81" s="1"/>
  <c r="BM20" i="79"/>
  <c r="BM75" i="79" s="1"/>
  <c r="BL20" i="81" s="1"/>
  <c r="BN20" i="79"/>
  <c r="BN75" i="79" s="1"/>
  <c r="BM20" i="81" s="1"/>
  <c r="BO20" i="79"/>
  <c r="BO75" i="79" s="1"/>
  <c r="BN20" i="81" s="1"/>
  <c r="BM21" i="79"/>
  <c r="BM76" i="79" s="1"/>
  <c r="BL21" i="81" s="1"/>
  <c r="BN21" i="79"/>
  <c r="BN76" i="79" s="1"/>
  <c r="BM21" i="81" s="1"/>
  <c r="BO21" i="79"/>
  <c r="BO76" i="79" s="1"/>
  <c r="BN21" i="81" s="1"/>
  <c r="BM22" i="79"/>
  <c r="BM77" i="79" s="1"/>
  <c r="BL22" i="81" s="1"/>
  <c r="BN22" i="79"/>
  <c r="BN77" i="79" s="1"/>
  <c r="BM22" i="81" s="1"/>
  <c r="BO22" i="79"/>
  <c r="BO77" i="79" s="1"/>
  <c r="BN22" i="81" s="1"/>
  <c r="BM23" i="79"/>
  <c r="BM78" i="79" s="1"/>
  <c r="BL23" i="81" s="1"/>
  <c r="BN23" i="79"/>
  <c r="BN78" i="79" s="1"/>
  <c r="BM23" i="81" s="1"/>
  <c r="BO23" i="79"/>
  <c r="BO78" i="79" s="1"/>
  <c r="BN23" i="81" s="1"/>
  <c r="BM24" i="79"/>
  <c r="BM79" i="79" s="1"/>
  <c r="BL24" i="81" s="1"/>
  <c r="BN24" i="79"/>
  <c r="BN79" i="79" s="1"/>
  <c r="BM24" i="81" s="1"/>
  <c r="BO24" i="79"/>
  <c r="BO79" i="79" s="1"/>
  <c r="BN24" i="81" s="1"/>
  <c r="BM25" i="79"/>
  <c r="BM80" i="79" s="1"/>
  <c r="BL25" i="81" s="1"/>
  <c r="BN25" i="79"/>
  <c r="BN80" i="79" s="1"/>
  <c r="BM25" i="81" s="1"/>
  <c r="BO25" i="79"/>
  <c r="BO80" i="79" s="1"/>
  <c r="BN25" i="81" s="1"/>
  <c r="BM26" i="79"/>
  <c r="BM81" i="79" s="1"/>
  <c r="BL26" i="81" s="1"/>
  <c r="BN26" i="79"/>
  <c r="BN81" i="79" s="1"/>
  <c r="BM26" i="81" s="1"/>
  <c r="BO26" i="79"/>
  <c r="BO81" i="79" s="1"/>
  <c r="BN26" i="81" s="1"/>
  <c r="BM27" i="79"/>
  <c r="BM82" i="79" s="1"/>
  <c r="BL27" i="81" s="1"/>
  <c r="BN27" i="79"/>
  <c r="BN82" i="79" s="1"/>
  <c r="BM27" i="81" s="1"/>
  <c r="BO27" i="79"/>
  <c r="BO82" i="79" s="1"/>
  <c r="BN27" i="81" s="1"/>
  <c r="BM28" i="79"/>
  <c r="BM83" i="79" s="1"/>
  <c r="BL28" i="81" s="1"/>
  <c r="BN28" i="79"/>
  <c r="BN83" i="79" s="1"/>
  <c r="BM28" i="81" s="1"/>
  <c r="BO28" i="79"/>
  <c r="BO83" i="79" s="1"/>
  <c r="BN28" i="81" s="1"/>
  <c r="BM29" i="79"/>
  <c r="BM84" i="79" s="1"/>
  <c r="BL29" i="81" s="1"/>
  <c r="BN29" i="79"/>
  <c r="BN84" i="79" s="1"/>
  <c r="BM29" i="81" s="1"/>
  <c r="BO29" i="79"/>
  <c r="BO84" i="79" s="1"/>
  <c r="BN29" i="81" s="1"/>
  <c r="BM30" i="79"/>
  <c r="BM85" i="79" s="1"/>
  <c r="BL30" i="81" s="1"/>
  <c r="BN30" i="79"/>
  <c r="BN85" i="79" s="1"/>
  <c r="BM30" i="81" s="1"/>
  <c r="BO30" i="79"/>
  <c r="BO85" i="79" s="1"/>
  <c r="BN30" i="81" s="1"/>
  <c r="BM31" i="79"/>
  <c r="BM86" i="79" s="1"/>
  <c r="BL31" i="81" s="1"/>
  <c r="BN31" i="79"/>
  <c r="BN86" i="79" s="1"/>
  <c r="BM31" i="81" s="1"/>
  <c r="BO31" i="79"/>
  <c r="BO86" i="79" s="1"/>
  <c r="BN31" i="81" s="1"/>
  <c r="BM32" i="79"/>
  <c r="BM87" i="79" s="1"/>
  <c r="BL32" i="81" s="1"/>
  <c r="BN32" i="79"/>
  <c r="BN87" i="79" s="1"/>
  <c r="BM32" i="81" s="1"/>
  <c r="BO32" i="79"/>
  <c r="BO87" i="79" s="1"/>
  <c r="BN32" i="81" s="1"/>
  <c r="BM33" i="79"/>
  <c r="BM88" i="79" s="1"/>
  <c r="BL33" i="81" s="1"/>
  <c r="BN33" i="79"/>
  <c r="BN88" i="79" s="1"/>
  <c r="BM33" i="81" s="1"/>
  <c r="BO33" i="79"/>
  <c r="BO88" i="79" s="1"/>
  <c r="BN33" i="81" s="1"/>
  <c r="BM34" i="79"/>
  <c r="BM89" i="79" s="1"/>
  <c r="BL34" i="81" s="1"/>
  <c r="BN34" i="79"/>
  <c r="BN89" i="79" s="1"/>
  <c r="BM34" i="81" s="1"/>
  <c r="BO34" i="79"/>
  <c r="BO89" i="79" s="1"/>
  <c r="BN34" i="81" s="1"/>
  <c r="BM35" i="79"/>
  <c r="BM90" i="79" s="1"/>
  <c r="BL35" i="81" s="1"/>
  <c r="BN35" i="79"/>
  <c r="BN90" i="79" s="1"/>
  <c r="BM35" i="81" s="1"/>
  <c r="BO35" i="79"/>
  <c r="BO90" i="79" s="1"/>
  <c r="BN35" i="81" s="1"/>
  <c r="BM36" i="79"/>
  <c r="BM91" i="79" s="1"/>
  <c r="BL36" i="81" s="1"/>
  <c r="BN36" i="79"/>
  <c r="BN91" i="79" s="1"/>
  <c r="BM36" i="81" s="1"/>
  <c r="BO36" i="79"/>
  <c r="BO91" i="79" s="1"/>
  <c r="BN36" i="81" s="1"/>
  <c r="BM37" i="79"/>
  <c r="BM92" i="79" s="1"/>
  <c r="BL37" i="81" s="1"/>
  <c r="BN37" i="79"/>
  <c r="BN92" i="79" s="1"/>
  <c r="BM37" i="81" s="1"/>
  <c r="BO37" i="79"/>
  <c r="BO92" i="79" s="1"/>
  <c r="BN37" i="81" s="1"/>
  <c r="BM38" i="79"/>
  <c r="BM93" i="79" s="1"/>
  <c r="BL38" i="81" s="1"/>
  <c r="BN38" i="79"/>
  <c r="BN93" i="79" s="1"/>
  <c r="BM38" i="81" s="1"/>
  <c r="BO38" i="79"/>
  <c r="BO93" i="79" s="1"/>
  <c r="BN38" i="81" s="1"/>
  <c r="BM39" i="79"/>
  <c r="BM94" i="79" s="1"/>
  <c r="BL39" i="81" s="1"/>
  <c r="BN39" i="79"/>
  <c r="BN94" i="79" s="1"/>
  <c r="BM39" i="81" s="1"/>
  <c r="BO39" i="79"/>
  <c r="BO94" i="79" s="1"/>
  <c r="BN39" i="81" s="1"/>
  <c r="BM40" i="79"/>
  <c r="BM95" i="79" s="1"/>
  <c r="BL40" i="81" s="1"/>
  <c r="BN40" i="79"/>
  <c r="BN95" i="79" s="1"/>
  <c r="BM40" i="81" s="1"/>
  <c r="BO40" i="79"/>
  <c r="BO95" i="79" s="1"/>
  <c r="BN40" i="81" s="1"/>
  <c r="BM41" i="79"/>
  <c r="BM96" i="79" s="1"/>
  <c r="BL41" i="81" s="1"/>
  <c r="BN41" i="79"/>
  <c r="BN96" i="79" s="1"/>
  <c r="BM41" i="81" s="1"/>
  <c r="BO41" i="79"/>
  <c r="BO96" i="79" s="1"/>
  <c r="BN41" i="81" s="1"/>
  <c r="BM42" i="79"/>
  <c r="BM97" i="79" s="1"/>
  <c r="BL42" i="81" s="1"/>
  <c r="BN42" i="79"/>
  <c r="BN97" i="79" s="1"/>
  <c r="BM42" i="81" s="1"/>
  <c r="BO42" i="79"/>
  <c r="BO97" i="79" s="1"/>
  <c r="BN42" i="81" s="1"/>
  <c r="BM43" i="79"/>
  <c r="BM98" i="79" s="1"/>
  <c r="BL43" i="81" s="1"/>
  <c r="BN43" i="79"/>
  <c r="BN98" i="79" s="1"/>
  <c r="BM43" i="81" s="1"/>
  <c r="BO43" i="79"/>
  <c r="BO98" i="79" s="1"/>
  <c r="BN43" i="81" s="1"/>
  <c r="BM44" i="79"/>
  <c r="BM99" i="79" s="1"/>
  <c r="BL44" i="81" s="1"/>
  <c r="BN44" i="79"/>
  <c r="BN99" i="79" s="1"/>
  <c r="BM44" i="81" s="1"/>
  <c r="BO44" i="79"/>
  <c r="BO99" i="79" s="1"/>
  <c r="BN44" i="81" s="1"/>
  <c r="BM45" i="79"/>
  <c r="BM100" i="79" s="1"/>
  <c r="BL45" i="81" s="1"/>
  <c r="BN45" i="79"/>
  <c r="BN100" i="79" s="1"/>
  <c r="BM45" i="81" s="1"/>
  <c r="BO45" i="79"/>
  <c r="BO100" i="79" s="1"/>
  <c r="BN45" i="81" s="1"/>
  <c r="BM46" i="79"/>
  <c r="BM101" i="79" s="1"/>
  <c r="BL46" i="81" s="1"/>
  <c r="BN46" i="79"/>
  <c r="BN101" i="79" s="1"/>
  <c r="BM46" i="81" s="1"/>
  <c r="BO46" i="79"/>
  <c r="BO101" i="79" s="1"/>
  <c r="BN46" i="81" s="1"/>
  <c r="BM47" i="79"/>
  <c r="BM102" i="79" s="1"/>
  <c r="BL47" i="81" s="1"/>
  <c r="BN47" i="79"/>
  <c r="BN102" i="79" s="1"/>
  <c r="BM47" i="81" s="1"/>
  <c r="BO47" i="79"/>
  <c r="BO102" i="79" s="1"/>
  <c r="BN47" i="81" s="1"/>
  <c r="BM48" i="79"/>
  <c r="BM103" i="79" s="1"/>
  <c r="BL48" i="81" s="1"/>
  <c r="BN48" i="79"/>
  <c r="BN103" i="79" s="1"/>
  <c r="BM48" i="81" s="1"/>
  <c r="BO48" i="79"/>
  <c r="BO103" i="79" s="1"/>
  <c r="BN48" i="81" s="1"/>
  <c r="BM49" i="79"/>
  <c r="BM104" i="79" s="1"/>
  <c r="BL49" i="81" s="1"/>
  <c r="BN49" i="79"/>
  <c r="BN104" i="79" s="1"/>
  <c r="BM49" i="81" s="1"/>
  <c r="BO49" i="79"/>
  <c r="BO104" i="79" s="1"/>
  <c r="BN49" i="81" s="1"/>
  <c r="BM50" i="79"/>
  <c r="BM105" i="79" s="1"/>
  <c r="BL50" i="81" s="1"/>
  <c r="BN50" i="79"/>
  <c r="BN105" i="79" s="1"/>
  <c r="BM50" i="81" s="1"/>
  <c r="BO50" i="79"/>
  <c r="BO105" i="79" s="1"/>
  <c r="BN50" i="81" s="1"/>
  <c r="BM51" i="79"/>
  <c r="BM106" i="79" s="1"/>
  <c r="BL51" i="81" s="1"/>
  <c r="BN51" i="79"/>
  <c r="BN106" i="79" s="1"/>
  <c r="BM51" i="81" s="1"/>
  <c r="BO51" i="79"/>
  <c r="BO106" i="79" s="1"/>
  <c r="BN51" i="81" s="1"/>
  <c r="BM52" i="79"/>
  <c r="BM107" i="79" s="1"/>
  <c r="BL52" i="81" s="1"/>
  <c r="BN52" i="79"/>
  <c r="BN107" i="79" s="1"/>
  <c r="BM52" i="81" s="1"/>
  <c r="BO52" i="79"/>
  <c r="BO107" i="79" s="1"/>
  <c r="BN52" i="81" s="1"/>
  <c r="BM53" i="79"/>
  <c r="BM108" i="79" s="1"/>
  <c r="BL53" i="81" s="1"/>
  <c r="BN53" i="79"/>
  <c r="BN108" i="79" s="1"/>
  <c r="BM53" i="81" s="1"/>
  <c r="BO53" i="79"/>
  <c r="BO108" i="79" s="1"/>
  <c r="BN53" i="81" s="1"/>
  <c r="BN4" i="79"/>
  <c r="BN59" i="79" s="1"/>
  <c r="BM4" i="81" s="1"/>
  <c r="BO4" i="79"/>
  <c r="BO59" i="79" s="1"/>
  <c r="BN4" i="81" s="1"/>
  <c r="BM4" i="79"/>
  <c r="BM59" i="79" s="1"/>
  <c r="BL4" i="81" s="1"/>
  <c r="BJ5" i="79"/>
  <c r="BJ60" i="79" s="1"/>
  <c r="BI5" i="81" s="1"/>
  <c r="BJ6" i="79"/>
  <c r="BJ61" i="79" s="1"/>
  <c r="BI6" i="81" s="1"/>
  <c r="BJ7" i="79"/>
  <c r="BJ62" i="79" s="1"/>
  <c r="BI7" i="81" s="1"/>
  <c r="BJ8" i="79"/>
  <c r="BJ63" i="79" s="1"/>
  <c r="BI8" i="81" s="1"/>
  <c r="BJ9" i="79"/>
  <c r="BJ64" i="79" s="1"/>
  <c r="BI9" i="81" s="1"/>
  <c r="BJ10" i="79"/>
  <c r="BJ65" i="79" s="1"/>
  <c r="BI10" i="81" s="1"/>
  <c r="BJ11" i="79"/>
  <c r="BJ66" i="79" s="1"/>
  <c r="BI11" i="81" s="1"/>
  <c r="BJ12" i="79"/>
  <c r="BJ67" i="79" s="1"/>
  <c r="BI12" i="81" s="1"/>
  <c r="BJ13" i="79"/>
  <c r="BJ68" i="79" s="1"/>
  <c r="BI13" i="81" s="1"/>
  <c r="BJ14" i="79"/>
  <c r="BJ69" i="79" s="1"/>
  <c r="BI14" i="81" s="1"/>
  <c r="BJ15" i="79"/>
  <c r="BJ70" i="79" s="1"/>
  <c r="BI15" i="81" s="1"/>
  <c r="BJ16" i="79"/>
  <c r="BJ71" i="79" s="1"/>
  <c r="BI16" i="81" s="1"/>
  <c r="BJ17" i="79"/>
  <c r="BJ72" i="79" s="1"/>
  <c r="BI17" i="81" s="1"/>
  <c r="BJ18" i="79"/>
  <c r="BJ73" i="79" s="1"/>
  <c r="BI18" i="81" s="1"/>
  <c r="BJ19" i="79"/>
  <c r="BJ74" i="79" s="1"/>
  <c r="BI19" i="81" s="1"/>
  <c r="BJ20" i="79"/>
  <c r="BJ75" i="79" s="1"/>
  <c r="BI20" i="81" s="1"/>
  <c r="BJ21" i="79"/>
  <c r="BJ76" i="79" s="1"/>
  <c r="BI21" i="81" s="1"/>
  <c r="BJ22" i="79"/>
  <c r="BJ77" i="79" s="1"/>
  <c r="BI22" i="81" s="1"/>
  <c r="BJ23" i="79"/>
  <c r="BJ78" i="79" s="1"/>
  <c r="BI23" i="81" s="1"/>
  <c r="BJ24" i="79"/>
  <c r="BJ79" i="79" s="1"/>
  <c r="BI24" i="81" s="1"/>
  <c r="BJ25" i="79"/>
  <c r="BJ80" i="79" s="1"/>
  <c r="BI25" i="81" s="1"/>
  <c r="BJ26" i="79"/>
  <c r="BJ81" i="79" s="1"/>
  <c r="BI26" i="81" s="1"/>
  <c r="BJ27" i="79"/>
  <c r="BJ82" i="79" s="1"/>
  <c r="BI27" i="81" s="1"/>
  <c r="BJ28" i="79"/>
  <c r="BJ83" i="79" s="1"/>
  <c r="BI28" i="81" s="1"/>
  <c r="BJ29" i="79"/>
  <c r="BJ84" i="79" s="1"/>
  <c r="BI29" i="81" s="1"/>
  <c r="BJ30" i="79"/>
  <c r="BJ85" i="79" s="1"/>
  <c r="BI30" i="81" s="1"/>
  <c r="BJ31" i="79"/>
  <c r="BJ86" i="79" s="1"/>
  <c r="BI31" i="81" s="1"/>
  <c r="BJ32" i="79"/>
  <c r="BJ87" i="79" s="1"/>
  <c r="BI32" i="81" s="1"/>
  <c r="BJ33" i="79"/>
  <c r="BJ88" i="79" s="1"/>
  <c r="BI33" i="81" s="1"/>
  <c r="BJ34" i="79"/>
  <c r="BJ89" i="79" s="1"/>
  <c r="BI34" i="81" s="1"/>
  <c r="BJ35" i="79"/>
  <c r="BJ90" i="79" s="1"/>
  <c r="BI35" i="81" s="1"/>
  <c r="BJ36" i="79"/>
  <c r="BJ91" i="79" s="1"/>
  <c r="BI36" i="81" s="1"/>
  <c r="BJ37" i="79"/>
  <c r="BJ92" i="79" s="1"/>
  <c r="BI37" i="81" s="1"/>
  <c r="BJ38" i="79"/>
  <c r="BJ93" i="79" s="1"/>
  <c r="BI38" i="81" s="1"/>
  <c r="BJ39" i="79"/>
  <c r="BJ94" i="79" s="1"/>
  <c r="BI39" i="81" s="1"/>
  <c r="BJ40" i="79"/>
  <c r="BJ95" i="79" s="1"/>
  <c r="BI40" i="81" s="1"/>
  <c r="BJ41" i="79"/>
  <c r="BJ96" i="79" s="1"/>
  <c r="BI41" i="81" s="1"/>
  <c r="BJ42" i="79"/>
  <c r="BJ97" i="79" s="1"/>
  <c r="BI42" i="81" s="1"/>
  <c r="BJ43" i="79"/>
  <c r="BJ98" i="79" s="1"/>
  <c r="BI43" i="81" s="1"/>
  <c r="BJ44" i="79"/>
  <c r="BJ99" i="79" s="1"/>
  <c r="BI44" i="81" s="1"/>
  <c r="BJ45" i="79"/>
  <c r="BJ100" i="79" s="1"/>
  <c r="BI45" i="81" s="1"/>
  <c r="BJ46" i="79"/>
  <c r="BJ101" i="79" s="1"/>
  <c r="BI46" i="81" s="1"/>
  <c r="BJ47" i="79"/>
  <c r="BJ102" i="79" s="1"/>
  <c r="BI47" i="81" s="1"/>
  <c r="BJ48" i="79"/>
  <c r="BJ103" i="79" s="1"/>
  <c r="BI48" i="81" s="1"/>
  <c r="BJ49" i="79"/>
  <c r="BJ104" i="79" s="1"/>
  <c r="BI49" i="81" s="1"/>
  <c r="BJ50" i="79"/>
  <c r="BJ105" i="79" s="1"/>
  <c r="BI50" i="81" s="1"/>
  <c r="BJ51" i="79"/>
  <c r="BJ106" i="79" s="1"/>
  <c r="BI51" i="81" s="1"/>
  <c r="BJ52" i="79"/>
  <c r="BJ107" i="79" s="1"/>
  <c r="BI52" i="81" s="1"/>
  <c r="BJ53" i="79"/>
  <c r="BJ108" i="79" s="1"/>
  <c r="BI53" i="81" s="1"/>
  <c r="BJ4" i="79"/>
  <c r="BJ59" i="79" s="1"/>
  <c r="BI4" i="81" s="1"/>
  <c r="BE5" i="79"/>
  <c r="BE60" i="79" s="1"/>
  <c r="BD5" i="81" s="1"/>
  <c r="BF5" i="79"/>
  <c r="BF60" i="79" s="1"/>
  <c r="BE5" i="81" s="1"/>
  <c r="BG5" i="79"/>
  <c r="BG60" i="79" s="1"/>
  <c r="BF5" i="81" s="1"/>
  <c r="BH5" i="79"/>
  <c r="BH60" i="79" s="1"/>
  <c r="BG5" i="81" s="1"/>
  <c r="BI5" i="79"/>
  <c r="BI60" i="79" s="1"/>
  <c r="BH5" i="81" s="1"/>
  <c r="BE6" i="79"/>
  <c r="BE61" i="79" s="1"/>
  <c r="BD6" i="81" s="1"/>
  <c r="BF6" i="79"/>
  <c r="BF61" i="79" s="1"/>
  <c r="BE6" i="81" s="1"/>
  <c r="BG6" i="79"/>
  <c r="BG61" i="79" s="1"/>
  <c r="BF6" i="81" s="1"/>
  <c r="BH6" i="79"/>
  <c r="BH61" i="79" s="1"/>
  <c r="BG6" i="81" s="1"/>
  <c r="BI6" i="79"/>
  <c r="BI61" i="79" s="1"/>
  <c r="BH6" i="81" s="1"/>
  <c r="BE7" i="79"/>
  <c r="BE62" i="79" s="1"/>
  <c r="BD7" i="81" s="1"/>
  <c r="BF7" i="79"/>
  <c r="BF62" i="79" s="1"/>
  <c r="BE7" i="81" s="1"/>
  <c r="BG7" i="79"/>
  <c r="BG62" i="79" s="1"/>
  <c r="BF7" i="81" s="1"/>
  <c r="BH7" i="79"/>
  <c r="BH62" i="79" s="1"/>
  <c r="BG7" i="81" s="1"/>
  <c r="BI7" i="79"/>
  <c r="BI62" i="79" s="1"/>
  <c r="BH7" i="81" s="1"/>
  <c r="BE8" i="79"/>
  <c r="BE63" i="79" s="1"/>
  <c r="BD8" i="81" s="1"/>
  <c r="BF8" i="79"/>
  <c r="BF63" i="79" s="1"/>
  <c r="BE8" i="81" s="1"/>
  <c r="BG8" i="79"/>
  <c r="BG63" i="79" s="1"/>
  <c r="BF8" i="81" s="1"/>
  <c r="BH8" i="79"/>
  <c r="BH63" i="79" s="1"/>
  <c r="BG8" i="81" s="1"/>
  <c r="BI8" i="79"/>
  <c r="BI63" i="79" s="1"/>
  <c r="BH8" i="81" s="1"/>
  <c r="BE9" i="79"/>
  <c r="BE64" i="79" s="1"/>
  <c r="BD9" i="81" s="1"/>
  <c r="BF9" i="79"/>
  <c r="BF64" i="79" s="1"/>
  <c r="BE9" i="81" s="1"/>
  <c r="BG9" i="79"/>
  <c r="BG64" i="79" s="1"/>
  <c r="BF9" i="81" s="1"/>
  <c r="BH9" i="79"/>
  <c r="BH64" i="79" s="1"/>
  <c r="BG9" i="81" s="1"/>
  <c r="BI9" i="79"/>
  <c r="BI64" i="79" s="1"/>
  <c r="BH9" i="81" s="1"/>
  <c r="BE10" i="79"/>
  <c r="BE65" i="79" s="1"/>
  <c r="BD10" i="81" s="1"/>
  <c r="BF10" i="79"/>
  <c r="BF65" i="79" s="1"/>
  <c r="BE10" i="81" s="1"/>
  <c r="BG10" i="79"/>
  <c r="BG65" i="79" s="1"/>
  <c r="BF10" i="81" s="1"/>
  <c r="BH10" i="79"/>
  <c r="BH65" i="79" s="1"/>
  <c r="BG10" i="81" s="1"/>
  <c r="BI10" i="79"/>
  <c r="BI65" i="79" s="1"/>
  <c r="BH10" i="81" s="1"/>
  <c r="BE11" i="79"/>
  <c r="BE66" i="79" s="1"/>
  <c r="BD11" i="81" s="1"/>
  <c r="BF11" i="79"/>
  <c r="BF66" i="79" s="1"/>
  <c r="BE11" i="81" s="1"/>
  <c r="BG11" i="79"/>
  <c r="BG66" i="79" s="1"/>
  <c r="BF11" i="81" s="1"/>
  <c r="BH11" i="79"/>
  <c r="BH66" i="79" s="1"/>
  <c r="BG11" i="81" s="1"/>
  <c r="BI11" i="79"/>
  <c r="BI66" i="79" s="1"/>
  <c r="BH11" i="81" s="1"/>
  <c r="BE12" i="79"/>
  <c r="BE67" i="79" s="1"/>
  <c r="BD12" i="81" s="1"/>
  <c r="BF12" i="79"/>
  <c r="BF67" i="79" s="1"/>
  <c r="BE12" i="81" s="1"/>
  <c r="BG12" i="79"/>
  <c r="BG67" i="79" s="1"/>
  <c r="BF12" i="81" s="1"/>
  <c r="BH12" i="79"/>
  <c r="BH67" i="79" s="1"/>
  <c r="BG12" i="81" s="1"/>
  <c r="BI12" i="79"/>
  <c r="BI67" i="79" s="1"/>
  <c r="BH12" i="81" s="1"/>
  <c r="BE13" i="79"/>
  <c r="BE68" i="79" s="1"/>
  <c r="BD13" i="81" s="1"/>
  <c r="BF13" i="79"/>
  <c r="BF68" i="79" s="1"/>
  <c r="BE13" i="81" s="1"/>
  <c r="BG13" i="79"/>
  <c r="BG68" i="79" s="1"/>
  <c r="BF13" i="81" s="1"/>
  <c r="BH13" i="79"/>
  <c r="BH68" i="79" s="1"/>
  <c r="BG13" i="81" s="1"/>
  <c r="BI13" i="79"/>
  <c r="BI68" i="79" s="1"/>
  <c r="BH13" i="81" s="1"/>
  <c r="BE14" i="79"/>
  <c r="BE69" i="79" s="1"/>
  <c r="BD14" i="81" s="1"/>
  <c r="BF14" i="79"/>
  <c r="BF69" i="79" s="1"/>
  <c r="BE14" i="81" s="1"/>
  <c r="BG14" i="79"/>
  <c r="BG69" i="79" s="1"/>
  <c r="BF14" i="81" s="1"/>
  <c r="BH14" i="79"/>
  <c r="BH69" i="79" s="1"/>
  <c r="BG14" i="81" s="1"/>
  <c r="BI14" i="79"/>
  <c r="BI69" i="79" s="1"/>
  <c r="BH14" i="81" s="1"/>
  <c r="BE15" i="79"/>
  <c r="BE70" i="79" s="1"/>
  <c r="BD15" i="81" s="1"/>
  <c r="BF15" i="79"/>
  <c r="BF70" i="79" s="1"/>
  <c r="BE15" i="81" s="1"/>
  <c r="BG15" i="79"/>
  <c r="BG70" i="79" s="1"/>
  <c r="BF15" i="81" s="1"/>
  <c r="BH15" i="79"/>
  <c r="BH70" i="79" s="1"/>
  <c r="BG15" i="81" s="1"/>
  <c r="BI15" i="79"/>
  <c r="BI70" i="79" s="1"/>
  <c r="BH15" i="81" s="1"/>
  <c r="BE16" i="79"/>
  <c r="BE71" i="79" s="1"/>
  <c r="BD16" i="81" s="1"/>
  <c r="BF16" i="79"/>
  <c r="BF71" i="79" s="1"/>
  <c r="BE16" i="81" s="1"/>
  <c r="BG16" i="79"/>
  <c r="BG71" i="79" s="1"/>
  <c r="BF16" i="81" s="1"/>
  <c r="BH16" i="79"/>
  <c r="BH71" i="79" s="1"/>
  <c r="BG16" i="81" s="1"/>
  <c r="BI16" i="79"/>
  <c r="BI71" i="79" s="1"/>
  <c r="BH16" i="81" s="1"/>
  <c r="BE17" i="79"/>
  <c r="BE72" i="79" s="1"/>
  <c r="BD17" i="81" s="1"/>
  <c r="BF17" i="79"/>
  <c r="BF72" i="79" s="1"/>
  <c r="BE17" i="81" s="1"/>
  <c r="BG17" i="79"/>
  <c r="BG72" i="79" s="1"/>
  <c r="BF17" i="81" s="1"/>
  <c r="BH17" i="79"/>
  <c r="BH72" i="79" s="1"/>
  <c r="BG17" i="81" s="1"/>
  <c r="BI17" i="79"/>
  <c r="BI72" i="79" s="1"/>
  <c r="BH17" i="81" s="1"/>
  <c r="BE18" i="79"/>
  <c r="BE73" i="79" s="1"/>
  <c r="BD18" i="81" s="1"/>
  <c r="BF18" i="79"/>
  <c r="BF73" i="79" s="1"/>
  <c r="BE18" i="81" s="1"/>
  <c r="BG18" i="79"/>
  <c r="BG73" i="79" s="1"/>
  <c r="BF18" i="81" s="1"/>
  <c r="BH18" i="79"/>
  <c r="BH73" i="79" s="1"/>
  <c r="BG18" i="81" s="1"/>
  <c r="BI18" i="79"/>
  <c r="BI73" i="79" s="1"/>
  <c r="BH18" i="81" s="1"/>
  <c r="BE19" i="79"/>
  <c r="BE74" i="79" s="1"/>
  <c r="BD19" i="81" s="1"/>
  <c r="BF19" i="79"/>
  <c r="BF74" i="79" s="1"/>
  <c r="BE19" i="81" s="1"/>
  <c r="BG19" i="79"/>
  <c r="BG74" i="79" s="1"/>
  <c r="BF19" i="81" s="1"/>
  <c r="BH19" i="79"/>
  <c r="BH74" i="79" s="1"/>
  <c r="BG19" i="81" s="1"/>
  <c r="BI19" i="79"/>
  <c r="BI74" i="79" s="1"/>
  <c r="BH19" i="81" s="1"/>
  <c r="BE20" i="79"/>
  <c r="BE75" i="79" s="1"/>
  <c r="BD20" i="81" s="1"/>
  <c r="BF20" i="79"/>
  <c r="BF75" i="79" s="1"/>
  <c r="BE20" i="81" s="1"/>
  <c r="BG20" i="79"/>
  <c r="BG75" i="79" s="1"/>
  <c r="BF20" i="81" s="1"/>
  <c r="BH20" i="79"/>
  <c r="BH75" i="79" s="1"/>
  <c r="BG20" i="81" s="1"/>
  <c r="BI20" i="79"/>
  <c r="BI75" i="79" s="1"/>
  <c r="BH20" i="81" s="1"/>
  <c r="BE21" i="79"/>
  <c r="BE76" i="79" s="1"/>
  <c r="BD21" i="81" s="1"/>
  <c r="BF21" i="79"/>
  <c r="BF76" i="79" s="1"/>
  <c r="BE21" i="81" s="1"/>
  <c r="BG21" i="79"/>
  <c r="BG76" i="79" s="1"/>
  <c r="BF21" i="81" s="1"/>
  <c r="BH21" i="79"/>
  <c r="BH76" i="79" s="1"/>
  <c r="BG21" i="81" s="1"/>
  <c r="BI21" i="79"/>
  <c r="BI76" i="79" s="1"/>
  <c r="BH21" i="81" s="1"/>
  <c r="BE22" i="79"/>
  <c r="BE77" i="79" s="1"/>
  <c r="BD22" i="81" s="1"/>
  <c r="BF22" i="79"/>
  <c r="BF77" i="79" s="1"/>
  <c r="BE22" i="81" s="1"/>
  <c r="BG22" i="79"/>
  <c r="BG77" i="79" s="1"/>
  <c r="BF22" i="81" s="1"/>
  <c r="BH22" i="79"/>
  <c r="BH77" i="79" s="1"/>
  <c r="BG22" i="81" s="1"/>
  <c r="BI22" i="79"/>
  <c r="BI77" i="79" s="1"/>
  <c r="BH22" i="81" s="1"/>
  <c r="BE23" i="79"/>
  <c r="BE78" i="79" s="1"/>
  <c r="BD23" i="81" s="1"/>
  <c r="BF23" i="79"/>
  <c r="BF78" i="79" s="1"/>
  <c r="BE23" i="81" s="1"/>
  <c r="BG23" i="79"/>
  <c r="BG78" i="79" s="1"/>
  <c r="BF23" i="81" s="1"/>
  <c r="BH23" i="79"/>
  <c r="BH78" i="79" s="1"/>
  <c r="BG23" i="81" s="1"/>
  <c r="BI23" i="79"/>
  <c r="BI78" i="79" s="1"/>
  <c r="BH23" i="81" s="1"/>
  <c r="BE24" i="79"/>
  <c r="BE79" i="79" s="1"/>
  <c r="BD24" i="81" s="1"/>
  <c r="BF24" i="79"/>
  <c r="BF79" i="79" s="1"/>
  <c r="BE24" i="81" s="1"/>
  <c r="BG24" i="79"/>
  <c r="BG79" i="79" s="1"/>
  <c r="BF24" i="81" s="1"/>
  <c r="BH24" i="79"/>
  <c r="BH79" i="79" s="1"/>
  <c r="BG24" i="81" s="1"/>
  <c r="BI24" i="79"/>
  <c r="BI79" i="79" s="1"/>
  <c r="BH24" i="81" s="1"/>
  <c r="BE25" i="79"/>
  <c r="BE80" i="79" s="1"/>
  <c r="BD25" i="81" s="1"/>
  <c r="BF25" i="79"/>
  <c r="BF80" i="79" s="1"/>
  <c r="BE25" i="81" s="1"/>
  <c r="BG25" i="79"/>
  <c r="BG80" i="79" s="1"/>
  <c r="BF25" i="81" s="1"/>
  <c r="BH25" i="79"/>
  <c r="BH80" i="79" s="1"/>
  <c r="BG25" i="81" s="1"/>
  <c r="BI25" i="79"/>
  <c r="BI80" i="79" s="1"/>
  <c r="BH25" i="81" s="1"/>
  <c r="BE26" i="79"/>
  <c r="BE81" i="79" s="1"/>
  <c r="BD26" i="81" s="1"/>
  <c r="BF26" i="79"/>
  <c r="BF81" i="79" s="1"/>
  <c r="BE26" i="81" s="1"/>
  <c r="BG26" i="79"/>
  <c r="BG81" i="79" s="1"/>
  <c r="BF26" i="81" s="1"/>
  <c r="BH26" i="79"/>
  <c r="BH81" i="79" s="1"/>
  <c r="BG26" i="81" s="1"/>
  <c r="BI26" i="79"/>
  <c r="BI81" i="79" s="1"/>
  <c r="BH26" i="81" s="1"/>
  <c r="BE27" i="79"/>
  <c r="BE82" i="79" s="1"/>
  <c r="BD27" i="81" s="1"/>
  <c r="BF27" i="79"/>
  <c r="BF82" i="79" s="1"/>
  <c r="BE27" i="81" s="1"/>
  <c r="BG27" i="79"/>
  <c r="BG82" i="79" s="1"/>
  <c r="BF27" i="81" s="1"/>
  <c r="BH27" i="79"/>
  <c r="BH82" i="79" s="1"/>
  <c r="BG27" i="81" s="1"/>
  <c r="BI27" i="79"/>
  <c r="BI82" i="79" s="1"/>
  <c r="BH27" i="81" s="1"/>
  <c r="BE28" i="79"/>
  <c r="BE83" i="79" s="1"/>
  <c r="BD28" i="81" s="1"/>
  <c r="BF28" i="79"/>
  <c r="BF83" i="79" s="1"/>
  <c r="BE28" i="81" s="1"/>
  <c r="BG28" i="79"/>
  <c r="BG83" i="79" s="1"/>
  <c r="BF28" i="81" s="1"/>
  <c r="BH28" i="79"/>
  <c r="BH83" i="79" s="1"/>
  <c r="BG28" i="81" s="1"/>
  <c r="BI28" i="79"/>
  <c r="BI83" i="79" s="1"/>
  <c r="BH28" i="81" s="1"/>
  <c r="BE29" i="79"/>
  <c r="BE84" i="79" s="1"/>
  <c r="BD29" i="81" s="1"/>
  <c r="BF29" i="79"/>
  <c r="BF84" i="79" s="1"/>
  <c r="BE29" i="81" s="1"/>
  <c r="BG29" i="79"/>
  <c r="BG84" i="79" s="1"/>
  <c r="BF29" i="81" s="1"/>
  <c r="BH29" i="79"/>
  <c r="BH84" i="79" s="1"/>
  <c r="BG29" i="81" s="1"/>
  <c r="BI29" i="79"/>
  <c r="BI84" i="79" s="1"/>
  <c r="BH29" i="81" s="1"/>
  <c r="BE30" i="79"/>
  <c r="BE85" i="79" s="1"/>
  <c r="BD30" i="81" s="1"/>
  <c r="BF30" i="79"/>
  <c r="BF85" i="79" s="1"/>
  <c r="BE30" i="81" s="1"/>
  <c r="BG30" i="79"/>
  <c r="BG85" i="79" s="1"/>
  <c r="BF30" i="81" s="1"/>
  <c r="BH30" i="79"/>
  <c r="BH85" i="79" s="1"/>
  <c r="BG30" i="81" s="1"/>
  <c r="BI30" i="79"/>
  <c r="BI85" i="79" s="1"/>
  <c r="BH30" i="81" s="1"/>
  <c r="BE31" i="79"/>
  <c r="BE86" i="79" s="1"/>
  <c r="BD31" i="81" s="1"/>
  <c r="BF31" i="79"/>
  <c r="BF86" i="79" s="1"/>
  <c r="BE31" i="81" s="1"/>
  <c r="BG31" i="79"/>
  <c r="BG86" i="79" s="1"/>
  <c r="BF31" i="81" s="1"/>
  <c r="BH31" i="79"/>
  <c r="BH86" i="79" s="1"/>
  <c r="BG31" i="81" s="1"/>
  <c r="BI31" i="79"/>
  <c r="BI86" i="79" s="1"/>
  <c r="BH31" i="81" s="1"/>
  <c r="BE32" i="79"/>
  <c r="BE87" i="79" s="1"/>
  <c r="BD32" i="81" s="1"/>
  <c r="BF32" i="79"/>
  <c r="BF87" i="79" s="1"/>
  <c r="BE32" i="81" s="1"/>
  <c r="BG32" i="79"/>
  <c r="BG87" i="79" s="1"/>
  <c r="BF32" i="81" s="1"/>
  <c r="BH32" i="79"/>
  <c r="BH87" i="79" s="1"/>
  <c r="BG32" i="81" s="1"/>
  <c r="BI32" i="79"/>
  <c r="BI87" i="79" s="1"/>
  <c r="BH32" i="81" s="1"/>
  <c r="BE33" i="79"/>
  <c r="BE88" i="79" s="1"/>
  <c r="BD33" i="81" s="1"/>
  <c r="BF33" i="79"/>
  <c r="BF88" i="79" s="1"/>
  <c r="BE33" i="81" s="1"/>
  <c r="BG33" i="79"/>
  <c r="BG88" i="79" s="1"/>
  <c r="BF33" i="81" s="1"/>
  <c r="BH33" i="79"/>
  <c r="BH88" i="79" s="1"/>
  <c r="BG33" i="81" s="1"/>
  <c r="BI33" i="79"/>
  <c r="BI88" i="79" s="1"/>
  <c r="BH33" i="81" s="1"/>
  <c r="BE34" i="79"/>
  <c r="BE89" i="79" s="1"/>
  <c r="BD34" i="81" s="1"/>
  <c r="BF34" i="79"/>
  <c r="BF89" i="79" s="1"/>
  <c r="BE34" i="81" s="1"/>
  <c r="BG34" i="79"/>
  <c r="BG89" i="79" s="1"/>
  <c r="BF34" i="81" s="1"/>
  <c r="BH34" i="79"/>
  <c r="BH89" i="79" s="1"/>
  <c r="BG34" i="81" s="1"/>
  <c r="BI34" i="79"/>
  <c r="BI89" i="79" s="1"/>
  <c r="BH34" i="81" s="1"/>
  <c r="BE35" i="79"/>
  <c r="BE90" i="79" s="1"/>
  <c r="BD35" i="81" s="1"/>
  <c r="BF35" i="79"/>
  <c r="BF90" i="79" s="1"/>
  <c r="BE35" i="81" s="1"/>
  <c r="BG35" i="79"/>
  <c r="BG90" i="79" s="1"/>
  <c r="BF35" i="81" s="1"/>
  <c r="BH35" i="79"/>
  <c r="BH90" i="79" s="1"/>
  <c r="BG35" i="81" s="1"/>
  <c r="BI35" i="79"/>
  <c r="BI90" i="79" s="1"/>
  <c r="BH35" i="81" s="1"/>
  <c r="BE36" i="79"/>
  <c r="BE91" i="79" s="1"/>
  <c r="BD36" i="81" s="1"/>
  <c r="BF36" i="79"/>
  <c r="BF91" i="79" s="1"/>
  <c r="BE36" i="81" s="1"/>
  <c r="BG36" i="79"/>
  <c r="BG91" i="79" s="1"/>
  <c r="BF36" i="81" s="1"/>
  <c r="BH36" i="79"/>
  <c r="BH91" i="79" s="1"/>
  <c r="BG36" i="81" s="1"/>
  <c r="BI36" i="79"/>
  <c r="BI91" i="79" s="1"/>
  <c r="BH36" i="81" s="1"/>
  <c r="BE37" i="79"/>
  <c r="BE92" i="79" s="1"/>
  <c r="BD37" i="81" s="1"/>
  <c r="BF37" i="79"/>
  <c r="BF92" i="79" s="1"/>
  <c r="BE37" i="81" s="1"/>
  <c r="BG37" i="79"/>
  <c r="BG92" i="79" s="1"/>
  <c r="BF37" i="81" s="1"/>
  <c r="BH37" i="79"/>
  <c r="BH92" i="79" s="1"/>
  <c r="BG37" i="81" s="1"/>
  <c r="BI37" i="79"/>
  <c r="BI92" i="79" s="1"/>
  <c r="BH37" i="81" s="1"/>
  <c r="BE38" i="79"/>
  <c r="BE93" i="79" s="1"/>
  <c r="BD38" i="81" s="1"/>
  <c r="BF38" i="79"/>
  <c r="BF93" i="79" s="1"/>
  <c r="BE38" i="81" s="1"/>
  <c r="BG38" i="79"/>
  <c r="BG93" i="79" s="1"/>
  <c r="BF38" i="81" s="1"/>
  <c r="BH38" i="79"/>
  <c r="BH93" i="79" s="1"/>
  <c r="BG38" i="81" s="1"/>
  <c r="BI38" i="79"/>
  <c r="BI93" i="79" s="1"/>
  <c r="BH38" i="81" s="1"/>
  <c r="BE39" i="79"/>
  <c r="BE94" i="79" s="1"/>
  <c r="BD39" i="81" s="1"/>
  <c r="BF39" i="79"/>
  <c r="BF94" i="79" s="1"/>
  <c r="BE39" i="81" s="1"/>
  <c r="BG39" i="79"/>
  <c r="BG94" i="79" s="1"/>
  <c r="BF39" i="81" s="1"/>
  <c r="BH39" i="79"/>
  <c r="BH94" i="79" s="1"/>
  <c r="BG39" i="81" s="1"/>
  <c r="BI39" i="79"/>
  <c r="BI94" i="79" s="1"/>
  <c r="BH39" i="81" s="1"/>
  <c r="BE40" i="79"/>
  <c r="BE95" i="79" s="1"/>
  <c r="BD40" i="81" s="1"/>
  <c r="BF40" i="79"/>
  <c r="BF95" i="79" s="1"/>
  <c r="BE40" i="81" s="1"/>
  <c r="BG40" i="79"/>
  <c r="BG95" i="79" s="1"/>
  <c r="BF40" i="81" s="1"/>
  <c r="BH40" i="79"/>
  <c r="BH95" i="79" s="1"/>
  <c r="BG40" i="81" s="1"/>
  <c r="BI40" i="79"/>
  <c r="BI95" i="79" s="1"/>
  <c r="BH40" i="81" s="1"/>
  <c r="BE41" i="79"/>
  <c r="BE96" i="79" s="1"/>
  <c r="BD41" i="81" s="1"/>
  <c r="BF41" i="79"/>
  <c r="BF96" i="79" s="1"/>
  <c r="BE41" i="81" s="1"/>
  <c r="BG41" i="79"/>
  <c r="BG96" i="79" s="1"/>
  <c r="BF41" i="81" s="1"/>
  <c r="BH41" i="79"/>
  <c r="BH96" i="79" s="1"/>
  <c r="BG41" i="81" s="1"/>
  <c r="BI41" i="79"/>
  <c r="BI96" i="79" s="1"/>
  <c r="BH41" i="81" s="1"/>
  <c r="BE42" i="79"/>
  <c r="BE97" i="79" s="1"/>
  <c r="BD42" i="81" s="1"/>
  <c r="BF42" i="79"/>
  <c r="BF97" i="79" s="1"/>
  <c r="BE42" i="81" s="1"/>
  <c r="BG42" i="79"/>
  <c r="BG97" i="79" s="1"/>
  <c r="BF42" i="81" s="1"/>
  <c r="BH42" i="79"/>
  <c r="BH97" i="79" s="1"/>
  <c r="BG42" i="81" s="1"/>
  <c r="BI42" i="79"/>
  <c r="BI97" i="79" s="1"/>
  <c r="BH42" i="81" s="1"/>
  <c r="BE43" i="79"/>
  <c r="BE98" i="79" s="1"/>
  <c r="BD43" i="81" s="1"/>
  <c r="BF43" i="79"/>
  <c r="BF98" i="79" s="1"/>
  <c r="BE43" i="81" s="1"/>
  <c r="BG43" i="79"/>
  <c r="BG98" i="79" s="1"/>
  <c r="BF43" i="81" s="1"/>
  <c r="BH43" i="79"/>
  <c r="BH98" i="79" s="1"/>
  <c r="BG43" i="81" s="1"/>
  <c r="BI43" i="79"/>
  <c r="BI98" i="79" s="1"/>
  <c r="BH43" i="81" s="1"/>
  <c r="BE44" i="79"/>
  <c r="BE99" i="79" s="1"/>
  <c r="BD44" i="81" s="1"/>
  <c r="BF44" i="79"/>
  <c r="BF99" i="79" s="1"/>
  <c r="BE44" i="81" s="1"/>
  <c r="BG44" i="79"/>
  <c r="BG99" i="79" s="1"/>
  <c r="BF44" i="81" s="1"/>
  <c r="BH44" i="79"/>
  <c r="BH99" i="79" s="1"/>
  <c r="BG44" i="81" s="1"/>
  <c r="BI44" i="79"/>
  <c r="BI99" i="79" s="1"/>
  <c r="BH44" i="81" s="1"/>
  <c r="BE45" i="79"/>
  <c r="BE100" i="79" s="1"/>
  <c r="BD45" i="81" s="1"/>
  <c r="BF45" i="79"/>
  <c r="BF100" i="79" s="1"/>
  <c r="BE45" i="81" s="1"/>
  <c r="BG45" i="79"/>
  <c r="BG100" i="79" s="1"/>
  <c r="BF45" i="81" s="1"/>
  <c r="BH45" i="79"/>
  <c r="BH100" i="79" s="1"/>
  <c r="BG45" i="81" s="1"/>
  <c r="BI45" i="79"/>
  <c r="BI100" i="79" s="1"/>
  <c r="BH45" i="81" s="1"/>
  <c r="BE46" i="79"/>
  <c r="BE101" i="79" s="1"/>
  <c r="BD46" i="81" s="1"/>
  <c r="BF46" i="79"/>
  <c r="BF101" i="79" s="1"/>
  <c r="BE46" i="81" s="1"/>
  <c r="BG46" i="79"/>
  <c r="BG101" i="79" s="1"/>
  <c r="BF46" i="81" s="1"/>
  <c r="BH46" i="79"/>
  <c r="BH101" i="79" s="1"/>
  <c r="BG46" i="81" s="1"/>
  <c r="BI46" i="79"/>
  <c r="BI101" i="79" s="1"/>
  <c r="BH46" i="81" s="1"/>
  <c r="BE47" i="79"/>
  <c r="BE102" i="79" s="1"/>
  <c r="BD47" i="81" s="1"/>
  <c r="BF47" i="79"/>
  <c r="BF102" i="79" s="1"/>
  <c r="BE47" i="81" s="1"/>
  <c r="BG47" i="79"/>
  <c r="BG102" i="79" s="1"/>
  <c r="BF47" i="81" s="1"/>
  <c r="BH47" i="79"/>
  <c r="BH102" i="79" s="1"/>
  <c r="BG47" i="81" s="1"/>
  <c r="BI47" i="79"/>
  <c r="BI102" i="79" s="1"/>
  <c r="BH47" i="81" s="1"/>
  <c r="BE48" i="79"/>
  <c r="BE103" i="79" s="1"/>
  <c r="BD48" i="81" s="1"/>
  <c r="BF48" i="79"/>
  <c r="BF103" i="79" s="1"/>
  <c r="BE48" i="81" s="1"/>
  <c r="BG48" i="79"/>
  <c r="BG103" i="79" s="1"/>
  <c r="BF48" i="81" s="1"/>
  <c r="BH48" i="79"/>
  <c r="BH103" i="79" s="1"/>
  <c r="BG48" i="81" s="1"/>
  <c r="BI48" i="79"/>
  <c r="BI103" i="79" s="1"/>
  <c r="BH48" i="81" s="1"/>
  <c r="BE49" i="79"/>
  <c r="BE104" i="79" s="1"/>
  <c r="BD49" i="81" s="1"/>
  <c r="BF49" i="79"/>
  <c r="BF104" i="79" s="1"/>
  <c r="BE49" i="81" s="1"/>
  <c r="BG49" i="79"/>
  <c r="BG104" i="79" s="1"/>
  <c r="BF49" i="81" s="1"/>
  <c r="BH49" i="79"/>
  <c r="BH104" i="79" s="1"/>
  <c r="BG49" i="81" s="1"/>
  <c r="BI49" i="79"/>
  <c r="BI104" i="79" s="1"/>
  <c r="BH49" i="81" s="1"/>
  <c r="BE50" i="79"/>
  <c r="BE105" i="79" s="1"/>
  <c r="BD50" i="81" s="1"/>
  <c r="BF50" i="79"/>
  <c r="BF105" i="79" s="1"/>
  <c r="BE50" i="81" s="1"/>
  <c r="BG50" i="79"/>
  <c r="BG105" i="79" s="1"/>
  <c r="BF50" i="81" s="1"/>
  <c r="BH50" i="79"/>
  <c r="BH105" i="79" s="1"/>
  <c r="BG50" i="81" s="1"/>
  <c r="BI50" i="79"/>
  <c r="BI105" i="79" s="1"/>
  <c r="BH50" i="81" s="1"/>
  <c r="BE51" i="79"/>
  <c r="BE106" i="79" s="1"/>
  <c r="BD51" i="81" s="1"/>
  <c r="BF51" i="79"/>
  <c r="BF106" i="79" s="1"/>
  <c r="BE51" i="81" s="1"/>
  <c r="BG51" i="79"/>
  <c r="BG106" i="79" s="1"/>
  <c r="BF51" i="81" s="1"/>
  <c r="BH51" i="79"/>
  <c r="BH106" i="79" s="1"/>
  <c r="BG51" i="81" s="1"/>
  <c r="BI51" i="79"/>
  <c r="BI106" i="79" s="1"/>
  <c r="BH51" i="81" s="1"/>
  <c r="BE52" i="79"/>
  <c r="BE107" i="79" s="1"/>
  <c r="BD52" i="81" s="1"/>
  <c r="BF52" i="79"/>
  <c r="BF107" i="79" s="1"/>
  <c r="BE52" i="81" s="1"/>
  <c r="BG52" i="79"/>
  <c r="BG107" i="79" s="1"/>
  <c r="BF52" i="81" s="1"/>
  <c r="BH52" i="79"/>
  <c r="BH107" i="79" s="1"/>
  <c r="BG52" i="81" s="1"/>
  <c r="BI52" i="79"/>
  <c r="BI107" i="79" s="1"/>
  <c r="BH52" i="81" s="1"/>
  <c r="BE53" i="79"/>
  <c r="BE108" i="79" s="1"/>
  <c r="BD53" i="81" s="1"/>
  <c r="BF53" i="79"/>
  <c r="BF108" i="79" s="1"/>
  <c r="BE53" i="81" s="1"/>
  <c r="BG53" i="79"/>
  <c r="BG108" i="79" s="1"/>
  <c r="BF53" i="81" s="1"/>
  <c r="BH53" i="79"/>
  <c r="BH108" i="79" s="1"/>
  <c r="BG53" i="81" s="1"/>
  <c r="BI53" i="79"/>
  <c r="BI108" i="79" s="1"/>
  <c r="BH53" i="81" s="1"/>
  <c r="BF4" i="79"/>
  <c r="BF59" i="79" s="1"/>
  <c r="BE4" i="81" s="1"/>
  <c r="BG4" i="79"/>
  <c r="BG59" i="79" s="1"/>
  <c r="BF4" i="81" s="1"/>
  <c r="BH4" i="79"/>
  <c r="BH59" i="79" s="1"/>
  <c r="BG4" i="81" s="1"/>
  <c r="BI4" i="79"/>
  <c r="BI59" i="79" s="1"/>
  <c r="BH4" i="81" s="1"/>
  <c r="BE4" i="79"/>
  <c r="BE59" i="79" s="1"/>
  <c r="BD4" i="81" s="1"/>
  <c r="AR5" i="79"/>
  <c r="AR60" i="79" s="1"/>
  <c r="AQ5" i="81" s="1"/>
  <c r="AS5" i="79"/>
  <c r="AS60" i="79" s="1"/>
  <c r="AR5" i="81" s="1"/>
  <c r="AT5" i="79"/>
  <c r="AT60" i="79" s="1"/>
  <c r="AS5" i="81" s="1"/>
  <c r="AU5" i="79"/>
  <c r="AU60" i="79" s="1"/>
  <c r="AT5" i="81" s="1"/>
  <c r="AV5" i="79"/>
  <c r="AV60" i="79" s="1"/>
  <c r="AU5" i="81" s="1"/>
  <c r="AW5" i="79"/>
  <c r="AW60" i="79" s="1"/>
  <c r="AV5" i="81" s="1"/>
  <c r="AX5" i="79"/>
  <c r="AX60" i="79" s="1"/>
  <c r="AW5" i="81" s="1"/>
  <c r="AY5" i="79"/>
  <c r="AY60" i="79" s="1"/>
  <c r="AX5" i="81" s="1"/>
  <c r="AZ5" i="79"/>
  <c r="AZ60" i="79" s="1"/>
  <c r="AY5" i="81" s="1"/>
  <c r="BA5" i="79"/>
  <c r="BA60" i="79" s="1"/>
  <c r="AZ5" i="81" s="1"/>
  <c r="BB5" i="79"/>
  <c r="BB60" i="79" s="1"/>
  <c r="BA5" i="81" s="1"/>
  <c r="BC5" i="79"/>
  <c r="BC60" i="79" s="1"/>
  <c r="BB5" i="81" s="1"/>
  <c r="BD5" i="79"/>
  <c r="BD60" i="79" s="1"/>
  <c r="BC5" i="81" s="1"/>
  <c r="AR6" i="79"/>
  <c r="AR61" i="79" s="1"/>
  <c r="AQ6" i="81" s="1"/>
  <c r="AS6" i="79"/>
  <c r="AS61" i="79" s="1"/>
  <c r="AR6" i="81" s="1"/>
  <c r="AT6" i="79"/>
  <c r="AT61" i="79" s="1"/>
  <c r="AS6" i="81" s="1"/>
  <c r="AU6" i="79"/>
  <c r="AU61" i="79" s="1"/>
  <c r="AT6" i="81" s="1"/>
  <c r="AV6" i="79"/>
  <c r="AV61" i="79" s="1"/>
  <c r="AU6" i="81" s="1"/>
  <c r="AW6" i="79"/>
  <c r="AW61" i="79" s="1"/>
  <c r="AV6" i="81" s="1"/>
  <c r="AX6" i="79"/>
  <c r="AX61" i="79" s="1"/>
  <c r="AW6" i="81" s="1"/>
  <c r="AY6" i="79"/>
  <c r="AY61" i="79" s="1"/>
  <c r="AX6" i="81" s="1"/>
  <c r="AZ6" i="79"/>
  <c r="AZ61" i="79" s="1"/>
  <c r="AY6" i="81" s="1"/>
  <c r="BA6" i="79"/>
  <c r="BA61" i="79" s="1"/>
  <c r="AZ6" i="81" s="1"/>
  <c r="BB6" i="79"/>
  <c r="BB61" i="79" s="1"/>
  <c r="BA6" i="81" s="1"/>
  <c r="BC6" i="79"/>
  <c r="BC61" i="79" s="1"/>
  <c r="BB6" i="81" s="1"/>
  <c r="BD6" i="79"/>
  <c r="BD61" i="79" s="1"/>
  <c r="BC6" i="81" s="1"/>
  <c r="AR7" i="79"/>
  <c r="AR62" i="79" s="1"/>
  <c r="AQ7" i="81" s="1"/>
  <c r="AS7" i="79"/>
  <c r="AS62" i="79" s="1"/>
  <c r="AR7" i="81" s="1"/>
  <c r="AT7" i="79"/>
  <c r="AT62" i="79" s="1"/>
  <c r="AS7" i="81" s="1"/>
  <c r="AU7" i="79"/>
  <c r="AU62" i="79" s="1"/>
  <c r="AT7" i="81" s="1"/>
  <c r="AV7" i="79"/>
  <c r="AV62" i="79" s="1"/>
  <c r="AU7" i="81" s="1"/>
  <c r="AW7" i="79"/>
  <c r="AW62" i="79" s="1"/>
  <c r="AV7" i="81" s="1"/>
  <c r="AX7" i="79"/>
  <c r="AX62" i="79" s="1"/>
  <c r="AW7" i="81" s="1"/>
  <c r="AY7" i="79"/>
  <c r="AY62" i="79" s="1"/>
  <c r="AX7" i="81" s="1"/>
  <c r="AZ7" i="79"/>
  <c r="AZ62" i="79" s="1"/>
  <c r="AY7" i="81" s="1"/>
  <c r="BA7" i="79"/>
  <c r="BA62" i="79" s="1"/>
  <c r="AZ7" i="81" s="1"/>
  <c r="BB7" i="79"/>
  <c r="BB62" i="79" s="1"/>
  <c r="BA7" i="81" s="1"/>
  <c r="BC7" i="79"/>
  <c r="BC62" i="79" s="1"/>
  <c r="BB7" i="81" s="1"/>
  <c r="BD7" i="79"/>
  <c r="BD62" i="79" s="1"/>
  <c r="BC7" i="81" s="1"/>
  <c r="AR8" i="79"/>
  <c r="AR63" i="79" s="1"/>
  <c r="AQ8" i="81" s="1"/>
  <c r="AS8" i="79"/>
  <c r="AS63" i="79" s="1"/>
  <c r="AR8" i="81" s="1"/>
  <c r="AT8" i="79"/>
  <c r="AT63" i="79" s="1"/>
  <c r="AS8" i="81" s="1"/>
  <c r="AU8" i="79"/>
  <c r="AU63" i="79" s="1"/>
  <c r="AT8" i="81" s="1"/>
  <c r="AV8" i="79"/>
  <c r="AV63" i="79" s="1"/>
  <c r="AU8" i="81" s="1"/>
  <c r="AW8" i="79"/>
  <c r="AW63" i="79" s="1"/>
  <c r="AV8" i="81" s="1"/>
  <c r="AX8" i="79"/>
  <c r="AX63" i="79" s="1"/>
  <c r="AW8" i="81" s="1"/>
  <c r="AY8" i="79"/>
  <c r="AY63" i="79" s="1"/>
  <c r="AX8" i="81" s="1"/>
  <c r="AZ8" i="79"/>
  <c r="AZ63" i="79" s="1"/>
  <c r="AY8" i="81" s="1"/>
  <c r="BA8" i="79"/>
  <c r="BA63" i="79" s="1"/>
  <c r="AZ8" i="81" s="1"/>
  <c r="BB8" i="79"/>
  <c r="BB63" i="79" s="1"/>
  <c r="BA8" i="81" s="1"/>
  <c r="BC8" i="79"/>
  <c r="BC63" i="79" s="1"/>
  <c r="BB8" i="81" s="1"/>
  <c r="BD8" i="79"/>
  <c r="BD63" i="79" s="1"/>
  <c r="BC8" i="81" s="1"/>
  <c r="AR9" i="79"/>
  <c r="AR64" i="79" s="1"/>
  <c r="AQ9" i="81" s="1"/>
  <c r="AS9" i="79"/>
  <c r="AS64" i="79" s="1"/>
  <c r="AR9" i="81" s="1"/>
  <c r="AT9" i="79"/>
  <c r="AT64" i="79" s="1"/>
  <c r="AS9" i="81" s="1"/>
  <c r="AU9" i="79"/>
  <c r="AU64" i="79" s="1"/>
  <c r="AT9" i="81" s="1"/>
  <c r="AV9" i="79"/>
  <c r="AV64" i="79" s="1"/>
  <c r="AU9" i="81" s="1"/>
  <c r="AW9" i="79"/>
  <c r="AW64" i="79" s="1"/>
  <c r="AV9" i="81" s="1"/>
  <c r="AX9" i="79"/>
  <c r="AX64" i="79" s="1"/>
  <c r="AW9" i="81" s="1"/>
  <c r="AY9" i="79"/>
  <c r="AY64" i="79" s="1"/>
  <c r="AX9" i="81" s="1"/>
  <c r="AZ9" i="79"/>
  <c r="AZ64" i="79" s="1"/>
  <c r="AY9" i="81" s="1"/>
  <c r="BA9" i="79"/>
  <c r="BA64" i="79" s="1"/>
  <c r="AZ9" i="81" s="1"/>
  <c r="BB9" i="79"/>
  <c r="BB64" i="79" s="1"/>
  <c r="BA9" i="81" s="1"/>
  <c r="BC9" i="79"/>
  <c r="BC64" i="79" s="1"/>
  <c r="BB9" i="81" s="1"/>
  <c r="BD9" i="79"/>
  <c r="BD64" i="79" s="1"/>
  <c r="BC9" i="81" s="1"/>
  <c r="AR10" i="79"/>
  <c r="AR65" i="79" s="1"/>
  <c r="AQ10" i="81" s="1"/>
  <c r="AS10" i="79"/>
  <c r="AS65" i="79" s="1"/>
  <c r="AR10" i="81" s="1"/>
  <c r="AT10" i="79"/>
  <c r="AT65" i="79" s="1"/>
  <c r="AS10" i="81" s="1"/>
  <c r="AU10" i="79"/>
  <c r="AU65" i="79" s="1"/>
  <c r="AT10" i="81" s="1"/>
  <c r="AV10" i="79"/>
  <c r="AV65" i="79" s="1"/>
  <c r="AU10" i="81" s="1"/>
  <c r="AW10" i="79"/>
  <c r="AW65" i="79" s="1"/>
  <c r="AV10" i="81" s="1"/>
  <c r="AX10" i="79"/>
  <c r="AX65" i="79" s="1"/>
  <c r="AW10" i="81" s="1"/>
  <c r="AY10" i="79"/>
  <c r="AY65" i="79" s="1"/>
  <c r="AX10" i="81" s="1"/>
  <c r="AZ10" i="79"/>
  <c r="AZ65" i="79" s="1"/>
  <c r="AY10" i="81" s="1"/>
  <c r="BA10" i="79"/>
  <c r="BA65" i="79" s="1"/>
  <c r="AZ10" i="81" s="1"/>
  <c r="BB10" i="79"/>
  <c r="BB65" i="79" s="1"/>
  <c r="BA10" i="81" s="1"/>
  <c r="BC10" i="79"/>
  <c r="BC65" i="79" s="1"/>
  <c r="BB10" i="81" s="1"/>
  <c r="BD10" i="79"/>
  <c r="BD65" i="79" s="1"/>
  <c r="BC10" i="81" s="1"/>
  <c r="AR11" i="79"/>
  <c r="AR66" i="79" s="1"/>
  <c r="AQ11" i="81" s="1"/>
  <c r="AS11" i="79"/>
  <c r="AS66" i="79" s="1"/>
  <c r="AR11" i="81" s="1"/>
  <c r="AT11" i="79"/>
  <c r="AT66" i="79" s="1"/>
  <c r="AS11" i="81" s="1"/>
  <c r="AU11" i="79"/>
  <c r="AU66" i="79" s="1"/>
  <c r="AT11" i="81" s="1"/>
  <c r="AV11" i="79"/>
  <c r="AV66" i="79" s="1"/>
  <c r="AU11" i="81" s="1"/>
  <c r="AW11" i="79"/>
  <c r="AW66" i="79" s="1"/>
  <c r="AV11" i="81" s="1"/>
  <c r="AX11" i="79"/>
  <c r="AX66" i="79" s="1"/>
  <c r="AW11" i="81" s="1"/>
  <c r="AY11" i="79"/>
  <c r="AY66" i="79" s="1"/>
  <c r="AX11" i="81" s="1"/>
  <c r="AZ11" i="79"/>
  <c r="AZ66" i="79" s="1"/>
  <c r="AY11" i="81" s="1"/>
  <c r="BA11" i="79"/>
  <c r="BA66" i="79" s="1"/>
  <c r="AZ11" i="81" s="1"/>
  <c r="BB11" i="79"/>
  <c r="BB66" i="79" s="1"/>
  <c r="BA11" i="81" s="1"/>
  <c r="BC11" i="79"/>
  <c r="BC66" i="79" s="1"/>
  <c r="BB11" i="81" s="1"/>
  <c r="BD11" i="79"/>
  <c r="BD66" i="79" s="1"/>
  <c r="BC11" i="81" s="1"/>
  <c r="AR12" i="79"/>
  <c r="AR67" i="79" s="1"/>
  <c r="AQ12" i="81" s="1"/>
  <c r="AS12" i="79"/>
  <c r="AS67" i="79" s="1"/>
  <c r="AR12" i="81" s="1"/>
  <c r="AT12" i="79"/>
  <c r="AT67" i="79" s="1"/>
  <c r="AS12" i="81" s="1"/>
  <c r="AU12" i="79"/>
  <c r="AU67" i="79" s="1"/>
  <c r="AT12" i="81" s="1"/>
  <c r="AV12" i="79"/>
  <c r="AV67" i="79" s="1"/>
  <c r="AU12" i="81" s="1"/>
  <c r="AW12" i="79"/>
  <c r="AW67" i="79" s="1"/>
  <c r="AV12" i="81" s="1"/>
  <c r="AX12" i="79"/>
  <c r="AX67" i="79" s="1"/>
  <c r="AW12" i="81" s="1"/>
  <c r="AY12" i="79"/>
  <c r="AY67" i="79" s="1"/>
  <c r="AX12" i="81" s="1"/>
  <c r="AZ12" i="79"/>
  <c r="AZ67" i="79" s="1"/>
  <c r="AY12" i="81" s="1"/>
  <c r="BA12" i="79"/>
  <c r="BA67" i="79" s="1"/>
  <c r="AZ12" i="81" s="1"/>
  <c r="BB12" i="79"/>
  <c r="BB67" i="79" s="1"/>
  <c r="BA12" i="81" s="1"/>
  <c r="BC12" i="79"/>
  <c r="BC67" i="79" s="1"/>
  <c r="BB12" i="81" s="1"/>
  <c r="BD12" i="79"/>
  <c r="BD67" i="79" s="1"/>
  <c r="BC12" i="81" s="1"/>
  <c r="AR13" i="79"/>
  <c r="AR68" i="79" s="1"/>
  <c r="AQ13" i="81" s="1"/>
  <c r="AS13" i="79"/>
  <c r="AS68" i="79" s="1"/>
  <c r="AR13" i="81" s="1"/>
  <c r="AT13" i="79"/>
  <c r="AT68" i="79" s="1"/>
  <c r="AS13" i="81" s="1"/>
  <c r="AU13" i="79"/>
  <c r="AU68" i="79" s="1"/>
  <c r="AT13" i="81" s="1"/>
  <c r="AV13" i="79"/>
  <c r="AV68" i="79" s="1"/>
  <c r="AU13" i="81" s="1"/>
  <c r="AW13" i="79"/>
  <c r="AW68" i="79" s="1"/>
  <c r="AV13" i="81" s="1"/>
  <c r="AX13" i="79"/>
  <c r="AX68" i="79" s="1"/>
  <c r="AW13" i="81" s="1"/>
  <c r="AY13" i="79"/>
  <c r="AY68" i="79" s="1"/>
  <c r="AX13" i="81" s="1"/>
  <c r="AZ13" i="79"/>
  <c r="AZ68" i="79" s="1"/>
  <c r="AY13" i="81" s="1"/>
  <c r="BA13" i="79"/>
  <c r="BA68" i="79" s="1"/>
  <c r="AZ13" i="81" s="1"/>
  <c r="BB13" i="79"/>
  <c r="BB68" i="79" s="1"/>
  <c r="BA13" i="81" s="1"/>
  <c r="BC13" i="79"/>
  <c r="BC68" i="79" s="1"/>
  <c r="BB13" i="81" s="1"/>
  <c r="BD13" i="79"/>
  <c r="BD68" i="79" s="1"/>
  <c r="BC13" i="81" s="1"/>
  <c r="AR14" i="79"/>
  <c r="AR69" i="79" s="1"/>
  <c r="AQ14" i="81" s="1"/>
  <c r="AS14" i="79"/>
  <c r="AS69" i="79" s="1"/>
  <c r="AR14" i="81" s="1"/>
  <c r="AT14" i="79"/>
  <c r="AT69" i="79" s="1"/>
  <c r="AS14" i="81" s="1"/>
  <c r="AU14" i="79"/>
  <c r="AU69" i="79" s="1"/>
  <c r="AT14" i="81" s="1"/>
  <c r="AV14" i="79"/>
  <c r="AV69" i="79" s="1"/>
  <c r="AU14" i="81" s="1"/>
  <c r="AW14" i="79"/>
  <c r="AW69" i="79" s="1"/>
  <c r="AV14" i="81" s="1"/>
  <c r="AX14" i="79"/>
  <c r="AX69" i="79" s="1"/>
  <c r="AW14" i="81" s="1"/>
  <c r="AY14" i="79"/>
  <c r="AY69" i="79" s="1"/>
  <c r="AX14" i="81" s="1"/>
  <c r="AZ14" i="79"/>
  <c r="AZ69" i="79" s="1"/>
  <c r="AY14" i="81" s="1"/>
  <c r="BA14" i="79"/>
  <c r="BA69" i="79" s="1"/>
  <c r="AZ14" i="81" s="1"/>
  <c r="BB14" i="79"/>
  <c r="BB69" i="79" s="1"/>
  <c r="BA14" i="81" s="1"/>
  <c r="BC14" i="79"/>
  <c r="BC69" i="79" s="1"/>
  <c r="BB14" i="81" s="1"/>
  <c r="BD14" i="79"/>
  <c r="BD69" i="79" s="1"/>
  <c r="BC14" i="81" s="1"/>
  <c r="AR15" i="79"/>
  <c r="AR70" i="79" s="1"/>
  <c r="AQ15" i="81" s="1"/>
  <c r="AS15" i="79"/>
  <c r="AS70" i="79" s="1"/>
  <c r="AR15" i="81" s="1"/>
  <c r="AT15" i="79"/>
  <c r="AT70" i="79" s="1"/>
  <c r="AS15" i="81" s="1"/>
  <c r="AU15" i="79"/>
  <c r="AU70" i="79" s="1"/>
  <c r="AT15" i="81" s="1"/>
  <c r="AV15" i="79"/>
  <c r="AV70" i="79" s="1"/>
  <c r="AU15" i="81" s="1"/>
  <c r="AW15" i="79"/>
  <c r="AW70" i="79" s="1"/>
  <c r="AV15" i="81" s="1"/>
  <c r="AX15" i="79"/>
  <c r="AX70" i="79" s="1"/>
  <c r="AW15" i="81" s="1"/>
  <c r="AY15" i="79"/>
  <c r="AY70" i="79" s="1"/>
  <c r="AX15" i="81" s="1"/>
  <c r="AZ15" i="79"/>
  <c r="AZ70" i="79" s="1"/>
  <c r="AY15" i="81" s="1"/>
  <c r="BA15" i="79"/>
  <c r="BA70" i="79" s="1"/>
  <c r="AZ15" i="81" s="1"/>
  <c r="BB15" i="79"/>
  <c r="BB70" i="79" s="1"/>
  <c r="BA15" i="81" s="1"/>
  <c r="BC15" i="79"/>
  <c r="BC70" i="79" s="1"/>
  <c r="BB15" i="81" s="1"/>
  <c r="BD15" i="79"/>
  <c r="BD70" i="79" s="1"/>
  <c r="BC15" i="81" s="1"/>
  <c r="AR16" i="79"/>
  <c r="AR71" i="79" s="1"/>
  <c r="AQ16" i="81" s="1"/>
  <c r="AS16" i="79"/>
  <c r="AS71" i="79" s="1"/>
  <c r="AR16" i="81" s="1"/>
  <c r="AT16" i="79"/>
  <c r="AT71" i="79" s="1"/>
  <c r="AS16" i="81" s="1"/>
  <c r="AU16" i="79"/>
  <c r="AU71" i="79" s="1"/>
  <c r="AT16" i="81" s="1"/>
  <c r="AV16" i="79"/>
  <c r="AV71" i="79" s="1"/>
  <c r="AU16" i="81" s="1"/>
  <c r="AW16" i="79"/>
  <c r="AW71" i="79" s="1"/>
  <c r="AV16" i="81" s="1"/>
  <c r="AX16" i="79"/>
  <c r="AX71" i="79" s="1"/>
  <c r="AW16" i="81" s="1"/>
  <c r="AY16" i="79"/>
  <c r="AY71" i="79" s="1"/>
  <c r="AX16" i="81" s="1"/>
  <c r="AZ16" i="79"/>
  <c r="AZ71" i="79" s="1"/>
  <c r="AY16" i="81" s="1"/>
  <c r="BA16" i="79"/>
  <c r="BA71" i="79" s="1"/>
  <c r="AZ16" i="81" s="1"/>
  <c r="BB16" i="79"/>
  <c r="BB71" i="79" s="1"/>
  <c r="BA16" i="81" s="1"/>
  <c r="BC16" i="79"/>
  <c r="BC71" i="79" s="1"/>
  <c r="BB16" i="81" s="1"/>
  <c r="BD16" i="79"/>
  <c r="BD71" i="79" s="1"/>
  <c r="BC16" i="81" s="1"/>
  <c r="AR17" i="79"/>
  <c r="AR72" i="79" s="1"/>
  <c r="AQ17" i="81" s="1"/>
  <c r="AS17" i="79"/>
  <c r="AS72" i="79" s="1"/>
  <c r="AR17" i="81" s="1"/>
  <c r="AT17" i="79"/>
  <c r="AT72" i="79" s="1"/>
  <c r="AS17" i="81" s="1"/>
  <c r="AU17" i="79"/>
  <c r="AU72" i="79" s="1"/>
  <c r="AT17" i="81" s="1"/>
  <c r="AV17" i="79"/>
  <c r="AV72" i="79" s="1"/>
  <c r="AU17" i="81" s="1"/>
  <c r="AW17" i="79"/>
  <c r="AW72" i="79" s="1"/>
  <c r="AV17" i="81" s="1"/>
  <c r="AX17" i="79"/>
  <c r="AX72" i="79" s="1"/>
  <c r="AW17" i="81" s="1"/>
  <c r="AY17" i="79"/>
  <c r="AY72" i="79" s="1"/>
  <c r="AX17" i="81" s="1"/>
  <c r="AZ17" i="79"/>
  <c r="AZ72" i="79" s="1"/>
  <c r="AY17" i="81" s="1"/>
  <c r="BA17" i="79"/>
  <c r="BA72" i="79" s="1"/>
  <c r="AZ17" i="81" s="1"/>
  <c r="BB17" i="79"/>
  <c r="BB72" i="79" s="1"/>
  <c r="BA17" i="81" s="1"/>
  <c r="BC17" i="79"/>
  <c r="BC72" i="79" s="1"/>
  <c r="BB17" i="81" s="1"/>
  <c r="BD17" i="79"/>
  <c r="BD72" i="79" s="1"/>
  <c r="BC17" i="81" s="1"/>
  <c r="AR18" i="79"/>
  <c r="AR73" i="79" s="1"/>
  <c r="AQ18" i="81" s="1"/>
  <c r="AS18" i="79"/>
  <c r="AS73" i="79" s="1"/>
  <c r="AR18" i="81" s="1"/>
  <c r="AT18" i="79"/>
  <c r="AT73" i="79" s="1"/>
  <c r="AS18" i="81" s="1"/>
  <c r="AU18" i="79"/>
  <c r="AU73" i="79" s="1"/>
  <c r="AT18" i="81" s="1"/>
  <c r="AV18" i="79"/>
  <c r="AV73" i="79" s="1"/>
  <c r="AU18" i="81" s="1"/>
  <c r="AW18" i="79"/>
  <c r="AW73" i="79" s="1"/>
  <c r="AV18" i="81" s="1"/>
  <c r="AX18" i="79"/>
  <c r="AX73" i="79" s="1"/>
  <c r="AW18" i="81" s="1"/>
  <c r="AY18" i="79"/>
  <c r="AY73" i="79" s="1"/>
  <c r="AX18" i="81" s="1"/>
  <c r="AZ18" i="79"/>
  <c r="AZ73" i="79" s="1"/>
  <c r="AY18" i="81" s="1"/>
  <c r="BA18" i="79"/>
  <c r="BA73" i="79" s="1"/>
  <c r="AZ18" i="81" s="1"/>
  <c r="BB18" i="79"/>
  <c r="BB73" i="79" s="1"/>
  <c r="BA18" i="81" s="1"/>
  <c r="BC18" i="79"/>
  <c r="BC73" i="79" s="1"/>
  <c r="BB18" i="81" s="1"/>
  <c r="BD18" i="79"/>
  <c r="BD73" i="79" s="1"/>
  <c r="BC18" i="81" s="1"/>
  <c r="AR19" i="79"/>
  <c r="AR74" i="79" s="1"/>
  <c r="AQ19" i="81" s="1"/>
  <c r="AS19" i="79"/>
  <c r="AS74" i="79" s="1"/>
  <c r="AR19" i="81" s="1"/>
  <c r="AT19" i="79"/>
  <c r="AT74" i="79" s="1"/>
  <c r="AS19" i="81" s="1"/>
  <c r="AU19" i="79"/>
  <c r="AU74" i="79" s="1"/>
  <c r="AT19" i="81" s="1"/>
  <c r="AV19" i="79"/>
  <c r="AV74" i="79" s="1"/>
  <c r="AU19" i="81" s="1"/>
  <c r="AW19" i="79"/>
  <c r="AW74" i="79" s="1"/>
  <c r="AV19" i="81" s="1"/>
  <c r="AX19" i="79"/>
  <c r="AX74" i="79" s="1"/>
  <c r="AW19" i="81" s="1"/>
  <c r="AY19" i="79"/>
  <c r="AY74" i="79" s="1"/>
  <c r="AX19" i="81" s="1"/>
  <c r="AZ19" i="79"/>
  <c r="AZ74" i="79" s="1"/>
  <c r="AY19" i="81" s="1"/>
  <c r="BA19" i="79"/>
  <c r="BA74" i="79" s="1"/>
  <c r="AZ19" i="81" s="1"/>
  <c r="BB19" i="79"/>
  <c r="BB74" i="79" s="1"/>
  <c r="BA19" i="81" s="1"/>
  <c r="BC19" i="79"/>
  <c r="BC74" i="79" s="1"/>
  <c r="BB19" i="81" s="1"/>
  <c r="BD19" i="79"/>
  <c r="BD74" i="79" s="1"/>
  <c r="BC19" i="81" s="1"/>
  <c r="AR20" i="79"/>
  <c r="AR75" i="79" s="1"/>
  <c r="AQ20" i="81" s="1"/>
  <c r="AS20" i="79"/>
  <c r="AS75" i="79" s="1"/>
  <c r="AR20" i="81" s="1"/>
  <c r="AT20" i="79"/>
  <c r="AT75" i="79" s="1"/>
  <c r="AS20" i="81" s="1"/>
  <c r="AU20" i="79"/>
  <c r="AU75" i="79" s="1"/>
  <c r="AT20" i="81" s="1"/>
  <c r="AV20" i="79"/>
  <c r="AV75" i="79" s="1"/>
  <c r="AU20" i="81" s="1"/>
  <c r="AW20" i="79"/>
  <c r="AW75" i="79" s="1"/>
  <c r="AV20" i="81" s="1"/>
  <c r="AX20" i="79"/>
  <c r="AX75" i="79" s="1"/>
  <c r="AW20" i="81" s="1"/>
  <c r="AY20" i="79"/>
  <c r="AY75" i="79" s="1"/>
  <c r="AX20" i="81" s="1"/>
  <c r="AZ20" i="79"/>
  <c r="AZ75" i="79" s="1"/>
  <c r="AY20" i="81" s="1"/>
  <c r="BA20" i="79"/>
  <c r="BA75" i="79" s="1"/>
  <c r="AZ20" i="81" s="1"/>
  <c r="BB20" i="79"/>
  <c r="BB75" i="79" s="1"/>
  <c r="BA20" i="81" s="1"/>
  <c r="BC20" i="79"/>
  <c r="BC75" i="79" s="1"/>
  <c r="BB20" i="81" s="1"/>
  <c r="BD20" i="79"/>
  <c r="BD75" i="79" s="1"/>
  <c r="BC20" i="81" s="1"/>
  <c r="AR21" i="79"/>
  <c r="AR76" i="79" s="1"/>
  <c r="AQ21" i="81" s="1"/>
  <c r="AS21" i="79"/>
  <c r="AS76" i="79" s="1"/>
  <c r="AR21" i="81" s="1"/>
  <c r="AT21" i="79"/>
  <c r="AT76" i="79" s="1"/>
  <c r="AS21" i="81" s="1"/>
  <c r="AU21" i="79"/>
  <c r="AU76" i="79" s="1"/>
  <c r="AT21" i="81" s="1"/>
  <c r="AV21" i="79"/>
  <c r="AV76" i="79" s="1"/>
  <c r="AU21" i="81" s="1"/>
  <c r="AW21" i="79"/>
  <c r="AW76" i="79" s="1"/>
  <c r="AV21" i="81" s="1"/>
  <c r="AX21" i="79"/>
  <c r="AX76" i="79" s="1"/>
  <c r="AW21" i="81" s="1"/>
  <c r="AY21" i="79"/>
  <c r="AY76" i="79" s="1"/>
  <c r="AX21" i="81" s="1"/>
  <c r="AZ21" i="79"/>
  <c r="AZ76" i="79" s="1"/>
  <c r="AY21" i="81" s="1"/>
  <c r="BA21" i="79"/>
  <c r="BA76" i="79" s="1"/>
  <c r="AZ21" i="81" s="1"/>
  <c r="BB21" i="79"/>
  <c r="BB76" i="79" s="1"/>
  <c r="BA21" i="81" s="1"/>
  <c r="BC21" i="79"/>
  <c r="BC76" i="79" s="1"/>
  <c r="BB21" i="81" s="1"/>
  <c r="BD21" i="79"/>
  <c r="BD76" i="79" s="1"/>
  <c r="BC21" i="81" s="1"/>
  <c r="AR22" i="79"/>
  <c r="AR77" i="79" s="1"/>
  <c r="AQ22" i="81" s="1"/>
  <c r="AS22" i="79"/>
  <c r="AS77" i="79" s="1"/>
  <c r="AR22" i="81" s="1"/>
  <c r="AT22" i="79"/>
  <c r="AT77" i="79" s="1"/>
  <c r="AS22" i="81" s="1"/>
  <c r="AU22" i="79"/>
  <c r="AU77" i="79" s="1"/>
  <c r="AT22" i="81" s="1"/>
  <c r="AV22" i="79"/>
  <c r="AV77" i="79" s="1"/>
  <c r="AU22" i="81" s="1"/>
  <c r="AW22" i="79"/>
  <c r="AW77" i="79" s="1"/>
  <c r="AV22" i="81" s="1"/>
  <c r="AX22" i="79"/>
  <c r="AX77" i="79" s="1"/>
  <c r="AW22" i="81" s="1"/>
  <c r="AY22" i="79"/>
  <c r="AY77" i="79" s="1"/>
  <c r="AX22" i="81" s="1"/>
  <c r="AZ22" i="79"/>
  <c r="AZ77" i="79" s="1"/>
  <c r="AY22" i="81" s="1"/>
  <c r="BA22" i="79"/>
  <c r="BA77" i="79" s="1"/>
  <c r="AZ22" i="81" s="1"/>
  <c r="BB22" i="79"/>
  <c r="BB77" i="79" s="1"/>
  <c r="BA22" i="81" s="1"/>
  <c r="BC22" i="79"/>
  <c r="BC77" i="79" s="1"/>
  <c r="BB22" i="81" s="1"/>
  <c r="BD22" i="79"/>
  <c r="BD77" i="79" s="1"/>
  <c r="BC22" i="81" s="1"/>
  <c r="AR23" i="79"/>
  <c r="AR78" i="79" s="1"/>
  <c r="AQ23" i="81" s="1"/>
  <c r="AS23" i="79"/>
  <c r="AS78" i="79" s="1"/>
  <c r="AR23" i="81" s="1"/>
  <c r="AT23" i="79"/>
  <c r="AT78" i="79" s="1"/>
  <c r="AS23" i="81" s="1"/>
  <c r="AU23" i="79"/>
  <c r="AU78" i="79" s="1"/>
  <c r="AT23" i="81" s="1"/>
  <c r="AV23" i="79"/>
  <c r="AV78" i="79" s="1"/>
  <c r="AU23" i="81" s="1"/>
  <c r="AW23" i="79"/>
  <c r="AW78" i="79" s="1"/>
  <c r="AV23" i="81" s="1"/>
  <c r="AX23" i="79"/>
  <c r="AX78" i="79" s="1"/>
  <c r="AW23" i="81" s="1"/>
  <c r="AY23" i="79"/>
  <c r="AY78" i="79" s="1"/>
  <c r="AX23" i="81" s="1"/>
  <c r="AZ23" i="79"/>
  <c r="AZ78" i="79" s="1"/>
  <c r="AY23" i="81" s="1"/>
  <c r="BA23" i="79"/>
  <c r="BA78" i="79" s="1"/>
  <c r="AZ23" i="81" s="1"/>
  <c r="BB23" i="79"/>
  <c r="BB78" i="79" s="1"/>
  <c r="BA23" i="81" s="1"/>
  <c r="BC23" i="79"/>
  <c r="BC78" i="79" s="1"/>
  <c r="BB23" i="81" s="1"/>
  <c r="BD23" i="79"/>
  <c r="BD78" i="79" s="1"/>
  <c r="BC23" i="81" s="1"/>
  <c r="AR24" i="79"/>
  <c r="AR79" i="79" s="1"/>
  <c r="AQ24" i="81" s="1"/>
  <c r="AS24" i="79"/>
  <c r="AS79" i="79" s="1"/>
  <c r="AR24" i="81" s="1"/>
  <c r="AT24" i="79"/>
  <c r="AT79" i="79" s="1"/>
  <c r="AS24" i="81" s="1"/>
  <c r="AU24" i="79"/>
  <c r="AU79" i="79" s="1"/>
  <c r="AT24" i="81" s="1"/>
  <c r="AV24" i="79"/>
  <c r="AV79" i="79" s="1"/>
  <c r="AU24" i="81" s="1"/>
  <c r="AW24" i="79"/>
  <c r="AW79" i="79" s="1"/>
  <c r="AV24" i="81" s="1"/>
  <c r="AX24" i="79"/>
  <c r="AX79" i="79" s="1"/>
  <c r="AW24" i="81" s="1"/>
  <c r="AY24" i="79"/>
  <c r="AY79" i="79" s="1"/>
  <c r="AX24" i="81" s="1"/>
  <c r="AZ24" i="79"/>
  <c r="AZ79" i="79" s="1"/>
  <c r="AY24" i="81" s="1"/>
  <c r="BA24" i="79"/>
  <c r="BA79" i="79" s="1"/>
  <c r="AZ24" i="81" s="1"/>
  <c r="BB24" i="79"/>
  <c r="BB79" i="79" s="1"/>
  <c r="BA24" i="81" s="1"/>
  <c r="BC24" i="79"/>
  <c r="BC79" i="79" s="1"/>
  <c r="BB24" i="81" s="1"/>
  <c r="BD24" i="79"/>
  <c r="BD79" i="79" s="1"/>
  <c r="BC24" i="81" s="1"/>
  <c r="AR25" i="79"/>
  <c r="AR80" i="79" s="1"/>
  <c r="AQ25" i="81" s="1"/>
  <c r="AS25" i="79"/>
  <c r="AS80" i="79" s="1"/>
  <c r="AR25" i="81" s="1"/>
  <c r="AT25" i="79"/>
  <c r="AT80" i="79" s="1"/>
  <c r="AS25" i="81" s="1"/>
  <c r="AU25" i="79"/>
  <c r="AU80" i="79" s="1"/>
  <c r="AT25" i="81" s="1"/>
  <c r="AV25" i="79"/>
  <c r="AV80" i="79" s="1"/>
  <c r="AU25" i="81" s="1"/>
  <c r="AW25" i="79"/>
  <c r="AW80" i="79" s="1"/>
  <c r="AV25" i="81" s="1"/>
  <c r="AX25" i="79"/>
  <c r="AX80" i="79" s="1"/>
  <c r="AW25" i="81" s="1"/>
  <c r="AY25" i="79"/>
  <c r="AY80" i="79" s="1"/>
  <c r="AX25" i="81" s="1"/>
  <c r="AZ25" i="79"/>
  <c r="AZ80" i="79" s="1"/>
  <c r="AY25" i="81" s="1"/>
  <c r="BA25" i="79"/>
  <c r="BA80" i="79" s="1"/>
  <c r="AZ25" i="81" s="1"/>
  <c r="BB25" i="79"/>
  <c r="BB80" i="79" s="1"/>
  <c r="BA25" i="81" s="1"/>
  <c r="BC25" i="79"/>
  <c r="BC80" i="79" s="1"/>
  <c r="BB25" i="81" s="1"/>
  <c r="BD25" i="79"/>
  <c r="BD80" i="79" s="1"/>
  <c r="BC25" i="81" s="1"/>
  <c r="AR26" i="79"/>
  <c r="AR81" i="79" s="1"/>
  <c r="AQ26" i="81" s="1"/>
  <c r="AS26" i="79"/>
  <c r="AS81" i="79" s="1"/>
  <c r="AR26" i="81" s="1"/>
  <c r="AT26" i="79"/>
  <c r="AT81" i="79" s="1"/>
  <c r="AS26" i="81" s="1"/>
  <c r="AU26" i="79"/>
  <c r="AU81" i="79" s="1"/>
  <c r="AT26" i="81" s="1"/>
  <c r="AV26" i="79"/>
  <c r="AV81" i="79" s="1"/>
  <c r="AU26" i="81" s="1"/>
  <c r="AW26" i="79"/>
  <c r="AW81" i="79" s="1"/>
  <c r="AV26" i="81" s="1"/>
  <c r="AX26" i="79"/>
  <c r="AX81" i="79" s="1"/>
  <c r="AW26" i="81" s="1"/>
  <c r="AY26" i="79"/>
  <c r="AY81" i="79" s="1"/>
  <c r="AX26" i="81" s="1"/>
  <c r="AZ26" i="79"/>
  <c r="AZ81" i="79" s="1"/>
  <c r="AY26" i="81" s="1"/>
  <c r="BA26" i="79"/>
  <c r="BA81" i="79" s="1"/>
  <c r="AZ26" i="81" s="1"/>
  <c r="BB26" i="79"/>
  <c r="BB81" i="79" s="1"/>
  <c r="BA26" i="81" s="1"/>
  <c r="BC26" i="79"/>
  <c r="BC81" i="79" s="1"/>
  <c r="BB26" i="81" s="1"/>
  <c r="BD26" i="79"/>
  <c r="BD81" i="79" s="1"/>
  <c r="BC26" i="81" s="1"/>
  <c r="AR27" i="79"/>
  <c r="AR82" i="79" s="1"/>
  <c r="AQ27" i="81" s="1"/>
  <c r="AS27" i="79"/>
  <c r="AS82" i="79" s="1"/>
  <c r="AR27" i="81" s="1"/>
  <c r="AT27" i="79"/>
  <c r="AT82" i="79" s="1"/>
  <c r="AS27" i="81" s="1"/>
  <c r="AU27" i="79"/>
  <c r="AU82" i="79" s="1"/>
  <c r="AT27" i="81" s="1"/>
  <c r="AV27" i="79"/>
  <c r="AV82" i="79" s="1"/>
  <c r="AU27" i="81" s="1"/>
  <c r="AW27" i="79"/>
  <c r="AW82" i="79" s="1"/>
  <c r="AV27" i="81" s="1"/>
  <c r="AX27" i="79"/>
  <c r="AX82" i="79" s="1"/>
  <c r="AW27" i="81" s="1"/>
  <c r="AY27" i="79"/>
  <c r="AY82" i="79" s="1"/>
  <c r="AX27" i="81" s="1"/>
  <c r="AZ27" i="79"/>
  <c r="AZ82" i="79" s="1"/>
  <c r="AY27" i="81" s="1"/>
  <c r="BA27" i="79"/>
  <c r="BA82" i="79" s="1"/>
  <c r="AZ27" i="81" s="1"/>
  <c r="BB27" i="79"/>
  <c r="BB82" i="79" s="1"/>
  <c r="BA27" i="81" s="1"/>
  <c r="BC27" i="79"/>
  <c r="BC82" i="79" s="1"/>
  <c r="BB27" i="81" s="1"/>
  <c r="BD27" i="79"/>
  <c r="BD82" i="79" s="1"/>
  <c r="BC27" i="81" s="1"/>
  <c r="AR28" i="79"/>
  <c r="AR83" i="79" s="1"/>
  <c r="AQ28" i="81" s="1"/>
  <c r="AS28" i="79"/>
  <c r="AS83" i="79" s="1"/>
  <c r="AR28" i="81" s="1"/>
  <c r="AT28" i="79"/>
  <c r="AT83" i="79" s="1"/>
  <c r="AS28" i="81" s="1"/>
  <c r="AU28" i="79"/>
  <c r="AU83" i="79" s="1"/>
  <c r="AT28" i="81" s="1"/>
  <c r="AV28" i="79"/>
  <c r="AV83" i="79" s="1"/>
  <c r="AU28" i="81" s="1"/>
  <c r="AW28" i="79"/>
  <c r="AW83" i="79" s="1"/>
  <c r="AV28" i="81" s="1"/>
  <c r="AX28" i="79"/>
  <c r="AX83" i="79" s="1"/>
  <c r="AW28" i="81" s="1"/>
  <c r="AY28" i="79"/>
  <c r="AY83" i="79" s="1"/>
  <c r="AX28" i="81" s="1"/>
  <c r="AZ28" i="79"/>
  <c r="AZ83" i="79" s="1"/>
  <c r="AY28" i="81" s="1"/>
  <c r="BA28" i="79"/>
  <c r="BA83" i="79" s="1"/>
  <c r="AZ28" i="81" s="1"/>
  <c r="BB28" i="79"/>
  <c r="BB83" i="79" s="1"/>
  <c r="BA28" i="81" s="1"/>
  <c r="BC28" i="79"/>
  <c r="BC83" i="79" s="1"/>
  <c r="BB28" i="81" s="1"/>
  <c r="BD28" i="79"/>
  <c r="BD83" i="79" s="1"/>
  <c r="BC28" i="81" s="1"/>
  <c r="AR29" i="79"/>
  <c r="AR84" i="79" s="1"/>
  <c r="AQ29" i="81" s="1"/>
  <c r="AS29" i="79"/>
  <c r="AS84" i="79" s="1"/>
  <c r="AR29" i="81" s="1"/>
  <c r="AT29" i="79"/>
  <c r="AT84" i="79" s="1"/>
  <c r="AS29" i="81" s="1"/>
  <c r="AU29" i="79"/>
  <c r="AU84" i="79" s="1"/>
  <c r="AT29" i="81" s="1"/>
  <c r="AV29" i="79"/>
  <c r="AV84" i="79" s="1"/>
  <c r="AU29" i="81" s="1"/>
  <c r="AW29" i="79"/>
  <c r="AW84" i="79" s="1"/>
  <c r="AV29" i="81" s="1"/>
  <c r="AX29" i="79"/>
  <c r="AX84" i="79" s="1"/>
  <c r="AW29" i="81" s="1"/>
  <c r="AY29" i="79"/>
  <c r="AY84" i="79" s="1"/>
  <c r="AX29" i="81" s="1"/>
  <c r="AZ29" i="79"/>
  <c r="AZ84" i="79" s="1"/>
  <c r="AY29" i="81" s="1"/>
  <c r="BA29" i="79"/>
  <c r="BA84" i="79" s="1"/>
  <c r="AZ29" i="81" s="1"/>
  <c r="BB29" i="79"/>
  <c r="BB84" i="79" s="1"/>
  <c r="BA29" i="81" s="1"/>
  <c r="BC29" i="79"/>
  <c r="BC84" i="79" s="1"/>
  <c r="BB29" i="81" s="1"/>
  <c r="BD29" i="79"/>
  <c r="BD84" i="79" s="1"/>
  <c r="BC29" i="81" s="1"/>
  <c r="AR30" i="79"/>
  <c r="AR85" i="79" s="1"/>
  <c r="AQ30" i="81" s="1"/>
  <c r="AS30" i="79"/>
  <c r="AS85" i="79" s="1"/>
  <c r="AR30" i="81" s="1"/>
  <c r="AT30" i="79"/>
  <c r="AT85" i="79" s="1"/>
  <c r="AS30" i="81" s="1"/>
  <c r="AU30" i="79"/>
  <c r="AU85" i="79" s="1"/>
  <c r="AT30" i="81" s="1"/>
  <c r="AV30" i="79"/>
  <c r="AV85" i="79" s="1"/>
  <c r="AU30" i="81" s="1"/>
  <c r="AW30" i="79"/>
  <c r="AW85" i="79" s="1"/>
  <c r="AV30" i="81" s="1"/>
  <c r="AX30" i="79"/>
  <c r="AX85" i="79" s="1"/>
  <c r="AW30" i="81" s="1"/>
  <c r="AY30" i="79"/>
  <c r="AY85" i="79" s="1"/>
  <c r="AX30" i="81" s="1"/>
  <c r="AZ30" i="79"/>
  <c r="AZ85" i="79" s="1"/>
  <c r="AY30" i="81" s="1"/>
  <c r="BA30" i="79"/>
  <c r="BA85" i="79" s="1"/>
  <c r="AZ30" i="81" s="1"/>
  <c r="BB30" i="79"/>
  <c r="BB85" i="79" s="1"/>
  <c r="BA30" i="81" s="1"/>
  <c r="BC30" i="79"/>
  <c r="BC85" i="79" s="1"/>
  <c r="BB30" i="81" s="1"/>
  <c r="BD30" i="79"/>
  <c r="BD85" i="79" s="1"/>
  <c r="BC30" i="81" s="1"/>
  <c r="AR31" i="79"/>
  <c r="AR86" i="79" s="1"/>
  <c r="AQ31" i="81" s="1"/>
  <c r="AS31" i="79"/>
  <c r="AS86" i="79" s="1"/>
  <c r="AR31" i="81" s="1"/>
  <c r="AT31" i="79"/>
  <c r="AT86" i="79" s="1"/>
  <c r="AS31" i="81" s="1"/>
  <c r="AU31" i="79"/>
  <c r="AU86" i="79" s="1"/>
  <c r="AT31" i="81" s="1"/>
  <c r="AV31" i="79"/>
  <c r="AV86" i="79" s="1"/>
  <c r="AU31" i="81" s="1"/>
  <c r="AW31" i="79"/>
  <c r="AW86" i="79" s="1"/>
  <c r="AV31" i="81" s="1"/>
  <c r="AX31" i="79"/>
  <c r="AX86" i="79" s="1"/>
  <c r="AW31" i="81" s="1"/>
  <c r="AY31" i="79"/>
  <c r="AY86" i="79" s="1"/>
  <c r="AX31" i="81" s="1"/>
  <c r="AZ31" i="79"/>
  <c r="AZ86" i="79" s="1"/>
  <c r="AY31" i="81" s="1"/>
  <c r="BA31" i="79"/>
  <c r="BA86" i="79" s="1"/>
  <c r="AZ31" i="81" s="1"/>
  <c r="BB31" i="79"/>
  <c r="BB86" i="79" s="1"/>
  <c r="BA31" i="81" s="1"/>
  <c r="BC31" i="79"/>
  <c r="BC86" i="79" s="1"/>
  <c r="BB31" i="81" s="1"/>
  <c r="BD31" i="79"/>
  <c r="BD86" i="79" s="1"/>
  <c r="BC31" i="81" s="1"/>
  <c r="AR32" i="79"/>
  <c r="AR87" i="79" s="1"/>
  <c r="AQ32" i="81" s="1"/>
  <c r="AS32" i="79"/>
  <c r="AS87" i="79" s="1"/>
  <c r="AR32" i="81" s="1"/>
  <c r="AT32" i="79"/>
  <c r="AT87" i="79" s="1"/>
  <c r="AS32" i="81" s="1"/>
  <c r="AU32" i="79"/>
  <c r="AU87" i="79" s="1"/>
  <c r="AT32" i="81" s="1"/>
  <c r="AV32" i="79"/>
  <c r="AV87" i="79" s="1"/>
  <c r="AU32" i="81" s="1"/>
  <c r="AW32" i="79"/>
  <c r="AW87" i="79" s="1"/>
  <c r="AV32" i="81" s="1"/>
  <c r="AX32" i="79"/>
  <c r="AX87" i="79" s="1"/>
  <c r="AW32" i="81" s="1"/>
  <c r="AY32" i="79"/>
  <c r="AY87" i="79" s="1"/>
  <c r="AX32" i="81" s="1"/>
  <c r="AZ32" i="79"/>
  <c r="AZ87" i="79" s="1"/>
  <c r="AY32" i="81" s="1"/>
  <c r="BA32" i="79"/>
  <c r="BA87" i="79" s="1"/>
  <c r="AZ32" i="81" s="1"/>
  <c r="BB32" i="79"/>
  <c r="BB87" i="79" s="1"/>
  <c r="BA32" i="81" s="1"/>
  <c r="BC32" i="79"/>
  <c r="BC87" i="79" s="1"/>
  <c r="BB32" i="81" s="1"/>
  <c r="BD32" i="79"/>
  <c r="BD87" i="79" s="1"/>
  <c r="BC32" i="81" s="1"/>
  <c r="AR33" i="79"/>
  <c r="AR88" i="79" s="1"/>
  <c r="AQ33" i="81" s="1"/>
  <c r="AS33" i="79"/>
  <c r="AS88" i="79" s="1"/>
  <c r="AR33" i="81" s="1"/>
  <c r="AT33" i="79"/>
  <c r="AT88" i="79" s="1"/>
  <c r="AS33" i="81" s="1"/>
  <c r="AU33" i="79"/>
  <c r="AU88" i="79" s="1"/>
  <c r="AT33" i="81" s="1"/>
  <c r="AV33" i="79"/>
  <c r="AV88" i="79" s="1"/>
  <c r="AU33" i="81" s="1"/>
  <c r="AW33" i="79"/>
  <c r="AW88" i="79" s="1"/>
  <c r="AV33" i="81" s="1"/>
  <c r="AX33" i="79"/>
  <c r="AX88" i="79" s="1"/>
  <c r="AW33" i="81" s="1"/>
  <c r="AY33" i="79"/>
  <c r="AY88" i="79" s="1"/>
  <c r="AX33" i="81" s="1"/>
  <c r="AZ33" i="79"/>
  <c r="AZ88" i="79" s="1"/>
  <c r="AY33" i="81" s="1"/>
  <c r="BA33" i="79"/>
  <c r="BA88" i="79" s="1"/>
  <c r="AZ33" i="81" s="1"/>
  <c r="BB33" i="79"/>
  <c r="BB88" i="79" s="1"/>
  <c r="BA33" i="81" s="1"/>
  <c r="BC33" i="79"/>
  <c r="BC88" i="79" s="1"/>
  <c r="BB33" i="81" s="1"/>
  <c r="BD33" i="79"/>
  <c r="BD88" i="79" s="1"/>
  <c r="BC33" i="81" s="1"/>
  <c r="AR34" i="79"/>
  <c r="AR89" i="79" s="1"/>
  <c r="AQ34" i="81" s="1"/>
  <c r="AS34" i="79"/>
  <c r="AS89" i="79" s="1"/>
  <c r="AR34" i="81" s="1"/>
  <c r="AT34" i="79"/>
  <c r="AT89" i="79" s="1"/>
  <c r="AS34" i="81" s="1"/>
  <c r="AU34" i="79"/>
  <c r="AU89" i="79" s="1"/>
  <c r="AT34" i="81" s="1"/>
  <c r="AV34" i="79"/>
  <c r="AV89" i="79" s="1"/>
  <c r="AU34" i="81" s="1"/>
  <c r="AW34" i="79"/>
  <c r="AW89" i="79" s="1"/>
  <c r="AV34" i="81" s="1"/>
  <c r="AX34" i="79"/>
  <c r="AX89" i="79" s="1"/>
  <c r="AW34" i="81" s="1"/>
  <c r="AY34" i="79"/>
  <c r="AY89" i="79" s="1"/>
  <c r="AX34" i="81" s="1"/>
  <c r="AZ34" i="79"/>
  <c r="AZ89" i="79" s="1"/>
  <c r="AY34" i="81" s="1"/>
  <c r="BA34" i="79"/>
  <c r="BA89" i="79" s="1"/>
  <c r="AZ34" i="81" s="1"/>
  <c r="BB34" i="79"/>
  <c r="BB89" i="79" s="1"/>
  <c r="BA34" i="81" s="1"/>
  <c r="BC34" i="79"/>
  <c r="BC89" i="79" s="1"/>
  <c r="BB34" i="81" s="1"/>
  <c r="BD34" i="79"/>
  <c r="BD89" i="79" s="1"/>
  <c r="BC34" i="81" s="1"/>
  <c r="AR35" i="79"/>
  <c r="AR90" i="79" s="1"/>
  <c r="AQ35" i="81" s="1"/>
  <c r="AS35" i="79"/>
  <c r="AS90" i="79" s="1"/>
  <c r="AR35" i="81" s="1"/>
  <c r="AT35" i="79"/>
  <c r="AT90" i="79" s="1"/>
  <c r="AS35" i="81" s="1"/>
  <c r="AU35" i="79"/>
  <c r="AU90" i="79" s="1"/>
  <c r="AT35" i="81" s="1"/>
  <c r="AV35" i="79"/>
  <c r="AV90" i="79" s="1"/>
  <c r="AU35" i="81" s="1"/>
  <c r="AW35" i="79"/>
  <c r="AW90" i="79" s="1"/>
  <c r="AV35" i="81" s="1"/>
  <c r="AX35" i="79"/>
  <c r="AX90" i="79" s="1"/>
  <c r="AW35" i="81" s="1"/>
  <c r="AY35" i="79"/>
  <c r="AY90" i="79" s="1"/>
  <c r="AX35" i="81" s="1"/>
  <c r="AZ35" i="79"/>
  <c r="AZ90" i="79" s="1"/>
  <c r="AY35" i="81" s="1"/>
  <c r="BA35" i="79"/>
  <c r="BA90" i="79" s="1"/>
  <c r="AZ35" i="81" s="1"/>
  <c r="BB35" i="79"/>
  <c r="BB90" i="79" s="1"/>
  <c r="BA35" i="81" s="1"/>
  <c r="BC35" i="79"/>
  <c r="BC90" i="79" s="1"/>
  <c r="BB35" i="81" s="1"/>
  <c r="BD35" i="79"/>
  <c r="BD90" i="79" s="1"/>
  <c r="BC35" i="81" s="1"/>
  <c r="AR36" i="79"/>
  <c r="AR91" i="79" s="1"/>
  <c r="AQ36" i="81" s="1"/>
  <c r="AS36" i="79"/>
  <c r="AS91" i="79" s="1"/>
  <c r="AR36" i="81" s="1"/>
  <c r="AT36" i="79"/>
  <c r="AT91" i="79" s="1"/>
  <c r="AS36" i="81" s="1"/>
  <c r="AU36" i="79"/>
  <c r="AU91" i="79" s="1"/>
  <c r="AT36" i="81" s="1"/>
  <c r="AV36" i="79"/>
  <c r="AV91" i="79" s="1"/>
  <c r="AU36" i="81" s="1"/>
  <c r="AW36" i="79"/>
  <c r="AW91" i="79" s="1"/>
  <c r="AV36" i="81" s="1"/>
  <c r="AX36" i="79"/>
  <c r="AX91" i="79" s="1"/>
  <c r="AW36" i="81" s="1"/>
  <c r="AY36" i="79"/>
  <c r="AY91" i="79" s="1"/>
  <c r="AX36" i="81" s="1"/>
  <c r="AZ36" i="79"/>
  <c r="AZ91" i="79" s="1"/>
  <c r="AY36" i="81" s="1"/>
  <c r="BA36" i="79"/>
  <c r="BA91" i="79" s="1"/>
  <c r="AZ36" i="81" s="1"/>
  <c r="BB36" i="79"/>
  <c r="BB91" i="79" s="1"/>
  <c r="BA36" i="81" s="1"/>
  <c r="BC36" i="79"/>
  <c r="BC91" i="79" s="1"/>
  <c r="BB36" i="81" s="1"/>
  <c r="BD36" i="79"/>
  <c r="BD91" i="79" s="1"/>
  <c r="BC36" i="81" s="1"/>
  <c r="AR37" i="79"/>
  <c r="AR92" i="79" s="1"/>
  <c r="AQ37" i="81" s="1"/>
  <c r="AS37" i="79"/>
  <c r="AS92" i="79" s="1"/>
  <c r="AR37" i="81" s="1"/>
  <c r="AT37" i="79"/>
  <c r="AT92" i="79" s="1"/>
  <c r="AS37" i="81" s="1"/>
  <c r="AU37" i="79"/>
  <c r="AU92" i="79" s="1"/>
  <c r="AT37" i="81" s="1"/>
  <c r="AV37" i="79"/>
  <c r="AV92" i="79" s="1"/>
  <c r="AU37" i="81" s="1"/>
  <c r="AW37" i="79"/>
  <c r="AW92" i="79" s="1"/>
  <c r="AV37" i="81" s="1"/>
  <c r="AX37" i="79"/>
  <c r="AX92" i="79" s="1"/>
  <c r="AW37" i="81" s="1"/>
  <c r="AY37" i="79"/>
  <c r="AY92" i="79" s="1"/>
  <c r="AX37" i="81" s="1"/>
  <c r="AZ37" i="79"/>
  <c r="AZ92" i="79" s="1"/>
  <c r="AY37" i="81" s="1"/>
  <c r="BA37" i="79"/>
  <c r="BA92" i="79" s="1"/>
  <c r="AZ37" i="81" s="1"/>
  <c r="BB37" i="79"/>
  <c r="BB92" i="79" s="1"/>
  <c r="BA37" i="81" s="1"/>
  <c r="BC37" i="79"/>
  <c r="BC92" i="79" s="1"/>
  <c r="BB37" i="81" s="1"/>
  <c r="BD37" i="79"/>
  <c r="BD92" i="79" s="1"/>
  <c r="BC37" i="81" s="1"/>
  <c r="AR38" i="79"/>
  <c r="AR93" i="79" s="1"/>
  <c r="AQ38" i="81" s="1"/>
  <c r="AS38" i="79"/>
  <c r="AS93" i="79" s="1"/>
  <c r="AR38" i="81" s="1"/>
  <c r="AT38" i="79"/>
  <c r="AT93" i="79" s="1"/>
  <c r="AS38" i="81" s="1"/>
  <c r="AU38" i="79"/>
  <c r="AU93" i="79" s="1"/>
  <c r="AT38" i="81" s="1"/>
  <c r="AV38" i="79"/>
  <c r="AV93" i="79" s="1"/>
  <c r="AU38" i="81" s="1"/>
  <c r="AW38" i="79"/>
  <c r="AW93" i="79" s="1"/>
  <c r="AV38" i="81" s="1"/>
  <c r="AX38" i="79"/>
  <c r="AX93" i="79" s="1"/>
  <c r="AW38" i="81" s="1"/>
  <c r="AY38" i="79"/>
  <c r="AY93" i="79" s="1"/>
  <c r="AX38" i="81" s="1"/>
  <c r="AZ38" i="79"/>
  <c r="AZ93" i="79" s="1"/>
  <c r="AY38" i="81" s="1"/>
  <c r="BA38" i="79"/>
  <c r="BA93" i="79" s="1"/>
  <c r="AZ38" i="81" s="1"/>
  <c r="BB38" i="79"/>
  <c r="BB93" i="79" s="1"/>
  <c r="BA38" i="81" s="1"/>
  <c r="BC38" i="79"/>
  <c r="BC93" i="79" s="1"/>
  <c r="BB38" i="81" s="1"/>
  <c r="BD38" i="79"/>
  <c r="BD93" i="79" s="1"/>
  <c r="BC38" i="81" s="1"/>
  <c r="AR39" i="79"/>
  <c r="AR94" i="79" s="1"/>
  <c r="AQ39" i="81" s="1"/>
  <c r="AS39" i="79"/>
  <c r="AS94" i="79" s="1"/>
  <c r="AR39" i="81" s="1"/>
  <c r="AT39" i="79"/>
  <c r="AT94" i="79" s="1"/>
  <c r="AS39" i="81" s="1"/>
  <c r="AU39" i="79"/>
  <c r="AU94" i="79" s="1"/>
  <c r="AT39" i="81" s="1"/>
  <c r="AV39" i="79"/>
  <c r="AV94" i="79" s="1"/>
  <c r="AU39" i="81" s="1"/>
  <c r="AW39" i="79"/>
  <c r="AW94" i="79" s="1"/>
  <c r="AV39" i="81" s="1"/>
  <c r="AX39" i="79"/>
  <c r="AX94" i="79" s="1"/>
  <c r="AW39" i="81" s="1"/>
  <c r="AY39" i="79"/>
  <c r="AY94" i="79" s="1"/>
  <c r="AX39" i="81" s="1"/>
  <c r="AZ39" i="79"/>
  <c r="AZ94" i="79" s="1"/>
  <c r="AY39" i="81" s="1"/>
  <c r="BA39" i="79"/>
  <c r="BA94" i="79" s="1"/>
  <c r="AZ39" i="81" s="1"/>
  <c r="BB39" i="79"/>
  <c r="BB94" i="79" s="1"/>
  <c r="BA39" i="81" s="1"/>
  <c r="BC39" i="79"/>
  <c r="BC94" i="79" s="1"/>
  <c r="BB39" i="81" s="1"/>
  <c r="BD39" i="79"/>
  <c r="BD94" i="79" s="1"/>
  <c r="BC39" i="81" s="1"/>
  <c r="AR40" i="79"/>
  <c r="AR95" i="79" s="1"/>
  <c r="AQ40" i="81" s="1"/>
  <c r="AS40" i="79"/>
  <c r="AS95" i="79" s="1"/>
  <c r="AR40" i="81" s="1"/>
  <c r="AT40" i="79"/>
  <c r="AT95" i="79" s="1"/>
  <c r="AS40" i="81" s="1"/>
  <c r="AU40" i="79"/>
  <c r="AU95" i="79" s="1"/>
  <c r="AT40" i="81" s="1"/>
  <c r="AV40" i="79"/>
  <c r="AV95" i="79" s="1"/>
  <c r="AU40" i="81" s="1"/>
  <c r="AW40" i="79"/>
  <c r="AW95" i="79" s="1"/>
  <c r="AV40" i="81" s="1"/>
  <c r="AX40" i="79"/>
  <c r="AX95" i="79" s="1"/>
  <c r="AW40" i="81" s="1"/>
  <c r="AY40" i="79"/>
  <c r="AY95" i="79" s="1"/>
  <c r="AX40" i="81" s="1"/>
  <c r="AZ40" i="79"/>
  <c r="AZ95" i="79" s="1"/>
  <c r="AY40" i="81" s="1"/>
  <c r="BA40" i="79"/>
  <c r="BA95" i="79" s="1"/>
  <c r="AZ40" i="81" s="1"/>
  <c r="BB40" i="79"/>
  <c r="BB95" i="79" s="1"/>
  <c r="BA40" i="81" s="1"/>
  <c r="BC40" i="79"/>
  <c r="BC95" i="79" s="1"/>
  <c r="BB40" i="81" s="1"/>
  <c r="BD40" i="79"/>
  <c r="BD95" i="79" s="1"/>
  <c r="BC40" i="81" s="1"/>
  <c r="AR41" i="79"/>
  <c r="AR96" i="79" s="1"/>
  <c r="AQ41" i="81" s="1"/>
  <c r="AS41" i="79"/>
  <c r="AS96" i="79" s="1"/>
  <c r="AR41" i="81" s="1"/>
  <c r="AT41" i="79"/>
  <c r="AT96" i="79" s="1"/>
  <c r="AS41" i="81" s="1"/>
  <c r="AU41" i="79"/>
  <c r="AU96" i="79" s="1"/>
  <c r="AT41" i="81" s="1"/>
  <c r="AV41" i="79"/>
  <c r="AV96" i="79" s="1"/>
  <c r="AU41" i="81" s="1"/>
  <c r="AW41" i="79"/>
  <c r="AW96" i="79" s="1"/>
  <c r="AV41" i="81" s="1"/>
  <c r="AX41" i="79"/>
  <c r="AX96" i="79" s="1"/>
  <c r="AW41" i="81" s="1"/>
  <c r="AY41" i="79"/>
  <c r="AY96" i="79" s="1"/>
  <c r="AX41" i="81" s="1"/>
  <c r="AZ41" i="79"/>
  <c r="AZ96" i="79" s="1"/>
  <c r="AY41" i="81" s="1"/>
  <c r="BA41" i="79"/>
  <c r="BA96" i="79" s="1"/>
  <c r="AZ41" i="81" s="1"/>
  <c r="BB41" i="79"/>
  <c r="BB96" i="79" s="1"/>
  <c r="BA41" i="81" s="1"/>
  <c r="BC41" i="79"/>
  <c r="BC96" i="79" s="1"/>
  <c r="BB41" i="81" s="1"/>
  <c r="BD41" i="79"/>
  <c r="BD96" i="79" s="1"/>
  <c r="BC41" i="81" s="1"/>
  <c r="AR42" i="79"/>
  <c r="AR97" i="79" s="1"/>
  <c r="AQ42" i="81" s="1"/>
  <c r="AS42" i="79"/>
  <c r="AS97" i="79" s="1"/>
  <c r="AR42" i="81" s="1"/>
  <c r="AT42" i="79"/>
  <c r="AT97" i="79" s="1"/>
  <c r="AS42" i="81" s="1"/>
  <c r="AU42" i="79"/>
  <c r="AU97" i="79" s="1"/>
  <c r="AT42" i="81" s="1"/>
  <c r="AV42" i="79"/>
  <c r="AV97" i="79" s="1"/>
  <c r="AU42" i="81" s="1"/>
  <c r="AW42" i="79"/>
  <c r="AW97" i="79" s="1"/>
  <c r="AV42" i="81" s="1"/>
  <c r="AX42" i="79"/>
  <c r="AX97" i="79" s="1"/>
  <c r="AW42" i="81" s="1"/>
  <c r="AY42" i="79"/>
  <c r="AY97" i="79" s="1"/>
  <c r="AX42" i="81" s="1"/>
  <c r="AZ42" i="79"/>
  <c r="AZ97" i="79" s="1"/>
  <c r="AY42" i="81" s="1"/>
  <c r="BA42" i="79"/>
  <c r="BA97" i="79" s="1"/>
  <c r="AZ42" i="81" s="1"/>
  <c r="BB42" i="79"/>
  <c r="BB97" i="79" s="1"/>
  <c r="BA42" i="81" s="1"/>
  <c r="BC42" i="79"/>
  <c r="BC97" i="79" s="1"/>
  <c r="BB42" i="81" s="1"/>
  <c r="BD42" i="79"/>
  <c r="BD97" i="79" s="1"/>
  <c r="BC42" i="81" s="1"/>
  <c r="AR43" i="79"/>
  <c r="AR98" i="79" s="1"/>
  <c r="AQ43" i="81" s="1"/>
  <c r="AS43" i="79"/>
  <c r="AS98" i="79" s="1"/>
  <c r="AR43" i="81" s="1"/>
  <c r="AT43" i="79"/>
  <c r="AT98" i="79" s="1"/>
  <c r="AS43" i="81" s="1"/>
  <c r="AU43" i="79"/>
  <c r="AU98" i="79" s="1"/>
  <c r="AT43" i="81" s="1"/>
  <c r="AV43" i="79"/>
  <c r="AV98" i="79" s="1"/>
  <c r="AU43" i="81" s="1"/>
  <c r="AW43" i="79"/>
  <c r="AW98" i="79" s="1"/>
  <c r="AV43" i="81" s="1"/>
  <c r="AX43" i="79"/>
  <c r="AX98" i="79" s="1"/>
  <c r="AW43" i="81" s="1"/>
  <c r="AY43" i="79"/>
  <c r="AY98" i="79" s="1"/>
  <c r="AX43" i="81" s="1"/>
  <c r="AZ43" i="79"/>
  <c r="AZ98" i="79" s="1"/>
  <c r="AY43" i="81" s="1"/>
  <c r="BA43" i="79"/>
  <c r="BA98" i="79" s="1"/>
  <c r="AZ43" i="81" s="1"/>
  <c r="BB43" i="79"/>
  <c r="BB98" i="79" s="1"/>
  <c r="BA43" i="81" s="1"/>
  <c r="BC43" i="79"/>
  <c r="BC98" i="79" s="1"/>
  <c r="BB43" i="81" s="1"/>
  <c r="BD43" i="79"/>
  <c r="BD98" i="79" s="1"/>
  <c r="BC43" i="81" s="1"/>
  <c r="AR44" i="79"/>
  <c r="AR99" i="79" s="1"/>
  <c r="AQ44" i="81" s="1"/>
  <c r="AS44" i="79"/>
  <c r="AS99" i="79" s="1"/>
  <c r="AR44" i="81" s="1"/>
  <c r="AT44" i="79"/>
  <c r="AT99" i="79" s="1"/>
  <c r="AS44" i="81" s="1"/>
  <c r="AU44" i="79"/>
  <c r="AU99" i="79" s="1"/>
  <c r="AT44" i="81" s="1"/>
  <c r="AV44" i="79"/>
  <c r="AV99" i="79" s="1"/>
  <c r="AU44" i="81" s="1"/>
  <c r="AW44" i="79"/>
  <c r="AW99" i="79" s="1"/>
  <c r="AV44" i="81" s="1"/>
  <c r="AX44" i="79"/>
  <c r="AX99" i="79" s="1"/>
  <c r="AW44" i="81" s="1"/>
  <c r="AY44" i="79"/>
  <c r="AY99" i="79" s="1"/>
  <c r="AX44" i="81" s="1"/>
  <c r="AZ44" i="79"/>
  <c r="AZ99" i="79" s="1"/>
  <c r="AY44" i="81" s="1"/>
  <c r="BA44" i="79"/>
  <c r="BA99" i="79" s="1"/>
  <c r="AZ44" i="81" s="1"/>
  <c r="BB44" i="79"/>
  <c r="BB99" i="79" s="1"/>
  <c r="BA44" i="81" s="1"/>
  <c r="BC44" i="79"/>
  <c r="BC99" i="79" s="1"/>
  <c r="BB44" i="81" s="1"/>
  <c r="BD44" i="79"/>
  <c r="BD99" i="79" s="1"/>
  <c r="BC44" i="81" s="1"/>
  <c r="AR45" i="79"/>
  <c r="AR100" i="79" s="1"/>
  <c r="AQ45" i="81" s="1"/>
  <c r="AS45" i="79"/>
  <c r="AS100" i="79" s="1"/>
  <c r="AR45" i="81" s="1"/>
  <c r="AT45" i="79"/>
  <c r="AT100" i="79" s="1"/>
  <c r="AS45" i="81" s="1"/>
  <c r="AU45" i="79"/>
  <c r="AU100" i="79" s="1"/>
  <c r="AT45" i="81" s="1"/>
  <c r="AV45" i="79"/>
  <c r="AV100" i="79" s="1"/>
  <c r="AU45" i="81" s="1"/>
  <c r="AW45" i="79"/>
  <c r="AW100" i="79" s="1"/>
  <c r="AV45" i="81" s="1"/>
  <c r="AX45" i="79"/>
  <c r="AX100" i="79" s="1"/>
  <c r="AW45" i="81" s="1"/>
  <c r="AY45" i="79"/>
  <c r="AY100" i="79" s="1"/>
  <c r="AX45" i="81" s="1"/>
  <c r="AZ45" i="79"/>
  <c r="AZ100" i="79" s="1"/>
  <c r="AY45" i="81" s="1"/>
  <c r="BA45" i="79"/>
  <c r="BA100" i="79" s="1"/>
  <c r="AZ45" i="81" s="1"/>
  <c r="BB45" i="79"/>
  <c r="BB100" i="79" s="1"/>
  <c r="BA45" i="81" s="1"/>
  <c r="BC45" i="79"/>
  <c r="BC100" i="79" s="1"/>
  <c r="BB45" i="81" s="1"/>
  <c r="BD45" i="79"/>
  <c r="BD100" i="79" s="1"/>
  <c r="BC45" i="81" s="1"/>
  <c r="AR46" i="79"/>
  <c r="AR101" i="79" s="1"/>
  <c r="AQ46" i="81" s="1"/>
  <c r="AS46" i="79"/>
  <c r="AS101" i="79" s="1"/>
  <c r="AR46" i="81" s="1"/>
  <c r="AT46" i="79"/>
  <c r="AT101" i="79" s="1"/>
  <c r="AS46" i="81" s="1"/>
  <c r="AU46" i="79"/>
  <c r="AU101" i="79" s="1"/>
  <c r="AT46" i="81" s="1"/>
  <c r="AV46" i="79"/>
  <c r="AV101" i="79" s="1"/>
  <c r="AU46" i="81" s="1"/>
  <c r="AW46" i="79"/>
  <c r="AW101" i="79" s="1"/>
  <c r="AV46" i="81" s="1"/>
  <c r="AX46" i="79"/>
  <c r="AX101" i="79" s="1"/>
  <c r="AW46" i="81" s="1"/>
  <c r="AY46" i="79"/>
  <c r="AY101" i="79" s="1"/>
  <c r="AX46" i="81" s="1"/>
  <c r="AZ46" i="79"/>
  <c r="AZ101" i="79" s="1"/>
  <c r="AY46" i="81" s="1"/>
  <c r="BA46" i="79"/>
  <c r="BA101" i="79" s="1"/>
  <c r="AZ46" i="81" s="1"/>
  <c r="BB46" i="79"/>
  <c r="BB101" i="79" s="1"/>
  <c r="BA46" i="81" s="1"/>
  <c r="BC46" i="79"/>
  <c r="BC101" i="79" s="1"/>
  <c r="BB46" i="81" s="1"/>
  <c r="BD46" i="79"/>
  <c r="BD101" i="79" s="1"/>
  <c r="BC46" i="81" s="1"/>
  <c r="AR47" i="79"/>
  <c r="AR102" i="79" s="1"/>
  <c r="AQ47" i="81" s="1"/>
  <c r="AS47" i="79"/>
  <c r="AS102" i="79" s="1"/>
  <c r="AR47" i="81" s="1"/>
  <c r="AT47" i="79"/>
  <c r="AT102" i="79" s="1"/>
  <c r="AS47" i="81" s="1"/>
  <c r="AU47" i="79"/>
  <c r="AU102" i="79" s="1"/>
  <c r="AT47" i="81" s="1"/>
  <c r="AV47" i="79"/>
  <c r="AV102" i="79" s="1"/>
  <c r="AU47" i="81" s="1"/>
  <c r="AW47" i="79"/>
  <c r="AW102" i="79" s="1"/>
  <c r="AV47" i="81" s="1"/>
  <c r="AX47" i="79"/>
  <c r="AX102" i="79" s="1"/>
  <c r="AW47" i="81" s="1"/>
  <c r="AY47" i="79"/>
  <c r="AY102" i="79" s="1"/>
  <c r="AX47" i="81" s="1"/>
  <c r="AZ47" i="79"/>
  <c r="AZ102" i="79" s="1"/>
  <c r="AY47" i="81" s="1"/>
  <c r="BA47" i="79"/>
  <c r="BA102" i="79" s="1"/>
  <c r="AZ47" i="81" s="1"/>
  <c r="BB47" i="79"/>
  <c r="BB102" i="79" s="1"/>
  <c r="BA47" i="81" s="1"/>
  <c r="BC47" i="79"/>
  <c r="BC102" i="79" s="1"/>
  <c r="BB47" i="81" s="1"/>
  <c r="BD47" i="79"/>
  <c r="BD102" i="79" s="1"/>
  <c r="BC47" i="81" s="1"/>
  <c r="AR48" i="79"/>
  <c r="AR103" i="79" s="1"/>
  <c r="AQ48" i="81" s="1"/>
  <c r="AS48" i="79"/>
  <c r="AS103" i="79" s="1"/>
  <c r="AR48" i="81" s="1"/>
  <c r="AT48" i="79"/>
  <c r="AT103" i="79" s="1"/>
  <c r="AS48" i="81" s="1"/>
  <c r="AU48" i="79"/>
  <c r="AU103" i="79" s="1"/>
  <c r="AT48" i="81" s="1"/>
  <c r="AV48" i="79"/>
  <c r="AV103" i="79" s="1"/>
  <c r="AU48" i="81" s="1"/>
  <c r="AW48" i="79"/>
  <c r="AW103" i="79" s="1"/>
  <c r="AV48" i="81" s="1"/>
  <c r="AX48" i="79"/>
  <c r="AX103" i="79" s="1"/>
  <c r="AW48" i="81" s="1"/>
  <c r="AY48" i="79"/>
  <c r="AY103" i="79" s="1"/>
  <c r="AX48" i="81" s="1"/>
  <c r="AZ48" i="79"/>
  <c r="AZ103" i="79" s="1"/>
  <c r="AY48" i="81" s="1"/>
  <c r="BA48" i="79"/>
  <c r="BA103" i="79" s="1"/>
  <c r="AZ48" i="81" s="1"/>
  <c r="BB48" i="79"/>
  <c r="BB103" i="79" s="1"/>
  <c r="BA48" i="81" s="1"/>
  <c r="BC48" i="79"/>
  <c r="BC103" i="79" s="1"/>
  <c r="BB48" i="81" s="1"/>
  <c r="BD48" i="79"/>
  <c r="BD103" i="79" s="1"/>
  <c r="BC48" i="81" s="1"/>
  <c r="AR49" i="79"/>
  <c r="AR104" i="79" s="1"/>
  <c r="AQ49" i="81" s="1"/>
  <c r="AS49" i="79"/>
  <c r="AS104" i="79" s="1"/>
  <c r="AR49" i="81" s="1"/>
  <c r="AT49" i="79"/>
  <c r="AT104" i="79" s="1"/>
  <c r="AS49" i="81" s="1"/>
  <c r="AU49" i="79"/>
  <c r="AU104" i="79" s="1"/>
  <c r="AT49" i="81" s="1"/>
  <c r="AV49" i="79"/>
  <c r="AV104" i="79" s="1"/>
  <c r="AU49" i="81" s="1"/>
  <c r="AW49" i="79"/>
  <c r="AW104" i="79" s="1"/>
  <c r="AV49" i="81" s="1"/>
  <c r="AX49" i="79"/>
  <c r="AX104" i="79" s="1"/>
  <c r="AW49" i="81" s="1"/>
  <c r="AY49" i="79"/>
  <c r="AY104" i="79" s="1"/>
  <c r="AX49" i="81" s="1"/>
  <c r="AZ49" i="79"/>
  <c r="AZ104" i="79" s="1"/>
  <c r="AY49" i="81" s="1"/>
  <c r="BA49" i="79"/>
  <c r="BA104" i="79" s="1"/>
  <c r="AZ49" i="81" s="1"/>
  <c r="BB49" i="79"/>
  <c r="BB104" i="79" s="1"/>
  <c r="BA49" i="81" s="1"/>
  <c r="BC49" i="79"/>
  <c r="BC104" i="79" s="1"/>
  <c r="BB49" i="81" s="1"/>
  <c r="BD49" i="79"/>
  <c r="BD104" i="79" s="1"/>
  <c r="BC49" i="81" s="1"/>
  <c r="AR50" i="79"/>
  <c r="AR105" i="79" s="1"/>
  <c r="AQ50" i="81" s="1"/>
  <c r="AS50" i="79"/>
  <c r="AS105" i="79" s="1"/>
  <c r="AR50" i="81" s="1"/>
  <c r="AT50" i="79"/>
  <c r="AT105" i="79" s="1"/>
  <c r="AS50" i="81" s="1"/>
  <c r="AU50" i="79"/>
  <c r="AU105" i="79" s="1"/>
  <c r="AT50" i="81" s="1"/>
  <c r="AV50" i="79"/>
  <c r="AV105" i="79" s="1"/>
  <c r="AU50" i="81" s="1"/>
  <c r="AW50" i="79"/>
  <c r="AW105" i="79" s="1"/>
  <c r="AV50" i="81" s="1"/>
  <c r="AX50" i="79"/>
  <c r="AX105" i="79" s="1"/>
  <c r="AW50" i="81" s="1"/>
  <c r="AY50" i="79"/>
  <c r="AY105" i="79" s="1"/>
  <c r="AX50" i="81" s="1"/>
  <c r="AZ50" i="79"/>
  <c r="AZ105" i="79" s="1"/>
  <c r="AY50" i="81" s="1"/>
  <c r="BA50" i="79"/>
  <c r="BA105" i="79" s="1"/>
  <c r="AZ50" i="81" s="1"/>
  <c r="BB50" i="79"/>
  <c r="BB105" i="79" s="1"/>
  <c r="BA50" i="81" s="1"/>
  <c r="BC50" i="79"/>
  <c r="BC105" i="79" s="1"/>
  <c r="BB50" i="81" s="1"/>
  <c r="BD50" i="79"/>
  <c r="BD105" i="79" s="1"/>
  <c r="BC50" i="81" s="1"/>
  <c r="AR51" i="79"/>
  <c r="AR106" i="79" s="1"/>
  <c r="AQ51" i="81" s="1"/>
  <c r="AS51" i="79"/>
  <c r="AS106" i="79" s="1"/>
  <c r="AR51" i="81" s="1"/>
  <c r="AT51" i="79"/>
  <c r="AT106" i="79" s="1"/>
  <c r="AS51" i="81" s="1"/>
  <c r="AU51" i="79"/>
  <c r="AU106" i="79" s="1"/>
  <c r="AT51" i="81" s="1"/>
  <c r="AV51" i="79"/>
  <c r="AV106" i="79" s="1"/>
  <c r="AU51" i="81" s="1"/>
  <c r="AW51" i="79"/>
  <c r="AW106" i="79" s="1"/>
  <c r="AV51" i="81" s="1"/>
  <c r="AX51" i="79"/>
  <c r="AX106" i="79" s="1"/>
  <c r="AW51" i="81" s="1"/>
  <c r="AY51" i="79"/>
  <c r="AY106" i="79" s="1"/>
  <c r="AX51" i="81" s="1"/>
  <c r="AZ51" i="79"/>
  <c r="AZ106" i="79" s="1"/>
  <c r="AY51" i="81" s="1"/>
  <c r="BA51" i="79"/>
  <c r="BA106" i="79" s="1"/>
  <c r="AZ51" i="81" s="1"/>
  <c r="BB51" i="79"/>
  <c r="BB106" i="79" s="1"/>
  <c r="BA51" i="81" s="1"/>
  <c r="BC51" i="79"/>
  <c r="BC106" i="79" s="1"/>
  <c r="BB51" i="81" s="1"/>
  <c r="BD51" i="79"/>
  <c r="BD106" i="79" s="1"/>
  <c r="BC51" i="81" s="1"/>
  <c r="AR52" i="79"/>
  <c r="AR107" i="79" s="1"/>
  <c r="AQ52" i="81" s="1"/>
  <c r="AS52" i="79"/>
  <c r="AS107" i="79" s="1"/>
  <c r="AR52" i="81" s="1"/>
  <c r="AT52" i="79"/>
  <c r="AT107" i="79" s="1"/>
  <c r="AS52" i="81" s="1"/>
  <c r="AU52" i="79"/>
  <c r="AU107" i="79" s="1"/>
  <c r="AT52" i="81" s="1"/>
  <c r="AV52" i="79"/>
  <c r="AV107" i="79" s="1"/>
  <c r="AU52" i="81" s="1"/>
  <c r="AW52" i="79"/>
  <c r="AW107" i="79" s="1"/>
  <c r="AV52" i="81" s="1"/>
  <c r="AX52" i="79"/>
  <c r="AX107" i="79" s="1"/>
  <c r="AW52" i="81" s="1"/>
  <c r="AY52" i="79"/>
  <c r="AY107" i="79" s="1"/>
  <c r="AX52" i="81" s="1"/>
  <c r="AZ52" i="79"/>
  <c r="AZ107" i="79" s="1"/>
  <c r="AY52" i="81" s="1"/>
  <c r="BA52" i="79"/>
  <c r="BA107" i="79" s="1"/>
  <c r="AZ52" i="81" s="1"/>
  <c r="BB52" i="79"/>
  <c r="BB107" i="79" s="1"/>
  <c r="BA52" i="81" s="1"/>
  <c r="BC52" i="79"/>
  <c r="BC107" i="79" s="1"/>
  <c r="BB52" i="81" s="1"/>
  <c r="BD52" i="79"/>
  <c r="BD107" i="79" s="1"/>
  <c r="BC52" i="81" s="1"/>
  <c r="AR53" i="79"/>
  <c r="AR108" i="79" s="1"/>
  <c r="AQ53" i="81" s="1"/>
  <c r="AS53" i="79"/>
  <c r="AS108" i="79" s="1"/>
  <c r="AR53" i="81" s="1"/>
  <c r="AT53" i="79"/>
  <c r="AT108" i="79" s="1"/>
  <c r="AS53" i="81" s="1"/>
  <c r="AU53" i="79"/>
  <c r="AU108" i="79" s="1"/>
  <c r="AT53" i="81" s="1"/>
  <c r="AV53" i="79"/>
  <c r="AV108" i="79" s="1"/>
  <c r="AU53" i="81" s="1"/>
  <c r="AW53" i="79"/>
  <c r="AW108" i="79" s="1"/>
  <c r="AV53" i="81" s="1"/>
  <c r="AX53" i="79"/>
  <c r="AX108" i="79" s="1"/>
  <c r="AW53" i="81" s="1"/>
  <c r="AY53" i="79"/>
  <c r="AY108" i="79" s="1"/>
  <c r="AX53" i="81" s="1"/>
  <c r="AZ53" i="79"/>
  <c r="AZ108" i="79" s="1"/>
  <c r="AY53" i="81" s="1"/>
  <c r="BA53" i="79"/>
  <c r="BA108" i="79" s="1"/>
  <c r="AZ53" i="81" s="1"/>
  <c r="BB53" i="79"/>
  <c r="BB108" i="79" s="1"/>
  <c r="BA53" i="81" s="1"/>
  <c r="BC53" i="79"/>
  <c r="BC108" i="79" s="1"/>
  <c r="BB53" i="81" s="1"/>
  <c r="BD53" i="79"/>
  <c r="BD108" i="79" s="1"/>
  <c r="BC53" i="81" s="1"/>
  <c r="AS4" i="79"/>
  <c r="AS59" i="79" s="1"/>
  <c r="AR4" i="81" s="1"/>
  <c r="AT4" i="79"/>
  <c r="AT59" i="79" s="1"/>
  <c r="AS4" i="81" s="1"/>
  <c r="AU4" i="79"/>
  <c r="AU59" i="79" s="1"/>
  <c r="AT4" i="81" s="1"/>
  <c r="AV4" i="79"/>
  <c r="AV59" i="79" s="1"/>
  <c r="AU4" i="81" s="1"/>
  <c r="AW4" i="79"/>
  <c r="AW59" i="79" s="1"/>
  <c r="AV4" i="81" s="1"/>
  <c r="AX4" i="79"/>
  <c r="AX59" i="79" s="1"/>
  <c r="AW4" i="81" s="1"/>
  <c r="AY4" i="79"/>
  <c r="AY59" i="79" s="1"/>
  <c r="AX4" i="81" s="1"/>
  <c r="AZ4" i="79"/>
  <c r="AZ59" i="79" s="1"/>
  <c r="AY4" i="81" s="1"/>
  <c r="BA4" i="79"/>
  <c r="BA59" i="79" s="1"/>
  <c r="AZ4" i="81" s="1"/>
  <c r="BB4" i="79"/>
  <c r="BB59" i="79" s="1"/>
  <c r="BA4" i="81" s="1"/>
  <c r="BC4" i="79"/>
  <c r="BC59" i="79" s="1"/>
  <c r="BB4" i="81" s="1"/>
  <c r="BD4" i="79"/>
  <c r="BD59" i="79" s="1"/>
  <c r="BC4" i="81" s="1"/>
  <c r="AR4" i="79"/>
  <c r="AR59" i="79" s="1"/>
  <c r="AQ4" i="81" s="1"/>
  <c r="AL5" i="79"/>
  <c r="AL60" i="79" s="1"/>
  <c r="AK5" i="81" s="1"/>
  <c r="AM5" i="79"/>
  <c r="AM60" i="79" s="1"/>
  <c r="AL5" i="81" s="1"/>
  <c r="AN5" i="79"/>
  <c r="AN60" i="79" s="1"/>
  <c r="AM5" i="81" s="1"/>
  <c r="AO5" i="79"/>
  <c r="AO60" i="79" s="1"/>
  <c r="AN5" i="81" s="1"/>
  <c r="AL6" i="79"/>
  <c r="AL61" i="79" s="1"/>
  <c r="AK6" i="81" s="1"/>
  <c r="AM6" i="79"/>
  <c r="AM61" i="79" s="1"/>
  <c r="AL6" i="81" s="1"/>
  <c r="AN6" i="79"/>
  <c r="AN61" i="79" s="1"/>
  <c r="AM6" i="81" s="1"/>
  <c r="AO6" i="79"/>
  <c r="AO61" i="79" s="1"/>
  <c r="AN6" i="81" s="1"/>
  <c r="AL7" i="79"/>
  <c r="AL62" i="79" s="1"/>
  <c r="AK7" i="81" s="1"/>
  <c r="AM7" i="79"/>
  <c r="AM62" i="79" s="1"/>
  <c r="AL7" i="81" s="1"/>
  <c r="AN7" i="79"/>
  <c r="AN62" i="79" s="1"/>
  <c r="AM7" i="81" s="1"/>
  <c r="AO7" i="79"/>
  <c r="AO62" i="79" s="1"/>
  <c r="AN7" i="81" s="1"/>
  <c r="AL8" i="79"/>
  <c r="AL63" i="79" s="1"/>
  <c r="AK8" i="81" s="1"/>
  <c r="AM8" i="79"/>
  <c r="AM63" i="79" s="1"/>
  <c r="AL8" i="81" s="1"/>
  <c r="AN8" i="79"/>
  <c r="AN63" i="79" s="1"/>
  <c r="AM8" i="81" s="1"/>
  <c r="AO8" i="79"/>
  <c r="AO63" i="79" s="1"/>
  <c r="AN8" i="81" s="1"/>
  <c r="AL9" i="79"/>
  <c r="AL64" i="79" s="1"/>
  <c r="AK9" i="81" s="1"/>
  <c r="AM9" i="79"/>
  <c r="AM64" i="79" s="1"/>
  <c r="AL9" i="81" s="1"/>
  <c r="AN9" i="79"/>
  <c r="AN64" i="79" s="1"/>
  <c r="AM9" i="81" s="1"/>
  <c r="AO9" i="79"/>
  <c r="AO64" i="79" s="1"/>
  <c r="AN9" i="81" s="1"/>
  <c r="AL10" i="79"/>
  <c r="AL65" i="79" s="1"/>
  <c r="AK10" i="81" s="1"/>
  <c r="AM10" i="79"/>
  <c r="AM65" i="79" s="1"/>
  <c r="AL10" i="81" s="1"/>
  <c r="AN10" i="79"/>
  <c r="AN65" i="79" s="1"/>
  <c r="AM10" i="81" s="1"/>
  <c r="AO10" i="79"/>
  <c r="AO65" i="79" s="1"/>
  <c r="AN10" i="81" s="1"/>
  <c r="AL11" i="79"/>
  <c r="AL66" i="79" s="1"/>
  <c r="AK11" i="81" s="1"/>
  <c r="AM11" i="79"/>
  <c r="AM66" i="79" s="1"/>
  <c r="AL11" i="81" s="1"/>
  <c r="AN11" i="79"/>
  <c r="AN66" i="79" s="1"/>
  <c r="AM11" i="81" s="1"/>
  <c r="AO11" i="79"/>
  <c r="AO66" i="79" s="1"/>
  <c r="AN11" i="81" s="1"/>
  <c r="AL12" i="79"/>
  <c r="AL67" i="79" s="1"/>
  <c r="AK12" i="81" s="1"/>
  <c r="AM12" i="79"/>
  <c r="AM67" i="79" s="1"/>
  <c r="AL12" i="81" s="1"/>
  <c r="AN12" i="79"/>
  <c r="AN67" i="79" s="1"/>
  <c r="AM12" i="81" s="1"/>
  <c r="AO12" i="79"/>
  <c r="AO67" i="79" s="1"/>
  <c r="AN12" i="81" s="1"/>
  <c r="AL13" i="79"/>
  <c r="AL68" i="79" s="1"/>
  <c r="AK13" i="81" s="1"/>
  <c r="AM13" i="79"/>
  <c r="AM68" i="79" s="1"/>
  <c r="AL13" i="81" s="1"/>
  <c r="AN13" i="79"/>
  <c r="AN68" i="79" s="1"/>
  <c r="AM13" i="81" s="1"/>
  <c r="AO13" i="79"/>
  <c r="AO68" i="79" s="1"/>
  <c r="AN13" i="81" s="1"/>
  <c r="AL14" i="79"/>
  <c r="AL69" i="79" s="1"/>
  <c r="AK14" i="81" s="1"/>
  <c r="AM14" i="79"/>
  <c r="AM69" i="79" s="1"/>
  <c r="AL14" i="81" s="1"/>
  <c r="AN14" i="79"/>
  <c r="AN69" i="79" s="1"/>
  <c r="AM14" i="81" s="1"/>
  <c r="AO14" i="79"/>
  <c r="AO69" i="79" s="1"/>
  <c r="AN14" i="81" s="1"/>
  <c r="AL15" i="79"/>
  <c r="AL70" i="79" s="1"/>
  <c r="AK15" i="81" s="1"/>
  <c r="AM15" i="79"/>
  <c r="AM70" i="79" s="1"/>
  <c r="AL15" i="81" s="1"/>
  <c r="AN15" i="79"/>
  <c r="AN70" i="79" s="1"/>
  <c r="AM15" i="81" s="1"/>
  <c r="AO15" i="79"/>
  <c r="AO70" i="79" s="1"/>
  <c r="AN15" i="81" s="1"/>
  <c r="AL16" i="79"/>
  <c r="AL71" i="79" s="1"/>
  <c r="AK16" i="81" s="1"/>
  <c r="AM16" i="79"/>
  <c r="AM71" i="79" s="1"/>
  <c r="AL16" i="81" s="1"/>
  <c r="AN16" i="79"/>
  <c r="AN71" i="79" s="1"/>
  <c r="AM16" i="81" s="1"/>
  <c r="AO16" i="79"/>
  <c r="AO71" i="79" s="1"/>
  <c r="AN16" i="81" s="1"/>
  <c r="AL17" i="79"/>
  <c r="AL72" i="79" s="1"/>
  <c r="AK17" i="81" s="1"/>
  <c r="AM17" i="79"/>
  <c r="AM72" i="79" s="1"/>
  <c r="AL17" i="81" s="1"/>
  <c r="AN17" i="79"/>
  <c r="AN72" i="79" s="1"/>
  <c r="AM17" i="81" s="1"/>
  <c r="AO17" i="79"/>
  <c r="AO72" i="79" s="1"/>
  <c r="AN17" i="81" s="1"/>
  <c r="AL18" i="79"/>
  <c r="AL73" i="79" s="1"/>
  <c r="AK18" i="81" s="1"/>
  <c r="AM18" i="79"/>
  <c r="AM73" i="79" s="1"/>
  <c r="AL18" i="81" s="1"/>
  <c r="AN18" i="79"/>
  <c r="AN73" i="79" s="1"/>
  <c r="AM18" i="81" s="1"/>
  <c r="AO18" i="79"/>
  <c r="AO73" i="79" s="1"/>
  <c r="AN18" i="81" s="1"/>
  <c r="AL19" i="79"/>
  <c r="AL74" i="79" s="1"/>
  <c r="AK19" i="81" s="1"/>
  <c r="AM19" i="79"/>
  <c r="AM74" i="79" s="1"/>
  <c r="AL19" i="81" s="1"/>
  <c r="AN19" i="79"/>
  <c r="AN74" i="79" s="1"/>
  <c r="AM19" i="81" s="1"/>
  <c r="AO19" i="79"/>
  <c r="AO74" i="79" s="1"/>
  <c r="AN19" i="81" s="1"/>
  <c r="AL20" i="79"/>
  <c r="AL75" i="79" s="1"/>
  <c r="AK20" i="81" s="1"/>
  <c r="AM20" i="79"/>
  <c r="AM75" i="79" s="1"/>
  <c r="AL20" i="81" s="1"/>
  <c r="AN20" i="79"/>
  <c r="AN75" i="79" s="1"/>
  <c r="AM20" i="81" s="1"/>
  <c r="AO20" i="79"/>
  <c r="AO75" i="79" s="1"/>
  <c r="AN20" i="81" s="1"/>
  <c r="AL21" i="79"/>
  <c r="AL76" i="79" s="1"/>
  <c r="AK21" i="81" s="1"/>
  <c r="AM21" i="79"/>
  <c r="AM76" i="79" s="1"/>
  <c r="AL21" i="81" s="1"/>
  <c r="AN21" i="79"/>
  <c r="AN76" i="79" s="1"/>
  <c r="AM21" i="81" s="1"/>
  <c r="AO21" i="79"/>
  <c r="AO76" i="79" s="1"/>
  <c r="AN21" i="81" s="1"/>
  <c r="AL22" i="79"/>
  <c r="AL77" i="79" s="1"/>
  <c r="AK22" i="81" s="1"/>
  <c r="AM22" i="79"/>
  <c r="AM77" i="79" s="1"/>
  <c r="AL22" i="81" s="1"/>
  <c r="AN22" i="79"/>
  <c r="AN77" i="79" s="1"/>
  <c r="AM22" i="81" s="1"/>
  <c r="AO22" i="79"/>
  <c r="AO77" i="79" s="1"/>
  <c r="AN22" i="81" s="1"/>
  <c r="AL23" i="79"/>
  <c r="AL78" i="79" s="1"/>
  <c r="AK23" i="81" s="1"/>
  <c r="AM23" i="79"/>
  <c r="AM78" i="79" s="1"/>
  <c r="AL23" i="81" s="1"/>
  <c r="AN23" i="79"/>
  <c r="AN78" i="79" s="1"/>
  <c r="AM23" i="81" s="1"/>
  <c r="AO23" i="79"/>
  <c r="AO78" i="79" s="1"/>
  <c r="AN23" i="81" s="1"/>
  <c r="AL24" i="79"/>
  <c r="AL79" i="79" s="1"/>
  <c r="AK24" i="81" s="1"/>
  <c r="AM24" i="79"/>
  <c r="AM79" i="79" s="1"/>
  <c r="AL24" i="81" s="1"/>
  <c r="AN24" i="79"/>
  <c r="AN79" i="79" s="1"/>
  <c r="AM24" i="81" s="1"/>
  <c r="AO24" i="79"/>
  <c r="AO79" i="79" s="1"/>
  <c r="AN24" i="81" s="1"/>
  <c r="AL25" i="79"/>
  <c r="AL80" i="79" s="1"/>
  <c r="AK25" i="81" s="1"/>
  <c r="AM25" i="79"/>
  <c r="AM80" i="79" s="1"/>
  <c r="AL25" i="81" s="1"/>
  <c r="AN25" i="79"/>
  <c r="AN80" i="79" s="1"/>
  <c r="AM25" i="81" s="1"/>
  <c r="AO25" i="79"/>
  <c r="AO80" i="79" s="1"/>
  <c r="AN25" i="81" s="1"/>
  <c r="AL26" i="79"/>
  <c r="AL81" i="79" s="1"/>
  <c r="AK26" i="81" s="1"/>
  <c r="AM26" i="79"/>
  <c r="AM81" i="79" s="1"/>
  <c r="AL26" i="81" s="1"/>
  <c r="AN26" i="79"/>
  <c r="AN81" i="79" s="1"/>
  <c r="AM26" i="81" s="1"/>
  <c r="AO26" i="79"/>
  <c r="AO81" i="79" s="1"/>
  <c r="AN26" i="81" s="1"/>
  <c r="AL27" i="79"/>
  <c r="AL82" i="79" s="1"/>
  <c r="AK27" i="81" s="1"/>
  <c r="AM27" i="79"/>
  <c r="AM82" i="79" s="1"/>
  <c r="AL27" i="81" s="1"/>
  <c r="AN27" i="79"/>
  <c r="AN82" i="79" s="1"/>
  <c r="AM27" i="81" s="1"/>
  <c r="AO27" i="79"/>
  <c r="AO82" i="79" s="1"/>
  <c r="AN27" i="81" s="1"/>
  <c r="AL28" i="79"/>
  <c r="AL83" i="79" s="1"/>
  <c r="AK28" i="81" s="1"/>
  <c r="AM28" i="79"/>
  <c r="AM83" i="79" s="1"/>
  <c r="AL28" i="81" s="1"/>
  <c r="AN28" i="79"/>
  <c r="AN83" i="79" s="1"/>
  <c r="AM28" i="81" s="1"/>
  <c r="AO28" i="79"/>
  <c r="AO83" i="79" s="1"/>
  <c r="AN28" i="81" s="1"/>
  <c r="AL29" i="79"/>
  <c r="AL84" i="79" s="1"/>
  <c r="AK29" i="81" s="1"/>
  <c r="AM29" i="79"/>
  <c r="AM84" i="79" s="1"/>
  <c r="AL29" i="81" s="1"/>
  <c r="AN29" i="79"/>
  <c r="AN84" i="79" s="1"/>
  <c r="AM29" i="81" s="1"/>
  <c r="AO29" i="79"/>
  <c r="AO84" i="79" s="1"/>
  <c r="AN29" i="81" s="1"/>
  <c r="AL30" i="79"/>
  <c r="AL85" i="79" s="1"/>
  <c r="AK30" i="81" s="1"/>
  <c r="AM30" i="79"/>
  <c r="AM85" i="79" s="1"/>
  <c r="AL30" i="81" s="1"/>
  <c r="AN30" i="79"/>
  <c r="AN85" i="79" s="1"/>
  <c r="AM30" i="81" s="1"/>
  <c r="AO30" i="79"/>
  <c r="AO85" i="79" s="1"/>
  <c r="AN30" i="81" s="1"/>
  <c r="AL31" i="79"/>
  <c r="AL86" i="79" s="1"/>
  <c r="AK31" i="81" s="1"/>
  <c r="AM31" i="79"/>
  <c r="AM86" i="79" s="1"/>
  <c r="AL31" i="81" s="1"/>
  <c r="AN31" i="79"/>
  <c r="AN86" i="79" s="1"/>
  <c r="AM31" i="81" s="1"/>
  <c r="AO31" i="79"/>
  <c r="AO86" i="79" s="1"/>
  <c r="AN31" i="81" s="1"/>
  <c r="AL32" i="79"/>
  <c r="AL87" i="79" s="1"/>
  <c r="AK32" i="81" s="1"/>
  <c r="AM32" i="79"/>
  <c r="AM87" i="79" s="1"/>
  <c r="AL32" i="81" s="1"/>
  <c r="AN32" i="79"/>
  <c r="AN87" i="79" s="1"/>
  <c r="AM32" i="81" s="1"/>
  <c r="AO32" i="79"/>
  <c r="AO87" i="79" s="1"/>
  <c r="AN32" i="81" s="1"/>
  <c r="AL33" i="79"/>
  <c r="AL88" i="79" s="1"/>
  <c r="AK33" i="81" s="1"/>
  <c r="AM33" i="79"/>
  <c r="AM88" i="79" s="1"/>
  <c r="AL33" i="81" s="1"/>
  <c r="AN33" i="79"/>
  <c r="AN88" i="79" s="1"/>
  <c r="AM33" i="81" s="1"/>
  <c r="AO33" i="79"/>
  <c r="AO88" i="79" s="1"/>
  <c r="AN33" i="81" s="1"/>
  <c r="AL34" i="79"/>
  <c r="AL89" i="79" s="1"/>
  <c r="AK34" i="81" s="1"/>
  <c r="AM34" i="79"/>
  <c r="AM89" i="79" s="1"/>
  <c r="AL34" i="81" s="1"/>
  <c r="AN34" i="79"/>
  <c r="AN89" i="79" s="1"/>
  <c r="AM34" i="81" s="1"/>
  <c r="AO34" i="79"/>
  <c r="AO89" i="79" s="1"/>
  <c r="AN34" i="81" s="1"/>
  <c r="AL35" i="79"/>
  <c r="AL90" i="79" s="1"/>
  <c r="AK35" i="81" s="1"/>
  <c r="AM35" i="79"/>
  <c r="AM90" i="79" s="1"/>
  <c r="AL35" i="81" s="1"/>
  <c r="AN35" i="79"/>
  <c r="AN90" i="79" s="1"/>
  <c r="AM35" i="81" s="1"/>
  <c r="AO35" i="79"/>
  <c r="AO90" i="79" s="1"/>
  <c r="AN35" i="81" s="1"/>
  <c r="AL36" i="79"/>
  <c r="AL91" i="79" s="1"/>
  <c r="AK36" i="81" s="1"/>
  <c r="AM36" i="79"/>
  <c r="AM91" i="79" s="1"/>
  <c r="AL36" i="81" s="1"/>
  <c r="AN36" i="79"/>
  <c r="AN91" i="79" s="1"/>
  <c r="AM36" i="81" s="1"/>
  <c r="AO36" i="79"/>
  <c r="AO91" i="79" s="1"/>
  <c r="AN36" i="81" s="1"/>
  <c r="AL37" i="79"/>
  <c r="AL92" i="79" s="1"/>
  <c r="AK37" i="81" s="1"/>
  <c r="AM37" i="79"/>
  <c r="AM92" i="79" s="1"/>
  <c r="AL37" i="81" s="1"/>
  <c r="AN37" i="79"/>
  <c r="AN92" i="79" s="1"/>
  <c r="AM37" i="81" s="1"/>
  <c r="AO37" i="79"/>
  <c r="AO92" i="79" s="1"/>
  <c r="AN37" i="81" s="1"/>
  <c r="AL38" i="79"/>
  <c r="AL93" i="79" s="1"/>
  <c r="AK38" i="81" s="1"/>
  <c r="AM38" i="79"/>
  <c r="AM93" i="79" s="1"/>
  <c r="AL38" i="81" s="1"/>
  <c r="AN38" i="79"/>
  <c r="AN93" i="79" s="1"/>
  <c r="AM38" i="81" s="1"/>
  <c r="AO38" i="79"/>
  <c r="AO93" i="79" s="1"/>
  <c r="AN38" i="81" s="1"/>
  <c r="AL39" i="79"/>
  <c r="AL94" i="79" s="1"/>
  <c r="AK39" i="81" s="1"/>
  <c r="AM39" i="79"/>
  <c r="AM94" i="79" s="1"/>
  <c r="AL39" i="81" s="1"/>
  <c r="AN39" i="79"/>
  <c r="AN94" i="79" s="1"/>
  <c r="AM39" i="81" s="1"/>
  <c r="AO39" i="79"/>
  <c r="AO94" i="79" s="1"/>
  <c r="AN39" i="81" s="1"/>
  <c r="AL40" i="79"/>
  <c r="AL95" i="79" s="1"/>
  <c r="AK40" i="81" s="1"/>
  <c r="AM40" i="79"/>
  <c r="AM95" i="79" s="1"/>
  <c r="AL40" i="81" s="1"/>
  <c r="AN40" i="79"/>
  <c r="AN95" i="79" s="1"/>
  <c r="AM40" i="81" s="1"/>
  <c r="AO40" i="79"/>
  <c r="AO95" i="79" s="1"/>
  <c r="AN40" i="81" s="1"/>
  <c r="AL41" i="79"/>
  <c r="AL96" i="79" s="1"/>
  <c r="AK41" i="81" s="1"/>
  <c r="AM41" i="79"/>
  <c r="AM96" i="79" s="1"/>
  <c r="AL41" i="81" s="1"/>
  <c r="AN41" i="79"/>
  <c r="AN96" i="79" s="1"/>
  <c r="AM41" i="81" s="1"/>
  <c r="AO41" i="79"/>
  <c r="AO96" i="79" s="1"/>
  <c r="AN41" i="81" s="1"/>
  <c r="AL42" i="79"/>
  <c r="AL97" i="79" s="1"/>
  <c r="AK42" i="81" s="1"/>
  <c r="AM42" i="79"/>
  <c r="AM97" i="79" s="1"/>
  <c r="AL42" i="81" s="1"/>
  <c r="AN42" i="79"/>
  <c r="AN97" i="79" s="1"/>
  <c r="AM42" i="81" s="1"/>
  <c r="AO42" i="79"/>
  <c r="AO97" i="79" s="1"/>
  <c r="AN42" i="81" s="1"/>
  <c r="AL43" i="79"/>
  <c r="AL98" i="79" s="1"/>
  <c r="AK43" i="81" s="1"/>
  <c r="AM43" i="79"/>
  <c r="AM98" i="79" s="1"/>
  <c r="AL43" i="81" s="1"/>
  <c r="AN43" i="79"/>
  <c r="AN98" i="79" s="1"/>
  <c r="AM43" i="81" s="1"/>
  <c r="AO43" i="79"/>
  <c r="AO98" i="79" s="1"/>
  <c r="AN43" i="81" s="1"/>
  <c r="AL44" i="79"/>
  <c r="AL99" i="79" s="1"/>
  <c r="AK44" i="81" s="1"/>
  <c r="AM44" i="79"/>
  <c r="AM99" i="79" s="1"/>
  <c r="AL44" i="81" s="1"/>
  <c r="AN44" i="79"/>
  <c r="AN99" i="79" s="1"/>
  <c r="AM44" i="81" s="1"/>
  <c r="AO44" i="79"/>
  <c r="AO99" i="79" s="1"/>
  <c r="AN44" i="81" s="1"/>
  <c r="AL45" i="79"/>
  <c r="AL100" i="79" s="1"/>
  <c r="AK45" i="81" s="1"/>
  <c r="AM45" i="79"/>
  <c r="AM100" i="79" s="1"/>
  <c r="AL45" i="81" s="1"/>
  <c r="AN45" i="79"/>
  <c r="AN100" i="79" s="1"/>
  <c r="AM45" i="81" s="1"/>
  <c r="AO45" i="79"/>
  <c r="AO100" i="79" s="1"/>
  <c r="AN45" i="81" s="1"/>
  <c r="AL46" i="79"/>
  <c r="AL101" i="79" s="1"/>
  <c r="AK46" i="81" s="1"/>
  <c r="AM46" i="79"/>
  <c r="AM101" i="79" s="1"/>
  <c r="AL46" i="81" s="1"/>
  <c r="AN46" i="79"/>
  <c r="AN101" i="79" s="1"/>
  <c r="AM46" i="81" s="1"/>
  <c r="AO46" i="79"/>
  <c r="AO101" i="79" s="1"/>
  <c r="AN46" i="81" s="1"/>
  <c r="AL47" i="79"/>
  <c r="AL102" i="79" s="1"/>
  <c r="AK47" i="81" s="1"/>
  <c r="AM47" i="79"/>
  <c r="AM102" i="79" s="1"/>
  <c r="AL47" i="81" s="1"/>
  <c r="AN47" i="79"/>
  <c r="AN102" i="79" s="1"/>
  <c r="AM47" i="81" s="1"/>
  <c r="AO47" i="79"/>
  <c r="AO102" i="79" s="1"/>
  <c r="AN47" i="81" s="1"/>
  <c r="AL48" i="79"/>
  <c r="AL103" i="79" s="1"/>
  <c r="AK48" i="81" s="1"/>
  <c r="AM48" i="79"/>
  <c r="AM103" i="79" s="1"/>
  <c r="AL48" i="81" s="1"/>
  <c r="AN48" i="79"/>
  <c r="AN103" i="79" s="1"/>
  <c r="AM48" i="81" s="1"/>
  <c r="AO48" i="79"/>
  <c r="AO103" i="79" s="1"/>
  <c r="AN48" i="81" s="1"/>
  <c r="AL49" i="79"/>
  <c r="AL104" i="79" s="1"/>
  <c r="AK49" i="81" s="1"/>
  <c r="AM49" i="79"/>
  <c r="AM104" i="79" s="1"/>
  <c r="AL49" i="81" s="1"/>
  <c r="AN49" i="79"/>
  <c r="AN104" i="79" s="1"/>
  <c r="AM49" i="81" s="1"/>
  <c r="AO49" i="79"/>
  <c r="AO104" i="79" s="1"/>
  <c r="AN49" i="81" s="1"/>
  <c r="AL50" i="79"/>
  <c r="AL105" i="79" s="1"/>
  <c r="AK50" i="81" s="1"/>
  <c r="AM50" i="79"/>
  <c r="AM105" i="79" s="1"/>
  <c r="AL50" i="81" s="1"/>
  <c r="AN50" i="79"/>
  <c r="AN105" i="79" s="1"/>
  <c r="AM50" i="81" s="1"/>
  <c r="AO50" i="79"/>
  <c r="AO105" i="79" s="1"/>
  <c r="AN50" i="81" s="1"/>
  <c r="AL51" i="79"/>
  <c r="AL106" i="79" s="1"/>
  <c r="AK51" i="81" s="1"/>
  <c r="AM51" i="79"/>
  <c r="AM106" i="79" s="1"/>
  <c r="AL51" i="81" s="1"/>
  <c r="AN51" i="79"/>
  <c r="AN106" i="79" s="1"/>
  <c r="AM51" i="81" s="1"/>
  <c r="AO51" i="79"/>
  <c r="AO106" i="79" s="1"/>
  <c r="AN51" i="81" s="1"/>
  <c r="AL52" i="79"/>
  <c r="AL107" i="79" s="1"/>
  <c r="AK52" i="81" s="1"/>
  <c r="AM52" i="79"/>
  <c r="AM107" i="79" s="1"/>
  <c r="AL52" i="81" s="1"/>
  <c r="AN52" i="79"/>
  <c r="AN107" i="79" s="1"/>
  <c r="AM52" i="81" s="1"/>
  <c r="AO52" i="79"/>
  <c r="AO107" i="79" s="1"/>
  <c r="AN52" i="81" s="1"/>
  <c r="AL53" i="79"/>
  <c r="AL108" i="79" s="1"/>
  <c r="AK53" i="81" s="1"/>
  <c r="AM53" i="79"/>
  <c r="AM108" i="79" s="1"/>
  <c r="AL53" i="81" s="1"/>
  <c r="AN53" i="79"/>
  <c r="AN108" i="79" s="1"/>
  <c r="AM53" i="81" s="1"/>
  <c r="AO53" i="79"/>
  <c r="AO108" i="79" s="1"/>
  <c r="AN53" i="81" s="1"/>
  <c r="AM4" i="79"/>
  <c r="AM59" i="79" s="1"/>
  <c r="AL4" i="81" s="1"/>
  <c r="AN4" i="79"/>
  <c r="AN59" i="79" s="1"/>
  <c r="AM4" i="81" s="1"/>
  <c r="AO4" i="79"/>
  <c r="AO59" i="79" s="1"/>
  <c r="AN4" i="81" s="1"/>
  <c r="AL4" i="79"/>
  <c r="AL59" i="79" s="1"/>
  <c r="AK4" i="81" s="1"/>
  <c r="AF5" i="79"/>
  <c r="AF60" i="79" s="1"/>
  <c r="AE5" i="81" s="1"/>
  <c r="AG5" i="79"/>
  <c r="AG60" i="79" s="1"/>
  <c r="AF5" i="81" s="1"/>
  <c r="AH5" i="79"/>
  <c r="AH60" i="79" s="1"/>
  <c r="AG5" i="81" s="1"/>
  <c r="AI5" i="79"/>
  <c r="AI60" i="79" s="1"/>
  <c r="AH5" i="81" s="1"/>
  <c r="AF6" i="79"/>
  <c r="AF61" i="79" s="1"/>
  <c r="AE6" i="81" s="1"/>
  <c r="AG6" i="79"/>
  <c r="AG61" i="79" s="1"/>
  <c r="AF6" i="81" s="1"/>
  <c r="AH6" i="79"/>
  <c r="AH61" i="79" s="1"/>
  <c r="AG6" i="81" s="1"/>
  <c r="AI6" i="79"/>
  <c r="AI61" i="79" s="1"/>
  <c r="AH6" i="81" s="1"/>
  <c r="AF7" i="79"/>
  <c r="AF62" i="79" s="1"/>
  <c r="AE7" i="81" s="1"/>
  <c r="AG7" i="79"/>
  <c r="AG62" i="79" s="1"/>
  <c r="AF7" i="81" s="1"/>
  <c r="AH7" i="79"/>
  <c r="AH62" i="79" s="1"/>
  <c r="AG7" i="81" s="1"/>
  <c r="AI7" i="79"/>
  <c r="AI62" i="79" s="1"/>
  <c r="AH7" i="81" s="1"/>
  <c r="AF8" i="79"/>
  <c r="AF63" i="79" s="1"/>
  <c r="AE8" i="81" s="1"/>
  <c r="AG8" i="79"/>
  <c r="AG63" i="79" s="1"/>
  <c r="AF8" i="81" s="1"/>
  <c r="AH8" i="79"/>
  <c r="AH63" i="79" s="1"/>
  <c r="AG8" i="81" s="1"/>
  <c r="AI8" i="79"/>
  <c r="AI63" i="79" s="1"/>
  <c r="AH8" i="81" s="1"/>
  <c r="AF9" i="79"/>
  <c r="AF64" i="79" s="1"/>
  <c r="AE9" i="81" s="1"/>
  <c r="AG9" i="79"/>
  <c r="AG64" i="79" s="1"/>
  <c r="AF9" i="81" s="1"/>
  <c r="AH9" i="79"/>
  <c r="AH64" i="79" s="1"/>
  <c r="AG9" i="81" s="1"/>
  <c r="AI9" i="79"/>
  <c r="AI64" i="79" s="1"/>
  <c r="AH9" i="81" s="1"/>
  <c r="AF10" i="79"/>
  <c r="AF65" i="79" s="1"/>
  <c r="AE10" i="81" s="1"/>
  <c r="AG10" i="79"/>
  <c r="AG65" i="79" s="1"/>
  <c r="AF10" i="81" s="1"/>
  <c r="AH10" i="79"/>
  <c r="AH65" i="79" s="1"/>
  <c r="AG10" i="81" s="1"/>
  <c r="AI10" i="79"/>
  <c r="AI65" i="79" s="1"/>
  <c r="AH10" i="81" s="1"/>
  <c r="AF11" i="79"/>
  <c r="AF66" i="79" s="1"/>
  <c r="AE11" i="81" s="1"/>
  <c r="AG11" i="79"/>
  <c r="AG66" i="79" s="1"/>
  <c r="AF11" i="81" s="1"/>
  <c r="AH11" i="79"/>
  <c r="AH66" i="79" s="1"/>
  <c r="AG11" i="81" s="1"/>
  <c r="AI11" i="79"/>
  <c r="AI66" i="79" s="1"/>
  <c r="AH11" i="81" s="1"/>
  <c r="AF12" i="79"/>
  <c r="AF67" i="79" s="1"/>
  <c r="AE12" i="81" s="1"/>
  <c r="AG12" i="79"/>
  <c r="AG67" i="79" s="1"/>
  <c r="AF12" i="81" s="1"/>
  <c r="AH12" i="79"/>
  <c r="AH67" i="79" s="1"/>
  <c r="AG12" i="81" s="1"/>
  <c r="AI12" i="79"/>
  <c r="AI67" i="79" s="1"/>
  <c r="AH12" i="81" s="1"/>
  <c r="AF13" i="79"/>
  <c r="AF68" i="79" s="1"/>
  <c r="AE13" i="81" s="1"/>
  <c r="AG13" i="79"/>
  <c r="AG68" i="79" s="1"/>
  <c r="AF13" i="81" s="1"/>
  <c r="AH13" i="79"/>
  <c r="AH68" i="79" s="1"/>
  <c r="AG13" i="81" s="1"/>
  <c r="AI13" i="79"/>
  <c r="AI68" i="79" s="1"/>
  <c r="AH13" i="81" s="1"/>
  <c r="AF14" i="79"/>
  <c r="AF69" i="79" s="1"/>
  <c r="AE14" i="81" s="1"/>
  <c r="AG14" i="79"/>
  <c r="AG69" i="79" s="1"/>
  <c r="AF14" i="81" s="1"/>
  <c r="AH14" i="79"/>
  <c r="AH69" i="79" s="1"/>
  <c r="AG14" i="81" s="1"/>
  <c r="AI14" i="79"/>
  <c r="AI69" i="79" s="1"/>
  <c r="AH14" i="81" s="1"/>
  <c r="AF15" i="79"/>
  <c r="AF70" i="79" s="1"/>
  <c r="AE15" i="81" s="1"/>
  <c r="AG15" i="79"/>
  <c r="AG70" i="79" s="1"/>
  <c r="AF15" i="81" s="1"/>
  <c r="AH15" i="79"/>
  <c r="AH70" i="79" s="1"/>
  <c r="AG15" i="81" s="1"/>
  <c r="AI15" i="79"/>
  <c r="AI70" i="79" s="1"/>
  <c r="AH15" i="81" s="1"/>
  <c r="AF16" i="79"/>
  <c r="AF71" i="79" s="1"/>
  <c r="AE16" i="81" s="1"/>
  <c r="AG16" i="79"/>
  <c r="AG71" i="79" s="1"/>
  <c r="AF16" i="81" s="1"/>
  <c r="AH16" i="79"/>
  <c r="AH71" i="79" s="1"/>
  <c r="AG16" i="81" s="1"/>
  <c r="AI16" i="79"/>
  <c r="AI71" i="79" s="1"/>
  <c r="AH16" i="81" s="1"/>
  <c r="AF17" i="79"/>
  <c r="AF72" i="79" s="1"/>
  <c r="AE17" i="81" s="1"/>
  <c r="AG17" i="79"/>
  <c r="AG72" i="79" s="1"/>
  <c r="AF17" i="81" s="1"/>
  <c r="AH17" i="79"/>
  <c r="AH72" i="79" s="1"/>
  <c r="AG17" i="81" s="1"/>
  <c r="AI17" i="79"/>
  <c r="AI72" i="79" s="1"/>
  <c r="AH17" i="81" s="1"/>
  <c r="AF18" i="79"/>
  <c r="AF73" i="79" s="1"/>
  <c r="AE18" i="81" s="1"/>
  <c r="AG18" i="79"/>
  <c r="AG73" i="79" s="1"/>
  <c r="AF18" i="81" s="1"/>
  <c r="AH18" i="79"/>
  <c r="AH73" i="79" s="1"/>
  <c r="AG18" i="81" s="1"/>
  <c r="AI18" i="79"/>
  <c r="AI73" i="79" s="1"/>
  <c r="AH18" i="81" s="1"/>
  <c r="AF19" i="79"/>
  <c r="AF74" i="79" s="1"/>
  <c r="AE19" i="81" s="1"/>
  <c r="AG19" i="79"/>
  <c r="AG74" i="79" s="1"/>
  <c r="AF19" i="81" s="1"/>
  <c r="AH19" i="79"/>
  <c r="AH74" i="79" s="1"/>
  <c r="AG19" i="81" s="1"/>
  <c r="AI19" i="79"/>
  <c r="AI74" i="79" s="1"/>
  <c r="AH19" i="81" s="1"/>
  <c r="AF20" i="79"/>
  <c r="AF75" i="79" s="1"/>
  <c r="AE20" i="81" s="1"/>
  <c r="AG20" i="79"/>
  <c r="AG75" i="79" s="1"/>
  <c r="AF20" i="81" s="1"/>
  <c r="AH20" i="79"/>
  <c r="AH75" i="79" s="1"/>
  <c r="AG20" i="81" s="1"/>
  <c r="AI20" i="79"/>
  <c r="AI75" i="79" s="1"/>
  <c r="AH20" i="81" s="1"/>
  <c r="AF21" i="79"/>
  <c r="AF76" i="79" s="1"/>
  <c r="AE21" i="81" s="1"/>
  <c r="AG21" i="79"/>
  <c r="AG76" i="79" s="1"/>
  <c r="AF21" i="81" s="1"/>
  <c r="AH21" i="79"/>
  <c r="AH76" i="79" s="1"/>
  <c r="AG21" i="81" s="1"/>
  <c r="AI21" i="79"/>
  <c r="AI76" i="79" s="1"/>
  <c r="AH21" i="81" s="1"/>
  <c r="AF22" i="79"/>
  <c r="AF77" i="79" s="1"/>
  <c r="AE22" i="81" s="1"/>
  <c r="AG22" i="79"/>
  <c r="AG77" i="79" s="1"/>
  <c r="AF22" i="81" s="1"/>
  <c r="AH22" i="79"/>
  <c r="AH77" i="79" s="1"/>
  <c r="AG22" i="81" s="1"/>
  <c r="AI22" i="79"/>
  <c r="AI77" i="79" s="1"/>
  <c r="AH22" i="81" s="1"/>
  <c r="AF23" i="79"/>
  <c r="AF78" i="79" s="1"/>
  <c r="AE23" i="81" s="1"/>
  <c r="AG23" i="79"/>
  <c r="AG78" i="79" s="1"/>
  <c r="AF23" i="81" s="1"/>
  <c r="AH23" i="79"/>
  <c r="AH78" i="79" s="1"/>
  <c r="AG23" i="81" s="1"/>
  <c r="AI23" i="79"/>
  <c r="AI78" i="79" s="1"/>
  <c r="AH23" i="81" s="1"/>
  <c r="AF24" i="79"/>
  <c r="AF79" i="79" s="1"/>
  <c r="AE24" i="81" s="1"/>
  <c r="AG24" i="79"/>
  <c r="AG79" i="79" s="1"/>
  <c r="AF24" i="81" s="1"/>
  <c r="AH24" i="79"/>
  <c r="AH79" i="79" s="1"/>
  <c r="AG24" i="81" s="1"/>
  <c r="AI24" i="79"/>
  <c r="AI79" i="79" s="1"/>
  <c r="AH24" i="81" s="1"/>
  <c r="AF25" i="79"/>
  <c r="AF80" i="79" s="1"/>
  <c r="AE25" i="81" s="1"/>
  <c r="AG25" i="79"/>
  <c r="AG80" i="79" s="1"/>
  <c r="AF25" i="81" s="1"/>
  <c r="AH25" i="79"/>
  <c r="AH80" i="79" s="1"/>
  <c r="AG25" i="81" s="1"/>
  <c r="AI25" i="79"/>
  <c r="AI80" i="79" s="1"/>
  <c r="AH25" i="81" s="1"/>
  <c r="AF26" i="79"/>
  <c r="AF81" i="79" s="1"/>
  <c r="AE26" i="81" s="1"/>
  <c r="AG26" i="79"/>
  <c r="AG81" i="79" s="1"/>
  <c r="AF26" i="81" s="1"/>
  <c r="AH26" i="79"/>
  <c r="AH81" i="79" s="1"/>
  <c r="AG26" i="81" s="1"/>
  <c r="AI26" i="79"/>
  <c r="AI81" i="79" s="1"/>
  <c r="AH26" i="81" s="1"/>
  <c r="AF27" i="79"/>
  <c r="AF82" i="79" s="1"/>
  <c r="AE27" i="81" s="1"/>
  <c r="AG27" i="79"/>
  <c r="AG82" i="79" s="1"/>
  <c r="AF27" i="81" s="1"/>
  <c r="AH27" i="79"/>
  <c r="AH82" i="79" s="1"/>
  <c r="AG27" i="81" s="1"/>
  <c r="AI27" i="79"/>
  <c r="AI82" i="79" s="1"/>
  <c r="AH27" i="81" s="1"/>
  <c r="AF28" i="79"/>
  <c r="AF83" i="79" s="1"/>
  <c r="AE28" i="81" s="1"/>
  <c r="AG28" i="79"/>
  <c r="AG83" i="79" s="1"/>
  <c r="AF28" i="81" s="1"/>
  <c r="AH28" i="79"/>
  <c r="AH83" i="79" s="1"/>
  <c r="AG28" i="81" s="1"/>
  <c r="AI28" i="79"/>
  <c r="AI83" i="79" s="1"/>
  <c r="AH28" i="81" s="1"/>
  <c r="AF29" i="79"/>
  <c r="AF84" i="79" s="1"/>
  <c r="AE29" i="81" s="1"/>
  <c r="AG29" i="79"/>
  <c r="AG84" i="79" s="1"/>
  <c r="AF29" i="81" s="1"/>
  <c r="AH29" i="79"/>
  <c r="AH84" i="79" s="1"/>
  <c r="AG29" i="81" s="1"/>
  <c r="AI29" i="79"/>
  <c r="AI84" i="79" s="1"/>
  <c r="AH29" i="81" s="1"/>
  <c r="AF30" i="79"/>
  <c r="AF85" i="79" s="1"/>
  <c r="AE30" i="81" s="1"/>
  <c r="AG30" i="79"/>
  <c r="AG85" i="79" s="1"/>
  <c r="AF30" i="81" s="1"/>
  <c r="AH30" i="79"/>
  <c r="AH85" i="79" s="1"/>
  <c r="AG30" i="81" s="1"/>
  <c r="AI30" i="79"/>
  <c r="AI85" i="79" s="1"/>
  <c r="AH30" i="81" s="1"/>
  <c r="AF31" i="79"/>
  <c r="AF86" i="79" s="1"/>
  <c r="AE31" i="81" s="1"/>
  <c r="AG31" i="79"/>
  <c r="AG86" i="79" s="1"/>
  <c r="AF31" i="81" s="1"/>
  <c r="AH31" i="79"/>
  <c r="AH86" i="79" s="1"/>
  <c r="AG31" i="81" s="1"/>
  <c r="AI31" i="79"/>
  <c r="AI86" i="79" s="1"/>
  <c r="AH31" i="81" s="1"/>
  <c r="AF32" i="79"/>
  <c r="AF87" i="79" s="1"/>
  <c r="AE32" i="81" s="1"/>
  <c r="AG32" i="79"/>
  <c r="AG87" i="79" s="1"/>
  <c r="AF32" i="81" s="1"/>
  <c r="AH32" i="79"/>
  <c r="AH87" i="79" s="1"/>
  <c r="AG32" i="81" s="1"/>
  <c r="AI32" i="79"/>
  <c r="AI87" i="79" s="1"/>
  <c r="AH32" i="81" s="1"/>
  <c r="AF33" i="79"/>
  <c r="AF88" i="79" s="1"/>
  <c r="AE33" i="81" s="1"/>
  <c r="AG33" i="79"/>
  <c r="AG88" i="79" s="1"/>
  <c r="AF33" i="81" s="1"/>
  <c r="AH33" i="79"/>
  <c r="AH88" i="79" s="1"/>
  <c r="AG33" i="81" s="1"/>
  <c r="AI33" i="79"/>
  <c r="AI88" i="79" s="1"/>
  <c r="AH33" i="81" s="1"/>
  <c r="AF34" i="79"/>
  <c r="AF89" i="79" s="1"/>
  <c r="AE34" i="81" s="1"/>
  <c r="AG34" i="79"/>
  <c r="AG89" i="79" s="1"/>
  <c r="AF34" i="81" s="1"/>
  <c r="AH34" i="79"/>
  <c r="AH89" i="79" s="1"/>
  <c r="AG34" i="81" s="1"/>
  <c r="AI34" i="79"/>
  <c r="AI89" i="79" s="1"/>
  <c r="AH34" i="81" s="1"/>
  <c r="AF35" i="79"/>
  <c r="AF90" i="79" s="1"/>
  <c r="AE35" i="81" s="1"/>
  <c r="AG35" i="79"/>
  <c r="AG90" i="79" s="1"/>
  <c r="AF35" i="81" s="1"/>
  <c r="AH35" i="79"/>
  <c r="AH90" i="79" s="1"/>
  <c r="AG35" i="81" s="1"/>
  <c r="AI35" i="79"/>
  <c r="AI90" i="79" s="1"/>
  <c r="AH35" i="81" s="1"/>
  <c r="AF36" i="79"/>
  <c r="AF91" i="79" s="1"/>
  <c r="AE36" i="81" s="1"/>
  <c r="AG36" i="79"/>
  <c r="AG91" i="79" s="1"/>
  <c r="AF36" i="81" s="1"/>
  <c r="AH36" i="79"/>
  <c r="AH91" i="79" s="1"/>
  <c r="AG36" i="81" s="1"/>
  <c r="AI36" i="79"/>
  <c r="AI91" i="79" s="1"/>
  <c r="AH36" i="81" s="1"/>
  <c r="AF37" i="79"/>
  <c r="AF92" i="79" s="1"/>
  <c r="AE37" i="81" s="1"/>
  <c r="AG37" i="79"/>
  <c r="AG92" i="79" s="1"/>
  <c r="AF37" i="81" s="1"/>
  <c r="AH37" i="79"/>
  <c r="AH92" i="79" s="1"/>
  <c r="AG37" i="81" s="1"/>
  <c r="AI37" i="79"/>
  <c r="AI92" i="79" s="1"/>
  <c r="AH37" i="81" s="1"/>
  <c r="AF38" i="79"/>
  <c r="AF93" i="79" s="1"/>
  <c r="AE38" i="81" s="1"/>
  <c r="AG38" i="79"/>
  <c r="AG93" i="79" s="1"/>
  <c r="AF38" i="81" s="1"/>
  <c r="AH38" i="79"/>
  <c r="AH93" i="79" s="1"/>
  <c r="AG38" i="81" s="1"/>
  <c r="AI38" i="79"/>
  <c r="AI93" i="79" s="1"/>
  <c r="AH38" i="81" s="1"/>
  <c r="AF39" i="79"/>
  <c r="AF94" i="79" s="1"/>
  <c r="AE39" i="81" s="1"/>
  <c r="AG39" i="79"/>
  <c r="AG94" i="79" s="1"/>
  <c r="AF39" i="81" s="1"/>
  <c r="AH39" i="79"/>
  <c r="AH94" i="79" s="1"/>
  <c r="AG39" i="81" s="1"/>
  <c r="AI39" i="79"/>
  <c r="AI94" i="79" s="1"/>
  <c r="AH39" i="81" s="1"/>
  <c r="AF40" i="79"/>
  <c r="AF95" i="79" s="1"/>
  <c r="AE40" i="81" s="1"/>
  <c r="AG40" i="79"/>
  <c r="AG95" i="79" s="1"/>
  <c r="AF40" i="81" s="1"/>
  <c r="AH40" i="79"/>
  <c r="AH95" i="79" s="1"/>
  <c r="AG40" i="81" s="1"/>
  <c r="AI40" i="79"/>
  <c r="AI95" i="79" s="1"/>
  <c r="AH40" i="81" s="1"/>
  <c r="AF41" i="79"/>
  <c r="AF96" i="79" s="1"/>
  <c r="AE41" i="81" s="1"/>
  <c r="AG41" i="79"/>
  <c r="AG96" i="79" s="1"/>
  <c r="AF41" i="81" s="1"/>
  <c r="AH41" i="79"/>
  <c r="AH96" i="79" s="1"/>
  <c r="AG41" i="81" s="1"/>
  <c r="AI41" i="79"/>
  <c r="AI96" i="79" s="1"/>
  <c r="AH41" i="81" s="1"/>
  <c r="AF42" i="79"/>
  <c r="AF97" i="79" s="1"/>
  <c r="AE42" i="81" s="1"/>
  <c r="AG42" i="79"/>
  <c r="AG97" i="79" s="1"/>
  <c r="AF42" i="81" s="1"/>
  <c r="AH42" i="79"/>
  <c r="AH97" i="79" s="1"/>
  <c r="AG42" i="81" s="1"/>
  <c r="AI42" i="79"/>
  <c r="AI97" i="79" s="1"/>
  <c r="AH42" i="81" s="1"/>
  <c r="AF43" i="79"/>
  <c r="AF98" i="79" s="1"/>
  <c r="AE43" i="81" s="1"/>
  <c r="AG43" i="79"/>
  <c r="AG98" i="79" s="1"/>
  <c r="AF43" i="81" s="1"/>
  <c r="AH43" i="79"/>
  <c r="AH98" i="79" s="1"/>
  <c r="AG43" i="81" s="1"/>
  <c r="AI43" i="79"/>
  <c r="AI98" i="79" s="1"/>
  <c r="AH43" i="81" s="1"/>
  <c r="AF44" i="79"/>
  <c r="AF99" i="79" s="1"/>
  <c r="AE44" i="81" s="1"/>
  <c r="AG44" i="79"/>
  <c r="AG99" i="79" s="1"/>
  <c r="AF44" i="81" s="1"/>
  <c r="AH44" i="79"/>
  <c r="AH99" i="79" s="1"/>
  <c r="AG44" i="81" s="1"/>
  <c r="AI44" i="79"/>
  <c r="AI99" i="79" s="1"/>
  <c r="AH44" i="81" s="1"/>
  <c r="AF45" i="79"/>
  <c r="AF100" i="79" s="1"/>
  <c r="AE45" i="81" s="1"/>
  <c r="AG45" i="79"/>
  <c r="AG100" i="79" s="1"/>
  <c r="AF45" i="81" s="1"/>
  <c r="AH45" i="79"/>
  <c r="AH100" i="79" s="1"/>
  <c r="AG45" i="81" s="1"/>
  <c r="AI45" i="79"/>
  <c r="AI100" i="79" s="1"/>
  <c r="AH45" i="81" s="1"/>
  <c r="AF46" i="79"/>
  <c r="AF101" i="79" s="1"/>
  <c r="AE46" i="81" s="1"/>
  <c r="AG46" i="79"/>
  <c r="AG101" i="79" s="1"/>
  <c r="AF46" i="81" s="1"/>
  <c r="AH46" i="79"/>
  <c r="AH101" i="79" s="1"/>
  <c r="AG46" i="81" s="1"/>
  <c r="AI46" i="79"/>
  <c r="AI101" i="79" s="1"/>
  <c r="AH46" i="81" s="1"/>
  <c r="AF47" i="79"/>
  <c r="AF102" i="79" s="1"/>
  <c r="AE47" i="81" s="1"/>
  <c r="AG47" i="79"/>
  <c r="AG102" i="79" s="1"/>
  <c r="AF47" i="81" s="1"/>
  <c r="AH47" i="79"/>
  <c r="AH102" i="79" s="1"/>
  <c r="AG47" i="81" s="1"/>
  <c r="AI47" i="79"/>
  <c r="AI102" i="79" s="1"/>
  <c r="AH47" i="81" s="1"/>
  <c r="AF48" i="79"/>
  <c r="AF103" i="79" s="1"/>
  <c r="AE48" i="81" s="1"/>
  <c r="AG48" i="79"/>
  <c r="AG103" i="79" s="1"/>
  <c r="AF48" i="81" s="1"/>
  <c r="AH48" i="79"/>
  <c r="AH103" i="79" s="1"/>
  <c r="AG48" i="81" s="1"/>
  <c r="AI48" i="79"/>
  <c r="AI103" i="79" s="1"/>
  <c r="AH48" i="81" s="1"/>
  <c r="AF49" i="79"/>
  <c r="AF104" i="79" s="1"/>
  <c r="AE49" i="81" s="1"/>
  <c r="AG49" i="79"/>
  <c r="AG104" i="79" s="1"/>
  <c r="AF49" i="81" s="1"/>
  <c r="AH49" i="79"/>
  <c r="AH104" i="79" s="1"/>
  <c r="AG49" i="81" s="1"/>
  <c r="AI49" i="79"/>
  <c r="AI104" i="79" s="1"/>
  <c r="AH49" i="81" s="1"/>
  <c r="AF50" i="79"/>
  <c r="AF105" i="79" s="1"/>
  <c r="AE50" i="81" s="1"/>
  <c r="AG50" i="79"/>
  <c r="AG105" i="79" s="1"/>
  <c r="AF50" i="81" s="1"/>
  <c r="AH50" i="79"/>
  <c r="AH105" i="79" s="1"/>
  <c r="AG50" i="81" s="1"/>
  <c r="AI50" i="79"/>
  <c r="AI105" i="79" s="1"/>
  <c r="AH50" i="81" s="1"/>
  <c r="AF51" i="79"/>
  <c r="AF106" i="79" s="1"/>
  <c r="AE51" i="81" s="1"/>
  <c r="AG51" i="79"/>
  <c r="AG106" i="79" s="1"/>
  <c r="AF51" i="81" s="1"/>
  <c r="AH51" i="79"/>
  <c r="AH106" i="79" s="1"/>
  <c r="AG51" i="81" s="1"/>
  <c r="AI51" i="79"/>
  <c r="AI106" i="79" s="1"/>
  <c r="AH51" i="81" s="1"/>
  <c r="AF52" i="79"/>
  <c r="AF107" i="79" s="1"/>
  <c r="AE52" i="81" s="1"/>
  <c r="AG52" i="79"/>
  <c r="AG107" i="79" s="1"/>
  <c r="AF52" i="81" s="1"/>
  <c r="AH52" i="79"/>
  <c r="AH107" i="79" s="1"/>
  <c r="AG52" i="81" s="1"/>
  <c r="AI52" i="79"/>
  <c r="AI107" i="79" s="1"/>
  <c r="AH52" i="81" s="1"/>
  <c r="AF53" i="79"/>
  <c r="AF108" i="79" s="1"/>
  <c r="AE53" i="81" s="1"/>
  <c r="AG53" i="79"/>
  <c r="AG108" i="79" s="1"/>
  <c r="AF53" i="81" s="1"/>
  <c r="AH53" i="79"/>
  <c r="AH108" i="79" s="1"/>
  <c r="AG53" i="81" s="1"/>
  <c r="AI53" i="79"/>
  <c r="AI108" i="79" s="1"/>
  <c r="AH53" i="81" s="1"/>
  <c r="AG4" i="79"/>
  <c r="AG59" i="79" s="1"/>
  <c r="AF4" i="81" s="1"/>
  <c r="AH4" i="79"/>
  <c r="AH59" i="79" s="1"/>
  <c r="AG4" i="81" s="1"/>
  <c r="AI4" i="79"/>
  <c r="AI59" i="79" s="1"/>
  <c r="AH4" i="81" s="1"/>
  <c r="AF4" i="79"/>
  <c r="AF59" i="79" s="1"/>
  <c r="AE4" i="81" s="1"/>
  <c r="AD5" i="79"/>
  <c r="AD60" i="79" s="1"/>
  <c r="AC5" i="81" s="1"/>
  <c r="AD6" i="79"/>
  <c r="AD61" i="79" s="1"/>
  <c r="AC6" i="81" s="1"/>
  <c r="AD7" i="79"/>
  <c r="AD62" i="79" s="1"/>
  <c r="AC7" i="81" s="1"/>
  <c r="AD8" i="79"/>
  <c r="AD63" i="79" s="1"/>
  <c r="AC8" i="81" s="1"/>
  <c r="AD9" i="79"/>
  <c r="AD64" i="79" s="1"/>
  <c r="AC9" i="81" s="1"/>
  <c r="AD10" i="79"/>
  <c r="AD65" i="79" s="1"/>
  <c r="AC10" i="81" s="1"/>
  <c r="AD11" i="79"/>
  <c r="AD66" i="79" s="1"/>
  <c r="AC11" i="81" s="1"/>
  <c r="AD12" i="79"/>
  <c r="AD67" i="79" s="1"/>
  <c r="AC12" i="81" s="1"/>
  <c r="AD13" i="79"/>
  <c r="AD68" i="79" s="1"/>
  <c r="AC13" i="81" s="1"/>
  <c r="AD14" i="79"/>
  <c r="AD69" i="79" s="1"/>
  <c r="AC14" i="81" s="1"/>
  <c r="AD15" i="79"/>
  <c r="AD70" i="79" s="1"/>
  <c r="AC15" i="81" s="1"/>
  <c r="AD16" i="79"/>
  <c r="AD71" i="79" s="1"/>
  <c r="AC16" i="81" s="1"/>
  <c r="AD17" i="79"/>
  <c r="AD72" i="79" s="1"/>
  <c r="AC17" i="81" s="1"/>
  <c r="AD18" i="79"/>
  <c r="AD73" i="79" s="1"/>
  <c r="AC18" i="81" s="1"/>
  <c r="AD19" i="79"/>
  <c r="AD74" i="79" s="1"/>
  <c r="AC19" i="81" s="1"/>
  <c r="AD20" i="79"/>
  <c r="AD75" i="79" s="1"/>
  <c r="AC20" i="81" s="1"/>
  <c r="AD21" i="79"/>
  <c r="AD76" i="79" s="1"/>
  <c r="AC21" i="81" s="1"/>
  <c r="AD22" i="79"/>
  <c r="AD77" i="79" s="1"/>
  <c r="AC22" i="81" s="1"/>
  <c r="AD23" i="79"/>
  <c r="AD78" i="79" s="1"/>
  <c r="AC23" i="81" s="1"/>
  <c r="AD24" i="79"/>
  <c r="AD79" i="79" s="1"/>
  <c r="AC24" i="81" s="1"/>
  <c r="AD25" i="79"/>
  <c r="AD80" i="79" s="1"/>
  <c r="AC25" i="81" s="1"/>
  <c r="AD26" i="79"/>
  <c r="AD81" i="79" s="1"/>
  <c r="AC26" i="81" s="1"/>
  <c r="AD27" i="79"/>
  <c r="AD82" i="79" s="1"/>
  <c r="AC27" i="81" s="1"/>
  <c r="AD28" i="79"/>
  <c r="AD83" i="79" s="1"/>
  <c r="AC28" i="81" s="1"/>
  <c r="AD29" i="79"/>
  <c r="AD84" i="79" s="1"/>
  <c r="AC29" i="81" s="1"/>
  <c r="AD30" i="79"/>
  <c r="AD85" i="79" s="1"/>
  <c r="AC30" i="81" s="1"/>
  <c r="AD31" i="79"/>
  <c r="AD86" i="79" s="1"/>
  <c r="AC31" i="81" s="1"/>
  <c r="AD32" i="79"/>
  <c r="AD87" i="79" s="1"/>
  <c r="AC32" i="81" s="1"/>
  <c r="AD33" i="79"/>
  <c r="AD88" i="79" s="1"/>
  <c r="AC33" i="81" s="1"/>
  <c r="AD34" i="79"/>
  <c r="AD89" i="79" s="1"/>
  <c r="AC34" i="81" s="1"/>
  <c r="AD35" i="79"/>
  <c r="AD90" i="79" s="1"/>
  <c r="AC35" i="81" s="1"/>
  <c r="AD36" i="79"/>
  <c r="AD91" i="79" s="1"/>
  <c r="AC36" i="81" s="1"/>
  <c r="AD37" i="79"/>
  <c r="AD92" i="79" s="1"/>
  <c r="AC37" i="81" s="1"/>
  <c r="AD38" i="79"/>
  <c r="AD93" i="79" s="1"/>
  <c r="AC38" i="81" s="1"/>
  <c r="AD39" i="79"/>
  <c r="AD94" i="79" s="1"/>
  <c r="AC39" i="81" s="1"/>
  <c r="AD40" i="79"/>
  <c r="AD95" i="79" s="1"/>
  <c r="AC40" i="81" s="1"/>
  <c r="AD41" i="79"/>
  <c r="AD96" i="79" s="1"/>
  <c r="AC41" i="81" s="1"/>
  <c r="AD42" i="79"/>
  <c r="AD97" i="79" s="1"/>
  <c r="AC42" i="81" s="1"/>
  <c r="AD43" i="79"/>
  <c r="AD98" i="79" s="1"/>
  <c r="AC43" i="81" s="1"/>
  <c r="AD44" i="79"/>
  <c r="AD99" i="79" s="1"/>
  <c r="AC44" i="81" s="1"/>
  <c r="AD45" i="79"/>
  <c r="AD100" i="79" s="1"/>
  <c r="AC45" i="81" s="1"/>
  <c r="AD46" i="79"/>
  <c r="AD101" i="79" s="1"/>
  <c r="AC46" i="81" s="1"/>
  <c r="AD47" i="79"/>
  <c r="AD102" i="79" s="1"/>
  <c r="AC47" i="81" s="1"/>
  <c r="AD48" i="79"/>
  <c r="AD103" i="79" s="1"/>
  <c r="AC48" i="81" s="1"/>
  <c r="AD49" i="79"/>
  <c r="AD104" i="79" s="1"/>
  <c r="AC49" i="81" s="1"/>
  <c r="AD50" i="79"/>
  <c r="AD105" i="79" s="1"/>
  <c r="AC50" i="81" s="1"/>
  <c r="AD51" i="79"/>
  <c r="AD106" i="79" s="1"/>
  <c r="AC51" i="81" s="1"/>
  <c r="AD52" i="79"/>
  <c r="AD107" i="79" s="1"/>
  <c r="AC52" i="81" s="1"/>
  <c r="AD53" i="79"/>
  <c r="AD108" i="79" s="1"/>
  <c r="AC53" i="81" s="1"/>
  <c r="AD4" i="79"/>
  <c r="AD59" i="79" s="1"/>
  <c r="AC4" i="81" s="1"/>
  <c r="Z5" i="79"/>
  <c r="Z60" i="79" s="1"/>
  <c r="Y5" i="81" s="1"/>
  <c r="AA5" i="79"/>
  <c r="AA60" i="79" s="1"/>
  <c r="Z5" i="81" s="1"/>
  <c r="AB5" i="79"/>
  <c r="AB60" i="79" s="1"/>
  <c r="AA5" i="81" s="1"/>
  <c r="AC5" i="79"/>
  <c r="AC60" i="79" s="1"/>
  <c r="AB5" i="81" s="1"/>
  <c r="Z6" i="79"/>
  <c r="Z61" i="79" s="1"/>
  <c r="Y6" i="81" s="1"/>
  <c r="AA6" i="79"/>
  <c r="AA61" i="79" s="1"/>
  <c r="Z6" i="81" s="1"/>
  <c r="AB6" i="79"/>
  <c r="AB61" i="79" s="1"/>
  <c r="AA6" i="81" s="1"/>
  <c r="AC6" i="79"/>
  <c r="AC61" i="79" s="1"/>
  <c r="AB6" i="81" s="1"/>
  <c r="Z7" i="79"/>
  <c r="Z62" i="79" s="1"/>
  <c r="Y7" i="81" s="1"/>
  <c r="AA7" i="79"/>
  <c r="AA62" i="79" s="1"/>
  <c r="Z7" i="81" s="1"/>
  <c r="AB7" i="79"/>
  <c r="AB62" i="79" s="1"/>
  <c r="AA7" i="81" s="1"/>
  <c r="AC7" i="79"/>
  <c r="AC62" i="79" s="1"/>
  <c r="AB7" i="81" s="1"/>
  <c r="Z8" i="79"/>
  <c r="Z63" i="79" s="1"/>
  <c r="Y8" i="81" s="1"/>
  <c r="AA8" i="79"/>
  <c r="AA63" i="79" s="1"/>
  <c r="Z8" i="81" s="1"/>
  <c r="AB8" i="79"/>
  <c r="AB63" i="79" s="1"/>
  <c r="AA8" i="81" s="1"/>
  <c r="AC8" i="79"/>
  <c r="AC63" i="79" s="1"/>
  <c r="AB8" i="81" s="1"/>
  <c r="Z9" i="79"/>
  <c r="Z64" i="79" s="1"/>
  <c r="Y9" i="81" s="1"/>
  <c r="AA9" i="79"/>
  <c r="AA64" i="79" s="1"/>
  <c r="Z9" i="81" s="1"/>
  <c r="AB9" i="79"/>
  <c r="AB64" i="79" s="1"/>
  <c r="AA9" i="81" s="1"/>
  <c r="AC9" i="79"/>
  <c r="AC64" i="79" s="1"/>
  <c r="AB9" i="81" s="1"/>
  <c r="Z10" i="79"/>
  <c r="Z65" i="79" s="1"/>
  <c r="Y10" i="81" s="1"/>
  <c r="AA10" i="79"/>
  <c r="AA65" i="79" s="1"/>
  <c r="Z10" i="81" s="1"/>
  <c r="AB10" i="79"/>
  <c r="AB65" i="79" s="1"/>
  <c r="AA10" i="81" s="1"/>
  <c r="AC10" i="79"/>
  <c r="AC65" i="79" s="1"/>
  <c r="AB10" i="81" s="1"/>
  <c r="Z11" i="79"/>
  <c r="Z66" i="79" s="1"/>
  <c r="Y11" i="81" s="1"/>
  <c r="AA11" i="79"/>
  <c r="AA66" i="79" s="1"/>
  <c r="Z11" i="81" s="1"/>
  <c r="AB11" i="79"/>
  <c r="AB66" i="79" s="1"/>
  <c r="AA11" i="81" s="1"/>
  <c r="AC11" i="79"/>
  <c r="AC66" i="79" s="1"/>
  <c r="AB11" i="81" s="1"/>
  <c r="Z12" i="79"/>
  <c r="Z67" i="79" s="1"/>
  <c r="Y12" i="81" s="1"/>
  <c r="AA12" i="79"/>
  <c r="AA67" i="79" s="1"/>
  <c r="Z12" i="81" s="1"/>
  <c r="AB12" i="79"/>
  <c r="AB67" i="79" s="1"/>
  <c r="AA12" i="81" s="1"/>
  <c r="AC12" i="79"/>
  <c r="AC67" i="79" s="1"/>
  <c r="AB12" i="81" s="1"/>
  <c r="Z13" i="79"/>
  <c r="Z68" i="79" s="1"/>
  <c r="Y13" i="81" s="1"/>
  <c r="AA13" i="79"/>
  <c r="AA68" i="79" s="1"/>
  <c r="Z13" i="81" s="1"/>
  <c r="AB13" i="79"/>
  <c r="AB68" i="79" s="1"/>
  <c r="AA13" i="81" s="1"/>
  <c r="AC13" i="79"/>
  <c r="AC68" i="79" s="1"/>
  <c r="AB13" i="81" s="1"/>
  <c r="Z14" i="79"/>
  <c r="Z69" i="79" s="1"/>
  <c r="Y14" i="81" s="1"/>
  <c r="AA14" i="79"/>
  <c r="AA69" i="79" s="1"/>
  <c r="Z14" i="81" s="1"/>
  <c r="AB14" i="79"/>
  <c r="AB69" i="79" s="1"/>
  <c r="AA14" i="81" s="1"/>
  <c r="AC14" i="79"/>
  <c r="AC69" i="79" s="1"/>
  <c r="AB14" i="81" s="1"/>
  <c r="Z15" i="79"/>
  <c r="Z70" i="79" s="1"/>
  <c r="Y15" i="81" s="1"/>
  <c r="AA15" i="79"/>
  <c r="AA70" i="79" s="1"/>
  <c r="Z15" i="81" s="1"/>
  <c r="AB15" i="79"/>
  <c r="AB70" i="79" s="1"/>
  <c r="AA15" i="81" s="1"/>
  <c r="AC15" i="79"/>
  <c r="AC70" i="79" s="1"/>
  <c r="AB15" i="81" s="1"/>
  <c r="Z16" i="79"/>
  <c r="Z71" i="79" s="1"/>
  <c r="Y16" i="81" s="1"/>
  <c r="AA16" i="79"/>
  <c r="AA71" i="79" s="1"/>
  <c r="Z16" i="81" s="1"/>
  <c r="AB16" i="79"/>
  <c r="AB71" i="79" s="1"/>
  <c r="AA16" i="81" s="1"/>
  <c r="AC16" i="79"/>
  <c r="AC71" i="79" s="1"/>
  <c r="AB16" i="81" s="1"/>
  <c r="Z17" i="79"/>
  <c r="Z72" i="79" s="1"/>
  <c r="Y17" i="81" s="1"/>
  <c r="AA17" i="79"/>
  <c r="AA72" i="79" s="1"/>
  <c r="Z17" i="81" s="1"/>
  <c r="AB17" i="79"/>
  <c r="AB72" i="79" s="1"/>
  <c r="AA17" i="81" s="1"/>
  <c r="AC17" i="79"/>
  <c r="AC72" i="79" s="1"/>
  <c r="AB17" i="81" s="1"/>
  <c r="Z18" i="79"/>
  <c r="Z73" i="79" s="1"/>
  <c r="Y18" i="81" s="1"/>
  <c r="AA18" i="79"/>
  <c r="AA73" i="79" s="1"/>
  <c r="Z18" i="81" s="1"/>
  <c r="AB18" i="79"/>
  <c r="AB73" i="79" s="1"/>
  <c r="AA18" i="81" s="1"/>
  <c r="AC18" i="79"/>
  <c r="AC73" i="79" s="1"/>
  <c r="AB18" i="81" s="1"/>
  <c r="Z19" i="79"/>
  <c r="Z74" i="79" s="1"/>
  <c r="Y19" i="81" s="1"/>
  <c r="AA19" i="79"/>
  <c r="AA74" i="79" s="1"/>
  <c r="Z19" i="81" s="1"/>
  <c r="AB19" i="79"/>
  <c r="AB74" i="79" s="1"/>
  <c r="AA19" i="81" s="1"/>
  <c r="AC19" i="79"/>
  <c r="AC74" i="79" s="1"/>
  <c r="AB19" i="81" s="1"/>
  <c r="Z20" i="79"/>
  <c r="Z75" i="79" s="1"/>
  <c r="Y20" i="81" s="1"/>
  <c r="AA20" i="79"/>
  <c r="AA75" i="79" s="1"/>
  <c r="Z20" i="81" s="1"/>
  <c r="AB20" i="79"/>
  <c r="AB75" i="79" s="1"/>
  <c r="AA20" i="81" s="1"/>
  <c r="AC20" i="79"/>
  <c r="AC75" i="79" s="1"/>
  <c r="AB20" i="81" s="1"/>
  <c r="Z21" i="79"/>
  <c r="Z76" i="79" s="1"/>
  <c r="Y21" i="81" s="1"/>
  <c r="AA21" i="79"/>
  <c r="AA76" i="79" s="1"/>
  <c r="Z21" i="81" s="1"/>
  <c r="AB21" i="79"/>
  <c r="AB76" i="79" s="1"/>
  <c r="AA21" i="81" s="1"/>
  <c r="AC21" i="79"/>
  <c r="AC76" i="79" s="1"/>
  <c r="AB21" i="81" s="1"/>
  <c r="Z22" i="79"/>
  <c r="Z77" i="79" s="1"/>
  <c r="Y22" i="81" s="1"/>
  <c r="AA22" i="79"/>
  <c r="AA77" i="79" s="1"/>
  <c r="Z22" i="81" s="1"/>
  <c r="AB22" i="79"/>
  <c r="AB77" i="79" s="1"/>
  <c r="AA22" i="81" s="1"/>
  <c r="AC22" i="79"/>
  <c r="AC77" i="79" s="1"/>
  <c r="AB22" i="81" s="1"/>
  <c r="Z23" i="79"/>
  <c r="Z78" i="79" s="1"/>
  <c r="Y23" i="81" s="1"/>
  <c r="AA23" i="79"/>
  <c r="AA78" i="79" s="1"/>
  <c r="Z23" i="81" s="1"/>
  <c r="AB23" i="79"/>
  <c r="AB78" i="79" s="1"/>
  <c r="AA23" i="81" s="1"/>
  <c r="AC23" i="79"/>
  <c r="AC78" i="79" s="1"/>
  <c r="AB23" i="81" s="1"/>
  <c r="Z24" i="79"/>
  <c r="Z79" i="79" s="1"/>
  <c r="Y24" i="81" s="1"/>
  <c r="AA24" i="79"/>
  <c r="AA79" i="79" s="1"/>
  <c r="Z24" i="81" s="1"/>
  <c r="AB24" i="79"/>
  <c r="AB79" i="79" s="1"/>
  <c r="AA24" i="81" s="1"/>
  <c r="AC24" i="79"/>
  <c r="AC79" i="79" s="1"/>
  <c r="AB24" i="81" s="1"/>
  <c r="Z25" i="79"/>
  <c r="Z80" i="79" s="1"/>
  <c r="Y25" i="81" s="1"/>
  <c r="AA25" i="79"/>
  <c r="AA80" i="79" s="1"/>
  <c r="Z25" i="81" s="1"/>
  <c r="AB25" i="79"/>
  <c r="AB80" i="79" s="1"/>
  <c r="AA25" i="81" s="1"/>
  <c r="AC25" i="79"/>
  <c r="AC80" i="79" s="1"/>
  <c r="AB25" i="81" s="1"/>
  <c r="Z26" i="79"/>
  <c r="Z81" i="79" s="1"/>
  <c r="Y26" i="81" s="1"/>
  <c r="AA26" i="79"/>
  <c r="AA81" i="79" s="1"/>
  <c r="Z26" i="81" s="1"/>
  <c r="AB26" i="79"/>
  <c r="AB81" i="79" s="1"/>
  <c r="AA26" i="81" s="1"/>
  <c r="AC26" i="79"/>
  <c r="AC81" i="79" s="1"/>
  <c r="AB26" i="81" s="1"/>
  <c r="Z27" i="79"/>
  <c r="Z82" i="79" s="1"/>
  <c r="Y27" i="81" s="1"/>
  <c r="AA27" i="79"/>
  <c r="AA82" i="79" s="1"/>
  <c r="Z27" i="81" s="1"/>
  <c r="AB27" i="79"/>
  <c r="AB82" i="79" s="1"/>
  <c r="AA27" i="81" s="1"/>
  <c r="AC27" i="79"/>
  <c r="AC82" i="79" s="1"/>
  <c r="AB27" i="81" s="1"/>
  <c r="Z28" i="79"/>
  <c r="Z83" i="79" s="1"/>
  <c r="Y28" i="81" s="1"/>
  <c r="AA28" i="79"/>
  <c r="AA83" i="79" s="1"/>
  <c r="Z28" i="81" s="1"/>
  <c r="AB28" i="79"/>
  <c r="AB83" i="79" s="1"/>
  <c r="AA28" i="81" s="1"/>
  <c r="AC28" i="79"/>
  <c r="AC83" i="79" s="1"/>
  <c r="AB28" i="81" s="1"/>
  <c r="Z29" i="79"/>
  <c r="Z84" i="79" s="1"/>
  <c r="Y29" i="81" s="1"/>
  <c r="AA29" i="79"/>
  <c r="AA84" i="79" s="1"/>
  <c r="Z29" i="81" s="1"/>
  <c r="AB29" i="79"/>
  <c r="AB84" i="79" s="1"/>
  <c r="AA29" i="81" s="1"/>
  <c r="AC29" i="79"/>
  <c r="AC84" i="79" s="1"/>
  <c r="AB29" i="81" s="1"/>
  <c r="Z30" i="79"/>
  <c r="Z85" i="79" s="1"/>
  <c r="Y30" i="81" s="1"/>
  <c r="AA30" i="79"/>
  <c r="AA85" i="79" s="1"/>
  <c r="Z30" i="81" s="1"/>
  <c r="AB30" i="79"/>
  <c r="AB85" i="79" s="1"/>
  <c r="AA30" i="81" s="1"/>
  <c r="AC30" i="79"/>
  <c r="AC85" i="79" s="1"/>
  <c r="AB30" i="81" s="1"/>
  <c r="Z31" i="79"/>
  <c r="Z86" i="79" s="1"/>
  <c r="Y31" i="81" s="1"/>
  <c r="AA31" i="79"/>
  <c r="AA86" i="79" s="1"/>
  <c r="Z31" i="81" s="1"/>
  <c r="AB31" i="79"/>
  <c r="AB86" i="79" s="1"/>
  <c r="AA31" i="81" s="1"/>
  <c r="AC31" i="79"/>
  <c r="AC86" i="79" s="1"/>
  <c r="AB31" i="81" s="1"/>
  <c r="Z32" i="79"/>
  <c r="Z87" i="79" s="1"/>
  <c r="Y32" i="81" s="1"/>
  <c r="AA32" i="79"/>
  <c r="AA87" i="79" s="1"/>
  <c r="Z32" i="81" s="1"/>
  <c r="AB32" i="79"/>
  <c r="AB87" i="79" s="1"/>
  <c r="AA32" i="81" s="1"/>
  <c r="AC32" i="79"/>
  <c r="AC87" i="79" s="1"/>
  <c r="AB32" i="81" s="1"/>
  <c r="Z33" i="79"/>
  <c r="Z88" i="79" s="1"/>
  <c r="Y33" i="81" s="1"/>
  <c r="AA33" i="79"/>
  <c r="AA88" i="79" s="1"/>
  <c r="Z33" i="81" s="1"/>
  <c r="AB33" i="79"/>
  <c r="AB88" i="79" s="1"/>
  <c r="AA33" i="81" s="1"/>
  <c r="AC33" i="79"/>
  <c r="AC88" i="79" s="1"/>
  <c r="AB33" i="81" s="1"/>
  <c r="Z34" i="79"/>
  <c r="Z89" i="79" s="1"/>
  <c r="Y34" i="81" s="1"/>
  <c r="AA34" i="79"/>
  <c r="AA89" i="79" s="1"/>
  <c r="Z34" i="81" s="1"/>
  <c r="AB34" i="79"/>
  <c r="AB89" i="79" s="1"/>
  <c r="AA34" i="81" s="1"/>
  <c r="AC34" i="79"/>
  <c r="AC89" i="79" s="1"/>
  <c r="AB34" i="81" s="1"/>
  <c r="Z35" i="79"/>
  <c r="Z90" i="79" s="1"/>
  <c r="Y35" i="81" s="1"/>
  <c r="AA35" i="79"/>
  <c r="AA90" i="79" s="1"/>
  <c r="Z35" i="81" s="1"/>
  <c r="AB35" i="79"/>
  <c r="AB90" i="79" s="1"/>
  <c r="AA35" i="81" s="1"/>
  <c r="AC35" i="79"/>
  <c r="AC90" i="79" s="1"/>
  <c r="AB35" i="81" s="1"/>
  <c r="Z36" i="79"/>
  <c r="Z91" i="79" s="1"/>
  <c r="Y36" i="81" s="1"/>
  <c r="AA36" i="79"/>
  <c r="AA91" i="79" s="1"/>
  <c r="Z36" i="81" s="1"/>
  <c r="AB36" i="79"/>
  <c r="AB91" i="79" s="1"/>
  <c r="AA36" i="81" s="1"/>
  <c r="AC36" i="79"/>
  <c r="AC91" i="79" s="1"/>
  <c r="AB36" i="81" s="1"/>
  <c r="Z37" i="79"/>
  <c r="Z92" i="79" s="1"/>
  <c r="Y37" i="81" s="1"/>
  <c r="AA37" i="79"/>
  <c r="AA92" i="79" s="1"/>
  <c r="Z37" i="81" s="1"/>
  <c r="AB37" i="79"/>
  <c r="AB92" i="79" s="1"/>
  <c r="AA37" i="81" s="1"/>
  <c r="AC37" i="79"/>
  <c r="AC92" i="79" s="1"/>
  <c r="AB37" i="81" s="1"/>
  <c r="Z38" i="79"/>
  <c r="Z93" i="79" s="1"/>
  <c r="Y38" i="81" s="1"/>
  <c r="AA38" i="79"/>
  <c r="AA93" i="79" s="1"/>
  <c r="Z38" i="81" s="1"/>
  <c r="AB38" i="79"/>
  <c r="AB93" i="79" s="1"/>
  <c r="AA38" i="81" s="1"/>
  <c r="AC38" i="79"/>
  <c r="AC93" i="79" s="1"/>
  <c r="AB38" i="81" s="1"/>
  <c r="Z39" i="79"/>
  <c r="Z94" i="79" s="1"/>
  <c r="Y39" i="81" s="1"/>
  <c r="AA39" i="79"/>
  <c r="AA94" i="79" s="1"/>
  <c r="Z39" i="81" s="1"/>
  <c r="AB39" i="79"/>
  <c r="AB94" i="79" s="1"/>
  <c r="AA39" i="81" s="1"/>
  <c r="AC39" i="79"/>
  <c r="AC94" i="79" s="1"/>
  <c r="AB39" i="81" s="1"/>
  <c r="Z40" i="79"/>
  <c r="Z95" i="79" s="1"/>
  <c r="Y40" i="81" s="1"/>
  <c r="AA40" i="79"/>
  <c r="AA95" i="79" s="1"/>
  <c r="Z40" i="81" s="1"/>
  <c r="AB40" i="79"/>
  <c r="AB95" i="79" s="1"/>
  <c r="AA40" i="81" s="1"/>
  <c r="AC40" i="79"/>
  <c r="AC95" i="79" s="1"/>
  <c r="AB40" i="81" s="1"/>
  <c r="Z41" i="79"/>
  <c r="Z96" i="79" s="1"/>
  <c r="Y41" i="81" s="1"/>
  <c r="AA41" i="79"/>
  <c r="AA96" i="79" s="1"/>
  <c r="Z41" i="81" s="1"/>
  <c r="AB41" i="79"/>
  <c r="AB96" i="79" s="1"/>
  <c r="AA41" i="81" s="1"/>
  <c r="AC41" i="79"/>
  <c r="AC96" i="79" s="1"/>
  <c r="AB41" i="81" s="1"/>
  <c r="Z42" i="79"/>
  <c r="Z97" i="79" s="1"/>
  <c r="Y42" i="81" s="1"/>
  <c r="AA42" i="79"/>
  <c r="AA97" i="79" s="1"/>
  <c r="Z42" i="81" s="1"/>
  <c r="AB42" i="79"/>
  <c r="AB97" i="79" s="1"/>
  <c r="AA42" i="81" s="1"/>
  <c r="AC42" i="79"/>
  <c r="AC97" i="79" s="1"/>
  <c r="AB42" i="81" s="1"/>
  <c r="Z43" i="79"/>
  <c r="Z98" i="79" s="1"/>
  <c r="Y43" i="81" s="1"/>
  <c r="AA43" i="79"/>
  <c r="AA98" i="79" s="1"/>
  <c r="Z43" i="81" s="1"/>
  <c r="AB43" i="79"/>
  <c r="AB98" i="79" s="1"/>
  <c r="AA43" i="81" s="1"/>
  <c r="AC43" i="79"/>
  <c r="AC98" i="79" s="1"/>
  <c r="AB43" i="81" s="1"/>
  <c r="Z44" i="79"/>
  <c r="Z99" i="79" s="1"/>
  <c r="Y44" i="81" s="1"/>
  <c r="AA44" i="79"/>
  <c r="AA99" i="79" s="1"/>
  <c r="Z44" i="81" s="1"/>
  <c r="AB44" i="79"/>
  <c r="AB99" i="79" s="1"/>
  <c r="AA44" i="81" s="1"/>
  <c r="AC44" i="79"/>
  <c r="AC99" i="79" s="1"/>
  <c r="AB44" i="81" s="1"/>
  <c r="Z45" i="79"/>
  <c r="Z100" i="79" s="1"/>
  <c r="Y45" i="81" s="1"/>
  <c r="AA45" i="79"/>
  <c r="AA100" i="79" s="1"/>
  <c r="Z45" i="81" s="1"/>
  <c r="AB45" i="79"/>
  <c r="AB100" i="79" s="1"/>
  <c r="AA45" i="81" s="1"/>
  <c r="AC45" i="79"/>
  <c r="AC100" i="79" s="1"/>
  <c r="AB45" i="81" s="1"/>
  <c r="Z46" i="79"/>
  <c r="Z101" i="79" s="1"/>
  <c r="Y46" i="81" s="1"/>
  <c r="AA46" i="79"/>
  <c r="AA101" i="79" s="1"/>
  <c r="Z46" i="81" s="1"/>
  <c r="AB46" i="79"/>
  <c r="AB101" i="79" s="1"/>
  <c r="AA46" i="81" s="1"/>
  <c r="AC46" i="79"/>
  <c r="AC101" i="79" s="1"/>
  <c r="AB46" i="81" s="1"/>
  <c r="Z47" i="79"/>
  <c r="Z102" i="79" s="1"/>
  <c r="Y47" i="81" s="1"/>
  <c r="AA47" i="79"/>
  <c r="AA102" i="79" s="1"/>
  <c r="Z47" i="81" s="1"/>
  <c r="AB47" i="79"/>
  <c r="AB102" i="79" s="1"/>
  <c r="AA47" i="81" s="1"/>
  <c r="AC47" i="79"/>
  <c r="AC102" i="79" s="1"/>
  <c r="AB47" i="81" s="1"/>
  <c r="Z48" i="79"/>
  <c r="Z103" i="79" s="1"/>
  <c r="Y48" i="81" s="1"/>
  <c r="AA48" i="79"/>
  <c r="AA103" i="79" s="1"/>
  <c r="Z48" i="81" s="1"/>
  <c r="AB48" i="79"/>
  <c r="AB103" i="79" s="1"/>
  <c r="AA48" i="81" s="1"/>
  <c r="AC48" i="79"/>
  <c r="AC103" i="79" s="1"/>
  <c r="AB48" i="81" s="1"/>
  <c r="Z49" i="79"/>
  <c r="Z104" i="79" s="1"/>
  <c r="Y49" i="81" s="1"/>
  <c r="AA49" i="79"/>
  <c r="AA104" i="79" s="1"/>
  <c r="Z49" i="81" s="1"/>
  <c r="AB49" i="79"/>
  <c r="AB104" i="79" s="1"/>
  <c r="AA49" i="81" s="1"/>
  <c r="AC49" i="79"/>
  <c r="AC104" i="79" s="1"/>
  <c r="AB49" i="81" s="1"/>
  <c r="Z50" i="79"/>
  <c r="Z105" i="79" s="1"/>
  <c r="Y50" i="81" s="1"/>
  <c r="AA50" i="79"/>
  <c r="AA105" i="79" s="1"/>
  <c r="Z50" i="81" s="1"/>
  <c r="AB50" i="79"/>
  <c r="AB105" i="79" s="1"/>
  <c r="AA50" i="81" s="1"/>
  <c r="AC50" i="79"/>
  <c r="AC105" i="79" s="1"/>
  <c r="AB50" i="81" s="1"/>
  <c r="Z51" i="79"/>
  <c r="Z106" i="79" s="1"/>
  <c r="Y51" i="81" s="1"/>
  <c r="AA51" i="79"/>
  <c r="AA106" i="79" s="1"/>
  <c r="Z51" i="81" s="1"/>
  <c r="AB51" i="79"/>
  <c r="AB106" i="79" s="1"/>
  <c r="AA51" i="81" s="1"/>
  <c r="AC51" i="79"/>
  <c r="AC106" i="79" s="1"/>
  <c r="AB51" i="81" s="1"/>
  <c r="Z52" i="79"/>
  <c r="Z107" i="79" s="1"/>
  <c r="Y52" i="81" s="1"/>
  <c r="AA52" i="79"/>
  <c r="AA107" i="79" s="1"/>
  <c r="Z52" i="81" s="1"/>
  <c r="AB52" i="79"/>
  <c r="AB107" i="79" s="1"/>
  <c r="AA52" i="81" s="1"/>
  <c r="AC52" i="79"/>
  <c r="AC107" i="79" s="1"/>
  <c r="AB52" i="81" s="1"/>
  <c r="Z53" i="79"/>
  <c r="Z108" i="79" s="1"/>
  <c r="Y53" i="81" s="1"/>
  <c r="AA53" i="79"/>
  <c r="AA108" i="79" s="1"/>
  <c r="Z53" i="81" s="1"/>
  <c r="AB53" i="79"/>
  <c r="AB108" i="79" s="1"/>
  <c r="AA53" i="81" s="1"/>
  <c r="AC53" i="79"/>
  <c r="AC108" i="79" s="1"/>
  <c r="AB53" i="81" s="1"/>
  <c r="AA4" i="79"/>
  <c r="AA59" i="79" s="1"/>
  <c r="Z4" i="81" s="1"/>
  <c r="AB4" i="79"/>
  <c r="AB59" i="79" s="1"/>
  <c r="AA4" i="81" s="1"/>
  <c r="AC4" i="79"/>
  <c r="AC59" i="79" s="1"/>
  <c r="AB4" i="81" s="1"/>
  <c r="Z4" i="79"/>
  <c r="Z59" i="79" s="1"/>
  <c r="Y4" i="81" s="1"/>
  <c r="R5" i="79"/>
  <c r="R60" i="79" s="1"/>
  <c r="Q5" i="81" s="1"/>
  <c r="S5" i="79"/>
  <c r="S60" i="79" s="1"/>
  <c r="R5" i="81" s="1"/>
  <c r="T5" i="79"/>
  <c r="T60" i="79" s="1"/>
  <c r="S5" i="81" s="1"/>
  <c r="U5" i="79"/>
  <c r="U60" i="79" s="1"/>
  <c r="T5" i="81" s="1"/>
  <c r="V5" i="79"/>
  <c r="V60" i="79" s="1"/>
  <c r="U5" i="81" s="1"/>
  <c r="W5" i="79"/>
  <c r="W60" i="79" s="1"/>
  <c r="V5" i="81" s="1"/>
  <c r="X5" i="79"/>
  <c r="X60" i="79" s="1"/>
  <c r="W5" i="81" s="1"/>
  <c r="R6" i="79"/>
  <c r="R61" i="79" s="1"/>
  <c r="Q6" i="81" s="1"/>
  <c r="S6" i="79"/>
  <c r="S61" i="79" s="1"/>
  <c r="R6" i="81" s="1"/>
  <c r="T6" i="79"/>
  <c r="T61" i="79" s="1"/>
  <c r="S6" i="81" s="1"/>
  <c r="U6" i="79"/>
  <c r="U61" i="79" s="1"/>
  <c r="T6" i="81" s="1"/>
  <c r="V6" i="79"/>
  <c r="V61" i="79" s="1"/>
  <c r="U6" i="81" s="1"/>
  <c r="W6" i="79"/>
  <c r="W61" i="79" s="1"/>
  <c r="V6" i="81" s="1"/>
  <c r="X6" i="79"/>
  <c r="X61" i="79" s="1"/>
  <c r="W6" i="81" s="1"/>
  <c r="R7" i="79"/>
  <c r="R62" i="79" s="1"/>
  <c r="Q7" i="81" s="1"/>
  <c r="S7" i="79"/>
  <c r="S62" i="79" s="1"/>
  <c r="R7" i="81" s="1"/>
  <c r="T7" i="79"/>
  <c r="T62" i="79" s="1"/>
  <c r="S7" i="81" s="1"/>
  <c r="U7" i="79"/>
  <c r="U62" i="79" s="1"/>
  <c r="T7" i="81" s="1"/>
  <c r="V7" i="79"/>
  <c r="V62" i="79" s="1"/>
  <c r="U7" i="81" s="1"/>
  <c r="W7" i="79"/>
  <c r="W62" i="79" s="1"/>
  <c r="V7" i="81" s="1"/>
  <c r="X7" i="79"/>
  <c r="X62" i="79" s="1"/>
  <c r="W7" i="81" s="1"/>
  <c r="R8" i="79"/>
  <c r="R63" i="79" s="1"/>
  <c r="Q8" i="81" s="1"/>
  <c r="S8" i="79"/>
  <c r="S63" i="79" s="1"/>
  <c r="R8" i="81" s="1"/>
  <c r="T8" i="79"/>
  <c r="T63" i="79" s="1"/>
  <c r="S8" i="81" s="1"/>
  <c r="U8" i="79"/>
  <c r="U63" i="79" s="1"/>
  <c r="T8" i="81" s="1"/>
  <c r="V8" i="79"/>
  <c r="V63" i="79" s="1"/>
  <c r="U8" i="81" s="1"/>
  <c r="W8" i="79"/>
  <c r="W63" i="79" s="1"/>
  <c r="V8" i="81" s="1"/>
  <c r="X8" i="79"/>
  <c r="X63" i="79" s="1"/>
  <c r="W8" i="81" s="1"/>
  <c r="R9" i="79"/>
  <c r="R64" i="79" s="1"/>
  <c r="Q9" i="81" s="1"/>
  <c r="S9" i="79"/>
  <c r="S64" i="79" s="1"/>
  <c r="R9" i="81" s="1"/>
  <c r="T9" i="79"/>
  <c r="T64" i="79" s="1"/>
  <c r="S9" i="81" s="1"/>
  <c r="U9" i="79"/>
  <c r="U64" i="79" s="1"/>
  <c r="T9" i="81" s="1"/>
  <c r="V9" i="79"/>
  <c r="V64" i="79" s="1"/>
  <c r="U9" i="81" s="1"/>
  <c r="W9" i="79"/>
  <c r="W64" i="79" s="1"/>
  <c r="V9" i="81" s="1"/>
  <c r="X9" i="79"/>
  <c r="X64" i="79" s="1"/>
  <c r="W9" i="81" s="1"/>
  <c r="R10" i="79"/>
  <c r="R65" i="79" s="1"/>
  <c r="Q10" i="81" s="1"/>
  <c r="S10" i="79"/>
  <c r="S65" i="79" s="1"/>
  <c r="R10" i="81" s="1"/>
  <c r="T10" i="79"/>
  <c r="T65" i="79" s="1"/>
  <c r="S10" i="81" s="1"/>
  <c r="U10" i="79"/>
  <c r="U65" i="79" s="1"/>
  <c r="T10" i="81" s="1"/>
  <c r="V10" i="79"/>
  <c r="V65" i="79" s="1"/>
  <c r="U10" i="81" s="1"/>
  <c r="W10" i="79"/>
  <c r="W65" i="79" s="1"/>
  <c r="V10" i="81" s="1"/>
  <c r="X10" i="79"/>
  <c r="X65" i="79" s="1"/>
  <c r="W10" i="81" s="1"/>
  <c r="R11" i="79"/>
  <c r="R66" i="79" s="1"/>
  <c r="Q11" i="81" s="1"/>
  <c r="S11" i="79"/>
  <c r="S66" i="79" s="1"/>
  <c r="R11" i="81" s="1"/>
  <c r="T11" i="79"/>
  <c r="T66" i="79" s="1"/>
  <c r="S11" i="81" s="1"/>
  <c r="U11" i="79"/>
  <c r="U66" i="79" s="1"/>
  <c r="T11" i="81" s="1"/>
  <c r="V11" i="79"/>
  <c r="V66" i="79" s="1"/>
  <c r="U11" i="81" s="1"/>
  <c r="W11" i="79"/>
  <c r="W66" i="79" s="1"/>
  <c r="V11" i="81" s="1"/>
  <c r="X11" i="79"/>
  <c r="X66" i="79" s="1"/>
  <c r="W11" i="81" s="1"/>
  <c r="R12" i="79"/>
  <c r="R67" i="79" s="1"/>
  <c r="Q12" i="81" s="1"/>
  <c r="S12" i="79"/>
  <c r="S67" i="79" s="1"/>
  <c r="R12" i="81" s="1"/>
  <c r="T12" i="79"/>
  <c r="T67" i="79" s="1"/>
  <c r="S12" i="81" s="1"/>
  <c r="U12" i="79"/>
  <c r="U67" i="79" s="1"/>
  <c r="T12" i="81" s="1"/>
  <c r="V12" i="79"/>
  <c r="V67" i="79" s="1"/>
  <c r="U12" i="81" s="1"/>
  <c r="W12" i="79"/>
  <c r="W67" i="79" s="1"/>
  <c r="V12" i="81" s="1"/>
  <c r="X12" i="79"/>
  <c r="X67" i="79" s="1"/>
  <c r="W12" i="81" s="1"/>
  <c r="R13" i="79"/>
  <c r="R68" i="79" s="1"/>
  <c r="Q13" i="81" s="1"/>
  <c r="S13" i="79"/>
  <c r="S68" i="79" s="1"/>
  <c r="R13" i="81" s="1"/>
  <c r="T13" i="79"/>
  <c r="T68" i="79" s="1"/>
  <c r="S13" i="81" s="1"/>
  <c r="U13" i="79"/>
  <c r="U68" i="79" s="1"/>
  <c r="T13" i="81" s="1"/>
  <c r="V13" i="79"/>
  <c r="V68" i="79" s="1"/>
  <c r="U13" i="81" s="1"/>
  <c r="W13" i="79"/>
  <c r="W68" i="79" s="1"/>
  <c r="V13" i="81" s="1"/>
  <c r="X13" i="79"/>
  <c r="X68" i="79" s="1"/>
  <c r="W13" i="81" s="1"/>
  <c r="R14" i="79"/>
  <c r="R69" i="79" s="1"/>
  <c r="Q14" i="81" s="1"/>
  <c r="S14" i="79"/>
  <c r="S69" i="79" s="1"/>
  <c r="R14" i="81" s="1"/>
  <c r="T14" i="79"/>
  <c r="T69" i="79" s="1"/>
  <c r="S14" i="81" s="1"/>
  <c r="U14" i="79"/>
  <c r="U69" i="79" s="1"/>
  <c r="T14" i="81" s="1"/>
  <c r="V14" i="79"/>
  <c r="V69" i="79" s="1"/>
  <c r="U14" i="81" s="1"/>
  <c r="W14" i="79"/>
  <c r="W69" i="79" s="1"/>
  <c r="V14" i="81" s="1"/>
  <c r="X14" i="79"/>
  <c r="X69" i="79" s="1"/>
  <c r="W14" i="81" s="1"/>
  <c r="R15" i="79"/>
  <c r="R70" i="79" s="1"/>
  <c r="Q15" i="81" s="1"/>
  <c r="S15" i="79"/>
  <c r="S70" i="79" s="1"/>
  <c r="R15" i="81" s="1"/>
  <c r="T15" i="79"/>
  <c r="T70" i="79" s="1"/>
  <c r="S15" i="81" s="1"/>
  <c r="U15" i="79"/>
  <c r="U70" i="79" s="1"/>
  <c r="T15" i="81" s="1"/>
  <c r="V15" i="79"/>
  <c r="V70" i="79" s="1"/>
  <c r="U15" i="81" s="1"/>
  <c r="W15" i="79"/>
  <c r="W70" i="79" s="1"/>
  <c r="V15" i="81" s="1"/>
  <c r="X15" i="79"/>
  <c r="X70" i="79" s="1"/>
  <c r="W15" i="81" s="1"/>
  <c r="R16" i="79"/>
  <c r="R71" i="79" s="1"/>
  <c r="Q16" i="81" s="1"/>
  <c r="S16" i="79"/>
  <c r="S71" i="79" s="1"/>
  <c r="R16" i="81" s="1"/>
  <c r="T16" i="79"/>
  <c r="T71" i="79" s="1"/>
  <c r="S16" i="81" s="1"/>
  <c r="U16" i="79"/>
  <c r="U71" i="79" s="1"/>
  <c r="T16" i="81" s="1"/>
  <c r="V16" i="79"/>
  <c r="V71" i="79" s="1"/>
  <c r="U16" i="81" s="1"/>
  <c r="W16" i="79"/>
  <c r="W71" i="79" s="1"/>
  <c r="V16" i="81" s="1"/>
  <c r="X16" i="79"/>
  <c r="X71" i="79" s="1"/>
  <c r="W16" i="81" s="1"/>
  <c r="R17" i="79"/>
  <c r="R72" i="79" s="1"/>
  <c r="Q17" i="81" s="1"/>
  <c r="S17" i="79"/>
  <c r="S72" i="79" s="1"/>
  <c r="R17" i="81" s="1"/>
  <c r="T17" i="79"/>
  <c r="T72" i="79" s="1"/>
  <c r="S17" i="81" s="1"/>
  <c r="U17" i="79"/>
  <c r="U72" i="79" s="1"/>
  <c r="T17" i="81" s="1"/>
  <c r="V17" i="79"/>
  <c r="V72" i="79" s="1"/>
  <c r="U17" i="81" s="1"/>
  <c r="W17" i="79"/>
  <c r="W72" i="79" s="1"/>
  <c r="V17" i="81" s="1"/>
  <c r="X17" i="79"/>
  <c r="X72" i="79" s="1"/>
  <c r="W17" i="81" s="1"/>
  <c r="R18" i="79"/>
  <c r="R73" i="79" s="1"/>
  <c r="Q18" i="81" s="1"/>
  <c r="S18" i="79"/>
  <c r="S73" i="79" s="1"/>
  <c r="R18" i="81" s="1"/>
  <c r="T18" i="79"/>
  <c r="T73" i="79" s="1"/>
  <c r="S18" i="81" s="1"/>
  <c r="U18" i="79"/>
  <c r="U73" i="79" s="1"/>
  <c r="T18" i="81" s="1"/>
  <c r="V18" i="79"/>
  <c r="V73" i="79" s="1"/>
  <c r="U18" i="81" s="1"/>
  <c r="W18" i="79"/>
  <c r="W73" i="79" s="1"/>
  <c r="V18" i="81" s="1"/>
  <c r="X18" i="79"/>
  <c r="X73" i="79" s="1"/>
  <c r="W18" i="81" s="1"/>
  <c r="R19" i="79"/>
  <c r="R74" i="79" s="1"/>
  <c r="Q19" i="81" s="1"/>
  <c r="S19" i="79"/>
  <c r="S74" i="79" s="1"/>
  <c r="R19" i="81" s="1"/>
  <c r="T19" i="79"/>
  <c r="T74" i="79" s="1"/>
  <c r="S19" i="81" s="1"/>
  <c r="U19" i="79"/>
  <c r="U74" i="79" s="1"/>
  <c r="T19" i="81" s="1"/>
  <c r="V19" i="79"/>
  <c r="V74" i="79" s="1"/>
  <c r="U19" i="81" s="1"/>
  <c r="W19" i="79"/>
  <c r="W74" i="79" s="1"/>
  <c r="V19" i="81" s="1"/>
  <c r="X19" i="79"/>
  <c r="X74" i="79" s="1"/>
  <c r="W19" i="81" s="1"/>
  <c r="R20" i="79"/>
  <c r="R75" i="79" s="1"/>
  <c r="Q20" i="81" s="1"/>
  <c r="S20" i="79"/>
  <c r="S75" i="79" s="1"/>
  <c r="R20" i="81" s="1"/>
  <c r="T20" i="79"/>
  <c r="T75" i="79" s="1"/>
  <c r="S20" i="81" s="1"/>
  <c r="U20" i="79"/>
  <c r="U75" i="79" s="1"/>
  <c r="T20" i="81" s="1"/>
  <c r="V20" i="79"/>
  <c r="V75" i="79" s="1"/>
  <c r="U20" i="81" s="1"/>
  <c r="W20" i="79"/>
  <c r="W75" i="79" s="1"/>
  <c r="V20" i="81" s="1"/>
  <c r="X20" i="79"/>
  <c r="X75" i="79" s="1"/>
  <c r="W20" i="81" s="1"/>
  <c r="R21" i="79"/>
  <c r="R76" i="79" s="1"/>
  <c r="Q21" i="81" s="1"/>
  <c r="S21" i="79"/>
  <c r="S76" i="79" s="1"/>
  <c r="R21" i="81" s="1"/>
  <c r="T21" i="79"/>
  <c r="T76" i="79" s="1"/>
  <c r="S21" i="81" s="1"/>
  <c r="U21" i="79"/>
  <c r="U76" i="79" s="1"/>
  <c r="T21" i="81" s="1"/>
  <c r="V21" i="79"/>
  <c r="V76" i="79" s="1"/>
  <c r="U21" i="81" s="1"/>
  <c r="W21" i="79"/>
  <c r="W76" i="79" s="1"/>
  <c r="V21" i="81" s="1"/>
  <c r="X21" i="79"/>
  <c r="X76" i="79" s="1"/>
  <c r="W21" i="81" s="1"/>
  <c r="R22" i="79"/>
  <c r="R77" i="79" s="1"/>
  <c r="Q22" i="81" s="1"/>
  <c r="S22" i="79"/>
  <c r="S77" i="79" s="1"/>
  <c r="R22" i="81" s="1"/>
  <c r="T22" i="79"/>
  <c r="T77" i="79" s="1"/>
  <c r="S22" i="81" s="1"/>
  <c r="U22" i="79"/>
  <c r="U77" i="79" s="1"/>
  <c r="T22" i="81" s="1"/>
  <c r="V22" i="79"/>
  <c r="V77" i="79" s="1"/>
  <c r="U22" i="81" s="1"/>
  <c r="W22" i="79"/>
  <c r="W77" i="79" s="1"/>
  <c r="V22" i="81" s="1"/>
  <c r="X22" i="79"/>
  <c r="X77" i="79" s="1"/>
  <c r="W22" i="81" s="1"/>
  <c r="R23" i="79"/>
  <c r="R78" i="79" s="1"/>
  <c r="Q23" i="81" s="1"/>
  <c r="S23" i="79"/>
  <c r="S78" i="79" s="1"/>
  <c r="R23" i="81" s="1"/>
  <c r="T23" i="79"/>
  <c r="T78" i="79" s="1"/>
  <c r="S23" i="81" s="1"/>
  <c r="U23" i="79"/>
  <c r="U78" i="79" s="1"/>
  <c r="T23" i="81" s="1"/>
  <c r="V23" i="79"/>
  <c r="V78" i="79" s="1"/>
  <c r="U23" i="81" s="1"/>
  <c r="W23" i="79"/>
  <c r="W78" i="79" s="1"/>
  <c r="V23" i="81" s="1"/>
  <c r="X23" i="79"/>
  <c r="X78" i="79" s="1"/>
  <c r="W23" i="81" s="1"/>
  <c r="R24" i="79"/>
  <c r="R79" i="79" s="1"/>
  <c r="Q24" i="81" s="1"/>
  <c r="S24" i="79"/>
  <c r="S79" i="79" s="1"/>
  <c r="R24" i="81" s="1"/>
  <c r="T24" i="79"/>
  <c r="T79" i="79" s="1"/>
  <c r="S24" i="81" s="1"/>
  <c r="U24" i="79"/>
  <c r="U79" i="79" s="1"/>
  <c r="T24" i="81" s="1"/>
  <c r="V24" i="79"/>
  <c r="V79" i="79" s="1"/>
  <c r="U24" i="81" s="1"/>
  <c r="W24" i="79"/>
  <c r="W79" i="79" s="1"/>
  <c r="V24" i="81" s="1"/>
  <c r="X24" i="79"/>
  <c r="X79" i="79" s="1"/>
  <c r="W24" i="81" s="1"/>
  <c r="R25" i="79"/>
  <c r="R80" i="79" s="1"/>
  <c r="Q25" i="81" s="1"/>
  <c r="S25" i="79"/>
  <c r="S80" i="79" s="1"/>
  <c r="R25" i="81" s="1"/>
  <c r="T25" i="79"/>
  <c r="T80" i="79" s="1"/>
  <c r="S25" i="81" s="1"/>
  <c r="U25" i="79"/>
  <c r="U80" i="79" s="1"/>
  <c r="T25" i="81" s="1"/>
  <c r="V25" i="79"/>
  <c r="V80" i="79" s="1"/>
  <c r="U25" i="81" s="1"/>
  <c r="W25" i="79"/>
  <c r="W80" i="79" s="1"/>
  <c r="V25" i="81" s="1"/>
  <c r="X25" i="79"/>
  <c r="X80" i="79" s="1"/>
  <c r="W25" i="81" s="1"/>
  <c r="R26" i="79"/>
  <c r="R81" i="79" s="1"/>
  <c r="Q26" i="81" s="1"/>
  <c r="S26" i="79"/>
  <c r="S81" i="79" s="1"/>
  <c r="R26" i="81" s="1"/>
  <c r="T26" i="79"/>
  <c r="T81" i="79" s="1"/>
  <c r="S26" i="81" s="1"/>
  <c r="U26" i="79"/>
  <c r="U81" i="79" s="1"/>
  <c r="T26" i="81" s="1"/>
  <c r="V26" i="79"/>
  <c r="V81" i="79" s="1"/>
  <c r="U26" i="81" s="1"/>
  <c r="W26" i="79"/>
  <c r="W81" i="79" s="1"/>
  <c r="V26" i="81" s="1"/>
  <c r="X26" i="79"/>
  <c r="X81" i="79" s="1"/>
  <c r="W26" i="81" s="1"/>
  <c r="R27" i="79"/>
  <c r="R82" i="79" s="1"/>
  <c r="Q27" i="81" s="1"/>
  <c r="S27" i="79"/>
  <c r="S82" i="79" s="1"/>
  <c r="R27" i="81" s="1"/>
  <c r="T27" i="79"/>
  <c r="T82" i="79" s="1"/>
  <c r="S27" i="81" s="1"/>
  <c r="U27" i="79"/>
  <c r="U82" i="79" s="1"/>
  <c r="T27" i="81" s="1"/>
  <c r="V27" i="79"/>
  <c r="V82" i="79" s="1"/>
  <c r="U27" i="81" s="1"/>
  <c r="W27" i="79"/>
  <c r="W82" i="79" s="1"/>
  <c r="V27" i="81" s="1"/>
  <c r="X27" i="79"/>
  <c r="X82" i="79" s="1"/>
  <c r="W27" i="81" s="1"/>
  <c r="R28" i="79"/>
  <c r="R83" i="79" s="1"/>
  <c r="Q28" i="81" s="1"/>
  <c r="S28" i="79"/>
  <c r="S83" i="79" s="1"/>
  <c r="R28" i="81" s="1"/>
  <c r="T28" i="79"/>
  <c r="T83" i="79" s="1"/>
  <c r="S28" i="81" s="1"/>
  <c r="U28" i="79"/>
  <c r="U83" i="79" s="1"/>
  <c r="T28" i="81" s="1"/>
  <c r="V28" i="79"/>
  <c r="V83" i="79" s="1"/>
  <c r="U28" i="81" s="1"/>
  <c r="W28" i="79"/>
  <c r="W83" i="79" s="1"/>
  <c r="V28" i="81" s="1"/>
  <c r="X28" i="79"/>
  <c r="X83" i="79" s="1"/>
  <c r="W28" i="81" s="1"/>
  <c r="R29" i="79"/>
  <c r="R84" i="79" s="1"/>
  <c r="Q29" i="81" s="1"/>
  <c r="S29" i="79"/>
  <c r="S84" i="79" s="1"/>
  <c r="R29" i="81" s="1"/>
  <c r="T29" i="79"/>
  <c r="T84" i="79" s="1"/>
  <c r="S29" i="81" s="1"/>
  <c r="U29" i="79"/>
  <c r="U84" i="79" s="1"/>
  <c r="T29" i="81" s="1"/>
  <c r="V29" i="79"/>
  <c r="V84" i="79" s="1"/>
  <c r="U29" i="81" s="1"/>
  <c r="W29" i="79"/>
  <c r="W84" i="79" s="1"/>
  <c r="V29" i="81" s="1"/>
  <c r="X29" i="79"/>
  <c r="X84" i="79" s="1"/>
  <c r="W29" i="81" s="1"/>
  <c r="R30" i="79"/>
  <c r="R85" i="79" s="1"/>
  <c r="Q30" i="81" s="1"/>
  <c r="S30" i="79"/>
  <c r="S85" i="79" s="1"/>
  <c r="R30" i="81" s="1"/>
  <c r="T30" i="79"/>
  <c r="T85" i="79" s="1"/>
  <c r="S30" i="81" s="1"/>
  <c r="U30" i="79"/>
  <c r="U85" i="79" s="1"/>
  <c r="T30" i="81" s="1"/>
  <c r="V30" i="79"/>
  <c r="V85" i="79" s="1"/>
  <c r="U30" i="81" s="1"/>
  <c r="W30" i="79"/>
  <c r="W85" i="79" s="1"/>
  <c r="V30" i="81" s="1"/>
  <c r="X30" i="79"/>
  <c r="X85" i="79" s="1"/>
  <c r="W30" i="81" s="1"/>
  <c r="R31" i="79"/>
  <c r="R86" i="79" s="1"/>
  <c r="Q31" i="81" s="1"/>
  <c r="S31" i="79"/>
  <c r="S86" i="79" s="1"/>
  <c r="R31" i="81" s="1"/>
  <c r="T31" i="79"/>
  <c r="T86" i="79" s="1"/>
  <c r="S31" i="81" s="1"/>
  <c r="U31" i="79"/>
  <c r="U86" i="79" s="1"/>
  <c r="T31" i="81" s="1"/>
  <c r="V31" i="79"/>
  <c r="V86" i="79" s="1"/>
  <c r="U31" i="81" s="1"/>
  <c r="W31" i="79"/>
  <c r="W86" i="79" s="1"/>
  <c r="V31" i="81" s="1"/>
  <c r="X31" i="79"/>
  <c r="X86" i="79" s="1"/>
  <c r="W31" i="81" s="1"/>
  <c r="R32" i="79"/>
  <c r="R87" i="79" s="1"/>
  <c r="Q32" i="81" s="1"/>
  <c r="S32" i="79"/>
  <c r="S87" i="79" s="1"/>
  <c r="R32" i="81" s="1"/>
  <c r="T32" i="79"/>
  <c r="T87" i="79" s="1"/>
  <c r="S32" i="81" s="1"/>
  <c r="U32" i="79"/>
  <c r="U87" i="79" s="1"/>
  <c r="T32" i="81" s="1"/>
  <c r="V32" i="79"/>
  <c r="V87" i="79" s="1"/>
  <c r="U32" i="81" s="1"/>
  <c r="W32" i="79"/>
  <c r="W87" i="79" s="1"/>
  <c r="V32" i="81" s="1"/>
  <c r="X32" i="79"/>
  <c r="X87" i="79" s="1"/>
  <c r="W32" i="81" s="1"/>
  <c r="R33" i="79"/>
  <c r="R88" i="79" s="1"/>
  <c r="Q33" i="81" s="1"/>
  <c r="S33" i="79"/>
  <c r="S88" i="79" s="1"/>
  <c r="R33" i="81" s="1"/>
  <c r="T33" i="79"/>
  <c r="T88" i="79" s="1"/>
  <c r="S33" i="81" s="1"/>
  <c r="U33" i="79"/>
  <c r="U88" i="79" s="1"/>
  <c r="T33" i="81" s="1"/>
  <c r="V33" i="79"/>
  <c r="V88" i="79" s="1"/>
  <c r="U33" i="81" s="1"/>
  <c r="W33" i="79"/>
  <c r="W88" i="79" s="1"/>
  <c r="V33" i="81" s="1"/>
  <c r="X33" i="79"/>
  <c r="X88" i="79" s="1"/>
  <c r="W33" i="81" s="1"/>
  <c r="R34" i="79"/>
  <c r="R89" i="79" s="1"/>
  <c r="Q34" i="81" s="1"/>
  <c r="S34" i="79"/>
  <c r="S89" i="79" s="1"/>
  <c r="R34" i="81" s="1"/>
  <c r="T34" i="79"/>
  <c r="T89" i="79" s="1"/>
  <c r="S34" i="81" s="1"/>
  <c r="U34" i="79"/>
  <c r="U89" i="79" s="1"/>
  <c r="T34" i="81" s="1"/>
  <c r="V34" i="79"/>
  <c r="V89" i="79" s="1"/>
  <c r="U34" i="81" s="1"/>
  <c r="W34" i="79"/>
  <c r="W89" i="79" s="1"/>
  <c r="V34" i="81" s="1"/>
  <c r="X34" i="79"/>
  <c r="X89" i="79" s="1"/>
  <c r="W34" i="81" s="1"/>
  <c r="R35" i="79"/>
  <c r="R90" i="79" s="1"/>
  <c r="Q35" i="81" s="1"/>
  <c r="S35" i="79"/>
  <c r="S90" i="79" s="1"/>
  <c r="R35" i="81" s="1"/>
  <c r="T35" i="79"/>
  <c r="T90" i="79" s="1"/>
  <c r="S35" i="81" s="1"/>
  <c r="U35" i="79"/>
  <c r="U90" i="79" s="1"/>
  <c r="T35" i="81" s="1"/>
  <c r="V35" i="79"/>
  <c r="V90" i="79" s="1"/>
  <c r="U35" i="81" s="1"/>
  <c r="W35" i="79"/>
  <c r="W90" i="79" s="1"/>
  <c r="V35" i="81" s="1"/>
  <c r="X35" i="79"/>
  <c r="X90" i="79" s="1"/>
  <c r="W35" i="81" s="1"/>
  <c r="R36" i="79"/>
  <c r="R91" i="79" s="1"/>
  <c r="Q36" i="81" s="1"/>
  <c r="S36" i="79"/>
  <c r="S91" i="79" s="1"/>
  <c r="R36" i="81" s="1"/>
  <c r="T36" i="79"/>
  <c r="T91" i="79" s="1"/>
  <c r="S36" i="81" s="1"/>
  <c r="U36" i="79"/>
  <c r="U91" i="79" s="1"/>
  <c r="T36" i="81" s="1"/>
  <c r="V36" i="79"/>
  <c r="V91" i="79" s="1"/>
  <c r="U36" i="81" s="1"/>
  <c r="W36" i="79"/>
  <c r="W91" i="79" s="1"/>
  <c r="V36" i="81" s="1"/>
  <c r="X36" i="79"/>
  <c r="X91" i="79" s="1"/>
  <c r="W36" i="81" s="1"/>
  <c r="R37" i="79"/>
  <c r="R92" i="79" s="1"/>
  <c r="Q37" i="81" s="1"/>
  <c r="S37" i="79"/>
  <c r="S92" i="79" s="1"/>
  <c r="R37" i="81" s="1"/>
  <c r="T37" i="79"/>
  <c r="T92" i="79" s="1"/>
  <c r="S37" i="81" s="1"/>
  <c r="U37" i="79"/>
  <c r="U92" i="79" s="1"/>
  <c r="T37" i="81" s="1"/>
  <c r="V37" i="79"/>
  <c r="V92" i="79" s="1"/>
  <c r="U37" i="81" s="1"/>
  <c r="W37" i="79"/>
  <c r="W92" i="79" s="1"/>
  <c r="V37" i="81" s="1"/>
  <c r="X37" i="79"/>
  <c r="X92" i="79" s="1"/>
  <c r="W37" i="81" s="1"/>
  <c r="R38" i="79"/>
  <c r="R93" i="79" s="1"/>
  <c r="Q38" i="81" s="1"/>
  <c r="S38" i="79"/>
  <c r="S93" i="79" s="1"/>
  <c r="R38" i="81" s="1"/>
  <c r="T38" i="79"/>
  <c r="T93" i="79" s="1"/>
  <c r="S38" i="81" s="1"/>
  <c r="U38" i="79"/>
  <c r="U93" i="79" s="1"/>
  <c r="T38" i="81" s="1"/>
  <c r="V38" i="79"/>
  <c r="V93" i="79" s="1"/>
  <c r="U38" i="81" s="1"/>
  <c r="W38" i="79"/>
  <c r="W93" i="79" s="1"/>
  <c r="V38" i="81" s="1"/>
  <c r="X38" i="79"/>
  <c r="X93" i="79" s="1"/>
  <c r="W38" i="81" s="1"/>
  <c r="R39" i="79"/>
  <c r="R94" i="79" s="1"/>
  <c r="Q39" i="81" s="1"/>
  <c r="S39" i="79"/>
  <c r="S94" i="79" s="1"/>
  <c r="R39" i="81" s="1"/>
  <c r="T39" i="79"/>
  <c r="T94" i="79" s="1"/>
  <c r="S39" i="81" s="1"/>
  <c r="U39" i="79"/>
  <c r="U94" i="79" s="1"/>
  <c r="T39" i="81" s="1"/>
  <c r="V39" i="79"/>
  <c r="V94" i="79" s="1"/>
  <c r="U39" i="81" s="1"/>
  <c r="W39" i="79"/>
  <c r="W94" i="79" s="1"/>
  <c r="V39" i="81" s="1"/>
  <c r="X39" i="79"/>
  <c r="X94" i="79" s="1"/>
  <c r="W39" i="81" s="1"/>
  <c r="R40" i="79"/>
  <c r="R95" i="79" s="1"/>
  <c r="Q40" i="81" s="1"/>
  <c r="S40" i="79"/>
  <c r="S95" i="79" s="1"/>
  <c r="R40" i="81" s="1"/>
  <c r="T40" i="79"/>
  <c r="T95" i="79" s="1"/>
  <c r="S40" i="81" s="1"/>
  <c r="U40" i="79"/>
  <c r="U95" i="79" s="1"/>
  <c r="T40" i="81" s="1"/>
  <c r="V40" i="79"/>
  <c r="V95" i="79" s="1"/>
  <c r="U40" i="81" s="1"/>
  <c r="W40" i="79"/>
  <c r="W95" i="79" s="1"/>
  <c r="V40" i="81" s="1"/>
  <c r="X40" i="79"/>
  <c r="X95" i="79" s="1"/>
  <c r="W40" i="81" s="1"/>
  <c r="R41" i="79"/>
  <c r="R96" i="79" s="1"/>
  <c r="Q41" i="81" s="1"/>
  <c r="S41" i="79"/>
  <c r="S96" i="79" s="1"/>
  <c r="R41" i="81" s="1"/>
  <c r="T41" i="79"/>
  <c r="T96" i="79" s="1"/>
  <c r="S41" i="81" s="1"/>
  <c r="U41" i="79"/>
  <c r="U96" i="79" s="1"/>
  <c r="T41" i="81" s="1"/>
  <c r="V41" i="79"/>
  <c r="V96" i="79" s="1"/>
  <c r="U41" i="81" s="1"/>
  <c r="W41" i="79"/>
  <c r="W96" i="79" s="1"/>
  <c r="V41" i="81" s="1"/>
  <c r="X41" i="79"/>
  <c r="X96" i="79" s="1"/>
  <c r="W41" i="81" s="1"/>
  <c r="R42" i="79"/>
  <c r="R97" i="79" s="1"/>
  <c r="Q42" i="81" s="1"/>
  <c r="S42" i="79"/>
  <c r="S97" i="79" s="1"/>
  <c r="R42" i="81" s="1"/>
  <c r="T42" i="79"/>
  <c r="T97" i="79" s="1"/>
  <c r="S42" i="81" s="1"/>
  <c r="U42" i="79"/>
  <c r="U97" i="79" s="1"/>
  <c r="T42" i="81" s="1"/>
  <c r="V42" i="79"/>
  <c r="V97" i="79" s="1"/>
  <c r="U42" i="81" s="1"/>
  <c r="W42" i="79"/>
  <c r="W97" i="79" s="1"/>
  <c r="V42" i="81" s="1"/>
  <c r="X42" i="79"/>
  <c r="X97" i="79" s="1"/>
  <c r="W42" i="81" s="1"/>
  <c r="R43" i="79"/>
  <c r="R98" i="79" s="1"/>
  <c r="Q43" i="81" s="1"/>
  <c r="S43" i="79"/>
  <c r="S98" i="79" s="1"/>
  <c r="R43" i="81" s="1"/>
  <c r="T43" i="79"/>
  <c r="T98" i="79" s="1"/>
  <c r="S43" i="81" s="1"/>
  <c r="U43" i="79"/>
  <c r="U98" i="79" s="1"/>
  <c r="T43" i="81" s="1"/>
  <c r="V43" i="79"/>
  <c r="V98" i="79" s="1"/>
  <c r="U43" i="81" s="1"/>
  <c r="W43" i="79"/>
  <c r="W98" i="79" s="1"/>
  <c r="V43" i="81" s="1"/>
  <c r="X43" i="79"/>
  <c r="X98" i="79" s="1"/>
  <c r="W43" i="81" s="1"/>
  <c r="R44" i="79"/>
  <c r="R99" i="79" s="1"/>
  <c r="Q44" i="81" s="1"/>
  <c r="S44" i="79"/>
  <c r="S99" i="79" s="1"/>
  <c r="R44" i="81" s="1"/>
  <c r="T44" i="79"/>
  <c r="T99" i="79" s="1"/>
  <c r="S44" i="81" s="1"/>
  <c r="U44" i="79"/>
  <c r="U99" i="79" s="1"/>
  <c r="T44" i="81" s="1"/>
  <c r="V44" i="79"/>
  <c r="V99" i="79" s="1"/>
  <c r="U44" i="81" s="1"/>
  <c r="W44" i="79"/>
  <c r="W99" i="79" s="1"/>
  <c r="V44" i="81" s="1"/>
  <c r="X44" i="79"/>
  <c r="X99" i="79" s="1"/>
  <c r="W44" i="81" s="1"/>
  <c r="R45" i="79"/>
  <c r="R100" i="79" s="1"/>
  <c r="Q45" i="81" s="1"/>
  <c r="S45" i="79"/>
  <c r="S100" i="79" s="1"/>
  <c r="R45" i="81" s="1"/>
  <c r="T45" i="79"/>
  <c r="T100" i="79" s="1"/>
  <c r="S45" i="81" s="1"/>
  <c r="U45" i="79"/>
  <c r="U100" i="79" s="1"/>
  <c r="T45" i="81" s="1"/>
  <c r="V45" i="79"/>
  <c r="V100" i="79" s="1"/>
  <c r="U45" i="81" s="1"/>
  <c r="W45" i="79"/>
  <c r="W100" i="79" s="1"/>
  <c r="V45" i="81" s="1"/>
  <c r="X45" i="79"/>
  <c r="X100" i="79" s="1"/>
  <c r="W45" i="81" s="1"/>
  <c r="R46" i="79"/>
  <c r="R101" i="79" s="1"/>
  <c r="Q46" i="81" s="1"/>
  <c r="S46" i="79"/>
  <c r="S101" i="79" s="1"/>
  <c r="R46" i="81" s="1"/>
  <c r="T46" i="79"/>
  <c r="T101" i="79" s="1"/>
  <c r="S46" i="81" s="1"/>
  <c r="U46" i="79"/>
  <c r="U101" i="79" s="1"/>
  <c r="T46" i="81" s="1"/>
  <c r="V46" i="79"/>
  <c r="V101" i="79" s="1"/>
  <c r="U46" i="81" s="1"/>
  <c r="W46" i="79"/>
  <c r="W101" i="79" s="1"/>
  <c r="V46" i="81" s="1"/>
  <c r="X46" i="79"/>
  <c r="X101" i="79" s="1"/>
  <c r="W46" i="81" s="1"/>
  <c r="R47" i="79"/>
  <c r="R102" i="79" s="1"/>
  <c r="Q47" i="81" s="1"/>
  <c r="S47" i="79"/>
  <c r="S102" i="79" s="1"/>
  <c r="R47" i="81" s="1"/>
  <c r="T47" i="79"/>
  <c r="T102" i="79" s="1"/>
  <c r="S47" i="81" s="1"/>
  <c r="U47" i="79"/>
  <c r="U102" i="79" s="1"/>
  <c r="T47" i="81" s="1"/>
  <c r="V47" i="79"/>
  <c r="V102" i="79" s="1"/>
  <c r="U47" i="81" s="1"/>
  <c r="W47" i="79"/>
  <c r="W102" i="79" s="1"/>
  <c r="V47" i="81" s="1"/>
  <c r="X47" i="79"/>
  <c r="X102" i="79" s="1"/>
  <c r="W47" i="81" s="1"/>
  <c r="R48" i="79"/>
  <c r="R103" i="79" s="1"/>
  <c r="Q48" i="81" s="1"/>
  <c r="S48" i="79"/>
  <c r="S103" i="79" s="1"/>
  <c r="R48" i="81" s="1"/>
  <c r="T48" i="79"/>
  <c r="T103" i="79" s="1"/>
  <c r="S48" i="81" s="1"/>
  <c r="U48" i="79"/>
  <c r="U103" i="79" s="1"/>
  <c r="T48" i="81" s="1"/>
  <c r="V48" i="79"/>
  <c r="V103" i="79" s="1"/>
  <c r="U48" i="81" s="1"/>
  <c r="W48" i="79"/>
  <c r="W103" i="79" s="1"/>
  <c r="V48" i="81" s="1"/>
  <c r="X48" i="79"/>
  <c r="X103" i="79" s="1"/>
  <c r="W48" i="81" s="1"/>
  <c r="R49" i="79"/>
  <c r="R104" i="79" s="1"/>
  <c r="Q49" i="81" s="1"/>
  <c r="S49" i="79"/>
  <c r="S104" i="79" s="1"/>
  <c r="R49" i="81" s="1"/>
  <c r="T49" i="79"/>
  <c r="T104" i="79" s="1"/>
  <c r="S49" i="81" s="1"/>
  <c r="U49" i="79"/>
  <c r="U104" i="79" s="1"/>
  <c r="T49" i="81" s="1"/>
  <c r="V49" i="79"/>
  <c r="V104" i="79" s="1"/>
  <c r="U49" i="81" s="1"/>
  <c r="W49" i="79"/>
  <c r="W104" i="79" s="1"/>
  <c r="V49" i="81" s="1"/>
  <c r="X49" i="79"/>
  <c r="X104" i="79" s="1"/>
  <c r="W49" i="81" s="1"/>
  <c r="R50" i="79"/>
  <c r="R105" i="79" s="1"/>
  <c r="Q50" i="81" s="1"/>
  <c r="S50" i="79"/>
  <c r="S105" i="79" s="1"/>
  <c r="R50" i="81" s="1"/>
  <c r="T50" i="79"/>
  <c r="T105" i="79" s="1"/>
  <c r="S50" i="81" s="1"/>
  <c r="U50" i="79"/>
  <c r="U105" i="79" s="1"/>
  <c r="T50" i="81" s="1"/>
  <c r="V50" i="79"/>
  <c r="V105" i="79" s="1"/>
  <c r="U50" i="81" s="1"/>
  <c r="W50" i="79"/>
  <c r="W105" i="79" s="1"/>
  <c r="V50" i="81" s="1"/>
  <c r="X50" i="79"/>
  <c r="X105" i="79" s="1"/>
  <c r="W50" i="81" s="1"/>
  <c r="R51" i="79"/>
  <c r="R106" i="79" s="1"/>
  <c r="Q51" i="81" s="1"/>
  <c r="S51" i="79"/>
  <c r="S106" i="79" s="1"/>
  <c r="R51" i="81" s="1"/>
  <c r="T51" i="79"/>
  <c r="T106" i="79" s="1"/>
  <c r="S51" i="81" s="1"/>
  <c r="U51" i="79"/>
  <c r="U106" i="79" s="1"/>
  <c r="T51" i="81" s="1"/>
  <c r="V51" i="79"/>
  <c r="V106" i="79" s="1"/>
  <c r="U51" i="81" s="1"/>
  <c r="W51" i="79"/>
  <c r="W106" i="79" s="1"/>
  <c r="V51" i="81" s="1"/>
  <c r="X51" i="79"/>
  <c r="X106" i="79" s="1"/>
  <c r="W51" i="81" s="1"/>
  <c r="R52" i="79"/>
  <c r="R107" i="79" s="1"/>
  <c r="Q52" i="81" s="1"/>
  <c r="S52" i="79"/>
  <c r="S107" i="79" s="1"/>
  <c r="R52" i="81" s="1"/>
  <c r="T52" i="79"/>
  <c r="T107" i="79" s="1"/>
  <c r="S52" i="81" s="1"/>
  <c r="U52" i="79"/>
  <c r="U107" i="79" s="1"/>
  <c r="T52" i="81" s="1"/>
  <c r="V52" i="79"/>
  <c r="V107" i="79" s="1"/>
  <c r="U52" i="81" s="1"/>
  <c r="W52" i="79"/>
  <c r="W107" i="79" s="1"/>
  <c r="V52" i="81" s="1"/>
  <c r="X52" i="79"/>
  <c r="X107" i="79" s="1"/>
  <c r="W52" i="81" s="1"/>
  <c r="R53" i="79"/>
  <c r="R108" i="79" s="1"/>
  <c r="Q53" i="81" s="1"/>
  <c r="S53" i="79"/>
  <c r="S108" i="79" s="1"/>
  <c r="R53" i="81" s="1"/>
  <c r="T53" i="79"/>
  <c r="T108" i="79" s="1"/>
  <c r="S53" i="81" s="1"/>
  <c r="U53" i="79"/>
  <c r="U108" i="79" s="1"/>
  <c r="T53" i="81" s="1"/>
  <c r="V53" i="79"/>
  <c r="V108" i="79" s="1"/>
  <c r="U53" i="81" s="1"/>
  <c r="W53" i="79"/>
  <c r="W108" i="79" s="1"/>
  <c r="V53" i="81" s="1"/>
  <c r="X53" i="79"/>
  <c r="X108" i="79" s="1"/>
  <c r="W53" i="81" s="1"/>
  <c r="S4" i="79"/>
  <c r="S59" i="79" s="1"/>
  <c r="R4" i="81" s="1"/>
  <c r="T4" i="79"/>
  <c r="T59" i="79" s="1"/>
  <c r="S4" i="81" s="1"/>
  <c r="U4" i="79"/>
  <c r="U59" i="79" s="1"/>
  <c r="T4" i="81" s="1"/>
  <c r="V4" i="79"/>
  <c r="V59" i="79" s="1"/>
  <c r="U4" i="81" s="1"/>
  <c r="W4" i="79"/>
  <c r="W59" i="79" s="1"/>
  <c r="V4" i="81" s="1"/>
  <c r="X4" i="79"/>
  <c r="X59" i="79" s="1"/>
  <c r="W4" i="81" s="1"/>
  <c r="R4" i="79"/>
  <c r="R59" i="79" s="1"/>
  <c r="Q4" i="81" s="1"/>
  <c r="Y3" i="79"/>
  <c r="Y58" i="79" s="1"/>
  <c r="J5" i="79"/>
  <c r="J60" i="79" s="1"/>
  <c r="I5" i="81" s="1"/>
  <c r="K5" i="79"/>
  <c r="K60" i="79" s="1"/>
  <c r="J5" i="81" s="1"/>
  <c r="L5" i="79"/>
  <c r="L60" i="79" s="1"/>
  <c r="K5" i="81" s="1"/>
  <c r="M5" i="79"/>
  <c r="M60" i="79" s="1"/>
  <c r="L5" i="81" s="1"/>
  <c r="N5" i="79"/>
  <c r="N60" i="79" s="1"/>
  <c r="M5" i="81" s="1"/>
  <c r="O5" i="79"/>
  <c r="O60" i="79" s="1"/>
  <c r="N5" i="81" s="1"/>
  <c r="P5" i="79"/>
  <c r="P60" i="79" s="1"/>
  <c r="O5" i="81" s="1"/>
  <c r="Q5" i="79"/>
  <c r="Q60" i="79" s="1"/>
  <c r="P5" i="81" s="1"/>
  <c r="J6" i="79"/>
  <c r="J61" i="79" s="1"/>
  <c r="I6" i="81" s="1"/>
  <c r="K6" i="79"/>
  <c r="K61" i="79" s="1"/>
  <c r="J6" i="81" s="1"/>
  <c r="L6" i="79"/>
  <c r="L61" i="79" s="1"/>
  <c r="K6" i="81" s="1"/>
  <c r="M6" i="79"/>
  <c r="M61" i="79" s="1"/>
  <c r="L6" i="81" s="1"/>
  <c r="N6" i="79"/>
  <c r="N61" i="79" s="1"/>
  <c r="M6" i="81" s="1"/>
  <c r="O6" i="79"/>
  <c r="O61" i="79" s="1"/>
  <c r="N6" i="81" s="1"/>
  <c r="P6" i="79"/>
  <c r="P61" i="79" s="1"/>
  <c r="O6" i="81" s="1"/>
  <c r="Q6" i="79"/>
  <c r="Q61" i="79" s="1"/>
  <c r="P6" i="81" s="1"/>
  <c r="J7" i="79"/>
  <c r="J62" i="79" s="1"/>
  <c r="I7" i="81" s="1"/>
  <c r="K7" i="79"/>
  <c r="K62" i="79" s="1"/>
  <c r="J7" i="81" s="1"/>
  <c r="L7" i="79"/>
  <c r="L62" i="79" s="1"/>
  <c r="K7" i="81" s="1"/>
  <c r="M7" i="79"/>
  <c r="M62" i="79" s="1"/>
  <c r="L7" i="81" s="1"/>
  <c r="N7" i="79"/>
  <c r="N62" i="79" s="1"/>
  <c r="M7" i="81" s="1"/>
  <c r="O7" i="79"/>
  <c r="O62" i="79" s="1"/>
  <c r="N7" i="81" s="1"/>
  <c r="P7" i="79"/>
  <c r="P62" i="79" s="1"/>
  <c r="O7" i="81" s="1"/>
  <c r="Q7" i="79"/>
  <c r="Q62" i="79" s="1"/>
  <c r="P7" i="81" s="1"/>
  <c r="J8" i="79"/>
  <c r="J63" i="79" s="1"/>
  <c r="I8" i="81" s="1"/>
  <c r="K8" i="79"/>
  <c r="K63" i="79" s="1"/>
  <c r="J8" i="81" s="1"/>
  <c r="L8" i="79"/>
  <c r="L63" i="79" s="1"/>
  <c r="K8" i="81" s="1"/>
  <c r="M8" i="79"/>
  <c r="M63" i="79" s="1"/>
  <c r="L8" i="81" s="1"/>
  <c r="N8" i="79"/>
  <c r="N63" i="79" s="1"/>
  <c r="M8" i="81" s="1"/>
  <c r="O8" i="79"/>
  <c r="O63" i="79" s="1"/>
  <c r="N8" i="81" s="1"/>
  <c r="P8" i="79"/>
  <c r="P63" i="79" s="1"/>
  <c r="O8" i="81" s="1"/>
  <c r="Q8" i="79"/>
  <c r="Q63" i="79" s="1"/>
  <c r="P8" i="81" s="1"/>
  <c r="J9" i="79"/>
  <c r="J64" i="79" s="1"/>
  <c r="I9" i="81" s="1"/>
  <c r="K9" i="79"/>
  <c r="K64" i="79" s="1"/>
  <c r="J9" i="81" s="1"/>
  <c r="L9" i="79"/>
  <c r="L64" i="79" s="1"/>
  <c r="K9" i="81" s="1"/>
  <c r="M9" i="79"/>
  <c r="M64" i="79" s="1"/>
  <c r="L9" i="81" s="1"/>
  <c r="N9" i="79"/>
  <c r="N64" i="79" s="1"/>
  <c r="M9" i="81" s="1"/>
  <c r="O9" i="79"/>
  <c r="O64" i="79" s="1"/>
  <c r="N9" i="81" s="1"/>
  <c r="P9" i="79"/>
  <c r="P64" i="79" s="1"/>
  <c r="O9" i="81" s="1"/>
  <c r="Q9" i="79"/>
  <c r="Q64" i="79" s="1"/>
  <c r="P9" i="81" s="1"/>
  <c r="J10" i="79"/>
  <c r="J65" i="79" s="1"/>
  <c r="I10" i="81" s="1"/>
  <c r="K10" i="79"/>
  <c r="K65" i="79" s="1"/>
  <c r="J10" i="81" s="1"/>
  <c r="L10" i="79"/>
  <c r="L65" i="79" s="1"/>
  <c r="K10" i="81" s="1"/>
  <c r="M10" i="79"/>
  <c r="M65" i="79" s="1"/>
  <c r="L10" i="81" s="1"/>
  <c r="N10" i="79"/>
  <c r="N65" i="79" s="1"/>
  <c r="M10" i="81" s="1"/>
  <c r="O10" i="79"/>
  <c r="O65" i="79" s="1"/>
  <c r="N10" i="81" s="1"/>
  <c r="P10" i="79"/>
  <c r="P65" i="79" s="1"/>
  <c r="O10" i="81" s="1"/>
  <c r="Q10" i="79"/>
  <c r="Q65" i="79" s="1"/>
  <c r="P10" i="81" s="1"/>
  <c r="J11" i="79"/>
  <c r="J66" i="79" s="1"/>
  <c r="I11" i="81" s="1"/>
  <c r="K11" i="79"/>
  <c r="K66" i="79" s="1"/>
  <c r="J11" i="81" s="1"/>
  <c r="L11" i="79"/>
  <c r="L66" i="79" s="1"/>
  <c r="K11" i="81" s="1"/>
  <c r="M11" i="79"/>
  <c r="M66" i="79" s="1"/>
  <c r="L11" i="81" s="1"/>
  <c r="N11" i="79"/>
  <c r="N66" i="79" s="1"/>
  <c r="M11" i="81" s="1"/>
  <c r="O11" i="79"/>
  <c r="O66" i="79" s="1"/>
  <c r="N11" i="81" s="1"/>
  <c r="P11" i="79"/>
  <c r="P66" i="79" s="1"/>
  <c r="O11" i="81" s="1"/>
  <c r="Q11" i="79"/>
  <c r="Q66" i="79" s="1"/>
  <c r="P11" i="81" s="1"/>
  <c r="J12" i="79"/>
  <c r="J67" i="79" s="1"/>
  <c r="I12" i="81" s="1"/>
  <c r="K12" i="79"/>
  <c r="K67" i="79" s="1"/>
  <c r="J12" i="81" s="1"/>
  <c r="L12" i="79"/>
  <c r="L67" i="79" s="1"/>
  <c r="K12" i="81" s="1"/>
  <c r="M12" i="79"/>
  <c r="M67" i="79" s="1"/>
  <c r="L12" i="81" s="1"/>
  <c r="N12" i="79"/>
  <c r="N67" i="79" s="1"/>
  <c r="M12" i="81" s="1"/>
  <c r="O12" i="79"/>
  <c r="O67" i="79" s="1"/>
  <c r="N12" i="81" s="1"/>
  <c r="P12" i="79"/>
  <c r="P67" i="79" s="1"/>
  <c r="O12" i="81" s="1"/>
  <c r="Q12" i="79"/>
  <c r="Q67" i="79" s="1"/>
  <c r="P12" i="81" s="1"/>
  <c r="J13" i="79"/>
  <c r="J68" i="79" s="1"/>
  <c r="I13" i="81" s="1"/>
  <c r="K13" i="79"/>
  <c r="K68" i="79" s="1"/>
  <c r="J13" i="81" s="1"/>
  <c r="L13" i="79"/>
  <c r="L68" i="79" s="1"/>
  <c r="K13" i="81" s="1"/>
  <c r="M13" i="79"/>
  <c r="M68" i="79" s="1"/>
  <c r="L13" i="81" s="1"/>
  <c r="N13" i="79"/>
  <c r="N68" i="79" s="1"/>
  <c r="M13" i="81" s="1"/>
  <c r="O13" i="79"/>
  <c r="O68" i="79" s="1"/>
  <c r="N13" i="81" s="1"/>
  <c r="P13" i="79"/>
  <c r="P68" i="79" s="1"/>
  <c r="O13" i="81" s="1"/>
  <c r="Q13" i="79"/>
  <c r="Q68" i="79" s="1"/>
  <c r="P13" i="81" s="1"/>
  <c r="J14" i="79"/>
  <c r="J69" i="79" s="1"/>
  <c r="I14" i="81" s="1"/>
  <c r="K14" i="79"/>
  <c r="K69" i="79" s="1"/>
  <c r="J14" i="81" s="1"/>
  <c r="L14" i="79"/>
  <c r="L69" i="79" s="1"/>
  <c r="K14" i="81" s="1"/>
  <c r="M14" i="79"/>
  <c r="M69" i="79" s="1"/>
  <c r="L14" i="81" s="1"/>
  <c r="N14" i="79"/>
  <c r="N69" i="79" s="1"/>
  <c r="M14" i="81" s="1"/>
  <c r="O14" i="79"/>
  <c r="O69" i="79" s="1"/>
  <c r="N14" i="81" s="1"/>
  <c r="P14" i="79"/>
  <c r="P69" i="79" s="1"/>
  <c r="O14" i="81" s="1"/>
  <c r="Q14" i="79"/>
  <c r="Q69" i="79" s="1"/>
  <c r="P14" i="81" s="1"/>
  <c r="J15" i="79"/>
  <c r="J70" i="79" s="1"/>
  <c r="I15" i="81" s="1"/>
  <c r="K15" i="79"/>
  <c r="K70" i="79" s="1"/>
  <c r="J15" i="81" s="1"/>
  <c r="L15" i="79"/>
  <c r="L70" i="79" s="1"/>
  <c r="K15" i="81" s="1"/>
  <c r="M15" i="79"/>
  <c r="M70" i="79" s="1"/>
  <c r="L15" i="81" s="1"/>
  <c r="N15" i="79"/>
  <c r="N70" i="79" s="1"/>
  <c r="M15" i="81" s="1"/>
  <c r="O15" i="79"/>
  <c r="O70" i="79" s="1"/>
  <c r="N15" i="81" s="1"/>
  <c r="P15" i="79"/>
  <c r="P70" i="79" s="1"/>
  <c r="O15" i="81" s="1"/>
  <c r="Q15" i="79"/>
  <c r="Q70" i="79" s="1"/>
  <c r="P15" i="81" s="1"/>
  <c r="J16" i="79"/>
  <c r="J71" i="79" s="1"/>
  <c r="I16" i="81" s="1"/>
  <c r="K16" i="79"/>
  <c r="K71" i="79" s="1"/>
  <c r="J16" i="81" s="1"/>
  <c r="L16" i="79"/>
  <c r="L71" i="79" s="1"/>
  <c r="K16" i="81" s="1"/>
  <c r="M16" i="79"/>
  <c r="M71" i="79" s="1"/>
  <c r="L16" i="81" s="1"/>
  <c r="N16" i="79"/>
  <c r="N71" i="79" s="1"/>
  <c r="M16" i="81" s="1"/>
  <c r="O16" i="79"/>
  <c r="O71" i="79" s="1"/>
  <c r="N16" i="81" s="1"/>
  <c r="P16" i="79"/>
  <c r="P71" i="79" s="1"/>
  <c r="O16" i="81" s="1"/>
  <c r="Q16" i="79"/>
  <c r="Q71" i="79" s="1"/>
  <c r="P16" i="81" s="1"/>
  <c r="J17" i="79"/>
  <c r="J72" i="79" s="1"/>
  <c r="I17" i="81" s="1"/>
  <c r="K17" i="79"/>
  <c r="K72" i="79" s="1"/>
  <c r="J17" i="81" s="1"/>
  <c r="L17" i="79"/>
  <c r="L72" i="79" s="1"/>
  <c r="K17" i="81" s="1"/>
  <c r="M17" i="79"/>
  <c r="M72" i="79" s="1"/>
  <c r="L17" i="81" s="1"/>
  <c r="N17" i="79"/>
  <c r="N72" i="79" s="1"/>
  <c r="M17" i="81" s="1"/>
  <c r="O17" i="79"/>
  <c r="O72" i="79" s="1"/>
  <c r="N17" i="81" s="1"/>
  <c r="P17" i="79"/>
  <c r="P72" i="79" s="1"/>
  <c r="O17" i="81" s="1"/>
  <c r="Q17" i="79"/>
  <c r="Q72" i="79" s="1"/>
  <c r="P17" i="81" s="1"/>
  <c r="J18" i="79"/>
  <c r="J73" i="79" s="1"/>
  <c r="I18" i="81" s="1"/>
  <c r="K18" i="79"/>
  <c r="K73" i="79" s="1"/>
  <c r="J18" i="81" s="1"/>
  <c r="L18" i="79"/>
  <c r="L73" i="79" s="1"/>
  <c r="K18" i="81" s="1"/>
  <c r="M18" i="79"/>
  <c r="M73" i="79" s="1"/>
  <c r="L18" i="81" s="1"/>
  <c r="N18" i="79"/>
  <c r="N73" i="79" s="1"/>
  <c r="M18" i="81" s="1"/>
  <c r="O18" i="79"/>
  <c r="O73" i="79" s="1"/>
  <c r="N18" i="81" s="1"/>
  <c r="P18" i="79"/>
  <c r="P73" i="79" s="1"/>
  <c r="O18" i="81" s="1"/>
  <c r="Q18" i="79"/>
  <c r="Q73" i="79" s="1"/>
  <c r="P18" i="81" s="1"/>
  <c r="J19" i="79"/>
  <c r="J74" i="79" s="1"/>
  <c r="I19" i="81" s="1"/>
  <c r="K19" i="79"/>
  <c r="K74" i="79" s="1"/>
  <c r="J19" i="81" s="1"/>
  <c r="L19" i="79"/>
  <c r="L74" i="79" s="1"/>
  <c r="K19" i="81" s="1"/>
  <c r="M19" i="79"/>
  <c r="M74" i="79" s="1"/>
  <c r="L19" i="81" s="1"/>
  <c r="N19" i="79"/>
  <c r="N74" i="79" s="1"/>
  <c r="M19" i="81" s="1"/>
  <c r="O19" i="79"/>
  <c r="O74" i="79" s="1"/>
  <c r="N19" i="81" s="1"/>
  <c r="P19" i="79"/>
  <c r="P74" i="79" s="1"/>
  <c r="O19" i="81" s="1"/>
  <c r="Q19" i="79"/>
  <c r="Q74" i="79" s="1"/>
  <c r="P19" i="81" s="1"/>
  <c r="J20" i="79"/>
  <c r="J75" i="79" s="1"/>
  <c r="I20" i="81" s="1"/>
  <c r="K20" i="79"/>
  <c r="K75" i="79" s="1"/>
  <c r="J20" i="81" s="1"/>
  <c r="L20" i="79"/>
  <c r="L75" i="79" s="1"/>
  <c r="K20" i="81" s="1"/>
  <c r="M20" i="79"/>
  <c r="M75" i="79" s="1"/>
  <c r="L20" i="81" s="1"/>
  <c r="N20" i="79"/>
  <c r="N75" i="79" s="1"/>
  <c r="M20" i="81" s="1"/>
  <c r="O20" i="79"/>
  <c r="O75" i="79" s="1"/>
  <c r="N20" i="81" s="1"/>
  <c r="P20" i="79"/>
  <c r="P75" i="79" s="1"/>
  <c r="O20" i="81" s="1"/>
  <c r="Q20" i="79"/>
  <c r="Q75" i="79" s="1"/>
  <c r="P20" i="81" s="1"/>
  <c r="J21" i="79"/>
  <c r="J76" i="79" s="1"/>
  <c r="I21" i="81" s="1"/>
  <c r="K21" i="79"/>
  <c r="K76" i="79" s="1"/>
  <c r="J21" i="81" s="1"/>
  <c r="L21" i="79"/>
  <c r="L76" i="79" s="1"/>
  <c r="K21" i="81" s="1"/>
  <c r="M21" i="79"/>
  <c r="M76" i="79" s="1"/>
  <c r="L21" i="81" s="1"/>
  <c r="N21" i="79"/>
  <c r="N76" i="79" s="1"/>
  <c r="M21" i="81" s="1"/>
  <c r="O21" i="79"/>
  <c r="O76" i="79" s="1"/>
  <c r="N21" i="81" s="1"/>
  <c r="P21" i="79"/>
  <c r="P76" i="79" s="1"/>
  <c r="O21" i="81" s="1"/>
  <c r="Q21" i="79"/>
  <c r="Q76" i="79" s="1"/>
  <c r="P21" i="81" s="1"/>
  <c r="J22" i="79"/>
  <c r="J77" i="79" s="1"/>
  <c r="I22" i="81" s="1"/>
  <c r="K22" i="79"/>
  <c r="K77" i="79" s="1"/>
  <c r="J22" i="81" s="1"/>
  <c r="L22" i="79"/>
  <c r="L77" i="79" s="1"/>
  <c r="K22" i="81" s="1"/>
  <c r="M22" i="79"/>
  <c r="M77" i="79" s="1"/>
  <c r="L22" i="81" s="1"/>
  <c r="N22" i="79"/>
  <c r="N77" i="79" s="1"/>
  <c r="M22" i="81" s="1"/>
  <c r="O22" i="79"/>
  <c r="O77" i="79" s="1"/>
  <c r="N22" i="81" s="1"/>
  <c r="P22" i="79"/>
  <c r="P77" i="79" s="1"/>
  <c r="O22" i="81" s="1"/>
  <c r="Q22" i="79"/>
  <c r="Q77" i="79" s="1"/>
  <c r="P22" i="81" s="1"/>
  <c r="J23" i="79"/>
  <c r="J78" i="79" s="1"/>
  <c r="I23" i="81" s="1"/>
  <c r="K23" i="79"/>
  <c r="K78" i="79" s="1"/>
  <c r="J23" i="81" s="1"/>
  <c r="L23" i="79"/>
  <c r="L78" i="79" s="1"/>
  <c r="K23" i="81" s="1"/>
  <c r="M23" i="79"/>
  <c r="M78" i="79" s="1"/>
  <c r="L23" i="81" s="1"/>
  <c r="N23" i="79"/>
  <c r="N78" i="79" s="1"/>
  <c r="M23" i="81" s="1"/>
  <c r="O23" i="79"/>
  <c r="O78" i="79" s="1"/>
  <c r="N23" i="81" s="1"/>
  <c r="P23" i="79"/>
  <c r="P78" i="79" s="1"/>
  <c r="O23" i="81" s="1"/>
  <c r="Q23" i="79"/>
  <c r="Q78" i="79" s="1"/>
  <c r="P23" i="81" s="1"/>
  <c r="J24" i="79"/>
  <c r="J79" i="79" s="1"/>
  <c r="I24" i="81" s="1"/>
  <c r="K24" i="79"/>
  <c r="K79" i="79" s="1"/>
  <c r="J24" i="81" s="1"/>
  <c r="L24" i="79"/>
  <c r="L79" i="79" s="1"/>
  <c r="K24" i="81" s="1"/>
  <c r="M24" i="79"/>
  <c r="M79" i="79" s="1"/>
  <c r="L24" i="81" s="1"/>
  <c r="N24" i="79"/>
  <c r="N79" i="79" s="1"/>
  <c r="M24" i="81" s="1"/>
  <c r="O24" i="79"/>
  <c r="O79" i="79" s="1"/>
  <c r="N24" i="81" s="1"/>
  <c r="P24" i="79"/>
  <c r="P79" i="79" s="1"/>
  <c r="O24" i="81" s="1"/>
  <c r="Q24" i="79"/>
  <c r="Q79" i="79" s="1"/>
  <c r="P24" i="81" s="1"/>
  <c r="J25" i="79"/>
  <c r="J80" i="79" s="1"/>
  <c r="I25" i="81" s="1"/>
  <c r="K25" i="79"/>
  <c r="K80" i="79" s="1"/>
  <c r="J25" i="81" s="1"/>
  <c r="L25" i="79"/>
  <c r="L80" i="79" s="1"/>
  <c r="K25" i="81" s="1"/>
  <c r="M25" i="79"/>
  <c r="M80" i="79" s="1"/>
  <c r="L25" i="81" s="1"/>
  <c r="N25" i="79"/>
  <c r="N80" i="79" s="1"/>
  <c r="M25" i="81" s="1"/>
  <c r="O25" i="79"/>
  <c r="O80" i="79" s="1"/>
  <c r="N25" i="81" s="1"/>
  <c r="P25" i="79"/>
  <c r="P80" i="79" s="1"/>
  <c r="O25" i="81" s="1"/>
  <c r="Q25" i="79"/>
  <c r="Q80" i="79" s="1"/>
  <c r="P25" i="81" s="1"/>
  <c r="J26" i="79"/>
  <c r="J81" i="79" s="1"/>
  <c r="I26" i="81" s="1"/>
  <c r="K26" i="79"/>
  <c r="K81" i="79" s="1"/>
  <c r="J26" i="81" s="1"/>
  <c r="L26" i="79"/>
  <c r="L81" i="79" s="1"/>
  <c r="K26" i="81" s="1"/>
  <c r="M26" i="79"/>
  <c r="M81" i="79" s="1"/>
  <c r="L26" i="81" s="1"/>
  <c r="N26" i="79"/>
  <c r="N81" i="79" s="1"/>
  <c r="M26" i="81" s="1"/>
  <c r="O26" i="79"/>
  <c r="O81" i="79" s="1"/>
  <c r="N26" i="81" s="1"/>
  <c r="P26" i="79"/>
  <c r="P81" i="79" s="1"/>
  <c r="O26" i="81" s="1"/>
  <c r="Q26" i="79"/>
  <c r="Q81" i="79" s="1"/>
  <c r="P26" i="81" s="1"/>
  <c r="J27" i="79"/>
  <c r="J82" i="79" s="1"/>
  <c r="I27" i="81" s="1"/>
  <c r="K27" i="79"/>
  <c r="K82" i="79" s="1"/>
  <c r="J27" i="81" s="1"/>
  <c r="L27" i="79"/>
  <c r="L82" i="79" s="1"/>
  <c r="K27" i="81" s="1"/>
  <c r="M27" i="79"/>
  <c r="M82" i="79" s="1"/>
  <c r="L27" i="81" s="1"/>
  <c r="N27" i="79"/>
  <c r="N82" i="79" s="1"/>
  <c r="M27" i="81" s="1"/>
  <c r="O27" i="79"/>
  <c r="O82" i="79" s="1"/>
  <c r="N27" i="81" s="1"/>
  <c r="P27" i="79"/>
  <c r="P82" i="79" s="1"/>
  <c r="O27" i="81" s="1"/>
  <c r="Q27" i="79"/>
  <c r="Q82" i="79" s="1"/>
  <c r="P27" i="81" s="1"/>
  <c r="J28" i="79"/>
  <c r="J83" i="79" s="1"/>
  <c r="I28" i="81" s="1"/>
  <c r="K28" i="79"/>
  <c r="K83" i="79" s="1"/>
  <c r="J28" i="81" s="1"/>
  <c r="L28" i="79"/>
  <c r="L83" i="79" s="1"/>
  <c r="K28" i="81" s="1"/>
  <c r="M28" i="79"/>
  <c r="M83" i="79" s="1"/>
  <c r="L28" i="81" s="1"/>
  <c r="N28" i="79"/>
  <c r="N83" i="79" s="1"/>
  <c r="M28" i="81" s="1"/>
  <c r="O28" i="79"/>
  <c r="O83" i="79" s="1"/>
  <c r="N28" i="81" s="1"/>
  <c r="P28" i="79"/>
  <c r="P83" i="79" s="1"/>
  <c r="O28" i="81" s="1"/>
  <c r="Q28" i="79"/>
  <c r="Q83" i="79" s="1"/>
  <c r="P28" i="81" s="1"/>
  <c r="J29" i="79"/>
  <c r="J84" i="79" s="1"/>
  <c r="I29" i="81" s="1"/>
  <c r="K29" i="79"/>
  <c r="K84" i="79" s="1"/>
  <c r="J29" i="81" s="1"/>
  <c r="L29" i="79"/>
  <c r="L84" i="79" s="1"/>
  <c r="K29" i="81" s="1"/>
  <c r="M29" i="79"/>
  <c r="M84" i="79" s="1"/>
  <c r="L29" i="81" s="1"/>
  <c r="N29" i="79"/>
  <c r="N84" i="79" s="1"/>
  <c r="M29" i="81" s="1"/>
  <c r="O29" i="79"/>
  <c r="O84" i="79" s="1"/>
  <c r="N29" i="81" s="1"/>
  <c r="P29" i="79"/>
  <c r="P84" i="79" s="1"/>
  <c r="O29" i="81" s="1"/>
  <c r="Q29" i="79"/>
  <c r="Q84" i="79" s="1"/>
  <c r="P29" i="81" s="1"/>
  <c r="J30" i="79"/>
  <c r="J85" i="79" s="1"/>
  <c r="I30" i="81" s="1"/>
  <c r="K30" i="79"/>
  <c r="K85" i="79" s="1"/>
  <c r="J30" i="81" s="1"/>
  <c r="L30" i="79"/>
  <c r="L85" i="79" s="1"/>
  <c r="K30" i="81" s="1"/>
  <c r="M30" i="79"/>
  <c r="M85" i="79" s="1"/>
  <c r="L30" i="81" s="1"/>
  <c r="N30" i="79"/>
  <c r="N85" i="79" s="1"/>
  <c r="M30" i="81" s="1"/>
  <c r="O30" i="79"/>
  <c r="O85" i="79" s="1"/>
  <c r="N30" i="81" s="1"/>
  <c r="P30" i="79"/>
  <c r="P85" i="79" s="1"/>
  <c r="O30" i="81" s="1"/>
  <c r="Q30" i="79"/>
  <c r="Q85" i="79" s="1"/>
  <c r="P30" i="81" s="1"/>
  <c r="J31" i="79"/>
  <c r="J86" i="79" s="1"/>
  <c r="I31" i="81" s="1"/>
  <c r="K31" i="79"/>
  <c r="K86" i="79" s="1"/>
  <c r="J31" i="81" s="1"/>
  <c r="L31" i="79"/>
  <c r="L86" i="79" s="1"/>
  <c r="K31" i="81" s="1"/>
  <c r="M31" i="79"/>
  <c r="M86" i="79" s="1"/>
  <c r="L31" i="81" s="1"/>
  <c r="N31" i="79"/>
  <c r="N86" i="79" s="1"/>
  <c r="M31" i="81" s="1"/>
  <c r="O31" i="79"/>
  <c r="O86" i="79" s="1"/>
  <c r="N31" i="81" s="1"/>
  <c r="P31" i="79"/>
  <c r="P86" i="79" s="1"/>
  <c r="O31" i="81" s="1"/>
  <c r="Q31" i="79"/>
  <c r="Q86" i="79" s="1"/>
  <c r="P31" i="81" s="1"/>
  <c r="J32" i="79"/>
  <c r="J87" i="79" s="1"/>
  <c r="I32" i="81" s="1"/>
  <c r="K32" i="79"/>
  <c r="K87" i="79" s="1"/>
  <c r="J32" i="81" s="1"/>
  <c r="L32" i="79"/>
  <c r="L87" i="79" s="1"/>
  <c r="K32" i="81" s="1"/>
  <c r="M32" i="79"/>
  <c r="M87" i="79" s="1"/>
  <c r="L32" i="81" s="1"/>
  <c r="N32" i="79"/>
  <c r="N87" i="79" s="1"/>
  <c r="M32" i="81" s="1"/>
  <c r="O32" i="79"/>
  <c r="O87" i="79" s="1"/>
  <c r="N32" i="81" s="1"/>
  <c r="P32" i="79"/>
  <c r="P87" i="79" s="1"/>
  <c r="O32" i="81" s="1"/>
  <c r="Q32" i="79"/>
  <c r="Q87" i="79" s="1"/>
  <c r="P32" i="81" s="1"/>
  <c r="J33" i="79"/>
  <c r="J88" i="79" s="1"/>
  <c r="I33" i="81" s="1"/>
  <c r="K33" i="79"/>
  <c r="K88" i="79" s="1"/>
  <c r="J33" i="81" s="1"/>
  <c r="L33" i="79"/>
  <c r="L88" i="79" s="1"/>
  <c r="K33" i="81" s="1"/>
  <c r="M33" i="79"/>
  <c r="M88" i="79" s="1"/>
  <c r="L33" i="81" s="1"/>
  <c r="N33" i="79"/>
  <c r="N88" i="79" s="1"/>
  <c r="M33" i="81" s="1"/>
  <c r="O33" i="79"/>
  <c r="O88" i="79" s="1"/>
  <c r="N33" i="81" s="1"/>
  <c r="P33" i="79"/>
  <c r="P88" i="79" s="1"/>
  <c r="O33" i="81" s="1"/>
  <c r="Q33" i="79"/>
  <c r="Q88" i="79" s="1"/>
  <c r="P33" i="81" s="1"/>
  <c r="J34" i="79"/>
  <c r="J89" i="79" s="1"/>
  <c r="I34" i="81" s="1"/>
  <c r="K34" i="79"/>
  <c r="K89" i="79" s="1"/>
  <c r="J34" i="81" s="1"/>
  <c r="L34" i="79"/>
  <c r="L89" i="79" s="1"/>
  <c r="K34" i="81" s="1"/>
  <c r="M34" i="79"/>
  <c r="M89" i="79" s="1"/>
  <c r="L34" i="81" s="1"/>
  <c r="N34" i="79"/>
  <c r="N89" i="79" s="1"/>
  <c r="M34" i="81" s="1"/>
  <c r="O34" i="79"/>
  <c r="O89" i="79" s="1"/>
  <c r="N34" i="81" s="1"/>
  <c r="P34" i="79"/>
  <c r="P89" i="79" s="1"/>
  <c r="O34" i="81" s="1"/>
  <c r="Q34" i="79"/>
  <c r="Q89" i="79" s="1"/>
  <c r="P34" i="81" s="1"/>
  <c r="J35" i="79"/>
  <c r="J90" i="79" s="1"/>
  <c r="I35" i="81" s="1"/>
  <c r="K35" i="79"/>
  <c r="K90" i="79" s="1"/>
  <c r="J35" i="81" s="1"/>
  <c r="L35" i="79"/>
  <c r="L90" i="79" s="1"/>
  <c r="K35" i="81" s="1"/>
  <c r="M35" i="79"/>
  <c r="M90" i="79" s="1"/>
  <c r="L35" i="81" s="1"/>
  <c r="N35" i="79"/>
  <c r="N90" i="79" s="1"/>
  <c r="M35" i="81" s="1"/>
  <c r="O35" i="79"/>
  <c r="O90" i="79" s="1"/>
  <c r="N35" i="81" s="1"/>
  <c r="P35" i="79"/>
  <c r="P90" i="79" s="1"/>
  <c r="O35" i="81" s="1"/>
  <c r="Q35" i="79"/>
  <c r="Q90" i="79" s="1"/>
  <c r="P35" i="81" s="1"/>
  <c r="J36" i="79"/>
  <c r="J91" i="79" s="1"/>
  <c r="I36" i="81" s="1"/>
  <c r="K36" i="79"/>
  <c r="K91" i="79" s="1"/>
  <c r="J36" i="81" s="1"/>
  <c r="L36" i="79"/>
  <c r="L91" i="79" s="1"/>
  <c r="K36" i="81" s="1"/>
  <c r="M36" i="79"/>
  <c r="M91" i="79" s="1"/>
  <c r="L36" i="81" s="1"/>
  <c r="N36" i="79"/>
  <c r="N91" i="79" s="1"/>
  <c r="M36" i="81" s="1"/>
  <c r="O36" i="79"/>
  <c r="O91" i="79" s="1"/>
  <c r="N36" i="81" s="1"/>
  <c r="P36" i="79"/>
  <c r="P91" i="79" s="1"/>
  <c r="O36" i="81" s="1"/>
  <c r="Q36" i="79"/>
  <c r="Q91" i="79" s="1"/>
  <c r="P36" i="81" s="1"/>
  <c r="J37" i="79"/>
  <c r="J92" i="79" s="1"/>
  <c r="I37" i="81" s="1"/>
  <c r="K37" i="79"/>
  <c r="K92" i="79" s="1"/>
  <c r="J37" i="81" s="1"/>
  <c r="L37" i="79"/>
  <c r="L92" i="79" s="1"/>
  <c r="K37" i="81" s="1"/>
  <c r="M37" i="79"/>
  <c r="M92" i="79" s="1"/>
  <c r="L37" i="81" s="1"/>
  <c r="N37" i="79"/>
  <c r="N92" i="79" s="1"/>
  <c r="M37" i="81" s="1"/>
  <c r="O37" i="79"/>
  <c r="O92" i="79" s="1"/>
  <c r="N37" i="81" s="1"/>
  <c r="P37" i="79"/>
  <c r="P92" i="79" s="1"/>
  <c r="O37" i="81" s="1"/>
  <c r="Q37" i="79"/>
  <c r="Q92" i="79" s="1"/>
  <c r="P37" i="81" s="1"/>
  <c r="J38" i="79"/>
  <c r="J93" i="79" s="1"/>
  <c r="I38" i="81" s="1"/>
  <c r="K38" i="79"/>
  <c r="K93" i="79" s="1"/>
  <c r="J38" i="81" s="1"/>
  <c r="L38" i="79"/>
  <c r="L93" i="79" s="1"/>
  <c r="K38" i="81" s="1"/>
  <c r="M38" i="79"/>
  <c r="M93" i="79" s="1"/>
  <c r="L38" i="81" s="1"/>
  <c r="N38" i="79"/>
  <c r="N93" i="79" s="1"/>
  <c r="M38" i="81" s="1"/>
  <c r="O38" i="79"/>
  <c r="O93" i="79" s="1"/>
  <c r="N38" i="81" s="1"/>
  <c r="P38" i="79"/>
  <c r="P93" i="79" s="1"/>
  <c r="O38" i="81" s="1"/>
  <c r="Q38" i="79"/>
  <c r="Q93" i="79" s="1"/>
  <c r="P38" i="81" s="1"/>
  <c r="J39" i="79"/>
  <c r="J94" i="79" s="1"/>
  <c r="I39" i="81" s="1"/>
  <c r="K39" i="79"/>
  <c r="K94" i="79" s="1"/>
  <c r="J39" i="81" s="1"/>
  <c r="L39" i="79"/>
  <c r="L94" i="79" s="1"/>
  <c r="K39" i="81" s="1"/>
  <c r="M39" i="79"/>
  <c r="M94" i="79" s="1"/>
  <c r="L39" i="81" s="1"/>
  <c r="N39" i="79"/>
  <c r="N94" i="79" s="1"/>
  <c r="M39" i="81" s="1"/>
  <c r="O39" i="79"/>
  <c r="O94" i="79" s="1"/>
  <c r="N39" i="81" s="1"/>
  <c r="P39" i="79"/>
  <c r="P94" i="79" s="1"/>
  <c r="O39" i="81" s="1"/>
  <c r="Q39" i="79"/>
  <c r="Q94" i="79" s="1"/>
  <c r="P39" i="81" s="1"/>
  <c r="J40" i="79"/>
  <c r="J95" i="79" s="1"/>
  <c r="I40" i="81" s="1"/>
  <c r="K40" i="79"/>
  <c r="K95" i="79" s="1"/>
  <c r="J40" i="81" s="1"/>
  <c r="L40" i="79"/>
  <c r="L95" i="79" s="1"/>
  <c r="K40" i="81" s="1"/>
  <c r="M40" i="79"/>
  <c r="M95" i="79" s="1"/>
  <c r="L40" i="81" s="1"/>
  <c r="N40" i="79"/>
  <c r="N95" i="79" s="1"/>
  <c r="M40" i="81" s="1"/>
  <c r="O40" i="79"/>
  <c r="O95" i="79" s="1"/>
  <c r="N40" i="81" s="1"/>
  <c r="P40" i="79"/>
  <c r="P95" i="79" s="1"/>
  <c r="O40" i="81" s="1"/>
  <c r="Q40" i="79"/>
  <c r="Q95" i="79" s="1"/>
  <c r="P40" i="81" s="1"/>
  <c r="J41" i="79"/>
  <c r="J96" i="79" s="1"/>
  <c r="I41" i="81" s="1"/>
  <c r="K41" i="79"/>
  <c r="K96" i="79" s="1"/>
  <c r="J41" i="81" s="1"/>
  <c r="L41" i="79"/>
  <c r="L96" i="79" s="1"/>
  <c r="K41" i="81" s="1"/>
  <c r="M41" i="79"/>
  <c r="M96" i="79" s="1"/>
  <c r="L41" i="81" s="1"/>
  <c r="N41" i="79"/>
  <c r="N96" i="79" s="1"/>
  <c r="M41" i="81" s="1"/>
  <c r="O41" i="79"/>
  <c r="O96" i="79" s="1"/>
  <c r="N41" i="81" s="1"/>
  <c r="P41" i="79"/>
  <c r="P96" i="79" s="1"/>
  <c r="O41" i="81" s="1"/>
  <c r="Q41" i="79"/>
  <c r="Q96" i="79" s="1"/>
  <c r="P41" i="81" s="1"/>
  <c r="J42" i="79"/>
  <c r="J97" i="79" s="1"/>
  <c r="I42" i="81" s="1"/>
  <c r="K42" i="79"/>
  <c r="K97" i="79" s="1"/>
  <c r="J42" i="81" s="1"/>
  <c r="L42" i="79"/>
  <c r="L97" i="79" s="1"/>
  <c r="K42" i="81" s="1"/>
  <c r="M42" i="79"/>
  <c r="M97" i="79" s="1"/>
  <c r="L42" i="81" s="1"/>
  <c r="N42" i="79"/>
  <c r="N97" i="79" s="1"/>
  <c r="M42" i="81" s="1"/>
  <c r="O42" i="79"/>
  <c r="O97" i="79" s="1"/>
  <c r="N42" i="81" s="1"/>
  <c r="P42" i="79"/>
  <c r="P97" i="79" s="1"/>
  <c r="O42" i="81" s="1"/>
  <c r="Q42" i="79"/>
  <c r="Q97" i="79" s="1"/>
  <c r="P42" i="81" s="1"/>
  <c r="J43" i="79"/>
  <c r="J98" i="79" s="1"/>
  <c r="I43" i="81" s="1"/>
  <c r="K43" i="79"/>
  <c r="K98" i="79" s="1"/>
  <c r="J43" i="81" s="1"/>
  <c r="L43" i="79"/>
  <c r="L98" i="79" s="1"/>
  <c r="K43" i="81" s="1"/>
  <c r="M43" i="79"/>
  <c r="M98" i="79" s="1"/>
  <c r="L43" i="81" s="1"/>
  <c r="N43" i="79"/>
  <c r="N98" i="79" s="1"/>
  <c r="M43" i="81" s="1"/>
  <c r="O43" i="79"/>
  <c r="O98" i="79" s="1"/>
  <c r="N43" i="81" s="1"/>
  <c r="P43" i="79"/>
  <c r="P98" i="79" s="1"/>
  <c r="O43" i="81" s="1"/>
  <c r="Q43" i="79"/>
  <c r="Q98" i="79" s="1"/>
  <c r="P43" i="81" s="1"/>
  <c r="J44" i="79"/>
  <c r="J99" i="79" s="1"/>
  <c r="I44" i="81" s="1"/>
  <c r="K44" i="79"/>
  <c r="K99" i="79" s="1"/>
  <c r="J44" i="81" s="1"/>
  <c r="L44" i="79"/>
  <c r="L99" i="79" s="1"/>
  <c r="K44" i="81" s="1"/>
  <c r="M44" i="79"/>
  <c r="M99" i="79" s="1"/>
  <c r="L44" i="81" s="1"/>
  <c r="N44" i="79"/>
  <c r="N99" i="79" s="1"/>
  <c r="M44" i="81" s="1"/>
  <c r="O44" i="79"/>
  <c r="O99" i="79" s="1"/>
  <c r="N44" i="81" s="1"/>
  <c r="P44" i="79"/>
  <c r="P99" i="79" s="1"/>
  <c r="O44" i="81" s="1"/>
  <c r="Q44" i="79"/>
  <c r="Q99" i="79" s="1"/>
  <c r="P44" i="81" s="1"/>
  <c r="J45" i="79"/>
  <c r="J100" i="79" s="1"/>
  <c r="I45" i="81" s="1"/>
  <c r="K45" i="79"/>
  <c r="K100" i="79" s="1"/>
  <c r="J45" i="81" s="1"/>
  <c r="L45" i="79"/>
  <c r="L100" i="79" s="1"/>
  <c r="K45" i="81" s="1"/>
  <c r="M45" i="79"/>
  <c r="M100" i="79" s="1"/>
  <c r="L45" i="81" s="1"/>
  <c r="N45" i="79"/>
  <c r="N100" i="79" s="1"/>
  <c r="M45" i="81" s="1"/>
  <c r="O45" i="79"/>
  <c r="O100" i="79" s="1"/>
  <c r="N45" i="81" s="1"/>
  <c r="P45" i="79"/>
  <c r="P100" i="79" s="1"/>
  <c r="O45" i="81" s="1"/>
  <c r="Q45" i="79"/>
  <c r="Q100" i="79" s="1"/>
  <c r="P45" i="81" s="1"/>
  <c r="J46" i="79"/>
  <c r="J101" i="79" s="1"/>
  <c r="I46" i="81" s="1"/>
  <c r="K46" i="79"/>
  <c r="K101" i="79" s="1"/>
  <c r="J46" i="81" s="1"/>
  <c r="L46" i="79"/>
  <c r="L101" i="79" s="1"/>
  <c r="K46" i="81" s="1"/>
  <c r="M46" i="79"/>
  <c r="M101" i="79" s="1"/>
  <c r="L46" i="81" s="1"/>
  <c r="N46" i="79"/>
  <c r="N101" i="79" s="1"/>
  <c r="M46" i="81" s="1"/>
  <c r="O46" i="79"/>
  <c r="O101" i="79" s="1"/>
  <c r="N46" i="81" s="1"/>
  <c r="P46" i="79"/>
  <c r="P101" i="79" s="1"/>
  <c r="O46" i="81" s="1"/>
  <c r="Q46" i="79"/>
  <c r="Q101" i="79" s="1"/>
  <c r="P46" i="81" s="1"/>
  <c r="J47" i="79"/>
  <c r="J102" i="79" s="1"/>
  <c r="I47" i="81" s="1"/>
  <c r="K47" i="79"/>
  <c r="K102" i="79" s="1"/>
  <c r="J47" i="81" s="1"/>
  <c r="L47" i="79"/>
  <c r="L102" i="79" s="1"/>
  <c r="K47" i="81" s="1"/>
  <c r="M47" i="79"/>
  <c r="M102" i="79" s="1"/>
  <c r="L47" i="81" s="1"/>
  <c r="N47" i="79"/>
  <c r="N102" i="79" s="1"/>
  <c r="M47" i="81" s="1"/>
  <c r="O47" i="79"/>
  <c r="O102" i="79" s="1"/>
  <c r="N47" i="81" s="1"/>
  <c r="P47" i="79"/>
  <c r="P102" i="79" s="1"/>
  <c r="O47" i="81" s="1"/>
  <c r="Q47" i="79"/>
  <c r="Q102" i="79" s="1"/>
  <c r="P47" i="81" s="1"/>
  <c r="J48" i="79"/>
  <c r="J103" i="79" s="1"/>
  <c r="I48" i="81" s="1"/>
  <c r="K48" i="79"/>
  <c r="K103" i="79" s="1"/>
  <c r="J48" i="81" s="1"/>
  <c r="L48" i="79"/>
  <c r="L103" i="79" s="1"/>
  <c r="K48" i="81" s="1"/>
  <c r="M48" i="79"/>
  <c r="M103" i="79" s="1"/>
  <c r="L48" i="81" s="1"/>
  <c r="N48" i="79"/>
  <c r="N103" i="79" s="1"/>
  <c r="M48" i="81" s="1"/>
  <c r="O48" i="79"/>
  <c r="O103" i="79" s="1"/>
  <c r="N48" i="81" s="1"/>
  <c r="P48" i="79"/>
  <c r="P103" i="79" s="1"/>
  <c r="O48" i="81" s="1"/>
  <c r="Q48" i="79"/>
  <c r="Q103" i="79" s="1"/>
  <c r="P48" i="81" s="1"/>
  <c r="J49" i="79"/>
  <c r="J104" i="79" s="1"/>
  <c r="I49" i="81" s="1"/>
  <c r="K49" i="79"/>
  <c r="K104" i="79" s="1"/>
  <c r="J49" i="81" s="1"/>
  <c r="L49" i="79"/>
  <c r="L104" i="79" s="1"/>
  <c r="K49" i="81" s="1"/>
  <c r="M49" i="79"/>
  <c r="M104" i="79" s="1"/>
  <c r="L49" i="81" s="1"/>
  <c r="N49" i="79"/>
  <c r="N104" i="79" s="1"/>
  <c r="M49" i="81" s="1"/>
  <c r="O49" i="79"/>
  <c r="O104" i="79" s="1"/>
  <c r="N49" i="81" s="1"/>
  <c r="P49" i="79"/>
  <c r="P104" i="79" s="1"/>
  <c r="O49" i="81" s="1"/>
  <c r="Q49" i="79"/>
  <c r="Q104" i="79" s="1"/>
  <c r="P49" i="81" s="1"/>
  <c r="J50" i="79"/>
  <c r="J105" i="79" s="1"/>
  <c r="I50" i="81" s="1"/>
  <c r="K50" i="79"/>
  <c r="K105" i="79" s="1"/>
  <c r="J50" i="81" s="1"/>
  <c r="L50" i="79"/>
  <c r="L105" i="79" s="1"/>
  <c r="K50" i="81" s="1"/>
  <c r="M50" i="79"/>
  <c r="M105" i="79" s="1"/>
  <c r="L50" i="81" s="1"/>
  <c r="N50" i="79"/>
  <c r="N105" i="79" s="1"/>
  <c r="M50" i="81" s="1"/>
  <c r="O50" i="79"/>
  <c r="O105" i="79" s="1"/>
  <c r="N50" i="81" s="1"/>
  <c r="P50" i="79"/>
  <c r="P105" i="79" s="1"/>
  <c r="O50" i="81" s="1"/>
  <c r="Q50" i="79"/>
  <c r="Q105" i="79" s="1"/>
  <c r="P50" i="81" s="1"/>
  <c r="J51" i="79"/>
  <c r="J106" i="79" s="1"/>
  <c r="I51" i="81" s="1"/>
  <c r="K51" i="79"/>
  <c r="K106" i="79" s="1"/>
  <c r="J51" i="81" s="1"/>
  <c r="L51" i="79"/>
  <c r="L106" i="79" s="1"/>
  <c r="K51" i="81" s="1"/>
  <c r="M51" i="79"/>
  <c r="M106" i="79" s="1"/>
  <c r="L51" i="81" s="1"/>
  <c r="N51" i="79"/>
  <c r="N106" i="79" s="1"/>
  <c r="M51" i="81" s="1"/>
  <c r="O51" i="79"/>
  <c r="O106" i="79" s="1"/>
  <c r="N51" i="81" s="1"/>
  <c r="P51" i="79"/>
  <c r="P106" i="79" s="1"/>
  <c r="O51" i="81" s="1"/>
  <c r="Q51" i="79"/>
  <c r="Q106" i="79" s="1"/>
  <c r="P51" i="81" s="1"/>
  <c r="J52" i="79"/>
  <c r="J107" i="79" s="1"/>
  <c r="I52" i="81" s="1"/>
  <c r="K52" i="79"/>
  <c r="K107" i="79" s="1"/>
  <c r="J52" i="81" s="1"/>
  <c r="L52" i="79"/>
  <c r="L107" i="79" s="1"/>
  <c r="K52" i="81" s="1"/>
  <c r="M52" i="79"/>
  <c r="M107" i="79" s="1"/>
  <c r="L52" i="81" s="1"/>
  <c r="N52" i="79"/>
  <c r="N107" i="79" s="1"/>
  <c r="M52" i="81" s="1"/>
  <c r="O52" i="79"/>
  <c r="O107" i="79" s="1"/>
  <c r="N52" i="81" s="1"/>
  <c r="P52" i="79"/>
  <c r="P107" i="79" s="1"/>
  <c r="O52" i="81" s="1"/>
  <c r="Q52" i="79"/>
  <c r="Q107" i="79" s="1"/>
  <c r="P52" i="81" s="1"/>
  <c r="J53" i="79"/>
  <c r="J108" i="79" s="1"/>
  <c r="I53" i="81" s="1"/>
  <c r="K53" i="79"/>
  <c r="K108" i="79" s="1"/>
  <c r="J53" i="81" s="1"/>
  <c r="L53" i="79"/>
  <c r="L108" i="79" s="1"/>
  <c r="K53" i="81" s="1"/>
  <c r="M53" i="79"/>
  <c r="M108" i="79" s="1"/>
  <c r="L53" i="81" s="1"/>
  <c r="N53" i="79"/>
  <c r="N108" i="79" s="1"/>
  <c r="M53" i="81" s="1"/>
  <c r="O53" i="79"/>
  <c r="O108" i="79" s="1"/>
  <c r="N53" i="81" s="1"/>
  <c r="P53" i="79"/>
  <c r="P108" i="79" s="1"/>
  <c r="O53" i="81" s="1"/>
  <c r="Q53" i="79"/>
  <c r="Q108" i="79" s="1"/>
  <c r="P53" i="81" s="1"/>
  <c r="K4" i="79"/>
  <c r="K59" i="79" s="1"/>
  <c r="J4" i="81" s="1"/>
  <c r="L4" i="79"/>
  <c r="L59" i="79" s="1"/>
  <c r="K4" i="81" s="1"/>
  <c r="M4" i="79"/>
  <c r="M59" i="79" s="1"/>
  <c r="L4" i="81" s="1"/>
  <c r="N4" i="79"/>
  <c r="N59" i="79" s="1"/>
  <c r="M4" i="81" s="1"/>
  <c r="O4" i="79"/>
  <c r="O59" i="79" s="1"/>
  <c r="N4" i="81" s="1"/>
  <c r="P4" i="79"/>
  <c r="P59" i="79" s="1"/>
  <c r="O4" i="81" s="1"/>
  <c r="Q4" i="79"/>
  <c r="Q59" i="79" s="1"/>
  <c r="P4" i="81" s="1"/>
  <c r="J4" i="79"/>
  <c r="J59" i="79" s="1"/>
  <c r="I4" i="81" s="1"/>
  <c r="D5" i="79"/>
  <c r="D60" i="79" s="1"/>
  <c r="C5" i="81" s="1"/>
  <c r="E5" i="79"/>
  <c r="E60" i="79" s="1"/>
  <c r="D5" i="81" s="1"/>
  <c r="F5" i="79"/>
  <c r="F60" i="79" s="1"/>
  <c r="E5" i="81" s="1"/>
  <c r="G5" i="79"/>
  <c r="G60" i="79" s="1"/>
  <c r="F5" i="81" s="1"/>
  <c r="H5" i="79"/>
  <c r="H60" i="79" s="1"/>
  <c r="G5" i="81" s="1"/>
  <c r="I5" i="79"/>
  <c r="I60" i="79" s="1"/>
  <c r="H5" i="81" s="1"/>
  <c r="D6" i="79"/>
  <c r="D61" i="79" s="1"/>
  <c r="C6" i="81" s="1"/>
  <c r="E6" i="79"/>
  <c r="E61" i="79" s="1"/>
  <c r="D6" i="81" s="1"/>
  <c r="F6" i="79"/>
  <c r="F61" i="79" s="1"/>
  <c r="E6" i="81" s="1"/>
  <c r="G6" i="79"/>
  <c r="G61" i="79" s="1"/>
  <c r="F6" i="81" s="1"/>
  <c r="H6" i="79"/>
  <c r="H61" i="79" s="1"/>
  <c r="G6" i="81" s="1"/>
  <c r="I6" i="79"/>
  <c r="I61" i="79" s="1"/>
  <c r="H6" i="81" s="1"/>
  <c r="D7" i="79"/>
  <c r="D62" i="79" s="1"/>
  <c r="C7" i="81" s="1"/>
  <c r="E7" i="79"/>
  <c r="E62" i="79" s="1"/>
  <c r="D7" i="81" s="1"/>
  <c r="F7" i="79"/>
  <c r="F62" i="79" s="1"/>
  <c r="E7" i="81" s="1"/>
  <c r="G7" i="79"/>
  <c r="G62" i="79" s="1"/>
  <c r="F7" i="81" s="1"/>
  <c r="H7" i="79"/>
  <c r="H62" i="79" s="1"/>
  <c r="G7" i="81" s="1"/>
  <c r="I7" i="79"/>
  <c r="I62" i="79" s="1"/>
  <c r="H7" i="81" s="1"/>
  <c r="D8" i="79"/>
  <c r="D63" i="79" s="1"/>
  <c r="C8" i="81" s="1"/>
  <c r="E8" i="79"/>
  <c r="E63" i="79" s="1"/>
  <c r="D8" i="81" s="1"/>
  <c r="F8" i="79"/>
  <c r="F63" i="79" s="1"/>
  <c r="E8" i="81" s="1"/>
  <c r="G8" i="79"/>
  <c r="G63" i="79" s="1"/>
  <c r="F8" i="81" s="1"/>
  <c r="H8" i="79"/>
  <c r="H63" i="79" s="1"/>
  <c r="G8" i="81" s="1"/>
  <c r="I8" i="79"/>
  <c r="I63" i="79" s="1"/>
  <c r="H8" i="81" s="1"/>
  <c r="D9" i="79"/>
  <c r="D64" i="79" s="1"/>
  <c r="C9" i="81" s="1"/>
  <c r="E9" i="79"/>
  <c r="E64" i="79" s="1"/>
  <c r="D9" i="81" s="1"/>
  <c r="F9" i="79"/>
  <c r="F64" i="79" s="1"/>
  <c r="E9" i="81" s="1"/>
  <c r="G9" i="79"/>
  <c r="G64" i="79" s="1"/>
  <c r="F9" i="81" s="1"/>
  <c r="H9" i="79"/>
  <c r="H64" i="79" s="1"/>
  <c r="G9" i="81" s="1"/>
  <c r="I9" i="79"/>
  <c r="I64" i="79" s="1"/>
  <c r="H9" i="81" s="1"/>
  <c r="D10" i="79"/>
  <c r="D65" i="79" s="1"/>
  <c r="C10" i="81" s="1"/>
  <c r="E10" i="79"/>
  <c r="E65" i="79" s="1"/>
  <c r="D10" i="81" s="1"/>
  <c r="F10" i="79"/>
  <c r="F65" i="79" s="1"/>
  <c r="E10" i="81" s="1"/>
  <c r="G10" i="79"/>
  <c r="G65" i="79" s="1"/>
  <c r="F10" i="81" s="1"/>
  <c r="H10" i="79"/>
  <c r="H65" i="79" s="1"/>
  <c r="G10" i="81" s="1"/>
  <c r="I10" i="79"/>
  <c r="I65" i="79" s="1"/>
  <c r="H10" i="81" s="1"/>
  <c r="D11" i="79"/>
  <c r="D66" i="79" s="1"/>
  <c r="C11" i="81" s="1"/>
  <c r="E11" i="79"/>
  <c r="E66" i="79" s="1"/>
  <c r="D11" i="81" s="1"/>
  <c r="F11" i="79"/>
  <c r="F66" i="79" s="1"/>
  <c r="E11" i="81" s="1"/>
  <c r="G11" i="79"/>
  <c r="G66" i="79" s="1"/>
  <c r="F11" i="81" s="1"/>
  <c r="H11" i="79"/>
  <c r="H66" i="79" s="1"/>
  <c r="G11" i="81" s="1"/>
  <c r="I11" i="79"/>
  <c r="I66" i="79" s="1"/>
  <c r="H11" i="81" s="1"/>
  <c r="D12" i="79"/>
  <c r="D67" i="79" s="1"/>
  <c r="C12" i="81" s="1"/>
  <c r="E12" i="79"/>
  <c r="E67" i="79" s="1"/>
  <c r="D12" i="81" s="1"/>
  <c r="F12" i="79"/>
  <c r="F67" i="79" s="1"/>
  <c r="E12" i="81" s="1"/>
  <c r="G12" i="79"/>
  <c r="G67" i="79" s="1"/>
  <c r="F12" i="81" s="1"/>
  <c r="H12" i="79"/>
  <c r="H67" i="79" s="1"/>
  <c r="G12" i="81" s="1"/>
  <c r="I12" i="79"/>
  <c r="I67" i="79" s="1"/>
  <c r="H12" i="81" s="1"/>
  <c r="D13" i="79"/>
  <c r="D68" i="79" s="1"/>
  <c r="C13" i="81" s="1"/>
  <c r="E13" i="79"/>
  <c r="E68" i="79" s="1"/>
  <c r="D13" i="81" s="1"/>
  <c r="F13" i="79"/>
  <c r="F68" i="79" s="1"/>
  <c r="E13" i="81" s="1"/>
  <c r="G13" i="79"/>
  <c r="G68" i="79" s="1"/>
  <c r="F13" i="81" s="1"/>
  <c r="H13" i="79"/>
  <c r="H68" i="79" s="1"/>
  <c r="G13" i="81" s="1"/>
  <c r="I13" i="79"/>
  <c r="I68" i="79" s="1"/>
  <c r="H13" i="81" s="1"/>
  <c r="D14" i="79"/>
  <c r="D69" i="79" s="1"/>
  <c r="C14" i="81" s="1"/>
  <c r="E14" i="79"/>
  <c r="E69" i="79" s="1"/>
  <c r="D14" i="81" s="1"/>
  <c r="F14" i="79"/>
  <c r="F69" i="79" s="1"/>
  <c r="E14" i="81" s="1"/>
  <c r="G14" i="79"/>
  <c r="G69" i="79" s="1"/>
  <c r="F14" i="81" s="1"/>
  <c r="H14" i="79"/>
  <c r="H69" i="79" s="1"/>
  <c r="G14" i="81" s="1"/>
  <c r="I14" i="79"/>
  <c r="I69" i="79" s="1"/>
  <c r="H14" i="81" s="1"/>
  <c r="D15" i="79"/>
  <c r="D70" i="79" s="1"/>
  <c r="C15" i="81" s="1"/>
  <c r="E15" i="79"/>
  <c r="E70" i="79" s="1"/>
  <c r="D15" i="81" s="1"/>
  <c r="F15" i="79"/>
  <c r="F70" i="79" s="1"/>
  <c r="E15" i="81" s="1"/>
  <c r="G15" i="79"/>
  <c r="G70" i="79" s="1"/>
  <c r="F15" i="81" s="1"/>
  <c r="H15" i="79"/>
  <c r="H70" i="79" s="1"/>
  <c r="G15" i="81" s="1"/>
  <c r="I15" i="79"/>
  <c r="I70" i="79" s="1"/>
  <c r="H15" i="81" s="1"/>
  <c r="D16" i="79"/>
  <c r="D71" i="79" s="1"/>
  <c r="C16" i="81" s="1"/>
  <c r="E16" i="79"/>
  <c r="E71" i="79" s="1"/>
  <c r="D16" i="81" s="1"/>
  <c r="F16" i="79"/>
  <c r="F71" i="79" s="1"/>
  <c r="E16" i="81" s="1"/>
  <c r="G16" i="79"/>
  <c r="G71" i="79" s="1"/>
  <c r="F16" i="81" s="1"/>
  <c r="H16" i="79"/>
  <c r="H71" i="79" s="1"/>
  <c r="G16" i="81" s="1"/>
  <c r="I16" i="79"/>
  <c r="I71" i="79" s="1"/>
  <c r="H16" i="81" s="1"/>
  <c r="D17" i="79"/>
  <c r="D72" i="79" s="1"/>
  <c r="C17" i="81" s="1"/>
  <c r="E17" i="79"/>
  <c r="E72" i="79" s="1"/>
  <c r="D17" i="81" s="1"/>
  <c r="F17" i="79"/>
  <c r="F72" i="79" s="1"/>
  <c r="E17" i="81" s="1"/>
  <c r="G17" i="79"/>
  <c r="G72" i="79" s="1"/>
  <c r="F17" i="81" s="1"/>
  <c r="H17" i="79"/>
  <c r="H72" i="79" s="1"/>
  <c r="G17" i="81" s="1"/>
  <c r="I17" i="79"/>
  <c r="I72" i="79" s="1"/>
  <c r="H17" i="81" s="1"/>
  <c r="D18" i="79"/>
  <c r="D73" i="79" s="1"/>
  <c r="C18" i="81" s="1"/>
  <c r="E18" i="79"/>
  <c r="E73" i="79" s="1"/>
  <c r="D18" i="81" s="1"/>
  <c r="F18" i="79"/>
  <c r="F73" i="79" s="1"/>
  <c r="E18" i="81" s="1"/>
  <c r="G18" i="79"/>
  <c r="G73" i="79" s="1"/>
  <c r="F18" i="81" s="1"/>
  <c r="H18" i="79"/>
  <c r="H73" i="79" s="1"/>
  <c r="G18" i="81" s="1"/>
  <c r="I18" i="79"/>
  <c r="I73" i="79" s="1"/>
  <c r="H18" i="81" s="1"/>
  <c r="D19" i="79"/>
  <c r="D74" i="79" s="1"/>
  <c r="C19" i="81" s="1"/>
  <c r="E19" i="79"/>
  <c r="E74" i="79" s="1"/>
  <c r="D19" i="81" s="1"/>
  <c r="F19" i="79"/>
  <c r="F74" i="79" s="1"/>
  <c r="E19" i="81" s="1"/>
  <c r="G19" i="79"/>
  <c r="G74" i="79" s="1"/>
  <c r="F19" i="81" s="1"/>
  <c r="H19" i="79"/>
  <c r="H74" i="79" s="1"/>
  <c r="G19" i="81" s="1"/>
  <c r="I19" i="79"/>
  <c r="I74" i="79" s="1"/>
  <c r="H19" i="81" s="1"/>
  <c r="D20" i="79"/>
  <c r="D75" i="79" s="1"/>
  <c r="C20" i="81" s="1"/>
  <c r="E20" i="79"/>
  <c r="E75" i="79" s="1"/>
  <c r="D20" i="81" s="1"/>
  <c r="F20" i="79"/>
  <c r="F75" i="79" s="1"/>
  <c r="E20" i="81" s="1"/>
  <c r="G20" i="79"/>
  <c r="G75" i="79" s="1"/>
  <c r="F20" i="81" s="1"/>
  <c r="H20" i="79"/>
  <c r="H75" i="79" s="1"/>
  <c r="G20" i="81" s="1"/>
  <c r="I20" i="79"/>
  <c r="I75" i="79" s="1"/>
  <c r="H20" i="81" s="1"/>
  <c r="D21" i="79"/>
  <c r="D76" i="79" s="1"/>
  <c r="C21" i="81" s="1"/>
  <c r="E21" i="79"/>
  <c r="E76" i="79" s="1"/>
  <c r="D21" i="81" s="1"/>
  <c r="F21" i="79"/>
  <c r="F76" i="79" s="1"/>
  <c r="E21" i="81" s="1"/>
  <c r="G21" i="79"/>
  <c r="G76" i="79" s="1"/>
  <c r="F21" i="81" s="1"/>
  <c r="H21" i="79"/>
  <c r="H76" i="79" s="1"/>
  <c r="G21" i="81" s="1"/>
  <c r="I21" i="79"/>
  <c r="I76" i="79" s="1"/>
  <c r="H21" i="81" s="1"/>
  <c r="D22" i="79"/>
  <c r="D77" i="79" s="1"/>
  <c r="C22" i="81" s="1"/>
  <c r="E22" i="79"/>
  <c r="E77" i="79" s="1"/>
  <c r="D22" i="81" s="1"/>
  <c r="F22" i="79"/>
  <c r="F77" i="79" s="1"/>
  <c r="E22" i="81" s="1"/>
  <c r="G22" i="79"/>
  <c r="G77" i="79" s="1"/>
  <c r="F22" i="81" s="1"/>
  <c r="H22" i="79"/>
  <c r="H77" i="79" s="1"/>
  <c r="G22" i="81" s="1"/>
  <c r="I22" i="79"/>
  <c r="I77" i="79" s="1"/>
  <c r="H22" i="81" s="1"/>
  <c r="D23" i="79"/>
  <c r="D78" i="79" s="1"/>
  <c r="C23" i="81" s="1"/>
  <c r="E23" i="79"/>
  <c r="E78" i="79" s="1"/>
  <c r="D23" i="81" s="1"/>
  <c r="F23" i="79"/>
  <c r="F78" i="79" s="1"/>
  <c r="E23" i="81" s="1"/>
  <c r="G23" i="79"/>
  <c r="G78" i="79" s="1"/>
  <c r="F23" i="81" s="1"/>
  <c r="H23" i="79"/>
  <c r="H78" i="79" s="1"/>
  <c r="G23" i="81" s="1"/>
  <c r="I23" i="79"/>
  <c r="I78" i="79" s="1"/>
  <c r="H23" i="81" s="1"/>
  <c r="D24" i="79"/>
  <c r="D79" i="79" s="1"/>
  <c r="C24" i="81" s="1"/>
  <c r="E24" i="79"/>
  <c r="E79" i="79" s="1"/>
  <c r="D24" i="81" s="1"/>
  <c r="F24" i="79"/>
  <c r="F79" i="79" s="1"/>
  <c r="E24" i="81" s="1"/>
  <c r="G24" i="79"/>
  <c r="G79" i="79" s="1"/>
  <c r="F24" i="81" s="1"/>
  <c r="H24" i="79"/>
  <c r="H79" i="79" s="1"/>
  <c r="G24" i="81" s="1"/>
  <c r="I24" i="79"/>
  <c r="I79" i="79" s="1"/>
  <c r="H24" i="81" s="1"/>
  <c r="D25" i="79"/>
  <c r="D80" i="79" s="1"/>
  <c r="C25" i="81" s="1"/>
  <c r="E25" i="79"/>
  <c r="E80" i="79" s="1"/>
  <c r="D25" i="81" s="1"/>
  <c r="F25" i="79"/>
  <c r="F80" i="79" s="1"/>
  <c r="E25" i="81" s="1"/>
  <c r="G25" i="79"/>
  <c r="G80" i="79" s="1"/>
  <c r="F25" i="81" s="1"/>
  <c r="H25" i="79"/>
  <c r="H80" i="79" s="1"/>
  <c r="G25" i="81" s="1"/>
  <c r="I25" i="79"/>
  <c r="I80" i="79" s="1"/>
  <c r="H25" i="81" s="1"/>
  <c r="D26" i="79"/>
  <c r="D81" i="79" s="1"/>
  <c r="C26" i="81" s="1"/>
  <c r="E26" i="79"/>
  <c r="E81" i="79" s="1"/>
  <c r="D26" i="81" s="1"/>
  <c r="F26" i="79"/>
  <c r="F81" i="79" s="1"/>
  <c r="E26" i="81" s="1"/>
  <c r="G26" i="79"/>
  <c r="G81" i="79" s="1"/>
  <c r="F26" i="81" s="1"/>
  <c r="H26" i="79"/>
  <c r="H81" i="79" s="1"/>
  <c r="G26" i="81" s="1"/>
  <c r="I26" i="79"/>
  <c r="I81" i="79" s="1"/>
  <c r="H26" i="81" s="1"/>
  <c r="D27" i="79"/>
  <c r="D82" i="79" s="1"/>
  <c r="C27" i="81" s="1"/>
  <c r="E27" i="79"/>
  <c r="E82" i="79" s="1"/>
  <c r="D27" i="81" s="1"/>
  <c r="F27" i="79"/>
  <c r="F82" i="79" s="1"/>
  <c r="E27" i="81" s="1"/>
  <c r="G27" i="79"/>
  <c r="G82" i="79" s="1"/>
  <c r="F27" i="81" s="1"/>
  <c r="H27" i="79"/>
  <c r="H82" i="79" s="1"/>
  <c r="G27" i="81" s="1"/>
  <c r="I27" i="79"/>
  <c r="I82" i="79" s="1"/>
  <c r="H27" i="81" s="1"/>
  <c r="D28" i="79"/>
  <c r="D83" i="79" s="1"/>
  <c r="C28" i="81" s="1"/>
  <c r="E28" i="79"/>
  <c r="E83" i="79" s="1"/>
  <c r="D28" i="81" s="1"/>
  <c r="F28" i="79"/>
  <c r="F83" i="79" s="1"/>
  <c r="E28" i="81" s="1"/>
  <c r="G28" i="79"/>
  <c r="G83" i="79" s="1"/>
  <c r="F28" i="81" s="1"/>
  <c r="H28" i="79"/>
  <c r="H83" i="79" s="1"/>
  <c r="G28" i="81" s="1"/>
  <c r="I28" i="79"/>
  <c r="I83" i="79" s="1"/>
  <c r="H28" i="81" s="1"/>
  <c r="D29" i="79"/>
  <c r="D84" i="79" s="1"/>
  <c r="C29" i="81" s="1"/>
  <c r="E29" i="79"/>
  <c r="E84" i="79" s="1"/>
  <c r="D29" i="81" s="1"/>
  <c r="F29" i="79"/>
  <c r="F84" i="79" s="1"/>
  <c r="E29" i="81" s="1"/>
  <c r="G29" i="79"/>
  <c r="G84" i="79" s="1"/>
  <c r="F29" i="81" s="1"/>
  <c r="H29" i="79"/>
  <c r="H84" i="79" s="1"/>
  <c r="G29" i="81" s="1"/>
  <c r="I29" i="79"/>
  <c r="I84" i="79" s="1"/>
  <c r="H29" i="81" s="1"/>
  <c r="D30" i="79"/>
  <c r="D85" i="79" s="1"/>
  <c r="C30" i="81" s="1"/>
  <c r="E30" i="79"/>
  <c r="E85" i="79" s="1"/>
  <c r="D30" i="81" s="1"/>
  <c r="F30" i="79"/>
  <c r="F85" i="79" s="1"/>
  <c r="E30" i="81" s="1"/>
  <c r="G30" i="79"/>
  <c r="G85" i="79" s="1"/>
  <c r="F30" i="81" s="1"/>
  <c r="H30" i="79"/>
  <c r="H85" i="79" s="1"/>
  <c r="G30" i="81" s="1"/>
  <c r="I30" i="79"/>
  <c r="I85" i="79" s="1"/>
  <c r="H30" i="81" s="1"/>
  <c r="D31" i="79"/>
  <c r="D86" i="79" s="1"/>
  <c r="C31" i="81" s="1"/>
  <c r="E31" i="79"/>
  <c r="E86" i="79" s="1"/>
  <c r="D31" i="81" s="1"/>
  <c r="F31" i="79"/>
  <c r="F86" i="79" s="1"/>
  <c r="E31" i="81" s="1"/>
  <c r="G31" i="79"/>
  <c r="G86" i="79" s="1"/>
  <c r="F31" i="81" s="1"/>
  <c r="H31" i="79"/>
  <c r="H86" i="79" s="1"/>
  <c r="G31" i="81" s="1"/>
  <c r="I31" i="79"/>
  <c r="I86" i="79" s="1"/>
  <c r="H31" i="81" s="1"/>
  <c r="D32" i="79"/>
  <c r="D87" i="79" s="1"/>
  <c r="C32" i="81" s="1"/>
  <c r="E32" i="79"/>
  <c r="E87" i="79" s="1"/>
  <c r="D32" i="81" s="1"/>
  <c r="F32" i="79"/>
  <c r="F87" i="79" s="1"/>
  <c r="E32" i="81" s="1"/>
  <c r="G32" i="79"/>
  <c r="G87" i="79" s="1"/>
  <c r="F32" i="81" s="1"/>
  <c r="H32" i="79"/>
  <c r="H87" i="79" s="1"/>
  <c r="G32" i="81" s="1"/>
  <c r="I32" i="79"/>
  <c r="I87" i="79" s="1"/>
  <c r="H32" i="81" s="1"/>
  <c r="D33" i="79"/>
  <c r="D88" i="79" s="1"/>
  <c r="C33" i="81" s="1"/>
  <c r="E33" i="79"/>
  <c r="E88" i="79" s="1"/>
  <c r="D33" i="81" s="1"/>
  <c r="F33" i="79"/>
  <c r="F88" i="79" s="1"/>
  <c r="E33" i="81" s="1"/>
  <c r="G33" i="79"/>
  <c r="G88" i="79" s="1"/>
  <c r="F33" i="81" s="1"/>
  <c r="H33" i="79"/>
  <c r="H88" i="79" s="1"/>
  <c r="G33" i="81" s="1"/>
  <c r="I33" i="79"/>
  <c r="I88" i="79" s="1"/>
  <c r="H33" i="81" s="1"/>
  <c r="D34" i="79"/>
  <c r="D89" i="79" s="1"/>
  <c r="C34" i="81" s="1"/>
  <c r="E34" i="79"/>
  <c r="E89" i="79" s="1"/>
  <c r="D34" i="81" s="1"/>
  <c r="F34" i="79"/>
  <c r="F89" i="79" s="1"/>
  <c r="E34" i="81" s="1"/>
  <c r="G34" i="79"/>
  <c r="G89" i="79" s="1"/>
  <c r="F34" i="81" s="1"/>
  <c r="H34" i="79"/>
  <c r="H89" i="79" s="1"/>
  <c r="G34" i="81" s="1"/>
  <c r="I34" i="79"/>
  <c r="I89" i="79" s="1"/>
  <c r="H34" i="81" s="1"/>
  <c r="D35" i="79"/>
  <c r="D90" i="79" s="1"/>
  <c r="C35" i="81" s="1"/>
  <c r="E35" i="79"/>
  <c r="E90" i="79" s="1"/>
  <c r="D35" i="81" s="1"/>
  <c r="F35" i="79"/>
  <c r="F90" i="79" s="1"/>
  <c r="E35" i="81" s="1"/>
  <c r="G35" i="79"/>
  <c r="G90" i="79" s="1"/>
  <c r="F35" i="81" s="1"/>
  <c r="H35" i="79"/>
  <c r="H90" i="79" s="1"/>
  <c r="G35" i="81" s="1"/>
  <c r="I35" i="79"/>
  <c r="I90" i="79" s="1"/>
  <c r="H35" i="81" s="1"/>
  <c r="D36" i="79"/>
  <c r="D91" i="79" s="1"/>
  <c r="C36" i="81" s="1"/>
  <c r="E36" i="79"/>
  <c r="E91" i="79" s="1"/>
  <c r="D36" i="81" s="1"/>
  <c r="F36" i="79"/>
  <c r="F91" i="79" s="1"/>
  <c r="E36" i="81" s="1"/>
  <c r="G36" i="79"/>
  <c r="G91" i="79" s="1"/>
  <c r="F36" i="81" s="1"/>
  <c r="H36" i="79"/>
  <c r="H91" i="79" s="1"/>
  <c r="G36" i="81" s="1"/>
  <c r="I36" i="79"/>
  <c r="I91" i="79" s="1"/>
  <c r="H36" i="81" s="1"/>
  <c r="D37" i="79"/>
  <c r="D92" i="79" s="1"/>
  <c r="C37" i="81" s="1"/>
  <c r="E37" i="79"/>
  <c r="E92" i="79" s="1"/>
  <c r="D37" i="81" s="1"/>
  <c r="F37" i="79"/>
  <c r="F92" i="79" s="1"/>
  <c r="E37" i="81" s="1"/>
  <c r="G37" i="79"/>
  <c r="G92" i="79" s="1"/>
  <c r="F37" i="81" s="1"/>
  <c r="H37" i="79"/>
  <c r="H92" i="79" s="1"/>
  <c r="G37" i="81" s="1"/>
  <c r="I37" i="79"/>
  <c r="I92" i="79" s="1"/>
  <c r="H37" i="81" s="1"/>
  <c r="D38" i="79"/>
  <c r="D93" i="79" s="1"/>
  <c r="C38" i="81" s="1"/>
  <c r="E38" i="79"/>
  <c r="E93" i="79" s="1"/>
  <c r="D38" i="81" s="1"/>
  <c r="F38" i="79"/>
  <c r="F93" i="79" s="1"/>
  <c r="E38" i="81" s="1"/>
  <c r="G38" i="79"/>
  <c r="G93" i="79" s="1"/>
  <c r="F38" i="81" s="1"/>
  <c r="H38" i="79"/>
  <c r="H93" i="79" s="1"/>
  <c r="G38" i="81" s="1"/>
  <c r="I38" i="79"/>
  <c r="I93" i="79" s="1"/>
  <c r="H38" i="81" s="1"/>
  <c r="D39" i="79"/>
  <c r="D94" i="79" s="1"/>
  <c r="C39" i="81" s="1"/>
  <c r="E39" i="79"/>
  <c r="E94" i="79" s="1"/>
  <c r="D39" i="81" s="1"/>
  <c r="F39" i="79"/>
  <c r="F94" i="79" s="1"/>
  <c r="E39" i="81" s="1"/>
  <c r="G39" i="79"/>
  <c r="G94" i="79" s="1"/>
  <c r="F39" i="81" s="1"/>
  <c r="H39" i="79"/>
  <c r="H94" i="79" s="1"/>
  <c r="G39" i="81" s="1"/>
  <c r="I39" i="79"/>
  <c r="I94" i="79" s="1"/>
  <c r="H39" i="81" s="1"/>
  <c r="D40" i="79"/>
  <c r="D95" i="79" s="1"/>
  <c r="C40" i="81" s="1"/>
  <c r="E40" i="79"/>
  <c r="E95" i="79" s="1"/>
  <c r="D40" i="81" s="1"/>
  <c r="F40" i="79"/>
  <c r="F95" i="79" s="1"/>
  <c r="E40" i="81" s="1"/>
  <c r="G40" i="79"/>
  <c r="G95" i="79" s="1"/>
  <c r="F40" i="81" s="1"/>
  <c r="H40" i="79"/>
  <c r="H95" i="79" s="1"/>
  <c r="G40" i="81" s="1"/>
  <c r="I40" i="79"/>
  <c r="I95" i="79" s="1"/>
  <c r="H40" i="81" s="1"/>
  <c r="D41" i="79"/>
  <c r="D96" i="79" s="1"/>
  <c r="C41" i="81" s="1"/>
  <c r="E41" i="79"/>
  <c r="E96" i="79" s="1"/>
  <c r="D41" i="81" s="1"/>
  <c r="F41" i="79"/>
  <c r="F96" i="79" s="1"/>
  <c r="E41" i="81" s="1"/>
  <c r="G41" i="79"/>
  <c r="G96" i="79" s="1"/>
  <c r="F41" i="81" s="1"/>
  <c r="H41" i="79"/>
  <c r="H96" i="79" s="1"/>
  <c r="G41" i="81" s="1"/>
  <c r="I41" i="79"/>
  <c r="I96" i="79" s="1"/>
  <c r="H41" i="81" s="1"/>
  <c r="D42" i="79"/>
  <c r="D97" i="79" s="1"/>
  <c r="C42" i="81" s="1"/>
  <c r="E42" i="79"/>
  <c r="E97" i="79" s="1"/>
  <c r="D42" i="81" s="1"/>
  <c r="F42" i="79"/>
  <c r="F97" i="79" s="1"/>
  <c r="E42" i="81" s="1"/>
  <c r="G42" i="79"/>
  <c r="G97" i="79" s="1"/>
  <c r="F42" i="81" s="1"/>
  <c r="H42" i="79"/>
  <c r="H97" i="79" s="1"/>
  <c r="G42" i="81" s="1"/>
  <c r="I42" i="79"/>
  <c r="I97" i="79" s="1"/>
  <c r="H42" i="81" s="1"/>
  <c r="D43" i="79"/>
  <c r="D98" i="79" s="1"/>
  <c r="C43" i="81" s="1"/>
  <c r="E43" i="79"/>
  <c r="E98" i="79" s="1"/>
  <c r="D43" i="81" s="1"/>
  <c r="F43" i="79"/>
  <c r="F98" i="79" s="1"/>
  <c r="E43" i="81" s="1"/>
  <c r="G43" i="79"/>
  <c r="G98" i="79" s="1"/>
  <c r="F43" i="81" s="1"/>
  <c r="H43" i="79"/>
  <c r="H98" i="79" s="1"/>
  <c r="G43" i="81" s="1"/>
  <c r="I43" i="79"/>
  <c r="I98" i="79" s="1"/>
  <c r="H43" i="81" s="1"/>
  <c r="D44" i="79"/>
  <c r="D99" i="79" s="1"/>
  <c r="C44" i="81" s="1"/>
  <c r="E44" i="79"/>
  <c r="E99" i="79" s="1"/>
  <c r="D44" i="81" s="1"/>
  <c r="F44" i="79"/>
  <c r="F99" i="79" s="1"/>
  <c r="E44" i="81" s="1"/>
  <c r="G44" i="79"/>
  <c r="G99" i="79" s="1"/>
  <c r="F44" i="81" s="1"/>
  <c r="H44" i="79"/>
  <c r="H99" i="79" s="1"/>
  <c r="G44" i="81" s="1"/>
  <c r="I44" i="79"/>
  <c r="I99" i="79" s="1"/>
  <c r="H44" i="81" s="1"/>
  <c r="D45" i="79"/>
  <c r="D100" i="79" s="1"/>
  <c r="C45" i="81" s="1"/>
  <c r="E45" i="79"/>
  <c r="E100" i="79" s="1"/>
  <c r="D45" i="81" s="1"/>
  <c r="F45" i="79"/>
  <c r="F100" i="79" s="1"/>
  <c r="E45" i="81" s="1"/>
  <c r="G45" i="79"/>
  <c r="G100" i="79" s="1"/>
  <c r="F45" i="81" s="1"/>
  <c r="H45" i="79"/>
  <c r="H100" i="79" s="1"/>
  <c r="G45" i="81" s="1"/>
  <c r="I45" i="79"/>
  <c r="I100" i="79" s="1"/>
  <c r="H45" i="81" s="1"/>
  <c r="D46" i="79"/>
  <c r="D101" i="79" s="1"/>
  <c r="C46" i="81" s="1"/>
  <c r="E46" i="79"/>
  <c r="E101" i="79" s="1"/>
  <c r="D46" i="81" s="1"/>
  <c r="F46" i="79"/>
  <c r="F101" i="79" s="1"/>
  <c r="E46" i="81" s="1"/>
  <c r="G46" i="79"/>
  <c r="G101" i="79" s="1"/>
  <c r="F46" i="81" s="1"/>
  <c r="H46" i="79"/>
  <c r="H101" i="79" s="1"/>
  <c r="G46" i="81" s="1"/>
  <c r="I46" i="79"/>
  <c r="I101" i="79" s="1"/>
  <c r="H46" i="81" s="1"/>
  <c r="D47" i="79"/>
  <c r="D102" i="79" s="1"/>
  <c r="C47" i="81" s="1"/>
  <c r="E47" i="79"/>
  <c r="E102" i="79" s="1"/>
  <c r="D47" i="81" s="1"/>
  <c r="F47" i="79"/>
  <c r="F102" i="79" s="1"/>
  <c r="E47" i="81" s="1"/>
  <c r="G47" i="79"/>
  <c r="G102" i="79" s="1"/>
  <c r="F47" i="81" s="1"/>
  <c r="H47" i="79"/>
  <c r="H102" i="79" s="1"/>
  <c r="G47" i="81" s="1"/>
  <c r="I47" i="79"/>
  <c r="I102" i="79" s="1"/>
  <c r="H47" i="81" s="1"/>
  <c r="D48" i="79"/>
  <c r="D103" i="79" s="1"/>
  <c r="C48" i="81" s="1"/>
  <c r="E48" i="79"/>
  <c r="E103" i="79" s="1"/>
  <c r="D48" i="81" s="1"/>
  <c r="F48" i="79"/>
  <c r="F103" i="79" s="1"/>
  <c r="E48" i="81" s="1"/>
  <c r="G48" i="79"/>
  <c r="G103" i="79" s="1"/>
  <c r="F48" i="81" s="1"/>
  <c r="H48" i="79"/>
  <c r="H103" i="79" s="1"/>
  <c r="G48" i="81" s="1"/>
  <c r="I48" i="79"/>
  <c r="I103" i="79" s="1"/>
  <c r="H48" i="81" s="1"/>
  <c r="D49" i="79"/>
  <c r="D104" i="79" s="1"/>
  <c r="C49" i="81" s="1"/>
  <c r="E49" i="79"/>
  <c r="E104" i="79" s="1"/>
  <c r="D49" i="81" s="1"/>
  <c r="F49" i="79"/>
  <c r="F104" i="79" s="1"/>
  <c r="E49" i="81" s="1"/>
  <c r="G49" i="79"/>
  <c r="G104" i="79" s="1"/>
  <c r="F49" i="81" s="1"/>
  <c r="H49" i="79"/>
  <c r="H104" i="79" s="1"/>
  <c r="G49" i="81" s="1"/>
  <c r="I49" i="79"/>
  <c r="I104" i="79" s="1"/>
  <c r="H49" i="81" s="1"/>
  <c r="D50" i="79"/>
  <c r="D105" i="79" s="1"/>
  <c r="C50" i="81" s="1"/>
  <c r="E50" i="79"/>
  <c r="E105" i="79" s="1"/>
  <c r="D50" i="81" s="1"/>
  <c r="F50" i="79"/>
  <c r="F105" i="79" s="1"/>
  <c r="E50" i="81" s="1"/>
  <c r="G50" i="79"/>
  <c r="G105" i="79" s="1"/>
  <c r="F50" i="81" s="1"/>
  <c r="H50" i="79"/>
  <c r="H105" i="79" s="1"/>
  <c r="G50" i="81" s="1"/>
  <c r="I50" i="79"/>
  <c r="I105" i="79" s="1"/>
  <c r="H50" i="81" s="1"/>
  <c r="D51" i="79"/>
  <c r="D106" i="79" s="1"/>
  <c r="C51" i="81" s="1"/>
  <c r="E51" i="79"/>
  <c r="E106" i="79" s="1"/>
  <c r="D51" i="81" s="1"/>
  <c r="F51" i="79"/>
  <c r="F106" i="79" s="1"/>
  <c r="E51" i="81" s="1"/>
  <c r="G51" i="79"/>
  <c r="G106" i="79" s="1"/>
  <c r="F51" i="81" s="1"/>
  <c r="H51" i="79"/>
  <c r="H106" i="79" s="1"/>
  <c r="G51" i="81" s="1"/>
  <c r="I51" i="79"/>
  <c r="I106" i="79" s="1"/>
  <c r="H51" i="81" s="1"/>
  <c r="D52" i="79"/>
  <c r="D107" i="79" s="1"/>
  <c r="C52" i="81" s="1"/>
  <c r="E52" i="79"/>
  <c r="E107" i="79" s="1"/>
  <c r="D52" i="81" s="1"/>
  <c r="F52" i="79"/>
  <c r="F107" i="79" s="1"/>
  <c r="E52" i="81" s="1"/>
  <c r="G52" i="79"/>
  <c r="G107" i="79" s="1"/>
  <c r="F52" i="81" s="1"/>
  <c r="H52" i="79"/>
  <c r="H107" i="79" s="1"/>
  <c r="G52" i="81" s="1"/>
  <c r="I52" i="79"/>
  <c r="I107" i="79" s="1"/>
  <c r="H52" i="81" s="1"/>
  <c r="D53" i="79"/>
  <c r="D108" i="79" s="1"/>
  <c r="C53" i="81" s="1"/>
  <c r="E53" i="79"/>
  <c r="E108" i="79" s="1"/>
  <c r="D53" i="81" s="1"/>
  <c r="F53" i="79"/>
  <c r="F108" i="79" s="1"/>
  <c r="E53" i="81" s="1"/>
  <c r="G53" i="79"/>
  <c r="G108" i="79" s="1"/>
  <c r="F53" i="81" s="1"/>
  <c r="H53" i="79"/>
  <c r="H108" i="79" s="1"/>
  <c r="G53" i="81" s="1"/>
  <c r="I53" i="79"/>
  <c r="I108" i="79" s="1"/>
  <c r="H53" i="81" s="1"/>
  <c r="E4" i="79"/>
  <c r="E59" i="79" s="1"/>
  <c r="D4" i="81" s="1"/>
  <c r="F4" i="79"/>
  <c r="F59" i="79" s="1"/>
  <c r="E4" i="81" s="1"/>
  <c r="G4" i="79"/>
  <c r="G59" i="79" s="1"/>
  <c r="F4" i="81" s="1"/>
  <c r="H4" i="79"/>
  <c r="H59" i="79" s="1"/>
  <c r="G4" i="81" s="1"/>
  <c r="I4" i="79"/>
  <c r="I59" i="79" s="1"/>
  <c r="H4" i="81" s="1"/>
  <c r="D4" i="79"/>
  <c r="D59" i="79" s="1"/>
  <c r="C4" i="81" s="1"/>
  <c r="BY2" i="79"/>
  <c r="BY57" i="79" s="1"/>
  <c r="BS2" i="79"/>
  <c r="BS57" i="79" s="1"/>
  <c r="BM2" i="79"/>
  <c r="BM57" i="79" s="1"/>
  <c r="B52" i="79"/>
  <c r="B53" i="79"/>
  <c r="B51" i="79"/>
  <c r="B50" i="79"/>
  <c r="B49" i="79"/>
  <c r="B48" i="79"/>
  <c r="B47" i="79"/>
  <c r="B46" i="79"/>
  <c r="B45" i="79"/>
  <c r="B44" i="79"/>
  <c r="B43" i="79"/>
  <c r="B42" i="79"/>
  <c r="B41" i="79"/>
  <c r="B40" i="79"/>
  <c r="B39" i="79"/>
  <c r="B38" i="79"/>
  <c r="B37" i="79"/>
  <c r="B36" i="79"/>
  <c r="B35" i="79"/>
  <c r="B34" i="79"/>
  <c r="B33" i="79"/>
  <c r="B32" i="79"/>
  <c r="B31" i="79"/>
  <c r="B30" i="79"/>
  <c r="B29" i="79"/>
  <c r="B28" i="79"/>
  <c r="B27" i="79"/>
  <c r="B26" i="79"/>
  <c r="B25" i="79"/>
  <c r="B24" i="79"/>
  <c r="B23" i="79"/>
  <c r="B22" i="79"/>
  <c r="B21" i="79"/>
  <c r="B20" i="79"/>
  <c r="B19" i="79"/>
  <c r="B18" i="79"/>
  <c r="B17" i="79"/>
  <c r="B16" i="79"/>
  <c r="B15" i="79"/>
  <c r="B14" i="79"/>
  <c r="B13" i="79"/>
  <c r="B12" i="79"/>
  <c r="B11" i="79"/>
  <c r="B10" i="79"/>
  <c r="B9" i="79"/>
  <c r="B8" i="79"/>
  <c r="B7" i="79"/>
  <c r="B6" i="79"/>
  <c r="B5" i="79"/>
  <c r="B4" i="79"/>
  <c r="AD8" i="82" l="1"/>
  <c r="AD12" i="82"/>
  <c r="AD77" i="82" s="1"/>
  <c r="AD16" i="82"/>
  <c r="AD20" i="82"/>
  <c r="AD24" i="82"/>
  <c r="AD9" i="82"/>
  <c r="AD74" i="82" s="1"/>
  <c r="AD13" i="82"/>
  <c r="AD78" i="82" s="1"/>
  <c r="AD17" i="82"/>
  <c r="AD21" i="82"/>
  <c r="AD25" i="82"/>
  <c r="AD10" i="82"/>
  <c r="AD75" i="82" s="1"/>
  <c r="AD14" i="82"/>
  <c r="AD79" i="82" s="1"/>
  <c r="AD18" i="82"/>
  <c r="AD22" i="82"/>
  <c r="AD26" i="82"/>
  <c r="AD11" i="82"/>
  <c r="AD76" i="82" s="1"/>
  <c r="AD15" i="82"/>
  <c r="AD80" i="82" s="1"/>
  <c r="AD19" i="82"/>
  <c r="AD23" i="82"/>
  <c r="AG11" i="82"/>
  <c r="AG76" i="82" s="1"/>
  <c r="AG15" i="82"/>
  <c r="AG80" i="82" s="1"/>
  <c r="AG19" i="82"/>
  <c r="AG23" i="82"/>
  <c r="AG8" i="82"/>
  <c r="AG12" i="82"/>
  <c r="AG77" i="82" s="1"/>
  <c r="AG16" i="82"/>
  <c r="AG20" i="82"/>
  <c r="AG24" i="82"/>
  <c r="AG9" i="82"/>
  <c r="AG74" i="82" s="1"/>
  <c r="AG13" i="82"/>
  <c r="AG78" i="82" s="1"/>
  <c r="AG17" i="82"/>
  <c r="AG21" i="82"/>
  <c r="AG25" i="82"/>
  <c r="AG10" i="82"/>
  <c r="AG75" i="82" s="1"/>
  <c r="AG14" i="82"/>
  <c r="AG79" i="82" s="1"/>
  <c r="AG18" i="82"/>
  <c r="AG22" i="82"/>
  <c r="AG26" i="82"/>
  <c r="X8" i="82"/>
  <c r="X10" i="82"/>
  <c r="X75" i="82" s="1"/>
  <c r="X12" i="82"/>
  <c r="X77" i="82" s="1"/>
  <c r="X14" i="82"/>
  <c r="X79" i="82" s="1"/>
  <c r="X16" i="82"/>
  <c r="X18" i="82"/>
  <c r="X20" i="82"/>
  <c r="X22" i="82"/>
  <c r="X24" i="82"/>
  <c r="X26" i="82"/>
  <c r="X9" i="82"/>
  <c r="X74" i="82" s="1"/>
  <c r="X11" i="82"/>
  <c r="X76" i="82" s="1"/>
  <c r="X13" i="82"/>
  <c r="X78" i="82" s="1"/>
  <c r="X15" i="82"/>
  <c r="X80" i="82" s="1"/>
  <c r="X17" i="82"/>
  <c r="X19" i="82"/>
  <c r="X21" i="82"/>
  <c r="X23" i="82"/>
  <c r="X25" i="82"/>
  <c r="R9" i="82"/>
  <c r="R74" i="82" s="1"/>
  <c r="R11" i="82"/>
  <c r="R76" i="82" s="1"/>
  <c r="R13" i="82"/>
  <c r="R78" i="82" s="1"/>
  <c r="R15" i="82"/>
  <c r="R17" i="82"/>
  <c r="R19" i="82"/>
  <c r="R21" i="82"/>
  <c r="R23" i="82"/>
  <c r="R25" i="82"/>
  <c r="R8" i="82"/>
  <c r="R10" i="82"/>
  <c r="R75" i="82" s="1"/>
  <c r="R12" i="82"/>
  <c r="R77" i="82" s="1"/>
  <c r="R14" i="82"/>
  <c r="R100" i="82" s="1"/>
  <c r="R113" i="82" s="1"/>
  <c r="R117" i="82" s="1"/>
  <c r="R16" i="82"/>
  <c r="R18" i="82"/>
  <c r="R20" i="82"/>
  <c r="R22" i="82"/>
  <c r="R24" i="82"/>
  <c r="R26" i="82"/>
  <c r="T8" i="82"/>
  <c r="T10" i="82"/>
  <c r="T75" i="82" s="1"/>
  <c r="T12" i="82"/>
  <c r="T77" i="82" s="1"/>
  <c r="T14" i="82"/>
  <c r="T100" i="82" s="1"/>
  <c r="T113" i="82" s="1"/>
  <c r="T117" i="82" s="1"/>
  <c r="T16" i="82"/>
  <c r="T18" i="82"/>
  <c r="T20" i="82"/>
  <c r="T22" i="82"/>
  <c r="T24" i="82"/>
  <c r="T26" i="82"/>
  <c r="T9" i="82"/>
  <c r="T74" i="82" s="1"/>
  <c r="T11" i="82"/>
  <c r="T76" i="82" s="1"/>
  <c r="T13" i="82"/>
  <c r="T78" i="82" s="1"/>
  <c r="T15" i="82"/>
  <c r="T17" i="82"/>
  <c r="T19" i="82"/>
  <c r="T21" i="82"/>
  <c r="T23" i="82"/>
  <c r="T25" i="82"/>
  <c r="S8" i="82"/>
  <c r="S10" i="82"/>
  <c r="S75" i="82" s="1"/>
  <c r="S12" i="82"/>
  <c r="S77" i="82" s="1"/>
  <c r="S14" i="82"/>
  <c r="S100" i="82" s="1"/>
  <c r="S113" i="82" s="1"/>
  <c r="S117" i="82" s="1"/>
  <c r="S16" i="82"/>
  <c r="S18" i="82"/>
  <c r="S20" i="82"/>
  <c r="S22" i="82"/>
  <c r="S24" i="82"/>
  <c r="S26" i="82"/>
  <c r="S9" i="82"/>
  <c r="S74" i="82" s="1"/>
  <c r="S11" i="82"/>
  <c r="S76" i="82" s="1"/>
  <c r="S13" i="82"/>
  <c r="S78" i="82" s="1"/>
  <c r="S15" i="82"/>
  <c r="S17" i="82"/>
  <c r="S19" i="82"/>
  <c r="S21" i="82"/>
  <c r="S23" i="82"/>
  <c r="S25" i="82"/>
  <c r="U9" i="82"/>
  <c r="U74" i="82" s="1"/>
  <c r="U11" i="82"/>
  <c r="U76" i="82" s="1"/>
  <c r="U13" i="82"/>
  <c r="U78" i="82" s="1"/>
  <c r="U15" i="82"/>
  <c r="U17" i="82"/>
  <c r="U19" i="82"/>
  <c r="U21" i="82"/>
  <c r="U23" i="82"/>
  <c r="U25" i="82"/>
  <c r="U8" i="82"/>
  <c r="U10" i="82"/>
  <c r="U75" i="82" s="1"/>
  <c r="U12" i="82"/>
  <c r="U77" i="82" s="1"/>
  <c r="U14" i="82"/>
  <c r="U100" i="82" s="1"/>
  <c r="U113" i="82" s="1"/>
  <c r="U117" i="82" s="1"/>
  <c r="U16" i="82"/>
  <c r="U18" i="82"/>
  <c r="U20" i="82"/>
  <c r="U22" i="82"/>
  <c r="U24" i="82"/>
  <c r="U26" i="82"/>
  <c r="M9" i="82"/>
  <c r="M74" i="82" s="1"/>
  <c r="M13" i="82"/>
  <c r="M78" i="82" s="1"/>
  <c r="M17" i="82"/>
  <c r="M21" i="82"/>
  <c r="M25" i="82"/>
  <c r="M10" i="82"/>
  <c r="M75" i="82" s="1"/>
  <c r="M14" i="82"/>
  <c r="M79" i="82" s="1"/>
  <c r="M18" i="82"/>
  <c r="M22" i="82"/>
  <c r="M26" i="82"/>
  <c r="M11" i="82"/>
  <c r="M76" i="82" s="1"/>
  <c r="M15" i="82"/>
  <c r="M80" i="82" s="1"/>
  <c r="M19" i="82"/>
  <c r="M23" i="82"/>
  <c r="M8" i="82"/>
  <c r="M12" i="82"/>
  <c r="M77" i="82" s="1"/>
  <c r="M16" i="82"/>
  <c r="M20" i="82"/>
  <c r="M24" i="82"/>
  <c r="I9" i="82"/>
  <c r="I74" i="82" s="1"/>
  <c r="I13" i="82"/>
  <c r="I78" i="82" s="1"/>
  <c r="I17" i="82"/>
  <c r="I21" i="82"/>
  <c r="I25" i="82"/>
  <c r="I10" i="82"/>
  <c r="I75" i="82" s="1"/>
  <c r="I14" i="82"/>
  <c r="I79" i="82" s="1"/>
  <c r="I18" i="82"/>
  <c r="I22" i="82"/>
  <c r="I26" i="82"/>
  <c r="I11" i="82"/>
  <c r="I76" i="82" s="1"/>
  <c r="I15" i="82"/>
  <c r="I80" i="82" s="1"/>
  <c r="I19" i="82"/>
  <c r="I23" i="82"/>
  <c r="I8" i="82"/>
  <c r="I12" i="82"/>
  <c r="I77" i="82" s="1"/>
  <c r="I16" i="82"/>
  <c r="I20" i="82"/>
  <c r="I24" i="82"/>
  <c r="E9" i="82"/>
  <c r="E74" i="82" s="1"/>
  <c r="E13" i="82"/>
  <c r="E78" i="82" s="1"/>
  <c r="E17" i="82"/>
  <c r="E21" i="82"/>
  <c r="E25" i="82"/>
  <c r="E10" i="82"/>
  <c r="E75" i="82" s="1"/>
  <c r="E14" i="82"/>
  <c r="E79" i="82" s="1"/>
  <c r="E18" i="82"/>
  <c r="E22" i="82"/>
  <c r="E26" i="82"/>
  <c r="E11" i="82"/>
  <c r="E76" i="82" s="1"/>
  <c r="E15" i="82"/>
  <c r="E80" i="82" s="1"/>
  <c r="E19" i="82"/>
  <c r="E23" i="82"/>
  <c r="E8" i="82"/>
  <c r="E12" i="82"/>
  <c r="E77" i="82" s="1"/>
  <c r="E16" i="82"/>
  <c r="E20" i="82"/>
  <c r="E24" i="82"/>
  <c r="L10" i="82"/>
  <c r="L75" i="82" s="1"/>
  <c r="L14" i="82"/>
  <c r="L79" i="82" s="1"/>
  <c r="L18" i="82"/>
  <c r="L22" i="82"/>
  <c r="L26" i="82"/>
  <c r="L11" i="82"/>
  <c r="L76" i="82" s="1"/>
  <c r="L15" i="82"/>
  <c r="L80" i="82" s="1"/>
  <c r="L19" i="82"/>
  <c r="L23" i="82"/>
  <c r="L8" i="82"/>
  <c r="L12" i="82"/>
  <c r="L77" i="82" s="1"/>
  <c r="L16" i="82"/>
  <c r="L20" i="82"/>
  <c r="L24" i="82"/>
  <c r="L9" i="82"/>
  <c r="L74" i="82" s="1"/>
  <c r="L13" i="82"/>
  <c r="L78" i="82" s="1"/>
  <c r="L17" i="82"/>
  <c r="L21" i="82"/>
  <c r="L25" i="82"/>
  <c r="H10" i="82"/>
  <c r="H75" i="82" s="1"/>
  <c r="H14" i="82"/>
  <c r="H79" i="82" s="1"/>
  <c r="H18" i="82"/>
  <c r="H22" i="82"/>
  <c r="H26" i="82"/>
  <c r="H11" i="82"/>
  <c r="H76" i="82" s="1"/>
  <c r="H15" i="82"/>
  <c r="H80" i="82" s="1"/>
  <c r="H19" i="82"/>
  <c r="H23" i="82"/>
  <c r="H8" i="82"/>
  <c r="H12" i="82"/>
  <c r="H77" i="82" s="1"/>
  <c r="H16" i="82"/>
  <c r="H20" i="82"/>
  <c r="H24" i="82"/>
  <c r="H9" i="82"/>
  <c r="H74" i="82" s="1"/>
  <c r="H13" i="82"/>
  <c r="H78" i="82" s="1"/>
  <c r="H17" i="82"/>
  <c r="H21" i="82"/>
  <c r="H25" i="82"/>
  <c r="O11" i="82"/>
  <c r="O76" i="82" s="1"/>
  <c r="O15" i="82"/>
  <c r="O80" i="82" s="1"/>
  <c r="O19" i="82"/>
  <c r="O23" i="82"/>
  <c r="O8" i="82"/>
  <c r="O12" i="82"/>
  <c r="O77" i="82" s="1"/>
  <c r="O16" i="82"/>
  <c r="O20" i="82"/>
  <c r="O24" i="82"/>
  <c r="O9" i="82"/>
  <c r="O74" i="82" s="1"/>
  <c r="O13" i="82"/>
  <c r="O78" i="82" s="1"/>
  <c r="O17" i="82"/>
  <c r="O21" i="82"/>
  <c r="O25" i="82"/>
  <c r="O10" i="82"/>
  <c r="O75" i="82" s="1"/>
  <c r="O14" i="82"/>
  <c r="O79" i="82" s="1"/>
  <c r="O18" i="82"/>
  <c r="O22" i="82"/>
  <c r="O26" i="82"/>
  <c r="K11" i="82"/>
  <c r="K76" i="82" s="1"/>
  <c r="K15" i="82"/>
  <c r="K80" i="82" s="1"/>
  <c r="K19" i="82"/>
  <c r="K23" i="82"/>
  <c r="K8" i="82"/>
  <c r="K12" i="82"/>
  <c r="K77" i="82" s="1"/>
  <c r="K16" i="82"/>
  <c r="K20" i="82"/>
  <c r="K24" i="82"/>
  <c r="K9" i="82"/>
  <c r="K74" i="82" s="1"/>
  <c r="K13" i="82"/>
  <c r="K78" i="82" s="1"/>
  <c r="K17" i="82"/>
  <c r="K21" i="82"/>
  <c r="K25" i="82"/>
  <c r="K10" i="82"/>
  <c r="K75" i="82" s="1"/>
  <c r="K14" i="82"/>
  <c r="K79" i="82" s="1"/>
  <c r="K18" i="82"/>
  <c r="K22" i="82"/>
  <c r="K26" i="82"/>
  <c r="G11" i="82"/>
  <c r="G76" i="82" s="1"/>
  <c r="G15" i="82"/>
  <c r="G80" i="82" s="1"/>
  <c r="G19" i="82"/>
  <c r="G23" i="82"/>
  <c r="G8" i="82"/>
  <c r="G12" i="82"/>
  <c r="G77" i="82" s="1"/>
  <c r="G16" i="82"/>
  <c r="G20" i="82"/>
  <c r="G24" i="82"/>
  <c r="G9" i="82"/>
  <c r="G74" i="82" s="1"/>
  <c r="G13" i="82"/>
  <c r="G78" i="82" s="1"/>
  <c r="G17" i="82"/>
  <c r="G21" i="82"/>
  <c r="G25" i="82"/>
  <c r="G10" i="82"/>
  <c r="G75" i="82" s="1"/>
  <c r="G14" i="82"/>
  <c r="G79" i="82" s="1"/>
  <c r="G18" i="82"/>
  <c r="G22" i="82"/>
  <c r="G26" i="82"/>
  <c r="N8" i="82"/>
  <c r="N12" i="82"/>
  <c r="N77" i="82" s="1"/>
  <c r="N16" i="82"/>
  <c r="N20" i="82"/>
  <c r="N24" i="82"/>
  <c r="N9" i="82"/>
  <c r="N74" i="82" s="1"/>
  <c r="N13" i="82"/>
  <c r="N78" i="82" s="1"/>
  <c r="N17" i="82"/>
  <c r="N21" i="82"/>
  <c r="N25" i="82"/>
  <c r="N10" i="82"/>
  <c r="N75" i="82" s="1"/>
  <c r="N14" i="82"/>
  <c r="N79" i="82" s="1"/>
  <c r="N18" i="82"/>
  <c r="N22" i="82"/>
  <c r="N26" i="82"/>
  <c r="N11" i="82"/>
  <c r="N76" i="82" s="1"/>
  <c r="N15" i="82"/>
  <c r="N80" i="82" s="1"/>
  <c r="N19" i="82"/>
  <c r="N23" i="82"/>
  <c r="J8" i="82"/>
  <c r="J12" i="82"/>
  <c r="J77" i="82" s="1"/>
  <c r="J16" i="82"/>
  <c r="J20" i="82"/>
  <c r="J24" i="82"/>
  <c r="J9" i="82"/>
  <c r="J74" i="82" s="1"/>
  <c r="J13" i="82"/>
  <c r="J78" i="82" s="1"/>
  <c r="J17" i="82"/>
  <c r="J21" i="82"/>
  <c r="J25" i="82"/>
  <c r="J10" i="82"/>
  <c r="J75" i="82" s="1"/>
  <c r="J14" i="82"/>
  <c r="J79" i="82" s="1"/>
  <c r="J18" i="82"/>
  <c r="J22" i="82"/>
  <c r="J26" i="82"/>
  <c r="J11" i="82"/>
  <c r="J76" i="82" s="1"/>
  <c r="J15" i="82"/>
  <c r="J80" i="82" s="1"/>
  <c r="J19" i="82"/>
  <c r="J23" i="82"/>
  <c r="F8" i="82"/>
  <c r="F12" i="82"/>
  <c r="F77" i="82" s="1"/>
  <c r="F16" i="82"/>
  <c r="F20" i="82"/>
  <c r="F24" i="82"/>
  <c r="F9" i="82"/>
  <c r="F74" i="82" s="1"/>
  <c r="F13" i="82"/>
  <c r="F78" i="82" s="1"/>
  <c r="F17" i="82"/>
  <c r="F21" i="82"/>
  <c r="F25" i="82"/>
  <c r="F10" i="82"/>
  <c r="F75" i="82" s="1"/>
  <c r="F14" i="82"/>
  <c r="F79" i="82" s="1"/>
  <c r="F18" i="82"/>
  <c r="F22" i="82"/>
  <c r="F26" i="82"/>
  <c r="F11" i="82"/>
  <c r="F76" i="82" s="1"/>
  <c r="F15" i="82"/>
  <c r="F80" i="82" s="1"/>
  <c r="F19" i="82"/>
  <c r="F23" i="82"/>
  <c r="AJ8" i="82"/>
  <c r="AJ12" i="82"/>
  <c r="AJ77" i="82" s="1"/>
  <c r="AJ16" i="82"/>
  <c r="AJ102" i="82" s="1"/>
  <c r="AJ113" i="82" s="1"/>
  <c r="AJ117" i="82" s="1"/>
  <c r="AJ20" i="82"/>
  <c r="AJ24" i="82"/>
  <c r="AJ11" i="82"/>
  <c r="AJ76" i="82" s="1"/>
  <c r="AJ15" i="82"/>
  <c r="AJ80" i="82" s="1"/>
  <c r="AJ19" i="82"/>
  <c r="AJ23" i="82"/>
  <c r="AJ10" i="82"/>
  <c r="AJ75" i="82" s="1"/>
  <c r="AJ14" i="82"/>
  <c r="AJ79" i="82" s="1"/>
  <c r="AJ18" i="82"/>
  <c r="AJ22" i="82"/>
  <c r="AJ26" i="82"/>
  <c r="AJ9" i="82"/>
  <c r="AJ74" i="82" s="1"/>
  <c r="AJ13" i="82"/>
  <c r="AJ78" i="82" s="1"/>
  <c r="AJ17" i="82"/>
  <c r="AJ21" i="82"/>
  <c r="AJ25" i="82"/>
  <c r="AK9" i="82"/>
  <c r="AK74" i="82" s="1"/>
  <c r="AK13" i="82"/>
  <c r="AK78" i="82" s="1"/>
  <c r="AK17" i="82"/>
  <c r="AK21" i="82"/>
  <c r="AK25" i="82"/>
  <c r="AK8" i="82"/>
  <c r="AK12" i="82"/>
  <c r="AK77" i="82" s="1"/>
  <c r="AK16" i="82"/>
  <c r="AK102" i="82" s="1"/>
  <c r="AK113" i="82" s="1"/>
  <c r="AK117" i="82" s="1"/>
  <c r="AK20" i="82"/>
  <c r="AK24" i="82"/>
  <c r="AK11" i="82"/>
  <c r="AK76" i="82" s="1"/>
  <c r="AK15" i="82"/>
  <c r="AK80" i="82" s="1"/>
  <c r="AK19" i="82"/>
  <c r="AK23" i="82"/>
  <c r="AK10" i="82"/>
  <c r="AK75" i="82" s="1"/>
  <c r="AK14" i="82"/>
  <c r="AK79" i="82" s="1"/>
  <c r="AK18" i="82"/>
  <c r="AK22" i="82"/>
  <c r="AK26" i="82"/>
  <c r="AF10" i="82"/>
  <c r="AF75" i="82" s="1"/>
  <c r="AF14" i="82"/>
  <c r="AF79" i="82" s="1"/>
  <c r="AF18" i="82"/>
  <c r="AF22" i="82"/>
  <c r="AF26" i="82"/>
  <c r="AF11" i="82"/>
  <c r="AF76" i="82" s="1"/>
  <c r="AF15" i="82"/>
  <c r="AF80" i="82" s="1"/>
  <c r="AF19" i="82"/>
  <c r="AF23" i="82"/>
  <c r="AF8" i="82"/>
  <c r="AF12" i="82"/>
  <c r="AF77" i="82" s="1"/>
  <c r="AF16" i="82"/>
  <c r="AF20" i="82"/>
  <c r="AF24" i="82"/>
  <c r="AF9" i="82"/>
  <c r="AF74" i="82" s="1"/>
  <c r="AF13" i="82"/>
  <c r="AF78" i="82" s="1"/>
  <c r="AF17" i="82"/>
  <c r="AF21" i="82"/>
  <c r="AF25" i="82"/>
  <c r="AE11" i="82"/>
  <c r="AE76" i="82" s="1"/>
  <c r="AE15" i="82"/>
  <c r="AE80" i="82" s="1"/>
  <c r="AE19" i="82"/>
  <c r="AE23" i="82"/>
  <c r="AE8" i="82"/>
  <c r="AE12" i="82"/>
  <c r="AE77" i="82" s="1"/>
  <c r="AE16" i="82"/>
  <c r="AE20" i="82"/>
  <c r="AE24" i="82"/>
  <c r="AE9" i="82"/>
  <c r="AE74" i="82" s="1"/>
  <c r="AE13" i="82"/>
  <c r="AE78" i="82" s="1"/>
  <c r="AE17" i="82"/>
  <c r="AE21" i="82"/>
  <c r="AE25" i="82"/>
  <c r="AE10" i="82"/>
  <c r="AE75" i="82" s="1"/>
  <c r="AE14" i="82"/>
  <c r="AE79" i="82" s="1"/>
  <c r="AE18" i="82"/>
  <c r="AE22" i="82"/>
  <c r="AE26" i="82"/>
  <c r="Z10" i="82"/>
  <c r="Z75" i="82" s="1"/>
  <c r="Z14" i="82"/>
  <c r="Z79" i="82" s="1"/>
  <c r="Z18" i="82"/>
  <c r="Z22" i="82"/>
  <c r="Z26" i="82"/>
  <c r="Z9" i="82"/>
  <c r="Z74" i="82" s="1"/>
  <c r="Z13" i="82"/>
  <c r="Z78" i="82" s="1"/>
  <c r="Z17" i="82"/>
  <c r="Z21" i="82"/>
  <c r="Z25" i="82"/>
  <c r="Z8" i="82"/>
  <c r="Z12" i="82"/>
  <c r="Z77" i="82" s="1"/>
  <c r="Z16" i="82"/>
  <c r="Z20" i="82"/>
  <c r="Z24" i="82"/>
  <c r="Z11" i="82"/>
  <c r="Z76" i="82" s="1"/>
  <c r="Z15" i="82"/>
  <c r="Z80" i="82" s="1"/>
  <c r="Z19" i="82"/>
  <c r="Z23" i="82"/>
  <c r="Y9" i="82"/>
  <c r="Y74" i="82" s="1"/>
  <c r="Y13" i="82"/>
  <c r="Y78" i="82" s="1"/>
  <c r="Y17" i="82"/>
  <c r="Y21" i="82"/>
  <c r="Y25" i="82"/>
  <c r="Y8" i="82"/>
  <c r="Y12" i="82"/>
  <c r="Y77" i="82" s="1"/>
  <c r="Y16" i="82"/>
  <c r="Y20" i="82"/>
  <c r="Y24" i="82"/>
  <c r="Y11" i="82"/>
  <c r="Y76" i="82" s="1"/>
  <c r="Y15" i="82"/>
  <c r="Y80" i="82" s="1"/>
  <c r="Y19" i="82"/>
  <c r="Y23" i="82"/>
  <c r="Y10" i="82"/>
  <c r="Y75" i="82" s="1"/>
  <c r="Y14" i="82"/>
  <c r="Y79" i="82" s="1"/>
  <c r="Y18" i="82"/>
  <c r="Y22" i="82"/>
  <c r="Y26" i="82"/>
  <c r="P10" i="82"/>
  <c r="P75" i="82" s="1"/>
  <c r="P14" i="82"/>
  <c r="P100" i="82" s="1"/>
  <c r="P113" i="82" s="1"/>
  <c r="P117" i="82" s="1"/>
  <c r="P18" i="82"/>
  <c r="P22" i="82"/>
  <c r="P26" i="82"/>
  <c r="P11" i="82"/>
  <c r="P76" i="82" s="1"/>
  <c r="P15" i="82"/>
  <c r="P19" i="82"/>
  <c r="P23" i="82"/>
  <c r="P8" i="82"/>
  <c r="P12" i="82"/>
  <c r="P77" i="82" s="1"/>
  <c r="P16" i="82"/>
  <c r="P20" i="82"/>
  <c r="P24" i="82"/>
  <c r="P9" i="82"/>
  <c r="P74" i="82" s="1"/>
  <c r="P13" i="82"/>
  <c r="P78" i="82" s="1"/>
  <c r="P17" i="82"/>
  <c r="P21" i="82"/>
  <c r="P25" i="82"/>
  <c r="Q9" i="82"/>
  <c r="Q74" i="82" s="1"/>
  <c r="Q13" i="82"/>
  <c r="Q78" i="82" s="1"/>
  <c r="Q17" i="82"/>
  <c r="Q21" i="82"/>
  <c r="Q25" i="82"/>
  <c r="Q10" i="82"/>
  <c r="Q75" i="82" s="1"/>
  <c r="Q14" i="82"/>
  <c r="Q100" i="82" s="1"/>
  <c r="Q113" i="82" s="1"/>
  <c r="Q117" i="82" s="1"/>
  <c r="Q18" i="82"/>
  <c r="Q22" i="82"/>
  <c r="Q26" i="82"/>
  <c r="Q11" i="82"/>
  <c r="Q76" i="82" s="1"/>
  <c r="Q15" i="82"/>
  <c r="Q19" i="82"/>
  <c r="Q23" i="82"/>
  <c r="Q8" i="82"/>
  <c r="Q12" i="82"/>
  <c r="Q77" i="82" s="1"/>
  <c r="Q16" i="82"/>
  <c r="Q20" i="82"/>
  <c r="Q24" i="82"/>
  <c r="C13" i="82"/>
  <c r="C78" i="82" s="1"/>
  <c r="C23" i="82"/>
  <c r="C19" i="82"/>
  <c r="C15" i="82"/>
  <c r="C80" i="82" s="1"/>
  <c r="C10" i="82"/>
  <c r="C75" i="82" s="1"/>
  <c r="C26" i="82"/>
  <c r="C22" i="82"/>
  <c r="C18" i="82"/>
  <c r="C14" i="82"/>
  <c r="C79" i="82" s="1"/>
  <c r="C9" i="82"/>
  <c r="C74" i="82" s="1"/>
  <c r="C25" i="82"/>
  <c r="C21" i="82"/>
  <c r="C17" i="82"/>
  <c r="C12" i="82"/>
  <c r="C77" i="82" s="1"/>
  <c r="C8" i="82"/>
  <c r="C24" i="82"/>
  <c r="C20" i="82"/>
  <c r="C16" i="82"/>
  <c r="C11" i="82"/>
  <c r="C76" i="82" s="1"/>
  <c r="D9" i="82"/>
  <c r="D74" i="82" s="1"/>
  <c r="D11" i="82"/>
  <c r="D76" i="82" s="1"/>
  <c r="D13" i="82"/>
  <c r="D78" i="82" s="1"/>
  <c r="D15" i="82"/>
  <c r="D80" i="82" s="1"/>
  <c r="D17" i="82"/>
  <c r="D19" i="82"/>
  <c r="D21" i="82"/>
  <c r="D23" i="82"/>
  <c r="D25" i="82"/>
  <c r="D8" i="82"/>
  <c r="D10" i="82"/>
  <c r="D75" i="82" s="1"/>
  <c r="D12" i="82"/>
  <c r="D77" i="82" s="1"/>
  <c r="D14" i="82"/>
  <c r="D79" i="82" s="1"/>
  <c r="D16" i="82"/>
  <c r="D18" i="82"/>
  <c r="D20" i="82"/>
  <c r="D22" i="82"/>
  <c r="D24" i="82"/>
  <c r="D26" i="82"/>
  <c r="G11" i="80"/>
  <c r="G76" i="80" s="1"/>
  <c r="G15" i="80"/>
  <c r="G80" i="80" s="1"/>
  <c r="G10" i="80"/>
  <c r="G75" i="80" s="1"/>
  <c r="G14" i="80"/>
  <c r="G79" i="80" s="1"/>
  <c r="G9" i="80"/>
  <c r="G74" i="80" s="1"/>
  <c r="G13" i="80"/>
  <c r="G78" i="80" s="1"/>
  <c r="G8" i="80"/>
  <c r="G12" i="80"/>
  <c r="G77" i="80" s="1"/>
  <c r="G20" i="80"/>
  <c r="G24" i="80"/>
  <c r="G16" i="80"/>
  <c r="G19" i="80"/>
  <c r="G23" i="80"/>
  <c r="G18" i="80"/>
  <c r="G22" i="80"/>
  <c r="G17" i="80"/>
  <c r="G21" i="80"/>
  <c r="G26" i="80"/>
  <c r="G25" i="80"/>
  <c r="AO9" i="80"/>
  <c r="AO74" i="80" s="1"/>
  <c r="AO13" i="80"/>
  <c r="AO78" i="80" s="1"/>
  <c r="AO8" i="80"/>
  <c r="AO12" i="80"/>
  <c r="AO77" i="80" s="1"/>
  <c r="AO11" i="80"/>
  <c r="AO76" i="80" s="1"/>
  <c r="AO15" i="80"/>
  <c r="AO10" i="80"/>
  <c r="AO75" i="80" s="1"/>
  <c r="AO18" i="80"/>
  <c r="AO22" i="80"/>
  <c r="AO17" i="80"/>
  <c r="AO21" i="80"/>
  <c r="AO14" i="80"/>
  <c r="AO79" i="80" s="1"/>
  <c r="AO16" i="80"/>
  <c r="AO20" i="80"/>
  <c r="AO19" i="80"/>
  <c r="AO23" i="80"/>
  <c r="AO24" i="80"/>
  <c r="AO26" i="80"/>
  <c r="AO25" i="80"/>
  <c r="AK9" i="80"/>
  <c r="AK74" i="80" s="1"/>
  <c r="AK13" i="80"/>
  <c r="AK78" i="80" s="1"/>
  <c r="AK8" i="80"/>
  <c r="AK12" i="80"/>
  <c r="AK77" i="80" s="1"/>
  <c r="AK11" i="80"/>
  <c r="AK76" i="80" s="1"/>
  <c r="AK15" i="80"/>
  <c r="AK10" i="80"/>
  <c r="AK75" i="80" s="1"/>
  <c r="AK18" i="80"/>
  <c r="AK22" i="80"/>
  <c r="AK14" i="80"/>
  <c r="AK79" i="80" s="1"/>
  <c r="AK17" i="80"/>
  <c r="AK21" i="80"/>
  <c r="AK16" i="80"/>
  <c r="AK20" i="80"/>
  <c r="AK19" i="80"/>
  <c r="AK23" i="80"/>
  <c r="AK24" i="80"/>
  <c r="AK26" i="80"/>
  <c r="AK25" i="80"/>
  <c r="AG9" i="80"/>
  <c r="AG74" i="80" s="1"/>
  <c r="AG13" i="80"/>
  <c r="AG78" i="80" s="1"/>
  <c r="AG8" i="80"/>
  <c r="AG12" i="80"/>
  <c r="AG77" i="80" s="1"/>
  <c r="AG11" i="80"/>
  <c r="AG76" i="80" s="1"/>
  <c r="AG15" i="80"/>
  <c r="AG10" i="80"/>
  <c r="AG75" i="80" s="1"/>
  <c r="AG14" i="80"/>
  <c r="AG79" i="80" s="1"/>
  <c r="AG18" i="80"/>
  <c r="AG22" i="80"/>
  <c r="AG17" i="80"/>
  <c r="AG21" i="80"/>
  <c r="AG16" i="80"/>
  <c r="AG20" i="80"/>
  <c r="AG19" i="80"/>
  <c r="AG23" i="80"/>
  <c r="AG24" i="80"/>
  <c r="AG26" i="80"/>
  <c r="AG25" i="80"/>
  <c r="AC9" i="80"/>
  <c r="AC74" i="80" s="1"/>
  <c r="AC13" i="80"/>
  <c r="AC78" i="80" s="1"/>
  <c r="AC8" i="80"/>
  <c r="AC12" i="80"/>
  <c r="AC77" i="80" s="1"/>
  <c r="AC16" i="80"/>
  <c r="AC11" i="80"/>
  <c r="AC76" i="80" s="1"/>
  <c r="AC15" i="80"/>
  <c r="AC10" i="80"/>
  <c r="AC75" i="80" s="1"/>
  <c r="AC18" i="80"/>
  <c r="AC22" i="80"/>
  <c r="AC17" i="80"/>
  <c r="AC21" i="80"/>
  <c r="AC20" i="80"/>
  <c r="AC14" i="80"/>
  <c r="AC79" i="80" s="1"/>
  <c r="AC19" i="80"/>
  <c r="AC23" i="80"/>
  <c r="AC26" i="80"/>
  <c r="AC24" i="80"/>
  <c r="AC25" i="80"/>
  <c r="Y9" i="80"/>
  <c r="Y74" i="80" s="1"/>
  <c r="Y13" i="80"/>
  <c r="Y78" i="80" s="1"/>
  <c r="Y8" i="80"/>
  <c r="Y12" i="80"/>
  <c r="Y77" i="80" s="1"/>
  <c r="Y16" i="80"/>
  <c r="Y11" i="80"/>
  <c r="Y76" i="80" s="1"/>
  <c r="Y15" i="80"/>
  <c r="Y10" i="80"/>
  <c r="Y75" i="80" s="1"/>
  <c r="Y18" i="80"/>
  <c r="Y22" i="80"/>
  <c r="Y17" i="80"/>
  <c r="Y21" i="80"/>
  <c r="Y14" i="80"/>
  <c r="Y79" i="80" s="1"/>
  <c r="Y20" i="80"/>
  <c r="Y19" i="80"/>
  <c r="Y23" i="80"/>
  <c r="Y24" i="80"/>
  <c r="Y26" i="80"/>
  <c r="Y25" i="80"/>
  <c r="U9" i="80"/>
  <c r="U74" i="80" s="1"/>
  <c r="U13" i="80"/>
  <c r="U78" i="80" s="1"/>
  <c r="U8" i="80"/>
  <c r="U12" i="80"/>
  <c r="U77" i="80" s="1"/>
  <c r="U16" i="80"/>
  <c r="U11" i="80"/>
  <c r="U76" i="80" s="1"/>
  <c r="U15" i="80"/>
  <c r="U10" i="80"/>
  <c r="U75" i="80" s="1"/>
  <c r="U18" i="80"/>
  <c r="U22" i="80"/>
  <c r="U14" i="80"/>
  <c r="U79" i="80" s="1"/>
  <c r="U17" i="80"/>
  <c r="U21" i="80"/>
  <c r="U20" i="80"/>
  <c r="U19" i="80"/>
  <c r="U23" i="80"/>
  <c r="U24" i="80"/>
  <c r="U26" i="80"/>
  <c r="U25" i="80"/>
  <c r="Q9" i="80"/>
  <c r="Q74" i="80" s="1"/>
  <c r="Q13" i="80"/>
  <c r="Q78" i="80" s="1"/>
  <c r="Q8" i="80"/>
  <c r="Q12" i="80"/>
  <c r="Q77" i="80" s="1"/>
  <c r="Q16" i="80"/>
  <c r="Q11" i="80"/>
  <c r="Q76" i="80" s="1"/>
  <c r="Q15" i="80"/>
  <c r="Q10" i="80"/>
  <c r="Q75" i="80" s="1"/>
  <c r="Q14" i="80"/>
  <c r="Q79" i="80" s="1"/>
  <c r="Q18" i="80"/>
  <c r="Q22" i="80"/>
  <c r="Q17" i="80"/>
  <c r="Q21" i="80"/>
  <c r="Q20" i="80"/>
  <c r="Q19" i="80"/>
  <c r="Q23" i="80"/>
  <c r="Q26" i="80"/>
  <c r="Q24" i="80"/>
  <c r="Q25" i="80"/>
  <c r="M9" i="80"/>
  <c r="M74" i="80" s="1"/>
  <c r="M13" i="80"/>
  <c r="M78" i="80" s="1"/>
  <c r="M8" i="80"/>
  <c r="M12" i="80"/>
  <c r="M77" i="80" s="1"/>
  <c r="M16" i="80"/>
  <c r="M11" i="80"/>
  <c r="M76" i="80" s="1"/>
  <c r="M15" i="80"/>
  <c r="M101" i="80" s="1"/>
  <c r="M113" i="80" s="1"/>
  <c r="M117" i="80" s="1"/>
  <c r="M10" i="80"/>
  <c r="M75" i="80" s="1"/>
  <c r="M18" i="80"/>
  <c r="M22" i="80"/>
  <c r="M17" i="80"/>
  <c r="M21" i="80"/>
  <c r="M20" i="80"/>
  <c r="M14" i="80"/>
  <c r="M79" i="80" s="1"/>
  <c r="M19" i="80"/>
  <c r="M23" i="80"/>
  <c r="M24" i="80"/>
  <c r="M26" i="80"/>
  <c r="M25" i="80"/>
  <c r="I9" i="80"/>
  <c r="I74" i="80" s="1"/>
  <c r="I13" i="80"/>
  <c r="I78" i="80" s="1"/>
  <c r="I8" i="80"/>
  <c r="I12" i="80"/>
  <c r="I77" i="80" s="1"/>
  <c r="I16" i="80"/>
  <c r="I11" i="80"/>
  <c r="I76" i="80" s="1"/>
  <c r="I15" i="80"/>
  <c r="I101" i="80" s="1"/>
  <c r="I113" i="80" s="1"/>
  <c r="I117" i="80" s="1"/>
  <c r="I10" i="80"/>
  <c r="I75" i="80" s="1"/>
  <c r="I18" i="80"/>
  <c r="I22" i="80"/>
  <c r="I17" i="80"/>
  <c r="I21" i="80"/>
  <c r="I14" i="80"/>
  <c r="I79" i="80" s="1"/>
  <c r="I20" i="80"/>
  <c r="I19" i="80"/>
  <c r="I23" i="80"/>
  <c r="I24" i="80"/>
  <c r="I26" i="80"/>
  <c r="I25" i="80"/>
  <c r="F10" i="80"/>
  <c r="F75" i="80" s="1"/>
  <c r="F14" i="80"/>
  <c r="F79" i="80" s="1"/>
  <c r="F9" i="80"/>
  <c r="F74" i="80" s="1"/>
  <c r="F13" i="80"/>
  <c r="F78" i="80" s="1"/>
  <c r="F8" i="80"/>
  <c r="F12" i="80"/>
  <c r="F77" i="80" s="1"/>
  <c r="F16" i="80"/>
  <c r="F11" i="80"/>
  <c r="F76" i="80" s="1"/>
  <c r="F19" i="80"/>
  <c r="F23" i="80"/>
  <c r="F18" i="80"/>
  <c r="F22" i="80"/>
  <c r="F17" i="80"/>
  <c r="F21" i="80"/>
  <c r="F15" i="80"/>
  <c r="F80" i="80" s="1"/>
  <c r="F20" i="80"/>
  <c r="F24" i="80"/>
  <c r="F25" i="80"/>
  <c r="F26" i="80"/>
  <c r="AN8" i="80"/>
  <c r="AN12" i="80"/>
  <c r="AN77" i="80" s="1"/>
  <c r="AN11" i="80"/>
  <c r="AN76" i="80" s="1"/>
  <c r="AN15" i="80"/>
  <c r="AN10" i="80"/>
  <c r="AN75" i="80" s="1"/>
  <c r="AN14" i="80"/>
  <c r="AN79" i="80" s="1"/>
  <c r="AN9" i="80"/>
  <c r="AN74" i="80" s="1"/>
  <c r="AN13" i="80"/>
  <c r="AN78" i="80" s="1"/>
  <c r="AN17" i="80"/>
  <c r="AN21" i="80"/>
  <c r="AN16" i="80"/>
  <c r="AN20" i="80"/>
  <c r="AN19" i="80"/>
  <c r="AN23" i="80"/>
  <c r="AN18" i="80"/>
  <c r="AN22" i="80"/>
  <c r="AN26" i="80"/>
  <c r="AN25" i="80"/>
  <c r="AN24" i="80"/>
  <c r="AJ8" i="80"/>
  <c r="AJ12" i="80"/>
  <c r="AJ77" i="80" s="1"/>
  <c r="AJ11" i="80"/>
  <c r="AJ76" i="80" s="1"/>
  <c r="AJ15" i="80"/>
  <c r="AJ10" i="80"/>
  <c r="AJ75" i="80" s="1"/>
  <c r="AJ14" i="80"/>
  <c r="AJ79" i="80" s="1"/>
  <c r="AJ9" i="80"/>
  <c r="AJ74" i="80" s="1"/>
  <c r="AJ17" i="80"/>
  <c r="AJ21" i="80"/>
  <c r="AJ16" i="80"/>
  <c r="AJ20" i="80"/>
  <c r="AJ19" i="80"/>
  <c r="AJ23" i="80"/>
  <c r="AJ13" i="80"/>
  <c r="AJ78" i="80" s="1"/>
  <c r="AJ18" i="80"/>
  <c r="AJ22" i="80"/>
  <c r="AJ24" i="80"/>
  <c r="AJ26" i="80"/>
  <c r="AJ25" i="80"/>
  <c r="AF8" i="80"/>
  <c r="AF12" i="80"/>
  <c r="AF77" i="80" s="1"/>
  <c r="AF11" i="80"/>
  <c r="AF76" i="80" s="1"/>
  <c r="AF15" i="80"/>
  <c r="AF10" i="80"/>
  <c r="AF75" i="80" s="1"/>
  <c r="AF14" i="80"/>
  <c r="AF79" i="80" s="1"/>
  <c r="AF9" i="80"/>
  <c r="AF74" i="80" s="1"/>
  <c r="AF17" i="80"/>
  <c r="AF21" i="80"/>
  <c r="AF16" i="80"/>
  <c r="AF20" i="80"/>
  <c r="AF13" i="80"/>
  <c r="AF78" i="80" s="1"/>
  <c r="AF19" i="80"/>
  <c r="AF23" i="80"/>
  <c r="AF18" i="80"/>
  <c r="AF22" i="80"/>
  <c r="AF24" i="80"/>
  <c r="AF26" i="80"/>
  <c r="AF25" i="80"/>
  <c r="AB8" i="80"/>
  <c r="AB12" i="80"/>
  <c r="AB77" i="80" s="1"/>
  <c r="AB16" i="80"/>
  <c r="AB11" i="80"/>
  <c r="AB76" i="80" s="1"/>
  <c r="AB15" i="80"/>
  <c r="AB10" i="80"/>
  <c r="AB75" i="80" s="1"/>
  <c r="AB14" i="80"/>
  <c r="AB79" i="80" s="1"/>
  <c r="AB9" i="80"/>
  <c r="AB74" i="80" s="1"/>
  <c r="AB17" i="80"/>
  <c r="AB21" i="80"/>
  <c r="AB13" i="80"/>
  <c r="AB78" i="80" s="1"/>
  <c r="AB20" i="80"/>
  <c r="AB19" i="80"/>
  <c r="AB23" i="80"/>
  <c r="AB18" i="80"/>
  <c r="AB22" i="80"/>
  <c r="AB26" i="80"/>
  <c r="AB24" i="80"/>
  <c r="AB25" i="80"/>
  <c r="X8" i="80"/>
  <c r="X12" i="80"/>
  <c r="X77" i="80" s="1"/>
  <c r="X16" i="80"/>
  <c r="X11" i="80"/>
  <c r="X76" i="80" s="1"/>
  <c r="X15" i="80"/>
  <c r="X10" i="80"/>
  <c r="X75" i="80" s="1"/>
  <c r="X14" i="80"/>
  <c r="X79" i="80" s="1"/>
  <c r="X9" i="80"/>
  <c r="X74" i="80" s="1"/>
  <c r="X13" i="80"/>
  <c r="X78" i="80" s="1"/>
  <c r="X17" i="80"/>
  <c r="X21" i="80"/>
  <c r="X20" i="80"/>
  <c r="X19" i="80"/>
  <c r="X23" i="80"/>
  <c r="X18" i="80"/>
  <c r="X22" i="80"/>
  <c r="X26" i="80"/>
  <c r="X25" i="80"/>
  <c r="X24" i="80"/>
  <c r="T8" i="80"/>
  <c r="T12" i="80"/>
  <c r="T77" i="80" s="1"/>
  <c r="T16" i="80"/>
  <c r="T11" i="80"/>
  <c r="T76" i="80" s="1"/>
  <c r="T15" i="80"/>
  <c r="T10" i="80"/>
  <c r="T75" i="80" s="1"/>
  <c r="T14" i="80"/>
  <c r="T79" i="80" s="1"/>
  <c r="T9" i="80"/>
  <c r="T74" i="80" s="1"/>
  <c r="T17" i="80"/>
  <c r="T21" i="80"/>
  <c r="T20" i="80"/>
  <c r="T19" i="80"/>
  <c r="T23" i="80"/>
  <c r="T13" i="80"/>
  <c r="T78" i="80" s="1"/>
  <c r="T18" i="80"/>
  <c r="T22" i="80"/>
  <c r="T24" i="80"/>
  <c r="T26" i="80"/>
  <c r="T25" i="80"/>
  <c r="P8" i="80"/>
  <c r="P12" i="80"/>
  <c r="P77" i="80" s="1"/>
  <c r="P16" i="80"/>
  <c r="P11" i="80"/>
  <c r="P76" i="80" s="1"/>
  <c r="P15" i="80"/>
  <c r="P101" i="80" s="1"/>
  <c r="P113" i="80" s="1"/>
  <c r="P117" i="80" s="1"/>
  <c r="P10" i="80"/>
  <c r="P75" i="80" s="1"/>
  <c r="P14" i="80"/>
  <c r="P79" i="80" s="1"/>
  <c r="P9" i="80"/>
  <c r="P74" i="80" s="1"/>
  <c r="P17" i="80"/>
  <c r="P21" i="80"/>
  <c r="P20" i="80"/>
  <c r="P24" i="80"/>
  <c r="P13" i="80"/>
  <c r="P78" i="80" s="1"/>
  <c r="P19" i="80"/>
  <c r="P23" i="80"/>
  <c r="P18" i="80"/>
  <c r="P22" i="80"/>
  <c r="P26" i="80"/>
  <c r="P25" i="80"/>
  <c r="L8" i="80"/>
  <c r="L12" i="80"/>
  <c r="L77" i="80" s="1"/>
  <c r="L16" i="80"/>
  <c r="L11" i="80"/>
  <c r="L76" i="80" s="1"/>
  <c r="L15" i="80"/>
  <c r="L101" i="80" s="1"/>
  <c r="L113" i="80" s="1"/>
  <c r="L117" i="80" s="1"/>
  <c r="L10" i="80"/>
  <c r="L75" i="80" s="1"/>
  <c r="L14" i="80"/>
  <c r="L79" i="80" s="1"/>
  <c r="L9" i="80"/>
  <c r="L74" i="80" s="1"/>
  <c r="L17" i="80"/>
  <c r="L21" i="80"/>
  <c r="L13" i="80"/>
  <c r="L78" i="80" s="1"/>
  <c r="L20" i="80"/>
  <c r="L24" i="80"/>
  <c r="L19" i="80"/>
  <c r="L23" i="80"/>
  <c r="L18" i="80"/>
  <c r="L22" i="80"/>
  <c r="L26" i="80"/>
  <c r="L25" i="80"/>
  <c r="C24" i="80"/>
  <c r="C20" i="80"/>
  <c r="C15" i="80"/>
  <c r="C80" i="80" s="1"/>
  <c r="C11" i="80"/>
  <c r="C76" i="80" s="1"/>
  <c r="C17" i="80"/>
  <c r="C23" i="80"/>
  <c r="C19" i="80"/>
  <c r="C14" i="80"/>
  <c r="C79" i="80" s="1"/>
  <c r="C10" i="80"/>
  <c r="C75" i="80" s="1"/>
  <c r="C26" i="80"/>
  <c r="C22" i="80"/>
  <c r="C18" i="80"/>
  <c r="C13" i="80"/>
  <c r="C78" i="80" s="1"/>
  <c r="C9" i="80"/>
  <c r="C74" i="80" s="1"/>
  <c r="C25" i="80"/>
  <c r="C21" i="80"/>
  <c r="C16" i="80"/>
  <c r="C12" i="80"/>
  <c r="C77" i="80" s="1"/>
  <c r="C8" i="80"/>
  <c r="E9" i="80"/>
  <c r="E74" i="80" s="1"/>
  <c r="E13" i="80"/>
  <c r="E78" i="80" s="1"/>
  <c r="E8" i="80"/>
  <c r="E12" i="80"/>
  <c r="E77" i="80" s="1"/>
  <c r="E16" i="80"/>
  <c r="E11" i="80"/>
  <c r="E76" i="80" s="1"/>
  <c r="E15" i="80"/>
  <c r="E80" i="80" s="1"/>
  <c r="E10" i="80"/>
  <c r="E75" i="80" s="1"/>
  <c r="E18" i="80"/>
  <c r="E22" i="80"/>
  <c r="E14" i="80"/>
  <c r="E79" i="80" s="1"/>
  <c r="E17" i="80"/>
  <c r="E21" i="80"/>
  <c r="E20" i="80"/>
  <c r="E19" i="80"/>
  <c r="E23" i="80"/>
  <c r="E24" i="80"/>
  <c r="E26" i="80"/>
  <c r="E25" i="80"/>
  <c r="AM11" i="80"/>
  <c r="AM76" i="80" s="1"/>
  <c r="AM15" i="80"/>
  <c r="AM10" i="80"/>
  <c r="AM75" i="80" s="1"/>
  <c r="AM14" i="80"/>
  <c r="AM79" i="80" s="1"/>
  <c r="AM9" i="80"/>
  <c r="AM74" i="80" s="1"/>
  <c r="AM13" i="80"/>
  <c r="AM78" i="80" s="1"/>
  <c r="AM8" i="80"/>
  <c r="AM12" i="80"/>
  <c r="AM77" i="80" s="1"/>
  <c r="AM16" i="80"/>
  <c r="AM20" i="80"/>
  <c r="AM24" i="80"/>
  <c r="AM19" i="80"/>
  <c r="AM23" i="80"/>
  <c r="AM18" i="80"/>
  <c r="AM22" i="80"/>
  <c r="AM17" i="80"/>
  <c r="AM21" i="80"/>
  <c r="AM26" i="80"/>
  <c r="AM25" i="80"/>
  <c r="AI11" i="80"/>
  <c r="AI76" i="80" s="1"/>
  <c r="AI15" i="80"/>
  <c r="AI10" i="80"/>
  <c r="AI75" i="80" s="1"/>
  <c r="AI14" i="80"/>
  <c r="AI79" i="80" s="1"/>
  <c r="AI9" i="80"/>
  <c r="AI74" i="80" s="1"/>
  <c r="AI13" i="80"/>
  <c r="AI78" i="80" s="1"/>
  <c r="AI8" i="80"/>
  <c r="AI12" i="80"/>
  <c r="AI77" i="80" s="1"/>
  <c r="AI16" i="80"/>
  <c r="AI20" i="80"/>
  <c r="AI24" i="80"/>
  <c r="AI19" i="80"/>
  <c r="AI23" i="80"/>
  <c r="AI18" i="80"/>
  <c r="AI22" i="80"/>
  <c r="AI17" i="80"/>
  <c r="AI21" i="80"/>
  <c r="AI26" i="80"/>
  <c r="AI25" i="80"/>
  <c r="AE11" i="80"/>
  <c r="AE76" i="80" s="1"/>
  <c r="AE15" i="80"/>
  <c r="AE10" i="80"/>
  <c r="AE75" i="80" s="1"/>
  <c r="AE14" i="80"/>
  <c r="AE79" i="80" s="1"/>
  <c r="AE9" i="80"/>
  <c r="AE74" i="80" s="1"/>
  <c r="AE13" i="80"/>
  <c r="AE78" i="80" s="1"/>
  <c r="AE8" i="80"/>
  <c r="AE12" i="80"/>
  <c r="AE77" i="80" s="1"/>
  <c r="AE16" i="80"/>
  <c r="AE20" i="80"/>
  <c r="AE24" i="80"/>
  <c r="AE19" i="80"/>
  <c r="AE23" i="80"/>
  <c r="AE18" i="80"/>
  <c r="AE22" i="80"/>
  <c r="AE17" i="80"/>
  <c r="AE21" i="80"/>
  <c r="AE26" i="80"/>
  <c r="AE25" i="80"/>
  <c r="AA11" i="80"/>
  <c r="AA76" i="80" s="1"/>
  <c r="AA15" i="80"/>
  <c r="AA10" i="80"/>
  <c r="AA75" i="80" s="1"/>
  <c r="AA14" i="80"/>
  <c r="AA79" i="80" s="1"/>
  <c r="AA9" i="80"/>
  <c r="AA74" i="80" s="1"/>
  <c r="AA13" i="80"/>
  <c r="AA78" i="80" s="1"/>
  <c r="AA8" i="80"/>
  <c r="AA12" i="80"/>
  <c r="AA77" i="80" s="1"/>
  <c r="AA20" i="80"/>
  <c r="AA24" i="80"/>
  <c r="AA19" i="80"/>
  <c r="AA23" i="80"/>
  <c r="AA16" i="80"/>
  <c r="AA18" i="80"/>
  <c r="AA22" i="80"/>
  <c r="AA17" i="80"/>
  <c r="AA21" i="80"/>
  <c r="AA26" i="80"/>
  <c r="AA25" i="80"/>
  <c r="W11" i="80"/>
  <c r="W76" i="80" s="1"/>
  <c r="W15" i="80"/>
  <c r="W10" i="80"/>
  <c r="W75" i="80" s="1"/>
  <c r="W14" i="80"/>
  <c r="W79" i="80" s="1"/>
  <c r="W9" i="80"/>
  <c r="W74" i="80" s="1"/>
  <c r="W13" i="80"/>
  <c r="W78" i="80" s="1"/>
  <c r="W8" i="80"/>
  <c r="W12" i="80"/>
  <c r="W77" i="80" s="1"/>
  <c r="W16" i="80"/>
  <c r="W20" i="80"/>
  <c r="W24" i="80"/>
  <c r="W19" i="80"/>
  <c r="W23" i="80"/>
  <c r="W18" i="80"/>
  <c r="W22" i="80"/>
  <c r="W17" i="80"/>
  <c r="W21" i="80"/>
  <c r="W26" i="80"/>
  <c r="W25" i="80"/>
  <c r="S11" i="80"/>
  <c r="S76" i="80" s="1"/>
  <c r="S15" i="80"/>
  <c r="S10" i="80"/>
  <c r="S75" i="80" s="1"/>
  <c r="S14" i="80"/>
  <c r="S79" i="80" s="1"/>
  <c r="S9" i="80"/>
  <c r="S74" i="80" s="1"/>
  <c r="S13" i="80"/>
  <c r="S78" i="80" s="1"/>
  <c r="S8" i="80"/>
  <c r="S12" i="80"/>
  <c r="S77" i="80" s="1"/>
  <c r="S20" i="80"/>
  <c r="S24" i="80"/>
  <c r="S19" i="80"/>
  <c r="S23" i="80"/>
  <c r="S16" i="80"/>
  <c r="S18" i="80"/>
  <c r="S22" i="80"/>
  <c r="S17" i="80"/>
  <c r="S21" i="80"/>
  <c r="S26" i="80"/>
  <c r="S25" i="80"/>
  <c r="O11" i="80"/>
  <c r="O76" i="80" s="1"/>
  <c r="O15" i="80"/>
  <c r="O101" i="80" s="1"/>
  <c r="O113" i="80" s="1"/>
  <c r="O117" i="80" s="1"/>
  <c r="O10" i="80"/>
  <c r="O75" i="80" s="1"/>
  <c r="O14" i="80"/>
  <c r="O79" i="80" s="1"/>
  <c r="O9" i="80"/>
  <c r="O74" i="80" s="1"/>
  <c r="O13" i="80"/>
  <c r="O78" i="80" s="1"/>
  <c r="O8" i="80"/>
  <c r="O12" i="80"/>
  <c r="O77" i="80" s="1"/>
  <c r="O16" i="80"/>
  <c r="O20" i="80"/>
  <c r="O24" i="80"/>
  <c r="O19" i="80"/>
  <c r="O23" i="80"/>
  <c r="O18" i="80"/>
  <c r="O22" i="80"/>
  <c r="O17" i="80"/>
  <c r="O21" i="80"/>
  <c r="O26" i="80"/>
  <c r="O25" i="80"/>
  <c r="K11" i="80"/>
  <c r="K76" i="80" s="1"/>
  <c r="K15" i="80"/>
  <c r="K101" i="80" s="1"/>
  <c r="K113" i="80" s="1"/>
  <c r="K117" i="80" s="1"/>
  <c r="K10" i="80"/>
  <c r="K75" i="80" s="1"/>
  <c r="K14" i="80"/>
  <c r="K79" i="80" s="1"/>
  <c r="K9" i="80"/>
  <c r="K74" i="80" s="1"/>
  <c r="K13" i="80"/>
  <c r="K78" i="80" s="1"/>
  <c r="K8" i="80"/>
  <c r="K12" i="80"/>
  <c r="K77" i="80" s="1"/>
  <c r="K20" i="80"/>
  <c r="K24" i="80"/>
  <c r="K19" i="80"/>
  <c r="K23" i="80"/>
  <c r="K16" i="80"/>
  <c r="K18" i="80"/>
  <c r="K22" i="80"/>
  <c r="K17" i="80"/>
  <c r="K21" i="80"/>
  <c r="K26" i="80"/>
  <c r="K25" i="80"/>
  <c r="H8" i="80"/>
  <c r="H12" i="80"/>
  <c r="H77" i="80" s="1"/>
  <c r="H16" i="80"/>
  <c r="H11" i="80"/>
  <c r="H76" i="80" s="1"/>
  <c r="H15" i="80"/>
  <c r="H80" i="80" s="1"/>
  <c r="H10" i="80"/>
  <c r="H75" i="80" s="1"/>
  <c r="H14" i="80"/>
  <c r="H79" i="80" s="1"/>
  <c r="H9" i="80"/>
  <c r="H74" i="80" s="1"/>
  <c r="H13" i="80"/>
  <c r="H78" i="80" s="1"/>
  <c r="H17" i="80"/>
  <c r="H21" i="80"/>
  <c r="H20" i="80"/>
  <c r="H24" i="80"/>
  <c r="H19" i="80"/>
  <c r="H23" i="80"/>
  <c r="H18" i="80"/>
  <c r="H22" i="80"/>
  <c r="H26" i="80"/>
  <c r="H25" i="80"/>
  <c r="D8" i="80"/>
  <c r="D12" i="80"/>
  <c r="D77" i="80" s="1"/>
  <c r="D16" i="80"/>
  <c r="D11" i="80"/>
  <c r="D76" i="80" s="1"/>
  <c r="D15" i="80"/>
  <c r="D80" i="80" s="1"/>
  <c r="D10" i="80"/>
  <c r="D75" i="80" s="1"/>
  <c r="D14" i="80"/>
  <c r="D79" i="80" s="1"/>
  <c r="D9" i="80"/>
  <c r="D74" i="80" s="1"/>
  <c r="D13" i="80"/>
  <c r="D78" i="80" s="1"/>
  <c r="D17" i="80"/>
  <c r="D21" i="80"/>
  <c r="D20" i="80"/>
  <c r="D24" i="80"/>
  <c r="D19" i="80"/>
  <c r="D23" i="80"/>
  <c r="D18" i="80"/>
  <c r="D22" i="80"/>
  <c r="D26" i="80"/>
  <c r="D25" i="80"/>
  <c r="AP10" i="80"/>
  <c r="AP75" i="80" s="1"/>
  <c r="AP14" i="80"/>
  <c r="AP79" i="80" s="1"/>
  <c r="AP9" i="80"/>
  <c r="AP74" i="80" s="1"/>
  <c r="AP13" i="80"/>
  <c r="AP78" i="80" s="1"/>
  <c r="AP8" i="80"/>
  <c r="AP12" i="80"/>
  <c r="AP77" i="80" s="1"/>
  <c r="AP11" i="80"/>
  <c r="AP76" i="80" s="1"/>
  <c r="AP15" i="80"/>
  <c r="AP19" i="80"/>
  <c r="AP23" i="80"/>
  <c r="AP18" i="80"/>
  <c r="AP22" i="80"/>
  <c r="AP17" i="80"/>
  <c r="AP21" i="80"/>
  <c r="AP16" i="80"/>
  <c r="AP20" i="80"/>
  <c r="AP25" i="80"/>
  <c r="AP24" i="80"/>
  <c r="AP26" i="80"/>
  <c r="AL10" i="80"/>
  <c r="AL75" i="80" s="1"/>
  <c r="AL14" i="80"/>
  <c r="AL79" i="80" s="1"/>
  <c r="AL9" i="80"/>
  <c r="AL74" i="80" s="1"/>
  <c r="AL13" i="80"/>
  <c r="AL78" i="80" s="1"/>
  <c r="AL8" i="80"/>
  <c r="AL12" i="80"/>
  <c r="AL77" i="80" s="1"/>
  <c r="AL11" i="80"/>
  <c r="AL76" i="80" s="1"/>
  <c r="AL19" i="80"/>
  <c r="AL23" i="80"/>
  <c r="AL18" i="80"/>
  <c r="AL22" i="80"/>
  <c r="AL17" i="80"/>
  <c r="AL21" i="80"/>
  <c r="AL15" i="80"/>
  <c r="AL16" i="80"/>
  <c r="AL20" i="80"/>
  <c r="AL25" i="80"/>
  <c r="AL24" i="80"/>
  <c r="AL26" i="80"/>
  <c r="AH10" i="80"/>
  <c r="AH75" i="80" s="1"/>
  <c r="AH14" i="80"/>
  <c r="AH79" i="80" s="1"/>
  <c r="AH9" i="80"/>
  <c r="AH74" i="80" s="1"/>
  <c r="AH13" i="80"/>
  <c r="AH78" i="80" s="1"/>
  <c r="AH8" i="80"/>
  <c r="AH12" i="80"/>
  <c r="AH77" i="80" s="1"/>
  <c r="AH11" i="80"/>
  <c r="AH76" i="80" s="1"/>
  <c r="AH19" i="80"/>
  <c r="AH23" i="80"/>
  <c r="AH18" i="80"/>
  <c r="AH22" i="80"/>
  <c r="AH15" i="80"/>
  <c r="AH17" i="80"/>
  <c r="AH21" i="80"/>
  <c r="AH16" i="80"/>
  <c r="AH20" i="80"/>
  <c r="AH25" i="80"/>
  <c r="AH24" i="80"/>
  <c r="AH26" i="80"/>
  <c r="AD10" i="80"/>
  <c r="AD75" i="80" s="1"/>
  <c r="AD14" i="80"/>
  <c r="AD79" i="80" s="1"/>
  <c r="AD9" i="80"/>
  <c r="AD74" i="80" s="1"/>
  <c r="AD13" i="80"/>
  <c r="AD78" i="80" s="1"/>
  <c r="AD8" i="80"/>
  <c r="AD12" i="80"/>
  <c r="AD77" i="80" s="1"/>
  <c r="AD11" i="80"/>
  <c r="AD76" i="80" s="1"/>
  <c r="AD19" i="80"/>
  <c r="AD23" i="80"/>
  <c r="AD15" i="80"/>
  <c r="AD18" i="80"/>
  <c r="AD22" i="80"/>
  <c r="AD17" i="80"/>
  <c r="AD21" i="80"/>
  <c r="AD16" i="80"/>
  <c r="AD20" i="80"/>
  <c r="AD24" i="80"/>
  <c r="AD25" i="80"/>
  <c r="AD26" i="80"/>
  <c r="AD27" i="80" s="1"/>
  <c r="Z10" i="80"/>
  <c r="Z75" i="80" s="1"/>
  <c r="Z14" i="80"/>
  <c r="Z79" i="80" s="1"/>
  <c r="Z9" i="80"/>
  <c r="Z74" i="80" s="1"/>
  <c r="Z13" i="80"/>
  <c r="Z78" i="80" s="1"/>
  <c r="Z8" i="80"/>
  <c r="Z12" i="80"/>
  <c r="Z77" i="80" s="1"/>
  <c r="Z11" i="80"/>
  <c r="Z76" i="80" s="1"/>
  <c r="Z15" i="80"/>
  <c r="Z19" i="80"/>
  <c r="Z23" i="80"/>
  <c r="Z16" i="80"/>
  <c r="Z18" i="80"/>
  <c r="Z22" i="80"/>
  <c r="Z17" i="80"/>
  <c r="Z21" i="80"/>
  <c r="Z20" i="80"/>
  <c r="Z25" i="80"/>
  <c r="Z24" i="80"/>
  <c r="Z26" i="80"/>
  <c r="V10" i="80"/>
  <c r="V75" i="80" s="1"/>
  <c r="V14" i="80"/>
  <c r="V79" i="80" s="1"/>
  <c r="V9" i="80"/>
  <c r="V74" i="80" s="1"/>
  <c r="V13" i="80"/>
  <c r="V78" i="80" s="1"/>
  <c r="V8" i="80"/>
  <c r="V12" i="80"/>
  <c r="V77" i="80" s="1"/>
  <c r="V11" i="80"/>
  <c r="V76" i="80" s="1"/>
  <c r="V19" i="80"/>
  <c r="V23" i="80"/>
  <c r="V18" i="80"/>
  <c r="V22" i="80"/>
  <c r="V17" i="80"/>
  <c r="V21" i="80"/>
  <c r="V15" i="80"/>
  <c r="V16" i="80"/>
  <c r="V20" i="80"/>
  <c r="V25" i="80"/>
  <c r="V24" i="80"/>
  <c r="V26" i="80"/>
  <c r="R10" i="80"/>
  <c r="R75" i="80" s="1"/>
  <c r="R14" i="80"/>
  <c r="R79" i="80" s="1"/>
  <c r="R9" i="80"/>
  <c r="R74" i="80" s="1"/>
  <c r="R13" i="80"/>
  <c r="R78" i="80" s="1"/>
  <c r="R8" i="80"/>
  <c r="R12" i="80"/>
  <c r="R77" i="80" s="1"/>
  <c r="R11" i="80"/>
  <c r="R76" i="80" s="1"/>
  <c r="R19" i="80"/>
  <c r="R23" i="80"/>
  <c r="R16" i="80"/>
  <c r="R18" i="80"/>
  <c r="R22" i="80"/>
  <c r="R15" i="80"/>
  <c r="R17" i="80"/>
  <c r="R21" i="80"/>
  <c r="R20" i="80"/>
  <c r="R24" i="80"/>
  <c r="R25" i="80"/>
  <c r="R26" i="80"/>
  <c r="N10" i="80"/>
  <c r="N75" i="80" s="1"/>
  <c r="N14" i="80"/>
  <c r="N79" i="80" s="1"/>
  <c r="N9" i="80"/>
  <c r="N74" i="80" s="1"/>
  <c r="N13" i="80"/>
  <c r="N78" i="80" s="1"/>
  <c r="N8" i="80"/>
  <c r="N12" i="80"/>
  <c r="N77" i="80" s="1"/>
  <c r="N11" i="80"/>
  <c r="N76" i="80" s="1"/>
  <c r="N19" i="80"/>
  <c r="N23" i="80"/>
  <c r="N15" i="80"/>
  <c r="N101" i="80" s="1"/>
  <c r="N113" i="80" s="1"/>
  <c r="N117" i="80" s="1"/>
  <c r="N18" i="80"/>
  <c r="N22" i="80"/>
  <c r="N17" i="80"/>
  <c r="N21" i="80"/>
  <c r="N16" i="80"/>
  <c r="N20" i="80"/>
  <c r="N24" i="80"/>
  <c r="N25" i="80"/>
  <c r="N26" i="80"/>
  <c r="J10" i="80"/>
  <c r="J75" i="80" s="1"/>
  <c r="J14" i="80"/>
  <c r="J79" i="80" s="1"/>
  <c r="J9" i="80"/>
  <c r="J74" i="80" s="1"/>
  <c r="J13" i="80"/>
  <c r="J78" i="80" s="1"/>
  <c r="J8" i="80"/>
  <c r="J12" i="80"/>
  <c r="J77" i="80" s="1"/>
  <c r="J16" i="80"/>
  <c r="J11" i="80"/>
  <c r="J76" i="80" s="1"/>
  <c r="J15" i="80"/>
  <c r="J101" i="80" s="1"/>
  <c r="J113" i="80" s="1"/>
  <c r="J117" i="80" s="1"/>
  <c r="J19" i="80"/>
  <c r="J23" i="80"/>
  <c r="J18" i="80"/>
  <c r="J22" i="80"/>
  <c r="J17" i="80"/>
  <c r="J21" i="80"/>
  <c r="J20" i="80"/>
  <c r="J24" i="80"/>
  <c r="J25" i="80"/>
  <c r="J26" i="80"/>
  <c r="AG27" i="82" l="1"/>
  <c r="AG28" i="82"/>
  <c r="AG73" i="82"/>
  <c r="AG92" i="82" s="1"/>
  <c r="AG115" i="82" s="1"/>
  <c r="AD28" i="82"/>
  <c r="AD27" i="82"/>
  <c r="AD73" i="82"/>
  <c r="AD92" i="82" s="1"/>
  <c r="AD115" i="82" s="1"/>
  <c r="X73" i="82"/>
  <c r="X92" i="82" s="1"/>
  <c r="X115" i="82" s="1"/>
  <c r="X28" i="82"/>
  <c r="X27" i="82"/>
  <c r="T73" i="82"/>
  <c r="T92" i="82" s="1"/>
  <c r="T115" i="82" s="1"/>
  <c r="T28" i="82"/>
  <c r="T27" i="82"/>
  <c r="U27" i="82"/>
  <c r="U73" i="82"/>
  <c r="U92" i="82" s="1"/>
  <c r="U115" i="82" s="1"/>
  <c r="U116" i="82" s="1"/>
  <c r="U28" i="82"/>
  <c r="S28" i="82"/>
  <c r="S27" i="82"/>
  <c r="S73" i="82"/>
  <c r="S92" i="82" s="1"/>
  <c r="S115" i="82" s="1"/>
  <c r="T116" i="82"/>
  <c r="R27" i="82"/>
  <c r="R73" i="82"/>
  <c r="R92" i="82" s="1"/>
  <c r="R115" i="82" s="1"/>
  <c r="R28" i="82"/>
  <c r="AK28" i="80"/>
  <c r="P27" i="80"/>
  <c r="C27" i="80"/>
  <c r="J28" i="82"/>
  <c r="J27" i="82"/>
  <c r="J73" i="82"/>
  <c r="J92" i="82" s="1"/>
  <c r="J115" i="82" s="1"/>
  <c r="O27" i="82"/>
  <c r="O28" i="82"/>
  <c r="O73" i="82"/>
  <c r="O92" i="82" s="1"/>
  <c r="O115" i="82" s="1"/>
  <c r="F28" i="82"/>
  <c r="F27" i="82"/>
  <c r="F73" i="82"/>
  <c r="F92" i="82" s="1"/>
  <c r="F115" i="82" s="1"/>
  <c r="K27" i="82"/>
  <c r="K73" i="82"/>
  <c r="K92" i="82" s="1"/>
  <c r="K115" i="82" s="1"/>
  <c r="K28" i="82"/>
  <c r="L27" i="82"/>
  <c r="L28" i="82"/>
  <c r="L73" i="82"/>
  <c r="L92" i="82" s="1"/>
  <c r="L115" i="82" s="1"/>
  <c r="M73" i="82"/>
  <c r="M92" i="82" s="1"/>
  <c r="M115" i="82" s="1"/>
  <c r="M27" i="82"/>
  <c r="M28" i="82"/>
  <c r="G27" i="82"/>
  <c r="G28" i="82"/>
  <c r="G73" i="82"/>
  <c r="G92" i="82" s="1"/>
  <c r="G115" i="82" s="1"/>
  <c r="H27" i="82"/>
  <c r="H28" i="82"/>
  <c r="H73" i="82"/>
  <c r="H92" i="82" s="1"/>
  <c r="H115" i="82" s="1"/>
  <c r="I27" i="82"/>
  <c r="I28" i="82"/>
  <c r="I73" i="82"/>
  <c r="I92" i="82" s="1"/>
  <c r="I115" i="82" s="1"/>
  <c r="N28" i="82"/>
  <c r="N27" i="82"/>
  <c r="N73" i="82"/>
  <c r="N92" i="82" s="1"/>
  <c r="N115" i="82" s="1"/>
  <c r="E73" i="82"/>
  <c r="E92" i="82" s="1"/>
  <c r="E115" i="82" s="1"/>
  <c r="E27" i="82"/>
  <c r="E28" i="82"/>
  <c r="AK73" i="82"/>
  <c r="AK92" i="82" s="1"/>
  <c r="AK115" i="82" s="1"/>
  <c r="AK28" i="82"/>
  <c r="AK27" i="82"/>
  <c r="AJ28" i="82"/>
  <c r="AJ27" i="82"/>
  <c r="AJ73" i="82"/>
  <c r="AJ92" i="82" s="1"/>
  <c r="AJ115" i="82" s="1"/>
  <c r="AE27" i="82"/>
  <c r="AE28" i="82"/>
  <c r="AE73" i="82"/>
  <c r="AE92" i="82" s="1"/>
  <c r="AE115" i="82" s="1"/>
  <c r="AF27" i="82"/>
  <c r="AF73" i="82"/>
  <c r="AF92" i="82" s="1"/>
  <c r="AF115" i="82" s="1"/>
  <c r="AF28" i="82"/>
  <c r="Z73" i="82"/>
  <c r="Z92" i="82" s="1"/>
  <c r="Z115" i="82" s="1"/>
  <c r="Z28" i="82"/>
  <c r="Z27" i="82"/>
  <c r="Y73" i="82"/>
  <c r="Y92" i="82" s="1"/>
  <c r="Y115" i="82" s="1"/>
  <c r="Y28" i="82"/>
  <c r="Y27" i="82"/>
  <c r="Q73" i="82"/>
  <c r="Q92" i="82" s="1"/>
  <c r="Q115" i="82" s="1"/>
  <c r="Q27" i="82"/>
  <c r="Q28" i="82"/>
  <c r="P27" i="82"/>
  <c r="P28" i="82"/>
  <c r="P73" i="82"/>
  <c r="P92" i="82" s="1"/>
  <c r="P115" i="82" s="1"/>
  <c r="C28" i="82"/>
  <c r="C27" i="82"/>
  <c r="C73" i="82"/>
  <c r="C92" i="82" s="1"/>
  <c r="C115" i="82" s="1"/>
  <c r="D27" i="82"/>
  <c r="D28" i="82"/>
  <c r="D73" i="82"/>
  <c r="D92" i="82" s="1"/>
  <c r="D115" i="82" s="1"/>
  <c r="AF27" i="80"/>
  <c r="R28" i="80"/>
  <c r="R73" i="80"/>
  <c r="R92" i="80" s="1"/>
  <c r="R115" i="80" s="1"/>
  <c r="Z27" i="80"/>
  <c r="AH28" i="80"/>
  <c r="AH73" i="80"/>
  <c r="AH92" i="80" s="1"/>
  <c r="AH115" i="80" s="1"/>
  <c r="AP27" i="80"/>
  <c r="H73" i="80"/>
  <c r="H92" i="80" s="1"/>
  <c r="H115" i="80" s="1"/>
  <c r="H28" i="80"/>
  <c r="H27" i="80"/>
  <c r="O28" i="80"/>
  <c r="O73" i="80"/>
  <c r="O92" i="80" s="1"/>
  <c r="O115" i="80" s="1"/>
  <c r="O27" i="80"/>
  <c r="AE28" i="80"/>
  <c r="AE73" i="80"/>
  <c r="AE92" i="80" s="1"/>
  <c r="AE115" i="80" s="1"/>
  <c r="AE27" i="80"/>
  <c r="C28" i="80"/>
  <c r="C73" i="80"/>
  <c r="C92" i="80" s="1"/>
  <c r="C115" i="80" s="1"/>
  <c r="C116" i="80" s="1"/>
  <c r="P73" i="80"/>
  <c r="P92" i="80" s="1"/>
  <c r="P115" i="80" s="1"/>
  <c r="P28" i="80"/>
  <c r="AF28" i="80"/>
  <c r="AF73" i="80"/>
  <c r="AF92" i="80" s="1"/>
  <c r="AF115" i="80" s="1"/>
  <c r="AF116" i="80" s="1"/>
  <c r="Q28" i="80"/>
  <c r="Q73" i="80"/>
  <c r="Q92" i="80" s="1"/>
  <c r="Q115" i="80" s="1"/>
  <c r="Q27" i="80"/>
  <c r="AG28" i="80"/>
  <c r="AG73" i="80"/>
  <c r="AG92" i="80" s="1"/>
  <c r="AG115" i="80" s="1"/>
  <c r="AG27" i="80"/>
  <c r="N28" i="80"/>
  <c r="N73" i="80"/>
  <c r="N92" i="80" s="1"/>
  <c r="N115" i="80" s="1"/>
  <c r="N27" i="80"/>
  <c r="V27" i="80"/>
  <c r="AD28" i="80"/>
  <c r="AD73" i="80"/>
  <c r="AD92" i="80" s="1"/>
  <c r="AD115" i="80" s="1"/>
  <c r="AD116" i="80" s="1"/>
  <c r="AL27" i="80"/>
  <c r="D73" i="80"/>
  <c r="D92" i="80" s="1"/>
  <c r="D115" i="80" s="1"/>
  <c r="D28" i="80"/>
  <c r="D27" i="80"/>
  <c r="K28" i="80"/>
  <c r="K73" i="80"/>
  <c r="K92" i="80" s="1"/>
  <c r="K115" i="80" s="1"/>
  <c r="K27" i="80"/>
  <c r="AA28" i="80"/>
  <c r="AA73" i="80"/>
  <c r="AA92" i="80" s="1"/>
  <c r="AA115" i="80" s="1"/>
  <c r="AA27" i="80"/>
  <c r="E28" i="80"/>
  <c r="E73" i="80"/>
  <c r="E92" i="80" s="1"/>
  <c r="E115" i="80" s="1"/>
  <c r="E27" i="80"/>
  <c r="L73" i="80"/>
  <c r="L92" i="80" s="1"/>
  <c r="L115" i="80" s="1"/>
  <c r="L28" i="80"/>
  <c r="L27" i="80"/>
  <c r="AB27" i="80"/>
  <c r="AB73" i="80"/>
  <c r="AB92" i="80" s="1"/>
  <c r="AB115" i="80" s="1"/>
  <c r="AB28" i="80"/>
  <c r="F28" i="80"/>
  <c r="F73" i="80"/>
  <c r="F92" i="80" s="1"/>
  <c r="F115" i="80" s="1"/>
  <c r="F27" i="80"/>
  <c r="M28" i="80"/>
  <c r="M73" i="80"/>
  <c r="M92" i="80" s="1"/>
  <c r="M115" i="80" s="1"/>
  <c r="M27" i="80"/>
  <c r="AC28" i="80"/>
  <c r="AC73" i="80"/>
  <c r="AC92" i="80" s="1"/>
  <c r="AC115" i="80" s="1"/>
  <c r="AC27" i="80"/>
  <c r="G28" i="80"/>
  <c r="G73" i="80"/>
  <c r="G92" i="80" s="1"/>
  <c r="G115" i="80" s="1"/>
  <c r="G27" i="80"/>
  <c r="J28" i="80"/>
  <c r="J73" i="80"/>
  <c r="J92" i="80" s="1"/>
  <c r="J115" i="80" s="1"/>
  <c r="J27" i="80"/>
  <c r="R27" i="80"/>
  <c r="Z28" i="80"/>
  <c r="Z73" i="80"/>
  <c r="Z92" i="80" s="1"/>
  <c r="Z115" i="80" s="1"/>
  <c r="AH27" i="80"/>
  <c r="AP28" i="80"/>
  <c r="AP73" i="80"/>
  <c r="AP92" i="80" s="1"/>
  <c r="AP115" i="80" s="1"/>
  <c r="W28" i="80"/>
  <c r="W73" i="80"/>
  <c r="W92" i="80" s="1"/>
  <c r="W115" i="80" s="1"/>
  <c r="W27" i="80"/>
  <c r="AM28" i="80"/>
  <c r="AM73" i="80"/>
  <c r="AM92" i="80" s="1"/>
  <c r="AM115" i="80" s="1"/>
  <c r="AM116" i="80" s="1"/>
  <c r="AM27" i="80"/>
  <c r="T27" i="80"/>
  <c r="X27" i="80"/>
  <c r="X92" i="80"/>
  <c r="X115" i="80" s="1"/>
  <c r="X28" i="80"/>
  <c r="X73" i="80"/>
  <c r="AJ27" i="80"/>
  <c r="AN27" i="80"/>
  <c r="AN28" i="80"/>
  <c r="AN73" i="80"/>
  <c r="AN92" i="80" s="1"/>
  <c r="AN115" i="80" s="1"/>
  <c r="I28" i="80"/>
  <c r="I73" i="80"/>
  <c r="I92" i="80" s="1"/>
  <c r="I115" i="80" s="1"/>
  <c r="I27" i="80"/>
  <c r="Y28" i="80"/>
  <c r="Y73" i="80"/>
  <c r="Y92" i="80" s="1"/>
  <c r="Y115" i="80" s="1"/>
  <c r="Y116" i="80" s="1"/>
  <c r="Y27" i="80"/>
  <c r="AO28" i="80"/>
  <c r="AO73" i="80"/>
  <c r="AO92" i="80" s="1"/>
  <c r="AO115" i="80" s="1"/>
  <c r="AO27" i="80"/>
  <c r="V73" i="80"/>
  <c r="V92" i="80" s="1"/>
  <c r="V115" i="80" s="1"/>
  <c r="V116" i="80" s="1"/>
  <c r="V28" i="80"/>
  <c r="AL28" i="80"/>
  <c r="AL73" i="80"/>
  <c r="AL92" i="80" s="1"/>
  <c r="AL115" i="80" s="1"/>
  <c r="S28" i="80"/>
  <c r="S73" i="80"/>
  <c r="S92" i="80" s="1"/>
  <c r="S115" i="80" s="1"/>
  <c r="S27" i="80"/>
  <c r="AI28" i="80"/>
  <c r="AI73" i="80"/>
  <c r="AI92" i="80" s="1"/>
  <c r="AI115" i="80" s="1"/>
  <c r="AI27" i="80"/>
  <c r="T28" i="80"/>
  <c r="T73" i="80"/>
  <c r="T92" i="80" s="1"/>
  <c r="T115" i="80" s="1"/>
  <c r="AJ28" i="80"/>
  <c r="AJ73" i="80"/>
  <c r="AJ92" i="80" s="1"/>
  <c r="AJ115" i="80" s="1"/>
  <c r="AJ116" i="80" s="1"/>
  <c r="U28" i="80"/>
  <c r="U73" i="80"/>
  <c r="U92" i="80" s="1"/>
  <c r="U115" i="80" s="1"/>
  <c r="U27" i="80"/>
  <c r="AK73" i="80"/>
  <c r="AK92" i="80" s="1"/>
  <c r="AK115" i="80" s="1"/>
  <c r="AK27" i="80"/>
  <c r="F76" i="30"/>
  <c r="B76" i="30"/>
  <c r="B75" i="30"/>
  <c r="J64" i="30"/>
  <c r="J63" i="30"/>
  <c r="G63" i="30"/>
  <c r="X116" i="82" l="1"/>
  <c r="J116" i="82"/>
  <c r="AK116" i="82"/>
  <c r="AD116" i="82"/>
  <c r="AG116" i="82"/>
  <c r="Z116" i="82"/>
  <c r="S116" i="82"/>
  <c r="Q116" i="82"/>
  <c r="P116" i="82"/>
  <c r="R116" i="82"/>
  <c r="AL116" i="80"/>
  <c r="AH116" i="80"/>
  <c r="Z116" i="80"/>
  <c r="AC116" i="80"/>
  <c r="U116" i="80"/>
  <c r="P116" i="80"/>
  <c r="M116" i="80"/>
  <c r="M116" i="82"/>
  <c r="F116" i="82"/>
  <c r="G116" i="82"/>
  <c r="C116" i="82"/>
  <c r="E116" i="82"/>
  <c r="O116" i="82"/>
  <c r="I116" i="82"/>
  <c r="L116" i="82"/>
  <c r="N116" i="82"/>
  <c r="H116" i="82"/>
  <c r="K116" i="82"/>
  <c r="H116" i="80"/>
  <c r="AJ116" i="82"/>
  <c r="AF116" i="82"/>
  <c r="AE116" i="82"/>
  <c r="Y116" i="82"/>
  <c r="D116" i="82"/>
  <c r="AI116" i="80"/>
  <c r="I116" i="80"/>
  <c r="W116" i="80"/>
  <c r="J116" i="80"/>
  <c r="G116" i="80"/>
  <c r="AB116" i="80"/>
  <c r="K116" i="80"/>
  <c r="D116" i="80"/>
  <c r="Q116" i="80"/>
  <c r="O116" i="80"/>
  <c r="X116" i="80"/>
  <c r="AN116" i="80"/>
  <c r="S116" i="80"/>
  <c r="T116" i="80"/>
  <c r="L116" i="80"/>
  <c r="E116" i="80"/>
  <c r="N116" i="80"/>
  <c r="AE116" i="80"/>
  <c r="AP116" i="80"/>
  <c r="F116" i="80"/>
  <c r="R116" i="80"/>
  <c r="AK116" i="80"/>
  <c r="AO116" i="80"/>
  <c r="AA116" i="80"/>
  <c r="AG116" i="80"/>
  <c r="G5" i="9"/>
  <c r="D1" i="9"/>
  <c r="H39" i="77"/>
  <c r="H41" i="77"/>
  <c r="H37" i="77"/>
  <c r="H34" i="77"/>
  <c r="H22" i="77"/>
  <c r="H24" i="77"/>
  <c r="H26" i="77"/>
  <c r="H28" i="77"/>
  <c r="H30" i="77"/>
  <c r="H32" i="77"/>
  <c r="H20" i="77"/>
  <c r="AU8" i="78" l="1"/>
  <c r="AV8" i="78"/>
  <c r="AW8" i="78"/>
  <c r="AU9" i="78"/>
  <c r="AV9" i="78"/>
  <c r="AW9" i="78"/>
  <c r="AU10" i="78"/>
  <c r="AV10" i="78"/>
  <c r="AW10" i="78"/>
  <c r="AU11" i="78"/>
  <c r="AV11" i="78"/>
  <c r="AW11" i="78"/>
  <c r="AU12" i="78"/>
  <c r="AV12" i="78"/>
  <c r="AW12" i="78"/>
  <c r="AU13" i="78"/>
  <c r="AV13" i="78"/>
  <c r="AW13" i="78"/>
  <c r="AU14" i="78"/>
  <c r="AV14" i="78"/>
  <c r="AW14" i="78"/>
  <c r="AU15" i="78"/>
  <c r="AV15" i="78"/>
  <c r="AW15" i="78"/>
  <c r="AU16" i="78"/>
  <c r="AV16" i="78"/>
  <c r="AW16" i="78"/>
  <c r="AU17" i="78"/>
  <c r="AV17" i="78"/>
  <c r="AW17" i="78"/>
  <c r="AU18" i="78"/>
  <c r="AV18" i="78"/>
  <c r="AW18" i="78"/>
  <c r="AU19" i="78"/>
  <c r="AV19" i="78"/>
  <c r="AW19" i="78"/>
  <c r="AU20" i="78"/>
  <c r="AV20" i="78"/>
  <c r="AW20" i="78"/>
  <c r="AU21" i="78"/>
  <c r="AV21" i="78"/>
  <c r="AW21" i="78"/>
  <c r="AU22" i="78"/>
  <c r="AV22" i="78"/>
  <c r="AW22" i="78"/>
  <c r="AU23" i="78"/>
  <c r="AV23" i="78"/>
  <c r="AW23" i="78"/>
  <c r="AU24" i="78"/>
  <c r="AV24" i="78"/>
  <c r="AW24" i="78"/>
  <c r="AU25" i="78"/>
  <c r="AV25" i="78"/>
  <c r="AW25" i="78"/>
  <c r="AU26" i="78"/>
  <c r="AV26" i="78"/>
  <c r="AW26" i="78"/>
  <c r="AU27" i="78"/>
  <c r="AV27" i="78"/>
  <c r="AW27" i="78"/>
  <c r="AU28" i="78"/>
  <c r="AV28" i="78"/>
  <c r="AW28" i="78"/>
  <c r="AU29" i="78"/>
  <c r="AV29" i="78"/>
  <c r="AW29" i="78"/>
  <c r="AU30" i="78"/>
  <c r="AV30" i="78"/>
  <c r="AW30" i="78"/>
  <c r="AU31" i="78"/>
  <c r="AV31" i="78"/>
  <c r="AW31" i="78"/>
  <c r="AU32" i="78"/>
  <c r="AV32" i="78"/>
  <c r="AW32" i="78"/>
  <c r="AU33" i="78"/>
  <c r="AV33" i="78"/>
  <c r="AW33" i="78"/>
  <c r="AU34" i="78"/>
  <c r="AV34" i="78"/>
  <c r="AW34" i="78"/>
  <c r="AU35" i="78"/>
  <c r="AV35" i="78"/>
  <c r="AW35" i="78"/>
  <c r="AU36" i="78"/>
  <c r="AV36" i="78"/>
  <c r="AW36" i="78"/>
  <c r="AU37" i="78"/>
  <c r="AV37" i="78"/>
  <c r="AW37" i="78"/>
  <c r="AU38" i="78"/>
  <c r="AV38" i="78"/>
  <c r="AW38" i="78"/>
  <c r="AU39" i="78"/>
  <c r="AV39" i="78"/>
  <c r="AW39" i="78"/>
  <c r="AU40" i="78"/>
  <c r="AV40" i="78"/>
  <c r="AW40" i="78"/>
  <c r="AU41" i="78"/>
  <c r="AV41" i="78"/>
  <c r="AW41" i="78"/>
  <c r="AU42" i="78"/>
  <c r="AV42" i="78"/>
  <c r="AW42" i="78"/>
  <c r="AU43" i="78"/>
  <c r="AV43" i="78"/>
  <c r="AW43" i="78"/>
  <c r="AU44" i="78"/>
  <c r="AV44" i="78"/>
  <c r="AW44" i="78"/>
  <c r="AU45" i="78"/>
  <c r="AV45" i="78"/>
  <c r="AW45" i="78"/>
  <c r="AU46" i="78"/>
  <c r="AV46" i="78"/>
  <c r="AW46" i="78"/>
  <c r="AU47" i="78"/>
  <c r="AV47" i="78"/>
  <c r="AW47" i="78"/>
  <c r="AU48" i="78"/>
  <c r="AV48" i="78"/>
  <c r="AW48" i="78"/>
  <c r="AU49" i="78"/>
  <c r="AV49" i="78"/>
  <c r="AW49" i="78"/>
  <c r="AU50" i="78"/>
  <c r="AV50" i="78"/>
  <c r="AW50" i="78"/>
  <c r="AU51" i="78"/>
  <c r="AV51" i="78"/>
  <c r="AW51" i="78"/>
  <c r="AU52" i="78"/>
  <c r="AV52" i="78"/>
  <c r="AW52" i="78"/>
  <c r="AU53" i="78"/>
  <c r="AV53" i="78"/>
  <c r="AW53" i="78"/>
  <c r="AU54" i="78"/>
  <c r="AV54" i="78"/>
  <c r="AW54" i="78"/>
  <c r="AU55" i="78"/>
  <c r="AV55" i="78"/>
  <c r="AW55" i="78"/>
  <c r="AU56" i="78"/>
  <c r="AV56" i="78"/>
  <c r="AW56" i="78"/>
  <c r="AV7" i="78"/>
  <c r="AW7" i="78"/>
  <c r="AU7" i="78"/>
  <c r="AR8" i="78"/>
  <c r="AS8" i="78"/>
  <c r="AT8" i="78"/>
  <c r="AR9" i="78"/>
  <c r="AS9" i="78"/>
  <c r="AT9" i="78"/>
  <c r="AR10" i="78"/>
  <c r="AS10" i="78"/>
  <c r="AT10" i="78"/>
  <c r="AR11" i="78"/>
  <c r="AS11" i="78"/>
  <c r="AT11" i="78"/>
  <c r="AR12" i="78"/>
  <c r="AS12" i="78"/>
  <c r="AT12" i="78"/>
  <c r="AR13" i="78"/>
  <c r="AS13" i="78"/>
  <c r="AT13" i="78"/>
  <c r="AR14" i="78"/>
  <c r="AS14" i="78"/>
  <c r="AT14" i="78"/>
  <c r="AR15" i="78"/>
  <c r="AS15" i="78"/>
  <c r="AT15" i="78"/>
  <c r="AR16" i="78"/>
  <c r="AS16" i="78"/>
  <c r="AT16" i="78"/>
  <c r="AR17" i="78"/>
  <c r="AS17" i="78"/>
  <c r="AT17" i="78"/>
  <c r="AR18" i="78"/>
  <c r="AS18" i="78"/>
  <c r="AT18" i="78"/>
  <c r="AR19" i="78"/>
  <c r="AS19" i="78"/>
  <c r="AT19" i="78"/>
  <c r="AR20" i="78"/>
  <c r="AS20" i="78"/>
  <c r="AT20" i="78"/>
  <c r="AR21" i="78"/>
  <c r="AS21" i="78"/>
  <c r="AT21" i="78"/>
  <c r="AR22" i="78"/>
  <c r="AS22" i="78"/>
  <c r="AT22" i="78"/>
  <c r="AR23" i="78"/>
  <c r="AS23" i="78"/>
  <c r="AT23" i="78"/>
  <c r="AR24" i="78"/>
  <c r="AS24" i="78"/>
  <c r="AT24" i="78"/>
  <c r="AR25" i="78"/>
  <c r="AS25" i="78"/>
  <c r="AT25" i="78"/>
  <c r="AR26" i="78"/>
  <c r="AS26" i="78"/>
  <c r="AT26" i="78"/>
  <c r="AR27" i="78"/>
  <c r="AS27" i="78"/>
  <c r="AT27" i="78"/>
  <c r="AR28" i="78"/>
  <c r="AS28" i="78"/>
  <c r="AT28" i="78"/>
  <c r="AR29" i="78"/>
  <c r="AS29" i="78"/>
  <c r="AT29" i="78"/>
  <c r="AR30" i="78"/>
  <c r="AS30" i="78"/>
  <c r="AT30" i="78"/>
  <c r="AR31" i="78"/>
  <c r="AS31" i="78"/>
  <c r="AT31" i="78"/>
  <c r="AR32" i="78"/>
  <c r="AS32" i="78"/>
  <c r="AT32" i="78"/>
  <c r="AR33" i="78"/>
  <c r="AS33" i="78"/>
  <c r="AT33" i="78"/>
  <c r="AR34" i="78"/>
  <c r="AS34" i="78"/>
  <c r="AT34" i="78"/>
  <c r="AR35" i="78"/>
  <c r="AS35" i="78"/>
  <c r="AT35" i="78"/>
  <c r="AR36" i="78"/>
  <c r="AS36" i="78"/>
  <c r="AT36" i="78"/>
  <c r="AR37" i="78"/>
  <c r="AS37" i="78"/>
  <c r="AT37" i="78"/>
  <c r="AR38" i="78"/>
  <c r="AS38" i="78"/>
  <c r="AT38" i="78"/>
  <c r="AR39" i="78"/>
  <c r="AS39" i="78"/>
  <c r="AT39" i="78"/>
  <c r="AR40" i="78"/>
  <c r="AS40" i="78"/>
  <c r="AT40" i="78"/>
  <c r="AR41" i="78"/>
  <c r="AS41" i="78"/>
  <c r="AT41" i="78"/>
  <c r="AR42" i="78"/>
  <c r="AS42" i="78"/>
  <c r="AT42" i="78"/>
  <c r="AR43" i="78"/>
  <c r="AS43" i="78"/>
  <c r="AT43" i="78"/>
  <c r="AR44" i="78"/>
  <c r="AS44" i="78"/>
  <c r="AT44" i="78"/>
  <c r="AR45" i="78"/>
  <c r="AS45" i="78"/>
  <c r="AT45" i="78"/>
  <c r="AR46" i="78"/>
  <c r="AS46" i="78"/>
  <c r="AT46" i="78"/>
  <c r="AR47" i="78"/>
  <c r="AS47" i="78"/>
  <c r="AT47" i="78"/>
  <c r="AR48" i="78"/>
  <c r="AS48" i="78"/>
  <c r="AT48" i="78"/>
  <c r="AR49" i="78"/>
  <c r="AS49" i="78"/>
  <c r="AT49" i="78"/>
  <c r="AR50" i="78"/>
  <c r="AS50" i="78"/>
  <c r="AT50" i="78"/>
  <c r="AR51" i="78"/>
  <c r="AS51" i="78"/>
  <c r="AT51" i="78"/>
  <c r="AR52" i="78"/>
  <c r="AS52" i="78"/>
  <c r="AT52" i="78"/>
  <c r="AR53" i="78"/>
  <c r="AS53" i="78"/>
  <c r="AT53" i="78"/>
  <c r="AR54" i="78"/>
  <c r="AS54" i="78"/>
  <c r="AT54" i="78"/>
  <c r="AR55" i="78"/>
  <c r="AS55" i="78"/>
  <c r="AT55" i="78"/>
  <c r="AR56" i="78"/>
  <c r="AS56" i="78"/>
  <c r="AT56" i="78"/>
  <c r="AS7" i="78"/>
  <c r="AT7" i="78"/>
  <c r="AR7" i="78"/>
  <c r="AP8" i="78"/>
  <c r="AQ8" i="78"/>
  <c r="AP9" i="78"/>
  <c r="AQ9" i="78"/>
  <c r="AP10" i="78"/>
  <c r="AQ10" i="78"/>
  <c r="AP11" i="78"/>
  <c r="AQ11" i="78"/>
  <c r="AP12" i="78"/>
  <c r="AQ12" i="78"/>
  <c r="AP13" i="78"/>
  <c r="N35" i="77" s="1"/>
  <c r="AQ13" i="78"/>
  <c r="O35" i="77" s="1"/>
  <c r="AP14" i="78"/>
  <c r="AQ14" i="78"/>
  <c r="AP15" i="78"/>
  <c r="AQ15" i="78"/>
  <c r="AP16" i="78"/>
  <c r="AQ16" i="78"/>
  <c r="AP17" i="78"/>
  <c r="AQ17" i="78"/>
  <c r="AP18" i="78"/>
  <c r="AQ18" i="78"/>
  <c r="AP19" i="78"/>
  <c r="AQ19" i="78"/>
  <c r="AP20" i="78"/>
  <c r="AQ20" i="78"/>
  <c r="AP21" i="78"/>
  <c r="AQ21" i="78"/>
  <c r="AP22" i="78"/>
  <c r="AQ22" i="78"/>
  <c r="AP23" i="78"/>
  <c r="AQ23" i="78"/>
  <c r="AP24" i="78"/>
  <c r="AQ24" i="78"/>
  <c r="AP25" i="78"/>
  <c r="AQ25" i="78"/>
  <c r="AP26" i="78"/>
  <c r="AQ26" i="78"/>
  <c r="AP27" i="78"/>
  <c r="AQ27" i="78"/>
  <c r="AP28" i="78"/>
  <c r="AQ28" i="78"/>
  <c r="AP29" i="78"/>
  <c r="AQ29" i="78"/>
  <c r="AP30" i="78"/>
  <c r="AQ30" i="78"/>
  <c r="AP31" i="78"/>
  <c r="AQ31" i="78"/>
  <c r="AP32" i="78"/>
  <c r="AQ32" i="78"/>
  <c r="AP33" i="78"/>
  <c r="AQ33" i="78"/>
  <c r="AP34" i="78"/>
  <c r="AQ34" i="78"/>
  <c r="AP35" i="78"/>
  <c r="AQ35" i="78"/>
  <c r="AP36" i="78"/>
  <c r="AQ36" i="78"/>
  <c r="AP37" i="78"/>
  <c r="AQ37" i="78"/>
  <c r="AP38" i="78"/>
  <c r="AQ38" i="78"/>
  <c r="AP39" i="78"/>
  <c r="AQ39" i="78"/>
  <c r="AP40" i="78"/>
  <c r="AQ40" i="78"/>
  <c r="AP41" i="78"/>
  <c r="AQ41" i="78"/>
  <c r="AP42" i="78"/>
  <c r="AQ42" i="78"/>
  <c r="AP43" i="78"/>
  <c r="AQ43" i="78"/>
  <c r="AP44" i="78"/>
  <c r="AQ44" i="78"/>
  <c r="AP45" i="78"/>
  <c r="AQ45" i="78"/>
  <c r="AP46" i="78"/>
  <c r="AQ46" i="78"/>
  <c r="AP47" i="78"/>
  <c r="AQ47" i="78"/>
  <c r="AP48" i="78"/>
  <c r="AQ48" i="78"/>
  <c r="AP49" i="78"/>
  <c r="AQ49" i="78"/>
  <c r="AP50" i="78"/>
  <c r="AQ50" i="78"/>
  <c r="AP51" i="78"/>
  <c r="AQ51" i="78"/>
  <c r="AP52" i="78"/>
  <c r="AQ52" i="78"/>
  <c r="AP53" i="78"/>
  <c r="AQ53" i="78"/>
  <c r="AP54" i="78"/>
  <c r="AQ54" i="78"/>
  <c r="AP55" i="78"/>
  <c r="AQ55" i="78"/>
  <c r="AP56" i="78"/>
  <c r="AQ56" i="78"/>
  <c r="AQ7" i="78"/>
  <c r="AP7" i="78"/>
  <c r="AN8" i="78"/>
  <c r="AO8" i="78"/>
  <c r="AN9" i="78"/>
  <c r="AO9" i="78"/>
  <c r="AN10" i="78"/>
  <c r="AO10" i="78"/>
  <c r="AN11" i="78"/>
  <c r="AO11" i="78"/>
  <c r="AN12" i="78"/>
  <c r="AO12" i="78"/>
  <c r="AN13" i="78"/>
  <c r="I35" i="77" s="1"/>
  <c r="AO13" i="78"/>
  <c r="J35" i="77" s="1"/>
  <c r="AN14" i="78"/>
  <c r="AO14" i="78"/>
  <c r="AN15" i="78"/>
  <c r="AO15" i="78"/>
  <c r="AN16" i="78"/>
  <c r="AO16" i="78"/>
  <c r="AN17" i="78"/>
  <c r="AO17" i="78"/>
  <c r="AN18" i="78"/>
  <c r="AO18" i="78"/>
  <c r="AN19" i="78"/>
  <c r="AO19" i="78"/>
  <c r="AN20" i="78"/>
  <c r="AO20" i="78"/>
  <c r="AN21" i="78"/>
  <c r="AO21" i="78"/>
  <c r="AN22" i="78"/>
  <c r="AO22" i="78"/>
  <c r="AN23" i="78"/>
  <c r="AO23" i="78"/>
  <c r="AN24" i="78"/>
  <c r="AO24" i="78"/>
  <c r="AN25" i="78"/>
  <c r="AO25" i="78"/>
  <c r="AN26" i="78"/>
  <c r="AO26" i="78"/>
  <c r="AN27" i="78"/>
  <c r="AO27" i="78"/>
  <c r="AN28" i="78"/>
  <c r="AO28" i="78"/>
  <c r="AN29" i="78"/>
  <c r="AO29" i="78"/>
  <c r="AN30" i="78"/>
  <c r="AO30" i="78"/>
  <c r="AN31" i="78"/>
  <c r="AO31" i="78"/>
  <c r="AN32" i="78"/>
  <c r="AO32" i="78"/>
  <c r="AN33" i="78"/>
  <c r="AO33" i="78"/>
  <c r="AN34" i="78"/>
  <c r="AO34" i="78"/>
  <c r="AN35" i="78"/>
  <c r="AO35" i="78"/>
  <c r="AN36" i="78"/>
  <c r="AO36" i="78"/>
  <c r="AN37" i="78"/>
  <c r="AO37" i="78"/>
  <c r="AN38" i="78"/>
  <c r="AO38" i="78"/>
  <c r="AN39" i="78"/>
  <c r="AO39" i="78"/>
  <c r="AN40" i="78"/>
  <c r="AO40" i="78"/>
  <c r="AN41" i="78"/>
  <c r="AO41" i="78"/>
  <c r="AN42" i="78"/>
  <c r="AO42" i="78"/>
  <c r="AN43" i="78"/>
  <c r="AO43" i="78"/>
  <c r="AN44" i="78"/>
  <c r="AO44" i="78"/>
  <c r="AN45" i="78"/>
  <c r="AO45" i="78"/>
  <c r="AN46" i="78"/>
  <c r="AO46" i="78"/>
  <c r="AN47" i="78"/>
  <c r="AO47" i="78"/>
  <c r="AN48" i="78"/>
  <c r="AO48" i="78"/>
  <c r="AN49" i="78"/>
  <c r="AO49" i="78"/>
  <c r="AN50" i="78"/>
  <c r="AO50" i="78"/>
  <c r="AN51" i="78"/>
  <c r="AO51" i="78"/>
  <c r="AN52" i="78"/>
  <c r="AO52" i="78"/>
  <c r="AN53" i="78"/>
  <c r="AO53" i="78"/>
  <c r="AN54" i="78"/>
  <c r="AO54" i="78"/>
  <c r="AN55" i="78"/>
  <c r="AO55" i="78"/>
  <c r="AN56" i="78"/>
  <c r="AO56" i="78"/>
  <c r="AO7" i="78"/>
  <c r="AN7" i="78"/>
  <c r="AM8" i="78"/>
  <c r="AM9" i="78"/>
  <c r="AM10" i="78"/>
  <c r="AM11" i="78"/>
  <c r="AM12" i="78"/>
  <c r="AM13" i="78"/>
  <c r="P33" i="77" s="1"/>
  <c r="AM14" i="78"/>
  <c r="AM15" i="78"/>
  <c r="AM16" i="78"/>
  <c r="AM17" i="78"/>
  <c r="AM18" i="78"/>
  <c r="AM19" i="78"/>
  <c r="AM20" i="78"/>
  <c r="AM21" i="78"/>
  <c r="AM22" i="78"/>
  <c r="AM23" i="78"/>
  <c r="AM24" i="78"/>
  <c r="AM25" i="78"/>
  <c r="AM26" i="78"/>
  <c r="AM27" i="78"/>
  <c r="AM28" i="78"/>
  <c r="AM29" i="78"/>
  <c r="AM30" i="78"/>
  <c r="AM31" i="78"/>
  <c r="AM32" i="78"/>
  <c r="AM33" i="78"/>
  <c r="AM34" i="78"/>
  <c r="AM35" i="78"/>
  <c r="AM36" i="78"/>
  <c r="AM37" i="78"/>
  <c r="AM38" i="78"/>
  <c r="AM39" i="78"/>
  <c r="AM40" i="78"/>
  <c r="AM41" i="78"/>
  <c r="AM42" i="78"/>
  <c r="AM43" i="78"/>
  <c r="AM44" i="78"/>
  <c r="AM45" i="78"/>
  <c r="AM46" i="78"/>
  <c r="AM47" i="78"/>
  <c r="AM48" i="78"/>
  <c r="AM49" i="78"/>
  <c r="AM50" i="78"/>
  <c r="AM51" i="78"/>
  <c r="AM52" i="78"/>
  <c r="AM53" i="78"/>
  <c r="AM54" i="78"/>
  <c r="AM55" i="78"/>
  <c r="AM56" i="78"/>
  <c r="AL8" i="78"/>
  <c r="AL9" i="78"/>
  <c r="AL10" i="78"/>
  <c r="AL11" i="78"/>
  <c r="AL12" i="78"/>
  <c r="AL13" i="78"/>
  <c r="O33" i="77" s="1"/>
  <c r="AL14" i="78"/>
  <c r="AL15" i="78"/>
  <c r="AL16" i="78"/>
  <c r="AL17" i="78"/>
  <c r="AL18" i="78"/>
  <c r="AL19" i="78"/>
  <c r="AL20" i="78"/>
  <c r="AL21" i="78"/>
  <c r="AL22" i="78"/>
  <c r="AL23" i="78"/>
  <c r="AL24" i="78"/>
  <c r="AL25" i="78"/>
  <c r="AL26" i="78"/>
  <c r="AL27" i="78"/>
  <c r="AL28" i="78"/>
  <c r="AL29" i="78"/>
  <c r="AL30" i="78"/>
  <c r="AL31" i="78"/>
  <c r="AL32" i="78"/>
  <c r="AL33" i="78"/>
  <c r="AL34" i="78"/>
  <c r="AL35" i="78"/>
  <c r="AL36" i="78"/>
  <c r="AL37" i="78"/>
  <c r="AL38" i="78"/>
  <c r="AL39" i="78"/>
  <c r="AL40" i="78"/>
  <c r="AL41" i="78"/>
  <c r="AL42" i="78"/>
  <c r="AL43" i="78"/>
  <c r="AL44" i="78"/>
  <c r="AL45" i="78"/>
  <c r="AL46" i="78"/>
  <c r="AL47" i="78"/>
  <c r="AL48" i="78"/>
  <c r="AL49" i="78"/>
  <c r="AL50" i="78"/>
  <c r="AL51" i="78"/>
  <c r="AL52" i="78"/>
  <c r="AL53" i="78"/>
  <c r="AL54" i="78"/>
  <c r="AL55" i="78"/>
  <c r="AL56" i="78"/>
  <c r="AK8" i="78"/>
  <c r="AK9" i="78"/>
  <c r="AK10" i="78"/>
  <c r="AK11" i="78"/>
  <c r="AK12" i="78"/>
  <c r="AK13" i="78"/>
  <c r="N33" i="77" s="1"/>
  <c r="AK14" i="78"/>
  <c r="AK15" i="78"/>
  <c r="AK16" i="78"/>
  <c r="AK17" i="78"/>
  <c r="AK18" i="78"/>
  <c r="AK19" i="78"/>
  <c r="AK20" i="78"/>
  <c r="AK21" i="78"/>
  <c r="AK22" i="78"/>
  <c r="AK23" i="78"/>
  <c r="AK24" i="78"/>
  <c r="AK25" i="78"/>
  <c r="AK26" i="78"/>
  <c r="AK27" i="78"/>
  <c r="AK28" i="78"/>
  <c r="AK29" i="78"/>
  <c r="AK30" i="78"/>
  <c r="AK31" i="78"/>
  <c r="AK32" i="78"/>
  <c r="AK33" i="78"/>
  <c r="AK34" i="78"/>
  <c r="AK35" i="78"/>
  <c r="AK36" i="78"/>
  <c r="AK37" i="78"/>
  <c r="AK38" i="78"/>
  <c r="AK39" i="78"/>
  <c r="AK40" i="78"/>
  <c r="AK41" i="78"/>
  <c r="AK42" i="78"/>
  <c r="AK43" i="78"/>
  <c r="AK44" i="78"/>
  <c r="AK45" i="78"/>
  <c r="AK46" i="78"/>
  <c r="AK47" i="78"/>
  <c r="AK48" i="78"/>
  <c r="AK49" i="78"/>
  <c r="AK50" i="78"/>
  <c r="AK51" i="78"/>
  <c r="AK52" i="78"/>
  <c r="AK53" i="78"/>
  <c r="AK54" i="78"/>
  <c r="AK55" i="78"/>
  <c r="AK56" i="78"/>
  <c r="AL7" i="78"/>
  <c r="AM7" i="78"/>
  <c r="AK7" i="78"/>
  <c r="AH8" i="78"/>
  <c r="AI8" i="78"/>
  <c r="AJ8" i="78"/>
  <c r="AH9" i="78"/>
  <c r="AI9" i="78"/>
  <c r="AJ9" i="78"/>
  <c r="AH10" i="78"/>
  <c r="AI10" i="78"/>
  <c r="AJ10" i="78"/>
  <c r="AH11" i="78"/>
  <c r="AI11" i="78"/>
  <c r="AJ11" i="78"/>
  <c r="AH12" i="78"/>
  <c r="AI12" i="78"/>
  <c r="AJ12" i="78"/>
  <c r="AH13" i="78"/>
  <c r="AI13" i="78"/>
  <c r="J33" i="77" s="1"/>
  <c r="AJ13" i="78"/>
  <c r="K33" i="77" s="1"/>
  <c r="AH14" i="78"/>
  <c r="AI14" i="78"/>
  <c r="AJ14" i="78"/>
  <c r="AH15" i="78"/>
  <c r="AI15" i="78"/>
  <c r="AJ15" i="78"/>
  <c r="AH16" i="78"/>
  <c r="AI16" i="78"/>
  <c r="AJ16" i="78"/>
  <c r="AH17" i="78"/>
  <c r="AI17" i="78"/>
  <c r="AJ17" i="78"/>
  <c r="AH18" i="78"/>
  <c r="AI18" i="78"/>
  <c r="AJ18" i="78"/>
  <c r="AH19" i="78"/>
  <c r="AI19" i="78"/>
  <c r="AJ19" i="78"/>
  <c r="AH20" i="78"/>
  <c r="AI20" i="78"/>
  <c r="AJ20" i="78"/>
  <c r="AH21" i="78"/>
  <c r="AI21" i="78"/>
  <c r="AJ21" i="78"/>
  <c r="AH22" i="78"/>
  <c r="AI22" i="78"/>
  <c r="AJ22" i="78"/>
  <c r="AH23" i="78"/>
  <c r="AI23" i="78"/>
  <c r="AJ23" i="78"/>
  <c r="AH24" i="78"/>
  <c r="AI24" i="78"/>
  <c r="AJ24" i="78"/>
  <c r="AH25" i="78"/>
  <c r="AI25" i="78"/>
  <c r="AJ25" i="78"/>
  <c r="AH26" i="78"/>
  <c r="AI26" i="78"/>
  <c r="AJ26" i="78"/>
  <c r="AH27" i="78"/>
  <c r="AI27" i="78"/>
  <c r="AJ27" i="78"/>
  <c r="AH28" i="78"/>
  <c r="AI28" i="78"/>
  <c r="AJ28" i="78"/>
  <c r="AH29" i="78"/>
  <c r="AI29" i="78"/>
  <c r="AJ29" i="78"/>
  <c r="AH30" i="78"/>
  <c r="AI30" i="78"/>
  <c r="AJ30" i="78"/>
  <c r="AH31" i="78"/>
  <c r="AI31" i="78"/>
  <c r="AJ31" i="78"/>
  <c r="AH32" i="78"/>
  <c r="AI32" i="78"/>
  <c r="AJ32" i="78"/>
  <c r="AH33" i="78"/>
  <c r="AI33" i="78"/>
  <c r="AJ33" i="78"/>
  <c r="AH34" i="78"/>
  <c r="AI34" i="78"/>
  <c r="AJ34" i="78"/>
  <c r="AH35" i="78"/>
  <c r="AI35" i="78"/>
  <c r="AJ35" i="78"/>
  <c r="AH36" i="78"/>
  <c r="AI36" i="78"/>
  <c r="AJ36" i="78"/>
  <c r="AH37" i="78"/>
  <c r="AI37" i="78"/>
  <c r="AJ37" i="78"/>
  <c r="AH38" i="78"/>
  <c r="AI38" i="78"/>
  <c r="AJ38" i="78"/>
  <c r="AH39" i="78"/>
  <c r="AI39" i="78"/>
  <c r="AJ39" i="78"/>
  <c r="AH40" i="78"/>
  <c r="AI40" i="78"/>
  <c r="AJ40" i="78"/>
  <c r="AH41" i="78"/>
  <c r="AI41" i="78"/>
  <c r="AJ41" i="78"/>
  <c r="AH42" i="78"/>
  <c r="AI42" i="78"/>
  <c r="AJ42" i="78"/>
  <c r="AH43" i="78"/>
  <c r="AI43" i="78"/>
  <c r="AJ43" i="78"/>
  <c r="AH44" i="78"/>
  <c r="AI44" i="78"/>
  <c r="AJ44" i="78"/>
  <c r="AH45" i="78"/>
  <c r="AI45" i="78"/>
  <c r="AJ45" i="78"/>
  <c r="AH46" i="78"/>
  <c r="AI46" i="78"/>
  <c r="AJ46" i="78"/>
  <c r="AH47" i="78"/>
  <c r="AI47" i="78"/>
  <c r="AJ47" i="78"/>
  <c r="AH48" i="78"/>
  <c r="AI48" i="78"/>
  <c r="AJ48" i="78"/>
  <c r="AH49" i="78"/>
  <c r="AI49" i="78"/>
  <c r="AJ49" i="78"/>
  <c r="AH50" i="78"/>
  <c r="AI50" i="78"/>
  <c r="AJ50" i="78"/>
  <c r="AH51" i="78"/>
  <c r="AI51" i="78"/>
  <c r="AJ51" i="78"/>
  <c r="AH52" i="78"/>
  <c r="AI52" i="78"/>
  <c r="AJ52" i="78"/>
  <c r="AH53" i="78"/>
  <c r="AI53" i="78"/>
  <c r="AJ53" i="78"/>
  <c r="AH54" i="78"/>
  <c r="AI54" i="78"/>
  <c r="AJ54" i="78"/>
  <c r="AH55" i="78"/>
  <c r="AI55" i="78"/>
  <c r="AJ55" i="78"/>
  <c r="AH56" i="78"/>
  <c r="AI56" i="78"/>
  <c r="AJ56" i="78"/>
  <c r="AI7" i="78"/>
  <c r="AJ7" i="78"/>
  <c r="AH7" i="78"/>
  <c r="AF8" i="78"/>
  <c r="AG8" i="78"/>
  <c r="AF9" i="78"/>
  <c r="AG9" i="78"/>
  <c r="AF10" i="78"/>
  <c r="AG10" i="78"/>
  <c r="AF11" i="78"/>
  <c r="AG11" i="78"/>
  <c r="AF12" i="78"/>
  <c r="AG12" i="78"/>
  <c r="AF13" i="78"/>
  <c r="AG13" i="78"/>
  <c r="AF14" i="78"/>
  <c r="AG14" i="78"/>
  <c r="AF15" i="78"/>
  <c r="AG15" i="78"/>
  <c r="AF16" i="78"/>
  <c r="AG16" i="78"/>
  <c r="AF17" i="78"/>
  <c r="AG17" i="78"/>
  <c r="AF18" i="78"/>
  <c r="AG18" i="78"/>
  <c r="AF19" i="78"/>
  <c r="AG19" i="78"/>
  <c r="AF20" i="78"/>
  <c r="AG20" i="78"/>
  <c r="AF21" i="78"/>
  <c r="AG21" i="78"/>
  <c r="AF22" i="78"/>
  <c r="AG22" i="78"/>
  <c r="AF23" i="78"/>
  <c r="AG23" i="78"/>
  <c r="AF24" i="78"/>
  <c r="AG24" i="78"/>
  <c r="AF25" i="78"/>
  <c r="AG25" i="78"/>
  <c r="AF26" i="78"/>
  <c r="AG26" i="78"/>
  <c r="AF27" i="78"/>
  <c r="AG27" i="78"/>
  <c r="AF28" i="78"/>
  <c r="AG28" i="78"/>
  <c r="AF29" i="78"/>
  <c r="AG29" i="78"/>
  <c r="AF30" i="78"/>
  <c r="AG30" i="78"/>
  <c r="AF31" i="78"/>
  <c r="AG31" i="78"/>
  <c r="AF32" i="78"/>
  <c r="AG32" i="78"/>
  <c r="AF33" i="78"/>
  <c r="AG33" i="78"/>
  <c r="AF34" i="78"/>
  <c r="AG34" i="78"/>
  <c r="AF35" i="78"/>
  <c r="AG35" i="78"/>
  <c r="AF36" i="78"/>
  <c r="AG36" i="78"/>
  <c r="AF37" i="78"/>
  <c r="AG37" i="78"/>
  <c r="AF38" i="78"/>
  <c r="AG38" i="78"/>
  <c r="AF39" i="78"/>
  <c r="AG39" i="78"/>
  <c r="AF40" i="78"/>
  <c r="AG40" i="78"/>
  <c r="AF41" i="78"/>
  <c r="AG41" i="78"/>
  <c r="AF42" i="78"/>
  <c r="AG42" i="78"/>
  <c r="AF43" i="78"/>
  <c r="AG43" i="78"/>
  <c r="AF44" i="78"/>
  <c r="AG44" i="78"/>
  <c r="AF45" i="78"/>
  <c r="AG45" i="78"/>
  <c r="AF46" i="78"/>
  <c r="AG46" i="78"/>
  <c r="AF47" i="78"/>
  <c r="AG47" i="78"/>
  <c r="AF48" i="78"/>
  <c r="AG48" i="78"/>
  <c r="AF49" i="78"/>
  <c r="AG49" i="78"/>
  <c r="AF50" i="78"/>
  <c r="AG50" i="78"/>
  <c r="AF51" i="78"/>
  <c r="AG51" i="78"/>
  <c r="AF52" i="78"/>
  <c r="AG52" i="78"/>
  <c r="AF53" i="78"/>
  <c r="AG53" i="78"/>
  <c r="AF54" i="78"/>
  <c r="AG54" i="78"/>
  <c r="AF55" i="78"/>
  <c r="AG55" i="78"/>
  <c r="AF56" i="78"/>
  <c r="AG56" i="78"/>
  <c r="AG7" i="78"/>
  <c r="AF7" i="78"/>
  <c r="AD8" i="78"/>
  <c r="AE8" i="78"/>
  <c r="AD9" i="78"/>
  <c r="AE9" i="78"/>
  <c r="AD10" i="78"/>
  <c r="AE10" i="78"/>
  <c r="AD11" i="78"/>
  <c r="AE11" i="78"/>
  <c r="AD12" i="78"/>
  <c r="AE12" i="78"/>
  <c r="AD13" i="78"/>
  <c r="AE13" i="78"/>
  <c r="AD14" i="78"/>
  <c r="AE14" i="78"/>
  <c r="AD15" i="78"/>
  <c r="AE15" i="78"/>
  <c r="AD16" i="78"/>
  <c r="AE16" i="78"/>
  <c r="AD17" i="78"/>
  <c r="AE17" i="78"/>
  <c r="AD18" i="78"/>
  <c r="AE18" i="78"/>
  <c r="AD19" i="78"/>
  <c r="AE19" i="78"/>
  <c r="AD20" i="78"/>
  <c r="AE20" i="78"/>
  <c r="AD21" i="78"/>
  <c r="AE21" i="78"/>
  <c r="AD22" i="78"/>
  <c r="AE22" i="78"/>
  <c r="AD23" i="78"/>
  <c r="AE23" i="78"/>
  <c r="AD24" i="78"/>
  <c r="AE24" i="78"/>
  <c r="AD25" i="78"/>
  <c r="AE25" i="78"/>
  <c r="AD26" i="78"/>
  <c r="AE26" i="78"/>
  <c r="AD27" i="78"/>
  <c r="AE27" i="78"/>
  <c r="AD28" i="78"/>
  <c r="AE28" i="78"/>
  <c r="AD29" i="78"/>
  <c r="AE29" i="78"/>
  <c r="AD30" i="78"/>
  <c r="AE30" i="78"/>
  <c r="AD31" i="78"/>
  <c r="AE31" i="78"/>
  <c r="AD32" i="78"/>
  <c r="AE32" i="78"/>
  <c r="AD33" i="78"/>
  <c r="AE33" i="78"/>
  <c r="AD34" i="78"/>
  <c r="AE34" i="78"/>
  <c r="AD35" i="78"/>
  <c r="AE35" i="78"/>
  <c r="AD36" i="78"/>
  <c r="AE36" i="78"/>
  <c r="AD37" i="78"/>
  <c r="AE37" i="78"/>
  <c r="AD38" i="78"/>
  <c r="AE38" i="78"/>
  <c r="AD39" i="78"/>
  <c r="AE39" i="78"/>
  <c r="AD40" i="78"/>
  <c r="AE40" i="78"/>
  <c r="AD41" i="78"/>
  <c r="AE41" i="78"/>
  <c r="AD42" i="78"/>
  <c r="AE42" i="78"/>
  <c r="AD43" i="78"/>
  <c r="AE43" i="78"/>
  <c r="AD44" i="78"/>
  <c r="AE44" i="78"/>
  <c r="AD45" i="78"/>
  <c r="AE45" i="78"/>
  <c r="AD46" i="78"/>
  <c r="AE46" i="78"/>
  <c r="AD47" i="78"/>
  <c r="AE47" i="78"/>
  <c r="AD48" i="78"/>
  <c r="AE48" i="78"/>
  <c r="AD49" i="78"/>
  <c r="AE49" i="78"/>
  <c r="AD50" i="78"/>
  <c r="AE50" i="78"/>
  <c r="AD51" i="78"/>
  <c r="AE51" i="78"/>
  <c r="AD52" i="78"/>
  <c r="AE52" i="78"/>
  <c r="AD53" i="78"/>
  <c r="AE53" i="78"/>
  <c r="AD54" i="78"/>
  <c r="AE54" i="78"/>
  <c r="AD55" i="78"/>
  <c r="AE55" i="78"/>
  <c r="AD56" i="78"/>
  <c r="AE56" i="78"/>
  <c r="AE7" i="78"/>
  <c r="AD7" i="78"/>
  <c r="AB8" i="78"/>
  <c r="AC8" i="78"/>
  <c r="AB9" i="78"/>
  <c r="AC9" i="78"/>
  <c r="AB10" i="78"/>
  <c r="AC10" i="78"/>
  <c r="AB11" i="78"/>
  <c r="AC11" i="78"/>
  <c r="AB12" i="78"/>
  <c r="AC12" i="78"/>
  <c r="AB13" i="78"/>
  <c r="AC13" i="78"/>
  <c r="AB14" i="78"/>
  <c r="AC14" i="78"/>
  <c r="AB15" i="78"/>
  <c r="AC15" i="78"/>
  <c r="AB16" i="78"/>
  <c r="AC16" i="78"/>
  <c r="AB17" i="78"/>
  <c r="AC17" i="78"/>
  <c r="AB18" i="78"/>
  <c r="AC18" i="78"/>
  <c r="AB19" i="78"/>
  <c r="AC19" i="78"/>
  <c r="AB20" i="78"/>
  <c r="AC20" i="78"/>
  <c r="AB21" i="78"/>
  <c r="AC21" i="78"/>
  <c r="AB22" i="78"/>
  <c r="AC22" i="78"/>
  <c r="AB23" i="78"/>
  <c r="AC23" i="78"/>
  <c r="AB24" i="78"/>
  <c r="AC24" i="78"/>
  <c r="AB25" i="78"/>
  <c r="AC25" i="78"/>
  <c r="AB26" i="78"/>
  <c r="AC26" i="78"/>
  <c r="AB27" i="78"/>
  <c r="AC27" i="78"/>
  <c r="AB28" i="78"/>
  <c r="AC28" i="78"/>
  <c r="AB29" i="78"/>
  <c r="AC29" i="78"/>
  <c r="AB30" i="78"/>
  <c r="AC30" i="78"/>
  <c r="AB31" i="78"/>
  <c r="AC31" i="78"/>
  <c r="AB32" i="78"/>
  <c r="AC32" i="78"/>
  <c r="AB33" i="78"/>
  <c r="AC33" i="78"/>
  <c r="AB34" i="78"/>
  <c r="AC34" i="78"/>
  <c r="AB35" i="78"/>
  <c r="AC35" i="78"/>
  <c r="AB36" i="78"/>
  <c r="AC36" i="78"/>
  <c r="AB37" i="78"/>
  <c r="AC37" i="78"/>
  <c r="AB38" i="78"/>
  <c r="AC38" i="78"/>
  <c r="AB39" i="78"/>
  <c r="AC39" i="78"/>
  <c r="AB40" i="78"/>
  <c r="AC40" i="78"/>
  <c r="AB41" i="78"/>
  <c r="AC41" i="78"/>
  <c r="AB42" i="78"/>
  <c r="AC42" i="78"/>
  <c r="AB43" i="78"/>
  <c r="AC43" i="78"/>
  <c r="AB44" i="78"/>
  <c r="AC44" i="78"/>
  <c r="AB45" i="78"/>
  <c r="AC45" i="78"/>
  <c r="AB46" i="78"/>
  <c r="AC46" i="78"/>
  <c r="AB47" i="78"/>
  <c r="AC47" i="78"/>
  <c r="AB48" i="78"/>
  <c r="AC48" i="78"/>
  <c r="AB49" i="78"/>
  <c r="AC49" i="78"/>
  <c r="AB50" i="78"/>
  <c r="AC50" i="78"/>
  <c r="AB51" i="78"/>
  <c r="AC51" i="78"/>
  <c r="AB52" i="78"/>
  <c r="AC52" i="78"/>
  <c r="AB53" i="78"/>
  <c r="AC53" i="78"/>
  <c r="AB54" i="78"/>
  <c r="AC54" i="78"/>
  <c r="AB55" i="78"/>
  <c r="AC55" i="78"/>
  <c r="AB56" i="78"/>
  <c r="AC56" i="78"/>
  <c r="AC7" i="78"/>
  <c r="AB7" i="78"/>
  <c r="Z8" i="78"/>
  <c r="AA8" i="78"/>
  <c r="Z9" i="78"/>
  <c r="AA9" i="78"/>
  <c r="Z10" i="78"/>
  <c r="AA10" i="78"/>
  <c r="Z11" i="78"/>
  <c r="AA11" i="78"/>
  <c r="Z12" i="78"/>
  <c r="AA12" i="78"/>
  <c r="Z13" i="78"/>
  <c r="AA13" i="78"/>
  <c r="Z14" i="78"/>
  <c r="AA14" i="78"/>
  <c r="Z15" i="78"/>
  <c r="AA15" i="78"/>
  <c r="Z16" i="78"/>
  <c r="AA16" i="78"/>
  <c r="Z17" i="78"/>
  <c r="AA17" i="78"/>
  <c r="Z18" i="78"/>
  <c r="AA18" i="78"/>
  <c r="Z19" i="78"/>
  <c r="AA19" i="78"/>
  <c r="Z20" i="78"/>
  <c r="AA20" i="78"/>
  <c r="Z21" i="78"/>
  <c r="AA21" i="78"/>
  <c r="Z22" i="78"/>
  <c r="AA22" i="78"/>
  <c r="Z23" i="78"/>
  <c r="AA23" i="78"/>
  <c r="Z24" i="78"/>
  <c r="AA24" i="78"/>
  <c r="Z25" i="78"/>
  <c r="AA25" i="78"/>
  <c r="Z26" i="78"/>
  <c r="AA26" i="78"/>
  <c r="Z27" i="78"/>
  <c r="AA27" i="78"/>
  <c r="Z28" i="78"/>
  <c r="AA28" i="78"/>
  <c r="Z29" i="78"/>
  <c r="AA29" i="78"/>
  <c r="Z30" i="78"/>
  <c r="AA30" i="78"/>
  <c r="Z31" i="78"/>
  <c r="AA31" i="78"/>
  <c r="Z32" i="78"/>
  <c r="AA32" i="78"/>
  <c r="Z33" i="78"/>
  <c r="AA33" i="78"/>
  <c r="Z34" i="78"/>
  <c r="AA34" i="78"/>
  <c r="Z35" i="78"/>
  <c r="AA35" i="78"/>
  <c r="Z36" i="78"/>
  <c r="AA36" i="78"/>
  <c r="Z37" i="78"/>
  <c r="AA37" i="78"/>
  <c r="Z38" i="78"/>
  <c r="AA38" i="78"/>
  <c r="Z39" i="78"/>
  <c r="AA39" i="78"/>
  <c r="Z40" i="78"/>
  <c r="AA40" i="78"/>
  <c r="Z41" i="78"/>
  <c r="AA41" i="78"/>
  <c r="Z42" i="78"/>
  <c r="AA42" i="78"/>
  <c r="Z43" i="78"/>
  <c r="AA43" i="78"/>
  <c r="Z44" i="78"/>
  <c r="AA44" i="78"/>
  <c r="Z45" i="78"/>
  <c r="AA45" i="78"/>
  <c r="Z46" i="78"/>
  <c r="AA46" i="78"/>
  <c r="Z47" i="78"/>
  <c r="AA47" i="78"/>
  <c r="Z48" i="78"/>
  <c r="AA48" i="78"/>
  <c r="Z49" i="78"/>
  <c r="AA49" i="78"/>
  <c r="Z50" i="78"/>
  <c r="AA50" i="78"/>
  <c r="Z51" i="78"/>
  <c r="AA51" i="78"/>
  <c r="Z52" i="78"/>
  <c r="AA52" i="78"/>
  <c r="Z53" i="78"/>
  <c r="AA53" i="78"/>
  <c r="Z54" i="78"/>
  <c r="AA54" i="78"/>
  <c r="Z55" i="78"/>
  <c r="AA55" i="78"/>
  <c r="Z56" i="78"/>
  <c r="AA56" i="78"/>
  <c r="AA7" i="78"/>
  <c r="Z7" i="78"/>
  <c r="N8" i="78"/>
  <c r="O8" i="78"/>
  <c r="N9" i="78"/>
  <c r="O9" i="78"/>
  <c r="N10" i="78"/>
  <c r="O10" i="78"/>
  <c r="N11" i="78"/>
  <c r="O11" i="78"/>
  <c r="N12" i="78"/>
  <c r="O12" i="78"/>
  <c r="N13" i="78"/>
  <c r="O13" i="78"/>
  <c r="N14" i="78"/>
  <c r="O14" i="78"/>
  <c r="N15" i="78"/>
  <c r="O15" i="78"/>
  <c r="N16" i="78"/>
  <c r="O16" i="78"/>
  <c r="N17" i="78"/>
  <c r="O17" i="78"/>
  <c r="N18" i="78"/>
  <c r="O18" i="78"/>
  <c r="N19" i="78"/>
  <c r="O19" i="78"/>
  <c r="N20" i="78"/>
  <c r="O20" i="78"/>
  <c r="N21" i="78"/>
  <c r="O21" i="78"/>
  <c r="N22" i="78"/>
  <c r="O22" i="78"/>
  <c r="N23" i="78"/>
  <c r="O23" i="78"/>
  <c r="N24" i="78"/>
  <c r="O24" i="78"/>
  <c r="N25" i="78"/>
  <c r="O25" i="78"/>
  <c r="N26" i="78"/>
  <c r="O26" i="78"/>
  <c r="N27" i="78"/>
  <c r="O27" i="78"/>
  <c r="N28" i="78"/>
  <c r="O28" i="78"/>
  <c r="N29" i="78"/>
  <c r="O29" i="78"/>
  <c r="N30" i="78"/>
  <c r="O30" i="78"/>
  <c r="N31" i="78"/>
  <c r="O31" i="78"/>
  <c r="N32" i="78"/>
  <c r="O32" i="78"/>
  <c r="N33" i="78"/>
  <c r="O33" i="78"/>
  <c r="N34" i="78"/>
  <c r="O34" i="78"/>
  <c r="N35" i="78"/>
  <c r="O35" i="78"/>
  <c r="N36" i="78"/>
  <c r="O36" i="78"/>
  <c r="N37" i="78"/>
  <c r="O37" i="78"/>
  <c r="N38" i="78"/>
  <c r="O38" i="78"/>
  <c r="N39" i="78"/>
  <c r="O39" i="78"/>
  <c r="N40" i="78"/>
  <c r="O40" i="78"/>
  <c r="N41" i="78"/>
  <c r="O41" i="78"/>
  <c r="N42" i="78"/>
  <c r="O42" i="78"/>
  <c r="N43" i="78"/>
  <c r="O43" i="78"/>
  <c r="N44" i="78"/>
  <c r="O44" i="78"/>
  <c r="N45" i="78"/>
  <c r="O45" i="78"/>
  <c r="N46" i="78"/>
  <c r="O46" i="78"/>
  <c r="N47" i="78"/>
  <c r="O47" i="78"/>
  <c r="N48" i="78"/>
  <c r="O48" i="78"/>
  <c r="N49" i="78"/>
  <c r="O49" i="78"/>
  <c r="N50" i="78"/>
  <c r="O50" i="78"/>
  <c r="N51" i="78"/>
  <c r="O51" i="78"/>
  <c r="N52" i="78"/>
  <c r="O52" i="78"/>
  <c r="N53" i="78"/>
  <c r="O53" i="78"/>
  <c r="N54" i="78"/>
  <c r="O54" i="78"/>
  <c r="N55" i="78"/>
  <c r="O55" i="78"/>
  <c r="N56" i="78"/>
  <c r="O56" i="78"/>
  <c r="O7" i="78"/>
  <c r="N7" i="78"/>
  <c r="Q8" i="78"/>
  <c r="R8" i="78"/>
  <c r="Q9" i="78"/>
  <c r="R9" i="78"/>
  <c r="Q10" i="78"/>
  <c r="R10" i="78"/>
  <c r="Q11" i="78"/>
  <c r="R11" i="78"/>
  <c r="Q12" i="78"/>
  <c r="R12" i="78"/>
  <c r="Q13" i="78"/>
  <c r="R13" i="78"/>
  <c r="Q14" i="78"/>
  <c r="R14" i="78"/>
  <c r="Q15" i="78"/>
  <c r="R15" i="78"/>
  <c r="Q16" i="78"/>
  <c r="R16" i="78"/>
  <c r="Q17" i="78"/>
  <c r="R17" i="78"/>
  <c r="Q18" i="78"/>
  <c r="R18" i="78"/>
  <c r="Q19" i="78"/>
  <c r="R19" i="78"/>
  <c r="Q20" i="78"/>
  <c r="R20" i="78"/>
  <c r="Q21" i="78"/>
  <c r="R21" i="78"/>
  <c r="Q22" i="78"/>
  <c r="R22" i="78"/>
  <c r="Q23" i="78"/>
  <c r="R23" i="78"/>
  <c r="Q24" i="78"/>
  <c r="R24" i="78"/>
  <c r="Q25" i="78"/>
  <c r="R25" i="78"/>
  <c r="Q26" i="78"/>
  <c r="R26" i="78"/>
  <c r="Q27" i="78"/>
  <c r="R27" i="78"/>
  <c r="Q28" i="78"/>
  <c r="R28" i="78"/>
  <c r="Q29" i="78"/>
  <c r="R29" i="78"/>
  <c r="Q30" i="78"/>
  <c r="R30" i="78"/>
  <c r="Q31" i="78"/>
  <c r="R31" i="78"/>
  <c r="Q32" i="78"/>
  <c r="R32" i="78"/>
  <c r="Q33" i="78"/>
  <c r="R33" i="78"/>
  <c r="Q34" i="78"/>
  <c r="R34" i="78"/>
  <c r="Q35" i="78"/>
  <c r="R35" i="78"/>
  <c r="Q36" i="78"/>
  <c r="R36" i="78"/>
  <c r="Q37" i="78"/>
  <c r="R37" i="78"/>
  <c r="Q38" i="78"/>
  <c r="R38" i="78"/>
  <c r="Q39" i="78"/>
  <c r="R39" i="78"/>
  <c r="Q40" i="78"/>
  <c r="R40" i="78"/>
  <c r="Q41" i="78"/>
  <c r="R41" i="78"/>
  <c r="Q42" i="78"/>
  <c r="R42" i="78"/>
  <c r="Q43" i="78"/>
  <c r="R43" i="78"/>
  <c r="Q44" i="78"/>
  <c r="R44" i="78"/>
  <c r="Q45" i="78"/>
  <c r="R45" i="78"/>
  <c r="Q46" i="78"/>
  <c r="R46" i="78"/>
  <c r="Q47" i="78"/>
  <c r="R47" i="78"/>
  <c r="Q48" i="78"/>
  <c r="R48" i="78"/>
  <c r="Q49" i="78"/>
  <c r="R49" i="78"/>
  <c r="Q50" i="78"/>
  <c r="R50" i="78"/>
  <c r="Q51" i="78"/>
  <c r="R51" i="78"/>
  <c r="Q52" i="78"/>
  <c r="R52" i="78"/>
  <c r="Q53" i="78"/>
  <c r="R53" i="78"/>
  <c r="Q54" i="78"/>
  <c r="R54" i="78"/>
  <c r="Q55" i="78"/>
  <c r="R55" i="78"/>
  <c r="Q56" i="78"/>
  <c r="R56" i="78"/>
  <c r="R7" i="78"/>
  <c r="Q7" i="78"/>
  <c r="J8" i="78"/>
  <c r="K8" i="78"/>
  <c r="J9" i="78"/>
  <c r="K9" i="78"/>
  <c r="J10" i="78"/>
  <c r="K10" i="78"/>
  <c r="J11" i="78"/>
  <c r="K11" i="78"/>
  <c r="J12" i="78"/>
  <c r="K12" i="78"/>
  <c r="J13" i="78"/>
  <c r="K13" i="78"/>
  <c r="J14" i="78"/>
  <c r="K14" i="78"/>
  <c r="J15" i="78"/>
  <c r="K15" i="78"/>
  <c r="J16" i="78"/>
  <c r="K16" i="78"/>
  <c r="J17" i="78"/>
  <c r="K17" i="78"/>
  <c r="J18" i="78"/>
  <c r="K18" i="78"/>
  <c r="J19" i="78"/>
  <c r="K19" i="78"/>
  <c r="J20" i="78"/>
  <c r="K20" i="78"/>
  <c r="J21" i="78"/>
  <c r="K21" i="78"/>
  <c r="J22" i="78"/>
  <c r="K22" i="78"/>
  <c r="J23" i="78"/>
  <c r="K23" i="78"/>
  <c r="J24" i="78"/>
  <c r="K24" i="78"/>
  <c r="J25" i="78"/>
  <c r="K25" i="78"/>
  <c r="J26" i="78"/>
  <c r="K26" i="78"/>
  <c r="J27" i="78"/>
  <c r="K27" i="78"/>
  <c r="J28" i="78"/>
  <c r="K28" i="78"/>
  <c r="J29" i="78"/>
  <c r="K29" i="78"/>
  <c r="J30" i="78"/>
  <c r="K30" i="78"/>
  <c r="J31" i="78"/>
  <c r="K31" i="78"/>
  <c r="J32" i="78"/>
  <c r="K32" i="78"/>
  <c r="J33" i="78"/>
  <c r="K33" i="78"/>
  <c r="J34" i="78"/>
  <c r="K34" i="78"/>
  <c r="J35" i="78"/>
  <c r="K35" i="78"/>
  <c r="J36" i="78"/>
  <c r="K36" i="78"/>
  <c r="J37" i="78"/>
  <c r="K37" i="78"/>
  <c r="J38" i="78"/>
  <c r="K38" i="78"/>
  <c r="J39" i="78"/>
  <c r="K39" i="78"/>
  <c r="J40" i="78"/>
  <c r="K40" i="78"/>
  <c r="J41" i="78"/>
  <c r="K41" i="78"/>
  <c r="J42" i="78"/>
  <c r="K42" i="78"/>
  <c r="J43" i="78"/>
  <c r="K43" i="78"/>
  <c r="J44" i="78"/>
  <c r="K44" i="78"/>
  <c r="J45" i="78"/>
  <c r="K45" i="78"/>
  <c r="J46" i="78"/>
  <c r="K46" i="78"/>
  <c r="J47" i="78"/>
  <c r="K47" i="78"/>
  <c r="J48" i="78"/>
  <c r="K48" i="78"/>
  <c r="J49" i="78"/>
  <c r="K49" i="78"/>
  <c r="J50" i="78"/>
  <c r="K50" i="78"/>
  <c r="J51" i="78"/>
  <c r="K51" i="78"/>
  <c r="J52" i="78"/>
  <c r="K52" i="78"/>
  <c r="J53" i="78"/>
  <c r="K53" i="78"/>
  <c r="J54" i="78"/>
  <c r="K54" i="78"/>
  <c r="J55" i="78"/>
  <c r="K55" i="78"/>
  <c r="J56" i="78"/>
  <c r="K56" i="78"/>
  <c r="K7" i="78"/>
  <c r="J7" i="78"/>
  <c r="L8" i="78"/>
  <c r="M8" i="78"/>
  <c r="L9" i="78"/>
  <c r="M9" i="78"/>
  <c r="L10" i="78"/>
  <c r="M10" i="78"/>
  <c r="L11" i="78"/>
  <c r="M11" i="78"/>
  <c r="L12" i="78"/>
  <c r="M12" i="78"/>
  <c r="L13" i="78"/>
  <c r="M13" i="78"/>
  <c r="L14" i="78"/>
  <c r="M14" i="78"/>
  <c r="L15" i="78"/>
  <c r="M15" i="78"/>
  <c r="L16" i="78"/>
  <c r="M16" i="78"/>
  <c r="L17" i="78"/>
  <c r="M17" i="78"/>
  <c r="L18" i="78"/>
  <c r="M18" i="78"/>
  <c r="L19" i="78"/>
  <c r="M19" i="78"/>
  <c r="L20" i="78"/>
  <c r="M20" i="78"/>
  <c r="L21" i="78"/>
  <c r="M21" i="78"/>
  <c r="L22" i="78"/>
  <c r="M22" i="78"/>
  <c r="L23" i="78"/>
  <c r="M23" i="78"/>
  <c r="L24" i="78"/>
  <c r="M24" i="78"/>
  <c r="L25" i="78"/>
  <c r="M25" i="78"/>
  <c r="L26" i="78"/>
  <c r="M26" i="78"/>
  <c r="L27" i="78"/>
  <c r="M27" i="78"/>
  <c r="L28" i="78"/>
  <c r="M28" i="78"/>
  <c r="L29" i="78"/>
  <c r="M29" i="78"/>
  <c r="L30" i="78"/>
  <c r="M30" i="78"/>
  <c r="L31" i="78"/>
  <c r="M31" i="78"/>
  <c r="L32" i="78"/>
  <c r="M32" i="78"/>
  <c r="L33" i="78"/>
  <c r="M33" i="78"/>
  <c r="L34" i="78"/>
  <c r="M34" i="78"/>
  <c r="L35" i="78"/>
  <c r="M35" i="78"/>
  <c r="L36" i="78"/>
  <c r="M36" i="78"/>
  <c r="L37" i="78"/>
  <c r="M37" i="78"/>
  <c r="L38" i="78"/>
  <c r="M38" i="78"/>
  <c r="L39" i="78"/>
  <c r="M39" i="78"/>
  <c r="L40" i="78"/>
  <c r="M40" i="78"/>
  <c r="L41" i="78"/>
  <c r="M41" i="78"/>
  <c r="L42" i="78"/>
  <c r="M42" i="78"/>
  <c r="L43" i="78"/>
  <c r="M43" i="78"/>
  <c r="L44" i="78"/>
  <c r="M44" i="78"/>
  <c r="L45" i="78"/>
  <c r="M45" i="78"/>
  <c r="L46" i="78"/>
  <c r="M46" i="78"/>
  <c r="L47" i="78"/>
  <c r="M47" i="78"/>
  <c r="L48" i="78"/>
  <c r="M48" i="78"/>
  <c r="L49" i="78"/>
  <c r="M49" i="78"/>
  <c r="L50" i="78"/>
  <c r="M50" i="78"/>
  <c r="L51" i="78"/>
  <c r="M51" i="78"/>
  <c r="L52" i="78"/>
  <c r="M52" i="78"/>
  <c r="L53" i="78"/>
  <c r="M53" i="78"/>
  <c r="L54" i="78"/>
  <c r="M54" i="78"/>
  <c r="L55" i="78"/>
  <c r="M55" i="78"/>
  <c r="L56" i="78"/>
  <c r="M56" i="78"/>
  <c r="M7" i="78"/>
  <c r="L7" i="78"/>
  <c r="K38" i="77" l="1"/>
  <c r="N38" i="77"/>
  <c r="J38" i="77"/>
  <c r="I38" i="77"/>
  <c r="P38" i="77"/>
  <c r="O38" i="77"/>
  <c r="AE4" i="18"/>
  <c r="T3" i="18" s="1"/>
  <c r="AO55" i="13"/>
  <c r="AP55" i="13"/>
  <c r="J3" i="26"/>
  <c r="AD3" i="26" s="1"/>
  <c r="I3" i="26"/>
  <c r="AC3" i="26" s="1"/>
  <c r="H3" i="26"/>
  <c r="AB3" i="26" s="1"/>
  <c r="G3" i="26"/>
  <c r="AA3" i="26" s="1"/>
  <c r="F3" i="26"/>
  <c r="AO5" i="78" s="1"/>
  <c r="E3" i="26"/>
  <c r="R3" i="26" s="1"/>
  <c r="AP5" i="78" s="1"/>
  <c r="J3" i="12"/>
  <c r="I3" i="12"/>
  <c r="H3" i="15"/>
  <c r="G3" i="15"/>
  <c r="F3" i="15"/>
  <c r="AB3" i="15" s="1"/>
  <c r="E3" i="15"/>
  <c r="AA3" i="15" s="1"/>
  <c r="AG3" i="14"/>
  <c r="AE3" i="14"/>
  <c r="H3" i="14"/>
  <c r="AD3" i="14" s="1"/>
  <c r="G3" i="14"/>
  <c r="AC3" i="14" s="1"/>
  <c r="F3" i="14"/>
  <c r="T3" i="14" s="1"/>
  <c r="E3" i="14"/>
  <c r="AA3" i="14" s="1"/>
  <c r="AJ3" i="13"/>
  <c r="H3" i="13"/>
  <c r="AG3" i="13"/>
  <c r="G3" i="13"/>
  <c r="F3" i="13"/>
  <c r="U3" i="13" s="1"/>
  <c r="E3" i="13"/>
  <c r="T3" i="26"/>
  <c r="S3" i="26"/>
  <c r="AQ5" i="78" s="1"/>
  <c r="H3" i="12"/>
  <c r="AJ5" i="78" s="1"/>
  <c r="K32" i="77" s="1"/>
  <c r="G3" i="12"/>
  <c r="AI5" i="78" s="1"/>
  <c r="J32" i="77" s="1"/>
  <c r="F3" i="12"/>
  <c r="AH5" i="78" s="1"/>
  <c r="E3" i="12"/>
  <c r="R3" i="12" s="1"/>
  <c r="J3" i="34"/>
  <c r="W3" i="34" s="1"/>
  <c r="I3" i="34"/>
  <c r="H3" i="34"/>
  <c r="G3" i="34"/>
  <c r="F3" i="34"/>
  <c r="AE5" i="78" s="1"/>
  <c r="E3" i="34"/>
  <c r="J3" i="33"/>
  <c r="P3" i="33" s="1"/>
  <c r="I3" i="33"/>
  <c r="V3" i="33" s="1"/>
  <c r="H3" i="33"/>
  <c r="U3" i="33" s="1"/>
  <c r="G3" i="33"/>
  <c r="T3" i="33" s="1"/>
  <c r="E3" i="33"/>
  <c r="Z5" i="78" s="1"/>
  <c r="F3" i="33"/>
  <c r="AA5" i="78" s="1"/>
  <c r="M3" i="11"/>
  <c r="L3" i="11"/>
  <c r="K3" i="11"/>
  <c r="AK3" i="11" s="1"/>
  <c r="J3" i="11"/>
  <c r="AB3" i="11" s="1"/>
  <c r="I3" i="11"/>
  <c r="AA3" i="11" s="1"/>
  <c r="H3" i="11"/>
  <c r="Z3" i="11" s="1"/>
  <c r="G3" i="11"/>
  <c r="AG3" i="11" s="1"/>
  <c r="F3" i="11"/>
  <c r="X3" i="11" s="1"/>
  <c r="E3" i="11"/>
  <c r="W3" i="11" s="1"/>
  <c r="K3" i="10"/>
  <c r="R3" i="10" s="1"/>
  <c r="J3" i="10"/>
  <c r="I3" i="10"/>
  <c r="X3" i="10" s="1"/>
  <c r="H3" i="10"/>
  <c r="W3" i="10" s="1"/>
  <c r="G3" i="10"/>
  <c r="F3" i="10"/>
  <c r="E3" i="10"/>
  <c r="T3" i="10" s="1"/>
  <c r="AT5" i="78" l="1"/>
  <c r="AW5" i="78" s="1"/>
  <c r="V3" i="13"/>
  <c r="AF3" i="13"/>
  <c r="W3" i="13"/>
  <c r="U3" i="26"/>
  <c r="U3" i="14"/>
  <c r="T3" i="12"/>
  <c r="AL5" i="78" s="1"/>
  <c r="O32" i="77" s="1"/>
  <c r="U3" i="12"/>
  <c r="AM5" i="78" s="1"/>
  <c r="P32" i="77" s="1"/>
  <c r="BX3" i="81"/>
  <c r="BY3" i="79"/>
  <c r="BY58" i="79" s="1"/>
  <c r="BZ3" i="79"/>
  <c r="BZ58" i="79" s="1"/>
  <c r="BY3" i="81"/>
  <c r="BW3" i="79"/>
  <c r="BW58" i="79" s="1"/>
  <c r="BV3" i="81"/>
  <c r="BT3" i="81"/>
  <c r="BU3" i="79"/>
  <c r="BU58" i="79" s="1"/>
  <c r="BR3" i="81"/>
  <c r="BS3" i="79"/>
  <c r="BS58" i="79" s="1"/>
  <c r="BW3" i="81"/>
  <c r="BX3" i="79"/>
  <c r="BX58" i="79" s="1"/>
  <c r="BU3" i="81"/>
  <c r="BV3" i="79"/>
  <c r="BV58" i="79" s="1"/>
  <c r="AC3" i="13"/>
  <c r="AR5" i="78"/>
  <c r="AU5" i="78" s="1"/>
  <c r="AS5" i="78"/>
  <c r="AV5" i="78" s="1"/>
  <c r="T3" i="13"/>
  <c r="AD3" i="13"/>
  <c r="Z3" i="26"/>
  <c r="BE3" i="81" s="1"/>
  <c r="Q7" i="82" s="1"/>
  <c r="BI3" i="81"/>
  <c r="U7" i="82" s="1"/>
  <c r="BJ3" i="79"/>
  <c r="BJ58" i="79" s="1"/>
  <c r="BG3" i="81"/>
  <c r="S7" i="82" s="1"/>
  <c r="BH3" i="79"/>
  <c r="BH58" i="79" s="1"/>
  <c r="W3" i="26"/>
  <c r="BG3" i="79"/>
  <c r="BG58" i="79" s="1"/>
  <c r="BF3" i="81"/>
  <c r="R7" i="82" s="1"/>
  <c r="Y3" i="26"/>
  <c r="AN5" i="78"/>
  <c r="BH3" i="81"/>
  <c r="T7" i="82" s="1"/>
  <c r="BI3" i="79"/>
  <c r="BI58" i="79" s="1"/>
  <c r="V3" i="26"/>
  <c r="AC3" i="34"/>
  <c r="V3" i="34"/>
  <c r="R3" i="34"/>
  <c r="AF5" i="78" s="1"/>
  <c r="AD5" i="78"/>
  <c r="AA3" i="34"/>
  <c r="T3" i="34"/>
  <c r="AB3" i="34"/>
  <c r="U3" i="34"/>
  <c r="T3" i="79"/>
  <c r="T58" i="79" s="1"/>
  <c r="S3" i="81"/>
  <c r="S7" i="80" s="1"/>
  <c r="W3" i="81"/>
  <c r="W7" i="80" s="1"/>
  <c r="X3" i="79"/>
  <c r="X58" i="79" s="1"/>
  <c r="AC3" i="11"/>
  <c r="Y3" i="11"/>
  <c r="AJ3" i="11"/>
  <c r="AF3" i="11"/>
  <c r="AI3" i="11"/>
  <c r="AE3" i="11"/>
  <c r="AH3" i="11"/>
  <c r="N5" i="78"/>
  <c r="U3" i="10"/>
  <c r="Q5" i="78" s="1"/>
  <c r="Q3" i="10"/>
  <c r="Y3" i="10"/>
  <c r="V3" i="10"/>
  <c r="R5" i="78" s="1"/>
  <c r="O5" i="78"/>
  <c r="T3" i="15"/>
  <c r="AG3" i="15"/>
  <c r="U3" i="15"/>
  <c r="AC3" i="15"/>
  <c r="V3" i="15"/>
  <c r="AD3" i="15"/>
  <c r="S3" i="15"/>
  <c r="AE3" i="15"/>
  <c r="V3" i="14"/>
  <c r="AB3" i="14"/>
  <c r="S3" i="14"/>
  <c r="AE3" i="13"/>
  <c r="S3" i="12"/>
  <c r="AK5" i="78" s="1"/>
  <c r="Z3" i="12"/>
  <c r="AB3" i="12"/>
  <c r="AD3" i="12"/>
  <c r="AA3" i="12"/>
  <c r="Y3" i="12"/>
  <c r="AC3" i="12"/>
  <c r="S3" i="34"/>
  <c r="AG5" i="78" s="1"/>
  <c r="AD3" i="34"/>
  <c r="Z3" i="34"/>
  <c r="Y3" i="34"/>
  <c r="AA3" i="33"/>
  <c r="AC3" i="33"/>
  <c r="AB3" i="33"/>
  <c r="Y3" i="33"/>
  <c r="Z3" i="33"/>
  <c r="AD3" i="33"/>
  <c r="S3" i="33"/>
  <c r="AC5" i="78" s="1"/>
  <c r="R3" i="33"/>
  <c r="AB5" i="78" s="1"/>
  <c r="W3" i="33"/>
  <c r="AG3" i="10"/>
  <c r="AC3" i="10"/>
  <c r="AD3" i="10"/>
  <c r="AA3" i="10"/>
  <c r="AE3" i="10"/>
  <c r="AB3" i="10"/>
  <c r="AF3" i="10"/>
  <c r="BF3" i="79" l="1"/>
  <c r="BF58" i="79" s="1"/>
  <c r="BS3" i="81"/>
  <c r="BT3" i="79"/>
  <c r="BT58" i="79" s="1"/>
  <c r="BL3" i="81"/>
  <c r="X7" i="82" s="1"/>
  <c r="BM3" i="79"/>
  <c r="BM58" i="79" s="1"/>
  <c r="BO3" i="79"/>
  <c r="BO58" i="79" s="1"/>
  <c r="BN3" i="81"/>
  <c r="Z7" i="82" s="1"/>
  <c r="BM3" i="81"/>
  <c r="Y7" i="82" s="1"/>
  <c r="BN3" i="79"/>
  <c r="BN58" i="79" s="1"/>
  <c r="BE3" i="79"/>
  <c r="BE58" i="79" s="1"/>
  <c r="BD3" i="81"/>
  <c r="P7" i="82" s="1"/>
  <c r="AM3" i="81"/>
  <c r="AM7" i="80" s="1"/>
  <c r="AN3" i="79"/>
  <c r="AN58" i="79" s="1"/>
  <c r="AO3" i="81"/>
  <c r="AO7" i="80" s="1"/>
  <c r="AP3" i="79"/>
  <c r="AP58" i="79" s="1"/>
  <c r="AO3" i="79"/>
  <c r="AO58" i="79" s="1"/>
  <c r="AN3" i="81"/>
  <c r="AN7" i="80" s="1"/>
  <c r="AK3" i="81"/>
  <c r="AK7" i="80" s="1"/>
  <c r="AL3" i="79"/>
  <c r="AL58" i="79" s="1"/>
  <c r="AM3" i="79"/>
  <c r="AM58" i="79" s="1"/>
  <c r="AL3" i="81"/>
  <c r="AL7" i="80" s="1"/>
  <c r="AF3" i="81"/>
  <c r="AG3" i="79"/>
  <c r="AG58" i="79" s="1"/>
  <c r="AH3" i="79"/>
  <c r="AH58" i="79" s="1"/>
  <c r="AG3" i="81"/>
  <c r="AJ3" i="79"/>
  <c r="AJ58" i="79" s="1"/>
  <c r="AI3" i="81"/>
  <c r="AJ3" i="81"/>
  <c r="AK3" i="79"/>
  <c r="AK58" i="79" s="1"/>
  <c r="AH3" i="81"/>
  <c r="AI3" i="79"/>
  <c r="AI58" i="79" s="1"/>
  <c r="AE3" i="81"/>
  <c r="AF3" i="79"/>
  <c r="AF58" i="79" s="1"/>
  <c r="AD3" i="81"/>
  <c r="AE3" i="79"/>
  <c r="AE58" i="79" s="1"/>
  <c r="AD3" i="79"/>
  <c r="AD58" i="79" s="1"/>
  <c r="AC3" i="81"/>
  <c r="Z3" i="81"/>
  <c r="AA3" i="79"/>
  <c r="AA58" i="79" s="1"/>
  <c r="AA3" i="81"/>
  <c r="AB3" i="79"/>
  <c r="AB58" i="79" s="1"/>
  <c r="Y3" i="81"/>
  <c r="Z3" i="79"/>
  <c r="Z58" i="79" s="1"/>
  <c r="AB3" i="81"/>
  <c r="AC3" i="79"/>
  <c r="AC58" i="79" s="1"/>
  <c r="T3" i="81"/>
  <c r="T7" i="80" s="1"/>
  <c r="U3" i="79"/>
  <c r="U58" i="79" s="1"/>
  <c r="V3" i="79"/>
  <c r="V58" i="79" s="1"/>
  <c r="U3" i="81"/>
  <c r="U7" i="80" s="1"/>
  <c r="R3" i="81"/>
  <c r="R7" i="80" s="1"/>
  <c r="S3" i="79"/>
  <c r="S58" i="79" s="1"/>
  <c r="V3" i="81"/>
  <c r="V7" i="80" s="1"/>
  <c r="W3" i="79"/>
  <c r="W58" i="79" s="1"/>
  <c r="R3" i="79"/>
  <c r="R58" i="79" s="1"/>
  <c r="Q3" i="81"/>
  <c r="Q7" i="80" s="1"/>
  <c r="N3" i="79"/>
  <c r="N58" i="79" s="1"/>
  <c r="M3" i="81"/>
  <c r="M7" i="80" s="1"/>
  <c r="O3" i="81"/>
  <c r="O7" i="80" s="1"/>
  <c r="P3" i="79"/>
  <c r="P58" i="79" s="1"/>
  <c r="I3" i="81"/>
  <c r="I7" i="80" s="1"/>
  <c r="J3" i="79"/>
  <c r="J58" i="79" s="1"/>
  <c r="O3" i="79"/>
  <c r="O58" i="79" s="1"/>
  <c r="N3" i="81"/>
  <c r="N7" i="80" s="1"/>
  <c r="L3" i="81"/>
  <c r="L7" i="80" s="1"/>
  <c r="M3" i="79"/>
  <c r="M58" i="79" s="1"/>
  <c r="K3" i="79"/>
  <c r="K58" i="79" s="1"/>
  <c r="J3" i="81"/>
  <c r="J7" i="80" s="1"/>
  <c r="K3" i="81"/>
  <c r="K7" i="80" s="1"/>
  <c r="L3" i="79"/>
  <c r="L58" i="79" s="1"/>
  <c r="AC5" i="7"/>
  <c r="AE5" i="7"/>
  <c r="AD5" i="7"/>
  <c r="J3" i="7"/>
  <c r="I3" i="7"/>
  <c r="H3" i="7"/>
  <c r="G3" i="7"/>
  <c r="F3" i="7"/>
  <c r="E3" i="7"/>
  <c r="AL7" i="82" l="1"/>
  <c r="AG7" i="80"/>
  <c r="AJ7" i="82"/>
  <c r="AE7" i="80"/>
  <c r="AO7" i="82"/>
  <c r="AJ7" i="80"/>
  <c r="AN7" i="82"/>
  <c r="AI7" i="80"/>
  <c r="AM7" i="82"/>
  <c r="AH7" i="80"/>
  <c r="AK7" i="82"/>
  <c r="AF7" i="80"/>
  <c r="AH7" i="82"/>
  <c r="AC7" i="80"/>
  <c r="AG7" i="82"/>
  <c r="AB7" i="80"/>
  <c r="AF7" i="82"/>
  <c r="AA7" i="80"/>
  <c r="AD7" i="82"/>
  <c r="Y7" i="80"/>
  <c r="AE7" i="82"/>
  <c r="Z7" i="80"/>
  <c r="AI7" i="82"/>
  <c r="AD7" i="80"/>
  <c r="S3" i="7"/>
  <c r="C3" i="81"/>
  <c r="C7" i="80" s="1"/>
  <c r="D3" i="79"/>
  <c r="D58" i="79" s="1"/>
  <c r="L3" i="7"/>
  <c r="H3" i="81"/>
  <c r="H7" i="80" s="1"/>
  <c r="I3" i="79"/>
  <c r="I58" i="79" s="1"/>
  <c r="Q3" i="7"/>
  <c r="F3" i="79"/>
  <c r="F58" i="79" s="1"/>
  <c r="E3" i="81"/>
  <c r="E7" i="80" s="1"/>
  <c r="N3" i="7"/>
  <c r="M5" i="78" s="1"/>
  <c r="K5" i="78"/>
  <c r="G3" i="81"/>
  <c r="G7" i="80" s="1"/>
  <c r="H3" i="79"/>
  <c r="H58" i="79" s="1"/>
  <c r="P3" i="7"/>
  <c r="D3" i="81"/>
  <c r="D7" i="80" s="1"/>
  <c r="E3" i="79"/>
  <c r="E58" i="79" s="1"/>
  <c r="J5" i="78"/>
  <c r="M3" i="7"/>
  <c r="L5" i="78" s="1"/>
  <c r="F3" i="81"/>
  <c r="F7" i="80" s="1"/>
  <c r="G3" i="79"/>
  <c r="G58" i="79" s="1"/>
  <c r="O3" i="7"/>
  <c r="T3" i="7"/>
  <c r="X3" i="7"/>
  <c r="U3" i="7"/>
  <c r="V3" i="7"/>
  <c r="W3" i="7"/>
  <c r="AS4" i="11"/>
  <c r="AS3" i="11"/>
  <c r="Z6" i="19" l="1"/>
  <c r="AK6" i="19" s="1"/>
  <c r="AA6" i="19"/>
  <c r="AN6" i="19" s="1"/>
  <c r="AB6" i="19"/>
  <c r="AC6" i="19"/>
  <c r="AD6" i="19"/>
  <c r="AE6" i="19"/>
  <c r="AF6" i="19"/>
  <c r="AG6" i="19"/>
  <c r="AH6" i="19"/>
  <c r="AI6" i="19"/>
  <c r="AJ6" i="19"/>
  <c r="AL6" i="19"/>
  <c r="AO6" i="19"/>
  <c r="Z7" i="19"/>
  <c r="AK7" i="19" s="1"/>
  <c r="AA7" i="19"/>
  <c r="AN7" i="19" s="1"/>
  <c r="AB7" i="19"/>
  <c r="AC7" i="19"/>
  <c r="AD7" i="19"/>
  <c r="AE7" i="19"/>
  <c r="AF7" i="19"/>
  <c r="AG7" i="19"/>
  <c r="AH7" i="19"/>
  <c r="AI7" i="19"/>
  <c r="AJ7" i="19"/>
  <c r="AO7" i="19"/>
  <c r="Z8" i="19"/>
  <c r="AK8" i="19" s="1"/>
  <c r="AA8" i="19"/>
  <c r="AN8" i="19" s="1"/>
  <c r="AB8" i="19"/>
  <c r="AC8" i="19"/>
  <c r="AD8" i="19"/>
  <c r="AE8" i="19"/>
  <c r="AF8" i="19"/>
  <c r="AG8" i="19"/>
  <c r="AH8" i="19"/>
  <c r="AI8" i="19"/>
  <c r="AJ8" i="19"/>
  <c r="AL8" i="19"/>
  <c r="AO8" i="19"/>
  <c r="Z9" i="19"/>
  <c r="AK9" i="19" s="1"/>
  <c r="AA9" i="19"/>
  <c r="AN9" i="19" s="1"/>
  <c r="AB9" i="19"/>
  <c r="AC9" i="19"/>
  <c r="AD9" i="19"/>
  <c r="AE9" i="19"/>
  <c r="AF9" i="19"/>
  <c r="AG9" i="19"/>
  <c r="AH9" i="19"/>
  <c r="AI9" i="19"/>
  <c r="AJ9" i="19"/>
  <c r="AO9" i="19"/>
  <c r="Z10" i="19"/>
  <c r="AK10" i="19" s="1"/>
  <c r="AA10" i="19"/>
  <c r="AN10" i="19" s="1"/>
  <c r="AB10" i="19"/>
  <c r="AC10" i="19"/>
  <c r="AD10" i="19"/>
  <c r="AE10" i="19"/>
  <c r="AF10" i="19"/>
  <c r="AG10" i="19"/>
  <c r="AH10" i="19"/>
  <c r="AI10" i="19"/>
  <c r="AJ10" i="19"/>
  <c r="AL10" i="19"/>
  <c r="AO10" i="19"/>
  <c r="Z11" i="19"/>
  <c r="AK11" i="19" s="1"/>
  <c r="AA11" i="19"/>
  <c r="AN11" i="19" s="1"/>
  <c r="AB11" i="19"/>
  <c r="AC11" i="19"/>
  <c r="AD11" i="19"/>
  <c r="AE11" i="19"/>
  <c r="AF11" i="19"/>
  <c r="AG11" i="19"/>
  <c r="AH11" i="19"/>
  <c r="AI11" i="19"/>
  <c r="AJ11" i="19"/>
  <c r="AO11" i="19"/>
  <c r="Z12" i="19"/>
  <c r="AK12" i="19" s="1"/>
  <c r="AA12" i="19"/>
  <c r="AN12" i="19" s="1"/>
  <c r="AB12" i="19"/>
  <c r="AC12" i="19"/>
  <c r="AD12" i="19"/>
  <c r="AE12" i="19"/>
  <c r="AF12" i="19"/>
  <c r="AG12" i="19"/>
  <c r="AH12" i="19"/>
  <c r="AI12" i="19"/>
  <c r="AJ12" i="19"/>
  <c r="AL12" i="19"/>
  <c r="AO12" i="19"/>
  <c r="Z13" i="19"/>
  <c r="AK13" i="19" s="1"/>
  <c r="AA13" i="19"/>
  <c r="AN13" i="19" s="1"/>
  <c r="AB13" i="19"/>
  <c r="AC13" i="19"/>
  <c r="AD13" i="19"/>
  <c r="AE13" i="19"/>
  <c r="AF13" i="19"/>
  <c r="AG13" i="19"/>
  <c r="AH13" i="19"/>
  <c r="AI13" i="19"/>
  <c r="AJ13" i="19"/>
  <c r="AO13" i="19"/>
  <c r="Z14" i="19"/>
  <c r="AK14" i="19" s="1"/>
  <c r="AA14" i="19"/>
  <c r="AN14" i="19" s="1"/>
  <c r="AB14" i="19"/>
  <c r="AC14" i="19"/>
  <c r="AD14" i="19"/>
  <c r="AE14" i="19"/>
  <c r="AF14" i="19"/>
  <c r="AG14" i="19"/>
  <c r="AH14" i="19"/>
  <c r="AI14" i="19"/>
  <c r="AJ14" i="19"/>
  <c r="AL14" i="19"/>
  <c r="AO14" i="19"/>
  <c r="Z15" i="19"/>
  <c r="AK15" i="19" s="1"/>
  <c r="AA15" i="19"/>
  <c r="AN15" i="19" s="1"/>
  <c r="AB15" i="19"/>
  <c r="AC15" i="19"/>
  <c r="AD15" i="19"/>
  <c r="AE15" i="19"/>
  <c r="AF15" i="19"/>
  <c r="AG15" i="19"/>
  <c r="AH15" i="19"/>
  <c r="AI15" i="19"/>
  <c r="AJ15" i="19"/>
  <c r="AO15" i="19"/>
  <c r="Z16" i="19"/>
  <c r="AK16" i="19" s="1"/>
  <c r="AA16" i="19"/>
  <c r="AN16" i="19" s="1"/>
  <c r="AB16" i="19"/>
  <c r="AC16" i="19"/>
  <c r="AD16" i="19"/>
  <c r="AE16" i="19"/>
  <c r="AF16" i="19"/>
  <c r="AG16" i="19"/>
  <c r="AH16" i="19"/>
  <c r="AI16" i="19"/>
  <c r="AJ16" i="19"/>
  <c r="AL16" i="19"/>
  <c r="AO16" i="19"/>
  <c r="Z17" i="19"/>
  <c r="AK17" i="19" s="1"/>
  <c r="AA17" i="19"/>
  <c r="AN17" i="19" s="1"/>
  <c r="AB17" i="19"/>
  <c r="AC17" i="19"/>
  <c r="AD17" i="19"/>
  <c r="AE17" i="19"/>
  <c r="AF17" i="19"/>
  <c r="AG17" i="19"/>
  <c r="AH17" i="19"/>
  <c r="AI17" i="19"/>
  <c r="AJ17" i="19"/>
  <c r="AO17" i="19"/>
  <c r="Z18" i="19"/>
  <c r="AK18" i="19" s="1"/>
  <c r="AA18" i="19"/>
  <c r="AN18" i="19" s="1"/>
  <c r="AB18" i="19"/>
  <c r="AC18" i="19"/>
  <c r="AD18" i="19"/>
  <c r="AE18" i="19"/>
  <c r="AF18" i="19"/>
  <c r="AG18" i="19"/>
  <c r="AH18" i="19"/>
  <c r="AI18" i="19"/>
  <c r="AJ18" i="19"/>
  <c r="AL18" i="19"/>
  <c r="AO18" i="19"/>
  <c r="Z19" i="19"/>
  <c r="AK19" i="19" s="1"/>
  <c r="AA19" i="19"/>
  <c r="AN19" i="19" s="1"/>
  <c r="AB19" i="19"/>
  <c r="AC19" i="19"/>
  <c r="AD19" i="19"/>
  <c r="AE19" i="19"/>
  <c r="AF19" i="19"/>
  <c r="AG19" i="19"/>
  <c r="AH19" i="19"/>
  <c r="AI19" i="19"/>
  <c r="AJ19" i="19"/>
  <c r="AO19" i="19"/>
  <c r="Z20" i="19"/>
  <c r="AK20" i="19" s="1"/>
  <c r="AA20" i="19"/>
  <c r="AN20" i="19" s="1"/>
  <c r="AB20" i="19"/>
  <c r="AC20" i="19"/>
  <c r="AD20" i="19"/>
  <c r="AE20" i="19"/>
  <c r="AF20" i="19"/>
  <c r="AG20" i="19"/>
  <c r="AH20" i="19"/>
  <c r="AI20" i="19"/>
  <c r="AJ20" i="19"/>
  <c r="AL20" i="19"/>
  <c r="AO20" i="19"/>
  <c r="Z21" i="19"/>
  <c r="AK21" i="19" s="1"/>
  <c r="AA21" i="19"/>
  <c r="AN21" i="19" s="1"/>
  <c r="AB21" i="19"/>
  <c r="AC21" i="19"/>
  <c r="AD21" i="19"/>
  <c r="AE21" i="19"/>
  <c r="AF21" i="19"/>
  <c r="AG21" i="19"/>
  <c r="AH21" i="19"/>
  <c r="AI21" i="19"/>
  <c r="AJ21" i="19"/>
  <c r="AO21" i="19"/>
  <c r="Z22" i="19"/>
  <c r="AK22" i="19" s="1"/>
  <c r="AA22" i="19"/>
  <c r="AN22" i="19" s="1"/>
  <c r="AB22" i="19"/>
  <c r="AC22" i="19"/>
  <c r="AD22" i="19"/>
  <c r="AE22" i="19"/>
  <c r="AF22" i="19"/>
  <c r="AG22" i="19"/>
  <c r="AH22" i="19"/>
  <c r="AI22" i="19"/>
  <c r="AJ22" i="19"/>
  <c r="AL22" i="19"/>
  <c r="AO22" i="19"/>
  <c r="Z23" i="19"/>
  <c r="AK23" i="19" s="1"/>
  <c r="AA23" i="19"/>
  <c r="AN23" i="19" s="1"/>
  <c r="AB23" i="19"/>
  <c r="AC23" i="19"/>
  <c r="AD23" i="19"/>
  <c r="AE23" i="19"/>
  <c r="AF23" i="19"/>
  <c r="AG23" i="19"/>
  <c r="AH23" i="19"/>
  <c r="AI23" i="19"/>
  <c r="AJ23" i="19"/>
  <c r="AO23" i="19"/>
  <c r="Z24" i="19"/>
  <c r="AK24" i="19" s="1"/>
  <c r="AA24" i="19"/>
  <c r="AN24" i="19" s="1"/>
  <c r="AB24" i="19"/>
  <c r="AC24" i="19"/>
  <c r="AD24" i="19"/>
  <c r="AE24" i="19"/>
  <c r="AF24" i="19"/>
  <c r="AG24" i="19"/>
  <c r="AH24" i="19"/>
  <c r="AI24" i="19"/>
  <c r="AJ24" i="19"/>
  <c r="AL24" i="19"/>
  <c r="AO24" i="19"/>
  <c r="Z25" i="19"/>
  <c r="AK25" i="19" s="1"/>
  <c r="AA25" i="19"/>
  <c r="AN25" i="19" s="1"/>
  <c r="AB25" i="19"/>
  <c r="AC25" i="19"/>
  <c r="AD25" i="19"/>
  <c r="AE25" i="19"/>
  <c r="AF25" i="19"/>
  <c r="AG25" i="19"/>
  <c r="AH25" i="19"/>
  <c r="AI25" i="19"/>
  <c r="AJ25" i="19"/>
  <c r="AO25" i="19"/>
  <c r="Z26" i="19"/>
  <c r="AK26" i="19" s="1"/>
  <c r="AA26" i="19"/>
  <c r="AN26" i="19" s="1"/>
  <c r="AB26" i="19"/>
  <c r="AC26" i="19"/>
  <c r="AD26" i="19"/>
  <c r="AE26" i="19"/>
  <c r="AF26" i="19"/>
  <c r="AG26" i="19"/>
  <c r="AH26" i="19"/>
  <c r="AI26" i="19"/>
  <c r="AJ26" i="19"/>
  <c r="AL26" i="19"/>
  <c r="AO26" i="19"/>
  <c r="Z27" i="19"/>
  <c r="AK27" i="19" s="1"/>
  <c r="AA27" i="19"/>
  <c r="AN27" i="19" s="1"/>
  <c r="AB27" i="19"/>
  <c r="AC27" i="19"/>
  <c r="AD27" i="19"/>
  <c r="AE27" i="19"/>
  <c r="AF27" i="19"/>
  <c r="AG27" i="19"/>
  <c r="AH27" i="19"/>
  <c r="AI27" i="19"/>
  <c r="AJ27" i="19"/>
  <c r="AO27" i="19"/>
  <c r="Z28" i="19"/>
  <c r="AK28" i="19" s="1"/>
  <c r="AA28" i="19"/>
  <c r="AN28" i="19" s="1"/>
  <c r="AB28" i="19"/>
  <c r="AC28" i="19"/>
  <c r="AD28" i="19"/>
  <c r="AE28" i="19"/>
  <c r="AF28" i="19"/>
  <c r="AG28" i="19"/>
  <c r="AH28" i="19"/>
  <c r="AI28" i="19"/>
  <c r="AJ28" i="19"/>
  <c r="AL28" i="19"/>
  <c r="AO28" i="19"/>
  <c r="Z29" i="19"/>
  <c r="AK29" i="19" s="1"/>
  <c r="AA29" i="19"/>
  <c r="AN29" i="19" s="1"/>
  <c r="AB29" i="19"/>
  <c r="AC29" i="19"/>
  <c r="AD29" i="19"/>
  <c r="AE29" i="19"/>
  <c r="AF29" i="19"/>
  <c r="AG29" i="19"/>
  <c r="AH29" i="19"/>
  <c r="AI29" i="19"/>
  <c r="AJ29" i="19"/>
  <c r="AO29" i="19"/>
  <c r="Z30" i="19"/>
  <c r="AK30" i="19" s="1"/>
  <c r="AA30" i="19"/>
  <c r="AN30" i="19" s="1"/>
  <c r="AB30" i="19"/>
  <c r="AC30" i="19"/>
  <c r="AD30" i="19"/>
  <c r="AE30" i="19"/>
  <c r="AF30" i="19"/>
  <c r="AG30" i="19"/>
  <c r="AH30" i="19"/>
  <c r="AI30" i="19"/>
  <c r="AJ30" i="19"/>
  <c r="AL30" i="19"/>
  <c r="AO30" i="19"/>
  <c r="Z31" i="19"/>
  <c r="AK31" i="19" s="1"/>
  <c r="AA31" i="19"/>
  <c r="AN31" i="19" s="1"/>
  <c r="AB31" i="19"/>
  <c r="AC31" i="19"/>
  <c r="AD31" i="19"/>
  <c r="AE31" i="19"/>
  <c r="AF31" i="19"/>
  <c r="AG31" i="19"/>
  <c r="AH31" i="19"/>
  <c r="AI31" i="19"/>
  <c r="AJ31" i="19"/>
  <c r="AO31" i="19"/>
  <c r="Z32" i="19"/>
  <c r="AK32" i="19" s="1"/>
  <c r="AA32" i="19"/>
  <c r="AN32" i="19" s="1"/>
  <c r="AB32" i="19"/>
  <c r="AC32" i="19"/>
  <c r="AD32" i="19"/>
  <c r="AE32" i="19"/>
  <c r="AF32" i="19"/>
  <c r="AG32" i="19"/>
  <c r="AH32" i="19"/>
  <c r="AI32" i="19"/>
  <c r="AJ32" i="19"/>
  <c r="AL32" i="19"/>
  <c r="AO32" i="19"/>
  <c r="Z33" i="19"/>
  <c r="AK33" i="19" s="1"/>
  <c r="AA33" i="19"/>
  <c r="AN33" i="19" s="1"/>
  <c r="AB33" i="19"/>
  <c r="AC33" i="19"/>
  <c r="AD33" i="19"/>
  <c r="AE33" i="19"/>
  <c r="AF33" i="19"/>
  <c r="AG33" i="19"/>
  <c r="AH33" i="19"/>
  <c r="AI33" i="19"/>
  <c r="AJ33" i="19"/>
  <c r="AO33" i="19"/>
  <c r="Z34" i="19"/>
  <c r="AK34" i="19" s="1"/>
  <c r="AA34" i="19"/>
  <c r="AN34" i="19" s="1"/>
  <c r="AB34" i="19"/>
  <c r="AC34" i="19"/>
  <c r="AD34" i="19"/>
  <c r="AE34" i="19"/>
  <c r="AF34" i="19"/>
  <c r="AG34" i="19"/>
  <c r="AH34" i="19"/>
  <c r="AI34" i="19"/>
  <c r="AJ34" i="19"/>
  <c r="AL34" i="19"/>
  <c r="AO34" i="19"/>
  <c r="Z35" i="19"/>
  <c r="AK35" i="19" s="1"/>
  <c r="AA35" i="19"/>
  <c r="AN35" i="19" s="1"/>
  <c r="AB35" i="19"/>
  <c r="AC35" i="19"/>
  <c r="AD35" i="19"/>
  <c r="AE35" i="19"/>
  <c r="AF35" i="19"/>
  <c r="AG35" i="19"/>
  <c r="AH35" i="19"/>
  <c r="AI35" i="19"/>
  <c r="AJ35" i="19"/>
  <c r="AO35" i="19"/>
  <c r="Z36" i="19"/>
  <c r="AK36" i="19" s="1"/>
  <c r="AA36" i="19"/>
  <c r="AN36" i="19" s="1"/>
  <c r="AB36" i="19"/>
  <c r="AC36" i="19"/>
  <c r="AD36" i="19"/>
  <c r="AE36" i="19"/>
  <c r="AF36" i="19"/>
  <c r="AG36" i="19"/>
  <c r="AH36" i="19"/>
  <c r="AI36" i="19"/>
  <c r="AJ36" i="19"/>
  <c r="AL36" i="19"/>
  <c r="AO36" i="19"/>
  <c r="Z37" i="19"/>
  <c r="AK37" i="19" s="1"/>
  <c r="AA37" i="19"/>
  <c r="AN37" i="19" s="1"/>
  <c r="AB37" i="19"/>
  <c r="AC37" i="19"/>
  <c r="AD37" i="19"/>
  <c r="AE37" i="19"/>
  <c r="AF37" i="19"/>
  <c r="AG37" i="19"/>
  <c r="AH37" i="19"/>
  <c r="AI37" i="19"/>
  <c r="AJ37" i="19"/>
  <c r="AO37" i="19"/>
  <c r="Z38" i="19"/>
  <c r="AK38" i="19" s="1"/>
  <c r="AA38" i="19"/>
  <c r="AN38" i="19" s="1"/>
  <c r="AB38" i="19"/>
  <c r="AC38" i="19"/>
  <c r="AD38" i="19"/>
  <c r="AE38" i="19"/>
  <c r="AF38" i="19"/>
  <c r="AG38" i="19"/>
  <c r="AH38" i="19"/>
  <c r="AI38" i="19"/>
  <c r="AJ38" i="19"/>
  <c r="AL38" i="19"/>
  <c r="AO38" i="19"/>
  <c r="Z39" i="19"/>
  <c r="AK39" i="19" s="1"/>
  <c r="AA39" i="19"/>
  <c r="AN39" i="19" s="1"/>
  <c r="AB39" i="19"/>
  <c r="AC39" i="19"/>
  <c r="AD39" i="19"/>
  <c r="AE39" i="19"/>
  <c r="AF39" i="19"/>
  <c r="AG39" i="19"/>
  <c r="AH39" i="19"/>
  <c r="AI39" i="19"/>
  <c r="AJ39" i="19"/>
  <c r="AO39" i="19"/>
  <c r="Z40" i="19"/>
  <c r="AK40" i="19" s="1"/>
  <c r="AA40" i="19"/>
  <c r="AN40" i="19" s="1"/>
  <c r="AB40" i="19"/>
  <c r="AC40" i="19"/>
  <c r="AD40" i="19"/>
  <c r="AE40" i="19"/>
  <c r="AF40" i="19"/>
  <c r="AG40" i="19"/>
  <c r="AH40" i="19"/>
  <c r="AI40" i="19"/>
  <c r="AJ40" i="19"/>
  <c r="AL40" i="19"/>
  <c r="AO40" i="19"/>
  <c r="Z41" i="19"/>
  <c r="AK41" i="19" s="1"/>
  <c r="AA41" i="19"/>
  <c r="AN41" i="19" s="1"/>
  <c r="AB41" i="19"/>
  <c r="AC41" i="19"/>
  <c r="AD41" i="19"/>
  <c r="AE41" i="19"/>
  <c r="AF41" i="19"/>
  <c r="AG41" i="19"/>
  <c r="AH41" i="19"/>
  <c r="AI41" i="19"/>
  <c r="AJ41" i="19"/>
  <c r="AO41" i="19"/>
  <c r="Z42" i="19"/>
  <c r="AA42" i="19"/>
  <c r="AB42" i="19"/>
  <c r="AC42" i="19"/>
  <c r="AD42" i="19"/>
  <c r="AE42" i="19"/>
  <c r="AF42" i="19"/>
  <c r="AG42" i="19"/>
  <c r="AH42" i="19"/>
  <c r="AI42" i="19"/>
  <c r="AJ42" i="19"/>
  <c r="AK42" i="19"/>
  <c r="AM42" i="19"/>
  <c r="AO42" i="19"/>
  <c r="Z43" i="19"/>
  <c r="AM43" i="19" s="1"/>
  <c r="AA43" i="19"/>
  <c r="AB43" i="19"/>
  <c r="AC43" i="19"/>
  <c r="AD43" i="19"/>
  <c r="AE43" i="19"/>
  <c r="AF43" i="19"/>
  <c r="AG43" i="19"/>
  <c r="AH43" i="19"/>
  <c r="AI43" i="19"/>
  <c r="AJ43" i="19"/>
  <c r="AL43" i="19"/>
  <c r="AO43" i="19"/>
  <c r="Z44" i="19"/>
  <c r="AK44" i="19" s="1"/>
  <c r="AA44" i="19"/>
  <c r="AN44" i="19" s="1"/>
  <c r="AB44" i="19"/>
  <c r="AC44" i="19"/>
  <c r="AD44" i="19"/>
  <c r="AE44" i="19"/>
  <c r="AF44" i="19"/>
  <c r="AG44" i="19"/>
  <c r="AH44" i="19"/>
  <c r="AI44" i="19"/>
  <c r="AJ44" i="19"/>
  <c r="AM44" i="19"/>
  <c r="AO44" i="19"/>
  <c r="Z45" i="19"/>
  <c r="AK45" i="19" s="1"/>
  <c r="AA45" i="19"/>
  <c r="AN45" i="19" s="1"/>
  <c r="AB45" i="19"/>
  <c r="AC45" i="19"/>
  <c r="AD45" i="19"/>
  <c r="AE45" i="19"/>
  <c r="AF45" i="19"/>
  <c r="AG45" i="19"/>
  <c r="AH45" i="19"/>
  <c r="AI45" i="19"/>
  <c r="AJ45" i="19"/>
  <c r="AM45" i="19"/>
  <c r="AO45" i="19"/>
  <c r="Z46" i="19"/>
  <c r="AA46" i="19"/>
  <c r="AB46" i="19"/>
  <c r="AC46" i="19"/>
  <c r="AD46" i="19"/>
  <c r="AE46" i="19"/>
  <c r="AF46" i="19"/>
  <c r="AG46" i="19"/>
  <c r="AH46" i="19"/>
  <c r="AI46" i="19"/>
  <c r="AJ46" i="19"/>
  <c r="AK46" i="19"/>
  <c r="AM46" i="19"/>
  <c r="AO46" i="19"/>
  <c r="Z47" i="19"/>
  <c r="AM47" i="19" s="1"/>
  <c r="AA47" i="19"/>
  <c r="AB47" i="19"/>
  <c r="AC47" i="19"/>
  <c r="AD47" i="19"/>
  <c r="AE47" i="19"/>
  <c r="AF47" i="19"/>
  <c r="AG47" i="19"/>
  <c r="AH47" i="19"/>
  <c r="AI47" i="19"/>
  <c r="AJ47" i="19"/>
  <c r="AL47" i="19"/>
  <c r="AO47" i="19"/>
  <c r="Z48" i="19"/>
  <c r="AK48" i="19" s="1"/>
  <c r="AA48" i="19"/>
  <c r="AN48" i="19" s="1"/>
  <c r="AB48" i="19"/>
  <c r="AC48" i="19"/>
  <c r="AD48" i="19"/>
  <c r="AE48" i="19"/>
  <c r="AF48" i="19"/>
  <c r="AG48" i="19"/>
  <c r="AH48" i="19"/>
  <c r="AI48" i="19"/>
  <c r="AJ48" i="19"/>
  <c r="AM48" i="19"/>
  <c r="AO48" i="19"/>
  <c r="Z49" i="19"/>
  <c r="AK49" i="19" s="1"/>
  <c r="AA49" i="19"/>
  <c r="AN49" i="19" s="1"/>
  <c r="AB49" i="19"/>
  <c r="AC49" i="19"/>
  <c r="AD49" i="19"/>
  <c r="AE49" i="19"/>
  <c r="AF49" i="19"/>
  <c r="AG49" i="19"/>
  <c r="AH49" i="19"/>
  <c r="AI49" i="19"/>
  <c r="AJ49" i="19"/>
  <c r="AM49" i="19"/>
  <c r="AO49" i="19"/>
  <c r="Z50" i="19"/>
  <c r="AA50" i="19"/>
  <c r="AB50" i="19"/>
  <c r="AC50" i="19"/>
  <c r="AD50" i="19"/>
  <c r="AE50" i="19"/>
  <c r="AF50" i="19"/>
  <c r="AG50" i="19"/>
  <c r="AH50" i="19"/>
  <c r="AI50" i="19"/>
  <c r="AJ50" i="19"/>
  <c r="AK50" i="19"/>
  <c r="AM50" i="19"/>
  <c r="AO50" i="19"/>
  <c r="Z51" i="19"/>
  <c r="AM51" i="19" s="1"/>
  <c r="AA51" i="19"/>
  <c r="AB51" i="19"/>
  <c r="AC51" i="19"/>
  <c r="AD51" i="19"/>
  <c r="AE51" i="19"/>
  <c r="AF51" i="19"/>
  <c r="AG51" i="19"/>
  <c r="AH51" i="19"/>
  <c r="AI51" i="19"/>
  <c r="AJ51" i="19"/>
  <c r="AL51" i="19"/>
  <c r="AO51" i="19"/>
  <c r="Z52" i="19"/>
  <c r="AK52" i="19" s="1"/>
  <c r="AA52" i="19"/>
  <c r="AN52" i="19" s="1"/>
  <c r="AB52" i="19"/>
  <c r="AC52" i="19"/>
  <c r="AD52" i="19"/>
  <c r="AE52" i="19"/>
  <c r="AF52" i="19"/>
  <c r="AG52" i="19"/>
  <c r="AH52" i="19"/>
  <c r="AI52" i="19"/>
  <c r="AJ52" i="19"/>
  <c r="AM52" i="19"/>
  <c r="AO52" i="19"/>
  <c r="Z53" i="19"/>
  <c r="AK53" i="19" s="1"/>
  <c r="AA53" i="19"/>
  <c r="AN53" i="19" s="1"/>
  <c r="AB53" i="19"/>
  <c r="AC53" i="19"/>
  <c r="AD53" i="19"/>
  <c r="AE53" i="19"/>
  <c r="AF53" i="19"/>
  <c r="AG53" i="19"/>
  <c r="AH53" i="19"/>
  <c r="AI53" i="19"/>
  <c r="AJ53" i="19"/>
  <c r="AM53" i="19"/>
  <c r="AO53" i="19"/>
  <c r="Z54" i="19"/>
  <c r="AA54" i="19"/>
  <c r="AB54" i="19"/>
  <c r="AC54" i="19"/>
  <c r="AD54" i="19"/>
  <c r="AE54" i="19"/>
  <c r="AF54" i="19"/>
  <c r="AG54" i="19"/>
  <c r="AH54" i="19"/>
  <c r="AI54" i="19"/>
  <c r="AJ54" i="19"/>
  <c r="AK54" i="19"/>
  <c r="AM54" i="19"/>
  <c r="AO54" i="19"/>
  <c r="AO5" i="19"/>
  <c r="AE5" i="19"/>
  <c r="AD5" i="19"/>
  <c r="AC5" i="19"/>
  <c r="AB5" i="19"/>
  <c r="AM5" i="19" s="1"/>
  <c r="AA5" i="19"/>
  <c r="Z5" i="19"/>
  <c r="AK5" i="19" s="1"/>
  <c r="AF5" i="19"/>
  <c r="AG5" i="19"/>
  <c r="AH5" i="19"/>
  <c r="AI5" i="19"/>
  <c r="AJ5" i="19"/>
  <c r="AL5" i="19"/>
  <c r="AO3" i="19"/>
  <c r="AF3" i="19"/>
  <c r="AG3" i="19"/>
  <c r="AH3" i="19"/>
  <c r="AI3" i="19"/>
  <c r="AJ3" i="19"/>
  <c r="AK3" i="19"/>
  <c r="AL3" i="19"/>
  <c r="AM3" i="19"/>
  <c r="AN3" i="19"/>
  <c r="AO4" i="19"/>
  <c r="W3" i="19" s="1"/>
  <c r="AF4" i="19"/>
  <c r="AG4" i="19"/>
  <c r="AH4" i="19"/>
  <c r="AI4" i="19"/>
  <c r="AJ4" i="19"/>
  <c r="AK4" i="19"/>
  <c r="AL4" i="19"/>
  <c r="AM4" i="19"/>
  <c r="AN4" i="19"/>
  <c r="AL52" i="19" l="1"/>
  <c r="AK51" i="19"/>
  <c r="AL48" i="19"/>
  <c r="AK47" i="19"/>
  <c r="AL44" i="19"/>
  <c r="AK43" i="19"/>
  <c r="AM41" i="19"/>
  <c r="AM39" i="19"/>
  <c r="AM37" i="19"/>
  <c r="AM35" i="19"/>
  <c r="AM33" i="19"/>
  <c r="AM31" i="19"/>
  <c r="AM29" i="19"/>
  <c r="AM27" i="19"/>
  <c r="AM25" i="19"/>
  <c r="AM23" i="19"/>
  <c r="AM21" i="19"/>
  <c r="AM19" i="19"/>
  <c r="AM17" i="19"/>
  <c r="AM15" i="19"/>
  <c r="AM13" i="19"/>
  <c r="AM11" i="19"/>
  <c r="AM9" i="19"/>
  <c r="AM7" i="19"/>
  <c r="AN54" i="19"/>
  <c r="AL53" i="19"/>
  <c r="AN50" i="19"/>
  <c r="AL49" i="19"/>
  <c r="AN46" i="19"/>
  <c r="AL45" i="19"/>
  <c r="AN42" i="19"/>
  <c r="AL41" i="19"/>
  <c r="AL39" i="19"/>
  <c r="AL37" i="19"/>
  <c r="AL35" i="19"/>
  <c r="AL33" i="19"/>
  <c r="AL31" i="19"/>
  <c r="AL29" i="19"/>
  <c r="AL27" i="19"/>
  <c r="AL25" i="19"/>
  <c r="AL23" i="19"/>
  <c r="AL21" i="19"/>
  <c r="AL19" i="19"/>
  <c r="AL17" i="19"/>
  <c r="AL15" i="19"/>
  <c r="AL13" i="19"/>
  <c r="AL11" i="19"/>
  <c r="AL9" i="19"/>
  <c r="AL7" i="19"/>
  <c r="AL54" i="19"/>
  <c r="AN51" i="19"/>
  <c r="AL50" i="19"/>
  <c r="AN47" i="19"/>
  <c r="AL46" i="19"/>
  <c r="AN43" i="19"/>
  <c r="AL42" i="19"/>
  <c r="AM40" i="19"/>
  <c r="AM38" i="19"/>
  <c r="AM36" i="19"/>
  <c r="AM34" i="19"/>
  <c r="AM32" i="19"/>
  <c r="AM30" i="19"/>
  <c r="AM28" i="19"/>
  <c r="AM26" i="19"/>
  <c r="AM24" i="19"/>
  <c r="AM22" i="19"/>
  <c r="AM20" i="19"/>
  <c r="AM18" i="19"/>
  <c r="AM16" i="19"/>
  <c r="AM14" i="19"/>
  <c r="AM12" i="19"/>
  <c r="AM10" i="19"/>
  <c r="AM8" i="19"/>
  <c r="AM6" i="19"/>
  <c r="AN5" i="19"/>
  <c r="BG6" i="11" l="1"/>
  <c r="BE6" i="11"/>
  <c r="BG11" i="11"/>
  <c r="BE11" i="11"/>
  <c r="BG10" i="11"/>
  <c r="BE10" i="11"/>
  <c r="BG9" i="11"/>
  <c r="BE9" i="11"/>
  <c r="BE8" i="11"/>
  <c r="BG8" i="11"/>
  <c r="BG7" i="11"/>
  <c r="BE7" i="11"/>
  <c r="C28" i="24"/>
  <c r="C29" i="24"/>
  <c r="C30" i="24"/>
  <c r="C31" i="24"/>
  <c r="C32" i="24"/>
  <c r="C33" i="24"/>
  <c r="C34" i="24"/>
  <c r="C35" i="24"/>
  <c r="C36" i="24"/>
  <c r="C37" i="24"/>
  <c r="C38" i="24"/>
  <c r="C39" i="24"/>
  <c r="C40" i="24"/>
  <c r="C41" i="24"/>
  <c r="C42" i="24"/>
  <c r="C43" i="24"/>
  <c r="C44" i="24"/>
  <c r="C45" i="24"/>
  <c r="C46" i="24"/>
  <c r="C47" i="24"/>
  <c r="C48" i="24"/>
  <c r="C49" i="24"/>
  <c r="C50" i="24"/>
  <c r="C51" i="24"/>
  <c r="C52" i="24"/>
  <c r="C53" i="24"/>
  <c r="C54" i="24"/>
  <c r="C55" i="24"/>
  <c r="C56" i="24"/>
  <c r="U5" i="4" l="1"/>
  <c r="V5" i="4"/>
  <c r="W5" i="4"/>
  <c r="X5" i="4"/>
  <c r="AG5" i="4"/>
  <c r="AH5" i="4"/>
  <c r="AI5" i="4"/>
  <c r="AJ5" i="4"/>
  <c r="T5" i="4" l="1"/>
  <c r="AF5" i="4"/>
  <c r="AC5" i="4" l="1"/>
  <c r="AB5" i="4"/>
  <c r="AA5" i="4"/>
  <c r="AD5" i="4"/>
  <c r="B25" i="50"/>
  <c r="B23" i="50"/>
  <c r="B21" i="50"/>
  <c r="G8" i="78"/>
  <c r="H8" i="78"/>
  <c r="I8" i="78"/>
  <c r="G9" i="78"/>
  <c r="H9" i="78"/>
  <c r="I9" i="78"/>
  <c r="G10" i="78"/>
  <c r="H10" i="78"/>
  <c r="I10" i="78"/>
  <c r="G11" i="78"/>
  <c r="H11" i="78"/>
  <c r="I11" i="78"/>
  <c r="G12" i="78"/>
  <c r="H12" i="78"/>
  <c r="I12" i="78"/>
  <c r="G13" i="78"/>
  <c r="H13" i="78"/>
  <c r="I13" i="78"/>
  <c r="G14" i="78"/>
  <c r="H14" i="78"/>
  <c r="I14" i="78"/>
  <c r="G15" i="78"/>
  <c r="H15" i="78"/>
  <c r="I15" i="78"/>
  <c r="G16" i="78"/>
  <c r="H16" i="78"/>
  <c r="I16" i="78"/>
  <c r="G17" i="78"/>
  <c r="H17" i="78"/>
  <c r="I17" i="78"/>
  <c r="G18" i="78"/>
  <c r="H18" i="78"/>
  <c r="I18" i="78"/>
  <c r="G19" i="78"/>
  <c r="H19" i="78"/>
  <c r="I19" i="78"/>
  <c r="G20" i="78"/>
  <c r="H20" i="78"/>
  <c r="I20" i="78"/>
  <c r="G21" i="78"/>
  <c r="H21" i="78"/>
  <c r="I21" i="78"/>
  <c r="G22" i="78"/>
  <c r="H22" i="78"/>
  <c r="I22" i="78"/>
  <c r="G23" i="78"/>
  <c r="H23" i="78"/>
  <c r="I23" i="78"/>
  <c r="G24" i="78"/>
  <c r="H24" i="78"/>
  <c r="I24" i="78"/>
  <c r="G25" i="78"/>
  <c r="H25" i="78"/>
  <c r="I25" i="78"/>
  <c r="G26" i="78"/>
  <c r="H26" i="78"/>
  <c r="I26" i="78"/>
  <c r="G27" i="78"/>
  <c r="H27" i="78"/>
  <c r="I27" i="78"/>
  <c r="G28" i="78"/>
  <c r="H28" i="78"/>
  <c r="I28" i="78"/>
  <c r="G29" i="78"/>
  <c r="H29" i="78"/>
  <c r="I29" i="78"/>
  <c r="G30" i="78"/>
  <c r="H30" i="78"/>
  <c r="I30" i="78"/>
  <c r="G31" i="78"/>
  <c r="H31" i="78"/>
  <c r="I31" i="78"/>
  <c r="G32" i="78"/>
  <c r="H32" i="78"/>
  <c r="I32" i="78"/>
  <c r="G33" i="78"/>
  <c r="H33" i="78"/>
  <c r="I33" i="78"/>
  <c r="G34" i="78"/>
  <c r="H34" i="78"/>
  <c r="I34" i="78"/>
  <c r="G35" i="78"/>
  <c r="H35" i="78"/>
  <c r="I35" i="78"/>
  <c r="G36" i="78"/>
  <c r="H36" i="78"/>
  <c r="I36" i="78"/>
  <c r="G37" i="78"/>
  <c r="H37" i="78"/>
  <c r="I37" i="78"/>
  <c r="G38" i="78"/>
  <c r="H38" i="78"/>
  <c r="I38" i="78"/>
  <c r="G39" i="78"/>
  <c r="H39" i="78"/>
  <c r="I39" i="78"/>
  <c r="G40" i="78"/>
  <c r="H40" i="78"/>
  <c r="I40" i="78"/>
  <c r="G41" i="78"/>
  <c r="H41" i="78"/>
  <c r="I41" i="78"/>
  <c r="G42" i="78"/>
  <c r="H42" i="78"/>
  <c r="I42" i="78"/>
  <c r="G43" i="78"/>
  <c r="H43" i="78"/>
  <c r="I43" i="78"/>
  <c r="G44" i="78"/>
  <c r="H44" i="78"/>
  <c r="I44" i="78"/>
  <c r="G45" i="78"/>
  <c r="H45" i="78"/>
  <c r="I45" i="78"/>
  <c r="G46" i="78"/>
  <c r="H46" i="78"/>
  <c r="I46" i="78"/>
  <c r="G47" i="78"/>
  <c r="H47" i="78"/>
  <c r="I47" i="78"/>
  <c r="G48" i="78"/>
  <c r="H48" i="78"/>
  <c r="I48" i="78"/>
  <c r="G49" i="78"/>
  <c r="H49" i="78"/>
  <c r="I49" i="78"/>
  <c r="G50" i="78"/>
  <c r="H50" i="78"/>
  <c r="I50" i="78"/>
  <c r="G51" i="78"/>
  <c r="H51" i="78"/>
  <c r="I51" i="78"/>
  <c r="G52" i="78"/>
  <c r="H52" i="78"/>
  <c r="I52" i="78"/>
  <c r="G53" i="78"/>
  <c r="H53" i="78"/>
  <c r="I53" i="78"/>
  <c r="G54" i="78"/>
  <c r="H54" i="78"/>
  <c r="I54" i="78"/>
  <c r="G55" i="78"/>
  <c r="H55" i="78"/>
  <c r="I55" i="78"/>
  <c r="G56" i="78"/>
  <c r="H56" i="78"/>
  <c r="I56" i="78"/>
  <c r="H7" i="78"/>
  <c r="I7" i="78"/>
  <c r="P21" i="77" s="1"/>
  <c r="G7" i="78"/>
  <c r="K21" i="77"/>
  <c r="E8" i="78"/>
  <c r="E9" i="78"/>
  <c r="E10" i="78"/>
  <c r="E11" i="78"/>
  <c r="E12" i="78"/>
  <c r="E13" i="78"/>
  <c r="E14" i="78"/>
  <c r="E15" i="78"/>
  <c r="E16" i="78"/>
  <c r="E17" i="78"/>
  <c r="E18" i="78"/>
  <c r="E19" i="78"/>
  <c r="E20" i="78"/>
  <c r="E21" i="78"/>
  <c r="E22" i="78"/>
  <c r="E23" i="78"/>
  <c r="E24" i="78"/>
  <c r="E25" i="78"/>
  <c r="E26" i="78"/>
  <c r="E27" i="78"/>
  <c r="E28" i="78"/>
  <c r="E29" i="78"/>
  <c r="E30" i="78"/>
  <c r="E31" i="78"/>
  <c r="E32" i="78"/>
  <c r="E33" i="78"/>
  <c r="E34" i="78"/>
  <c r="E35" i="78"/>
  <c r="E36" i="78"/>
  <c r="E37" i="78"/>
  <c r="E38" i="78"/>
  <c r="E39" i="78"/>
  <c r="E40" i="78"/>
  <c r="E41" i="78"/>
  <c r="E42" i="78"/>
  <c r="E43" i="78"/>
  <c r="E44" i="78"/>
  <c r="E45" i="78"/>
  <c r="E46" i="78"/>
  <c r="E47" i="78"/>
  <c r="E48" i="78"/>
  <c r="E49" i="78"/>
  <c r="E50" i="78"/>
  <c r="E51" i="78"/>
  <c r="E52" i="78"/>
  <c r="E53" i="78"/>
  <c r="E54" i="78"/>
  <c r="E55" i="78"/>
  <c r="E56" i="78"/>
  <c r="E7" i="78"/>
  <c r="J21" i="77" s="1"/>
  <c r="D8" i="78"/>
  <c r="D9" i="78"/>
  <c r="D10" i="78"/>
  <c r="D11" i="78"/>
  <c r="D12" i="78"/>
  <c r="D13" i="78"/>
  <c r="I21" i="77" s="1"/>
  <c r="D14" i="78"/>
  <c r="D15" i="78"/>
  <c r="D16" i="78"/>
  <c r="D17" i="78"/>
  <c r="D18" i="78"/>
  <c r="D19" i="78"/>
  <c r="D20" i="78"/>
  <c r="D21" i="78"/>
  <c r="D22" i="78"/>
  <c r="D23" i="78"/>
  <c r="D24" i="78"/>
  <c r="D25" i="78"/>
  <c r="D26" i="78"/>
  <c r="D27" i="78"/>
  <c r="D28" i="78"/>
  <c r="D29" i="78"/>
  <c r="D30" i="78"/>
  <c r="D31" i="78"/>
  <c r="D32" i="78"/>
  <c r="D33" i="78"/>
  <c r="D34" i="78"/>
  <c r="D35" i="78"/>
  <c r="D36" i="78"/>
  <c r="D37" i="78"/>
  <c r="D38" i="78"/>
  <c r="D39" i="78"/>
  <c r="D40" i="78"/>
  <c r="D41" i="78"/>
  <c r="D42" i="78"/>
  <c r="D43" i="78"/>
  <c r="D44" i="78"/>
  <c r="D45" i="78"/>
  <c r="D46" i="78"/>
  <c r="D47" i="78"/>
  <c r="D48" i="78"/>
  <c r="D49" i="78"/>
  <c r="D50" i="78"/>
  <c r="D51" i="78"/>
  <c r="D52" i="78"/>
  <c r="D53" i="78"/>
  <c r="D54" i="78"/>
  <c r="D55" i="78"/>
  <c r="D56" i="78"/>
  <c r="D7" i="78"/>
  <c r="K20" i="77"/>
  <c r="A1" i="77"/>
  <c r="A5" i="77"/>
  <c r="A4" i="77"/>
  <c r="F14" i="77"/>
  <c r="A3" i="77"/>
  <c r="F13" i="77"/>
  <c r="O20" i="77"/>
  <c r="P20" i="77"/>
  <c r="N20" i="77"/>
  <c r="I20" i="77"/>
  <c r="J20" i="77"/>
  <c r="Z5" i="4" l="1"/>
  <c r="O21" i="77"/>
  <c r="N21" i="77"/>
  <c r="O41" i="77"/>
  <c r="N41" i="77"/>
  <c r="J41" i="77"/>
  <c r="I41" i="77"/>
  <c r="O39" i="77"/>
  <c r="P39" i="77"/>
  <c r="N39" i="77"/>
  <c r="J39" i="77"/>
  <c r="K39" i="77"/>
  <c r="I39" i="77"/>
  <c r="O37" i="77"/>
  <c r="P37" i="77"/>
  <c r="N37" i="77"/>
  <c r="J37" i="77"/>
  <c r="K37" i="77"/>
  <c r="I37" i="77"/>
  <c r="O34" i="77"/>
  <c r="N34" i="77"/>
  <c r="J34" i="77"/>
  <c r="I34" i="77"/>
  <c r="N32" i="77"/>
  <c r="I32" i="77"/>
  <c r="O30" i="77"/>
  <c r="N30" i="77"/>
  <c r="J30" i="77"/>
  <c r="I30" i="77"/>
  <c r="O28" i="77"/>
  <c r="N28" i="77"/>
  <c r="J28" i="77"/>
  <c r="I28" i="77"/>
  <c r="O26" i="77"/>
  <c r="P26" i="77"/>
  <c r="N26" i="77"/>
  <c r="J26" i="77"/>
  <c r="K26" i="77"/>
  <c r="I26" i="77"/>
  <c r="O24" i="77"/>
  <c r="P24" i="77"/>
  <c r="N24" i="77"/>
  <c r="J24" i="77"/>
  <c r="K24" i="77"/>
  <c r="I24" i="77"/>
  <c r="O22" i="77"/>
  <c r="N22" i="77"/>
  <c r="J22" i="77"/>
  <c r="I22" i="77"/>
  <c r="B41" i="77"/>
  <c r="B39" i="77"/>
  <c r="B37" i="77"/>
  <c r="AR3" i="78"/>
  <c r="H59" i="77"/>
  <c r="H60" i="77"/>
  <c r="BD8" i="78"/>
  <c r="BE8" i="78"/>
  <c r="BF8" i="78"/>
  <c r="BG8" i="78"/>
  <c r="BD9" i="78"/>
  <c r="BE9" i="78"/>
  <c r="BF9" i="78"/>
  <c r="BG9" i="78"/>
  <c r="BD10" i="78"/>
  <c r="BE10" i="78"/>
  <c r="BF10" i="78"/>
  <c r="BG10" i="78"/>
  <c r="BD11" i="78"/>
  <c r="BE11" i="78"/>
  <c r="BF11" i="78"/>
  <c r="BG11" i="78"/>
  <c r="BD12" i="78"/>
  <c r="BE12" i="78"/>
  <c r="BF12" i="78"/>
  <c r="BG12" i="78"/>
  <c r="BD13" i="78"/>
  <c r="BE13" i="78"/>
  <c r="BF13" i="78"/>
  <c r="BG13" i="78"/>
  <c r="BD14" i="78"/>
  <c r="BE14" i="78"/>
  <c r="BF14" i="78"/>
  <c r="BG14" i="78"/>
  <c r="BD15" i="78"/>
  <c r="BE15" i="78"/>
  <c r="BF15" i="78"/>
  <c r="BG15" i="78"/>
  <c r="BD16" i="78"/>
  <c r="BE16" i="78"/>
  <c r="BF16" i="78"/>
  <c r="BG16" i="78"/>
  <c r="BD17" i="78"/>
  <c r="BE17" i="78"/>
  <c r="BF17" i="78"/>
  <c r="BG17" i="78"/>
  <c r="BD18" i="78"/>
  <c r="BE18" i="78"/>
  <c r="BF18" i="78"/>
  <c r="BG18" i="78"/>
  <c r="BD19" i="78"/>
  <c r="BE19" i="78"/>
  <c r="BF19" i="78"/>
  <c r="BG19" i="78"/>
  <c r="BD20" i="78"/>
  <c r="BE20" i="78"/>
  <c r="BF20" i="78"/>
  <c r="BG20" i="78"/>
  <c r="BD21" i="78"/>
  <c r="BE21" i="78"/>
  <c r="BF21" i="78"/>
  <c r="BG21" i="78"/>
  <c r="BD22" i="78"/>
  <c r="BE22" i="78"/>
  <c r="BF22" i="78"/>
  <c r="BG22" i="78"/>
  <c r="BD23" i="78"/>
  <c r="BE23" i="78"/>
  <c r="BF23" i="78"/>
  <c r="BG23" i="78"/>
  <c r="BD24" i="78"/>
  <c r="BE24" i="78"/>
  <c r="BF24" i="78"/>
  <c r="BG24" i="78"/>
  <c r="BD25" i="78"/>
  <c r="BE25" i="78"/>
  <c r="BF25" i="78"/>
  <c r="BG25" i="78"/>
  <c r="BD26" i="78"/>
  <c r="BE26" i="78"/>
  <c r="BF26" i="78"/>
  <c r="BG26" i="78"/>
  <c r="BD27" i="78"/>
  <c r="BE27" i="78"/>
  <c r="BF27" i="78"/>
  <c r="BG27" i="78"/>
  <c r="BD28" i="78"/>
  <c r="BE28" i="78"/>
  <c r="BF28" i="78"/>
  <c r="BG28" i="78"/>
  <c r="BD29" i="78"/>
  <c r="BE29" i="78"/>
  <c r="BF29" i="78"/>
  <c r="BG29" i="78"/>
  <c r="BD30" i="78"/>
  <c r="BE30" i="78"/>
  <c r="BF30" i="78"/>
  <c r="BG30" i="78"/>
  <c r="BD31" i="78"/>
  <c r="BE31" i="78"/>
  <c r="BF31" i="78"/>
  <c r="BG31" i="78"/>
  <c r="BD32" i="78"/>
  <c r="BE32" i="78"/>
  <c r="BF32" i="78"/>
  <c r="BG32" i="78"/>
  <c r="BD33" i="78"/>
  <c r="BE33" i="78"/>
  <c r="BF33" i="78"/>
  <c r="BG33" i="78"/>
  <c r="BD34" i="78"/>
  <c r="BE34" i="78"/>
  <c r="BF34" i="78"/>
  <c r="BG34" i="78"/>
  <c r="BD35" i="78"/>
  <c r="BE35" i="78"/>
  <c r="BF35" i="78"/>
  <c r="BG35" i="78"/>
  <c r="BD36" i="78"/>
  <c r="BE36" i="78"/>
  <c r="BF36" i="78"/>
  <c r="BG36" i="78"/>
  <c r="BD37" i="78"/>
  <c r="BE37" i="78"/>
  <c r="BF37" i="78"/>
  <c r="BG37" i="78"/>
  <c r="BD38" i="78"/>
  <c r="BE38" i="78"/>
  <c r="BF38" i="78"/>
  <c r="BG38" i="78"/>
  <c r="BD39" i="78"/>
  <c r="BE39" i="78"/>
  <c r="BF39" i="78"/>
  <c r="BG39" i="78"/>
  <c r="BD40" i="78"/>
  <c r="BE40" i="78"/>
  <c r="BF40" i="78"/>
  <c r="BG40" i="78"/>
  <c r="BD41" i="78"/>
  <c r="BE41" i="78"/>
  <c r="BF41" i="78"/>
  <c r="BG41" i="78"/>
  <c r="BD42" i="78"/>
  <c r="BE42" i="78"/>
  <c r="BF42" i="78"/>
  <c r="BG42" i="78"/>
  <c r="BD43" i="78"/>
  <c r="BE43" i="78"/>
  <c r="BF43" i="78"/>
  <c r="BG43" i="78"/>
  <c r="BD44" i="78"/>
  <c r="BE44" i="78"/>
  <c r="BF44" i="78"/>
  <c r="BG44" i="78"/>
  <c r="BD45" i="78"/>
  <c r="BE45" i="78"/>
  <c r="BF45" i="78"/>
  <c r="BG45" i="78"/>
  <c r="BD46" i="78"/>
  <c r="BE46" i="78"/>
  <c r="BF46" i="78"/>
  <c r="BG46" i="78"/>
  <c r="BD47" i="78"/>
  <c r="BE47" i="78"/>
  <c r="BF47" i="78"/>
  <c r="BG47" i="78"/>
  <c r="BD48" i="78"/>
  <c r="BE48" i="78"/>
  <c r="BF48" i="78"/>
  <c r="BG48" i="78"/>
  <c r="BD49" i="78"/>
  <c r="BE49" i="78"/>
  <c r="BF49" i="78"/>
  <c r="BG49" i="78"/>
  <c r="BD50" i="78"/>
  <c r="BE50" i="78"/>
  <c r="BF50" i="78"/>
  <c r="BG50" i="78"/>
  <c r="BD51" i="78"/>
  <c r="BE51" i="78"/>
  <c r="BF51" i="78"/>
  <c r="BG51" i="78"/>
  <c r="BD52" i="78"/>
  <c r="BE52" i="78"/>
  <c r="BF52" i="78"/>
  <c r="BG52" i="78"/>
  <c r="BD53" i="78"/>
  <c r="BE53" i="78"/>
  <c r="BF53" i="78"/>
  <c r="BG53" i="78"/>
  <c r="BD54" i="78"/>
  <c r="BE54" i="78"/>
  <c r="BF54" i="78"/>
  <c r="BG54" i="78"/>
  <c r="BD55" i="78"/>
  <c r="BE55" i="78"/>
  <c r="BF55" i="78"/>
  <c r="BG55" i="78"/>
  <c r="BD56" i="78"/>
  <c r="BE56" i="78"/>
  <c r="BF56" i="78"/>
  <c r="BG56" i="78"/>
  <c r="BG7" i="78"/>
  <c r="O42" i="77" s="1"/>
  <c r="BF7" i="78"/>
  <c r="BE7" i="78"/>
  <c r="BD7" i="78"/>
  <c r="BA8" i="78"/>
  <c r="BB8" i="78"/>
  <c r="BC8" i="78"/>
  <c r="BA9" i="78"/>
  <c r="BB9" i="78"/>
  <c r="BC9" i="78"/>
  <c r="BA10" i="78"/>
  <c r="BB10" i="78"/>
  <c r="BC10" i="78"/>
  <c r="BA11" i="78"/>
  <c r="BB11" i="78"/>
  <c r="BC11" i="78"/>
  <c r="BA12" i="78"/>
  <c r="BB12" i="78"/>
  <c r="BC12" i="78"/>
  <c r="BA13" i="78"/>
  <c r="BB13" i="78"/>
  <c r="BC13" i="78"/>
  <c r="BA14" i="78"/>
  <c r="BB14" i="78"/>
  <c r="BC14" i="78"/>
  <c r="BA15" i="78"/>
  <c r="BB15" i="78"/>
  <c r="BC15" i="78"/>
  <c r="BA16" i="78"/>
  <c r="BB16" i="78"/>
  <c r="BC16" i="78"/>
  <c r="BA17" i="78"/>
  <c r="BB17" i="78"/>
  <c r="BC17" i="78"/>
  <c r="BA18" i="78"/>
  <c r="BB18" i="78"/>
  <c r="BC18" i="78"/>
  <c r="BA19" i="78"/>
  <c r="BB19" i="78"/>
  <c r="BC19" i="78"/>
  <c r="BA20" i="78"/>
  <c r="BB20" i="78"/>
  <c r="BC20" i="78"/>
  <c r="BA21" i="78"/>
  <c r="BB21" i="78"/>
  <c r="BC21" i="78"/>
  <c r="BA22" i="78"/>
  <c r="BB22" i="78"/>
  <c r="BC22" i="78"/>
  <c r="BA23" i="78"/>
  <c r="BB23" i="78"/>
  <c r="BC23" i="78"/>
  <c r="BA24" i="78"/>
  <c r="BB24" i="78"/>
  <c r="BC24" i="78"/>
  <c r="BA25" i="78"/>
  <c r="BB25" i="78"/>
  <c r="BC25" i="78"/>
  <c r="BA26" i="78"/>
  <c r="BB26" i="78"/>
  <c r="BC26" i="78"/>
  <c r="BA27" i="78"/>
  <c r="BB27" i="78"/>
  <c r="BC27" i="78"/>
  <c r="BA28" i="78"/>
  <c r="BB28" i="78"/>
  <c r="BC28" i="78"/>
  <c r="BA29" i="78"/>
  <c r="BB29" i="78"/>
  <c r="BC29" i="78"/>
  <c r="BA30" i="78"/>
  <c r="BB30" i="78"/>
  <c r="BC30" i="78"/>
  <c r="BA31" i="78"/>
  <c r="BB31" i="78"/>
  <c r="BC31" i="78"/>
  <c r="BA32" i="78"/>
  <c r="BB32" i="78"/>
  <c r="BC32" i="78"/>
  <c r="BA33" i="78"/>
  <c r="BB33" i="78"/>
  <c r="BC33" i="78"/>
  <c r="BA34" i="78"/>
  <c r="BB34" i="78"/>
  <c r="BC34" i="78"/>
  <c r="BA35" i="78"/>
  <c r="BB35" i="78"/>
  <c r="BC35" i="78"/>
  <c r="BA36" i="78"/>
  <c r="BB36" i="78"/>
  <c r="BC36" i="78"/>
  <c r="BA37" i="78"/>
  <c r="BB37" i="78"/>
  <c r="BC37" i="78"/>
  <c r="BA38" i="78"/>
  <c r="BB38" i="78"/>
  <c r="BC38" i="78"/>
  <c r="BA39" i="78"/>
  <c r="BB39" i="78"/>
  <c r="BC39" i="78"/>
  <c r="BA40" i="78"/>
  <c r="BB40" i="78"/>
  <c r="BC40" i="78"/>
  <c r="BA41" i="78"/>
  <c r="BB41" i="78"/>
  <c r="BC41" i="78"/>
  <c r="BA42" i="78"/>
  <c r="BB42" i="78"/>
  <c r="BC42" i="78"/>
  <c r="BA43" i="78"/>
  <c r="BB43" i="78"/>
  <c r="BC43" i="78"/>
  <c r="BA44" i="78"/>
  <c r="BB44" i="78"/>
  <c r="BC44" i="78"/>
  <c r="BA45" i="78"/>
  <c r="BB45" i="78"/>
  <c r="BC45" i="78"/>
  <c r="BA46" i="78"/>
  <c r="BB46" i="78"/>
  <c r="BC46" i="78"/>
  <c r="BA47" i="78"/>
  <c r="BB47" i="78"/>
  <c r="BC47" i="78"/>
  <c r="BA48" i="78"/>
  <c r="BB48" i="78"/>
  <c r="BC48" i="78"/>
  <c r="BA49" i="78"/>
  <c r="BB49" i="78"/>
  <c r="BC49" i="78"/>
  <c r="BA50" i="78"/>
  <c r="BB50" i="78"/>
  <c r="BC50" i="78"/>
  <c r="BA51" i="78"/>
  <c r="BB51" i="78"/>
  <c r="BC51" i="78"/>
  <c r="BA52" i="78"/>
  <c r="BB52" i="78"/>
  <c r="BC52" i="78"/>
  <c r="BA53" i="78"/>
  <c r="BB53" i="78"/>
  <c r="BC53" i="78"/>
  <c r="BA54" i="78"/>
  <c r="BB54" i="78"/>
  <c r="BC54" i="78"/>
  <c r="BA55" i="78"/>
  <c r="BB55" i="78"/>
  <c r="BC55" i="78"/>
  <c r="BA56" i="78"/>
  <c r="BB56" i="78"/>
  <c r="BC56" i="78"/>
  <c r="BB7" i="78"/>
  <c r="BC7" i="78"/>
  <c r="BA7" i="78"/>
  <c r="AX8" i="78"/>
  <c r="AY8" i="78"/>
  <c r="AZ8" i="78"/>
  <c r="AX9" i="78"/>
  <c r="AY9" i="78"/>
  <c r="AZ9" i="78"/>
  <c r="AX10" i="78"/>
  <c r="AY10" i="78"/>
  <c r="AZ10" i="78"/>
  <c r="AX11" i="78"/>
  <c r="AY11" i="78"/>
  <c r="AZ11" i="78"/>
  <c r="AX12" i="78"/>
  <c r="AY12" i="78"/>
  <c r="AZ12" i="78"/>
  <c r="AX13" i="78"/>
  <c r="AY13" i="78"/>
  <c r="AZ13" i="78"/>
  <c r="AX14" i="78"/>
  <c r="AY14" i="78"/>
  <c r="AZ14" i="78"/>
  <c r="AX15" i="78"/>
  <c r="AY15" i="78"/>
  <c r="AZ15" i="78"/>
  <c r="AX16" i="78"/>
  <c r="AY16" i="78"/>
  <c r="AZ16" i="78"/>
  <c r="AX17" i="78"/>
  <c r="AY17" i="78"/>
  <c r="AZ17" i="78"/>
  <c r="AX18" i="78"/>
  <c r="AY18" i="78"/>
  <c r="AZ18" i="78"/>
  <c r="AX19" i="78"/>
  <c r="AY19" i="78"/>
  <c r="AZ19" i="78"/>
  <c r="AX20" i="78"/>
  <c r="AY20" i="78"/>
  <c r="AZ20" i="78"/>
  <c r="AX21" i="78"/>
  <c r="AY21" i="78"/>
  <c r="AZ21" i="78"/>
  <c r="AX22" i="78"/>
  <c r="AY22" i="78"/>
  <c r="AZ22" i="78"/>
  <c r="AX23" i="78"/>
  <c r="AY23" i="78"/>
  <c r="AZ23" i="78"/>
  <c r="AX24" i="78"/>
  <c r="AY24" i="78"/>
  <c r="AZ24" i="78"/>
  <c r="AX25" i="78"/>
  <c r="AY25" i="78"/>
  <c r="AZ25" i="78"/>
  <c r="AX26" i="78"/>
  <c r="AY26" i="78"/>
  <c r="AZ26" i="78"/>
  <c r="AX27" i="78"/>
  <c r="AY27" i="78"/>
  <c r="AZ27" i="78"/>
  <c r="AX28" i="78"/>
  <c r="AY28" i="78"/>
  <c r="AZ28" i="78"/>
  <c r="AX29" i="78"/>
  <c r="AY29" i="78"/>
  <c r="AZ29" i="78"/>
  <c r="AX30" i="78"/>
  <c r="AY30" i="78"/>
  <c r="AZ30" i="78"/>
  <c r="AX31" i="78"/>
  <c r="AY31" i="78"/>
  <c r="AZ31" i="78"/>
  <c r="AX32" i="78"/>
  <c r="AY32" i="78"/>
  <c r="AZ32" i="78"/>
  <c r="AX33" i="78"/>
  <c r="AY33" i="78"/>
  <c r="AZ33" i="78"/>
  <c r="AX34" i="78"/>
  <c r="AY34" i="78"/>
  <c r="AZ34" i="78"/>
  <c r="AX35" i="78"/>
  <c r="AY35" i="78"/>
  <c r="AZ35" i="78"/>
  <c r="AX36" i="78"/>
  <c r="AY36" i="78"/>
  <c r="AZ36" i="78"/>
  <c r="AX37" i="78"/>
  <c r="AY37" i="78"/>
  <c r="AZ37" i="78"/>
  <c r="AX38" i="78"/>
  <c r="AY38" i="78"/>
  <c r="AZ38" i="78"/>
  <c r="AX39" i="78"/>
  <c r="AY39" i="78"/>
  <c r="AZ39" i="78"/>
  <c r="AX40" i="78"/>
  <c r="AY40" i="78"/>
  <c r="AZ40" i="78"/>
  <c r="AX41" i="78"/>
  <c r="AY41" i="78"/>
  <c r="AZ41" i="78"/>
  <c r="AX42" i="78"/>
  <c r="AY42" i="78"/>
  <c r="AZ42" i="78"/>
  <c r="AX43" i="78"/>
  <c r="AY43" i="78"/>
  <c r="AZ43" i="78"/>
  <c r="AX44" i="78"/>
  <c r="AY44" i="78"/>
  <c r="AZ44" i="78"/>
  <c r="AX45" i="78"/>
  <c r="AY45" i="78"/>
  <c r="AZ45" i="78"/>
  <c r="AX46" i="78"/>
  <c r="AY46" i="78"/>
  <c r="AZ46" i="78"/>
  <c r="AX47" i="78"/>
  <c r="AY47" i="78"/>
  <c r="AZ47" i="78"/>
  <c r="AX48" i="78"/>
  <c r="AY48" i="78"/>
  <c r="AZ48" i="78"/>
  <c r="AX49" i="78"/>
  <c r="AY49" i="78"/>
  <c r="AZ49" i="78"/>
  <c r="AX50" i="78"/>
  <c r="AY50" i="78"/>
  <c r="AZ50" i="78"/>
  <c r="AX51" i="78"/>
  <c r="AY51" i="78"/>
  <c r="AZ51" i="78"/>
  <c r="AX52" i="78"/>
  <c r="AY52" i="78"/>
  <c r="AZ52" i="78"/>
  <c r="AX53" i="78"/>
  <c r="AY53" i="78"/>
  <c r="AZ53" i="78"/>
  <c r="AX54" i="78"/>
  <c r="AY54" i="78"/>
  <c r="AZ54" i="78"/>
  <c r="AX55" i="78"/>
  <c r="AY55" i="78"/>
  <c r="AZ55" i="78"/>
  <c r="AX56" i="78"/>
  <c r="AY56" i="78"/>
  <c r="AZ56" i="78"/>
  <c r="AY7" i="78"/>
  <c r="AZ7" i="78"/>
  <c r="AX7" i="78"/>
  <c r="I42" i="77" l="1"/>
  <c r="J42" i="77"/>
  <c r="O40" i="77"/>
  <c r="K40" i="77"/>
  <c r="N40" i="77"/>
  <c r="J40" i="77"/>
  <c r="I40" i="77"/>
  <c r="P40" i="77"/>
  <c r="A45" i="77"/>
  <c r="N42" i="77"/>
  <c r="T8" i="78"/>
  <c r="U8" i="78"/>
  <c r="V8" i="78"/>
  <c r="T9" i="78"/>
  <c r="U9" i="78"/>
  <c r="V9" i="78"/>
  <c r="T10" i="78"/>
  <c r="U10" i="78"/>
  <c r="V10" i="78"/>
  <c r="T11" i="78"/>
  <c r="U11" i="78"/>
  <c r="V11" i="78"/>
  <c r="T12" i="78"/>
  <c r="U12" i="78"/>
  <c r="V12" i="78"/>
  <c r="T13" i="78"/>
  <c r="U13" i="78"/>
  <c r="V13" i="78"/>
  <c r="T14" i="78"/>
  <c r="U14" i="78"/>
  <c r="V14" i="78"/>
  <c r="T15" i="78"/>
  <c r="U15" i="78"/>
  <c r="V15" i="78"/>
  <c r="T16" i="78"/>
  <c r="U16" i="78"/>
  <c r="V16" i="78"/>
  <c r="T17" i="78"/>
  <c r="U17" i="78"/>
  <c r="V17" i="78"/>
  <c r="T18" i="78"/>
  <c r="U18" i="78"/>
  <c r="V18" i="78"/>
  <c r="T19" i="78"/>
  <c r="U19" i="78"/>
  <c r="V19" i="78"/>
  <c r="T20" i="78"/>
  <c r="U20" i="78"/>
  <c r="V20" i="78"/>
  <c r="T21" i="78"/>
  <c r="U21" i="78"/>
  <c r="V21" i="78"/>
  <c r="T22" i="78"/>
  <c r="U22" i="78"/>
  <c r="V22" i="78"/>
  <c r="T23" i="78"/>
  <c r="U23" i="78"/>
  <c r="V23" i="78"/>
  <c r="T24" i="78"/>
  <c r="U24" i="78"/>
  <c r="V24" i="78"/>
  <c r="T25" i="78"/>
  <c r="U25" i="78"/>
  <c r="V25" i="78"/>
  <c r="T26" i="78"/>
  <c r="U26" i="78"/>
  <c r="V26" i="78"/>
  <c r="T27" i="78"/>
  <c r="U27" i="78"/>
  <c r="V27" i="78"/>
  <c r="T28" i="78"/>
  <c r="U28" i="78"/>
  <c r="V28" i="78"/>
  <c r="T29" i="78"/>
  <c r="U29" i="78"/>
  <c r="V29" i="78"/>
  <c r="T30" i="78"/>
  <c r="U30" i="78"/>
  <c r="V30" i="78"/>
  <c r="T31" i="78"/>
  <c r="U31" i="78"/>
  <c r="V31" i="78"/>
  <c r="T32" i="78"/>
  <c r="U32" i="78"/>
  <c r="V32" i="78"/>
  <c r="T33" i="78"/>
  <c r="U33" i="78"/>
  <c r="V33" i="78"/>
  <c r="T34" i="78"/>
  <c r="U34" i="78"/>
  <c r="V34" i="78"/>
  <c r="T35" i="78"/>
  <c r="U35" i="78"/>
  <c r="V35" i="78"/>
  <c r="T36" i="78"/>
  <c r="U36" i="78"/>
  <c r="V36" i="78"/>
  <c r="T37" i="78"/>
  <c r="U37" i="78"/>
  <c r="V37" i="78"/>
  <c r="T38" i="78"/>
  <c r="U38" i="78"/>
  <c r="V38" i="78"/>
  <c r="T39" i="78"/>
  <c r="U39" i="78"/>
  <c r="V39" i="78"/>
  <c r="T40" i="78"/>
  <c r="U40" i="78"/>
  <c r="V40" i="78"/>
  <c r="T41" i="78"/>
  <c r="U41" i="78"/>
  <c r="V41" i="78"/>
  <c r="T42" i="78"/>
  <c r="U42" i="78"/>
  <c r="V42" i="78"/>
  <c r="T43" i="78"/>
  <c r="U43" i="78"/>
  <c r="V43" i="78"/>
  <c r="T44" i="78"/>
  <c r="U44" i="78"/>
  <c r="V44" i="78"/>
  <c r="T45" i="78"/>
  <c r="U45" i="78"/>
  <c r="V45" i="78"/>
  <c r="T46" i="78"/>
  <c r="U46" i="78"/>
  <c r="V46" i="78"/>
  <c r="T47" i="78"/>
  <c r="U47" i="78"/>
  <c r="V47" i="78"/>
  <c r="T48" i="78"/>
  <c r="U48" i="78"/>
  <c r="V48" i="78"/>
  <c r="T49" i="78"/>
  <c r="U49" i="78"/>
  <c r="V49" i="78"/>
  <c r="T50" i="78"/>
  <c r="U50" i="78"/>
  <c r="V50" i="78"/>
  <c r="T51" i="78"/>
  <c r="U51" i="78"/>
  <c r="V51" i="78"/>
  <c r="T52" i="78"/>
  <c r="U52" i="78"/>
  <c r="V52" i="78"/>
  <c r="T53" i="78"/>
  <c r="U53" i="78"/>
  <c r="V53" i="78"/>
  <c r="T54" i="78"/>
  <c r="U54" i="78"/>
  <c r="V54" i="78"/>
  <c r="T55" i="78"/>
  <c r="U55" i="78"/>
  <c r="V55" i="78"/>
  <c r="T56" i="78"/>
  <c r="U56" i="78"/>
  <c r="V56" i="78"/>
  <c r="U7" i="78"/>
  <c r="V7" i="78"/>
  <c r="T7" i="78"/>
  <c r="I27" i="77" s="1"/>
  <c r="N23" i="77"/>
  <c r="O23" i="77"/>
  <c r="K27" i="77" l="1"/>
  <c r="J27" i="77"/>
  <c r="R13" i="77"/>
  <c r="R12" i="77"/>
  <c r="R11" i="77"/>
  <c r="B7" i="78"/>
  <c r="F12" i="77" s="1"/>
  <c r="C7" i="78"/>
  <c r="F11" i="77" s="1"/>
  <c r="B8" i="78"/>
  <c r="C8" i="78"/>
  <c r="B9" i="78"/>
  <c r="C9" i="78"/>
  <c r="B10" i="78"/>
  <c r="C10" i="78"/>
  <c r="B11" i="78"/>
  <c r="C11" i="78"/>
  <c r="B12" i="78"/>
  <c r="C12" i="78"/>
  <c r="B13" i="78"/>
  <c r="C13" i="78"/>
  <c r="B14" i="78"/>
  <c r="C14" i="78"/>
  <c r="B15" i="78"/>
  <c r="C15" i="78"/>
  <c r="B16" i="78"/>
  <c r="C16" i="78"/>
  <c r="B17" i="78"/>
  <c r="C17" i="78"/>
  <c r="B18" i="78"/>
  <c r="C18" i="78"/>
  <c r="B19" i="78"/>
  <c r="C19" i="78"/>
  <c r="B20" i="78"/>
  <c r="C20" i="78"/>
  <c r="B21" i="78"/>
  <c r="C21" i="78"/>
  <c r="B22" i="78"/>
  <c r="C22" i="78"/>
  <c r="B23" i="78"/>
  <c r="C23" i="78"/>
  <c r="B24" i="78"/>
  <c r="C24" i="78"/>
  <c r="B25" i="78"/>
  <c r="C25" i="78"/>
  <c r="B26" i="78"/>
  <c r="C26" i="78"/>
  <c r="B27" i="78"/>
  <c r="C27" i="78"/>
  <c r="B28" i="78"/>
  <c r="C28" i="78"/>
  <c r="B29" i="78"/>
  <c r="C29" i="78"/>
  <c r="B30" i="78"/>
  <c r="C30" i="78"/>
  <c r="B31" i="78"/>
  <c r="C31" i="78"/>
  <c r="B32" i="78"/>
  <c r="C32" i="78"/>
  <c r="B33" i="78"/>
  <c r="C33" i="78"/>
  <c r="B34" i="78"/>
  <c r="C34" i="78"/>
  <c r="B35" i="78"/>
  <c r="C35" i="78"/>
  <c r="B36" i="78"/>
  <c r="C36" i="78"/>
  <c r="B37" i="78"/>
  <c r="C37" i="78"/>
  <c r="B38" i="78"/>
  <c r="C38" i="78"/>
  <c r="B39" i="78"/>
  <c r="C39" i="78"/>
  <c r="B40" i="78"/>
  <c r="C40" i="78"/>
  <c r="B41" i="78"/>
  <c r="C41" i="78"/>
  <c r="B42" i="78"/>
  <c r="C42" i="78"/>
  <c r="B43" i="78"/>
  <c r="C43" i="78"/>
  <c r="B44" i="78"/>
  <c r="C44" i="78"/>
  <c r="B45" i="78"/>
  <c r="C45" i="78"/>
  <c r="B46" i="78"/>
  <c r="C46" i="78"/>
  <c r="B47" i="78"/>
  <c r="C47" i="78"/>
  <c r="B48" i="78"/>
  <c r="C48" i="78"/>
  <c r="B49" i="78"/>
  <c r="C49" i="78"/>
  <c r="B50" i="78"/>
  <c r="C50" i="78"/>
  <c r="B51" i="78"/>
  <c r="C51" i="78"/>
  <c r="B52" i="78"/>
  <c r="C52" i="78"/>
  <c r="B53" i="78"/>
  <c r="C53" i="78"/>
  <c r="B54" i="78"/>
  <c r="C54" i="78"/>
  <c r="B55" i="78"/>
  <c r="C55" i="78"/>
  <c r="B56" i="78"/>
  <c r="C56" i="78"/>
  <c r="BD3" i="78"/>
  <c r="AX3" i="78"/>
  <c r="W8" i="78" l="1"/>
  <c r="X8" i="78"/>
  <c r="Y8" i="78"/>
  <c r="W9" i="78"/>
  <c r="X9" i="78"/>
  <c r="Y9" i="78"/>
  <c r="W10" i="78"/>
  <c r="X10" i="78"/>
  <c r="Y10" i="78"/>
  <c r="W11" i="78"/>
  <c r="X11" i="78"/>
  <c r="Y11" i="78"/>
  <c r="W12" i="78"/>
  <c r="X12" i="78"/>
  <c r="Y12" i="78"/>
  <c r="W13" i="78"/>
  <c r="X13" i="78"/>
  <c r="Y13" i="78"/>
  <c r="W14" i="78"/>
  <c r="X14" i="78"/>
  <c r="Y14" i="78"/>
  <c r="W15" i="78"/>
  <c r="X15" i="78"/>
  <c r="Y15" i="78"/>
  <c r="W16" i="78"/>
  <c r="X16" i="78"/>
  <c r="Y16" i="78"/>
  <c r="W17" i="78"/>
  <c r="X17" i="78"/>
  <c r="Y17" i="78"/>
  <c r="W18" i="78"/>
  <c r="X18" i="78"/>
  <c r="Y18" i="78"/>
  <c r="W19" i="78"/>
  <c r="X19" i="78"/>
  <c r="Y19" i="78"/>
  <c r="W20" i="78"/>
  <c r="X20" i="78"/>
  <c r="Y20" i="78"/>
  <c r="W21" i="78"/>
  <c r="X21" i="78"/>
  <c r="Y21" i="78"/>
  <c r="W22" i="78"/>
  <c r="X22" i="78"/>
  <c r="Y22" i="78"/>
  <c r="W23" i="78"/>
  <c r="X23" i="78"/>
  <c r="Y23" i="78"/>
  <c r="W24" i="78"/>
  <c r="X24" i="78"/>
  <c r="Y24" i="78"/>
  <c r="W25" i="78"/>
  <c r="X25" i="78"/>
  <c r="Y25" i="78"/>
  <c r="W26" i="78"/>
  <c r="X26" i="78"/>
  <c r="Y26" i="78"/>
  <c r="W27" i="78"/>
  <c r="X27" i="78"/>
  <c r="Y27" i="78"/>
  <c r="W28" i="78"/>
  <c r="X28" i="78"/>
  <c r="Y28" i="78"/>
  <c r="W29" i="78"/>
  <c r="X29" i="78"/>
  <c r="Y29" i="78"/>
  <c r="W30" i="78"/>
  <c r="X30" i="78"/>
  <c r="Y30" i="78"/>
  <c r="W31" i="78"/>
  <c r="X31" i="78"/>
  <c r="Y31" i="78"/>
  <c r="W32" i="78"/>
  <c r="X32" i="78"/>
  <c r="Y32" i="78"/>
  <c r="W33" i="78"/>
  <c r="X33" i="78"/>
  <c r="Y33" i="78"/>
  <c r="W34" i="78"/>
  <c r="X34" i="78"/>
  <c r="Y34" i="78"/>
  <c r="W35" i="78"/>
  <c r="X35" i="78"/>
  <c r="Y35" i="78"/>
  <c r="W36" i="78"/>
  <c r="X36" i="78"/>
  <c r="Y36" i="78"/>
  <c r="W37" i="78"/>
  <c r="X37" i="78"/>
  <c r="Y37" i="78"/>
  <c r="W38" i="78"/>
  <c r="X38" i="78"/>
  <c r="Y38" i="78"/>
  <c r="W39" i="78"/>
  <c r="X39" i="78"/>
  <c r="Y39" i="78"/>
  <c r="W40" i="78"/>
  <c r="X40" i="78"/>
  <c r="Y40" i="78"/>
  <c r="W41" i="78"/>
  <c r="X41" i="78"/>
  <c r="Y41" i="78"/>
  <c r="W42" i="78"/>
  <c r="X42" i="78"/>
  <c r="Y42" i="78"/>
  <c r="W43" i="78"/>
  <c r="X43" i="78"/>
  <c r="Y43" i="78"/>
  <c r="W44" i="78"/>
  <c r="X44" i="78"/>
  <c r="Y44" i="78"/>
  <c r="W45" i="78"/>
  <c r="X45" i="78"/>
  <c r="Y45" i="78"/>
  <c r="W46" i="78"/>
  <c r="X46" i="78"/>
  <c r="Y46" i="78"/>
  <c r="W47" i="78"/>
  <c r="X47" i="78"/>
  <c r="Y47" i="78"/>
  <c r="W48" i="78"/>
  <c r="X48" i="78"/>
  <c r="Y48" i="78"/>
  <c r="W49" i="78"/>
  <c r="X49" i="78"/>
  <c r="Y49" i="78"/>
  <c r="W50" i="78"/>
  <c r="X50" i="78"/>
  <c r="Y50" i="78"/>
  <c r="W51" i="78"/>
  <c r="X51" i="78"/>
  <c r="Y51" i="78"/>
  <c r="W52" i="78"/>
  <c r="X52" i="78"/>
  <c r="Y52" i="78"/>
  <c r="W53" i="78"/>
  <c r="X53" i="78"/>
  <c r="Y53" i="78"/>
  <c r="W54" i="78"/>
  <c r="X54" i="78"/>
  <c r="Y54" i="78"/>
  <c r="W55" i="78"/>
  <c r="X55" i="78"/>
  <c r="Y55" i="78"/>
  <c r="W56" i="78"/>
  <c r="X56" i="78"/>
  <c r="Y56" i="78"/>
  <c r="X7" i="78"/>
  <c r="O27" i="77" s="1"/>
  <c r="Y7" i="78"/>
  <c r="P27" i="77" s="1"/>
  <c r="W7" i="78"/>
  <c r="O31" i="77"/>
  <c r="N31" i="77"/>
  <c r="O29" i="77"/>
  <c r="N29" i="77"/>
  <c r="P25" i="77"/>
  <c r="O25" i="77"/>
  <c r="N25" i="77"/>
  <c r="N27" i="77" l="1"/>
  <c r="M48" i="77"/>
  <c r="M53" i="77"/>
  <c r="M52" i="77"/>
  <c r="C7" i="25" l="1"/>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3" i="25"/>
  <c r="C54" i="25"/>
  <c r="C55" i="25"/>
  <c r="Q6" i="23" l="1"/>
  <c r="R6" i="23"/>
  <c r="S6" i="23"/>
  <c r="T6" i="23"/>
  <c r="Q7" i="23"/>
  <c r="R7" i="23"/>
  <c r="S7" i="23"/>
  <c r="T7" i="23"/>
  <c r="Q8" i="23"/>
  <c r="R8" i="23"/>
  <c r="S8" i="23"/>
  <c r="T8" i="23"/>
  <c r="Q9" i="23"/>
  <c r="R9" i="23"/>
  <c r="S9" i="23"/>
  <c r="T9" i="23"/>
  <c r="Q10" i="23"/>
  <c r="R10" i="23"/>
  <c r="S10" i="23"/>
  <c r="T10" i="23"/>
  <c r="Q11" i="23"/>
  <c r="R11" i="23"/>
  <c r="S11" i="23"/>
  <c r="T11" i="23"/>
  <c r="Q12" i="23"/>
  <c r="R12" i="23"/>
  <c r="S12" i="23"/>
  <c r="T12" i="23"/>
  <c r="Q13" i="23"/>
  <c r="R13" i="23"/>
  <c r="S13" i="23"/>
  <c r="T13" i="23"/>
  <c r="Q14" i="23"/>
  <c r="R14" i="23"/>
  <c r="S14" i="23"/>
  <c r="T14" i="23"/>
  <c r="Q15" i="23"/>
  <c r="R15" i="23"/>
  <c r="S15" i="23"/>
  <c r="T15" i="23"/>
  <c r="Q16" i="23"/>
  <c r="R16" i="23"/>
  <c r="S16" i="23"/>
  <c r="T16" i="23"/>
  <c r="Q17" i="23"/>
  <c r="R17" i="23"/>
  <c r="S17" i="23"/>
  <c r="T17" i="23"/>
  <c r="Q18" i="23"/>
  <c r="R18" i="23"/>
  <c r="S18" i="23"/>
  <c r="T18" i="23"/>
  <c r="Q19" i="23"/>
  <c r="R19" i="23"/>
  <c r="S19" i="23"/>
  <c r="T19" i="23"/>
  <c r="Q20" i="23"/>
  <c r="R20" i="23"/>
  <c r="S20" i="23"/>
  <c r="T20" i="23"/>
  <c r="Q21" i="23"/>
  <c r="R21" i="23"/>
  <c r="S21" i="23"/>
  <c r="T21" i="23"/>
  <c r="Q22" i="23"/>
  <c r="R22" i="23"/>
  <c r="S22" i="23"/>
  <c r="T22" i="23"/>
  <c r="Q23" i="23"/>
  <c r="R23" i="23"/>
  <c r="S23" i="23"/>
  <c r="T23" i="23"/>
  <c r="Q24" i="23"/>
  <c r="R24" i="23"/>
  <c r="S24" i="23"/>
  <c r="T24" i="23"/>
  <c r="Q25" i="23"/>
  <c r="R25" i="23"/>
  <c r="S25" i="23"/>
  <c r="T25" i="23"/>
  <c r="Q26" i="23"/>
  <c r="R26" i="23"/>
  <c r="S26" i="23"/>
  <c r="T26" i="23"/>
  <c r="Q27" i="23"/>
  <c r="R27" i="23"/>
  <c r="S27" i="23"/>
  <c r="T27" i="23"/>
  <c r="Q28" i="23"/>
  <c r="R28" i="23"/>
  <c r="S28" i="23"/>
  <c r="T28" i="23"/>
  <c r="Q29" i="23"/>
  <c r="R29" i="23"/>
  <c r="S29" i="23"/>
  <c r="T29" i="23"/>
  <c r="Q30" i="23"/>
  <c r="R30" i="23"/>
  <c r="S30" i="23"/>
  <c r="T30" i="23"/>
  <c r="Q31" i="23"/>
  <c r="R31" i="23"/>
  <c r="S31" i="23"/>
  <c r="T31" i="23"/>
  <c r="Q32" i="23"/>
  <c r="R32" i="23"/>
  <c r="S32" i="23"/>
  <c r="T32" i="23"/>
  <c r="Q33" i="23"/>
  <c r="R33" i="23"/>
  <c r="S33" i="23"/>
  <c r="T33" i="23"/>
  <c r="Q34" i="23"/>
  <c r="R34" i="23"/>
  <c r="S34" i="23"/>
  <c r="T34" i="23"/>
  <c r="Q35" i="23"/>
  <c r="R35" i="23"/>
  <c r="S35" i="23"/>
  <c r="T35" i="23"/>
  <c r="Q36" i="23"/>
  <c r="R36" i="23"/>
  <c r="S36" i="23"/>
  <c r="T36" i="23"/>
  <c r="Q37" i="23"/>
  <c r="R37" i="23"/>
  <c r="S37" i="23"/>
  <c r="T37" i="23"/>
  <c r="Q38" i="23"/>
  <c r="R38" i="23"/>
  <c r="S38" i="23"/>
  <c r="T38" i="23"/>
  <c r="Q39" i="23"/>
  <c r="R39" i="23"/>
  <c r="S39" i="23"/>
  <c r="T39" i="23"/>
  <c r="Q40" i="23"/>
  <c r="R40" i="23"/>
  <c r="S40" i="23"/>
  <c r="T40" i="23"/>
  <c r="Q41" i="23"/>
  <c r="R41" i="23"/>
  <c r="S41" i="23"/>
  <c r="T41" i="23"/>
  <c r="Q42" i="23"/>
  <c r="R42" i="23"/>
  <c r="S42" i="23"/>
  <c r="T42" i="23"/>
  <c r="Q43" i="23"/>
  <c r="R43" i="23"/>
  <c r="S43" i="23"/>
  <c r="T43" i="23"/>
  <c r="Q44" i="23"/>
  <c r="R44" i="23"/>
  <c r="S44" i="23"/>
  <c r="T44" i="23"/>
  <c r="Q45" i="23"/>
  <c r="R45" i="23"/>
  <c r="S45" i="23"/>
  <c r="T45" i="23"/>
  <c r="Q46" i="23"/>
  <c r="R46" i="23"/>
  <c r="S46" i="23"/>
  <c r="T46" i="23"/>
  <c r="Q47" i="23"/>
  <c r="R47" i="23"/>
  <c r="S47" i="23"/>
  <c r="T47" i="23"/>
  <c r="Q48" i="23"/>
  <c r="R48" i="23"/>
  <c r="S48" i="23"/>
  <c r="T48" i="23"/>
  <c r="Q49" i="23"/>
  <c r="R49" i="23"/>
  <c r="S49" i="23"/>
  <c r="T49" i="23"/>
  <c r="Q50" i="23"/>
  <c r="R50" i="23"/>
  <c r="S50" i="23"/>
  <c r="T50" i="23"/>
  <c r="Q51" i="23"/>
  <c r="R51" i="23"/>
  <c r="S51" i="23"/>
  <c r="T51" i="23"/>
  <c r="Q52" i="23"/>
  <c r="R52" i="23"/>
  <c r="S52" i="23"/>
  <c r="T52" i="23"/>
  <c r="Q53" i="23"/>
  <c r="R53" i="23"/>
  <c r="S53" i="23"/>
  <c r="T53" i="23"/>
  <c r="Q54" i="23"/>
  <c r="R54" i="23"/>
  <c r="S54" i="23"/>
  <c r="T54" i="23"/>
  <c r="Q55" i="23"/>
  <c r="R55" i="23"/>
  <c r="S55" i="23"/>
  <c r="T55" i="23"/>
  <c r="Q6" i="22"/>
  <c r="R6" i="22"/>
  <c r="S6" i="22"/>
  <c r="T6" i="22"/>
  <c r="Q7" i="22"/>
  <c r="R7" i="22"/>
  <c r="S7" i="22"/>
  <c r="T7" i="22"/>
  <c r="Q8" i="22"/>
  <c r="R8" i="22"/>
  <c r="S8" i="22"/>
  <c r="T8" i="22"/>
  <c r="Q9" i="22"/>
  <c r="R9" i="22"/>
  <c r="S9" i="22"/>
  <c r="T9" i="22"/>
  <c r="Q10" i="22"/>
  <c r="R10" i="22"/>
  <c r="S10" i="22"/>
  <c r="T10" i="22"/>
  <c r="Q11" i="22"/>
  <c r="R11" i="22"/>
  <c r="S11" i="22"/>
  <c r="T11" i="22"/>
  <c r="Q12" i="22"/>
  <c r="R12" i="22"/>
  <c r="S12" i="22"/>
  <c r="T12" i="22"/>
  <c r="Q13" i="22"/>
  <c r="R13" i="22"/>
  <c r="S13" i="22"/>
  <c r="T13" i="22"/>
  <c r="Q14" i="22"/>
  <c r="R14" i="22"/>
  <c r="S14" i="22"/>
  <c r="T14" i="22"/>
  <c r="Q15" i="22"/>
  <c r="R15" i="22"/>
  <c r="S15" i="22"/>
  <c r="T15" i="22"/>
  <c r="Q16" i="22"/>
  <c r="R16" i="22"/>
  <c r="S16" i="22"/>
  <c r="T16" i="22"/>
  <c r="Q17" i="22"/>
  <c r="R17" i="22"/>
  <c r="S17" i="22"/>
  <c r="T17" i="22"/>
  <c r="Q18" i="22"/>
  <c r="R18" i="22"/>
  <c r="S18" i="22"/>
  <c r="T18" i="22"/>
  <c r="Q19" i="22"/>
  <c r="R19" i="22"/>
  <c r="S19" i="22"/>
  <c r="T19" i="22"/>
  <c r="Q20" i="22"/>
  <c r="R20" i="22"/>
  <c r="S20" i="22"/>
  <c r="T20" i="22"/>
  <c r="Q21" i="22"/>
  <c r="R21" i="22"/>
  <c r="S21" i="22"/>
  <c r="T21" i="22"/>
  <c r="Q22" i="22"/>
  <c r="R22" i="22"/>
  <c r="S22" i="22"/>
  <c r="T22" i="22"/>
  <c r="Q23" i="22"/>
  <c r="R23" i="22"/>
  <c r="S23" i="22"/>
  <c r="T23" i="22"/>
  <c r="Q24" i="22"/>
  <c r="R24" i="22"/>
  <c r="S24" i="22"/>
  <c r="T24" i="22"/>
  <c r="Q25" i="22"/>
  <c r="R25" i="22"/>
  <c r="S25" i="22"/>
  <c r="T25" i="22"/>
  <c r="Q26" i="22"/>
  <c r="R26" i="22"/>
  <c r="S26" i="22"/>
  <c r="T26" i="22"/>
  <c r="Q27" i="22"/>
  <c r="R27" i="22"/>
  <c r="S27" i="22"/>
  <c r="T27" i="22"/>
  <c r="Q28" i="22"/>
  <c r="R28" i="22"/>
  <c r="S28" i="22"/>
  <c r="T28" i="22"/>
  <c r="Q29" i="22"/>
  <c r="R29" i="22"/>
  <c r="S29" i="22"/>
  <c r="T29" i="22"/>
  <c r="Q30" i="22"/>
  <c r="R30" i="22"/>
  <c r="S30" i="22"/>
  <c r="T30" i="22"/>
  <c r="Q31" i="22"/>
  <c r="R31" i="22"/>
  <c r="S31" i="22"/>
  <c r="T31" i="22"/>
  <c r="Q32" i="22"/>
  <c r="R32" i="22"/>
  <c r="S32" i="22"/>
  <c r="T32" i="22"/>
  <c r="Q33" i="22"/>
  <c r="R33" i="22"/>
  <c r="S33" i="22"/>
  <c r="T33" i="22"/>
  <c r="Q34" i="22"/>
  <c r="R34" i="22"/>
  <c r="S34" i="22"/>
  <c r="T34" i="22"/>
  <c r="Q35" i="22"/>
  <c r="R35" i="22"/>
  <c r="S35" i="22"/>
  <c r="T35" i="22"/>
  <c r="Q36" i="22"/>
  <c r="R36" i="22"/>
  <c r="S36" i="22"/>
  <c r="T36" i="22"/>
  <c r="Q37" i="22"/>
  <c r="R37" i="22"/>
  <c r="S37" i="22"/>
  <c r="T37" i="22"/>
  <c r="Q38" i="22"/>
  <c r="R38" i="22"/>
  <c r="S38" i="22"/>
  <c r="T38" i="22"/>
  <c r="Q39" i="22"/>
  <c r="R39" i="22"/>
  <c r="S39" i="22"/>
  <c r="T39" i="22"/>
  <c r="Q40" i="22"/>
  <c r="R40" i="22"/>
  <c r="S40" i="22"/>
  <c r="T40" i="22"/>
  <c r="Q41" i="22"/>
  <c r="R41" i="22"/>
  <c r="S41" i="22"/>
  <c r="T41" i="22"/>
  <c r="Q42" i="22"/>
  <c r="R42" i="22"/>
  <c r="S42" i="22"/>
  <c r="T42" i="22"/>
  <c r="Q43" i="22"/>
  <c r="R43" i="22"/>
  <c r="S43" i="22"/>
  <c r="T43" i="22"/>
  <c r="Q44" i="22"/>
  <c r="R44" i="22"/>
  <c r="S44" i="22"/>
  <c r="T44" i="22"/>
  <c r="Q45" i="22"/>
  <c r="R45" i="22"/>
  <c r="S45" i="22"/>
  <c r="T45" i="22"/>
  <c r="Q46" i="22"/>
  <c r="R46" i="22"/>
  <c r="S46" i="22"/>
  <c r="T46" i="22"/>
  <c r="Q47" i="22"/>
  <c r="R47" i="22"/>
  <c r="S47" i="22"/>
  <c r="T47" i="22"/>
  <c r="Q48" i="22"/>
  <c r="R48" i="22"/>
  <c r="S48" i="22"/>
  <c r="T48" i="22"/>
  <c r="Q49" i="22"/>
  <c r="R49" i="22"/>
  <c r="S49" i="22"/>
  <c r="T49" i="22"/>
  <c r="Q50" i="22"/>
  <c r="R50" i="22"/>
  <c r="S50" i="22"/>
  <c r="T50" i="22"/>
  <c r="Q51" i="22"/>
  <c r="R51" i="22"/>
  <c r="S51" i="22"/>
  <c r="T51" i="22"/>
  <c r="Q52" i="22"/>
  <c r="R52" i="22"/>
  <c r="S52" i="22"/>
  <c r="T52" i="22"/>
  <c r="Q53" i="22"/>
  <c r="R53" i="22"/>
  <c r="S53" i="22"/>
  <c r="T53" i="22"/>
  <c r="Q54" i="22"/>
  <c r="R54" i="22"/>
  <c r="S54" i="22"/>
  <c r="T54" i="22"/>
  <c r="Q6" i="21"/>
  <c r="R6" i="21"/>
  <c r="S6" i="21"/>
  <c r="T6" i="21"/>
  <c r="Q7" i="21"/>
  <c r="R7" i="21"/>
  <c r="S7" i="21"/>
  <c r="T7" i="21"/>
  <c r="Q8" i="21"/>
  <c r="R8" i="21"/>
  <c r="S8" i="21"/>
  <c r="T8" i="21"/>
  <c r="Q9" i="21"/>
  <c r="R9" i="21"/>
  <c r="S9" i="21"/>
  <c r="T9" i="21"/>
  <c r="Q10" i="21"/>
  <c r="R10" i="21"/>
  <c r="S10" i="21"/>
  <c r="T10" i="21"/>
  <c r="Q11" i="21"/>
  <c r="R11" i="21"/>
  <c r="S11" i="21"/>
  <c r="T11" i="21"/>
  <c r="Q12" i="21"/>
  <c r="R12" i="21"/>
  <c r="S12" i="21"/>
  <c r="T12" i="21"/>
  <c r="Q13" i="21"/>
  <c r="R13" i="21"/>
  <c r="S13" i="21"/>
  <c r="T13" i="21"/>
  <c r="Q14" i="21"/>
  <c r="R14" i="21"/>
  <c r="S14" i="21"/>
  <c r="T14" i="21"/>
  <c r="Q15" i="21"/>
  <c r="R15" i="21"/>
  <c r="S15" i="21"/>
  <c r="T15" i="21"/>
  <c r="Q16" i="21"/>
  <c r="R16" i="21"/>
  <c r="S16" i="21"/>
  <c r="T16" i="21"/>
  <c r="Q17" i="21"/>
  <c r="R17" i="21"/>
  <c r="S17" i="21"/>
  <c r="T17" i="21"/>
  <c r="Q18" i="21"/>
  <c r="R18" i="21"/>
  <c r="S18" i="21"/>
  <c r="T18" i="21"/>
  <c r="Q19" i="21"/>
  <c r="R19" i="21"/>
  <c r="S19" i="21"/>
  <c r="T19" i="21"/>
  <c r="Q20" i="21"/>
  <c r="R20" i="21"/>
  <c r="S20" i="21"/>
  <c r="T20" i="21"/>
  <c r="Q21" i="21"/>
  <c r="R21" i="21"/>
  <c r="S21" i="21"/>
  <c r="T21" i="21"/>
  <c r="Q22" i="21"/>
  <c r="R22" i="21"/>
  <c r="S22" i="21"/>
  <c r="T22" i="21"/>
  <c r="Q23" i="21"/>
  <c r="R23" i="21"/>
  <c r="S23" i="21"/>
  <c r="T23" i="21"/>
  <c r="Q24" i="21"/>
  <c r="R24" i="21"/>
  <c r="S24" i="21"/>
  <c r="T24" i="21"/>
  <c r="Q25" i="21"/>
  <c r="R25" i="21"/>
  <c r="S25" i="21"/>
  <c r="T25" i="21"/>
  <c r="Q26" i="21"/>
  <c r="R26" i="21"/>
  <c r="S26" i="21"/>
  <c r="T26" i="21"/>
  <c r="Q27" i="21"/>
  <c r="R27" i="21"/>
  <c r="S27" i="21"/>
  <c r="T27" i="21"/>
  <c r="Q28" i="21"/>
  <c r="R28" i="21"/>
  <c r="S28" i="21"/>
  <c r="T28" i="21"/>
  <c r="Q29" i="21"/>
  <c r="R29" i="21"/>
  <c r="S29" i="21"/>
  <c r="T29" i="21"/>
  <c r="Q30" i="21"/>
  <c r="R30" i="21"/>
  <c r="S30" i="21"/>
  <c r="T30" i="21"/>
  <c r="Q31" i="21"/>
  <c r="R31" i="21"/>
  <c r="S31" i="21"/>
  <c r="T31" i="21"/>
  <c r="Q32" i="21"/>
  <c r="R32" i="21"/>
  <c r="S32" i="21"/>
  <c r="T32" i="21"/>
  <c r="Q33" i="21"/>
  <c r="R33" i="21"/>
  <c r="S33" i="21"/>
  <c r="T33" i="21"/>
  <c r="Q34" i="21"/>
  <c r="R34" i="21"/>
  <c r="S34" i="21"/>
  <c r="T34" i="21"/>
  <c r="Q35" i="21"/>
  <c r="R35" i="21"/>
  <c r="S35" i="21"/>
  <c r="T35" i="21"/>
  <c r="Q36" i="21"/>
  <c r="R36" i="21"/>
  <c r="S36" i="21"/>
  <c r="T36" i="21"/>
  <c r="Q37" i="21"/>
  <c r="R37" i="21"/>
  <c r="S37" i="21"/>
  <c r="T37" i="21"/>
  <c r="Q38" i="21"/>
  <c r="R38" i="21"/>
  <c r="S38" i="21"/>
  <c r="T38" i="21"/>
  <c r="Q39" i="21"/>
  <c r="R39" i="21"/>
  <c r="S39" i="21"/>
  <c r="T39" i="21"/>
  <c r="Q40" i="21"/>
  <c r="R40" i="21"/>
  <c r="S40" i="21"/>
  <c r="T40" i="21"/>
  <c r="Q41" i="21"/>
  <c r="R41" i="21"/>
  <c r="S41" i="21"/>
  <c r="T41" i="21"/>
  <c r="Q42" i="21"/>
  <c r="R42" i="21"/>
  <c r="S42" i="21"/>
  <c r="T42" i="21"/>
  <c r="Q43" i="21"/>
  <c r="R43" i="21"/>
  <c r="S43" i="21"/>
  <c r="T43" i="21"/>
  <c r="Q44" i="21"/>
  <c r="R44" i="21"/>
  <c r="S44" i="21"/>
  <c r="T44" i="21"/>
  <c r="Q45" i="21"/>
  <c r="R45" i="21"/>
  <c r="S45" i="21"/>
  <c r="T45" i="21"/>
  <c r="Q46" i="21"/>
  <c r="R46" i="21"/>
  <c r="S46" i="21"/>
  <c r="T46" i="21"/>
  <c r="Q47" i="21"/>
  <c r="R47" i="21"/>
  <c r="S47" i="21"/>
  <c r="T47" i="21"/>
  <c r="Q48" i="21"/>
  <c r="R48" i="21"/>
  <c r="S48" i="21"/>
  <c r="T48" i="21"/>
  <c r="Q49" i="21"/>
  <c r="R49" i="21"/>
  <c r="S49" i="21"/>
  <c r="T49" i="21"/>
  <c r="Q50" i="21"/>
  <c r="R50" i="21"/>
  <c r="S50" i="21"/>
  <c r="T50" i="21"/>
  <c r="Q51" i="21"/>
  <c r="R51" i="21"/>
  <c r="S51" i="21"/>
  <c r="T51" i="21"/>
  <c r="Q52" i="21"/>
  <c r="R52" i="21"/>
  <c r="S52" i="21"/>
  <c r="T52" i="21"/>
  <c r="Q53" i="21"/>
  <c r="R53" i="21"/>
  <c r="S53" i="21"/>
  <c r="T53" i="21"/>
  <c r="Q54" i="21"/>
  <c r="R54" i="21"/>
  <c r="S54" i="21"/>
  <c r="T54" i="21"/>
  <c r="T5" i="23"/>
  <c r="S5" i="23"/>
  <c r="R5" i="23"/>
  <c r="Q5" i="23"/>
  <c r="T5" i="22"/>
  <c r="S5" i="22"/>
  <c r="R5" i="22"/>
  <c r="Q5" i="22"/>
  <c r="T5" i="21"/>
  <c r="S5" i="21"/>
  <c r="R5" i="21"/>
  <c r="Q5" i="21"/>
  <c r="T6" i="27"/>
  <c r="U6" i="27"/>
  <c r="V6" i="27"/>
  <c r="W6" i="27"/>
  <c r="X6" i="27"/>
  <c r="T7" i="27"/>
  <c r="U7" i="27"/>
  <c r="V7" i="27"/>
  <c r="W7" i="27"/>
  <c r="X7" i="27"/>
  <c r="T8" i="27"/>
  <c r="U8" i="27"/>
  <c r="V8" i="27"/>
  <c r="W8" i="27"/>
  <c r="X8" i="27"/>
  <c r="T9" i="27"/>
  <c r="U9" i="27"/>
  <c r="V9" i="27"/>
  <c r="W9" i="27"/>
  <c r="X9" i="27"/>
  <c r="T10" i="27"/>
  <c r="U10" i="27"/>
  <c r="V10" i="27"/>
  <c r="W10" i="27"/>
  <c r="X10" i="27"/>
  <c r="T11" i="27"/>
  <c r="U11" i="27"/>
  <c r="V11" i="27"/>
  <c r="W11" i="27"/>
  <c r="X11" i="27"/>
  <c r="T12" i="27"/>
  <c r="U12" i="27"/>
  <c r="V12" i="27"/>
  <c r="W12" i="27"/>
  <c r="X12" i="27"/>
  <c r="T13" i="27"/>
  <c r="U13" i="27"/>
  <c r="V13" i="27"/>
  <c r="W13" i="27"/>
  <c r="X13" i="27"/>
  <c r="T14" i="27"/>
  <c r="U14" i="27"/>
  <c r="V14" i="27"/>
  <c r="W14" i="27"/>
  <c r="X14" i="27"/>
  <c r="T15" i="27"/>
  <c r="U15" i="27"/>
  <c r="V15" i="27"/>
  <c r="W15" i="27"/>
  <c r="X15" i="27"/>
  <c r="T16" i="27"/>
  <c r="U16" i="27"/>
  <c r="V16" i="27"/>
  <c r="W16" i="27"/>
  <c r="X16" i="27"/>
  <c r="T17" i="27"/>
  <c r="U17" i="27"/>
  <c r="V17" i="27"/>
  <c r="W17" i="27"/>
  <c r="X17" i="27"/>
  <c r="T18" i="27"/>
  <c r="U18" i="27"/>
  <c r="V18" i="27"/>
  <c r="W18" i="27"/>
  <c r="X18" i="27"/>
  <c r="T19" i="27"/>
  <c r="U19" i="27"/>
  <c r="V19" i="27"/>
  <c r="W19" i="27"/>
  <c r="X19" i="27"/>
  <c r="T20" i="27"/>
  <c r="U20" i="27"/>
  <c r="V20" i="27"/>
  <c r="W20" i="27"/>
  <c r="X20" i="27"/>
  <c r="T21" i="27"/>
  <c r="U21" i="27"/>
  <c r="V21" i="27"/>
  <c r="W21" i="27"/>
  <c r="X21" i="27"/>
  <c r="T22" i="27"/>
  <c r="U22" i="27"/>
  <c r="V22" i="27"/>
  <c r="W22" i="27"/>
  <c r="X22" i="27"/>
  <c r="T23" i="27"/>
  <c r="U23" i="27"/>
  <c r="V23" i="27"/>
  <c r="W23" i="27"/>
  <c r="X23" i="27"/>
  <c r="T24" i="27"/>
  <c r="U24" i="27"/>
  <c r="V24" i="27"/>
  <c r="W24" i="27"/>
  <c r="X24" i="27"/>
  <c r="T25" i="27"/>
  <c r="U25" i="27"/>
  <c r="V25" i="27"/>
  <c r="W25" i="27"/>
  <c r="X25" i="27"/>
  <c r="T26" i="27"/>
  <c r="U26" i="27"/>
  <c r="V26" i="27"/>
  <c r="W26" i="27"/>
  <c r="X26" i="27"/>
  <c r="T27" i="27"/>
  <c r="U27" i="27"/>
  <c r="V27" i="27"/>
  <c r="W27" i="27"/>
  <c r="X27" i="27"/>
  <c r="T28" i="27"/>
  <c r="U28" i="27"/>
  <c r="V28" i="27"/>
  <c r="W28" i="27"/>
  <c r="X28" i="27"/>
  <c r="T29" i="27"/>
  <c r="U29" i="27"/>
  <c r="V29" i="27"/>
  <c r="W29" i="27"/>
  <c r="X29" i="27"/>
  <c r="T30" i="27"/>
  <c r="U30" i="27"/>
  <c r="V30" i="27"/>
  <c r="W30" i="27"/>
  <c r="X30" i="27"/>
  <c r="T31" i="27"/>
  <c r="U31" i="27"/>
  <c r="V31" i="27"/>
  <c r="W31" i="27"/>
  <c r="X31" i="27"/>
  <c r="T32" i="27"/>
  <c r="U32" i="27"/>
  <c r="V32" i="27"/>
  <c r="W32" i="27"/>
  <c r="X32" i="27"/>
  <c r="T33" i="27"/>
  <c r="U33" i="27"/>
  <c r="V33" i="27"/>
  <c r="W33" i="27"/>
  <c r="X33" i="27"/>
  <c r="T34" i="27"/>
  <c r="U34" i="27"/>
  <c r="V34" i="27"/>
  <c r="W34" i="27"/>
  <c r="X34" i="27"/>
  <c r="T35" i="27"/>
  <c r="U35" i="27"/>
  <c r="V35" i="27"/>
  <c r="W35" i="27"/>
  <c r="X35" i="27"/>
  <c r="T36" i="27"/>
  <c r="U36" i="27"/>
  <c r="V36" i="27"/>
  <c r="W36" i="27"/>
  <c r="X36" i="27"/>
  <c r="T37" i="27"/>
  <c r="U37" i="27"/>
  <c r="V37" i="27"/>
  <c r="W37" i="27"/>
  <c r="X37" i="27"/>
  <c r="T38" i="27"/>
  <c r="U38" i="27"/>
  <c r="V38" i="27"/>
  <c r="W38" i="27"/>
  <c r="X38" i="27"/>
  <c r="T39" i="27"/>
  <c r="U39" i="27"/>
  <c r="V39" i="27"/>
  <c r="W39" i="27"/>
  <c r="X39" i="27"/>
  <c r="T40" i="27"/>
  <c r="U40" i="27"/>
  <c r="V40" i="27"/>
  <c r="W40" i="27"/>
  <c r="X40" i="27"/>
  <c r="T41" i="27"/>
  <c r="U41" i="27"/>
  <c r="V41" i="27"/>
  <c r="W41" i="27"/>
  <c r="X41" i="27"/>
  <c r="T42" i="27"/>
  <c r="U42" i="27"/>
  <c r="V42" i="27"/>
  <c r="W42" i="27"/>
  <c r="X42" i="27"/>
  <c r="T43" i="27"/>
  <c r="U43" i="27"/>
  <c r="V43" i="27"/>
  <c r="W43" i="27"/>
  <c r="X43" i="27"/>
  <c r="T44" i="27"/>
  <c r="U44" i="27"/>
  <c r="V44" i="27"/>
  <c r="W44" i="27"/>
  <c r="X44" i="27"/>
  <c r="T45" i="27"/>
  <c r="U45" i="27"/>
  <c r="V45" i="27"/>
  <c r="W45" i="27"/>
  <c r="X45" i="27"/>
  <c r="T46" i="27"/>
  <c r="U46" i="27"/>
  <c r="V46" i="27"/>
  <c r="W46" i="27"/>
  <c r="X46" i="27"/>
  <c r="T47" i="27"/>
  <c r="U47" i="27"/>
  <c r="V47" i="27"/>
  <c r="W47" i="27"/>
  <c r="X47" i="27"/>
  <c r="T48" i="27"/>
  <c r="U48" i="27"/>
  <c r="V48" i="27"/>
  <c r="W48" i="27"/>
  <c r="X48" i="27"/>
  <c r="T49" i="27"/>
  <c r="U49" i="27"/>
  <c r="V49" i="27"/>
  <c r="W49" i="27"/>
  <c r="X49" i="27"/>
  <c r="T50" i="27"/>
  <c r="U50" i="27"/>
  <c r="V50" i="27"/>
  <c r="W50" i="27"/>
  <c r="X50" i="27"/>
  <c r="T51" i="27"/>
  <c r="U51" i="27"/>
  <c r="V51" i="27"/>
  <c r="W51" i="27"/>
  <c r="X51" i="27"/>
  <c r="T52" i="27"/>
  <c r="U52" i="27"/>
  <c r="V52" i="27"/>
  <c r="W52" i="27"/>
  <c r="X52" i="27"/>
  <c r="T53" i="27"/>
  <c r="U53" i="27"/>
  <c r="V53" i="27"/>
  <c r="W53" i="27"/>
  <c r="X53" i="27"/>
  <c r="T54" i="27"/>
  <c r="U54" i="27"/>
  <c r="V54" i="27"/>
  <c r="W54" i="27"/>
  <c r="X54" i="27"/>
  <c r="X5" i="27"/>
  <c r="W5" i="27"/>
  <c r="V5" i="27"/>
  <c r="U5" i="27"/>
  <c r="T5" i="27"/>
  <c r="Q6" i="20"/>
  <c r="R6" i="20"/>
  <c r="S6" i="20"/>
  <c r="T6" i="20"/>
  <c r="Q7" i="20"/>
  <c r="R7" i="20"/>
  <c r="S7" i="20"/>
  <c r="T7" i="20"/>
  <c r="Q8" i="20"/>
  <c r="R8" i="20"/>
  <c r="S8" i="20"/>
  <c r="T8" i="20"/>
  <c r="Q9" i="20"/>
  <c r="R9" i="20"/>
  <c r="S9" i="20"/>
  <c r="T9" i="20"/>
  <c r="Q10" i="20"/>
  <c r="R10" i="20"/>
  <c r="S10" i="20"/>
  <c r="T10" i="20"/>
  <c r="Q11" i="20"/>
  <c r="R11" i="20"/>
  <c r="S11" i="20"/>
  <c r="T11" i="20"/>
  <c r="Q12" i="20"/>
  <c r="R12" i="20"/>
  <c r="S12" i="20"/>
  <c r="T12" i="20"/>
  <c r="Q13" i="20"/>
  <c r="R13" i="20"/>
  <c r="S13" i="20"/>
  <c r="T13" i="20"/>
  <c r="Q14" i="20"/>
  <c r="R14" i="20"/>
  <c r="S14" i="20"/>
  <c r="T14" i="20"/>
  <c r="Q15" i="20"/>
  <c r="R15" i="20"/>
  <c r="S15" i="20"/>
  <c r="T15" i="20"/>
  <c r="Q16" i="20"/>
  <c r="R16" i="20"/>
  <c r="S16" i="20"/>
  <c r="T16" i="20"/>
  <c r="Q17" i="20"/>
  <c r="R17" i="20"/>
  <c r="S17" i="20"/>
  <c r="T17" i="20"/>
  <c r="Q18" i="20"/>
  <c r="R18" i="20"/>
  <c r="S18" i="20"/>
  <c r="T18" i="20"/>
  <c r="Q19" i="20"/>
  <c r="R19" i="20"/>
  <c r="S19" i="20"/>
  <c r="T19" i="20"/>
  <c r="Q20" i="20"/>
  <c r="R20" i="20"/>
  <c r="S20" i="20"/>
  <c r="T20" i="20"/>
  <c r="Q21" i="20"/>
  <c r="R21" i="20"/>
  <c r="S21" i="20"/>
  <c r="T21" i="20"/>
  <c r="Q22" i="20"/>
  <c r="R22" i="20"/>
  <c r="S22" i="20"/>
  <c r="T22" i="20"/>
  <c r="Q23" i="20"/>
  <c r="R23" i="20"/>
  <c r="S23" i="20"/>
  <c r="T23" i="20"/>
  <c r="Q24" i="20"/>
  <c r="R24" i="20"/>
  <c r="S24" i="20"/>
  <c r="T24" i="20"/>
  <c r="Q25" i="20"/>
  <c r="R25" i="20"/>
  <c r="S25" i="20"/>
  <c r="T25" i="20"/>
  <c r="Q26" i="20"/>
  <c r="R26" i="20"/>
  <c r="S26" i="20"/>
  <c r="T26" i="20"/>
  <c r="Q27" i="20"/>
  <c r="R27" i="20"/>
  <c r="S27" i="20"/>
  <c r="T27" i="20"/>
  <c r="Q28" i="20"/>
  <c r="R28" i="20"/>
  <c r="S28" i="20"/>
  <c r="T28" i="20"/>
  <c r="Q29" i="20"/>
  <c r="R29" i="20"/>
  <c r="S29" i="20"/>
  <c r="T29" i="20"/>
  <c r="Q30" i="20"/>
  <c r="R30" i="20"/>
  <c r="S30" i="20"/>
  <c r="T30" i="20"/>
  <c r="Q31" i="20"/>
  <c r="R31" i="20"/>
  <c r="S31" i="20"/>
  <c r="T31" i="20"/>
  <c r="Q32" i="20"/>
  <c r="R32" i="20"/>
  <c r="S32" i="20"/>
  <c r="T32" i="20"/>
  <c r="Q33" i="20"/>
  <c r="R33" i="20"/>
  <c r="S33" i="20"/>
  <c r="T33" i="20"/>
  <c r="Q34" i="20"/>
  <c r="R34" i="20"/>
  <c r="S34" i="20"/>
  <c r="T34" i="20"/>
  <c r="Q35" i="20"/>
  <c r="R35" i="20"/>
  <c r="S35" i="20"/>
  <c r="T35" i="20"/>
  <c r="Q36" i="20"/>
  <c r="R36" i="20"/>
  <c r="S36" i="20"/>
  <c r="T36" i="20"/>
  <c r="Q37" i="20"/>
  <c r="R37" i="20"/>
  <c r="S37" i="20"/>
  <c r="T37" i="20"/>
  <c r="Q38" i="20"/>
  <c r="R38" i="20"/>
  <c r="S38" i="20"/>
  <c r="T38" i="20"/>
  <c r="Q39" i="20"/>
  <c r="R39" i="20"/>
  <c r="S39" i="20"/>
  <c r="T39" i="20"/>
  <c r="Q40" i="20"/>
  <c r="R40" i="20"/>
  <c r="S40" i="20"/>
  <c r="T40" i="20"/>
  <c r="Q41" i="20"/>
  <c r="R41" i="20"/>
  <c r="S41" i="20"/>
  <c r="T41" i="20"/>
  <c r="Q42" i="20"/>
  <c r="R42" i="20"/>
  <c r="S42" i="20"/>
  <c r="T42" i="20"/>
  <c r="Q43" i="20"/>
  <c r="R43" i="20"/>
  <c r="S43" i="20"/>
  <c r="T43" i="20"/>
  <c r="Q44" i="20"/>
  <c r="R44" i="20"/>
  <c r="S44" i="20"/>
  <c r="T44" i="20"/>
  <c r="Q45" i="20"/>
  <c r="R45" i="20"/>
  <c r="S45" i="20"/>
  <c r="T45" i="20"/>
  <c r="Q46" i="20"/>
  <c r="R46" i="20"/>
  <c r="S46" i="20"/>
  <c r="T46" i="20"/>
  <c r="Q47" i="20"/>
  <c r="R47" i="20"/>
  <c r="S47" i="20"/>
  <c r="T47" i="20"/>
  <c r="Q48" i="20"/>
  <c r="R48" i="20"/>
  <c r="S48" i="20"/>
  <c r="T48" i="20"/>
  <c r="Q49" i="20"/>
  <c r="R49" i="20"/>
  <c r="S49" i="20"/>
  <c r="T49" i="20"/>
  <c r="Q50" i="20"/>
  <c r="R50" i="20"/>
  <c r="S50" i="20"/>
  <c r="T50" i="20"/>
  <c r="Q51" i="20"/>
  <c r="R51" i="20"/>
  <c r="S51" i="20"/>
  <c r="T51" i="20"/>
  <c r="Q52" i="20"/>
  <c r="R52" i="20"/>
  <c r="S52" i="20"/>
  <c r="T52" i="20"/>
  <c r="Q53" i="20"/>
  <c r="R53" i="20"/>
  <c r="S53" i="20"/>
  <c r="T53" i="20"/>
  <c r="Q54" i="20"/>
  <c r="R54" i="20"/>
  <c r="S54" i="20"/>
  <c r="T54" i="20"/>
  <c r="T5" i="20"/>
  <c r="S5" i="20"/>
  <c r="R5" i="20"/>
  <c r="Q5" i="20"/>
  <c r="Q6" i="36"/>
  <c r="R6" i="36"/>
  <c r="S6" i="36"/>
  <c r="T6" i="36"/>
  <c r="Q7" i="36"/>
  <c r="R7" i="36"/>
  <c r="S7" i="36"/>
  <c r="T7" i="36"/>
  <c r="Q8" i="36"/>
  <c r="R8" i="36"/>
  <c r="S8" i="36"/>
  <c r="T8" i="36"/>
  <c r="Q9" i="36"/>
  <c r="R9" i="36"/>
  <c r="S9" i="36"/>
  <c r="T9" i="36"/>
  <c r="Q10" i="36"/>
  <c r="R10" i="36"/>
  <c r="S10" i="36"/>
  <c r="T10" i="36"/>
  <c r="Q11" i="36"/>
  <c r="R11" i="36"/>
  <c r="S11" i="36"/>
  <c r="T11" i="36"/>
  <c r="Q12" i="36"/>
  <c r="R12" i="36"/>
  <c r="S12" i="36"/>
  <c r="T12" i="36"/>
  <c r="Q13" i="36"/>
  <c r="R13" i="36"/>
  <c r="S13" i="36"/>
  <c r="T13" i="36"/>
  <c r="Q14" i="36"/>
  <c r="R14" i="36"/>
  <c r="S14" i="36"/>
  <c r="T14" i="36"/>
  <c r="Q15" i="36"/>
  <c r="R15" i="36"/>
  <c r="S15" i="36"/>
  <c r="T15" i="36"/>
  <c r="Q16" i="36"/>
  <c r="R16" i="36"/>
  <c r="S16" i="36"/>
  <c r="T16" i="36"/>
  <c r="Q17" i="36"/>
  <c r="R17" i="36"/>
  <c r="S17" i="36"/>
  <c r="T17" i="36"/>
  <c r="Q18" i="36"/>
  <c r="R18" i="36"/>
  <c r="S18" i="36"/>
  <c r="T18" i="36"/>
  <c r="Q19" i="36"/>
  <c r="R19" i="36"/>
  <c r="S19" i="36"/>
  <c r="T19" i="36"/>
  <c r="Q20" i="36"/>
  <c r="R20" i="36"/>
  <c r="S20" i="36"/>
  <c r="T20" i="36"/>
  <c r="Q21" i="36"/>
  <c r="R21" i="36"/>
  <c r="S21" i="36"/>
  <c r="T21" i="36"/>
  <c r="Q22" i="36"/>
  <c r="R22" i="36"/>
  <c r="S22" i="36"/>
  <c r="T22" i="36"/>
  <c r="Q23" i="36"/>
  <c r="R23" i="36"/>
  <c r="S23" i="36"/>
  <c r="T23" i="36"/>
  <c r="Q24" i="36"/>
  <c r="R24" i="36"/>
  <c r="S24" i="36"/>
  <c r="T24" i="36"/>
  <c r="Q25" i="36"/>
  <c r="R25" i="36"/>
  <c r="S25" i="36"/>
  <c r="T25" i="36"/>
  <c r="Q26" i="36"/>
  <c r="R26" i="36"/>
  <c r="S26" i="36"/>
  <c r="T26" i="36"/>
  <c r="Q27" i="36"/>
  <c r="R27" i="36"/>
  <c r="S27" i="36"/>
  <c r="T27" i="36"/>
  <c r="Q28" i="36"/>
  <c r="R28" i="36"/>
  <c r="S28" i="36"/>
  <c r="T28" i="36"/>
  <c r="Q29" i="36"/>
  <c r="R29" i="36"/>
  <c r="S29" i="36"/>
  <c r="T29" i="36"/>
  <c r="Q30" i="36"/>
  <c r="R30" i="36"/>
  <c r="S30" i="36"/>
  <c r="T30" i="36"/>
  <c r="Q31" i="36"/>
  <c r="R31" i="36"/>
  <c r="S31" i="36"/>
  <c r="T31" i="36"/>
  <c r="Q32" i="36"/>
  <c r="R32" i="36"/>
  <c r="S32" i="36"/>
  <c r="T32" i="36"/>
  <c r="Q33" i="36"/>
  <c r="R33" i="36"/>
  <c r="S33" i="36"/>
  <c r="T33" i="36"/>
  <c r="Q34" i="36"/>
  <c r="R34" i="36"/>
  <c r="S34" i="36"/>
  <c r="T34" i="36"/>
  <c r="Q35" i="36"/>
  <c r="R35" i="36"/>
  <c r="S35" i="36"/>
  <c r="T35" i="36"/>
  <c r="Q36" i="36"/>
  <c r="R36" i="36"/>
  <c r="S36" i="36"/>
  <c r="T36" i="36"/>
  <c r="Q37" i="36"/>
  <c r="R37" i="36"/>
  <c r="S37" i="36"/>
  <c r="T37" i="36"/>
  <c r="Q38" i="36"/>
  <c r="R38" i="36"/>
  <c r="S38" i="36"/>
  <c r="T38" i="36"/>
  <c r="Q39" i="36"/>
  <c r="R39" i="36"/>
  <c r="S39" i="36"/>
  <c r="T39" i="36"/>
  <c r="Q40" i="36"/>
  <c r="R40" i="36"/>
  <c r="S40" i="36"/>
  <c r="T40" i="36"/>
  <c r="Q41" i="36"/>
  <c r="R41" i="36"/>
  <c r="S41" i="36"/>
  <c r="T41" i="36"/>
  <c r="Q42" i="36"/>
  <c r="R42" i="36"/>
  <c r="S42" i="36"/>
  <c r="T42" i="36"/>
  <c r="Q43" i="36"/>
  <c r="R43" i="36"/>
  <c r="S43" i="36"/>
  <c r="T43" i="36"/>
  <c r="Q44" i="36"/>
  <c r="R44" i="36"/>
  <c r="S44" i="36"/>
  <c r="T44" i="36"/>
  <c r="Q45" i="36"/>
  <c r="R45" i="36"/>
  <c r="S45" i="36"/>
  <c r="T45" i="36"/>
  <c r="Q46" i="36"/>
  <c r="R46" i="36"/>
  <c r="S46" i="36"/>
  <c r="T46" i="36"/>
  <c r="Q47" i="36"/>
  <c r="R47" i="36"/>
  <c r="S47" i="36"/>
  <c r="T47" i="36"/>
  <c r="Q48" i="36"/>
  <c r="R48" i="36"/>
  <c r="S48" i="36"/>
  <c r="T48" i="36"/>
  <c r="Q49" i="36"/>
  <c r="R49" i="36"/>
  <c r="S49" i="36"/>
  <c r="T49" i="36"/>
  <c r="Q50" i="36"/>
  <c r="R50" i="36"/>
  <c r="S50" i="36"/>
  <c r="T50" i="36"/>
  <c r="Q51" i="36"/>
  <c r="R51" i="36"/>
  <c r="S51" i="36"/>
  <c r="T51" i="36"/>
  <c r="Q52" i="36"/>
  <c r="R52" i="36"/>
  <c r="S52" i="36"/>
  <c r="T52" i="36"/>
  <c r="Q53" i="36"/>
  <c r="R53" i="36"/>
  <c r="S53" i="36"/>
  <c r="T53" i="36"/>
  <c r="Q54" i="36"/>
  <c r="R54" i="36"/>
  <c r="S54" i="36"/>
  <c r="T54" i="36"/>
  <c r="T5" i="36"/>
  <c r="S5" i="36"/>
  <c r="R5" i="36"/>
  <c r="Q5" i="36"/>
  <c r="Q3" i="36"/>
  <c r="R3" i="36"/>
  <c r="S3" i="36"/>
  <c r="T3" i="36"/>
  <c r="U3" i="36"/>
  <c r="V3" i="36"/>
  <c r="W3" i="36"/>
  <c r="Q4" i="36"/>
  <c r="E3" i="36" s="1"/>
  <c r="R4" i="36"/>
  <c r="H3" i="36" s="1"/>
  <c r="S4" i="36"/>
  <c r="K3" i="36" s="1"/>
  <c r="T4" i="36"/>
  <c r="N3" i="36" s="1"/>
  <c r="U4" i="36"/>
  <c r="V4" i="36"/>
  <c r="W4" i="36"/>
  <c r="X6" i="35"/>
  <c r="X7" i="35"/>
  <c r="X8" i="35"/>
  <c r="X9" i="35"/>
  <c r="X10" i="35"/>
  <c r="X11" i="35"/>
  <c r="X12" i="35"/>
  <c r="X13" i="35"/>
  <c r="X14" i="35"/>
  <c r="X15" i="35"/>
  <c r="X16" i="35"/>
  <c r="X17" i="35"/>
  <c r="X18" i="35"/>
  <c r="X19" i="35"/>
  <c r="X20" i="35"/>
  <c r="X21" i="35"/>
  <c r="X22" i="35"/>
  <c r="X23" i="35"/>
  <c r="X24" i="35"/>
  <c r="X25" i="35"/>
  <c r="X26" i="35"/>
  <c r="X27" i="35"/>
  <c r="X28" i="35"/>
  <c r="X29" i="35"/>
  <c r="X30" i="35"/>
  <c r="X31" i="35"/>
  <c r="X32" i="35"/>
  <c r="X33" i="35"/>
  <c r="X34" i="35"/>
  <c r="X35" i="35"/>
  <c r="X36" i="35"/>
  <c r="X37" i="35"/>
  <c r="X38" i="35"/>
  <c r="X39" i="35"/>
  <c r="X40" i="35"/>
  <c r="X41" i="35"/>
  <c r="X42" i="35"/>
  <c r="X43" i="35"/>
  <c r="X44" i="35"/>
  <c r="X45" i="35"/>
  <c r="X46" i="35"/>
  <c r="X47" i="35"/>
  <c r="X48" i="35"/>
  <c r="X49" i="35"/>
  <c r="X50" i="35"/>
  <c r="X51" i="35"/>
  <c r="X52" i="35"/>
  <c r="X53" i="35"/>
  <c r="X54" i="35"/>
  <c r="W6" i="35"/>
  <c r="W7" i="35"/>
  <c r="W8" i="35"/>
  <c r="W9" i="35"/>
  <c r="W10" i="35"/>
  <c r="W11" i="35"/>
  <c r="W12" i="35"/>
  <c r="W13" i="35"/>
  <c r="W14" i="35"/>
  <c r="W15" i="35"/>
  <c r="W16" i="35"/>
  <c r="W17" i="35"/>
  <c r="W18" i="35"/>
  <c r="W19" i="35"/>
  <c r="W20" i="35"/>
  <c r="W21" i="35"/>
  <c r="W22" i="35"/>
  <c r="W23" i="35"/>
  <c r="W24" i="35"/>
  <c r="W25" i="35"/>
  <c r="W26" i="35"/>
  <c r="W27" i="35"/>
  <c r="W28" i="35"/>
  <c r="W29" i="35"/>
  <c r="W30" i="35"/>
  <c r="W31" i="35"/>
  <c r="W32" i="35"/>
  <c r="W33" i="35"/>
  <c r="W34" i="35"/>
  <c r="W35" i="35"/>
  <c r="W36" i="35"/>
  <c r="W37" i="35"/>
  <c r="W38" i="35"/>
  <c r="W39" i="35"/>
  <c r="W40" i="35"/>
  <c r="W41" i="35"/>
  <c r="W42" i="35"/>
  <c r="W43" i="35"/>
  <c r="W44" i="35"/>
  <c r="W45" i="35"/>
  <c r="W46" i="35"/>
  <c r="W47" i="35"/>
  <c r="W48" i="35"/>
  <c r="W49" i="35"/>
  <c r="W50" i="35"/>
  <c r="W51" i="35"/>
  <c r="W52" i="35"/>
  <c r="W53" i="35"/>
  <c r="W54" i="35"/>
  <c r="V9" i="35"/>
  <c r="V10" i="35"/>
  <c r="V11" i="35"/>
  <c r="V12" i="35"/>
  <c r="V13" i="35"/>
  <c r="V14" i="35"/>
  <c r="V15" i="35"/>
  <c r="V16" i="35"/>
  <c r="V17" i="35"/>
  <c r="V18" i="35"/>
  <c r="V19" i="35"/>
  <c r="V20" i="35"/>
  <c r="V21" i="35"/>
  <c r="V22" i="35"/>
  <c r="V23" i="35"/>
  <c r="V24" i="35"/>
  <c r="V25" i="35"/>
  <c r="V26" i="35"/>
  <c r="V27" i="35"/>
  <c r="V28" i="35"/>
  <c r="V29" i="35"/>
  <c r="V30" i="35"/>
  <c r="V31" i="35"/>
  <c r="V32" i="35"/>
  <c r="V33" i="35"/>
  <c r="V34" i="35"/>
  <c r="V35" i="35"/>
  <c r="V36" i="35"/>
  <c r="V37" i="35"/>
  <c r="V38" i="35"/>
  <c r="V39" i="35"/>
  <c r="V40" i="35"/>
  <c r="V41" i="35"/>
  <c r="V42" i="35"/>
  <c r="V43" i="35"/>
  <c r="V44" i="35"/>
  <c r="V45" i="35"/>
  <c r="V46" i="35"/>
  <c r="V47" i="35"/>
  <c r="V48" i="35"/>
  <c r="V49" i="35"/>
  <c r="V50" i="35"/>
  <c r="V51" i="35"/>
  <c r="V52" i="35"/>
  <c r="V53" i="35"/>
  <c r="V54" i="35"/>
  <c r="V8" i="35"/>
  <c r="V6" i="35"/>
  <c r="V7" i="35"/>
  <c r="U8" i="35"/>
  <c r="U9" i="35"/>
  <c r="U10" i="35"/>
  <c r="U11" i="35"/>
  <c r="U12" i="35"/>
  <c r="U13" i="35"/>
  <c r="U14" i="35"/>
  <c r="U15" i="35"/>
  <c r="U16" i="35"/>
  <c r="U17" i="35"/>
  <c r="U18" i="35"/>
  <c r="U19" i="35"/>
  <c r="U20" i="35"/>
  <c r="U21" i="35"/>
  <c r="U22" i="35"/>
  <c r="U23" i="35"/>
  <c r="U24" i="35"/>
  <c r="U25" i="35"/>
  <c r="U26" i="35"/>
  <c r="U27" i="35"/>
  <c r="U28" i="35"/>
  <c r="U29" i="35"/>
  <c r="U30" i="35"/>
  <c r="U31" i="35"/>
  <c r="U32" i="35"/>
  <c r="U33" i="35"/>
  <c r="U34" i="35"/>
  <c r="U35" i="35"/>
  <c r="U36" i="35"/>
  <c r="U37" i="35"/>
  <c r="U38" i="35"/>
  <c r="U39" i="35"/>
  <c r="U40" i="35"/>
  <c r="U41" i="35"/>
  <c r="U42" i="35"/>
  <c r="U43" i="35"/>
  <c r="U44" i="35"/>
  <c r="U45" i="35"/>
  <c r="U46" i="35"/>
  <c r="U47" i="35"/>
  <c r="U48" i="35"/>
  <c r="U49" i="35"/>
  <c r="U50" i="35"/>
  <c r="U51" i="35"/>
  <c r="U52" i="35"/>
  <c r="U53" i="35"/>
  <c r="U54" i="35"/>
  <c r="U6" i="35"/>
  <c r="U7"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X5" i="35"/>
  <c r="W5" i="35"/>
  <c r="V5" i="35"/>
  <c r="U5" i="35"/>
  <c r="T5" i="35"/>
  <c r="AF6" i="18"/>
  <c r="AF7" i="18"/>
  <c r="AF8" i="18"/>
  <c r="AF9" i="18"/>
  <c r="AF10" i="18"/>
  <c r="AF11" i="18"/>
  <c r="AF12" i="18"/>
  <c r="AF13" i="18"/>
  <c r="AF14" i="18"/>
  <c r="AF15" i="18"/>
  <c r="AF16" i="18"/>
  <c r="AF17" i="18"/>
  <c r="AF18" i="18"/>
  <c r="AF19" i="18"/>
  <c r="AF20" i="18"/>
  <c r="AF21" i="18"/>
  <c r="AF22" i="18"/>
  <c r="AF23" i="18"/>
  <c r="AF24" i="18"/>
  <c r="AF25" i="18"/>
  <c r="AF26" i="18"/>
  <c r="AF27"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E6" i="18"/>
  <c r="AE7" i="18"/>
  <c r="AE8" i="18"/>
  <c r="AE9" i="18"/>
  <c r="AE10" i="18"/>
  <c r="AE11" i="18"/>
  <c r="AE12" i="18"/>
  <c r="AE13" i="18"/>
  <c r="AE14" i="18"/>
  <c r="AE15" i="18"/>
  <c r="AE16" i="18"/>
  <c r="AE17" i="18"/>
  <c r="AE18" i="18"/>
  <c r="AE19" i="18"/>
  <c r="AE20" i="18"/>
  <c r="AE21" i="18"/>
  <c r="AE22" i="18"/>
  <c r="AE23" i="18"/>
  <c r="AE24" i="18"/>
  <c r="AE25" i="18"/>
  <c r="AE26" i="18"/>
  <c r="AE27" i="18"/>
  <c r="AE28" i="18"/>
  <c r="AE29" i="18"/>
  <c r="AE30" i="18"/>
  <c r="AE31" i="18"/>
  <c r="AE32" i="18"/>
  <c r="AE33" i="18"/>
  <c r="AE34" i="18"/>
  <c r="AE35" i="18"/>
  <c r="AE36" i="18"/>
  <c r="AE37" i="18"/>
  <c r="AE38" i="18"/>
  <c r="AE39" i="18"/>
  <c r="AE40" i="18"/>
  <c r="AE41" i="18"/>
  <c r="AE42" i="18"/>
  <c r="AE43" i="18"/>
  <c r="AE44" i="18"/>
  <c r="AE45" i="18"/>
  <c r="AE46" i="18"/>
  <c r="AE47" i="18"/>
  <c r="AE48" i="18"/>
  <c r="AE49" i="18"/>
  <c r="AE50" i="18"/>
  <c r="AE51" i="18"/>
  <c r="AE52" i="18"/>
  <c r="AE53" i="18"/>
  <c r="AE54" i="18"/>
  <c r="AD6" i="18"/>
  <c r="AD7" i="18"/>
  <c r="AD8" i="18"/>
  <c r="AD9" i="18"/>
  <c r="AD10" i="18"/>
  <c r="AD11" i="18"/>
  <c r="AD12" i="18"/>
  <c r="AD13" i="18"/>
  <c r="AD14" i="18"/>
  <c r="AD15" i="18"/>
  <c r="AD16" i="18"/>
  <c r="AD17" i="18"/>
  <c r="AD18" i="18"/>
  <c r="AD19" i="18"/>
  <c r="AD20" i="18"/>
  <c r="AD21" i="18"/>
  <c r="AD22" i="18"/>
  <c r="AD23" i="18"/>
  <c r="AD24" i="18"/>
  <c r="AD25" i="18"/>
  <c r="AD26" i="18"/>
  <c r="AD27" i="18"/>
  <c r="AD28" i="18"/>
  <c r="AD29" i="18"/>
  <c r="AD30" i="18"/>
  <c r="AD31" i="18"/>
  <c r="AD32" i="18"/>
  <c r="AD33" i="18"/>
  <c r="AD34" i="18"/>
  <c r="AD35" i="18"/>
  <c r="AD36" i="18"/>
  <c r="AD37" i="18"/>
  <c r="AD38" i="18"/>
  <c r="AD39" i="18"/>
  <c r="AD40" i="18"/>
  <c r="AD41" i="18"/>
  <c r="AD42" i="18"/>
  <c r="AD43" i="18"/>
  <c r="AD44" i="18"/>
  <c r="AD45" i="18"/>
  <c r="AD46" i="18"/>
  <c r="AD47" i="18"/>
  <c r="AD48" i="18"/>
  <c r="AD49" i="18"/>
  <c r="AD50" i="18"/>
  <c r="AD51" i="18"/>
  <c r="AD52" i="18"/>
  <c r="AD53" i="18"/>
  <c r="AD54" i="18"/>
  <c r="AC7" i="18"/>
  <c r="AC8" i="18"/>
  <c r="AC9" i="18"/>
  <c r="AC10" i="18"/>
  <c r="AC11" i="18"/>
  <c r="AC12" i="18"/>
  <c r="AC13" i="18"/>
  <c r="AC14" i="18"/>
  <c r="AC15" i="18"/>
  <c r="AC16" i="18"/>
  <c r="AC17" i="18"/>
  <c r="AC18" i="18"/>
  <c r="AC19" i="18"/>
  <c r="AC20" i="18"/>
  <c r="AC21" i="18"/>
  <c r="AC22" i="18"/>
  <c r="AC23" i="18"/>
  <c r="AC24" i="18"/>
  <c r="AC25" i="18"/>
  <c r="AC26" i="18"/>
  <c r="AC27" i="18"/>
  <c r="AC28" i="18"/>
  <c r="AC29" i="18"/>
  <c r="AC30" i="18"/>
  <c r="AC31" i="18"/>
  <c r="AC32" i="18"/>
  <c r="AC33" i="18"/>
  <c r="AC34" i="18"/>
  <c r="AC35" i="18"/>
  <c r="AC36" i="18"/>
  <c r="AC37" i="18"/>
  <c r="AC38" i="18"/>
  <c r="AC39" i="18"/>
  <c r="AC40" i="18"/>
  <c r="AC41" i="18"/>
  <c r="AC42" i="18"/>
  <c r="AC43" i="18"/>
  <c r="AC44" i="18"/>
  <c r="AC45" i="18"/>
  <c r="AC46" i="18"/>
  <c r="AC47" i="18"/>
  <c r="AC48" i="18"/>
  <c r="AC49" i="18"/>
  <c r="AC50" i="18"/>
  <c r="AC51" i="18"/>
  <c r="AC52" i="18"/>
  <c r="AC53" i="18"/>
  <c r="AC54" i="18"/>
  <c r="AC6" i="18"/>
  <c r="AB6" i="18"/>
  <c r="AB7" i="18"/>
  <c r="AB8" i="18"/>
  <c r="AB9" i="18"/>
  <c r="AB10" i="18"/>
  <c r="AB11" i="18"/>
  <c r="AB12" i="18"/>
  <c r="AB13" i="18"/>
  <c r="AB14" i="18"/>
  <c r="AB15" i="18"/>
  <c r="AB16" i="18"/>
  <c r="AB17" i="18"/>
  <c r="AB18" i="18"/>
  <c r="AB19" i="18"/>
  <c r="AB20" i="18"/>
  <c r="AB21" i="18"/>
  <c r="AB22" i="18"/>
  <c r="AB23" i="18"/>
  <c r="AB24" i="18"/>
  <c r="AB25" i="18"/>
  <c r="AB26" i="18"/>
  <c r="AB27" i="18"/>
  <c r="AB28" i="18"/>
  <c r="AB29" i="18"/>
  <c r="AB30" i="18"/>
  <c r="AB31" i="18"/>
  <c r="AB32" i="18"/>
  <c r="AB33" i="18"/>
  <c r="AB34" i="18"/>
  <c r="AB35" i="18"/>
  <c r="AB36" i="18"/>
  <c r="AB37" i="18"/>
  <c r="AB38" i="18"/>
  <c r="AB39" i="18"/>
  <c r="AB40" i="18"/>
  <c r="AB41" i="18"/>
  <c r="AB42" i="18"/>
  <c r="AB43" i="18"/>
  <c r="AB44" i="18"/>
  <c r="AB45" i="18"/>
  <c r="AB46" i="18"/>
  <c r="AB47" i="18"/>
  <c r="AB48" i="18"/>
  <c r="AB49" i="18"/>
  <c r="AB50" i="18"/>
  <c r="AB51" i="18"/>
  <c r="AB52" i="18"/>
  <c r="AB53" i="18"/>
  <c r="AB54" i="18"/>
  <c r="AA8" i="18"/>
  <c r="AA9" i="18"/>
  <c r="AA10" i="18"/>
  <c r="AA11" i="18"/>
  <c r="AA12" i="18"/>
  <c r="AA13" i="18"/>
  <c r="AA14" i="18"/>
  <c r="AA15" i="18"/>
  <c r="AA16" i="18"/>
  <c r="AA17" i="18"/>
  <c r="AA18" i="18"/>
  <c r="AA19" i="18"/>
  <c r="AA20" i="18"/>
  <c r="AA21" i="18"/>
  <c r="AA22" i="18"/>
  <c r="AA23" i="18"/>
  <c r="AA24" i="18"/>
  <c r="AA25" i="18"/>
  <c r="AA26" i="18"/>
  <c r="AA27" i="18"/>
  <c r="AA28" i="18"/>
  <c r="AA29" i="18"/>
  <c r="AA30" i="18"/>
  <c r="AA31" i="18"/>
  <c r="AA32" i="18"/>
  <c r="AA33" i="18"/>
  <c r="AA34" i="18"/>
  <c r="AA35" i="18"/>
  <c r="AA36" i="18"/>
  <c r="AA37" i="18"/>
  <c r="AA38" i="18"/>
  <c r="AA39" i="18"/>
  <c r="AA40" i="18"/>
  <c r="AA41" i="18"/>
  <c r="AA42" i="18"/>
  <c r="AA43" i="18"/>
  <c r="AA44" i="18"/>
  <c r="AA45" i="18"/>
  <c r="AA46" i="18"/>
  <c r="AA47" i="18"/>
  <c r="AA48" i="18"/>
  <c r="AA49" i="18"/>
  <c r="AA50" i="18"/>
  <c r="AA51" i="18"/>
  <c r="AA52" i="18"/>
  <c r="AA53" i="18"/>
  <c r="AA54" i="18"/>
  <c r="AA7" i="18"/>
  <c r="AA6" i="18"/>
  <c r="Z6" i="18"/>
  <c r="Z7" i="18"/>
  <c r="Z8" i="18"/>
  <c r="Z9" i="18"/>
  <c r="Z10" i="18"/>
  <c r="Z11" i="18"/>
  <c r="Z12" i="18"/>
  <c r="Z13" i="18"/>
  <c r="Z14" i="18"/>
  <c r="Z15" i="18"/>
  <c r="Z16" i="18"/>
  <c r="Z17" i="18"/>
  <c r="Z18" i="18"/>
  <c r="Z19" i="18"/>
  <c r="Z20" i="18"/>
  <c r="Z21" i="18"/>
  <c r="Z22" i="18"/>
  <c r="Z23" i="18"/>
  <c r="Z24" i="18"/>
  <c r="Z25" i="18"/>
  <c r="Z26" i="18"/>
  <c r="Z27" i="18"/>
  <c r="Z28" i="18"/>
  <c r="Z29" i="18"/>
  <c r="Z30" i="18"/>
  <c r="Z31" i="18"/>
  <c r="Z32" i="18"/>
  <c r="Z33" i="18"/>
  <c r="Z34" i="18"/>
  <c r="Z35" i="18"/>
  <c r="Z36" i="18"/>
  <c r="Z37" i="18"/>
  <c r="Z38" i="18"/>
  <c r="Z39" i="18"/>
  <c r="Z40" i="18"/>
  <c r="Z41" i="18"/>
  <c r="Z42" i="18"/>
  <c r="Z43" i="18"/>
  <c r="Z44" i="18"/>
  <c r="Z45" i="18"/>
  <c r="Z46" i="18"/>
  <c r="Z47" i="18"/>
  <c r="Z48" i="18"/>
  <c r="Z49" i="18"/>
  <c r="Z50" i="18"/>
  <c r="Z51" i="18"/>
  <c r="Z52" i="18"/>
  <c r="Z53" i="18"/>
  <c r="Z54" i="18"/>
  <c r="AF5" i="18"/>
  <c r="AE5" i="18"/>
  <c r="AD5" i="18"/>
  <c r="AC5" i="18"/>
  <c r="AB5" i="18"/>
  <c r="AA5" i="18"/>
  <c r="Z5" i="18"/>
  <c r="AH6" i="17"/>
  <c r="AH7" i="17"/>
  <c r="AH8" i="17"/>
  <c r="AH9" i="17"/>
  <c r="AH10" i="17"/>
  <c r="AH11" i="17"/>
  <c r="AH12" i="17"/>
  <c r="AH13" i="17"/>
  <c r="AH14" i="17"/>
  <c r="AH15" i="17"/>
  <c r="AH16" i="17"/>
  <c r="AH17" i="17"/>
  <c r="AH18" i="17"/>
  <c r="AH19" i="17"/>
  <c r="AH20" i="17"/>
  <c r="AH21" i="17"/>
  <c r="AH22" i="17"/>
  <c r="AH23" i="17"/>
  <c r="AH24" i="17"/>
  <c r="AH25" i="17"/>
  <c r="AH26" i="17"/>
  <c r="AH27" i="17"/>
  <c r="AH28" i="17"/>
  <c r="AH29" i="17"/>
  <c r="AH30" i="17"/>
  <c r="AH31" i="17"/>
  <c r="AH32" i="17"/>
  <c r="AH33" i="17"/>
  <c r="AH34" i="17"/>
  <c r="AH35" i="17"/>
  <c r="AH36" i="17"/>
  <c r="AH37" i="17"/>
  <c r="AH38" i="17"/>
  <c r="AH39" i="17"/>
  <c r="AH40" i="17"/>
  <c r="AH41" i="17"/>
  <c r="AH42" i="17"/>
  <c r="AH43" i="17"/>
  <c r="AH44" i="17"/>
  <c r="AH45" i="17"/>
  <c r="AH46" i="17"/>
  <c r="AH47" i="17"/>
  <c r="AH48" i="17"/>
  <c r="AH49" i="17"/>
  <c r="AH50" i="17"/>
  <c r="AH51" i="17"/>
  <c r="AH52" i="17"/>
  <c r="AH53" i="17"/>
  <c r="AH54" i="17"/>
  <c r="AF6"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N6" i="17"/>
  <c r="N7" i="17"/>
  <c r="N8" i="17"/>
  <c r="N9" i="17"/>
  <c r="N10" i="17"/>
  <c r="N11" i="17"/>
  <c r="N12" i="17"/>
  <c r="N13" i="17"/>
  <c r="N14" i="17"/>
  <c r="N15" i="17"/>
  <c r="N16" i="17"/>
  <c r="N17" i="17"/>
  <c r="N18" i="17"/>
  <c r="N19" i="17"/>
  <c r="N20" i="17"/>
  <c r="N21" i="17"/>
  <c r="N22" i="17"/>
  <c r="N23" i="17"/>
  <c r="N24" i="17"/>
  <c r="N25" i="17"/>
  <c r="N26" i="17"/>
  <c r="N27" i="17"/>
  <c r="N28" i="17"/>
  <c r="N29" i="17"/>
  <c r="N30" i="17"/>
  <c r="N31" i="17"/>
  <c r="N32" i="17"/>
  <c r="N33" i="17"/>
  <c r="N34" i="17"/>
  <c r="N35" i="17"/>
  <c r="N36" i="17"/>
  <c r="N37" i="17"/>
  <c r="N38" i="17"/>
  <c r="N39" i="17"/>
  <c r="N40" i="17"/>
  <c r="N41" i="17"/>
  <c r="N42" i="17"/>
  <c r="N43" i="17"/>
  <c r="N44" i="17"/>
  <c r="N45" i="17"/>
  <c r="N46" i="17"/>
  <c r="N47" i="17"/>
  <c r="N48" i="17"/>
  <c r="N49" i="17"/>
  <c r="N50" i="17"/>
  <c r="N51" i="17"/>
  <c r="N52" i="17"/>
  <c r="N53" i="17"/>
  <c r="N54" i="17"/>
  <c r="P5" i="17"/>
  <c r="O5" i="17"/>
  <c r="N5" i="17"/>
  <c r="AG54" i="15" l="1"/>
  <c r="AG53" i="15"/>
  <c r="AG52" i="15"/>
  <c r="AG51" i="15"/>
  <c r="AG50" i="15"/>
  <c r="AG49" i="15"/>
  <c r="AG48" i="15"/>
  <c r="AG47" i="15"/>
  <c r="AG46" i="15"/>
  <c r="AG45" i="15"/>
  <c r="AG44" i="15"/>
  <c r="AG43" i="15"/>
  <c r="AG42" i="15"/>
  <c r="AG41" i="15"/>
  <c r="AG40" i="15"/>
  <c r="AG39" i="15"/>
  <c r="AG38" i="15"/>
  <c r="AG37" i="15"/>
  <c r="AG36" i="15"/>
  <c r="AG35" i="15"/>
  <c r="AG34" i="15"/>
  <c r="AG33" i="15"/>
  <c r="AG32" i="15"/>
  <c r="AG31" i="15"/>
  <c r="AG30" i="15"/>
  <c r="AG29" i="15"/>
  <c r="AG28" i="15"/>
  <c r="AG27" i="15"/>
  <c r="AG26" i="15"/>
  <c r="AG25" i="15"/>
  <c r="AG24" i="15"/>
  <c r="AG23" i="15"/>
  <c r="AG22" i="15"/>
  <c r="AG21" i="15"/>
  <c r="AG20" i="15"/>
  <c r="AG19" i="15"/>
  <c r="AG18" i="15"/>
  <c r="AG17" i="15"/>
  <c r="AG16" i="15"/>
  <c r="AG15" i="15"/>
  <c r="AG14" i="15"/>
  <c r="AG13" i="15"/>
  <c r="AG12" i="15"/>
  <c r="AG11" i="15"/>
  <c r="AG10" i="15"/>
  <c r="AG9" i="15"/>
  <c r="AG8" i="15"/>
  <c r="AG7" i="15"/>
  <c r="AG54" i="14"/>
  <c r="AG53" i="14"/>
  <c r="AG52" i="14"/>
  <c r="AG51" i="14"/>
  <c r="AG50" i="14"/>
  <c r="AG49" i="14"/>
  <c r="AG48" i="14"/>
  <c r="AG47" i="14"/>
  <c r="AG46" i="14"/>
  <c r="AG45" i="14"/>
  <c r="AG44" i="14"/>
  <c r="AG43" i="14"/>
  <c r="AG42" i="14"/>
  <c r="AG41" i="14"/>
  <c r="AG40" i="14"/>
  <c r="AG39" i="14"/>
  <c r="AG38" i="14"/>
  <c r="AG37" i="14"/>
  <c r="AG36" i="14"/>
  <c r="AG35" i="14"/>
  <c r="AG34" i="14"/>
  <c r="AG33" i="14"/>
  <c r="AG32" i="14"/>
  <c r="AG31" i="14"/>
  <c r="AG30" i="14"/>
  <c r="AG29" i="14"/>
  <c r="AG28" i="14"/>
  <c r="AG27" i="14"/>
  <c r="AG26" i="14"/>
  <c r="AG25" i="14"/>
  <c r="AG24" i="14"/>
  <c r="AG23" i="14"/>
  <c r="AG22" i="14"/>
  <c r="AG21" i="14"/>
  <c r="AG20" i="14"/>
  <c r="AG19" i="14"/>
  <c r="AG18" i="14"/>
  <c r="AG17" i="14"/>
  <c r="AG16" i="14"/>
  <c r="AG15" i="14"/>
  <c r="AG14" i="14"/>
  <c r="AG13" i="14"/>
  <c r="AG12" i="14"/>
  <c r="AG11" i="14"/>
  <c r="AG10" i="14"/>
  <c r="AG9" i="14"/>
  <c r="AG8" i="14"/>
  <c r="AG7" i="14"/>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I6" i="34"/>
  <c r="AI7" i="34"/>
  <c r="AI8" i="34"/>
  <c r="AI9" i="34"/>
  <c r="AI10" i="34"/>
  <c r="AI11" i="34"/>
  <c r="AI12" i="34"/>
  <c r="AI13" i="34"/>
  <c r="AI14" i="34"/>
  <c r="AI15" i="34"/>
  <c r="AI16" i="34"/>
  <c r="AI17" i="34"/>
  <c r="AI18" i="34"/>
  <c r="AI19" i="34"/>
  <c r="AI20" i="34"/>
  <c r="AI21" i="34"/>
  <c r="AI22" i="34"/>
  <c r="AI23" i="34"/>
  <c r="AI24" i="34"/>
  <c r="AI25" i="34"/>
  <c r="AI26" i="34"/>
  <c r="AI27" i="34"/>
  <c r="AI28" i="34"/>
  <c r="AI29" i="34"/>
  <c r="AI30" i="34"/>
  <c r="AI31" i="34"/>
  <c r="AI32" i="34"/>
  <c r="AI33" i="34"/>
  <c r="AI34" i="34"/>
  <c r="AI35" i="34"/>
  <c r="AI36" i="34"/>
  <c r="AI37" i="34"/>
  <c r="AI38" i="34"/>
  <c r="AI39" i="34"/>
  <c r="AI40" i="34"/>
  <c r="AI41" i="34"/>
  <c r="AI42" i="34"/>
  <c r="AI43" i="34"/>
  <c r="AI44" i="34"/>
  <c r="AI45" i="34"/>
  <c r="AI46" i="34"/>
  <c r="AI47" i="34"/>
  <c r="AI48" i="34"/>
  <c r="AI49" i="34"/>
  <c r="AI50" i="34"/>
  <c r="AI51" i="34"/>
  <c r="AI52" i="34"/>
  <c r="AI53" i="34"/>
  <c r="AI54" i="34"/>
  <c r="AI5" i="34"/>
  <c r="I33" i="77" l="1"/>
  <c r="AR5" i="12"/>
  <c r="I31" i="77"/>
  <c r="J31" i="77"/>
  <c r="AP34" i="34" l="1"/>
  <c r="AP44" i="34"/>
  <c r="AR20" i="12"/>
  <c r="AP20" i="12"/>
  <c r="AR28" i="12"/>
  <c r="AP28" i="12"/>
  <c r="AR36" i="12"/>
  <c r="AP36" i="12"/>
  <c r="AR44" i="12"/>
  <c r="AP44" i="12"/>
  <c r="AR52" i="12"/>
  <c r="AP52" i="12"/>
  <c r="AR23" i="12"/>
  <c r="AP23" i="12"/>
  <c r="AR31" i="12"/>
  <c r="AP31" i="12"/>
  <c r="AR39" i="12"/>
  <c r="AP39" i="12"/>
  <c r="AR47" i="12"/>
  <c r="AP47" i="12"/>
  <c r="AR18" i="12"/>
  <c r="AP18" i="12"/>
  <c r="AR26" i="12"/>
  <c r="AP26" i="12"/>
  <c r="AR34" i="12"/>
  <c r="AP34" i="12"/>
  <c r="AR42" i="12"/>
  <c r="AP42" i="12"/>
  <c r="AR50" i="12"/>
  <c r="AP50" i="12"/>
  <c r="AR17" i="12"/>
  <c r="AP17" i="12"/>
  <c r="AR25" i="12"/>
  <c r="AP25" i="12"/>
  <c r="AR33" i="12"/>
  <c r="AP33" i="12"/>
  <c r="AR41" i="12"/>
  <c r="AP41" i="12"/>
  <c r="AR49" i="12"/>
  <c r="AP49" i="12"/>
  <c r="AR10" i="12"/>
  <c r="AP10" i="12"/>
  <c r="AR13" i="12"/>
  <c r="AP13" i="12"/>
  <c r="AR12" i="12"/>
  <c r="AP12" i="12"/>
  <c r="AR7" i="12"/>
  <c r="AP7" i="12"/>
  <c r="AR15" i="12"/>
  <c r="AP15" i="12"/>
  <c r="AR24" i="12"/>
  <c r="AP24" i="12"/>
  <c r="AR32" i="12"/>
  <c r="AP32" i="12"/>
  <c r="AR40" i="12"/>
  <c r="AP40" i="12"/>
  <c r="AR48" i="12"/>
  <c r="AP48" i="12"/>
  <c r="AR19" i="12"/>
  <c r="AP19" i="12"/>
  <c r="AR27" i="12"/>
  <c r="AP27" i="12"/>
  <c r="AR35" i="12"/>
  <c r="AP35" i="12"/>
  <c r="AR43" i="12"/>
  <c r="AP43" i="12"/>
  <c r="AR51" i="12"/>
  <c r="AP51" i="12"/>
  <c r="AR22" i="12"/>
  <c r="AP22" i="12"/>
  <c r="AR30" i="12"/>
  <c r="AP30" i="12"/>
  <c r="AR38" i="12"/>
  <c r="AP38" i="12"/>
  <c r="AR46" i="12"/>
  <c r="AP46" i="12"/>
  <c r="AR54" i="12"/>
  <c r="AP54" i="12"/>
  <c r="AR21" i="12"/>
  <c r="AP21" i="12"/>
  <c r="AR29" i="12"/>
  <c r="AP29" i="12"/>
  <c r="AR37" i="12"/>
  <c r="AP37" i="12"/>
  <c r="AR45" i="12"/>
  <c r="AP45" i="12"/>
  <c r="AR53" i="12"/>
  <c r="AP53" i="12"/>
  <c r="AR14" i="12"/>
  <c r="AP14" i="12"/>
  <c r="AR9" i="12"/>
  <c r="AP9" i="12"/>
  <c r="AR8" i="12"/>
  <c r="AP8" i="12"/>
  <c r="AR16" i="12"/>
  <c r="AP16" i="12"/>
  <c r="AR11" i="12"/>
  <c r="AP11" i="12"/>
  <c r="AR16" i="34"/>
  <c r="AP16" i="34"/>
  <c r="AR32" i="34"/>
  <c r="AP32" i="34"/>
  <c r="AR48" i="34"/>
  <c r="AP48" i="34"/>
  <c r="AP15" i="34"/>
  <c r="AR15" i="34"/>
  <c r="AP31" i="34"/>
  <c r="AR31" i="34"/>
  <c r="AP47" i="34"/>
  <c r="AR47" i="34"/>
  <c r="AR6" i="34"/>
  <c r="AP6" i="34"/>
  <c r="AR22" i="34"/>
  <c r="AP22" i="34"/>
  <c r="AR30" i="34"/>
  <c r="AP30" i="34"/>
  <c r="AR38" i="34"/>
  <c r="AP38" i="34"/>
  <c r="AR54" i="34"/>
  <c r="AP54" i="34"/>
  <c r="AR13" i="34"/>
  <c r="AP13" i="34"/>
  <c r="AR21" i="34"/>
  <c r="AP21" i="34"/>
  <c r="AR29" i="34"/>
  <c r="AP29" i="34"/>
  <c r="AR37" i="34"/>
  <c r="AP37" i="34"/>
  <c r="AR45" i="34"/>
  <c r="AP45" i="34"/>
  <c r="AR53" i="34"/>
  <c r="AP53" i="34"/>
  <c r="AR8" i="34"/>
  <c r="AP8" i="34"/>
  <c r="AR24" i="34"/>
  <c r="AP24" i="34"/>
  <c r="AR40" i="34"/>
  <c r="AP40" i="34"/>
  <c r="AP7" i="34"/>
  <c r="AR7" i="34"/>
  <c r="AP23" i="34"/>
  <c r="AR23" i="34"/>
  <c r="AP39" i="34"/>
  <c r="AR39" i="34"/>
  <c r="AR14" i="34"/>
  <c r="AP14" i="34"/>
  <c r="AR46" i="34"/>
  <c r="AP46" i="34"/>
  <c r="AR20" i="34"/>
  <c r="AP20" i="34"/>
  <c r="AR36" i="34"/>
  <c r="AP36" i="34"/>
  <c r="AR52" i="34"/>
  <c r="AP52" i="34"/>
  <c r="AP19" i="34"/>
  <c r="AR19" i="34"/>
  <c r="AP35" i="34"/>
  <c r="AR35" i="34"/>
  <c r="AP51" i="34"/>
  <c r="AR51" i="34"/>
  <c r="AR10" i="34"/>
  <c r="AP10" i="34"/>
  <c r="AR26" i="34"/>
  <c r="AP26" i="34"/>
  <c r="AR34" i="34"/>
  <c r="AR42" i="34"/>
  <c r="AP42" i="34"/>
  <c r="AR50" i="34"/>
  <c r="AP50" i="34"/>
  <c r="AR17" i="34"/>
  <c r="AP17" i="34"/>
  <c r="AR25" i="34"/>
  <c r="AP25" i="34"/>
  <c r="AR33" i="34"/>
  <c r="AP33" i="34"/>
  <c r="AR41" i="34"/>
  <c r="AP41" i="34"/>
  <c r="AR49" i="34"/>
  <c r="AP49" i="34"/>
  <c r="AR12" i="34"/>
  <c r="AP12" i="34"/>
  <c r="AR28" i="34"/>
  <c r="AP28" i="34"/>
  <c r="AR44" i="34"/>
  <c r="AP11" i="34"/>
  <c r="AR11" i="34"/>
  <c r="AP27" i="34"/>
  <c r="AR27" i="34"/>
  <c r="AP43" i="34"/>
  <c r="AR43" i="34"/>
  <c r="AR18" i="34"/>
  <c r="AP18" i="34"/>
  <c r="AR9" i="34"/>
  <c r="AP9" i="34"/>
  <c r="AJ7" i="33"/>
  <c r="AJ8" i="33"/>
  <c r="AJ10" i="33"/>
  <c r="AJ11" i="33"/>
  <c r="AJ15" i="33"/>
  <c r="AJ18" i="33"/>
  <c r="AJ19" i="33"/>
  <c r="AJ20" i="33"/>
  <c r="AJ23" i="33"/>
  <c r="AJ24" i="33"/>
  <c r="AJ27" i="33"/>
  <c r="AJ30" i="33"/>
  <c r="AJ31" i="33"/>
  <c r="AJ34" i="33"/>
  <c r="AJ35" i="33"/>
  <c r="AJ36" i="33"/>
  <c r="AJ39" i="33"/>
  <c r="AJ40" i="33"/>
  <c r="AJ43" i="33"/>
  <c r="AJ46" i="33"/>
  <c r="AJ47" i="33"/>
  <c r="AJ50" i="33"/>
  <c r="AJ51" i="33"/>
  <c r="AJ52" i="33"/>
  <c r="J29" i="77"/>
  <c r="AJ45" i="33" l="1"/>
  <c r="AJ41" i="33"/>
  <c r="AJ29" i="33"/>
  <c r="AJ25" i="33"/>
  <c r="AJ17" i="33"/>
  <c r="AJ9" i="33"/>
  <c r="AJ53" i="33"/>
  <c r="AJ49" i="33"/>
  <c r="AJ37" i="33"/>
  <c r="AJ33" i="33"/>
  <c r="AJ21" i="33"/>
  <c r="AJ13" i="33"/>
  <c r="AJ48" i="33"/>
  <c r="AJ44" i="33"/>
  <c r="AJ32" i="33"/>
  <c r="AJ28" i="33"/>
  <c r="AJ16" i="33"/>
  <c r="AJ12" i="33"/>
  <c r="AJ54" i="33"/>
  <c r="AJ42" i="33"/>
  <c r="AJ38" i="33"/>
  <c r="AJ26" i="33"/>
  <c r="AJ22" i="33"/>
  <c r="AJ14" i="33"/>
  <c r="AJ6" i="33"/>
  <c r="I29" i="77"/>
  <c r="AO19" i="33"/>
  <c r="AQ19" i="33"/>
  <c r="AJ5" i="33"/>
  <c r="BG15" i="11" l="1"/>
  <c r="BE15" i="11"/>
  <c r="BG19" i="11"/>
  <c r="BE19" i="11"/>
  <c r="BG23" i="11"/>
  <c r="BE23" i="11"/>
  <c r="BG27" i="11"/>
  <c r="BE27" i="11"/>
  <c r="BG31" i="11"/>
  <c r="BE31" i="11"/>
  <c r="BG35" i="11"/>
  <c r="BE35" i="11"/>
  <c r="BG39" i="11"/>
  <c r="BE39" i="11"/>
  <c r="BG43" i="11"/>
  <c r="BE43" i="11"/>
  <c r="BG47" i="11"/>
  <c r="BE47" i="11"/>
  <c r="BG51" i="11"/>
  <c r="BE51" i="11"/>
  <c r="BG12" i="11"/>
  <c r="BE12" i="11"/>
  <c r="BG16" i="11"/>
  <c r="BE16" i="11"/>
  <c r="BG20" i="11"/>
  <c r="BE20" i="11"/>
  <c r="BG24" i="11"/>
  <c r="BE24" i="11"/>
  <c r="BG28" i="11"/>
  <c r="BE28" i="11"/>
  <c r="BG32" i="11"/>
  <c r="BE32" i="11"/>
  <c r="BG36" i="11"/>
  <c r="BE36" i="11"/>
  <c r="BG40" i="11"/>
  <c r="BE40" i="11"/>
  <c r="BG44" i="11"/>
  <c r="BE44" i="11"/>
  <c r="BG48" i="11"/>
  <c r="BE48" i="11"/>
  <c r="BG52" i="11"/>
  <c r="BE52" i="11"/>
  <c r="BG13" i="11"/>
  <c r="BE13" i="11"/>
  <c r="BG17" i="11"/>
  <c r="BE17" i="11"/>
  <c r="BG21" i="11"/>
  <c r="BE21" i="11"/>
  <c r="BG25" i="11"/>
  <c r="BE25" i="11"/>
  <c r="BG29" i="11"/>
  <c r="BE29" i="11"/>
  <c r="BG33" i="11"/>
  <c r="BE33" i="11"/>
  <c r="BG37" i="11"/>
  <c r="BE37" i="11"/>
  <c r="BG41" i="11"/>
  <c r="BE41" i="11"/>
  <c r="BG45" i="11"/>
  <c r="BE45" i="11"/>
  <c r="BG49" i="11"/>
  <c r="BE49" i="11"/>
  <c r="BG53" i="11"/>
  <c r="BE53" i="11"/>
  <c r="BG14" i="11"/>
  <c r="BE14" i="11"/>
  <c r="BG18" i="11"/>
  <c r="BE18" i="11"/>
  <c r="BG22" i="11"/>
  <c r="BE22" i="11"/>
  <c r="BG26" i="11"/>
  <c r="BE26" i="11"/>
  <c r="BG30" i="11"/>
  <c r="BE30" i="11"/>
  <c r="BG34" i="11"/>
  <c r="BE34" i="11"/>
  <c r="BG38" i="11"/>
  <c r="BE38" i="11"/>
  <c r="BG42" i="11"/>
  <c r="BE42" i="11"/>
  <c r="BG46" i="11"/>
  <c r="BE46" i="11"/>
  <c r="BG50" i="11"/>
  <c r="BE50" i="11"/>
  <c r="BG54" i="11"/>
  <c r="BE54" i="11"/>
  <c r="AQ11" i="33"/>
  <c r="AQ35" i="33"/>
  <c r="AO11" i="33"/>
  <c r="AO35" i="33"/>
  <c r="AQ17" i="33"/>
  <c r="AO17" i="33"/>
  <c r="AQ45" i="33"/>
  <c r="AO45" i="33"/>
  <c r="AQ10" i="33"/>
  <c r="AO10" i="33"/>
  <c r="AQ26" i="33"/>
  <c r="AO26" i="33"/>
  <c r="AQ42" i="33"/>
  <c r="AO42" i="33"/>
  <c r="AQ24" i="33"/>
  <c r="AO24" i="33"/>
  <c r="AQ37" i="33"/>
  <c r="AO37" i="33"/>
  <c r="AO47" i="33"/>
  <c r="AQ47" i="33"/>
  <c r="AQ16" i="33"/>
  <c r="AO16" i="33"/>
  <c r="AQ36" i="33"/>
  <c r="AO36" i="33"/>
  <c r="AQ44" i="33"/>
  <c r="AO44" i="33"/>
  <c r="AQ8" i="33"/>
  <c r="AO8" i="33"/>
  <c r="AQ21" i="33"/>
  <c r="AO21" i="33"/>
  <c r="AQ49" i="33"/>
  <c r="AO49" i="33"/>
  <c r="AQ14" i="33"/>
  <c r="AO14" i="33"/>
  <c r="AQ30" i="33"/>
  <c r="AO30" i="33"/>
  <c r="AQ46" i="33"/>
  <c r="AO46" i="33"/>
  <c r="AQ25" i="33"/>
  <c r="AO25" i="33"/>
  <c r="AQ48" i="33"/>
  <c r="AO48" i="33"/>
  <c r="AO23" i="33"/>
  <c r="AQ23" i="33"/>
  <c r="AO51" i="33"/>
  <c r="AQ51" i="33"/>
  <c r="AQ6" i="33"/>
  <c r="AO6" i="33"/>
  <c r="AQ9" i="33"/>
  <c r="AO9" i="33"/>
  <c r="AQ28" i="33"/>
  <c r="AO28" i="33"/>
  <c r="AQ53" i="33"/>
  <c r="AO53" i="33"/>
  <c r="AQ18" i="33"/>
  <c r="AO18" i="33"/>
  <c r="AQ34" i="33"/>
  <c r="AO34" i="33"/>
  <c r="AQ50" i="33"/>
  <c r="AO50" i="33"/>
  <c r="AQ29" i="33"/>
  <c r="AO29" i="33"/>
  <c r="AO15" i="33"/>
  <c r="AQ15" i="33"/>
  <c r="AO27" i="33"/>
  <c r="AQ27" i="33"/>
  <c r="AO39" i="33"/>
  <c r="AQ39" i="33"/>
  <c r="AQ12" i="33"/>
  <c r="AO12" i="33"/>
  <c r="AQ32" i="33"/>
  <c r="AO32" i="33"/>
  <c r="AQ40" i="33"/>
  <c r="AO40" i="33"/>
  <c r="AQ52" i="33"/>
  <c r="AO52" i="33"/>
  <c r="AQ13" i="33"/>
  <c r="AO13" i="33"/>
  <c r="AQ41" i="33"/>
  <c r="AO41" i="33"/>
  <c r="AQ20" i="33"/>
  <c r="AO20" i="33"/>
  <c r="AQ22" i="33"/>
  <c r="AO22" i="33"/>
  <c r="AQ38" i="33"/>
  <c r="AO38" i="33"/>
  <c r="AQ54" i="33"/>
  <c r="AO54" i="33"/>
  <c r="AQ33" i="33"/>
  <c r="AO33" i="33"/>
  <c r="AO7" i="33"/>
  <c r="AQ7" i="33"/>
  <c r="AO31" i="33"/>
  <c r="AQ31" i="33"/>
  <c r="AO43" i="33"/>
  <c r="AQ43" i="33"/>
  <c r="K25" i="77"/>
  <c r="J25" i="77" l="1"/>
  <c r="I25" i="77"/>
  <c r="AY14" i="10" l="1"/>
  <c r="AW14" i="10"/>
  <c r="AY52" i="10"/>
  <c r="AW52" i="10"/>
  <c r="AY36" i="10"/>
  <c r="AW36" i="10"/>
  <c r="AY20" i="10"/>
  <c r="AW20" i="10"/>
  <c r="AW45" i="10"/>
  <c r="AY45" i="10"/>
  <c r="AY7" i="10"/>
  <c r="AW7" i="10"/>
  <c r="AW33" i="10"/>
  <c r="AY33" i="10"/>
  <c r="AY51" i="10"/>
  <c r="AW51" i="10"/>
  <c r="AW41" i="10"/>
  <c r="AY41" i="10"/>
  <c r="AW9" i="10"/>
  <c r="AY9" i="10"/>
  <c r="AY38" i="10"/>
  <c r="AW38" i="10"/>
  <c r="AY22" i="10"/>
  <c r="AW22" i="10"/>
  <c r="AY48" i="10"/>
  <c r="AW48" i="10"/>
  <c r="AY32" i="10"/>
  <c r="AW32" i="10"/>
  <c r="AY16" i="10"/>
  <c r="AW16" i="10"/>
  <c r="AW13" i="10"/>
  <c r="AY13" i="10"/>
  <c r="AW53" i="10"/>
  <c r="AY53" i="10"/>
  <c r="AY43" i="10"/>
  <c r="AW43" i="10"/>
  <c r="AY11" i="10"/>
  <c r="AW11" i="10"/>
  <c r="AW29" i="10"/>
  <c r="AY29" i="10"/>
  <c r="AW49" i="10"/>
  <c r="AY49" i="10"/>
  <c r="AW25" i="10"/>
  <c r="AY25" i="10"/>
  <c r="AY42" i="10"/>
  <c r="AW42" i="10"/>
  <c r="AY26" i="10"/>
  <c r="AW26" i="10"/>
  <c r="AY10" i="10"/>
  <c r="AW10" i="10"/>
  <c r="AY44" i="10"/>
  <c r="AW44" i="10"/>
  <c r="AY28" i="10"/>
  <c r="AW28" i="10"/>
  <c r="AY12" i="10"/>
  <c r="AW12" i="10"/>
  <c r="AY39" i="10"/>
  <c r="AW39" i="10"/>
  <c r="AW21" i="10"/>
  <c r="AY21" i="10"/>
  <c r="AY19" i="10"/>
  <c r="AW19" i="10"/>
  <c r="AY47" i="10"/>
  <c r="AW47" i="10"/>
  <c r="AY46" i="10"/>
  <c r="AW46" i="10"/>
  <c r="AY30" i="10"/>
  <c r="AW30" i="10"/>
  <c r="AY6" i="10"/>
  <c r="AW6" i="10"/>
  <c r="AY15" i="10"/>
  <c r="AW15" i="10"/>
  <c r="AY40" i="10"/>
  <c r="AW40" i="10"/>
  <c r="AY24" i="10"/>
  <c r="AW24" i="10"/>
  <c r="AY8" i="10"/>
  <c r="AW8" i="10"/>
  <c r="AY35" i="10"/>
  <c r="AW35" i="10"/>
  <c r="AY23" i="10"/>
  <c r="AW23" i="10"/>
  <c r="AW37" i="10"/>
  <c r="AY37" i="10"/>
  <c r="AW17" i="10"/>
  <c r="AY17" i="10"/>
  <c r="AY27" i="10"/>
  <c r="AW27" i="10"/>
  <c r="AY54" i="10"/>
  <c r="AW54" i="10"/>
  <c r="AY31" i="10"/>
  <c r="AW31" i="10"/>
  <c r="AY50" i="10"/>
  <c r="AW50" i="10"/>
  <c r="AY34" i="10"/>
  <c r="AW34" i="10"/>
  <c r="AY18" i="10"/>
  <c r="AW18" i="10"/>
  <c r="J23" i="77"/>
  <c r="AM39" i="7"/>
  <c r="AK20" i="7"/>
  <c r="AM17" i="7"/>
  <c r="AK25" i="7"/>
  <c r="AK10" i="7"/>
  <c r="AM8" i="7"/>
  <c r="AK40" i="7"/>
  <c r="AK36" i="7"/>
  <c r="AM47" i="7"/>
  <c r="AK32" i="7"/>
  <c r="AM37" i="7"/>
  <c r="AK53" i="7"/>
  <c r="AM13" i="7"/>
  <c r="AK41" i="7"/>
  <c r="AM19" i="7"/>
  <c r="AM34" i="7"/>
  <c r="AK12" i="7"/>
  <c r="AM23" i="7"/>
  <c r="AM18" i="7"/>
  <c r="AM45" i="7"/>
  <c r="AM15" i="7"/>
  <c r="AK27" i="7"/>
  <c r="AK22" i="7"/>
  <c r="AK26" i="7"/>
  <c r="AK38" i="7"/>
  <c r="AM44" i="7"/>
  <c r="AM49" i="7"/>
  <c r="I23" i="77"/>
  <c r="AK9" i="7"/>
  <c r="AM7" i="7"/>
  <c r="AK14" i="7"/>
  <c r="AM30" i="7"/>
  <c r="AM51" i="7"/>
  <c r="AK24" i="7"/>
  <c r="AK16" i="7"/>
  <c r="AK31" i="7"/>
  <c r="AM52" i="7"/>
  <c r="AK6" i="7"/>
  <c r="AM20" i="7"/>
  <c r="E71" i="44"/>
  <c r="E70" i="44"/>
  <c r="E62" i="44"/>
  <c r="E61" i="44"/>
  <c r="E52" i="44"/>
  <c r="E51" i="44"/>
  <c r="K23" i="42"/>
  <c r="G74" i="43"/>
  <c r="G73" i="43"/>
  <c r="G72" i="43"/>
  <c r="G71" i="43"/>
  <c r="G70" i="43"/>
  <c r="G69" i="43"/>
  <c r="G68" i="43"/>
  <c r="G65" i="43"/>
  <c r="G64" i="43"/>
  <c r="G63" i="43"/>
  <c r="G62" i="43"/>
  <c r="G61" i="43"/>
  <c r="G58" i="43"/>
  <c r="G57" i="43"/>
  <c r="G56" i="43"/>
  <c r="G55" i="43"/>
  <c r="G54" i="43"/>
  <c r="G41" i="43"/>
  <c r="G25" i="43"/>
  <c r="G24" i="43"/>
  <c r="G23" i="43"/>
  <c r="G22" i="43"/>
  <c r="G19" i="43"/>
  <c r="G18" i="43"/>
  <c r="G17" i="43"/>
  <c r="G16" i="43"/>
  <c r="G15" i="43"/>
  <c r="G12" i="43"/>
  <c r="G14" i="43"/>
  <c r="G12" i="29"/>
  <c r="G30" i="29"/>
  <c r="G29" i="29"/>
  <c r="G28" i="29"/>
  <c r="G25" i="29"/>
  <c r="G24" i="29"/>
  <c r="G23" i="29"/>
  <c r="G22" i="29"/>
  <c r="G21" i="29"/>
  <c r="G19" i="29"/>
  <c r="G18" i="29"/>
  <c r="G16" i="29"/>
  <c r="G15" i="29"/>
  <c r="G13" i="29"/>
  <c r="G9" i="29"/>
  <c r="C48" i="44"/>
  <c r="C47" i="44"/>
  <c r="C46" i="44"/>
  <c r="C28" i="44"/>
  <c r="C27" i="44"/>
  <c r="C26" i="44"/>
  <c r="E15" i="44"/>
  <c r="E33" i="44"/>
  <c r="E32" i="44"/>
  <c r="E13" i="44"/>
  <c r="E12" i="44"/>
  <c r="E5" i="44"/>
  <c r="E4" i="44"/>
  <c r="G33" i="43"/>
  <c r="G36" i="43"/>
  <c r="G35" i="43"/>
  <c r="G64" i="30"/>
  <c r="G13" i="43"/>
  <c r="G11" i="43"/>
  <c r="G10" i="43"/>
  <c r="F5" i="43"/>
  <c r="F6" i="43"/>
  <c r="G9" i="43"/>
  <c r="G7" i="29"/>
  <c r="K28" i="42"/>
  <c r="K29" i="42"/>
  <c r="K30" i="42"/>
  <c r="K27" i="42"/>
  <c r="K26" i="42"/>
  <c r="K24" i="42"/>
  <c r="Q3" i="22"/>
  <c r="R3" i="22"/>
  <c r="S3" i="22"/>
  <c r="T3" i="22"/>
  <c r="U3" i="22"/>
  <c r="Q4" i="22"/>
  <c r="E3" i="22" s="1"/>
  <c r="R4" i="22"/>
  <c r="H3" i="22" s="1"/>
  <c r="S4" i="22"/>
  <c r="K3" i="22" s="1"/>
  <c r="T4" i="22"/>
  <c r="N3" i="22" s="1"/>
  <c r="U4" i="22"/>
  <c r="Q3" i="23"/>
  <c r="R3" i="23"/>
  <c r="S3" i="23"/>
  <c r="T3" i="23"/>
  <c r="U3" i="23"/>
  <c r="Q4" i="23"/>
  <c r="E3" i="23" s="1"/>
  <c r="R4" i="23"/>
  <c r="H3" i="23" s="1"/>
  <c r="S4" i="23"/>
  <c r="K3" i="23" s="1"/>
  <c r="T4" i="23"/>
  <c r="N3" i="23" s="1"/>
  <c r="U4" i="23"/>
  <c r="C27" i="41"/>
  <c r="C28" i="41"/>
  <c r="C29" i="41"/>
  <c r="C30" i="41"/>
  <c r="C31" i="41"/>
  <c r="C32" i="41"/>
  <c r="C33" i="41"/>
  <c r="C34" i="41"/>
  <c r="C35" i="41"/>
  <c r="C36" i="41"/>
  <c r="C37" i="41"/>
  <c r="C38" i="41"/>
  <c r="C39" i="41"/>
  <c r="C40" i="41"/>
  <c r="C41" i="41"/>
  <c r="C42" i="41"/>
  <c r="C43" i="41"/>
  <c r="C44" i="41"/>
  <c r="C45" i="41"/>
  <c r="C46" i="41"/>
  <c r="C47" i="41"/>
  <c r="C48" i="41"/>
  <c r="C49" i="41"/>
  <c r="C50" i="41"/>
  <c r="C51" i="41"/>
  <c r="C52" i="41"/>
  <c r="C53" i="41"/>
  <c r="C54" i="41"/>
  <c r="C55" i="41"/>
  <c r="C6" i="41"/>
  <c r="C7" i="41"/>
  <c r="C8" i="41"/>
  <c r="C9" i="41"/>
  <c r="C10" i="41"/>
  <c r="C11" i="41"/>
  <c r="C12" i="41"/>
  <c r="C13" i="41"/>
  <c r="C14" i="41"/>
  <c r="C15" i="41"/>
  <c r="C16" i="41"/>
  <c r="C17" i="41"/>
  <c r="C18" i="41"/>
  <c r="C19" i="41"/>
  <c r="C20" i="41"/>
  <c r="C21" i="41"/>
  <c r="C22" i="41"/>
  <c r="C23" i="41"/>
  <c r="C24" i="41"/>
  <c r="C25" i="41"/>
  <c r="C26" i="41"/>
  <c r="BX2" i="41"/>
  <c r="AK35" i="7" l="1"/>
  <c r="AK49" i="7"/>
  <c r="AM21" i="7"/>
  <c r="AM28" i="7"/>
  <c r="AK11" i="7"/>
  <c r="AK29" i="7"/>
  <c r="AK8" i="7"/>
  <c r="AK17" i="7"/>
  <c r="AK46" i="7"/>
  <c r="AM25" i="7"/>
  <c r="AM43" i="7"/>
  <c r="AK28" i="7"/>
  <c r="AM10" i="7"/>
  <c r="AK43" i="7"/>
  <c r="AM29" i="7"/>
  <c r="AM46" i="7"/>
  <c r="AK39" i="7"/>
  <c r="AK45" i="7"/>
  <c r="AM42" i="7"/>
  <c r="AK13" i="7"/>
  <c r="AM53" i="7"/>
  <c r="AK23" i="7"/>
  <c r="AK50" i="7"/>
  <c r="AM40" i="7"/>
  <c r="AK52" i="7"/>
  <c r="AM24" i="7"/>
  <c r="AK21" i="7"/>
  <c r="AM33" i="7"/>
  <c r="AM35" i="7"/>
  <c r="AK30" i="7"/>
  <c r="AM26" i="7"/>
  <c r="AM38" i="7"/>
  <c r="AK47" i="7"/>
  <c r="AK54" i="7"/>
  <c r="AK42" i="7"/>
  <c r="AK18" i="7"/>
  <c r="AK44" i="7"/>
  <c r="AM27" i="7"/>
  <c r="AK37" i="7"/>
  <c r="AK7" i="7"/>
  <c r="AM32" i="7"/>
  <c r="AK48" i="7"/>
  <c r="AM16" i="7"/>
  <c r="AK51" i="7"/>
  <c r="AK19" i="7"/>
  <c r="AM50" i="7"/>
  <c r="AK33" i="7"/>
  <c r="AM9" i="7"/>
  <c r="AM41" i="7"/>
  <c r="AM31" i="7"/>
  <c r="AM6" i="7"/>
  <c r="AM14" i="7"/>
  <c r="AM36" i="7"/>
  <c r="AM48" i="7"/>
  <c r="AM22" i="7"/>
  <c r="AK15" i="7"/>
  <c r="AM12" i="7"/>
  <c r="AM54" i="7"/>
  <c r="AM11" i="7"/>
  <c r="AK34" i="7"/>
  <c r="BF2" i="21"/>
  <c r="BH2" i="27"/>
  <c r="BE2" i="20"/>
  <c r="BH2" i="36"/>
  <c r="BI2" i="35"/>
  <c r="BM2" i="19"/>
  <c r="BO2" i="18"/>
  <c r="AZ2" i="17"/>
  <c r="DG3" i="16"/>
  <c r="BM2" i="13"/>
  <c r="BL2" i="26"/>
  <c r="BK2" i="12"/>
  <c r="BK2" i="34"/>
  <c r="BK2" i="33"/>
  <c r="CA2" i="11"/>
  <c r="BR2" i="10"/>
  <c r="BG2" i="7"/>
  <c r="ET3" i="1"/>
  <c r="AU6" i="3" l="1"/>
  <c r="G54" i="9" l="1"/>
  <c r="I54" i="9" s="1"/>
  <c r="O11" i="9" s="1"/>
  <c r="AT57" i="3"/>
  <c r="Y11" i="38"/>
  <c r="Y15" i="38" s="1"/>
  <c r="F48" i="28"/>
  <c r="AU34" i="3"/>
  <c r="AU33" i="3"/>
  <c r="AU32" i="3"/>
  <c r="AU31" i="3"/>
  <c r="AU30" i="3"/>
  <c r="AU29" i="3"/>
  <c r="AU28" i="3"/>
  <c r="AU27" i="3"/>
  <c r="AU26" i="3"/>
  <c r="AU55" i="3"/>
  <c r="AU54" i="3"/>
  <c r="AU53" i="3"/>
  <c r="AU52" i="3"/>
  <c r="AU51" i="3"/>
  <c r="AU50" i="3"/>
  <c r="AU49" i="3"/>
  <c r="AU48" i="3"/>
  <c r="AU47" i="3"/>
  <c r="AU46" i="3"/>
  <c r="AU45" i="3"/>
  <c r="AU44" i="3"/>
  <c r="AU43" i="3"/>
  <c r="AU42" i="3"/>
  <c r="AU41" i="3"/>
  <c r="AU40" i="3"/>
  <c r="AU39" i="3"/>
  <c r="AU38" i="3"/>
  <c r="AU37" i="3"/>
  <c r="AU36" i="3"/>
  <c r="AU35" i="3"/>
  <c r="AU25" i="3"/>
  <c r="AU24" i="3"/>
  <c r="AU23" i="3"/>
  <c r="AU22" i="3"/>
  <c r="AU21" i="3"/>
  <c r="AU20" i="3"/>
  <c r="AU19" i="3"/>
  <c r="AU18" i="3"/>
  <c r="AU17" i="3"/>
  <c r="AU16" i="3"/>
  <c r="AU15" i="3"/>
  <c r="AU14" i="3"/>
  <c r="AU13" i="3"/>
  <c r="AU12" i="3"/>
  <c r="AU11" i="3"/>
  <c r="AU10" i="3"/>
  <c r="AU9" i="3"/>
  <c r="AU8" i="3"/>
  <c r="AU7" i="3"/>
  <c r="O13" i="9" l="1"/>
  <c r="AU56" i="3"/>
  <c r="AU57" i="3" s="1"/>
  <c r="O12" i="9" l="1"/>
  <c r="D5" i="9"/>
  <c r="Y9" i="38" l="1"/>
  <c r="Y8" i="38"/>
  <c r="Y7" i="38"/>
  <c r="M5" i="9"/>
  <c r="B55" i="41"/>
  <c r="B54" i="41"/>
  <c r="B53" i="41"/>
  <c r="B52" i="41"/>
  <c r="B51" i="41"/>
  <c r="B50" i="41"/>
  <c r="B49" i="41"/>
  <c r="B48" i="41"/>
  <c r="B47" i="41"/>
  <c r="B46" i="41"/>
  <c r="B45" i="41"/>
  <c r="B44" i="41"/>
  <c r="B43" i="41"/>
  <c r="B42" i="41"/>
  <c r="B41" i="41"/>
  <c r="B40" i="41"/>
  <c r="B39" i="41"/>
  <c r="B38" i="41"/>
  <c r="B37" i="41"/>
  <c r="B36" i="41"/>
  <c r="B35" i="41"/>
  <c r="B34" i="41"/>
  <c r="B33" i="41"/>
  <c r="B32" i="41"/>
  <c r="B31" i="41"/>
  <c r="B30" i="41"/>
  <c r="B29" i="41"/>
  <c r="B28" i="41"/>
  <c r="B27" i="41"/>
  <c r="B26" i="41"/>
  <c r="B25" i="41"/>
  <c r="B24" i="41"/>
  <c r="B23" i="41"/>
  <c r="B22" i="41"/>
  <c r="B21" i="41"/>
  <c r="B20" i="41"/>
  <c r="B19" i="41"/>
  <c r="B18" i="41"/>
  <c r="B17" i="41"/>
  <c r="B16" i="41"/>
  <c r="B15" i="41"/>
  <c r="B14" i="41"/>
  <c r="B13" i="41"/>
  <c r="B12" i="41"/>
  <c r="B11" i="41"/>
  <c r="B10" i="41"/>
  <c r="B9" i="41"/>
  <c r="B8" i="41"/>
  <c r="B7" i="41"/>
  <c r="B6" i="41"/>
  <c r="Y10" i="38" l="1"/>
  <c r="J5" i="9" s="1"/>
  <c r="CD2" i="81" s="1"/>
  <c r="CD3" i="81" s="1"/>
  <c r="Y4" i="16"/>
  <c r="X4" i="16"/>
  <c r="W4" i="16"/>
  <c r="V4" i="16"/>
  <c r="U4" i="16"/>
  <c r="T4" i="16"/>
  <c r="S4" i="16"/>
  <c r="R4" i="16"/>
  <c r="Q4" i="16"/>
  <c r="Y5" i="16"/>
  <c r="X5" i="16"/>
  <c r="W5" i="16"/>
  <c r="V5" i="16"/>
  <c r="U5" i="16"/>
  <c r="T5" i="16"/>
  <c r="S5" i="16"/>
  <c r="R5" i="16"/>
  <c r="Q5" i="16"/>
  <c r="P5" i="16"/>
  <c r="P4" i="16"/>
  <c r="BF4" i="1"/>
  <c r="AQ4" i="1"/>
  <c r="BC4" i="1"/>
  <c r="BK4" i="1"/>
  <c r="BJ4" i="1"/>
  <c r="BI4" i="1"/>
  <c r="BH4" i="1"/>
  <c r="BG4" i="1"/>
  <c r="BE4" i="1"/>
  <c r="BD4" i="1"/>
  <c r="BC5" i="1"/>
  <c r="Q3" i="1" s="1"/>
  <c r="AP3" i="1" s="1"/>
  <c r="BB4" i="1"/>
  <c r="BK5" i="1"/>
  <c r="BJ5" i="1"/>
  <c r="BI5" i="1"/>
  <c r="BH5" i="1"/>
  <c r="BG5" i="1"/>
  <c r="BF5" i="1"/>
  <c r="BE5" i="1"/>
  <c r="BD5" i="1"/>
  <c r="FF9" i="1" l="1"/>
  <c r="FF13" i="1"/>
  <c r="FF17" i="1"/>
  <c r="FF21" i="1"/>
  <c r="FF25" i="1"/>
  <c r="FF29" i="1"/>
  <c r="FF33" i="1"/>
  <c r="FF37" i="1"/>
  <c r="FF41" i="1"/>
  <c r="FF45" i="1"/>
  <c r="FF49" i="1"/>
  <c r="FF53" i="1"/>
  <c r="FE7" i="1"/>
  <c r="FE11" i="1"/>
  <c r="FE15" i="1"/>
  <c r="FE19" i="1"/>
  <c r="FE23" i="1"/>
  <c r="FE27" i="1"/>
  <c r="FE31" i="1"/>
  <c r="FE35" i="1"/>
  <c r="FE39" i="1"/>
  <c r="FE43" i="1"/>
  <c r="FE47" i="1"/>
  <c r="FE51" i="1"/>
  <c r="FE55" i="1"/>
  <c r="FF10" i="1"/>
  <c r="FF14" i="1"/>
  <c r="FF18" i="1"/>
  <c r="FF22" i="1"/>
  <c r="FF26" i="1"/>
  <c r="FF30" i="1"/>
  <c r="FF34" i="1"/>
  <c r="FF42" i="1"/>
  <c r="FF46" i="1"/>
  <c r="FF50" i="1"/>
  <c r="FF54" i="1"/>
  <c r="FE8" i="1"/>
  <c r="FE12" i="1"/>
  <c r="FE16" i="1"/>
  <c r="FE20" i="1"/>
  <c r="FE24" i="1"/>
  <c r="FE28" i="1"/>
  <c r="FE32" i="1"/>
  <c r="FE36" i="1"/>
  <c r="FE40" i="1"/>
  <c r="FE44" i="1"/>
  <c r="FE48" i="1"/>
  <c r="FE52" i="1"/>
  <c r="FF7" i="1"/>
  <c r="FF11" i="1"/>
  <c r="FH11" i="1" s="1"/>
  <c r="FI11" i="1" s="1"/>
  <c r="FF15" i="1"/>
  <c r="FF19" i="1"/>
  <c r="FF23" i="1"/>
  <c r="FH23" i="1" s="1"/>
  <c r="FI23" i="1" s="1"/>
  <c r="FF27" i="1"/>
  <c r="FF31" i="1"/>
  <c r="FF35" i="1"/>
  <c r="FG35" i="1" s="1"/>
  <c r="FF39" i="1"/>
  <c r="FF43" i="1"/>
  <c r="FF47" i="1"/>
  <c r="FF51" i="1"/>
  <c r="FF55" i="1"/>
  <c r="FE9" i="1"/>
  <c r="FE13" i="1"/>
  <c r="FE17" i="1"/>
  <c r="FE21" i="1"/>
  <c r="FE25" i="1"/>
  <c r="FE29" i="1"/>
  <c r="FE33" i="1"/>
  <c r="FE37" i="1"/>
  <c r="FE41" i="1"/>
  <c r="FE45" i="1"/>
  <c r="FE49" i="1"/>
  <c r="FE53" i="1"/>
  <c r="FF8" i="1"/>
  <c r="FF12" i="1"/>
  <c r="FF16" i="1"/>
  <c r="FF20" i="1"/>
  <c r="FF24" i="1"/>
  <c r="FF28" i="1"/>
  <c r="FF32" i="1"/>
  <c r="FF36" i="1"/>
  <c r="FF40" i="1"/>
  <c r="FF44" i="1"/>
  <c r="FF48" i="1"/>
  <c r="FF52" i="1"/>
  <c r="FE10" i="1"/>
  <c r="FE14" i="1"/>
  <c r="FE18" i="1"/>
  <c r="FE22" i="1"/>
  <c r="FE26" i="1"/>
  <c r="FE30" i="1"/>
  <c r="FE34" i="1"/>
  <c r="FE38" i="1"/>
  <c r="FE42" i="1"/>
  <c r="FE46" i="1"/>
  <c r="FE50" i="1"/>
  <c r="FE54" i="1"/>
  <c r="FH27" i="1"/>
  <c r="FI27" i="1" s="1"/>
  <c r="FG15" i="1"/>
  <c r="BC3" i="81"/>
  <c r="O7" i="82" s="1"/>
  <c r="BD3" i="79"/>
  <c r="BD58" i="79" s="1"/>
  <c r="BX3" i="41"/>
  <c r="BX4" i="41" s="1"/>
  <c r="CE2" i="79"/>
  <c r="CE3" i="79" s="1"/>
  <c r="BB5" i="1"/>
  <c r="P3" i="1" s="1"/>
  <c r="AO3" i="1" s="1"/>
  <c r="FH45" i="1" l="1"/>
  <c r="FI45" i="1" s="1"/>
  <c r="FH29" i="1"/>
  <c r="FI29" i="1" s="1"/>
  <c r="FH13" i="1"/>
  <c r="FI13" i="1" s="1"/>
  <c r="FH25" i="1"/>
  <c r="FI25" i="1" s="1"/>
  <c r="FH47" i="1"/>
  <c r="FI47" i="1" s="1"/>
  <c r="FG50" i="1"/>
  <c r="FG33" i="1"/>
  <c r="FH17" i="1"/>
  <c r="FI17" i="1" s="1"/>
  <c r="FG41" i="1"/>
  <c r="FH19" i="1"/>
  <c r="FI19" i="1" s="1"/>
  <c r="FH21" i="1"/>
  <c r="FI21" i="1" s="1"/>
  <c r="FG53" i="1"/>
  <c r="FG37" i="1"/>
  <c r="FG54" i="1"/>
  <c r="FG31" i="1"/>
  <c r="FH39" i="1"/>
  <c r="FI39" i="1" s="1"/>
  <c r="FH55" i="1"/>
  <c r="FI55" i="1" s="1"/>
  <c r="FG49" i="1"/>
  <c r="FG44" i="1"/>
  <c r="FG40" i="1"/>
  <c r="FG46" i="1"/>
  <c r="FG52" i="1"/>
  <c r="FG51" i="1"/>
  <c r="FH53" i="1"/>
  <c r="FI53" i="1" s="1"/>
  <c r="FG42" i="1"/>
  <c r="FG45" i="1"/>
  <c r="FG48" i="1"/>
  <c r="FG47" i="1"/>
  <c r="FG43" i="1"/>
  <c r="FG55" i="1"/>
  <c r="FG39" i="1"/>
  <c r="FH26" i="1"/>
  <c r="FI26" i="1" s="1"/>
  <c r="FG26" i="1"/>
  <c r="FH49" i="1"/>
  <c r="FI49" i="1" s="1"/>
  <c r="FH35" i="1"/>
  <c r="FI35" i="1" s="1"/>
  <c r="FG19" i="1"/>
  <c r="FH33" i="1"/>
  <c r="FI33" i="1" s="1"/>
  <c r="FH37" i="1"/>
  <c r="FI37" i="1" s="1"/>
  <c r="FH40" i="1"/>
  <c r="FI40" i="1" s="1"/>
  <c r="FG23" i="1"/>
  <c r="FH9" i="1"/>
  <c r="FI9" i="1" s="1"/>
  <c r="FG9" i="1"/>
  <c r="FH14" i="1"/>
  <c r="FI14" i="1" s="1"/>
  <c r="FG14" i="1"/>
  <c r="FH43" i="1"/>
  <c r="FI43" i="1" s="1"/>
  <c r="FG27" i="1"/>
  <c r="FH46" i="1"/>
  <c r="FI46" i="1" s="1"/>
  <c r="FG13" i="1"/>
  <c r="FH31" i="1"/>
  <c r="FI31" i="1" s="1"/>
  <c r="FH22" i="1"/>
  <c r="FI22" i="1" s="1"/>
  <c r="FG22" i="1"/>
  <c r="FH36" i="1"/>
  <c r="FI36" i="1" s="1"/>
  <c r="FG36" i="1"/>
  <c r="FH20" i="1"/>
  <c r="FI20" i="1" s="1"/>
  <c r="FG20" i="1"/>
  <c r="FH34" i="1"/>
  <c r="FI34" i="1" s="1"/>
  <c r="FG34" i="1"/>
  <c r="FH52" i="1"/>
  <c r="FI52" i="1" s="1"/>
  <c r="FH30" i="1"/>
  <c r="FI30" i="1" s="1"/>
  <c r="FG30" i="1"/>
  <c r="FG21" i="1"/>
  <c r="FH32" i="1"/>
  <c r="FI32" i="1" s="1"/>
  <c r="FG32" i="1"/>
  <c r="FH16" i="1"/>
  <c r="FI16" i="1" s="1"/>
  <c r="FG16" i="1"/>
  <c r="FH48" i="1"/>
  <c r="FI48" i="1" s="1"/>
  <c r="FG17" i="1"/>
  <c r="FH51" i="1"/>
  <c r="FI51" i="1" s="1"/>
  <c r="FH54" i="1"/>
  <c r="FI54" i="1" s="1"/>
  <c r="FH7" i="1"/>
  <c r="FI7" i="1" s="1"/>
  <c r="FG7" i="1"/>
  <c r="FH10" i="1"/>
  <c r="FI10" i="1" s="1"/>
  <c r="FG10" i="1"/>
  <c r="FH42" i="1"/>
  <c r="FI42" i="1" s="1"/>
  <c r="FG25" i="1"/>
  <c r="FH41" i="1"/>
  <c r="FI41" i="1" s="1"/>
  <c r="FG11" i="1"/>
  <c r="FH18" i="1"/>
  <c r="FI18" i="1" s="1"/>
  <c r="FG18" i="1"/>
  <c r="FG29" i="1"/>
  <c r="FH15" i="1"/>
  <c r="FI15" i="1" s="1"/>
  <c r="FH44" i="1"/>
  <c r="FI44" i="1" s="1"/>
  <c r="FH28" i="1"/>
  <c r="FI28" i="1" s="1"/>
  <c r="FG28" i="1"/>
  <c r="FH12" i="1"/>
  <c r="FI12" i="1" s="1"/>
  <c r="FG12" i="1"/>
  <c r="FH50" i="1"/>
  <c r="FI50" i="1" s="1"/>
  <c r="FH24" i="1"/>
  <c r="FI24" i="1" s="1"/>
  <c r="FG24" i="1"/>
  <c r="FH8" i="1"/>
  <c r="FI8" i="1" s="1"/>
  <c r="FG8" i="1"/>
  <c r="BB3" i="81"/>
  <c r="N7" i="82" s="1"/>
  <c r="BC3" i="79"/>
  <c r="BC58" i="79" s="1"/>
  <c r="AD3" i="27"/>
  <c r="AC3" i="27"/>
  <c r="AD4" i="27"/>
  <c r="AC4" i="27"/>
  <c r="AB3" i="20"/>
  <c r="AA3" i="20"/>
  <c r="Z3" i="20"/>
  <c r="Y3" i="20"/>
  <c r="X3" i="20"/>
  <c r="AB4" i="20"/>
  <c r="AA4" i="20"/>
  <c r="Z4" i="20"/>
  <c r="Y4" i="20"/>
  <c r="X4" i="20"/>
  <c r="Q4" i="20"/>
  <c r="E3" i="20" s="1"/>
  <c r="AD3" i="35"/>
  <c r="AC3" i="35"/>
  <c r="AB3" i="35"/>
  <c r="AA3" i="35"/>
  <c r="Z3" i="35"/>
  <c r="Y3" i="35"/>
  <c r="AD4" i="35"/>
  <c r="AC4" i="35"/>
  <c r="AB4" i="35"/>
  <c r="AA4" i="35"/>
  <c r="Z4" i="35"/>
  <c r="Y4" i="35"/>
  <c r="X4" i="35"/>
  <c r="Q3" i="35" s="1"/>
  <c r="AK3" i="18"/>
  <c r="AJ3" i="18"/>
  <c r="AK4" i="18"/>
  <c r="AJ4" i="18"/>
  <c r="U3" i="17"/>
  <c r="T3" i="17"/>
  <c r="S3" i="17"/>
  <c r="U4" i="17"/>
  <c r="T4" i="17"/>
  <c r="S4" i="17"/>
  <c r="R4" i="17"/>
  <c r="R3" i="17"/>
  <c r="AL3" i="13"/>
  <c r="AP4" i="26"/>
  <c r="AP3" i="26"/>
  <c r="AO3" i="26"/>
  <c r="AN3" i="26"/>
  <c r="AO4" i="26"/>
  <c r="AF4" i="34"/>
  <c r="AK3" i="33"/>
  <c r="AJ3" i="33"/>
  <c r="AK4" i="33"/>
  <c r="AM3" i="11"/>
  <c r="AS4" i="10"/>
  <c r="AT4" i="10"/>
  <c r="AT3" i="10"/>
  <c r="AS3" i="10"/>
  <c r="AG4" i="7"/>
  <c r="AF4" i="7"/>
  <c r="AE4" i="7"/>
  <c r="AD4" i="7"/>
  <c r="AF3" i="7"/>
  <c r="AG3" i="7"/>
  <c r="AE3" i="7"/>
  <c r="AD3" i="7"/>
  <c r="CB52" i="13" l="1"/>
  <c r="CB48" i="13"/>
  <c r="CB32" i="13"/>
  <c r="CB28" i="13"/>
  <c r="CB8" i="13"/>
  <c r="CB21" i="13"/>
  <c r="CA9" i="13"/>
  <c r="CB15" i="13"/>
  <c r="CA24" i="13"/>
  <c r="CB9" i="13"/>
  <c r="CA19" i="13"/>
  <c r="CB31" i="13"/>
  <c r="CB47" i="13"/>
  <c r="CA31" i="13"/>
  <c r="CA36" i="13"/>
  <c r="CA52" i="13"/>
  <c r="CB22" i="13"/>
  <c r="CB30" i="13"/>
  <c r="CB38" i="13"/>
  <c r="CB46" i="13"/>
  <c r="CA17" i="13"/>
  <c r="CA10" i="13"/>
  <c r="CB16" i="13"/>
  <c r="CB25" i="13"/>
  <c r="CA13" i="13"/>
  <c r="CA27" i="13"/>
  <c r="CA43" i="13"/>
  <c r="CA54" i="13"/>
  <c r="CA33" i="13"/>
  <c r="CA41" i="13"/>
  <c r="CA49" i="13"/>
  <c r="CB11" i="13"/>
  <c r="CA7" i="13"/>
  <c r="CB12" i="13"/>
  <c r="CB35" i="13"/>
  <c r="CB51" i="13"/>
  <c r="CB18" i="13"/>
  <c r="CA34" i="13"/>
  <c r="CA39" i="13"/>
  <c r="CA44" i="13"/>
  <c r="CA50" i="13"/>
  <c r="CA20" i="13"/>
  <c r="CB26" i="13"/>
  <c r="CB42" i="13"/>
  <c r="CB50" i="13"/>
  <c r="CA23" i="13"/>
  <c r="CB14" i="13"/>
  <c r="CA30" i="13"/>
  <c r="CA51" i="13"/>
  <c r="CA21" i="13"/>
  <c r="CA53" i="13"/>
  <c r="CA40" i="13"/>
  <c r="CA29" i="13"/>
  <c r="CA8" i="13"/>
  <c r="CB45" i="13"/>
  <c r="CB20" i="13"/>
  <c r="CA37" i="13"/>
  <c r="CJ6" i="11"/>
  <c r="CJ14" i="11"/>
  <c r="CJ23" i="11"/>
  <c r="CJ54" i="11"/>
  <c r="CK5" i="11"/>
  <c r="CJ34" i="11"/>
  <c r="CJ41" i="11"/>
  <c r="CJ25" i="11"/>
  <c r="CJ48" i="11"/>
  <c r="CJ24" i="11"/>
  <c r="CJ51" i="11"/>
  <c r="CJ9" i="11"/>
  <c r="CJ17" i="11"/>
  <c r="CJ38" i="11"/>
  <c r="CJ50" i="11"/>
  <c r="CJ8" i="11"/>
  <c r="CJ16" i="11"/>
  <c r="CJ39" i="11"/>
  <c r="CJ53" i="11"/>
  <c r="CJ37" i="11"/>
  <c r="CJ21" i="11"/>
  <c r="CJ7" i="11"/>
  <c r="CJ15" i="11"/>
  <c r="CJ22" i="11"/>
  <c r="CJ52" i="11"/>
  <c r="CJ10" i="11"/>
  <c r="CJ18" i="11"/>
  <c r="CJ26" i="11"/>
  <c r="CJ44" i="11"/>
  <c r="CJ42" i="11"/>
  <c r="CJ28" i="11"/>
  <c r="CJ49" i="11"/>
  <c r="CJ33" i="11"/>
  <c r="CJ27" i="11"/>
  <c r="CJ40" i="11"/>
  <c r="CJ35" i="11"/>
  <c r="CJ47" i="11"/>
  <c r="CJ13" i="11"/>
  <c r="CJ30" i="11"/>
  <c r="CJ43" i="11"/>
  <c r="CJ12" i="11"/>
  <c r="CJ20" i="11"/>
  <c r="CJ32" i="11"/>
  <c r="CJ45" i="11"/>
  <c r="CJ29" i="11"/>
  <c r="CJ11" i="11"/>
  <c r="CJ19" i="11"/>
  <c r="CJ31" i="11"/>
  <c r="CJ46" i="11"/>
  <c r="CJ36" i="11"/>
  <c r="CA6" i="13"/>
  <c r="CB5" i="13"/>
  <c r="CB6" i="13"/>
  <c r="E4" i="16"/>
  <c r="D6" i="1"/>
  <c r="CD30" i="13" l="1"/>
  <c r="CE30" i="13" s="1"/>
  <c r="CC30" i="13"/>
  <c r="CC52" i="13"/>
  <c r="CD52" i="13"/>
  <c r="CE52" i="13" s="1"/>
  <c r="CC9" i="13"/>
  <c r="CD9" i="13"/>
  <c r="CE9" i="13" s="1"/>
  <c r="CD8" i="13"/>
  <c r="CE8" i="13" s="1"/>
  <c r="CC8" i="13"/>
  <c r="CD21" i="13"/>
  <c r="CE21" i="13" s="1"/>
  <c r="CC21" i="13"/>
  <c r="CD20" i="13"/>
  <c r="CE20" i="13" s="1"/>
  <c r="CC20" i="13"/>
  <c r="CD31" i="13"/>
  <c r="CE31" i="13" s="1"/>
  <c r="CC31" i="13"/>
  <c r="CC51" i="13"/>
  <c r="CD51" i="13"/>
  <c r="CE51" i="13" s="1"/>
  <c r="CD50" i="13"/>
  <c r="CE50" i="13" s="1"/>
  <c r="CC50" i="13"/>
  <c r="CD6" i="13"/>
  <c r="CE6" i="13" s="1"/>
  <c r="CC6" i="13"/>
  <c r="CG5" i="16"/>
  <c r="CF5" i="16"/>
  <c r="CE5" i="16"/>
  <c r="CD5" i="16"/>
  <c r="CC5" i="16"/>
  <c r="CB5" i="16"/>
  <c r="CA5" i="16"/>
  <c r="BZ5" i="16"/>
  <c r="BY5" i="16"/>
  <c r="BX5" i="16"/>
  <c r="BW5" i="16"/>
  <c r="BV5" i="16"/>
  <c r="BU5" i="16"/>
  <c r="BT5" i="16"/>
  <c r="BS5" i="16"/>
  <c r="BR5" i="16"/>
  <c r="BQ5" i="16"/>
  <c r="BP5" i="16"/>
  <c r="BO5" i="16"/>
  <c r="BN5" i="16"/>
  <c r="BM5" i="16"/>
  <c r="BL5" i="16"/>
  <c r="BK5" i="16"/>
  <c r="BJ5" i="16"/>
  <c r="BI5" i="16"/>
  <c r="BH5" i="16"/>
  <c r="BG5" i="16"/>
  <c r="BF5" i="16"/>
  <c r="BE5" i="16"/>
  <c r="BD5" i="16"/>
  <c r="BC5" i="16"/>
  <c r="BB5" i="16"/>
  <c r="BA5" i="16"/>
  <c r="AZ5" i="16"/>
  <c r="AY5" i="16"/>
  <c r="AX5" i="16"/>
  <c r="AW5" i="16"/>
  <c r="AV5" i="16"/>
  <c r="AU5" i="16"/>
  <c r="AT5" i="16"/>
  <c r="AS5" i="16"/>
  <c r="AR5" i="16"/>
  <c r="AQ5" i="16"/>
  <c r="AP5" i="16"/>
  <c r="AO5" i="16"/>
  <c r="AN5" i="16"/>
  <c r="AM5" i="16"/>
  <c r="AL5" i="16"/>
  <c r="AK5" i="16"/>
  <c r="AJ5" i="16"/>
  <c r="AI5" i="16"/>
  <c r="AH5" i="16"/>
  <c r="AG5" i="16"/>
  <c r="AF5" i="16"/>
  <c r="AE5" i="16"/>
  <c r="AD5" i="16"/>
  <c r="AC5" i="16"/>
  <c r="AB5" i="16"/>
  <c r="AA5" i="16"/>
  <c r="Z5" i="16"/>
  <c r="CG4" i="16"/>
  <c r="CF4" i="16"/>
  <c r="CE4" i="16"/>
  <c r="CD4" i="16"/>
  <c r="CC4" i="16"/>
  <c r="CB4" i="16"/>
  <c r="CA4" i="16"/>
  <c r="BZ4" i="16"/>
  <c r="BY4" i="16"/>
  <c r="BX4" i="16"/>
  <c r="BW4" i="16"/>
  <c r="BV4" i="16"/>
  <c r="BU4" i="16"/>
  <c r="BT4" i="16"/>
  <c r="BS4" i="16"/>
  <c r="BR4" i="16"/>
  <c r="BQ4" i="16"/>
  <c r="BP4" i="16"/>
  <c r="BO4" i="16"/>
  <c r="BN4" i="16"/>
  <c r="BM4" i="16"/>
  <c r="BL4" i="16"/>
  <c r="BK4" i="16"/>
  <c r="BJ4" i="16"/>
  <c r="BI4" i="16"/>
  <c r="BH4" i="16"/>
  <c r="BG4" i="16"/>
  <c r="BF4" i="16"/>
  <c r="BE4" i="16"/>
  <c r="BD4" i="16"/>
  <c r="BC4" i="16"/>
  <c r="BB4" i="16"/>
  <c r="BA4" i="16"/>
  <c r="AZ4" i="16"/>
  <c r="AY4" i="16"/>
  <c r="AX4" i="16"/>
  <c r="AW4" i="16"/>
  <c r="AV4" i="16"/>
  <c r="AU4" i="16"/>
  <c r="AT4" i="16"/>
  <c r="AS4" i="16"/>
  <c r="AR4" i="16"/>
  <c r="AQ4" i="16"/>
  <c r="AP4" i="16"/>
  <c r="AO4" i="16"/>
  <c r="AN4" i="16"/>
  <c r="AM4" i="16"/>
  <c r="AL4" i="16"/>
  <c r="AK4" i="16"/>
  <c r="AJ4" i="16"/>
  <c r="AI4" i="16"/>
  <c r="AH4" i="16"/>
  <c r="AG4" i="16"/>
  <c r="AF4" i="16"/>
  <c r="AE4" i="16"/>
  <c r="AD4" i="16"/>
  <c r="AC4" i="16"/>
  <c r="AB4" i="16"/>
  <c r="AA4" i="16"/>
  <c r="Z4" i="16"/>
  <c r="O5" i="16"/>
  <c r="O4" i="16"/>
  <c r="DS5" i="1"/>
  <c r="DS4" i="1"/>
  <c r="DR5" i="1"/>
  <c r="DR4" i="1"/>
  <c r="DQ5" i="1"/>
  <c r="DQ4" i="1"/>
  <c r="DP5" i="1"/>
  <c r="DP4" i="1"/>
  <c r="DO5" i="1"/>
  <c r="DO4" i="1"/>
  <c r="DN5" i="1"/>
  <c r="DN4" i="1"/>
  <c r="DM5" i="1"/>
  <c r="DM4" i="1"/>
  <c r="DL5" i="1"/>
  <c r="DL4" i="1"/>
  <c r="DK5" i="1"/>
  <c r="DK4" i="1"/>
  <c r="DJ5" i="1"/>
  <c r="DJ4" i="1"/>
  <c r="DI5" i="1"/>
  <c r="DI4" i="1"/>
  <c r="DH5" i="1"/>
  <c r="DH4" i="1"/>
  <c r="DG5" i="1"/>
  <c r="DG4" i="1"/>
  <c r="DF5" i="1"/>
  <c r="DF4" i="1"/>
  <c r="DE5" i="1"/>
  <c r="DE4" i="1"/>
  <c r="DD5" i="1"/>
  <c r="DD4" i="1"/>
  <c r="DC5" i="1"/>
  <c r="DC4" i="1"/>
  <c r="DB5" i="1"/>
  <c r="DB4" i="1"/>
  <c r="DA5" i="1"/>
  <c r="DA4" i="1"/>
  <c r="CZ5" i="1"/>
  <c r="CZ4" i="1"/>
  <c r="CY5" i="1"/>
  <c r="CY4" i="1"/>
  <c r="CX5" i="1"/>
  <c r="CX4" i="1"/>
  <c r="CW5" i="1"/>
  <c r="CW4" i="1"/>
  <c r="CV5" i="1"/>
  <c r="CV4" i="1"/>
  <c r="CU5" i="1"/>
  <c r="CT5" i="1"/>
  <c r="CS5" i="1"/>
  <c r="CR5" i="1"/>
  <c r="CQ5" i="1"/>
  <c r="CP5" i="1"/>
  <c r="CO5" i="1"/>
  <c r="CN5" i="1"/>
  <c r="CM5" i="1"/>
  <c r="CL5" i="1"/>
  <c r="CK5" i="1"/>
  <c r="CJ5" i="1"/>
  <c r="CU4" i="1"/>
  <c r="CT4" i="1"/>
  <c r="CS4" i="1"/>
  <c r="CR4" i="1"/>
  <c r="CQ4" i="1"/>
  <c r="CP4" i="1"/>
  <c r="CO4" i="1"/>
  <c r="CN4" i="1"/>
  <c r="CM4" i="1"/>
  <c r="CL4" i="1"/>
  <c r="CK4" i="1"/>
  <c r="CJ4" i="1"/>
  <c r="CI4" i="1"/>
  <c r="CH4" i="1"/>
  <c r="CG4" i="1"/>
  <c r="CF4" i="1"/>
  <c r="CE4" i="1"/>
  <c r="CD4" i="1"/>
  <c r="CC4" i="1"/>
  <c r="CB4" i="1"/>
  <c r="CA4" i="1"/>
  <c r="BZ4" i="1"/>
  <c r="BY4" i="1"/>
  <c r="BX4" i="1"/>
  <c r="CI5" i="1"/>
  <c r="CH5" i="1"/>
  <c r="CG5" i="1"/>
  <c r="CF5" i="1"/>
  <c r="CE5" i="1"/>
  <c r="CD5" i="1"/>
  <c r="CC5" i="1"/>
  <c r="CB5" i="1"/>
  <c r="CA5" i="1"/>
  <c r="BZ5" i="1"/>
  <c r="BY5" i="1"/>
  <c r="BX5" i="1"/>
  <c r="BW4" i="1"/>
  <c r="BV4" i="1"/>
  <c r="BU4" i="1"/>
  <c r="BT4" i="1"/>
  <c r="BS4" i="1"/>
  <c r="BR4" i="1"/>
  <c r="BQ4" i="1"/>
  <c r="BP4" i="1"/>
  <c r="BO5" i="1"/>
  <c r="BO4" i="1"/>
  <c r="BN4" i="1"/>
  <c r="BM4" i="1"/>
  <c r="BL4" i="1"/>
  <c r="BV5" i="1"/>
  <c r="BW5" i="1"/>
  <c r="BU5" i="1"/>
  <c r="BT5" i="1"/>
  <c r="BS5" i="1"/>
  <c r="BR5" i="1"/>
  <c r="BQ5" i="1"/>
  <c r="BP5" i="1"/>
  <c r="BN5" i="1"/>
  <c r="BM5" i="1"/>
  <c r="BL5" i="1"/>
  <c r="BA4" i="1"/>
  <c r="BA5" i="1"/>
  <c r="O3" i="1" s="1"/>
  <c r="AN3" i="1" s="1"/>
  <c r="AZ5" i="1"/>
  <c r="N3" i="1" s="1"/>
  <c r="AM3" i="1" s="1"/>
  <c r="BB3" i="79" l="1"/>
  <c r="BB58" i="79" s="1"/>
  <c r="BA3" i="81"/>
  <c r="M7" i="82" s="1"/>
  <c r="AZ3" i="81"/>
  <c r="L7" i="82" s="1"/>
  <c r="BA3" i="79"/>
  <c r="BA58" i="79" s="1"/>
  <c r="AQ5" i="1"/>
  <c r="E3" i="1" s="1"/>
  <c r="F102" i="30"/>
  <c r="I94" i="30"/>
  <c r="AD3" i="1" l="1"/>
  <c r="R3" i="1"/>
  <c r="AQ3" i="81"/>
  <c r="C7" i="82" s="1"/>
  <c r="AR3" i="79"/>
  <c r="AR58" i="79" s="1"/>
  <c r="J3" i="30"/>
  <c r="J4" i="30"/>
  <c r="J6" i="30"/>
  <c r="Q3" i="21"/>
  <c r="U4" i="21"/>
  <c r="T4" i="21"/>
  <c r="N3" i="21" s="1"/>
  <c r="S4" i="21"/>
  <c r="K3" i="21" s="1"/>
  <c r="R4" i="21"/>
  <c r="H3" i="21" s="1"/>
  <c r="Q4" i="21"/>
  <c r="E3" i="21" s="1"/>
  <c r="U3" i="21"/>
  <c r="T3" i="21"/>
  <c r="S3" i="21"/>
  <c r="R3" i="21"/>
  <c r="AB3" i="27"/>
  <c r="AA3" i="27"/>
  <c r="Z3" i="27"/>
  <c r="Y3" i="27"/>
  <c r="X3" i="27"/>
  <c r="W3" i="27"/>
  <c r="V3" i="27"/>
  <c r="U3" i="27"/>
  <c r="T3" i="27"/>
  <c r="AB4" i="27"/>
  <c r="AA4" i="27"/>
  <c r="Z4" i="27"/>
  <c r="Y4" i="27"/>
  <c r="X4" i="27"/>
  <c r="Q3" i="27" s="1"/>
  <c r="W4" i="27"/>
  <c r="N3" i="27" s="1"/>
  <c r="V4" i="27"/>
  <c r="K3" i="27" s="1"/>
  <c r="U4" i="27"/>
  <c r="H3" i="27" s="1"/>
  <c r="T4" i="27"/>
  <c r="E3" i="27" s="1"/>
  <c r="W4" i="20"/>
  <c r="V4" i="20"/>
  <c r="U4" i="20"/>
  <c r="T4" i="20"/>
  <c r="N3" i="20" s="1"/>
  <c r="S4" i="20"/>
  <c r="K3" i="20" s="1"/>
  <c r="R4" i="20"/>
  <c r="H3" i="20" s="1"/>
  <c r="W3" i="20"/>
  <c r="V3" i="20"/>
  <c r="U3" i="20"/>
  <c r="T3" i="20"/>
  <c r="S3" i="20"/>
  <c r="R3" i="20"/>
  <c r="Q3" i="20"/>
  <c r="W4" i="35"/>
  <c r="N3" i="35" s="1"/>
  <c r="V4" i="35"/>
  <c r="K3" i="35" s="1"/>
  <c r="U4" i="35"/>
  <c r="H3" i="35" s="1"/>
  <c r="T4" i="35"/>
  <c r="E3" i="35" s="1"/>
  <c r="X3" i="35"/>
  <c r="W3" i="35"/>
  <c r="V3" i="35"/>
  <c r="U3" i="35"/>
  <c r="T3" i="35"/>
  <c r="AE3" i="19"/>
  <c r="AD3" i="19"/>
  <c r="AC3" i="19"/>
  <c r="AB3" i="19"/>
  <c r="AA3" i="19"/>
  <c r="Z3" i="19"/>
  <c r="AE4" i="19"/>
  <c r="T3" i="19" s="1"/>
  <c r="AD4" i="19"/>
  <c r="Q3" i="19" s="1"/>
  <c r="AC4" i="19"/>
  <c r="N3" i="19" s="1"/>
  <c r="AB4" i="19"/>
  <c r="K3" i="19" s="1"/>
  <c r="AA4" i="19"/>
  <c r="H3" i="19" s="1"/>
  <c r="Z4" i="19"/>
  <c r="E3" i="19" s="1"/>
  <c r="AI4" i="18"/>
  <c r="AH4" i="18"/>
  <c r="AG4" i="18"/>
  <c r="AF4" i="18"/>
  <c r="W3" i="18" s="1"/>
  <c r="AD4" i="18"/>
  <c r="Q3" i="18" s="1"/>
  <c r="AC4" i="18"/>
  <c r="N3" i="18" s="1"/>
  <c r="AB4" i="18"/>
  <c r="K3" i="18" s="1"/>
  <c r="AA4" i="18"/>
  <c r="H3" i="18" s="1"/>
  <c r="Z4" i="18"/>
  <c r="E3" i="18" s="1"/>
  <c r="AI3" i="18"/>
  <c r="AH3" i="18"/>
  <c r="AG3" i="18"/>
  <c r="AF3" i="18"/>
  <c r="AE3" i="18"/>
  <c r="AD3" i="18"/>
  <c r="AC3" i="18"/>
  <c r="AB3" i="18"/>
  <c r="AA3" i="18"/>
  <c r="Z3" i="18"/>
  <c r="Q3" i="17"/>
  <c r="P3" i="17"/>
  <c r="O3" i="17"/>
  <c r="N3" i="17"/>
  <c r="Q4" i="17"/>
  <c r="P4" i="17"/>
  <c r="K3" i="17" s="1"/>
  <c r="O4" i="17"/>
  <c r="H3" i="17" s="1"/>
  <c r="N4" i="17"/>
  <c r="E3" i="17" s="1"/>
  <c r="N5" i="16"/>
  <c r="M5" i="16"/>
  <c r="L5" i="16"/>
  <c r="K5" i="16"/>
  <c r="J5" i="16"/>
  <c r="I5" i="16"/>
  <c r="H5" i="16"/>
  <c r="G5" i="16"/>
  <c r="F5" i="16"/>
  <c r="E5" i="16"/>
  <c r="N4" i="16"/>
  <c r="M4" i="16"/>
  <c r="L4" i="16"/>
  <c r="K4" i="16"/>
  <c r="J4" i="16"/>
  <c r="I4" i="16"/>
  <c r="H4" i="16"/>
  <c r="G4" i="16"/>
  <c r="F4" i="16"/>
  <c r="AR4" i="10"/>
  <c r="AQ4" i="10"/>
  <c r="AP4" i="10"/>
  <c r="AO4" i="10"/>
  <c r="AN4" i="10"/>
  <c r="AR3" i="10"/>
  <c r="AQ3" i="10"/>
  <c r="AP3" i="10"/>
  <c r="AO3" i="10"/>
  <c r="AN3" i="10"/>
  <c r="AL3" i="15"/>
  <c r="AK3" i="15"/>
  <c r="AJ3" i="15"/>
  <c r="AL4" i="15"/>
  <c r="AK4" i="15"/>
  <c r="AJ4" i="15"/>
  <c r="AI3" i="15"/>
  <c r="AI4" i="15"/>
  <c r="AM3" i="14"/>
  <c r="AL3" i="14"/>
  <c r="AK3" i="14"/>
  <c r="AJ3" i="14"/>
  <c r="AL4" i="14"/>
  <c r="AK4" i="14"/>
  <c r="AJ4" i="14"/>
  <c r="AI4" i="14"/>
  <c r="AI3" i="14"/>
  <c r="AO4" i="13"/>
  <c r="AN4" i="13"/>
  <c r="AM4" i="13"/>
  <c r="AO3" i="13"/>
  <c r="AN3" i="13"/>
  <c r="CA5" i="13" s="1"/>
  <c r="AM3" i="13"/>
  <c r="AL4" i="13"/>
  <c r="B142" i="39"/>
  <c r="B132" i="39"/>
  <c r="B121" i="39"/>
  <c r="AM3" i="26"/>
  <c r="AL3" i="26"/>
  <c r="AK3" i="26"/>
  <c r="AJ3" i="26"/>
  <c r="AI3" i="26"/>
  <c r="AH3" i="26"/>
  <c r="AG3" i="26"/>
  <c r="AN4" i="26"/>
  <c r="AM4" i="26"/>
  <c r="AL4" i="26"/>
  <c r="AK4" i="26"/>
  <c r="AJ4" i="26"/>
  <c r="AI4" i="26"/>
  <c r="AH4" i="26"/>
  <c r="AG4" i="26"/>
  <c r="AF4" i="26"/>
  <c r="AF3" i="26"/>
  <c r="AK3" i="12"/>
  <c r="AJ3" i="12"/>
  <c r="AI3" i="12"/>
  <c r="AH3" i="12"/>
  <c r="AG3" i="12"/>
  <c r="AK4" i="12"/>
  <c r="AJ4" i="12"/>
  <c r="AI4" i="12"/>
  <c r="AH4" i="12"/>
  <c r="AG4" i="12"/>
  <c r="AF3" i="12"/>
  <c r="AF4" i="12"/>
  <c r="AL3" i="34"/>
  <c r="AK3" i="34"/>
  <c r="AJ3" i="34"/>
  <c r="AI3" i="34"/>
  <c r="AH3" i="34"/>
  <c r="AG3" i="34"/>
  <c r="AL4" i="34"/>
  <c r="AK4" i="34"/>
  <c r="AJ4" i="34"/>
  <c r="AI4" i="34"/>
  <c r="AH4" i="34"/>
  <c r="AG4" i="34"/>
  <c r="AF3" i="34"/>
  <c r="BT5" i="34" s="1"/>
  <c r="AJ4" i="33"/>
  <c r="AI4" i="33"/>
  <c r="AH4" i="33"/>
  <c r="AG4" i="33"/>
  <c r="AF4" i="33"/>
  <c r="AI3" i="33"/>
  <c r="AH3" i="33"/>
  <c r="AG3" i="33"/>
  <c r="AF3" i="33"/>
  <c r="AR3" i="11"/>
  <c r="AQ3" i="11"/>
  <c r="AP3" i="11"/>
  <c r="AO3" i="11"/>
  <c r="AN3" i="11"/>
  <c r="AR4" i="11"/>
  <c r="AQ4" i="11"/>
  <c r="AP4" i="11"/>
  <c r="AO4" i="11"/>
  <c r="AN4" i="11"/>
  <c r="AM4" i="11"/>
  <c r="AM4" i="10"/>
  <c r="AL4" i="10"/>
  <c r="AK4" i="10"/>
  <c r="AJ4" i="10"/>
  <c r="AM3" i="10"/>
  <c r="AL3" i="10"/>
  <c r="AK3" i="10"/>
  <c r="AJ3" i="10"/>
  <c r="AI4" i="10"/>
  <c r="AI3" i="10"/>
  <c r="AC4" i="7"/>
  <c r="AB4" i="7"/>
  <c r="AA4" i="7"/>
  <c r="AC3" i="7"/>
  <c r="AB3" i="7"/>
  <c r="AA3" i="7"/>
  <c r="Z4" i="7"/>
  <c r="Z3" i="7"/>
  <c r="AY5" i="1"/>
  <c r="M3" i="1" s="1"/>
  <c r="AL3" i="1" s="1"/>
  <c r="AX5" i="1"/>
  <c r="L3" i="1" s="1"/>
  <c r="AW5" i="1"/>
  <c r="K3" i="1" s="1"/>
  <c r="AV5" i="1"/>
  <c r="J3" i="1" s="1"/>
  <c r="AU5" i="1"/>
  <c r="I3" i="1" s="1"/>
  <c r="AT5" i="1"/>
  <c r="H3" i="1" s="1"/>
  <c r="AS5" i="1"/>
  <c r="G3" i="1" s="1"/>
  <c r="AR5" i="1"/>
  <c r="F3" i="1" s="1"/>
  <c r="AZ4" i="1"/>
  <c r="AY4" i="1"/>
  <c r="AX4" i="1"/>
  <c r="AW4" i="1"/>
  <c r="AV4" i="1"/>
  <c r="AU4" i="1"/>
  <c r="AT4" i="1"/>
  <c r="AS4" i="1"/>
  <c r="AR4" i="1"/>
  <c r="FF38" i="1" s="1"/>
  <c r="AJ3" i="1" l="1"/>
  <c r="X3" i="1"/>
  <c r="AK3" i="1"/>
  <c r="Y3" i="1"/>
  <c r="AG3" i="1"/>
  <c r="U3" i="1"/>
  <c r="AH3" i="1"/>
  <c r="V3" i="1"/>
  <c r="AF3" i="1"/>
  <c r="T3" i="1"/>
  <c r="AE3" i="1"/>
  <c r="S3" i="1"/>
  <c r="W3" i="1"/>
  <c r="AI3" i="1"/>
  <c r="CA8" i="10"/>
  <c r="CA5" i="10"/>
  <c r="BU51" i="26"/>
  <c r="BU47" i="26"/>
  <c r="BT7" i="26"/>
  <c r="BT24" i="26"/>
  <c r="BU28" i="26"/>
  <c r="BT40" i="26"/>
  <c r="BT52" i="26"/>
  <c r="BT19" i="26"/>
  <c r="BU30" i="26"/>
  <c r="BT44" i="26"/>
  <c r="BT13" i="26"/>
  <c r="BT20" i="26"/>
  <c r="BT29" i="26"/>
  <c r="BT8" i="26"/>
  <c r="BU18" i="26"/>
  <c r="BU32" i="26"/>
  <c r="BU42" i="26"/>
  <c r="BU50" i="26"/>
  <c r="BU8" i="26"/>
  <c r="BU25" i="26"/>
  <c r="BU31" i="26"/>
  <c r="BT49" i="26"/>
  <c r="BT53" i="26"/>
  <c r="BU11" i="26"/>
  <c r="BU16" i="26"/>
  <c r="BT23" i="26"/>
  <c r="BT33" i="26"/>
  <c r="BT39" i="26"/>
  <c r="BU45" i="26"/>
  <c r="BU14" i="26"/>
  <c r="BU12" i="26"/>
  <c r="BT21" i="26"/>
  <c r="BU35" i="26"/>
  <c r="BT54" i="26"/>
  <c r="BU52" i="26"/>
  <c r="BU9" i="26"/>
  <c r="BU20" i="26"/>
  <c r="BT50" i="26"/>
  <c r="BT36" i="26"/>
  <c r="BT9" i="26"/>
  <c r="BU15" i="26"/>
  <c r="BU46" i="26"/>
  <c r="BU22" i="26"/>
  <c r="BT30" i="26"/>
  <c r="BU38" i="26"/>
  <c r="BT10" i="26"/>
  <c r="BU21" i="26"/>
  <c r="BT27" i="26"/>
  <c r="BT37" i="26"/>
  <c r="BT51" i="26"/>
  <c r="BT43" i="26"/>
  <c r="BU26" i="26"/>
  <c r="BT34" i="26"/>
  <c r="BU48" i="26"/>
  <c r="BT31" i="26"/>
  <c r="BT41" i="26"/>
  <c r="BT17" i="26"/>
  <c r="CK22" i="11"/>
  <c r="CK29" i="11"/>
  <c r="CK37" i="11"/>
  <c r="CK48" i="11"/>
  <c r="CK6" i="11"/>
  <c r="CK14" i="11"/>
  <c r="CK35" i="11"/>
  <c r="CK47" i="11"/>
  <c r="CK44" i="11"/>
  <c r="CK13" i="11"/>
  <c r="CK23" i="11"/>
  <c r="CK45" i="11"/>
  <c r="CK12" i="11"/>
  <c r="CK20" i="11"/>
  <c r="CK32" i="11"/>
  <c r="CK50" i="11"/>
  <c r="CK7" i="11"/>
  <c r="CK15" i="11"/>
  <c r="CK31" i="11"/>
  <c r="CK42" i="11"/>
  <c r="CK24" i="11"/>
  <c r="CK49" i="11"/>
  <c r="CK36" i="11"/>
  <c r="CK25" i="11"/>
  <c r="CK34" i="11"/>
  <c r="CK46" i="11"/>
  <c r="CK33" i="11"/>
  <c r="CK53" i="11"/>
  <c r="CK10" i="11"/>
  <c r="CK18" i="11"/>
  <c r="CK26" i="11"/>
  <c r="CK40" i="11"/>
  <c r="CK51" i="11"/>
  <c r="CK28" i="11"/>
  <c r="CK9" i="11"/>
  <c r="CK17" i="11"/>
  <c r="CK41" i="11"/>
  <c r="CK8" i="11"/>
  <c r="CK16" i="11"/>
  <c r="CK39" i="11"/>
  <c r="CK38" i="11"/>
  <c r="CK11" i="11"/>
  <c r="CK19" i="11"/>
  <c r="CK27" i="11"/>
  <c r="CJ5" i="11"/>
  <c r="CK21" i="11"/>
  <c r="CK54" i="11"/>
  <c r="CK52" i="11"/>
  <c r="CK43" i="11"/>
  <c r="CK30" i="11"/>
  <c r="CB44" i="13"/>
  <c r="CB40" i="13"/>
  <c r="CB36" i="13"/>
  <c r="CB24" i="13"/>
  <c r="CB39" i="13"/>
  <c r="CA12" i="13"/>
  <c r="CA16" i="13"/>
  <c r="CA26" i="13"/>
  <c r="CA42" i="13"/>
  <c r="CA47" i="13"/>
  <c r="CB54" i="13"/>
  <c r="CB23" i="13"/>
  <c r="CB10" i="13"/>
  <c r="CB33" i="13"/>
  <c r="CB41" i="13"/>
  <c r="CB49" i="13"/>
  <c r="CB17" i="13"/>
  <c r="CA32" i="13"/>
  <c r="CA38" i="13"/>
  <c r="CA48" i="13"/>
  <c r="CA25" i="13"/>
  <c r="CA18" i="13"/>
  <c r="CA22" i="13"/>
  <c r="CB27" i="13"/>
  <c r="CB43" i="13"/>
  <c r="CA14" i="13"/>
  <c r="CA28" i="13"/>
  <c r="CB34" i="13"/>
  <c r="CB7" i="13"/>
  <c r="CB19" i="13"/>
  <c r="CB13" i="13"/>
  <c r="CB53" i="13"/>
  <c r="CA45" i="13"/>
  <c r="CB29" i="13"/>
  <c r="CA11" i="13"/>
  <c r="CA35" i="13"/>
  <c r="CB37" i="13"/>
  <c r="CA15" i="13"/>
  <c r="CA46" i="13"/>
  <c r="FH38" i="1"/>
  <c r="FG38" i="1"/>
  <c r="BU9" i="33"/>
  <c r="BU13" i="33"/>
  <c r="BU17" i="33"/>
  <c r="BU21" i="33"/>
  <c r="BU25" i="33"/>
  <c r="BU29" i="33"/>
  <c r="BU33" i="33"/>
  <c r="BU37" i="33"/>
  <c r="BU41" i="33"/>
  <c r="BU45" i="33"/>
  <c r="BU49" i="33"/>
  <c r="BU53" i="33"/>
  <c r="BT7" i="33"/>
  <c r="BT11" i="33"/>
  <c r="BT15" i="33"/>
  <c r="BT19" i="33"/>
  <c r="BT23" i="33"/>
  <c r="BT27" i="33"/>
  <c r="BT31" i="33"/>
  <c r="BT35" i="33"/>
  <c r="BT39" i="33"/>
  <c r="BT43" i="33"/>
  <c r="BT47" i="33"/>
  <c r="BT51" i="33"/>
  <c r="BU6" i="33"/>
  <c r="BU10" i="33"/>
  <c r="BU14" i="33"/>
  <c r="BU18" i="33"/>
  <c r="BU22" i="33"/>
  <c r="BU26" i="33"/>
  <c r="BU30" i="33"/>
  <c r="BU34" i="33"/>
  <c r="BU38" i="33"/>
  <c r="BU42" i="33"/>
  <c r="BU46" i="33"/>
  <c r="BU50" i="33"/>
  <c r="BU54" i="33"/>
  <c r="BT12" i="33"/>
  <c r="BT16" i="33"/>
  <c r="BT20" i="33"/>
  <c r="BT24" i="33"/>
  <c r="BT28" i="33"/>
  <c r="BT32" i="33"/>
  <c r="BT36" i="33"/>
  <c r="BT40" i="33"/>
  <c r="BT44" i="33"/>
  <c r="BT48" i="33"/>
  <c r="BT52" i="33"/>
  <c r="BU7" i="33"/>
  <c r="BU11" i="33"/>
  <c r="BU15" i="33"/>
  <c r="BU19" i="33"/>
  <c r="BU23" i="33"/>
  <c r="BU27" i="33"/>
  <c r="BU31" i="33"/>
  <c r="BU35" i="33"/>
  <c r="BU39" i="33"/>
  <c r="BU43" i="33"/>
  <c r="BU47" i="33"/>
  <c r="BU51" i="33"/>
  <c r="BU5" i="33"/>
  <c r="BT9" i="33"/>
  <c r="BT13" i="33"/>
  <c r="BT17" i="33"/>
  <c r="BT21" i="33"/>
  <c r="BT25" i="33"/>
  <c r="BT29" i="33"/>
  <c r="BT33" i="33"/>
  <c r="BT37" i="33"/>
  <c r="BT41" i="33"/>
  <c r="BT45" i="33"/>
  <c r="BT49" i="33"/>
  <c r="BT53" i="33"/>
  <c r="BU8" i="33"/>
  <c r="BU12" i="33"/>
  <c r="BU16" i="33"/>
  <c r="BU20" i="33"/>
  <c r="BU24" i="33"/>
  <c r="BU28" i="33"/>
  <c r="BU32" i="33"/>
  <c r="BU36" i="33"/>
  <c r="BU40" i="33"/>
  <c r="BU44" i="33"/>
  <c r="BU48" i="33"/>
  <c r="BU52" i="33"/>
  <c r="BT10" i="33"/>
  <c r="BT14" i="33"/>
  <c r="BT18" i="33"/>
  <c r="BT22" i="33"/>
  <c r="BT26" i="33"/>
  <c r="BT30" i="33"/>
  <c r="BT34" i="33"/>
  <c r="BT38" i="33"/>
  <c r="BT42" i="33"/>
  <c r="BT46" i="33"/>
  <c r="BT50" i="33"/>
  <c r="BT54" i="33"/>
  <c r="BT6" i="34"/>
  <c r="BU5" i="34"/>
  <c r="BT11" i="26"/>
  <c r="BT47" i="26"/>
  <c r="BU7" i="26"/>
  <c r="BT15" i="26"/>
  <c r="BT38" i="26"/>
  <c r="BT35" i="26"/>
  <c r="BU43" i="26"/>
  <c r="BT28" i="26"/>
  <c r="BT16" i="26"/>
  <c r="BU41" i="26"/>
  <c r="BT22" i="26"/>
  <c r="BT32" i="26"/>
  <c r="BU36" i="26"/>
  <c r="BU44" i="26"/>
  <c r="BU29" i="26"/>
  <c r="BT26" i="26"/>
  <c r="BU34" i="26"/>
  <c r="BT45" i="26"/>
  <c r="BU54" i="26"/>
  <c r="BT12" i="26"/>
  <c r="BU17" i="26"/>
  <c r="BU24" i="26"/>
  <c r="BU40" i="26"/>
  <c r="BT48" i="26"/>
  <c r="BU23" i="26"/>
  <c r="BU33" i="26"/>
  <c r="BU39" i="26"/>
  <c r="BU13" i="26"/>
  <c r="BU53" i="26"/>
  <c r="BT46" i="26"/>
  <c r="BT14" i="26"/>
  <c r="BT18" i="26"/>
  <c r="BU27" i="26"/>
  <c r="BU37" i="26"/>
  <c r="BU49" i="26"/>
  <c r="BU10" i="26"/>
  <c r="BU19" i="26"/>
  <c r="BT42" i="26"/>
  <c r="BT25" i="26"/>
  <c r="CA6" i="10"/>
  <c r="CB9" i="10"/>
  <c r="CB11" i="10"/>
  <c r="CB13" i="10"/>
  <c r="CB15" i="10"/>
  <c r="CB17" i="10"/>
  <c r="CB19" i="10"/>
  <c r="CB21" i="10"/>
  <c r="CB23" i="10"/>
  <c r="CB25" i="10"/>
  <c r="CA27" i="10"/>
  <c r="CB30" i="10"/>
  <c r="CA32" i="10"/>
  <c r="CB33" i="10"/>
  <c r="CA35" i="10"/>
  <c r="CB38" i="10"/>
  <c r="CA40" i="10"/>
  <c r="CB41" i="10"/>
  <c r="CA43" i="10"/>
  <c r="CB46" i="10"/>
  <c r="CA48" i="10"/>
  <c r="CB49" i="10"/>
  <c r="CA51" i="10"/>
  <c r="CB54" i="10"/>
  <c r="CB6" i="10"/>
  <c r="CA10" i="10"/>
  <c r="CA12" i="10"/>
  <c r="CA14" i="10"/>
  <c r="CA16" i="10"/>
  <c r="CA18" i="10"/>
  <c r="CA20" i="10"/>
  <c r="CA22" i="10"/>
  <c r="CA24" i="10"/>
  <c r="CA26" i="10"/>
  <c r="CB27" i="10"/>
  <c r="CA29" i="10"/>
  <c r="CB32" i="10"/>
  <c r="CA34" i="10"/>
  <c r="CB35" i="10"/>
  <c r="CA37" i="10"/>
  <c r="CB40" i="10"/>
  <c r="CA42" i="10"/>
  <c r="CB43" i="10"/>
  <c r="CA45" i="10"/>
  <c r="CB48" i="10"/>
  <c r="CA50" i="10"/>
  <c r="CB51" i="10"/>
  <c r="CA53" i="10"/>
  <c r="CA7" i="10"/>
  <c r="CB8" i="10"/>
  <c r="CB10" i="10"/>
  <c r="CB12" i="10"/>
  <c r="CB14" i="10"/>
  <c r="CB16" i="10"/>
  <c r="CB18" i="10"/>
  <c r="CB20" i="10"/>
  <c r="CB22" i="10"/>
  <c r="CB24" i="10"/>
  <c r="CB26" i="10"/>
  <c r="CA28" i="10"/>
  <c r="CB29" i="10"/>
  <c r="CA31" i="10"/>
  <c r="CB34" i="10"/>
  <c r="CA36" i="10"/>
  <c r="CB37" i="10"/>
  <c r="CA39" i="10"/>
  <c r="CB42" i="10"/>
  <c r="CA44" i="10"/>
  <c r="CB45" i="10"/>
  <c r="CA47" i="10"/>
  <c r="CB50" i="10"/>
  <c r="CA52" i="10"/>
  <c r="CB53" i="10"/>
  <c r="CB5" i="10"/>
  <c r="CB7" i="10"/>
  <c r="CA9" i="10"/>
  <c r="CA11" i="10"/>
  <c r="CA13" i="10"/>
  <c r="CA15" i="10"/>
  <c r="CA17" i="10"/>
  <c r="CA19" i="10"/>
  <c r="CA21" i="10"/>
  <c r="CA23" i="10"/>
  <c r="CA25" i="10"/>
  <c r="CB28" i="10"/>
  <c r="CA30" i="10"/>
  <c r="CB31" i="10"/>
  <c r="CA33" i="10"/>
  <c r="CB36" i="10"/>
  <c r="CA38" i="10"/>
  <c r="CB39" i="10"/>
  <c r="CA41" i="10"/>
  <c r="CB44" i="10"/>
  <c r="CA46" i="10"/>
  <c r="CB47" i="10"/>
  <c r="CA49" i="10"/>
  <c r="CB52" i="10"/>
  <c r="CA54" i="10"/>
  <c r="BT5" i="33"/>
  <c r="BT8" i="33"/>
  <c r="BT6" i="33"/>
  <c r="BV5" i="34"/>
  <c r="BW5" i="34"/>
  <c r="BX46" i="15"/>
  <c r="BW54" i="15"/>
  <c r="BX16" i="15"/>
  <c r="BX8" i="15"/>
  <c r="BW51" i="15"/>
  <c r="BX20" i="15"/>
  <c r="BX12" i="15"/>
  <c r="BX11" i="15"/>
  <c r="BW29" i="15"/>
  <c r="BX26" i="15"/>
  <c r="BW17" i="15"/>
  <c r="BX30" i="15"/>
  <c r="BX15" i="15"/>
  <c r="BW9" i="15"/>
  <c r="BX28" i="15"/>
  <c r="BW21" i="15"/>
  <c r="BW10" i="15"/>
  <c r="BW23" i="15"/>
  <c r="BW41" i="15"/>
  <c r="BX51" i="15"/>
  <c r="BW49" i="15"/>
  <c r="BX32" i="15"/>
  <c r="BW40" i="15"/>
  <c r="BW24" i="15"/>
  <c r="BX25" i="15"/>
  <c r="BW5" i="15"/>
  <c r="BX21" i="15"/>
  <c r="BW6" i="15"/>
  <c r="BX18" i="15"/>
  <c r="BW34" i="15"/>
  <c r="BX14" i="15"/>
  <c r="BX42" i="15"/>
  <c r="BX48" i="15"/>
  <c r="BW33" i="15"/>
  <c r="BW30" i="15"/>
  <c r="BW37" i="15"/>
  <c r="BX35" i="15"/>
  <c r="BW53" i="15"/>
  <c r="BX52" i="15"/>
  <c r="BW13" i="15"/>
  <c r="BW20" i="15"/>
  <c r="BW50" i="15"/>
  <c r="BW27" i="15"/>
  <c r="BX22" i="15"/>
  <c r="BW7" i="15"/>
  <c r="BW19" i="15"/>
  <c r="BW43" i="15"/>
  <c r="BX45" i="15"/>
  <c r="BW31" i="15"/>
  <c r="BX50" i="15"/>
  <c r="BX31" i="15"/>
  <c r="BX38" i="15"/>
  <c r="BW36" i="15"/>
  <c r="BW52" i="15"/>
  <c r="BW44" i="15"/>
  <c r="BW8" i="15"/>
  <c r="BW39" i="15"/>
  <c r="BX9" i="15"/>
  <c r="BX47" i="15"/>
  <c r="BW42" i="15"/>
  <c r="BX34" i="15"/>
  <c r="BX19" i="15"/>
  <c r="BW38" i="15"/>
  <c r="BX6" i="15"/>
  <c r="BX5" i="15"/>
  <c r="BX7" i="15"/>
  <c r="BX41" i="15"/>
  <c r="BW47" i="15"/>
  <c r="BW25" i="15"/>
  <c r="BX43" i="15"/>
  <c r="BX54" i="15"/>
  <c r="BW46" i="15"/>
  <c r="BW32" i="15"/>
  <c r="BW28" i="15"/>
  <c r="BX29" i="15"/>
  <c r="BX24" i="15"/>
  <c r="BW35" i="15"/>
  <c r="BX36" i="15"/>
  <c r="BW48" i="15"/>
  <c r="BX10" i="15"/>
  <c r="BW26" i="15"/>
  <c r="BX17" i="15"/>
  <c r="BW45" i="15"/>
  <c r="BX23" i="15"/>
  <c r="BX13" i="15"/>
  <c r="BX44" i="15"/>
  <c r="BX53" i="15"/>
  <c r="BX39" i="15"/>
  <c r="BW11" i="15"/>
  <c r="BW12" i="15"/>
  <c r="BX37" i="15"/>
  <c r="BW15" i="15"/>
  <c r="BX33" i="15"/>
  <c r="BW18" i="15"/>
  <c r="BX49" i="15"/>
  <c r="BW14" i="15"/>
  <c r="BW16" i="15"/>
  <c r="BW22" i="15"/>
  <c r="BX40" i="15"/>
  <c r="BX27" i="15"/>
  <c r="BW6" i="14"/>
  <c r="BW5" i="14"/>
  <c r="BX50" i="14"/>
  <c r="BX48" i="14"/>
  <c r="BX46" i="14"/>
  <c r="BX42" i="14"/>
  <c r="BX38" i="14"/>
  <c r="BX32" i="14"/>
  <c r="BX30" i="14"/>
  <c r="BX28" i="14"/>
  <c r="BX26" i="14"/>
  <c r="BX22" i="14"/>
  <c r="BW20" i="14"/>
  <c r="BX18" i="14"/>
  <c r="BW41" i="14"/>
  <c r="BW9" i="14"/>
  <c r="BW17" i="14"/>
  <c r="BW43" i="14"/>
  <c r="BW10" i="14"/>
  <c r="BX8" i="14"/>
  <c r="BX16" i="14"/>
  <c r="BW31" i="14"/>
  <c r="BX25" i="14"/>
  <c r="BW24" i="14"/>
  <c r="BW40" i="14"/>
  <c r="BX5" i="14"/>
  <c r="BX21" i="14"/>
  <c r="BW49" i="14"/>
  <c r="BX12" i="14"/>
  <c r="BX20" i="14"/>
  <c r="BW51" i="14"/>
  <c r="BW19" i="14"/>
  <c r="BX52" i="14"/>
  <c r="BX11" i="14"/>
  <c r="BW39" i="14"/>
  <c r="BX35" i="14"/>
  <c r="BX51" i="14"/>
  <c r="BW34" i="14"/>
  <c r="BW50" i="14"/>
  <c r="BX15" i="14"/>
  <c r="BW27" i="14"/>
  <c r="BX6" i="14"/>
  <c r="BX14" i="14"/>
  <c r="BW29" i="14"/>
  <c r="BW53" i="14"/>
  <c r="BW21" i="14"/>
  <c r="BX45" i="14"/>
  <c r="BW36" i="14"/>
  <c r="BW44" i="14"/>
  <c r="BW52" i="14"/>
  <c r="BW7" i="14"/>
  <c r="BW33" i="14"/>
  <c r="BW8" i="14"/>
  <c r="BX9" i="14"/>
  <c r="BW37" i="14"/>
  <c r="BW13" i="14"/>
  <c r="BW23" i="14"/>
  <c r="BX31" i="14"/>
  <c r="BX47" i="14"/>
  <c r="BW30" i="14"/>
  <c r="BW54" i="14"/>
  <c r="BX44" i="14"/>
  <c r="BX40" i="14"/>
  <c r="BX36" i="14"/>
  <c r="BX34" i="14"/>
  <c r="BX24" i="14"/>
  <c r="BX10" i="14"/>
  <c r="BW18" i="14"/>
  <c r="BW45" i="14"/>
  <c r="BX33" i="14"/>
  <c r="BX41" i="14"/>
  <c r="BX49" i="14"/>
  <c r="BW32" i="14"/>
  <c r="BW48" i="14"/>
  <c r="BX54" i="14"/>
  <c r="BX13" i="14"/>
  <c r="BW11" i="14"/>
  <c r="BX19" i="14"/>
  <c r="BX27" i="14"/>
  <c r="BX43" i="14"/>
  <c r="BW26" i="14"/>
  <c r="BW42" i="14"/>
  <c r="BW14" i="14"/>
  <c r="BW25" i="14"/>
  <c r="BX7" i="14"/>
  <c r="BW12" i="14"/>
  <c r="BW47" i="14"/>
  <c r="BX29" i="14"/>
  <c r="BX37" i="14"/>
  <c r="BX53" i="14"/>
  <c r="BW28" i="14"/>
  <c r="BW15" i="14"/>
  <c r="BW16" i="14"/>
  <c r="BW35" i="14"/>
  <c r="BX17" i="14"/>
  <c r="BX23" i="14"/>
  <c r="BX39" i="14"/>
  <c r="BW22" i="14"/>
  <c r="BW38" i="14"/>
  <c r="BW46" i="14"/>
  <c r="CD5" i="13"/>
  <c r="CC5" i="13"/>
  <c r="BU6" i="26"/>
  <c r="BU5" i="26"/>
  <c r="BT5" i="26"/>
  <c r="BT6" i="26"/>
  <c r="BU7" i="12"/>
  <c r="BU6" i="12"/>
  <c r="BU8" i="12"/>
  <c r="BU5" i="12"/>
  <c r="BT46" i="12"/>
  <c r="BT38" i="12"/>
  <c r="BT30" i="12"/>
  <c r="BU50" i="12"/>
  <c r="BU39" i="12"/>
  <c r="BU34" i="12"/>
  <c r="BU21" i="12"/>
  <c r="BU47" i="12"/>
  <c r="BT22" i="12"/>
  <c r="BT16" i="12"/>
  <c r="BU31" i="12"/>
  <c r="BU17" i="12"/>
  <c r="BT14" i="12"/>
  <c r="BT6" i="12"/>
  <c r="BU15" i="12"/>
  <c r="BT7" i="12"/>
  <c r="BU19" i="12"/>
  <c r="BU16" i="12"/>
  <c r="BU46" i="12"/>
  <c r="BU18" i="12"/>
  <c r="BT27" i="12"/>
  <c r="BT39" i="12"/>
  <c r="BU27" i="12"/>
  <c r="BU35" i="12"/>
  <c r="BU49" i="12"/>
  <c r="BT32" i="12"/>
  <c r="BU53" i="12"/>
  <c r="BT36" i="12"/>
  <c r="BU54" i="12"/>
  <c r="BT33" i="12"/>
  <c r="BT49" i="12"/>
  <c r="BU44" i="12"/>
  <c r="BU23" i="12"/>
  <c r="BU10" i="12"/>
  <c r="BT20" i="12"/>
  <c r="BU11" i="12"/>
  <c r="BU20" i="12"/>
  <c r="BT8" i="12"/>
  <c r="BT18" i="12"/>
  <c r="BT50" i="12"/>
  <c r="BT19" i="12"/>
  <c r="BT34" i="12"/>
  <c r="BU43" i="12"/>
  <c r="BU28" i="12"/>
  <c r="BU37" i="12"/>
  <c r="BT51" i="12"/>
  <c r="BU33" i="12"/>
  <c r="BU14" i="12"/>
  <c r="BT40" i="12"/>
  <c r="BU24" i="12"/>
  <c r="BU40" i="12"/>
  <c r="BT29" i="12"/>
  <c r="BT45" i="12"/>
  <c r="BU9" i="12"/>
  <c r="BT24" i="12"/>
  <c r="BT12" i="12"/>
  <c r="BT26" i="12"/>
  <c r="BU12" i="12"/>
  <c r="BU26" i="12"/>
  <c r="BT9" i="12"/>
  <c r="BT23" i="12"/>
  <c r="BT52" i="12"/>
  <c r="BT21" i="12"/>
  <c r="BT35" i="12"/>
  <c r="BU45" i="12"/>
  <c r="BU30" i="12"/>
  <c r="BT44" i="12"/>
  <c r="BU22" i="12"/>
  <c r="BT42" i="12"/>
  <c r="BT15" i="12"/>
  <c r="BU41" i="12"/>
  <c r="BT25" i="12"/>
  <c r="BT41" i="12"/>
  <c r="BU36" i="12"/>
  <c r="BU52" i="12"/>
  <c r="BT13" i="12"/>
  <c r="BT5" i="12"/>
  <c r="BU13" i="12"/>
  <c r="BT17" i="12"/>
  <c r="BU42" i="12"/>
  <c r="BT10" i="12"/>
  <c r="BT43" i="12"/>
  <c r="BT11" i="12"/>
  <c r="BU25" i="12"/>
  <c r="BU38" i="12"/>
  <c r="BT54" i="12"/>
  <c r="BT31" i="12"/>
  <c r="BT48" i="12"/>
  <c r="BT28" i="12"/>
  <c r="BT47" i="12"/>
  <c r="BU29" i="12"/>
  <c r="BU51" i="12"/>
  <c r="BU32" i="12"/>
  <c r="BU48" i="12"/>
  <c r="BT37" i="12"/>
  <c r="BT53" i="12"/>
  <c r="BU31" i="34"/>
  <c r="BU23" i="34"/>
  <c r="BT52" i="34"/>
  <c r="BU51" i="34"/>
  <c r="BT48" i="34"/>
  <c r="BU47" i="34"/>
  <c r="BT44" i="34"/>
  <c r="BU43" i="34"/>
  <c r="BT40" i="34"/>
  <c r="BU39" i="34"/>
  <c r="BT35" i="34"/>
  <c r="BU30" i="34"/>
  <c r="BU27" i="34"/>
  <c r="BU22" i="34"/>
  <c r="BT12" i="34"/>
  <c r="BU34" i="34"/>
  <c r="BU9" i="34"/>
  <c r="BU17" i="34"/>
  <c r="BT27" i="34"/>
  <c r="BT26" i="34"/>
  <c r="BU11" i="34"/>
  <c r="BU19" i="34"/>
  <c r="BU33" i="34"/>
  <c r="BT20" i="34"/>
  <c r="BT9" i="34"/>
  <c r="BT17" i="34"/>
  <c r="BT36" i="34"/>
  <c r="BT33" i="34"/>
  <c r="BU52" i="34"/>
  <c r="BT41" i="34"/>
  <c r="BT49" i="34"/>
  <c r="BU28" i="34"/>
  <c r="BT34" i="34"/>
  <c r="BU41" i="34"/>
  <c r="BU46" i="34"/>
  <c r="BT51" i="34"/>
  <c r="BT14" i="34"/>
  <c r="BT16" i="34"/>
  <c r="BU8" i="34"/>
  <c r="BU32" i="34"/>
  <c r="BT46" i="34"/>
  <c r="BU54" i="34"/>
  <c r="BU50" i="34"/>
  <c r="BU18" i="34"/>
  <c r="BU12" i="34"/>
  <c r="BU20" i="34"/>
  <c r="BT28" i="34"/>
  <c r="BU6" i="34"/>
  <c r="BU14" i="34"/>
  <c r="BT23" i="34"/>
  <c r="BU7" i="34"/>
  <c r="BT32" i="34"/>
  <c r="BT10" i="34"/>
  <c r="BT18" i="34"/>
  <c r="BU24" i="34"/>
  <c r="BU40" i="34"/>
  <c r="BT54" i="34"/>
  <c r="BT42" i="34"/>
  <c r="BT50" i="34"/>
  <c r="BT29" i="34"/>
  <c r="BU37" i="34"/>
  <c r="BU42" i="34"/>
  <c r="BT47" i="34"/>
  <c r="BU53" i="34"/>
  <c r="BT22" i="34"/>
  <c r="BT19" i="34"/>
  <c r="BT8" i="34"/>
  <c r="BU26" i="34"/>
  <c r="BU16" i="34"/>
  <c r="BT38" i="34"/>
  <c r="BT21" i="34"/>
  <c r="BU45" i="34"/>
  <c r="BU25" i="34"/>
  <c r="BT13" i="34"/>
  <c r="BU21" i="34"/>
  <c r="BU10" i="34"/>
  <c r="BT7" i="34"/>
  <c r="BT15" i="34"/>
  <c r="BT24" i="34"/>
  <c r="BT11" i="34"/>
  <c r="BU35" i="34"/>
  <c r="BU13" i="34"/>
  <c r="BU29" i="34"/>
  <c r="BT25" i="34"/>
  <c r="BU44" i="34"/>
  <c r="BT37" i="34"/>
  <c r="BT45" i="34"/>
  <c r="BT53" i="34"/>
  <c r="BU36" i="34"/>
  <c r="BU38" i="34"/>
  <c r="BT43" i="34"/>
  <c r="BU49" i="34"/>
  <c r="BT31" i="34"/>
  <c r="BU15" i="34"/>
  <c r="BT30" i="34"/>
  <c r="BU48" i="34"/>
  <c r="BT39" i="34"/>
  <c r="BP14" i="7"/>
  <c r="BQ17" i="7"/>
  <c r="BP22" i="7"/>
  <c r="BQ33" i="7"/>
  <c r="BQ36" i="7"/>
  <c r="BP38" i="7"/>
  <c r="BQ41" i="7"/>
  <c r="BQ44" i="7"/>
  <c r="BP46" i="7"/>
  <c r="BP45" i="7"/>
  <c r="BP12" i="7"/>
  <c r="BP42" i="7"/>
  <c r="BQ19" i="7"/>
  <c r="BQ24" i="7"/>
  <c r="BP5" i="7"/>
  <c r="BP35" i="7"/>
  <c r="BQ54" i="7"/>
  <c r="BQ37" i="7"/>
  <c r="BQ39" i="7"/>
  <c r="BQ6" i="7"/>
  <c r="BP48" i="7"/>
  <c r="BP16" i="7"/>
  <c r="BQ7" i="7"/>
  <c r="BQ23" i="7"/>
  <c r="BP47" i="7"/>
  <c r="BP15" i="7"/>
  <c r="BQ49" i="7"/>
  <c r="BP28" i="7"/>
  <c r="BQ10" i="7"/>
  <c r="BQ43" i="7"/>
  <c r="BP26" i="7"/>
  <c r="BQ13" i="7"/>
  <c r="BQ34" i="7"/>
  <c r="BQ27" i="7"/>
  <c r="BQ29" i="7"/>
  <c r="BP11" i="7"/>
  <c r="BP18" i="7"/>
  <c r="BQ53" i="7"/>
  <c r="BP25" i="7"/>
  <c r="BQ40" i="7"/>
  <c r="BP32" i="7"/>
  <c r="BP6" i="7"/>
  <c r="BQ25" i="7"/>
  <c r="BP30" i="7"/>
  <c r="BQ52" i="7"/>
  <c r="BP54" i="7"/>
  <c r="BP13" i="7"/>
  <c r="BP21" i="7"/>
  <c r="BP29" i="7"/>
  <c r="BP37" i="7"/>
  <c r="BP53" i="7"/>
  <c r="BQ5" i="7"/>
  <c r="BQ14" i="7"/>
  <c r="BP44" i="7"/>
  <c r="BQ30" i="7"/>
  <c r="BP10" i="7"/>
  <c r="BP49" i="7"/>
  <c r="BP17" i="7"/>
  <c r="BP24" i="7"/>
  <c r="BQ35" i="7"/>
  <c r="BQ11" i="7"/>
  <c r="BQ20" i="7"/>
  <c r="BQ42" i="7"/>
  <c r="BP51" i="7"/>
  <c r="BP19" i="7"/>
  <c r="BQ22" i="7"/>
  <c r="BP36" i="7"/>
  <c r="BQ51" i="7"/>
  <c r="BP34" i="7"/>
  <c r="BQ8" i="7"/>
  <c r="BQ21" i="7"/>
  <c r="BP41" i="7"/>
  <c r="BP9" i="7"/>
  <c r="BQ31" i="7"/>
  <c r="BQ46" i="7"/>
  <c r="BP31" i="7"/>
  <c r="BQ50" i="7"/>
  <c r="BQ28" i="7"/>
  <c r="BP33" i="7"/>
  <c r="BQ48" i="7"/>
  <c r="BP40" i="7"/>
  <c r="BP8" i="7"/>
  <c r="BQ9" i="7"/>
  <c r="BP43" i="7"/>
  <c r="BP27" i="7"/>
  <c r="BQ38" i="7"/>
  <c r="BP52" i="7"/>
  <c r="BP20" i="7"/>
  <c r="BQ18" i="7"/>
  <c r="BP50" i="7"/>
  <c r="BQ16" i="7"/>
  <c r="BQ45" i="7"/>
  <c r="BQ47" i="7"/>
  <c r="BQ15" i="7"/>
  <c r="BQ12" i="7"/>
  <c r="BQ32" i="7"/>
  <c r="BP39" i="7"/>
  <c r="BP23" i="7"/>
  <c r="BP7" i="7"/>
  <c r="BQ26" i="7"/>
  <c r="AU3" i="79"/>
  <c r="AU58" i="79" s="1"/>
  <c r="AT3" i="81"/>
  <c r="F7" i="82" s="1"/>
  <c r="AY3" i="79"/>
  <c r="AY58" i="79" s="1"/>
  <c r="AX3" i="81"/>
  <c r="J7" i="82" s="1"/>
  <c r="AU3" i="81"/>
  <c r="G7" i="82" s="1"/>
  <c r="AV3" i="79"/>
  <c r="AV58" i="79" s="1"/>
  <c r="AY3" i="81"/>
  <c r="K7" i="82" s="1"/>
  <c r="AZ3" i="79"/>
  <c r="AZ58" i="79" s="1"/>
  <c r="AS3" i="79"/>
  <c r="AS58" i="79" s="1"/>
  <c r="AR3" i="81"/>
  <c r="D7" i="82" s="1"/>
  <c r="AW3" i="79"/>
  <c r="AW58" i="79" s="1"/>
  <c r="AV3" i="81"/>
  <c r="H7" i="82" s="1"/>
  <c r="AS3" i="81"/>
  <c r="E7" i="82" s="1"/>
  <c r="AT3" i="79"/>
  <c r="AT58" i="79" s="1"/>
  <c r="AW3" i="81"/>
  <c r="I7" i="82" s="1"/>
  <c r="AX3" i="79"/>
  <c r="AX58" i="79" s="1"/>
  <c r="B47" i="30"/>
  <c r="B46" i="30"/>
  <c r="B45" i="30"/>
  <c r="BV6" i="34" l="1"/>
  <c r="BW8" i="33"/>
  <c r="BV8" i="33"/>
  <c r="CC49" i="10"/>
  <c r="CD49" i="10"/>
  <c r="CE49" i="10" s="1"/>
  <c r="CC41" i="10"/>
  <c r="CD41" i="10"/>
  <c r="CE41" i="10" s="1"/>
  <c r="CF41" i="10" s="1"/>
  <c r="BZ41" i="10" s="1"/>
  <c r="L42" i="83" s="1"/>
  <c r="CC33" i="10"/>
  <c r="CD33" i="10"/>
  <c r="CE33" i="10" s="1"/>
  <c r="CC25" i="10"/>
  <c r="CD25" i="10"/>
  <c r="CE25" i="10" s="1"/>
  <c r="CC17" i="10"/>
  <c r="CD17" i="10"/>
  <c r="CE17" i="10" s="1"/>
  <c r="CF17" i="10" s="1"/>
  <c r="BZ17" i="10" s="1"/>
  <c r="L18" i="83" s="1"/>
  <c r="CC9" i="10"/>
  <c r="CD9" i="10"/>
  <c r="CE9" i="10" s="1"/>
  <c r="CD52" i="10"/>
  <c r="CE52" i="10" s="1"/>
  <c r="CF52" i="10" s="1"/>
  <c r="BZ52" i="10" s="1"/>
  <c r="L53" i="83" s="1"/>
  <c r="CC52" i="10"/>
  <c r="CD44" i="10"/>
  <c r="CE44" i="10" s="1"/>
  <c r="CF44" i="10" s="1"/>
  <c r="BZ44" i="10" s="1"/>
  <c r="L45" i="83" s="1"/>
  <c r="CC44" i="10"/>
  <c r="CD36" i="10"/>
  <c r="CE36" i="10" s="1"/>
  <c r="CF36" i="10" s="1"/>
  <c r="BZ36" i="10" s="1"/>
  <c r="L37" i="83" s="1"/>
  <c r="CC36" i="10"/>
  <c r="CD28" i="10"/>
  <c r="CE28" i="10" s="1"/>
  <c r="CF28" i="10" s="1"/>
  <c r="BZ28" i="10" s="1"/>
  <c r="L29" i="83" s="1"/>
  <c r="CC28" i="10"/>
  <c r="CC53" i="10"/>
  <c r="CD53" i="10"/>
  <c r="CE53" i="10" s="1"/>
  <c r="CF53" i="10" s="1"/>
  <c r="BZ53" i="10" s="1"/>
  <c r="L54" i="83" s="1"/>
  <c r="CC45" i="10"/>
  <c r="CD45" i="10"/>
  <c r="CE45" i="10" s="1"/>
  <c r="CF45" i="10" s="1"/>
  <c r="BZ45" i="10" s="1"/>
  <c r="L46" i="83" s="1"/>
  <c r="CC37" i="10"/>
  <c r="CD37" i="10"/>
  <c r="CE37" i="10" s="1"/>
  <c r="CF37" i="10" s="1"/>
  <c r="BZ37" i="10" s="1"/>
  <c r="L38" i="83" s="1"/>
  <c r="CC29" i="10"/>
  <c r="CD29" i="10"/>
  <c r="CE29" i="10" s="1"/>
  <c r="CF29" i="10" s="1"/>
  <c r="BZ29" i="10" s="1"/>
  <c r="L30" i="83" s="1"/>
  <c r="CC22" i="10"/>
  <c r="CD22" i="10"/>
  <c r="CE22" i="10" s="1"/>
  <c r="CF22" i="10" s="1"/>
  <c r="BZ22" i="10" s="1"/>
  <c r="L23" i="83" s="1"/>
  <c r="CC14" i="10"/>
  <c r="CD14" i="10"/>
  <c r="CE14" i="10" s="1"/>
  <c r="CF14" i="10" s="1"/>
  <c r="BZ14" i="10" s="1"/>
  <c r="L15" i="83" s="1"/>
  <c r="BV25" i="26"/>
  <c r="BW25" i="26"/>
  <c r="BV14" i="26"/>
  <c r="BW14" i="26"/>
  <c r="BW22" i="26"/>
  <c r="BV22" i="26"/>
  <c r="BW42" i="33"/>
  <c r="BX42" i="33" s="1"/>
  <c r="BY42" i="33" s="1"/>
  <c r="BS42" i="33" s="1"/>
  <c r="R43" i="83" s="1"/>
  <c r="BV42" i="33"/>
  <c r="BW26" i="33"/>
  <c r="BX26" i="33" s="1"/>
  <c r="BY26" i="33" s="1"/>
  <c r="BS26" i="33" s="1"/>
  <c r="R27" i="83" s="1"/>
  <c r="BV26" i="33"/>
  <c r="BV10" i="33"/>
  <c r="BW10" i="33"/>
  <c r="BX10" i="33" s="1"/>
  <c r="BY10" i="33" s="1"/>
  <c r="BS10" i="33" s="1"/>
  <c r="R11" i="83" s="1"/>
  <c r="BW41" i="33"/>
  <c r="BX41" i="33" s="1"/>
  <c r="BY41" i="33" s="1"/>
  <c r="BS41" i="33" s="1"/>
  <c r="R42" i="83" s="1"/>
  <c r="BV41" i="33"/>
  <c r="BW25" i="33"/>
  <c r="BX25" i="33" s="1"/>
  <c r="BY25" i="33" s="1"/>
  <c r="BS25" i="33" s="1"/>
  <c r="R26" i="83" s="1"/>
  <c r="BV25" i="33"/>
  <c r="BW9" i="33"/>
  <c r="BX9" i="33" s="1"/>
  <c r="BY9" i="33" s="1"/>
  <c r="BS9" i="33" s="1"/>
  <c r="R10" i="83" s="1"/>
  <c r="BV9" i="33"/>
  <c r="BV44" i="33"/>
  <c r="BW44" i="33"/>
  <c r="BX44" i="33" s="1"/>
  <c r="BY44" i="33" s="1"/>
  <c r="BS44" i="33" s="1"/>
  <c r="R45" i="83" s="1"/>
  <c r="BV28" i="33"/>
  <c r="BW28" i="33"/>
  <c r="BX28" i="33" s="1"/>
  <c r="BY28" i="33" s="1"/>
  <c r="BS28" i="33" s="1"/>
  <c r="R29" i="83" s="1"/>
  <c r="BV12" i="33"/>
  <c r="BW12" i="33"/>
  <c r="BX12" i="33" s="1"/>
  <c r="BY12" i="33" s="1"/>
  <c r="BS12" i="33" s="1"/>
  <c r="R13" i="83" s="1"/>
  <c r="BW43" i="33"/>
  <c r="BX43" i="33" s="1"/>
  <c r="BY43" i="33" s="1"/>
  <c r="BS43" i="33" s="1"/>
  <c r="R44" i="83" s="1"/>
  <c r="BV43" i="33"/>
  <c r="BW27" i="33"/>
  <c r="BX27" i="33" s="1"/>
  <c r="BY27" i="33" s="1"/>
  <c r="BS27" i="33" s="1"/>
  <c r="R28" i="83" s="1"/>
  <c r="BV27" i="33"/>
  <c r="BV11" i="33"/>
  <c r="BW11" i="33"/>
  <c r="BX11" i="33" s="1"/>
  <c r="BY11" i="33" s="1"/>
  <c r="BS11" i="33" s="1"/>
  <c r="R12" i="83" s="1"/>
  <c r="CD46" i="13"/>
  <c r="CC46" i="13"/>
  <c r="CC11" i="13"/>
  <c r="CD11" i="13"/>
  <c r="CD13" i="13"/>
  <c r="CC13" i="13"/>
  <c r="CC28" i="13"/>
  <c r="CD28" i="13"/>
  <c r="CD22" i="13"/>
  <c r="CC22" i="13"/>
  <c r="CD38" i="13"/>
  <c r="CC38" i="13"/>
  <c r="CD41" i="13"/>
  <c r="CC41" i="13"/>
  <c r="CD54" i="13"/>
  <c r="CC54" i="13"/>
  <c r="CD16" i="13"/>
  <c r="CC16" i="13"/>
  <c r="CC36" i="13"/>
  <c r="CD36" i="13"/>
  <c r="CM43" i="11"/>
  <c r="CL43" i="11"/>
  <c r="CM5" i="11"/>
  <c r="CL5" i="11"/>
  <c r="CM38" i="11"/>
  <c r="CL38" i="11"/>
  <c r="CM41" i="11"/>
  <c r="CL41" i="11"/>
  <c r="CM51" i="11"/>
  <c r="CL51" i="11"/>
  <c r="CL10" i="11"/>
  <c r="CM10" i="11"/>
  <c r="CM34" i="11"/>
  <c r="CL34" i="11"/>
  <c r="CL24" i="11"/>
  <c r="CM24" i="11"/>
  <c r="CM7" i="11"/>
  <c r="CL7" i="11"/>
  <c r="CL12" i="11"/>
  <c r="CM12" i="11"/>
  <c r="CL44" i="11"/>
  <c r="CM44" i="11"/>
  <c r="CL6" i="11"/>
  <c r="CM6" i="11"/>
  <c r="CM22" i="11"/>
  <c r="CL22" i="11"/>
  <c r="BW51" i="26"/>
  <c r="BX51" i="26" s="1"/>
  <c r="BV51" i="26"/>
  <c r="BV10" i="26"/>
  <c r="BW10" i="26"/>
  <c r="BW50" i="26"/>
  <c r="BX50" i="26" s="1"/>
  <c r="BV50" i="26"/>
  <c r="BW54" i="26"/>
  <c r="BV54" i="26"/>
  <c r="BV23" i="26"/>
  <c r="BW23" i="26"/>
  <c r="BW49" i="26"/>
  <c r="BV49" i="26"/>
  <c r="BV8" i="26"/>
  <c r="BW8" i="26"/>
  <c r="BX8" i="26" s="1"/>
  <c r="BW44" i="26"/>
  <c r="BV44" i="26"/>
  <c r="BV40" i="26"/>
  <c r="BW40" i="26"/>
  <c r="BX5" i="34"/>
  <c r="BW5" i="33"/>
  <c r="BV5" i="33"/>
  <c r="CC23" i="10"/>
  <c r="CD23" i="10"/>
  <c r="CE23" i="10" s="1"/>
  <c r="CF23" i="10" s="1"/>
  <c r="BZ23" i="10" s="1"/>
  <c r="L24" i="83" s="1"/>
  <c r="CC15" i="10"/>
  <c r="CD15" i="10"/>
  <c r="CE15" i="10" s="1"/>
  <c r="CF15" i="10" s="1"/>
  <c r="BZ15" i="10" s="1"/>
  <c r="L16" i="83" s="1"/>
  <c r="CC20" i="10"/>
  <c r="CD20" i="10"/>
  <c r="CE20" i="10" s="1"/>
  <c r="CF20" i="10" s="1"/>
  <c r="BZ20" i="10" s="1"/>
  <c r="L21" i="83" s="1"/>
  <c r="CC12" i="10"/>
  <c r="CD12" i="10"/>
  <c r="CE12" i="10" s="1"/>
  <c r="CF12" i="10" s="1"/>
  <c r="BZ12" i="10" s="1"/>
  <c r="L13" i="83" s="1"/>
  <c r="CC51" i="10"/>
  <c r="CD51" i="10"/>
  <c r="CE51" i="10" s="1"/>
  <c r="CF51" i="10" s="1"/>
  <c r="BZ51" i="10" s="1"/>
  <c r="L52" i="83" s="1"/>
  <c r="CC43" i="10"/>
  <c r="CD43" i="10"/>
  <c r="CE43" i="10" s="1"/>
  <c r="CC35" i="10"/>
  <c r="CD35" i="10"/>
  <c r="CE35" i="10" s="1"/>
  <c r="CC27" i="10"/>
  <c r="CD27" i="10"/>
  <c r="CE27" i="10" s="1"/>
  <c r="BV42" i="26"/>
  <c r="BW42" i="26"/>
  <c r="BW46" i="26"/>
  <c r="BV46" i="26"/>
  <c r="BV45" i="26"/>
  <c r="BW45" i="26"/>
  <c r="BW35" i="26"/>
  <c r="BV35" i="26"/>
  <c r="BW47" i="26"/>
  <c r="BV47" i="26"/>
  <c r="BV54" i="33"/>
  <c r="BW54" i="33"/>
  <c r="BX54" i="33" s="1"/>
  <c r="BY54" i="33" s="1"/>
  <c r="BS54" i="33" s="1"/>
  <c r="R55" i="83" s="1"/>
  <c r="BW38" i="33"/>
  <c r="BX38" i="33" s="1"/>
  <c r="BY38" i="33" s="1"/>
  <c r="BS38" i="33" s="1"/>
  <c r="R39" i="83" s="1"/>
  <c r="BV38" i="33"/>
  <c r="BW22" i="33"/>
  <c r="BX22" i="33" s="1"/>
  <c r="BY22" i="33" s="1"/>
  <c r="BS22" i="33" s="1"/>
  <c r="R23" i="83" s="1"/>
  <c r="BV22" i="33"/>
  <c r="BW53" i="33"/>
  <c r="BX53" i="33" s="1"/>
  <c r="BY53" i="33" s="1"/>
  <c r="BS53" i="33" s="1"/>
  <c r="R54" i="83" s="1"/>
  <c r="BV53" i="33"/>
  <c r="BV37" i="33"/>
  <c r="BW37" i="33"/>
  <c r="BX37" i="33" s="1"/>
  <c r="BY37" i="33" s="1"/>
  <c r="BS37" i="33" s="1"/>
  <c r="R38" i="83" s="1"/>
  <c r="BV21" i="33"/>
  <c r="BW21" i="33"/>
  <c r="BX21" i="33" s="1"/>
  <c r="BY21" i="33" s="1"/>
  <c r="BS21" i="33" s="1"/>
  <c r="R22" i="83" s="1"/>
  <c r="BV40" i="33"/>
  <c r="BW40" i="33"/>
  <c r="BX40" i="33" s="1"/>
  <c r="BY40" i="33" s="1"/>
  <c r="BS40" i="33" s="1"/>
  <c r="R41" i="83" s="1"/>
  <c r="BV24" i="33"/>
  <c r="BW24" i="33"/>
  <c r="BX24" i="33" s="1"/>
  <c r="BY24" i="33" s="1"/>
  <c r="BS24" i="33" s="1"/>
  <c r="R25" i="83" s="1"/>
  <c r="BW39" i="33"/>
  <c r="BX39" i="33" s="1"/>
  <c r="BY39" i="33" s="1"/>
  <c r="BS39" i="33" s="1"/>
  <c r="R40" i="83" s="1"/>
  <c r="BV39" i="33"/>
  <c r="BW23" i="33"/>
  <c r="BX23" i="33" s="1"/>
  <c r="BY23" i="33" s="1"/>
  <c r="BS23" i="33" s="1"/>
  <c r="R24" i="83" s="1"/>
  <c r="BV23" i="33"/>
  <c r="BV7" i="33"/>
  <c r="BW7" i="33"/>
  <c r="BX7" i="33" s="1"/>
  <c r="BY7" i="33" s="1"/>
  <c r="BS7" i="33" s="1"/>
  <c r="R8" i="83" s="1"/>
  <c r="CC15" i="13"/>
  <c r="CD15" i="13"/>
  <c r="CC29" i="13"/>
  <c r="CD29" i="13"/>
  <c r="CC19" i="13"/>
  <c r="CD19" i="13"/>
  <c r="CD14" i="13"/>
  <c r="CC14" i="13"/>
  <c r="CD18" i="13"/>
  <c r="CC18" i="13"/>
  <c r="CC32" i="13"/>
  <c r="CD32" i="13"/>
  <c r="CD33" i="13"/>
  <c r="CC33" i="13"/>
  <c r="CD47" i="13"/>
  <c r="CC47" i="13"/>
  <c r="CC12" i="13"/>
  <c r="CD12" i="13"/>
  <c r="CC40" i="13"/>
  <c r="CD40" i="13"/>
  <c r="CL52" i="11"/>
  <c r="CM52" i="11"/>
  <c r="CM27" i="11"/>
  <c r="CL27" i="11"/>
  <c r="CL39" i="11"/>
  <c r="CM39" i="11"/>
  <c r="CL17" i="11"/>
  <c r="CM17" i="11"/>
  <c r="CL40" i="11"/>
  <c r="CM40" i="11"/>
  <c r="CL53" i="11"/>
  <c r="CM53" i="11"/>
  <c r="CM25" i="11"/>
  <c r="CL25" i="11"/>
  <c r="CM42" i="11"/>
  <c r="CL42" i="11"/>
  <c r="CM50" i="11"/>
  <c r="CL50" i="11"/>
  <c r="CL45" i="11"/>
  <c r="CM45" i="11"/>
  <c r="CL47" i="11"/>
  <c r="CM47" i="11"/>
  <c r="CL48" i="11"/>
  <c r="CM48" i="11"/>
  <c r="BV17" i="26"/>
  <c r="BW17" i="26"/>
  <c r="BV34" i="26"/>
  <c r="BW34" i="26"/>
  <c r="BV37" i="26"/>
  <c r="BW37" i="26"/>
  <c r="BV29" i="26"/>
  <c r="BW29" i="26"/>
  <c r="BW6" i="34"/>
  <c r="CD54" i="10"/>
  <c r="CE54" i="10" s="1"/>
  <c r="CF54" i="10" s="1"/>
  <c r="BZ54" i="10" s="1"/>
  <c r="L55" i="83" s="1"/>
  <c r="CC54" i="10"/>
  <c r="CD46" i="10"/>
  <c r="CE46" i="10" s="1"/>
  <c r="CF46" i="10" s="1"/>
  <c r="BZ46" i="10" s="1"/>
  <c r="L47" i="83" s="1"/>
  <c r="CC46" i="10"/>
  <c r="CD38" i="10"/>
  <c r="CE38" i="10" s="1"/>
  <c r="CF38" i="10" s="1"/>
  <c r="BZ38" i="10" s="1"/>
  <c r="L39" i="83" s="1"/>
  <c r="CC38" i="10"/>
  <c r="CD30" i="10"/>
  <c r="CE30" i="10" s="1"/>
  <c r="CF30" i="10" s="1"/>
  <c r="BZ30" i="10" s="1"/>
  <c r="L31" i="83" s="1"/>
  <c r="CC30" i="10"/>
  <c r="CC21" i="10"/>
  <c r="CD21" i="10"/>
  <c r="CE21" i="10" s="1"/>
  <c r="CF21" i="10" s="1"/>
  <c r="BZ21" i="10" s="1"/>
  <c r="L22" i="83" s="1"/>
  <c r="CC13" i="10"/>
  <c r="CD13" i="10"/>
  <c r="CE13" i="10" s="1"/>
  <c r="CF13" i="10" s="1"/>
  <c r="BZ13" i="10" s="1"/>
  <c r="L14" i="83" s="1"/>
  <c r="CC47" i="10"/>
  <c r="CD47" i="10"/>
  <c r="CE47" i="10" s="1"/>
  <c r="CF47" i="10" s="1"/>
  <c r="BZ47" i="10" s="1"/>
  <c r="L48" i="83" s="1"/>
  <c r="CC39" i="10"/>
  <c r="CD39" i="10"/>
  <c r="CE39" i="10" s="1"/>
  <c r="CF39" i="10" s="1"/>
  <c r="BZ39" i="10" s="1"/>
  <c r="L40" i="83" s="1"/>
  <c r="CC31" i="10"/>
  <c r="CD31" i="10"/>
  <c r="CE31" i="10" s="1"/>
  <c r="CF31" i="10" s="1"/>
  <c r="BZ31" i="10" s="1"/>
  <c r="L32" i="83" s="1"/>
  <c r="CD50" i="10"/>
  <c r="CE50" i="10" s="1"/>
  <c r="CF50" i="10" s="1"/>
  <c r="BZ50" i="10" s="1"/>
  <c r="L51" i="83" s="1"/>
  <c r="CC50" i="10"/>
  <c r="CD42" i="10"/>
  <c r="CE42" i="10" s="1"/>
  <c r="CF42" i="10" s="1"/>
  <c r="BZ42" i="10" s="1"/>
  <c r="L43" i="83" s="1"/>
  <c r="CC42" i="10"/>
  <c r="CD34" i="10"/>
  <c r="CE34" i="10" s="1"/>
  <c r="CF34" i="10" s="1"/>
  <c r="BZ34" i="10" s="1"/>
  <c r="L35" i="83" s="1"/>
  <c r="CC34" i="10"/>
  <c r="CD26" i="10"/>
  <c r="CE26" i="10" s="1"/>
  <c r="CF26" i="10" s="1"/>
  <c r="BZ26" i="10" s="1"/>
  <c r="L27" i="83" s="1"/>
  <c r="CC26" i="10"/>
  <c r="CC18" i="10"/>
  <c r="CD18" i="10"/>
  <c r="CE18" i="10" s="1"/>
  <c r="CF18" i="10" s="1"/>
  <c r="BZ18" i="10" s="1"/>
  <c r="L19" i="83" s="1"/>
  <c r="CC10" i="10"/>
  <c r="CD10" i="10"/>
  <c r="CE10" i="10" s="1"/>
  <c r="CF10" i="10" s="1"/>
  <c r="BZ10" i="10" s="1"/>
  <c r="L11" i="83" s="1"/>
  <c r="BW16" i="26"/>
  <c r="BV16" i="26"/>
  <c r="BV38" i="26"/>
  <c r="BW38" i="26"/>
  <c r="BV11" i="26"/>
  <c r="BW11" i="26"/>
  <c r="BW50" i="33"/>
  <c r="BX50" i="33" s="1"/>
  <c r="BY50" i="33" s="1"/>
  <c r="BS50" i="33" s="1"/>
  <c r="R51" i="83" s="1"/>
  <c r="BV50" i="33"/>
  <c r="BW34" i="33"/>
  <c r="BX34" i="33" s="1"/>
  <c r="BY34" i="33" s="1"/>
  <c r="BS34" i="33" s="1"/>
  <c r="R35" i="83" s="1"/>
  <c r="BV34" i="33"/>
  <c r="BW18" i="33"/>
  <c r="BX18" i="33" s="1"/>
  <c r="BY18" i="33" s="1"/>
  <c r="BS18" i="33" s="1"/>
  <c r="R19" i="83" s="1"/>
  <c r="BV18" i="33"/>
  <c r="BW49" i="33"/>
  <c r="BX49" i="33" s="1"/>
  <c r="BY49" i="33" s="1"/>
  <c r="BS49" i="33" s="1"/>
  <c r="R50" i="83" s="1"/>
  <c r="BV49" i="33"/>
  <c r="BW33" i="33"/>
  <c r="BX33" i="33" s="1"/>
  <c r="BY33" i="33" s="1"/>
  <c r="BS33" i="33" s="1"/>
  <c r="R34" i="83" s="1"/>
  <c r="BV33" i="33"/>
  <c r="BV17" i="33"/>
  <c r="BW17" i="33"/>
  <c r="BX17" i="33" s="1"/>
  <c r="BY17" i="33" s="1"/>
  <c r="BS17" i="33" s="1"/>
  <c r="R18" i="83" s="1"/>
  <c r="BV52" i="33"/>
  <c r="BW52" i="33"/>
  <c r="BX52" i="33" s="1"/>
  <c r="BY52" i="33" s="1"/>
  <c r="BS52" i="33" s="1"/>
  <c r="R53" i="83" s="1"/>
  <c r="BV36" i="33"/>
  <c r="BW36" i="33"/>
  <c r="BX36" i="33" s="1"/>
  <c r="BY36" i="33" s="1"/>
  <c r="BS36" i="33" s="1"/>
  <c r="R37" i="83" s="1"/>
  <c r="BW20" i="33"/>
  <c r="BX20" i="33" s="1"/>
  <c r="BY20" i="33" s="1"/>
  <c r="BS20" i="33" s="1"/>
  <c r="R21" i="83" s="1"/>
  <c r="BV20" i="33"/>
  <c r="BW51" i="33"/>
  <c r="BX51" i="33" s="1"/>
  <c r="BY51" i="33" s="1"/>
  <c r="BS51" i="33" s="1"/>
  <c r="R52" i="83" s="1"/>
  <c r="BV51" i="33"/>
  <c r="BW35" i="33"/>
  <c r="BX35" i="33" s="1"/>
  <c r="BY35" i="33" s="1"/>
  <c r="BS35" i="33" s="1"/>
  <c r="R36" i="83" s="1"/>
  <c r="BV35" i="33"/>
  <c r="BV19" i="33"/>
  <c r="BW19" i="33"/>
  <c r="BX19" i="33" s="1"/>
  <c r="BY19" i="33" s="1"/>
  <c r="BS19" i="33" s="1"/>
  <c r="R20" i="83" s="1"/>
  <c r="CC37" i="13"/>
  <c r="CD37" i="13"/>
  <c r="CC45" i="13"/>
  <c r="CD45" i="13"/>
  <c r="CC7" i="13"/>
  <c r="CD7" i="13"/>
  <c r="CC43" i="13"/>
  <c r="CD43" i="13"/>
  <c r="CD25" i="13"/>
  <c r="CC25" i="13"/>
  <c r="CD17" i="13"/>
  <c r="CC17" i="13"/>
  <c r="CD10" i="13"/>
  <c r="CC10" i="13"/>
  <c r="CD42" i="13"/>
  <c r="CC42" i="13"/>
  <c r="CD39" i="13"/>
  <c r="CC39" i="13"/>
  <c r="CC44" i="13"/>
  <c r="CD44" i="13"/>
  <c r="CM54" i="11"/>
  <c r="CL54" i="11"/>
  <c r="CL19" i="11"/>
  <c r="CM19" i="11"/>
  <c r="CM16" i="11"/>
  <c r="CL16" i="11"/>
  <c r="CL9" i="11"/>
  <c r="CM9" i="11"/>
  <c r="CM26" i="11"/>
  <c r="CL26" i="11"/>
  <c r="CM33" i="11"/>
  <c r="CL33" i="11"/>
  <c r="CL36" i="11"/>
  <c r="CM36" i="11"/>
  <c r="CL31" i="11"/>
  <c r="CM31" i="11"/>
  <c r="CL32" i="11"/>
  <c r="CM32" i="11"/>
  <c r="CL23" i="11"/>
  <c r="CM23" i="11"/>
  <c r="CM35" i="11"/>
  <c r="CL35" i="11"/>
  <c r="CL37" i="11"/>
  <c r="CM37" i="11"/>
  <c r="BW41" i="26"/>
  <c r="BV41" i="26"/>
  <c r="BW27" i="26"/>
  <c r="BV27" i="26"/>
  <c r="BW30" i="26"/>
  <c r="BX30" i="26" s="1"/>
  <c r="BV30" i="26"/>
  <c r="BW9" i="26"/>
  <c r="BX9" i="26" s="1"/>
  <c r="BV9" i="26"/>
  <c r="BV21" i="26"/>
  <c r="BW21" i="26"/>
  <c r="BX21" i="26" s="1"/>
  <c r="BW39" i="26"/>
  <c r="BV39" i="26"/>
  <c r="BW20" i="26"/>
  <c r="BX20" i="26" s="1"/>
  <c r="BV20" i="26"/>
  <c r="BW19" i="26"/>
  <c r="BV19" i="26"/>
  <c r="BV24" i="26"/>
  <c r="BW24" i="26"/>
  <c r="CC5" i="10"/>
  <c r="CD5" i="10"/>
  <c r="BW6" i="33"/>
  <c r="BV6" i="33"/>
  <c r="CC19" i="10"/>
  <c r="CD19" i="10"/>
  <c r="CE19" i="10" s="1"/>
  <c r="CC11" i="10"/>
  <c r="CD11" i="10"/>
  <c r="CE11" i="10" s="1"/>
  <c r="CF11" i="10" s="1"/>
  <c r="BZ11" i="10" s="1"/>
  <c r="L12" i="83" s="1"/>
  <c r="CD7" i="10"/>
  <c r="CE7" i="10" s="1"/>
  <c r="CF7" i="10" s="1"/>
  <c r="BZ7" i="10" s="1"/>
  <c r="L8" i="83" s="1"/>
  <c r="CC7" i="10"/>
  <c r="CC24" i="10"/>
  <c r="CD24" i="10"/>
  <c r="CE24" i="10" s="1"/>
  <c r="CF24" i="10" s="1"/>
  <c r="BZ24" i="10" s="1"/>
  <c r="L25" i="83" s="1"/>
  <c r="CC16" i="10"/>
  <c r="CD16" i="10"/>
  <c r="CE16" i="10" s="1"/>
  <c r="CF16" i="10" s="1"/>
  <c r="BZ16" i="10" s="1"/>
  <c r="L17" i="83" s="1"/>
  <c r="CD48" i="10"/>
  <c r="CE48" i="10" s="1"/>
  <c r="CF48" i="10" s="1"/>
  <c r="BZ48" i="10" s="1"/>
  <c r="L49" i="83" s="1"/>
  <c r="CC48" i="10"/>
  <c r="CD40" i="10"/>
  <c r="CE40" i="10" s="1"/>
  <c r="CF40" i="10" s="1"/>
  <c r="BZ40" i="10" s="1"/>
  <c r="L41" i="83" s="1"/>
  <c r="CC40" i="10"/>
  <c r="CD32" i="10"/>
  <c r="CE32" i="10" s="1"/>
  <c r="CF32" i="10" s="1"/>
  <c r="BZ32" i="10" s="1"/>
  <c r="L33" i="83" s="1"/>
  <c r="CC32" i="10"/>
  <c r="CC6" i="10"/>
  <c r="CD6" i="10"/>
  <c r="CE6" i="10" s="1"/>
  <c r="CF6" i="10" s="1"/>
  <c r="BZ6" i="10" s="1"/>
  <c r="L7" i="83" s="1"/>
  <c r="BV18" i="26"/>
  <c r="BW18" i="26"/>
  <c r="BV48" i="26"/>
  <c r="BW48" i="26"/>
  <c r="BV12" i="26"/>
  <c r="BW12" i="26"/>
  <c r="BW26" i="26"/>
  <c r="BV26" i="26"/>
  <c r="BW32" i="26"/>
  <c r="BV32" i="26"/>
  <c r="BW28" i="26"/>
  <c r="BV28" i="26"/>
  <c r="BV15" i="26"/>
  <c r="BW15" i="26"/>
  <c r="BW46" i="33"/>
  <c r="BX46" i="33" s="1"/>
  <c r="BY46" i="33" s="1"/>
  <c r="BS46" i="33" s="1"/>
  <c r="R47" i="83" s="1"/>
  <c r="BV46" i="33"/>
  <c r="BW30" i="33"/>
  <c r="BX30" i="33" s="1"/>
  <c r="BY30" i="33" s="1"/>
  <c r="BS30" i="33" s="1"/>
  <c r="R31" i="83" s="1"/>
  <c r="BV30" i="33"/>
  <c r="BW14" i="33"/>
  <c r="BX14" i="33" s="1"/>
  <c r="BY14" i="33" s="1"/>
  <c r="BS14" i="33" s="1"/>
  <c r="R15" i="83" s="1"/>
  <c r="BV14" i="33"/>
  <c r="BW45" i="33"/>
  <c r="BX45" i="33" s="1"/>
  <c r="BY45" i="33" s="1"/>
  <c r="BS45" i="33" s="1"/>
  <c r="R46" i="83" s="1"/>
  <c r="BV45" i="33"/>
  <c r="BW29" i="33"/>
  <c r="BX29" i="33" s="1"/>
  <c r="BY29" i="33" s="1"/>
  <c r="BS29" i="33" s="1"/>
  <c r="R30" i="83" s="1"/>
  <c r="BV29" i="33"/>
  <c r="BW13" i="33"/>
  <c r="BX13" i="33" s="1"/>
  <c r="BY13" i="33" s="1"/>
  <c r="BS13" i="33" s="1"/>
  <c r="R14" i="83" s="1"/>
  <c r="BV13" i="33"/>
  <c r="BV48" i="33"/>
  <c r="BW48" i="33"/>
  <c r="BX48" i="33" s="1"/>
  <c r="BY48" i="33" s="1"/>
  <c r="BS48" i="33" s="1"/>
  <c r="R49" i="83" s="1"/>
  <c r="BV32" i="33"/>
  <c r="BW32" i="33"/>
  <c r="BX32" i="33" s="1"/>
  <c r="BY32" i="33" s="1"/>
  <c r="BS32" i="33" s="1"/>
  <c r="R33" i="83" s="1"/>
  <c r="BW16" i="33"/>
  <c r="BX16" i="33" s="1"/>
  <c r="BY16" i="33" s="1"/>
  <c r="BS16" i="33" s="1"/>
  <c r="R17" i="83" s="1"/>
  <c r="BV16" i="33"/>
  <c r="BV47" i="33"/>
  <c r="BW47" i="33"/>
  <c r="BX47" i="33" s="1"/>
  <c r="BY47" i="33" s="1"/>
  <c r="BS47" i="33" s="1"/>
  <c r="R48" i="83" s="1"/>
  <c r="BV31" i="33"/>
  <c r="BW31" i="33"/>
  <c r="BX31" i="33" s="1"/>
  <c r="BY31" i="33" s="1"/>
  <c r="BS31" i="33" s="1"/>
  <c r="R32" i="83" s="1"/>
  <c r="BV15" i="33"/>
  <c r="BW15" i="33"/>
  <c r="BX15" i="33" s="1"/>
  <c r="BY15" i="33" s="1"/>
  <c r="BS15" i="33" s="1"/>
  <c r="R16" i="83" s="1"/>
  <c r="FI38" i="1"/>
  <c r="CC35" i="13"/>
  <c r="CD35" i="13"/>
  <c r="CC53" i="13"/>
  <c r="CD53" i="13"/>
  <c r="CD34" i="13"/>
  <c r="CC34" i="13"/>
  <c r="CC27" i="13"/>
  <c r="CD27" i="13"/>
  <c r="CC48" i="13"/>
  <c r="CD48" i="13"/>
  <c r="CD49" i="13"/>
  <c r="CC49" i="13"/>
  <c r="CD23" i="13"/>
  <c r="CC23" i="13"/>
  <c r="CD26" i="13"/>
  <c r="CC26" i="13"/>
  <c r="CC24" i="13"/>
  <c r="CD24" i="13"/>
  <c r="CM30" i="11"/>
  <c r="CL30" i="11"/>
  <c r="CL21" i="11"/>
  <c r="CM21" i="11"/>
  <c r="CL11" i="11"/>
  <c r="CM11" i="11"/>
  <c r="CM8" i="11"/>
  <c r="CL8" i="11"/>
  <c r="CL28" i="11"/>
  <c r="CM28" i="11"/>
  <c r="CL18" i="11"/>
  <c r="CM18" i="11"/>
  <c r="CM46" i="11"/>
  <c r="CL46" i="11"/>
  <c r="CM49" i="11"/>
  <c r="CL49" i="11"/>
  <c r="CM15" i="11"/>
  <c r="CL15" i="11"/>
  <c r="CM20" i="11"/>
  <c r="CL20" i="11"/>
  <c r="CL13" i="11"/>
  <c r="CM13" i="11"/>
  <c r="CM14" i="11"/>
  <c r="CL14" i="11"/>
  <c r="CL29" i="11"/>
  <c r="CM29" i="11"/>
  <c r="BV31" i="26"/>
  <c r="BW31" i="26"/>
  <c r="BX31" i="26" s="1"/>
  <c r="BW43" i="26"/>
  <c r="BV43" i="26"/>
  <c r="BV36" i="26"/>
  <c r="BW36" i="26"/>
  <c r="BV33" i="26"/>
  <c r="BW33" i="26"/>
  <c r="BW53" i="26"/>
  <c r="BV53" i="26"/>
  <c r="BV13" i="26"/>
  <c r="BW13" i="26"/>
  <c r="BW52" i="26"/>
  <c r="BX52" i="26" s="1"/>
  <c r="BV52" i="26"/>
  <c r="BV7" i="26"/>
  <c r="BW7" i="26"/>
  <c r="CC8" i="10"/>
  <c r="CD8" i="10"/>
  <c r="BY16" i="15"/>
  <c r="BZ16" i="15"/>
  <c r="BZ11" i="15"/>
  <c r="BY11" i="15"/>
  <c r="BY26" i="15"/>
  <c r="BZ26" i="15"/>
  <c r="BZ32" i="15"/>
  <c r="BY32" i="15"/>
  <c r="BY39" i="15"/>
  <c r="BZ39" i="15"/>
  <c r="BZ31" i="15"/>
  <c r="CA31" i="15" s="1"/>
  <c r="BY31" i="15"/>
  <c r="BY20" i="15"/>
  <c r="BZ20" i="15"/>
  <c r="CA20" i="15" s="1"/>
  <c r="BY14" i="15"/>
  <c r="BZ14" i="15"/>
  <c r="BZ15" i="15"/>
  <c r="BY15" i="15"/>
  <c r="BZ46" i="15"/>
  <c r="BY46" i="15"/>
  <c r="BY47" i="15"/>
  <c r="BZ47" i="15"/>
  <c r="BZ42" i="15"/>
  <c r="BY42" i="15"/>
  <c r="BY8" i="15"/>
  <c r="BZ8" i="15"/>
  <c r="CA8" i="15" s="1"/>
  <c r="BZ13" i="15"/>
  <c r="BY13" i="15"/>
  <c r="BZ37" i="15"/>
  <c r="BY37" i="15"/>
  <c r="BZ6" i="15"/>
  <c r="BY6" i="15"/>
  <c r="BZ24" i="15"/>
  <c r="BY24" i="15"/>
  <c r="BZ21" i="15"/>
  <c r="CA21" i="15" s="1"/>
  <c r="BY21" i="15"/>
  <c r="BZ45" i="15"/>
  <c r="BY45" i="15"/>
  <c r="BZ40" i="15"/>
  <c r="BY40" i="15"/>
  <c r="BY17" i="15"/>
  <c r="BZ17" i="15"/>
  <c r="BZ48" i="15"/>
  <c r="BY48" i="15"/>
  <c r="BZ38" i="15"/>
  <c r="BY38" i="15"/>
  <c r="BY44" i="15"/>
  <c r="BZ44" i="15"/>
  <c r="BY43" i="15"/>
  <c r="BZ43" i="15"/>
  <c r="BZ27" i="15"/>
  <c r="BY27" i="15"/>
  <c r="BY30" i="15"/>
  <c r="BZ30" i="15"/>
  <c r="CA30" i="15" s="1"/>
  <c r="BZ41" i="15"/>
  <c r="BY41" i="15"/>
  <c r="BY22" i="15"/>
  <c r="BZ22" i="15"/>
  <c r="BZ18" i="15"/>
  <c r="BY18" i="15"/>
  <c r="BY12" i="15"/>
  <c r="BZ12" i="15"/>
  <c r="BY28" i="15"/>
  <c r="BZ28" i="15"/>
  <c r="BZ52" i="15"/>
  <c r="CA52" i="15" s="1"/>
  <c r="BY52" i="15"/>
  <c r="BZ19" i="15"/>
  <c r="BY19" i="15"/>
  <c r="BZ50" i="15"/>
  <c r="CA50" i="15" s="1"/>
  <c r="BY50" i="15"/>
  <c r="BZ53" i="15"/>
  <c r="BY53" i="15"/>
  <c r="BZ33" i="15"/>
  <c r="BY33" i="15"/>
  <c r="BY34" i="15"/>
  <c r="BZ34" i="15"/>
  <c r="BZ5" i="15"/>
  <c r="BY5" i="15"/>
  <c r="BZ23" i="15"/>
  <c r="BY23" i="15"/>
  <c r="BY9" i="15"/>
  <c r="BZ9" i="15"/>
  <c r="CA9" i="15" s="1"/>
  <c r="BZ54" i="15"/>
  <c r="BY54" i="15"/>
  <c r="BZ35" i="15"/>
  <c r="BY35" i="15"/>
  <c r="BZ25" i="15"/>
  <c r="BY25" i="15"/>
  <c r="BY36" i="15"/>
  <c r="BZ36" i="15"/>
  <c r="BZ7" i="15"/>
  <c r="BY7" i="15"/>
  <c r="BZ49" i="15"/>
  <c r="BY49" i="15"/>
  <c r="BZ10" i="15"/>
  <c r="BY10" i="15"/>
  <c r="BZ29" i="15"/>
  <c r="BY29" i="15"/>
  <c r="BY51" i="15"/>
  <c r="BZ51" i="15"/>
  <c r="CA51" i="15" s="1"/>
  <c r="BY26" i="14"/>
  <c r="BZ26" i="14"/>
  <c r="BZ45" i="14"/>
  <c r="BY45" i="14"/>
  <c r="BZ23" i="14"/>
  <c r="BY23" i="14"/>
  <c r="BY44" i="14"/>
  <c r="BZ44" i="14"/>
  <c r="BY46" i="14"/>
  <c r="BZ46" i="14"/>
  <c r="BZ15" i="14"/>
  <c r="BY15" i="14"/>
  <c r="BZ25" i="14"/>
  <c r="BY25" i="14"/>
  <c r="BZ18" i="14"/>
  <c r="BY18" i="14"/>
  <c r="BY30" i="14"/>
  <c r="BZ30" i="14"/>
  <c r="CA30" i="14" s="1"/>
  <c r="BZ13" i="14"/>
  <c r="BY13" i="14"/>
  <c r="BZ33" i="14"/>
  <c r="BY33" i="14"/>
  <c r="BY36" i="14"/>
  <c r="BZ36" i="14"/>
  <c r="BZ29" i="14"/>
  <c r="BY29" i="14"/>
  <c r="BZ19" i="14"/>
  <c r="BY19" i="14"/>
  <c r="BZ49" i="14"/>
  <c r="BY49" i="14"/>
  <c r="BY24" i="14"/>
  <c r="BZ24" i="14"/>
  <c r="BZ9" i="14"/>
  <c r="CA9" i="14" s="1"/>
  <c r="BY9" i="14"/>
  <c r="BY38" i="14"/>
  <c r="BZ38" i="14"/>
  <c r="BY28" i="14"/>
  <c r="BZ28" i="14"/>
  <c r="BZ14" i="14"/>
  <c r="BY14" i="14"/>
  <c r="BZ7" i="14"/>
  <c r="BY7" i="14"/>
  <c r="BY50" i="14"/>
  <c r="BZ50" i="14"/>
  <c r="CA50" i="14" s="1"/>
  <c r="BZ51" i="14"/>
  <c r="CA51" i="14" s="1"/>
  <c r="BY51" i="14"/>
  <c r="BZ10" i="14"/>
  <c r="BY10" i="14"/>
  <c r="BZ41" i="14"/>
  <c r="BY41" i="14"/>
  <c r="BZ47" i="14"/>
  <c r="BY47" i="14"/>
  <c r="BZ37" i="14"/>
  <c r="BY37" i="14"/>
  <c r="BZ39" i="14"/>
  <c r="BY39" i="14"/>
  <c r="BY22" i="14"/>
  <c r="BZ22" i="14"/>
  <c r="BZ35" i="14"/>
  <c r="BY35" i="14"/>
  <c r="BY12" i="14"/>
  <c r="BZ12" i="14"/>
  <c r="BY42" i="14"/>
  <c r="BZ42" i="14"/>
  <c r="BY48" i="14"/>
  <c r="BZ48" i="14"/>
  <c r="BY52" i="14"/>
  <c r="BZ52" i="14"/>
  <c r="CA52" i="14" s="1"/>
  <c r="BZ21" i="14"/>
  <c r="CA21" i="14" s="1"/>
  <c r="BY21" i="14"/>
  <c r="BY34" i="14"/>
  <c r="BZ34" i="14"/>
  <c r="BZ31" i="14"/>
  <c r="CA31" i="14" s="1"/>
  <c r="BY31" i="14"/>
  <c r="BZ43" i="14"/>
  <c r="BY43" i="14"/>
  <c r="BZ5" i="14"/>
  <c r="BY5" i="14"/>
  <c r="BY16" i="14"/>
  <c r="BZ16" i="14"/>
  <c r="BZ11" i="14"/>
  <c r="BY11" i="14"/>
  <c r="BY32" i="14"/>
  <c r="BZ32" i="14"/>
  <c r="BZ54" i="14"/>
  <c r="BY54" i="14"/>
  <c r="BY8" i="14"/>
  <c r="BZ8" i="14"/>
  <c r="CA8" i="14" s="1"/>
  <c r="BZ53" i="14"/>
  <c r="BY53" i="14"/>
  <c r="BZ27" i="14"/>
  <c r="BY27" i="14"/>
  <c r="BY40" i="14"/>
  <c r="BZ40" i="14"/>
  <c r="BZ17" i="14"/>
  <c r="BY17" i="14"/>
  <c r="BY20" i="14"/>
  <c r="BZ20" i="14"/>
  <c r="CA20" i="14" s="1"/>
  <c r="BZ6" i="14"/>
  <c r="BY6" i="14"/>
  <c r="CE5" i="13"/>
  <c r="BW6" i="26"/>
  <c r="BV6" i="26"/>
  <c r="BW5" i="26"/>
  <c r="BV5" i="26"/>
  <c r="BW53" i="12"/>
  <c r="BX53" i="12" s="1"/>
  <c r="BV53" i="12"/>
  <c r="BW48" i="12"/>
  <c r="BX48" i="12" s="1"/>
  <c r="BV48" i="12"/>
  <c r="BV13" i="12"/>
  <c r="BW13" i="12"/>
  <c r="BX13" i="12" s="1"/>
  <c r="BV25" i="12"/>
  <c r="BW25" i="12"/>
  <c r="BX25" i="12" s="1"/>
  <c r="BV35" i="12"/>
  <c r="BW35" i="12"/>
  <c r="BX35" i="12" s="1"/>
  <c r="BW9" i="12"/>
  <c r="BX9" i="12" s="1"/>
  <c r="BV9" i="12"/>
  <c r="BW12" i="12"/>
  <c r="BX12" i="12" s="1"/>
  <c r="BV12" i="12"/>
  <c r="BW29" i="12"/>
  <c r="BX29" i="12" s="1"/>
  <c r="BV29" i="12"/>
  <c r="BW50" i="12"/>
  <c r="BX50" i="12" s="1"/>
  <c r="BV50" i="12"/>
  <c r="BW36" i="12"/>
  <c r="BX36" i="12" s="1"/>
  <c r="BV36" i="12"/>
  <c r="BW7" i="12"/>
  <c r="BV7" i="12"/>
  <c r="BW37" i="12"/>
  <c r="BX37" i="12" s="1"/>
  <c r="BV37" i="12"/>
  <c r="BV31" i="12"/>
  <c r="BW31" i="12"/>
  <c r="BX31" i="12" s="1"/>
  <c r="BW11" i="12"/>
  <c r="BX11" i="12" s="1"/>
  <c r="BV11" i="12"/>
  <c r="BV17" i="12"/>
  <c r="BW17" i="12"/>
  <c r="BX17" i="12" s="1"/>
  <c r="BW44" i="12"/>
  <c r="BX44" i="12" s="1"/>
  <c r="BV44" i="12"/>
  <c r="BW21" i="12"/>
  <c r="BX21" i="12" s="1"/>
  <c r="BV21" i="12"/>
  <c r="BW24" i="12"/>
  <c r="BX24" i="12" s="1"/>
  <c r="BV24" i="12"/>
  <c r="BW18" i="12"/>
  <c r="BX18" i="12" s="1"/>
  <c r="BV18" i="12"/>
  <c r="BW20" i="12"/>
  <c r="BX20" i="12" s="1"/>
  <c r="BV20" i="12"/>
  <c r="BW49" i="12"/>
  <c r="BX49" i="12" s="1"/>
  <c r="BV49" i="12"/>
  <c r="BW30" i="12"/>
  <c r="BX30" i="12" s="1"/>
  <c r="BV30" i="12"/>
  <c r="BV47" i="12"/>
  <c r="BW47" i="12"/>
  <c r="BX47" i="12" s="1"/>
  <c r="BW54" i="12"/>
  <c r="BX54" i="12" s="1"/>
  <c r="BV54" i="12"/>
  <c r="BV43" i="12"/>
  <c r="BW43" i="12"/>
  <c r="BX43" i="12" s="1"/>
  <c r="BW15" i="12"/>
  <c r="BX15" i="12" s="1"/>
  <c r="BV15" i="12"/>
  <c r="BW52" i="12"/>
  <c r="BX52" i="12" s="1"/>
  <c r="BV52" i="12"/>
  <c r="BV51" i="12"/>
  <c r="BW51" i="12"/>
  <c r="BX51" i="12" s="1"/>
  <c r="BW34" i="12"/>
  <c r="BX34" i="12" s="1"/>
  <c r="BV34" i="12"/>
  <c r="BW8" i="12"/>
  <c r="BV8" i="12"/>
  <c r="BW33" i="12"/>
  <c r="BX33" i="12" s="1"/>
  <c r="BV33" i="12"/>
  <c r="BW32" i="12"/>
  <c r="BX32" i="12" s="1"/>
  <c r="BV32" i="12"/>
  <c r="BV39" i="12"/>
  <c r="BW39" i="12"/>
  <c r="BX39" i="12" s="1"/>
  <c r="BV6" i="12"/>
  <c r="BW6" i="12"/>
  <c r="BW16" i="12"/>
  <c r="BX16" i="12" s="1"/>
  <c r="BV16" i="12"/>
  <c r="BW38" i="12"/>
  <c r="BX38" i="12" s="1"/>
  <c r="BV38" i="12"/>
  <c r="BW28" i="12"/>
  <c r="BX28" i="12" s="1"/>
  <c r="BV28" i="12"/>
  <c r="BV10" i="12"/>
  <c r="BW10" i="12"/>
  <c r="BX10" i="12" s="1"/>
  <c r="BW5" i="12"/>
  <c r="BV5" i="12"/>
  <c r="BW41" i="12"/>
  <c r="BX41" i="12" s="1"/>
  <c r="BV41" i="12"/>
  <c r="BW42" i="12"/>
  <c r="BX42" i="12" s="1"/>
  <c r="BV42" i="12"/>
  <c r="BV23" i="12"/>
  <c r="BW23" i="12"/>
  <c r="BX23" i="12" s="1"/>
  <c r="BW26" i="12"/>
  <c r="BX26" i="12" s="1"/>
  <c r="BV26" i="12"/>
  <c r="BW45" i="12"/>
  <c r="BX45" i="12" s="1"/>
  <c r="BV45" i="12"/>
  <c r="BW40" i="12"/>
  <c r="BX40" i="12" s="1"/>
  <c r="BV40" i="12"/>
  <c r="BW19" i="12"/>
  <c r="BX19" i="12" s="1"/>
  <c r="BV19" i="12"/>
  <c r="BV27" i="12"/>
  <c r="BW27" i="12"/>
  <c r="BX27" i="12" s="1"/>
  <c r="BW14" i="12"/>
  <c r="BX14" i="12" s="1"/>
  <c r="BV14" i="12"/>
  <c r="BW22" i="12"/>
  <c r="BX22" i="12" s="1"/>
  <c r="BV22" i="12"/>
  <c r="BW46" i="12"/>
  <c r="BX46" i="12" s="1"/>
  <c r="BV46" i="12"/>
  <c r="BW30" i="34"/>
  <c r="BX30" i="34" s="1"/>
  <c r="BV30" i="34"/>
  <c r="BV45" i="34"/>
  <c r="BW45" i="34"/>
  <c r="BX45" i="34" s="1"/>
  <c r="BV24" i="34"/>
  <c r="BW24" i="34"/>
  <c r="BX24" i="34" s="1"/>
  <c r="BV21" i="34"/>
  <c r="BW21" i="34"/>
  <c r="BX21" i="34" s="1"/>
  <c r="BW47" i="34"/>
  <c r="BX47" i="34" s="1"/>
  <c r="BV47" i="34"/>
  <c r="BW28" i="34"/>
  <c r="BX28" i="34" s="1"/>
  <c r="BV28" i="34"/>
  <c r="BV49" i="34"/>
  <c r="BW49" i="34"/>
  <c r="BX49" i="34" s="1"/>
  <c r="BV36" i="34"/>
  <c r="BW36" i="34"/>
  <c r="BX36" i="34" s="1"/>
  <c r="BV27" i="34"/>
  <c r="BW27" i="34"/>
  <c r="BX27" i="34" s="1"/>
  <c r="BW12" i="34"/>
  <c r="BX12" i="34" s="1"/>
  <c r="BV12" i="34"/>
  <c r="BW35" i="34"/>
  <c r="BX35" i="34" s="1"/>
  <c r="BV35" i="34"/>
  <c r="BW44" i="34"/>
  <c r="BX44" i="34" s="1"/>
  <c r="BV44" i="34"/>
  <c r="BX6" i="34"/>
  <c r="BV37" i="34"/>
  <c r="BW37" i="34"/>
  <c r="BX37" i="34" s="1"/>
  <c r="BV15" i="34"/>
  <c r="BW15" i="34"/>
  <c r="BX15" i="34" s="1"/>
  <c r="BW13" i="34"/>
  <c r="BX13" i="34" s="1"/>
  <c r="BV13" i="34"/>
  <c r="BW38" i="34"/>
  <c r="BX38" i="34" s="1"/>
  <c r="BV38" i="34"/>
  <c r="BV19" i="34"/>
  <c r="BW19" i="34"/>
  <c r="BX19" i="34" s="1"/>
  <c r="BW42" i="34"/>
  <c r="BX42" i="34" s="1"/>
  <c r="BV42" i="34"/>
  <c r="BW18" i="34"/>
  <c r="BX18" i="34" s="1"/>
  <c r="BV18" i="34"/>
  <c r="BV23" i="34"/>
  <c r="BW23" i="34"/>
  <c r="BX23" i="34" s="1"/>
  <c r="BW16" i="34"/>
  <c r="BX16" i="34" s="1"/>
  <c r="BV16" i="34"/>
  <c r="BV41" i="34"/>
  <c r="BW41" i="34"/>
  <c r="BX41" i="34" s="1"/>
  <c r="BW17" i="34"/>
  <c r="BX17" i="34" s="1"/>
  <c r="BV17" i="34"/>
  <c r="BV31" i="34"/>
  <c r="BW31" i="34"/>
  <c r="BX31" i="34" s="1"/>
  <c r="BV7" i="34"/>
  <c r="BW7" i="34"/>
  <c r="BX7" i="34" s="1"/>
  <c r="BW54" i="34"/>
  <c r="BX54" i="34" s="1"/>
  <c r="BV54" i="34"/>
  <c r="BW46" i="34"/>
  <c r="BX46" i="34" s="1"/>
  <c r="BV46" i="34"/>
  <c r="BW34" i="34"/>
  <c r="BX34" i="34" s="1"/>
  <c r="BV34" i="34"/>
  <c r="BW48" i="34"/>
  <c r="BX48" i="34" s="1"/>
  <c r="BV48" i="34"/>
  <c r="BW39" i="34"/>
  <c r="BX39" i="34" s="1"/>
  <c r="BV39" i="34"/>
  <c r="BW22" i="34"/>
  <c r="BX22" i="34" s="1"/>
  <c r="BV22" i="34"/>
  <c r="BW10" i="34"/>
  <c r="BX10" i="34" s="1"/>
  <c r="BV10" i="34"/>
  <c r="BW14" i="34"/>
  <c r="BX14" i="34" s="1"/>
  <c r="BV14" i="34"/>
  <c r="BW9" i="34"/>
  <c r="BX9" i="34" s="1"/>
  <c r="BV9" i="34"/>
  <c r="BW40" i="34"/>
  <c r="BX40" i="34" s="1"/>
  <c r="BV40" i="34"/>
  <c r="BV53" i="34"/>
  <c r="BW53" i="34"/>
  <c r="BX53" i="34" s="1"/>
  <c r="BW25" i="34"/>
  <c r="BX25" i="34" s="1"/>
  <c r="BV25" i="34"/>
  <c r="BV11" i="34"/>
  <c r="BW11" i="34"/>
  <c r="BX11" i="34" s="1"/>
  <c r="BV29" i="34"/>
  <c r="BW29" i="34"/>
  <c r="BX29" i="34" s="1"/>
  <c r="BV32" i="34"/>
  <c r="BW32" i="34"/>
  <c r="BX32" i="34" s="1"/>
  <c r="BW51" i="34"/>
  <c r="BX51" i="34" s="1"/>
  <c r="BV51" i="34"/>
  <c r="BW33" i="34"/>
  <c r="BX33" i="34" s="1"/>
  <c r="BV33" i="34"/>
  <c r="BW20" i="34"/>
  <c r="BX20" i="34" s="1"/>
  <c r="BV20" i="34"/>
  <c r="BW26" i="34"/>
  <c r="BX26" i="34" s="1"/>
  <c r="BV26" i="34"/>
  <c r="BW43" i="34"/>
  <c r="BX43" i="34" s="1"/>
  <c r="BV43" i="34"/>
  <c r="BW8" i="34"/>
  <c r="BX8" i="34" s="1"/>
  <c r="BV8" i="34"/>
  <c r="BW50" i="34"/>
  <c r="BX50" i="34" s="1"/>
  <c r="BV50" i="34"/>
  <c r="BW52" i="34"/>
  <c r="BX52" i="34" s="1"/>
  <c r="BV52" i="34"/>
  <c r="BS39" i="7"/>
  <c r="BR39" i="7"/>
  <c r="BS27" i="7"/>
  <c r="BR27" i="7"/>
  <c r="BR20" i="7"/>
  <c r="BS20" i="7"/>
  <c r="BT20" i="7" s="1"/>
  <c r="BS43" i="7"/>
  <c r="BR43" i="7"/>
  <c r="BS31" i="7"/>
  <c r="BT31" i="7" s="1"/>
  <c r="BR31" i="7"/>
  <c r="BS41" i="7"/>
  <c r="BR41" i="7"/>
  <c r="BS51" i="7"/>
  <c r="BT51" i="7" s="1"/>
  <c r="BR51" i="7"/>
  <c r="BR10" i="7"/>
  <c r="BS10" i="7"/>
  <c r="BS21" i="7"/>
  <c r="BT21" i="7" s="1"/>
  <c r="BR21" i="7"/>
  <c r="BR30" i="7"/>
  <c r="BS30" i="7"/>
  <c r="BT30" i="7" s="1"/>
  <c r="BS11" i="7"/>
  <c r="BR11" i="7"/>
  <c r="BR28" i="7"/>
  <c r="BS28" i="7"/>
  <c r="BS35" i="7"/>
  <c r="BR35" i="7"/>
  <c r="BR42" i="7"/>
  <c r="BS42" i="7"/>
  <c r="BR52" i="7"/>
  <c r="BS52" i="7"/>
  <c r="BT52" i="7" s="1"/>
  <c r="BS33" i="7"/>
  <c r="BR33" i="7"/>
  <c r="BR36" i="7"/>
  <c r="BS36" i="7"/>
  <c r="BR24" i="7"/>
  <c r="BS24" i="7"/>
  <c r="BS53" i="7"/>
  <c r="BR53" i="7"/>
  <c r="BS13" i="7"/>
  <c r="BR13" i="7"/>
  <c r="BS25" i="7"/>
  <c r="BR25" i="7"/>
  <c r="BR26" i="7"/>
  <c r="BS26" i="7"/>
  <c r="BS5" i="7"/>
  <c r="BR5" i="7"/>
  <c r="BR12" i="7"/>
  <c r="BS12" i="7"/>
  <c r="BR22" i="7"/>
  <c r="BS22" i="7"/>
  <c r="BS7" i="7"/>
  <c r="BR7" i="7"/>
  <c r="BS23" i="7"/>
  <c r="BR23" i="7"/>
  <c r="BR50" i="7"/>
  <c r="BS50" i="7"/>
  <c r="BT50" i="7" s="1"/>
  <c r="BR8" i="7"/>
  <c r="BS8" i="7"/>
  <c r="BT8" i="7" s="1"/>
  <c r="BS17" i="7"/>
  <c r="BR17" i="7"/>
  <c r="BR44" i="7"/>
  <c r="BS44" i="7"/>
  <c r="BS37" i="7"/>
  <c r="BR37" i="7"/>
  <c r="BR54" i="7"/>
  <c r="BS54" i="7"/>
  <c r="BR6" i="7"/>
  <c r="BS6" i="7"/>
  <c r="BS15" i="7"/>
  <c r="BR15" i="7"/>
  <c r="BR16" i="7"/>
  <c r="BS16" i="7"/>
  <c r="BS45" i="7"/>
  <c r="BR45" i="7"/>
  <c r="BR38" i="7"/>
  <c r="BS38" i="7"/>
  <c r="BR40" i="7"/>
  <c r="BS40" i="7"/>
  <c r="BS9" i="7"/>
  <c r="BT9" i="7" s="1"/>
  <c r="BR9" i="7"/>
  <c r="BR34" i="7"/>
  <c r="BS34" i="7"/>
  <c r="BS19" i="7"/>
  <c r="BR19" i="7"/>
  <c r="BS49" i="7"/>
  <c r="BR49" i="7"/>
  <c r="BS29" i="7"/>
  <c r="BR29" i="7"/>
  <c r="BR32" i="7"/>
  <c r="BS32" i="7"/>
  <c r="BR18" i="7"/>
  <c r="BS18" i="7"/>
  <c r="BS47" i="7"/>
  <c r="BR47" i="7"/>
  <c r="BR48" i="7"/>
  <c r="BS48" i="7"/>
  <c r="BR46" i="7"/>
  <c r="BS46" i="7"/>
  <c r="BR14" i="7"/>
  <c r="BS14" i="7"/>
  <c r="CI7" i="16"/>
  <c r="AM7" i="41" s="1"/>
  <c r="CK7" i="16"/>
  <c r="CM7" i="16"/>
  <c r="CI8" i="16"/>
  <c r="AM8" i="41" s="1"/>
  <c r="CK8" i="16"/>
  <c r="CM8" i="16"/>
  <c r="CI9" i="16"/>
  <c r="AM9" i="41" s="1"/>
  <c r="CK9" i="16"/>
  <c r="CM9" i="16"/>
  <c r="CI10" i="16"/>
  <c r="AM10" i="41" s="1"/>
  <c r="CK10" i="16"/>
  <c r="CM10" i="16"/>
  <c r="CI11" i="16"/>
  <c r="AM11" i="41" s="1"/>
  <c r="CK11" i="16"/>
  <c r="CM11" i="16"/>
  <c r="CI12" i="16"/>
  <c r="AM12" i="41" s="1"/>
  <c r="CK12" i="16"/>
  <c r="CM12" i="16"/>
  <c r="CI13" i="16"/>
  <c r="AM13" i="41" s="1"/>
  <c r="CK13" i="16"/>
  <c r="CM13" i="16"/>
  <c r="CI14" i="16"/>
  <c r="AM14" i="41" s="1"/>
  <c r="CK14" i="16"/>
  <c r="CM14" i="16"/>
  <c r="CI15" i="16"/>
  <c r="AM15" i="41" s="1"/>
  <c r="CK15" i="16"/>
  <c r="CM15" i="16"/>
  <c r="CI16" i="16"/>
  <c r="AM16" i="41" s="1"/>
  <c r="CK16" i="16"/>
  <c r="CM16" i="16"/>
  <c r="CI17" i="16"/>
  <c r="AM17" i="41" s="1"/>
  <c r="CK17" i="16"/>
  <c r="CM17" i="16"/>
  <c r="CI18" i="16"/>
  <c r="AM18" i="41" s="1"/>
  <c r="CK18" i="16"/>
  <c r="CM18" i="16"/>
  <c r="CI19" i="16"/>
  <c r="AM19" i="41" s="1"/>
  <c r="CK19" i="16"/>
  <c r="CM19" i="16"/>
  <c r="CI20" i="16"/>
  <c r="AM20" i="41" s="1"/>
  <c r="CK20" i="16"/>
  <c r="CM20" i="16"/>
  <c r="CI21" i="16"/>
  <c r="AM21" i="41" s="1"/>
  <c r="CK21" i="16"/>
  <c r="CM21" i="16"/>
  <c r="CI22" i="16"/>
  <c r="AM22" i="41" s="1"/>
  <c r="CK22" i="16"/>
  <c r="CM22" i="16"/>
  <c r="CI23" i="16"/>
  <c r="AM23" i="41" s="1"/>
  <c r="CK23" i="16"/>
  <c r="CM23" i="16"/>
  <c r="CI24" i="16"/>
  <c r="AM24" i="41" s="1"/>
  <c r="CK24" i="16"/>
  <c r="CM24" i="16"/>
  <c r="CI25" i="16"/>
  <c r="AM25" i="41" s="1"/>
  <c r="CK25" i="16"/>
  <c r="CM25" i="16"/>
  <c r="CI26" i="16"/>
  <c r="AM26" i="41" s="1"/>
  <c r="CK26" i="16"/>
  <c r="CM26" i="16"/>
  <c r="CI27" i="16"/>
  <c r="AM27" i="41" s="1"/>
  <c r="CK27" i="16"/>
  <c r="CM27" i="16"/>
  <c r="CI28" i="16"/>
  <c r="AM28" i="41" s="1"/>
  <c r="CK28" i="16"/>
  <c r="CM28" i="16"/>
  <c r="CI29" i="16"/>
  <c r="AM29" i="41" s="1"/>
  <c r="CK29" i="16"/>
  <c r="CM29" i="16"/>
  <c r="CI30" i="16"/>
  <c r="AM30" i="41" s="1"/>
  <c r="CK30" i="16"/>
  <c r="CM30" i="16"/>
  <c r="CI31" i="16"/>
  <c r="AM31" i="41" s="1"/>
  <c r="CK31" i="16"/>
  <c r="CM31" i="16"/>
  <c r="CI32" i="16"/>
  <c r="AM32" i="41" s="1"/>
  <c r="CK32" i="16"/>
  <c r="CM32" i="16"/>
  <c r="CI33" i="16"/>
  <c r="AM33" i="41" s="1"/>
  <c r="CK33" i="16"/>
  <c r="CM33" i="16"/>
  <c r="CI34" i="16"/>
  <c r="AM34" i="41" s="1"/>
  <c r="CK34" i="16"/>
  <c r="CM34" i="16"/>
  <c r="CI35" i="16"/>
  <c r="AM35" i="41" s="1"/>
  <c r="CK35" i="16"/>
  <c r="CM35" i="16"/>
  <c r="CI36" i="16"/>
  <c r="AM36" i="41" s="1"/>
  <c r="CK36" i="16"/>
  <c r="CM36" i="16"/>
  <c r="CI37" i="16"/>
  <c r="AM37" i="41" s="1"/>
  <c r="CK37" i="16"/>
  <c r="CM37" i="16"/>
  <c r="CI38" i="16"/>
  <c r="AM38" i="41" s="1"/>
  <c r="CK38" i="16"/>
  <c r="CM38" i="16"/>
  <c r="CI39" i="16"/>
  <c r="AM39" i="41" s="1"/>
  <c r="CK39" i="16"/>
  <c r="CM39" i="16"/>
  <c r="CI40" i="16"/>
  <c r="AM40" i="41" s="1"/>
  <c r="CK40" i="16"/>
  <c r="CM40" i="16"/>
  <c r="CI41" i="16"/>
  <c r="AM41" i="41" s="1"/>
  <c r="CK41" i="16"/>
  <c r="CM41" i="16"/>
  <c r="CI42" i="16"/>
  <c r="AM42" i="41" s="1"/>
  <c r="CK42" i="16"/>
  <c r="CM42" i="16"/>
  <c r="CI43" i="16"/>
  <c r="AM43" i="41" s="1"/>
  <c r="CK43" i="16"/>
  <c r="CM43" i="16"/>
  <c r="CI44" i="16"/>
  <c r="AM44" i="41" s="1"/>
  <c r="CK44" i="16"/>
  <c r="CM44" i="16"/>
  <c r="CI45" i="16"/>
  <c r="AM45" i="41" s="1"/>
  <c r="CK45" i="16"/>
  <c r="CM45" i="16"/>
  <c r="CI46" i="16"/>
  <c r="CK46" i="16"/>
  <c r="CM46" i="16"/>
  <c r="CI47" i="16"/>
  <c r="CK47" i="16"/>
  <c r="CM47" i="16"/>
  <c r="CI48" i="16"/>
  <c r="CK48" i="16"/>
  <c r="CM48" i="16"/>
  <c r="CI49" i="16"/>
  <c r="CK49" i="16"/>
  <c r="CM49" i="16"/>
  <c r="CI50" i="16"/>
  <c r="CK50" i="16"/>
  <c r="CM50" i="16"/>
  <c r="CI51" i="16"/>
  <c r="CK51" i="16"/>
  <c r="CM51" i="16"/>
  <c r="CI52" i="16"/>
  <c r="CK52" i="16"/>
  <c r="CM52" i="16"/>
  <c r="CI53" i="16"/>
  <c r="CK53" i="16"/>
  <c r="CM53" i="16"/>
  <c r="CI54" i="16"/>
  <c r="CK54" i="16"/>
  <c r="CM54" i="16"/>
  <c r="CI55" i="16"/>
  <c r="AM55" i="41" s="1"/>
  <c r="CK55" i="16"/>
  <c r="CM55" i="16"/>
  <c r="CM6" i="16"/>
  <c r="CK6" i="16"/>
  <c r="CI6" i="16"/>
  <c r="AM6" i="41" s="1"/>
  <c r="AK54" i="23"/>
  <c r="AI54" i="23"/>
  <c r="AG54" i="23"/>
  <c r="BQ55" i="41" s="1"/>
  <c r="AK53" i="23"/>
  <c r="AI53" i="23"/>
  <c r="AG53" i="23"/>
  <c r="BQ54" i="41" s="1"/>
  <c r="AK52" i="23"/>
  <c r="AI52" i="23"/>
  <c r="AG52" i="23"/>
  <c r="BQ53" i="41" s="1"/>
  <c r="AK51" i="23"/>
  <c r="AI51" i="23"/>
  <c r="AG51" i="23"/>
  <c r="BQ52" i="41" s="1"/>
  <c r="AK50" i="23"/>
  <c r="AI50" i="23"/>
  <c r="AG50" i="23"/>
  <c r="BQ51" i="41" s="1"/>
  <c r="AK49" i="23"/>
  <c r="AI49" i="23"/>
  <c r="AG49" i="23"/>
  <c r="BQ50" i="41" s="1"/>
  <c r="AK48" i="23"/>
  <c r="AI48" i="23"/>
  <c r="AG48" i="23"/>
  <c r="BQ49" i="41" s="1"/>
  <c r="AK47" i="23"/>
  <c r="AI47" i="23"/>
  <c r="AG47" i="23"/>
  <c r="BQ48" i="41" s="1"/>
  <c r="AK46" i="23"/>
  <c r="AI46" i="23"/>
  <c r="AG46" i="23"/>
  <c r="BQ47" i="41" s="1"/>
  <c r="AK45" i="23"/>
  <c r="AI45" i="23"/>
  <c r="AG45" i="23"/>
  <c r="BQ46" i="41" s="1"/>
  <c r="AK44" i="23"/>
  <c r="AI44" i="23"/>
  <c r="AG44" i="23"/>
  <c r="BQ45" i="41" s="1"/>
  <c r="AK43" i="23"/>
  <c r="AI43" i="23"/>
  <c r="AG43" i="23"/>
  <c r="BQ44" i="41" s="1"/>
  <c r="AK42" i="23"/>
  <c r="AI42" i="23"/>
  <c r="AG42" i="23"/>
  <c r="BQ43" i="41" s="1"/>
  <c r="AK41" i="23"/>
  <c r="AI41" i="23"/>
  <c r="AG41" i="23"/>
  <c r="BQ42" i="41" s="1"/>
  <c r="AK40" i="23"/>
  <c r="AI40" i="23"/>
  <c r="AG40" i="23"/>
  <c r="BQ41" i="41" s="1"/>
  <c r="AK39" i="23"/>
  <c r="AI39" i="23"/>
  <c r="AG39" i="23"/>
  <c r="BQ40" i="41" s="1"/>
  <c r="AK38" i="23"/>
  <c r="AI38" i="23"/>
  <c r="AG38" i="23"/>
  <c r="BQ39" i="41" s="1"/>
  <c r="AK37" i="23"/>
  <c r="AI37" i="23"/>
  <c r="AG37" i="23"/>
  <c r="BQ38" i="41" s="1"/>
  <c r="AK36" i="23"/>
  <c r="AI36" i="23"/>
  <c r="AG36" i="23"/>
  <c r="BQ37" i="41" s="1"/>
  <c r="AK35" i="23"/>
  <c r="AI35" i="23"/>
  <c r="AG35" i="23"/>
  <c r="BQ36" i="41" s="1"/>
  <c r="AK34" i="23"/>
  <c r="AI34" i="23"/>
  <c r="AG34" i="23"/>
  <c r="BQ35" i="41" s="1"/>
  <c r="AK33" i="23"/>
  <c r="AI33" i="23"/>
  <c r="AG33" i="23"/>
  <c r="BQ34" i="41" s="1"/>
  <c r="AK32" i="23"/>
  <c r="AI32" i="23"/>
  <c r="AG32" i="23"/>
  <c r="BQ33" i="41" s="1"/>
  <c r="AK31" i="23"/>
  <c r="AI31" i="23"/>
  <c r="AG31" i="23"/>
  <c r="BQ32" i="41" s="1"/>
  <c r="AK30" i="23"/>
  <c r="AI30" i="23"/>
  <c r="AG30" i="23"/>
  <c r="BQ31" i="41" s="1"/>
  <c r="AK29" i="23"/>
  <c r="AI29" i="23"/>
  <c r="AG29" i="23"/>
  <c r="BQ30" i="41" s="1"/>
  <c r="AK28" i="23"/>
  <c r="AI28" i="23"/>
  <c r="AG28" i="23"/>
  <c r="BQ29" i="41" s="1"/>
  <c r="AK27" i="23"/>
  <c r="AI27" i="23"/>
  <c r="AG27" i="23"/>
  <c r="BQ28" i="41" s="1"/>
  <c r="AK26" i="23"/>
  <c r="AI26" i="23"/>
  <c r="AG26" i="23"/>
  <c r="BQ27" i="41" s="1"/>
  <c r="AK25" i="23"/>
  <c r="AI25" i="23"/>
  <c r="AG25" i="23"/>
  <c r="BQ26" i="41" s="1"/>
  <c r="AK24" i="23"/>
  <c r="AI24" i="23"/>
  <c r="AG24" i="23"/>
  <c r="BQ25" i="41" s="1"/>
  <c r="AK23" i="23"/>
  <c r="AI23" i="23"/>
  <c r="AG23" i="23"/>
  <c r="BQ24" i="41" s="1"/>
  <c r="AK22" i="23"/>
  <c r="AI22" i="23"/>
  <c r="AG22" i="23"/>
  <c r="BQ23" i="41" s="1"/>
  <c r="AK21" i="23"/>
  <c r="AI21" i="23"/>
  <c r="AG21" i="23"/>
  <c r="BQ22" i="41" s="1"/>
  <c r="AK20" i="23"/>
  <c r="AI20" i="23"/>
  <c r="AG20" i="23"/>
  <c r="BQ21" i="41" s="1"/>
  <c r="AK19" i="23"/>
  <c r="AI19" i="23"/>
  <c r="AG19" i="23"/>
  <c r="BQ20" i="41" s="1"/>
  <c r="AK18" i="23"/>
  <c r="AI18" i="23"/>
  <c r="AG18" i="23"/>
  <c r="BQ19" i="41" s="1"/>
  <c r="AK17" i="23"/>
  <c r="AI17" i="23"/>
  <c r="AG17" i="23"/>
  <c r="BQ18" i="41" s="1"/>
  <c r="AK16" i="23"/>
  <c r="AI16" i="23"/>
  <c r="AG16" i="23"/>
  <c r="BQ17" i="41" s="1"/>
  <c r="AK15" i="23"/>
  <c r="AI15" i="23"/>
  <c r="AG15" i="23"/>
  <c r="BQ16" i="41" s="1"/>
  <c r="AK14" i="23"/>
  <c r="AI14" i="23"/>
  <c r="AG14" i="23"/>
  <c r="BQ15" i="41" s="1"/>
  <c r="AK13" i="23"/>
  <c r="AI13" i="23"/>
  <c r="AG13" i="23"/>
  <c r="BQ14" i="41" s="1"/>
  <c r="AK12" i="23"/>
  <c r="AI12" i="23"/>
  <c r="AG12" i="23"/>
  <c r="BQ13" i="41" s="1"/>
  <c r="AK11" i="23"/>
  <c r="AI11" i="23"/>
  <c r="AG11" i="23"/>
  <c r="BQ12" i="41" s="1"/>
  <c r="AK10" i="23"/>
  <c r="AI10" i="23"/>
  <c r="AG10" i="23"/>
  <c r="BQ11" i="41" s="1"/>
  <c r="AK9" i="23"/>
  <c r="AI9" i="23"/>
  <c r="AG9" i="23"/>
  <c r="BQ10" i="41" s="1"/>
  <c r="AK8" i="23"/>
  <c r="AI8" i="23"/>
  <c r="AG8" i="23"/>
  <c r="BQ9" i="41" s="1"/>
  <c r="AK7" i="23"/>
  <c r="AI7" i="23"/>
  <c r="AG7" i="23"/>
  <c r="BQ8" i="41" s="1"/>
  <c r="AK6" i="23"/>
  <c r="AI6" i="23"/>
  <c r="AG6" i="23"/>
  <c r="BQ7" i="41" s="1"/>
  <c r="AK5" i="23"/>
  <c r="AI5" i="23"/>
  <c r="AG5" i="23"/>
  <c r="BQ6" i="41" s="1"/>
  <c r="AK54" i="22"/>
  <c r="AI54" i="22"/>
  <c r="AG54" i="22"/>
  <c r="BN55" i="41" s="1"/>
  <c r="AK53" i="22"/>
  <c r="AI53" i="22"/>
  <c r="AG53" i="22"/>
  <c r="BN54" i="41" s="1"/>
  <c r="AK52" i="22"/>
  <c r="AI52" i="22"/>
  <c r="AG52" i="22"/>
  <c r="BN53" i="41" s="1"/>
  <c r="AK51" i="22"/>
  <c r="AI51" i="22"/>
  <c r="AG51" i="22"/>
  <c r="BN52" i="41" s="1"/>
  <c r="AK50" i="22"/>
  <c r="AI50" i="22"/>
  <c r="AG50" i="22"/>
  <c r="BN51" i="41" s="1"/>
  <c r="AK49" i="22"/>
  <c r="AI49" i="22"/>
  <c r="AG49" i="22"/>
  <c r="BN50" i="41" s="1"/>
  <c r="AK48" i="22"/>
  <c r="AI48" i="22"/>
  <c r="AG48" i="22"/>
  <c r="BN49" i="41" s="1"/>
  <c r="AK47" i="22"/>
  <c r="AI47" i="22"/>
  <c r="AG47" i="22"/>
  <c r="BN48" i="41" s="1"/>
  <c r="AK46" i="22"/>
  <c r="AI46" i="22"/>
  <c r="AG46" i="22"/>
  <c r="BN47" i="41" s="1"/>
  <c r="AK45" i="22"/>
  <c r="AI45" i="22"/>
  <c r="AG45" i="22"/>
  <c r="BN46" i="41" s="1"/>
  <c r="AK44" i="22"/>
  <c r="AI44" i="22"/>
  <c r="AG44" i="22"/>
  <c r="BN45" i="41" s="1"/>
  <c r="AK43" i="22"/>
  <c r="AI43" i="22"/>
  <c r="AG43" i="22"/>
  <c r="BN44" i="41" s="1"/>
  <c r="AK42" i="22"/>
  <c r="AI42" i="22"/>
  <c r="AG42" i="22"/>
  <c r="BN43" i="41" s="1"/>
  <c r="AK41" i="22"/>
  <c r="AI41" i="22"/>
  <c r="AG41" i="22"/>
  <c r="BN42" i="41" s="1"/>
  <c r="AK40" i="22"/>
  <c r="AI40" i="22"/>
  <c r="AG40" i="22"/>
  <c r="BN41" i="41" s="1"/>
  <c r="AK39" i="22"/>
  <c r="AI39" i="22"/>
  <c r="AG39" i="22"/>
  <c r="BN40" i="41" s="1"/>
  <c r="AK38" i="22"/>
  <c r="AI38" i="22"/>
  <c r="AG38" i="22"/>
  <c r="BN39" i="41" s="1"/>
  <c r="AK37" i="22"/>
  <c r="AI37" i="22"/>
  <c r="AG37" i="22"/>
  <c r="BN38" i="41" s="1"/>
  <c r="AK36" i="22"/>
  <c r="AI36" i="22"/>
  <c r="AG36" i="22"/>
  <c r="BN37" i="41" s="1"/>
  <c r="AK35" i="22"/>
  <c r="AI35" i="22"/>
  <c r="AG35" i="22"/>
  <c r="BN36" i="41" s="1"/>
  <c r="AK34" i="22"/>
  <c r="AI34" i="22"/>
  <c r="AG34" i="22"/>
  <c r="BN35" i="41" s="1"/>
  <c r="AK33" i="22"/>
  <c r="AI33" i="22"/>
  <c r="AG33" i="22"/>
  <c r="BN34" i="41" s="1"/>
  <c r="AK32" i="22"/>
  <c r="AI32" i="22"/>
  <c r="AG32" i="22"/>
  <c r="BN33" i="41" s="1"/>
  <c r="AK31" i="22"/>
  <c r="AI31" i="22"/>
  <c r="AG31" i="22"/>
  <c r="BN32" i="41" s="1"/>
  <c r="AK30" i="22"/>
  <c r="AI30" i="22"/>
  <c r="AG30" i="22"/>
  <c r="BN31" i="41" s="1"/>
  <c r="AK29" i="22"/>
  <c r="AI29" i="22"/>
  <c r="AG29" i="22"/>
  <c r="BN30" i="41" s="1"/>
  <c r="AK28" i="22"/>
  <c r="AI28" i="22"/>
  <c r="AG28" i="22"/>
  <c r="BN29" i="41" s="1"/>
  <c r="AK27" i="22"/>
  <c r="AI27" i="22"/>
  <c r="AG27" i="22"/>
  <c r="BN28" i="41" s="1"/>
  <c r="AK26" i="22"/>
  <c r="AI26" i="22"/>
  <c r="AG26" i="22"/>
  <c r="BN27" i="41" s="1"/>
  <c r="AK25" i="22"/>
  <c r="AI25" i="22"/>
  <c r="AG25" i="22"/>
  <c r="BN26" i="41" s="1"/>
  <c r="AK24" i="22"/>
  <c r="AI24" i="22"/>
  <c r="AG24" i="22"/>
  <c r="BN25" i="41" s="1"/>
  <c r="AK23" i="22"/>
  <c r="AI23" i="22"/>
  <c r="AG23" i="22"/>
  <c r="BN24" i="41" s="1"/>
  <c r="AK22" i="22"/>
  <c r="AI22" i="22"/>
  <c r="AG22" i="22"/>
  <c r="BN23" i="41" s="1"/>
  <c r="AK21" i="22"/>
  <c r="AI21" i="22"/>
  <c r="AG21" i="22"/>
  <c r="BN22" i="41" s="1"/>
  <c r="AK20" i="22"/>
  <c r="AI20" i="22"/>
  <c r="AG20" i="22"/>
  <c r="BN21" i="41" s="1"/>
  <c r="AK19" i="22"/>
  <c r="AI19" i="22"/>
  <c r="AG19" i="22"/>
  <c r="BN20" i="41" s="1"/>
  <c r="AK18" i="22"/>
  <c r="AI18" i="22"/>
  <c r="AG18" i="22"/>
  <c r="BN19" i="41" s="1"/>
  <c r="AK17" i="22"/>
  <c r="AI17" i="22"/>
  <c r="AG17" i="22"/>
  <c r="BN18" i="41" s="1"/>
  <c r="AK16" i="22"/>
  <c r="AI16" i="22"/>
  <c r="AG16" i="22"/>
  <c r="BN17" i="41" s="1"/>
  <c r="AK15" i="22"/>
  <c r="AI15" i="22"/>
  <c r="AG15" i="22"/>
  <c r="BN16" i="41" s="1"/>
  <c r="AK14" i="22"/>
  <c r="AI14" i="22"/>
  <c r="AG14" i="22"/>
  <c r="BN15" i="41" s="1"/>
  <c r="AK13" i="22"/>
  <c r="AI13" i="22"/>
  <c r="AG13" i="22"/>
  <c r="BN14" i="41" s="1"/>
  <c r="AK12" i="22"/>
  <c r="AI12" i="22"/>
  <c r="AG12" i="22"/>
  <c r="BN13" i="41" s="1"/>
  <c r="AK11" i="22"/>
  <c r="AI11" i="22"/>
  <c r="AG11" i="22"/>
  <c r="BN12" i="41" s="1"/>
  <c r="AK10" i="22"/>
  <c r="AI10" i="22"/>
  <c r="AG10" i="22"/>
  <c r="BN11" i="41" s="1"/>
  <c r="AK9" i="22"/>
  <c r="AI9" i="22"/>
  <c r="AG9" i="22"/>
  <c r="BN10" i="41" s="1"/>
  <c r="AK8" i="22"/>
  <c r="AI8" i="22"/>
  <c r="AG8" i="22"/>
  <c r="BN9" i="41" s="1"/>
  <c r="AK7" i="22"/>
  <c r="AI7" i="22"/>
  <c r="AG7" i="22"/>
  <c r="BN8" i="41" s="1"/>
  <c r="AK6" i="22"/>
  <c r="AI6" i="22"/>
  <c r="AG6" i="22"/>
  <c r="BN7" i="41" s="1"/>
  <c r="AK5" i="22"/>
  <c r="AI5" i="22"/>
  <c r="AG5" i="22"/>
  <c r="BN6" i="41" s="1"/>
  <c r="AK54" i="21"/>
  <c r="AI54" i="21"/>
  <c r="AG54" i="21"/>
  <c r="BK55" i="41" s="1"/>
  <c r="AK53" i="21"/>
  <c r="AI53" i="21"/>
  <c r="AG53" i="21"/>
  <c r="AK52" i="21"/>
  <c r="AI52" i="21"/>
  <c r="AG52" i="21"/>
  <c r="AK51" i="21"/>
  <c r="AI51" i="21"/>
  <c r="AG51" i="21"/>
  <c r="AK50" i="21"/>
  <c r="AI50" i="21"/>
  <c r="AG50" i="21"/>
  <c r="AK49" i="21"/>
  <c r="AI49" i="21"/>
  <c r="AG49" i="21"/>
  <c r="AK48" i="21"/>
  <c r="AI48" i="21"/>
  <c r="AG48" i="21"/>
  <c r="AK47" i="21"/>
  <c r="AI47" i="21"/>
  <c r="AG47" i="21"/>
  <c r="AK46" i="21"/>
  <c r="AI46" i="21"/>
  <c r="AG46" i="21"/>
  <c r="AK45" i="21"/>
  <c r="AI45" i="21"/>
  <c r="AG45" i="21"/>
  <c r="AK44" i="21"/>
  <c r="AI44" i="21"/>
  <c r="AG44" i="21"/>
  <c r="BK45" i="41" s="1"/>
  <c r="AK43" i="21"/>
  <c r="AI43" i="21"/>
  <c r="AG43" i="21"/>
  <c r="BK44" i="41" s="1"/>
  <c r="AK42" i="21"/>
  <c r="AI42" i="21"/>
  <c r="AG42" i="21"/>
  <c r="BK43" i="41" s="1"/>
  <c r="AK41" i="21"/>
  <c r="AI41" i="21"/>
  <c r="AG41" i="21"/>
  <c r="BK42" i="41" s="1"/>
  <c r="AK40" i="21"/>
  <c r="AI40" i="21"/>
  <c r="AG40" i="21"/>
  <c r="BK41" i="41" s="1"/>
  <c r="AK39" i="21"/>
  <c r="AI39" i="21"/>
  <c r="AG39" i="21"/>
  <c r="BK40" i="41" s="1"/>
  <c r="AK38" i="21"/>
  <c r="AI38" i="21"/>
  <c r="AG38" i="21"/>
  <c r="BK39" i="41" s="1"/>
  <c r="AK37" i="21"/>
  <c r="AI37" i="21"/>
  <c r="AG37" i="21"/>
  <c r="BK38" i="41" s="1"/>
  <c r="AK36" i="21"/>
  <c r="AI36" i="21"/>
  <c r="AG36" i="21"/>
  <c r="BK37" i="41" s="1"/>
  <c r="AK35" i="21"/>
  <c r="AI35" i="21"/>
  <c r="AG35" i="21"/>
  <c r="BK36" i="41" s="1"/>
  <c r="AK34" i="21"/>
  <c r="AI34" i="21"/>
  <c r="AG34" i="21"/>
  <c r="BK35" i="41" s="1"/>
  <c r="AK33" i="21"/>
  <c r="AI33" i="21"/>
  <c r="AG33" i="21"/>
  <c r="BK34" i="41" s="1"/>
  <c r="AK32" i="21"/>
  <c r="AI32" i="21"/>
  <c r="AG32" i="21"/>
  <c r="BK33" i="41" s="1"/>
  <c r="AK31" i="21"/>
  <c r="AI31" i="21"/>
  <c r="AG31" i="21"/>
  <c r="BK32" i="41" s="1"/>
  <c r="AK30" i="21"/>
  <c r="AI30" i="21"/>
  <c r="AG30" i="21"/>
  <c r="BK31" i="41" s="1"/>
  <c r="AK29" i="21"/>
  <c r="AI29" i="21"/>
  <c r="AG29" i="21"/>
  <c r="BK30" i="41" s="1"/>
  <c r="AK28" i="21"/>
  <c r="AI28" i="21"/>
  <c r="AG28" i="21"/>
  <c r="BK29" i="41" s="1"/>
  <c r="AK27" i="21"/>
  <c r="AI27" i="21"/>
  <c r="AG27" i="21"/>
  <c r="BK28" i="41" s="1"/>
  <c r="AK26" i="21"/>
  <c r="AI26" i="21"/>
  <c r="AG26" i="21"/>
  <c r="BK27" i="41" s="1"/>
  <c r="AK25" i="21"/>
  <c r="AI25" i="21"/>
  <c r="AG25" i="21"/>
  <c r="BK26" i="41" s="1"/>
  <c r="AK24" i="21"/>
  <c r="AI24" i="21"/>
  <c r="AG24" i="21"/>
  <c r="BK25" i="41" s="1"/>
  <c r="AK23" i="21"/>
  <c r="AI23" i="21"/>
  <c r="AG23" i="21"/>
  <c r="BK24" i="41" s="1"/>
  <c r="AK22" i="21"/>
  <c r="AI22" i="21"/>
  <c r="AG22" i="21"/>
  <c r="BK23" i="41" s="1"/>
  <c r="AK21" i="21"/>
  <c r="AI21" i="21"/>
  <c r="AG21" i="21"/>
  <c r="BK22" i="41" s="1"/>
  <c r="AK20" i="21"/>
  <c r="AI20" i="21"/>
  <c r="AG20" i="21"/>
  <c r="BK21" i="41" s="1"/>
  <c r="AK19" i="21"/>
  <c r="AI19" i="21"/>
  <c r="AG19" i="21"/>
  <c r="BK20" i="41" s="1"/>
  <c r="AK18" i="21"/>
  <c r="AI18" i="21"/>
  <c r="AG18" i="21"/>
  <c r="BK19" i="41" s="1"/>
  <c r="AK17" i="21"/>
  <c r="AI17" i="21"/>
  <c r="AG17" i="21"/>
  <c r="BK18" i="41" s="1"/>
  <c r="AK16" i="21"/>
  <c r="AI16" i="21"/>
  <c r="AG16" i="21"/>
  <c r="BK17" i="41" s="1"/>
  <c r="AK15" i="21"/>
  <c r="AI15" i="21"/>
  <c r="AG15" i="21"/>
  <c r="BK16" i="41" s="1"/>
  <c r="AK14" i="21"/>
  <c r="AI14" i="21"/>
  <c r="AG14" i="21"/>
  <c r="BK15" i="41" s="1"/>
  <c r="AK13" i="21"/>
  <c r="AI13" i="21"/>
  <c r="AG13" i="21"/>
  <c r="BK14" i="41" s="1"/>
  <c r="AK12" i="21"/>
  <c r="AI12" i="21"/>
  <c r="AG12" i="21"/>
  <c r="BK13" i="41" s="1"/>
  <c r="AK11" i="21"/>
  <c r="AI11" i="21"/>
  <c r="AG11" i="21"/>
  <c r="BK12" i="41" s="1"/>
  <c r="AK10" i="21"/>
  <c r="AI10" i="21"/>
  <c r="AG10" i="21"/>
  <c r="BK11" i="41" s="1"/>
  <c r="AK9" i="21"/>
  <c r="AI9" i="21"/>
  <c r="AG9" i="21"/>
  <c r="BK10" i="41" s="1"/>
  <c r="AK8" i="21"/>
  <c r="AI8" i="21"/>
  <c r="AG8" i="21"/>
  <c r="BK9" i="41" s="1"/>
  <c r="AK7" i="21"/>
  <c r="AI7" i="21"/>
  <c r="AG7" i="21"/>
  <c r="BK8" i="41" s="1"/>
  <c r="AK6" i="21"/>
  <c r="AI6" i="21"/>
  <c r="AG6" i="21"/>
  <c r="BK7" i="41" s="1"/>
  <c r="AK5" i="21"/>
  <c r="AI5" i="21"/>
  <c r="AG5" i="21"/>
  <c r="BK6" i="41" s="1"/>
  <c r="AN54" i="27"/>
  <c r="AL54" i="27"/>
  <c r="AJ54" i="27"/>
  <c r="BH55" i="41" s="1"/>
  <c r="AN53" i="27"/>
  <c r="AL53" i="27"/>
  <c r="AJ53" i="27"/>
  <c r="AN52" i="27"/>
  <c r="AL52" i="27"/>
  <c r="AJ52" i="27"/>
  <c r="AN51" i="27"/>
  <c r="AL51" i="27"/>
  <c r="AJ51" i="27"/>
  <c r="AN50" i="27"/>
  <c r="AL50" i="27"/>
  <c r="AJ50" i="27"/>
  <c r="AN49" i="27"/>
  <c r="AL49" i="27"/>
  <c r="AJ49" i="27"/>
  <c r="AN48" i="27"/>
  <c r="AL48" i="27"/>
  <c r="AJ48" i="27"/>
  <c r="AN47" i="27"/>
  <c r="AL47" i="27"/>
  <c r="AJ47" i="27"/>
  <c r="AN46" i="27"/>
  <c r="AL46" i="27"/>
  <c r="AJ46" i="27"/>
  <c r="AN45" i="27"/>
  <c r="AL45" i="27"/>
  <c r="AJ45" i="27"/>
  <c r="AN44" i="27"/>
  <c r="AL44" i="27"/>
  <c r="AJ44" i="27"/>
  <c r="BH45" i="41" s="1"/>
  <c r="AN43" i="27"/>
  <c r="AL43" i="27"/>
  <c r="AJ43" i="27"/>
  <c r="BH44" i="41" s="1"/>
  <c r="AN42" i="27"/>
  <c r="AL42" i="27"/>
  <c r="AJ42" i="27"/>
  <c r="BH43" i="41" s="1"/>
  <c r="AN41" i="27"/>
  <c r="AL41" i="27"/>
  <c r="AJ41" i="27"/>
  <c r="BH42" i="41" s="1"/>
  <c r="AN40" i="27"/>
  <c r="AL40" i="27"/>
  <c r="AJ40" i="27"/>
  <c r="BH41" i="41" s="1"/>
  <c r="AN39" i="27"/>
  <c r="AL39" i="27"/>
  <c r="AJ39" i="27"/>
  <c r="BH40" i="41" s="1"/>
  <c r="AN38" i="27"/>
  <c r="AL38" i="27"/>
  <c r="AJ38" i="27"/>
  <c r="BH39" i="41" s="1"/>
  <c r="AN37" i="27"/>
  <c r="AL37" i="27"/>
  <c r="AJ37" i="27"/>
  <c r="BH38" i="41" s="1"/>
  <c r="AN36" i="27"/>
  <c r="AL36" i="27"/>
  <c r="AJ36" i="27"/>
  <c r="BH37" i="41" s="1"/>
  <c r="AN35" i="27"/>
  <c r="AL35" i="27"/>
  <c r="AJ35" i="27"/>
  <c r="BH36" i="41" s="1"/>
  <c r="AN34" i="27"/>
  <c r="AL34" i="27"/>
  <c r="AJ34" i="27"/>
  <c r="BH35" i="41" s="1"/>
  <c r="AN33" i="27"/>
  <c r="AL33" i="27"/>
  <c r="AJ33" i="27"/>
  <c r="BH34" i="41" s="1"/>
  <c r="AN32" i="27"/>
  <c r="AL32" i="27"/>
  <c r="AJ32" i="27"/>
  <c r="BH33" i="41" s="1"/>
  <c r="AN31" i="27"/>
  <c r="AL31" i="27"/>
  <c r="AJ31" i="27"/>
  <c r="BH32" i="41" s="1"/>
  <c r="AN30" i="27"/>
  <c r="AL30" i="27"/>
  <c r="AJ30" i="27"/>
  <c r="BH31" i="41" s="1"/>
  <c r="AN29" i="27"/>
  <c r="AL29" i="27"/>
  <c r="AJ29" i="27"/>
  <c r="BH30" i="41" s="1"/>
  <c r="AN28" i="27"/>
  <c r="AL28" i="27"/>
  <c r="AJ28" i="27"/>
  <c r="BH29" i="41" s="1"/>
  <c r="AN27" i="27"/>
  <c r="AL27" i="27"/>
  <c r="AJ27" i="27"/>
  <c r="BH28" i="41" s="1"/>
  <c r="AN26" i="27"/>
  <c r="AL26" i="27"/>
  <c r="AJ26" i="27"/>
  <c r="BH27" i="41" s="1"/>
  <c r="AN25" i="27"/>
  <c r="AL25" i="27"/>
  <c r="AJ25" i="27"/>
  <c r="BH26" i="41" s="1"/>
  <c r="AN24" i="27"/>
  <c r="AL24" i="27"/>
  <c r="AJ24" i="27"/>
  <c r="BH25" i="41" s="1"/>
  <c r="AN23" i="27"/>
  <c r="AL23" i="27"/>
  <c r="AJ23" i="27"/>
  <c r="BH24" i="41" s="1"/>
  <c r="AN22" i="27"/>
  <c r="AL22" i="27"/>
  <c r="AJ22" i="27"/>
  <c r="BH23" i="41" s="1"/>
  <c r="AN21" i="27"/>
  <c r="AL21" i="27"/>
  <c r="AJ21" i="27"/>
  <c r="BH22" i="41" s="1"/>
  <c r="AN20" i="27"/>
  <c r="AL20" i="27"/>
  <c r="AJ20" i="27"/>
  <c r="BH21" i="41" s="1"/>
  <c r="AN19" i="27"/>
  <c r="AL19" i="27"/>
  <c r="AJ19" i="27"/>
  <c r="BH20" i="41" s="1"/>
  <c r="AN18" i="27"/>
  <c r="AL18" i="27"/>
  <c r="AJ18" i="27"/>
  <c r="BH19" i="41" s="1"/>
  <c r="AN17" i="27"/>
  <c r="AL17" i="27"/>
  <c r="AJ17" i="27"/>
  <c r="BH18" i="41" s="1"/>
  <c r="AN16" i="27"/>
  <c r="AL16" i="27"/>
  <c r="AJ16" i="27"/>
  <c r="BH17" i="41" s="1"/>
  <c r="AN15" i="27"/>
  <c r="AL15" i="27"/>
  <c r="AJ15" i="27"/>
  <c r="BH16" i="41" s="1"/>
  <c r="AN14" i="27"/>
  <c r="AL14" i="27"/>
  <c r="AJ14" i="27"/>
  <c r="BH15" i="41" s="1"/>
  <c r="AN13" i="27"/>
  <c r="AL13" i="27"/>
  <c r="AJ13" i="27"/>
  <c r="BH14" i="41" s="1"/>
  <c r="AN12" i="27"/>
  <c r="AL12" i="27"/>
  <c r="AJ12" i="27"/>
  <c r="BH13" i="41" s="1"/>
  <c r="AN11" i="27"/>
  <c r="AL11" i="27"/>
  <c r="AJ11" i="27"/>
  <c r="BH12" i="41" s="1"/>
  <c r="AN10" i="27"/>
  <c r="AL10" i="27"/>
  <c r="AJ10" i="27"/>
  <c r="BH11" i="41" s="1"/>
  <c r="AN9" i="27"/>
  <c r="AL9" i="27"/>
  <c r="AJ9" i="27"/>
  <c r="BH10" i="41" s="1"/>
  <c r="AN8" i="27"/>
  <c r="AL8" i="27"/>
  <c r="AJ8" i="27"/>
  <c r="BH9" i="41" s="1"/>
  <c r="AN7" i="27"/>
  <c r="AL7" i="27"/>
  <c r="AJ7" i="27"/>
  <c r="BH8" i="41" s="1"/>
  <c r="AN6" i="27"/>
  <c r="AL6" i="27"/>
  <c r="AJ6" i="27"/>
  <c r="BH7" i="41" s="1"/>
  <c r="AN5" i="27"/>
  <c r="AL5" i="27"/>
  <c r="AJ5" i="27"/>
  <c r="BH6" i="41" s="1"/>
  <c r="AK54" i="20"/>
  <c r="AI54" i="20"/>
  <c r="AG54" i="20"/>
  <c r="BE55" i="41" s="1"/>
  <c r="AK53" i="20"/>
  <c r="AI53" i="20"/>
  <c r="AG53" i="20"/>
  <c r="AK52" i="20"/>
  <c r="AI52" i="20"/>
  <c r="AG52" i="20"/>
  <c r="AK51" i="20"/>
  <c r="AI51" i="20"/>
  <c r="AG51" i="20"/>
  <c r="AK50" i="20"/>
  <c r="AI50" i="20"/>
  <c r="AG50" i="20"/>
  <c r="AK49" i="20"/>
  <c r="AI49" i="20"/>
  <c r="AG49" i="20"/>
  <c r="AK48" i="20"/>
  <c r="AI48" i="20"/>
  <c r="AG48" i="20"/>
  <c r="AK47" i="20"/>
  <c r="AI47" i="20"/>
  <c r="AG47" i="20"/>
  <c r="AK46" i="20"/>
  <c r="AI46" i="20"/>
  <c r="AG46" i="20"/>
  <c r="AK45" i="20"/>
  <c r="AI45" i="20"/>
  <c r="AG45" i="20"/>
  <c r="AK44" i="20"/>
  <c r="AI44" i="20"/>
  <c r="AG44" i="20"/>
  <c r="BE45" i="41" s="1"/>
  <c r="AK43" i="20"/>
  <c r="AI43" i="20"/>
  <c r="AG43" i="20"/>
  <c r="BE44" i="41" s="1"/>
  <c r="AK42" i="20"/>
  <c r="AI42" i="20"/>
  <c r="AG42" i="20"/>
  <c r="BE43" i="41" s="1"/>
  <c r="AK41" i="20"/>
  <c r="AI41" i="20"/>
  <c r="AG41" i="20"/>
  <c r="BE42" i="41" s="1"/>
  <c r="AK40" i="20"/>
  <c r="AI40" i="20"/>
  <c r="AG40" i="20"/>
  <c r="BE41" i="41" s="1"/>
  <c r="AK39" i="20"/>
  <c r="AI39" i="20"/>
  <c r="AG39" i="20"/>
  <c r="BE40" i="41" s="1"/>
  <c r="AK38" i="20"/>
  <c r="AI38" i="20"/>
  <c r="AG38" i="20"/>
  <c r="BE39" i="41" s="1"/>
  <c r="AK37" i="20"/>
  <c r="AI37" i="20"/>
  <c r="AG37" i="20"/>
  <c r="BE38" i="41" s="1"/>
  <c r="AK36" i="20"/>
  <c r="AI36" i="20"/>
  <c r="AG36" i="20"/>
  <c r="BE37" i="41" s="1"/>
  <c r="AK35" i="20"/>
  <c r="AI35" i="20"/>
  <c r="AG35" i="20"/>
  <c r="BE36" i="41" s="1"/>
  <c r="AK34" i="20"/>
  <c r="AI34" i="20"/>
  <c r="AG34" i="20"/>
  <c r="BE35" i="41" s="1"/>
  <c r="AK33" i="20"/>
  <c r="AI33" i="20"/>
  <c r="AG33" i="20"/>
  <c r="BE34" i="41" s="1"/>
  <c r="AK32" i="20"/>
  <c r="AI32" i="20"/>
  <c r="AG32" i="20"/>
  <c r="BE33" i="41" s="1"/>
  <c r="AK31" i="20"/>
  <c r="AI31" i="20"/>
  <c r="AG31" i="20"/>
  <c r="BE32" i="41" s="1"/>
  <c r="AK30" i="20"/>
  <c r="AI30" i="20"/>
  <c r="AG30" i="20"/>
  <c r="BE31" i="41" s="1"/>
  <c r="AK29" i="20"/>
  <c r="AI29" i="20"/>
  <c r="AG29" i="20"/>
  <c r="BE30" i="41" s="1"/>
  <c r="AK28" i="20"/>
  <c r="AI28" i="20"/>
  <c r="AG28" i="20"/>
  <c r="BE29" i="41" s="1"/>
  <c r="AK27" i="20"/>
  <c r="AI27" i="20"/>
  <c r="AG27" i="20"/>
  <c r="BE28" i="41" s="1"/>
  <c r="AK26" i="20"/>
  <c r="AI26" i="20"/>
  <c r="AG26" i="20"/>
  <c r="BE27" i="41" s="1"/>
  <c r="AK25" i="20"/>
  <c r="AI25" i="20"/>
  <c r="AG25" i="20"/>
  <c r="BE26" i="41" s="1"/>
  <c r="AK24" i="20"/>
  <c r="AI24" i="20"/>
  <c r="AG24" i="20"/>
  <c r="BE25" i="41" s="1"/>
  <c r="AK23" i="20"/>
  <c r="AI23" i="20"/>
  <c r="AG23" i="20"/>
  <c r="BE24" i="41" s="1"/>
  <c r="AK22" i="20"/>
  <c r="AI22" i="20"/>
  <c r="AG22" i="20"/>
  <c r="BE23" i="41" s="1"/>
  <c r="AK21" i="20"/>
  <c r="AI21" i="20"/>
  <c r="AG21" i="20"/>
  <c r="BE22" i="41" s="1"/>
  <c r="AK20" i="20"/>
  <c r="AI20" i="20"/>
  <c r="AG20" i="20"/>
  <c r="BE21" i="41" s="1"/>
  <c r="AK19" i="20"/>
  <c r="AI19" i="20"/>
  <c r="AG19" i="20"/>
  <c r="BE20" i="41" s="1"/>
  <c r="AK18" i="20"/>
  <c r="AI18" i="20"/>
  <c r="AG18" i="20"/>
  <c r="BE19" i="41" s="1"/>
  <c r="AK17" i="20"/>
  <c r="AI17" i="20"/>
  <c r="AG17" i="20"/>
  <c r="BE18" i="41" s="1"/>
  <c r="AK16" i="20"/>
  <c r="AI16" i="20"/>
  <c r="AG16" i="20"/>
  <c r="BE17" i="41" s="1"/>
  <c r="AK15" i="20"/>
  <c r="AI15" i="20"/>
  <c r="AG15" i="20"/>
  <c r="BE16" i="41" s="1"/>
  <c r="AK14" i="20"/>
  <c r="AI14" i="20"/>
  <c r="AG14" i="20"/>
  <c r="BE15" i="41" s="1"/>
  <c r="AK13" i="20"/>
  <c r="AI13" i="20"/>
  <c r="AG13" i="20"/>
  <c r="BE14" i="41" s="1"/>
  <c r="AK12" i="20"/>
  <c r="AI12" i="20"/>
  <c r="AG12" i="20"/>
  <c r="BE13" i="41" s="1"/>
  <c r="AK11" i="20"/>
  <c r="AI11" i="20"/>
  <c r="AG11" i="20"/>
  <c r="BE12" i="41" s="1"/>
  <c r="AK10" i="20"/>
  <c r="AI10" i="20"/>
  <c r="AG10" i="20"/>
  <c r="BE11" i="41" s="1"/>
  <c r="AK9" i="20"/>
  <c r="AI9" i="20"/>
  <c r="AG9" i="20"/>
  <c r="BE10" i="41" s="1"/>
  <c r="AK8" i="20"/>
  <c r="AI8" i="20"/>
  <c r="AG8" i="20"/>
  <c r="BE9" i="41" s="1"/>
  <c r="AK7" i="20"/>
  <c r="AI7" i="20"/>
  <c r="AG7" i="20"/>
  <c r="BE8" i="41" s="1"/>
  <c r="AK6" i="20"/>
  <c r="AI6" i="20"/>
  <c r="AG6" i="20"/>
  <c r="BE7" i="41" s="1"/>
  <c r="AK5" i="20"/>
  <c r="AI5" i="20"/>
  <c r="AG5" i="20"/>
  <c r="BE6" i="41" s="1"/>
  <c r="AK54" i="36"/>
  <c r="AI54" i="36"/>
  <c r="AG54" i="36"/>
  <c r="BB55" i="41" s="1"/>
  <c r="AK53" i="36"/>
  <c r="AI53" i="36"/>
  <c r="AG53" i="36"/>
  <c r="AK52" i="36"/>
  <c r="AI52" i="36"/>
  <c r="AG52" i="36"/>
  <c r="AK51" i="36"/>
  <c r="AI51" i="36"/>
  <c r="AG51" i="36"/>
  <c r="AK50" i="36"/>
  <c r="AI50" i="36"/>
  <c r="AG50" i="36"/>
  <c r="AK49" i="36"/>
  <c r="AI49" i="36"/>
  <c r="AG49" i="36"/>
  <c r="AK48" i="36"/>
  <c r="AI48" i="36"/>
  <c r="AG48" i="36"/>
  <c r="AK47" i="36"/>
  <c r="AI47" i="36"/>
  <c r="AG47" i="36"/>
  <c r="AK46" i="36"/>
  <c r="AI46" i="36"/>
  <c r="AG46" i="36"/>
  <c r="AK45" i="36"/>
  <c r="AI45" i="36"/>
  <c r="AG45" i="36"/>
  <c r="AK44" i="36"/>
  <c r="AI44" i="36"/>
  <c r="AG44" i="36"/>
  <c r="BB45" i="41" s="1"/>
  <c r="AK43" i="36"/>
  <c r="AI43" i="36"/>
  <c r="AG43" i="36"/>
  <c r="BB44" i="41" s="1"/>
  <c r="AK42" i="36"/>
  <c r="AI42" i="36"/>
  <c r="AG42" i="36"/>
  <c r="BB43" i="41" s="1"/>
  <c r="AK41" i="36"/>
  <c r="AI41" i="36"/>
  <c r="AG41" i="36"/>
  <c r="BB42" i="41" s="1"/>
  <c r="AK40" i="36"/>
  <c r="AI40" i="36"/>
  <c r="AG40" i="36"/>
  <c r="BB41" i="41" s="1"/>
  <c r="AK39" i="36"/>
  <c r="AI39" i="36"/>
  <c r="AG39" i="36"/>
  <c r="BB40" i="41" s="1"/>
  <c r="AK38" i="36"/>
  <c r="AI38" i="36"/>
  <c r="AG38" i="36"/>
  <c r="BB39" i="41" s="1"/>
  <c r="AK37" i="36"/>
  <c r="AI37" i="36"/>
  <c r="AG37" i="36"/>
  <c r="BB38" i="41" s="1"/>
  <c r="AK36" i="36"/>
  <c r="AI36" i="36"/>
  <c r="AG36" i="36"/>
  <c r="BB37" i="41" s="1"/>
  <c r="AK35" i="36"/>
  <c r="AI35" i="36"/>
  <c r="AG35" i="36"/>
  <c r="BB36" i="41" s="1"/>
  <c r="AK34" i="36"/>
  <c r="AI34" i="36"/>
  <c r="AG34" i="36"/>
  <c r="BB35" i="41" s="1"/>
  <c r="AK33" i="36"/>
  <c r="AI33" i="36"/>
  <c r="AG33" i="36"/>
  <c r="BB34" i="41" s="1"/>
  <c r="AK32" i="36"/>
  <c r="AI32" i="36"/>
  <c r="AG32" i="36"/>
  <c r="BB33" i="41" s="1"/>
  <c r="AK31" i="36"/>
  <c r="AI31" i="36"/>
  <c r="AG31" i="36"/>
  <c r="BB32" i="41" s="1"/>
  <c r="AK30" i="36"/>
  <c r="AI30" i="36"/>
  <c r="AG30" i="36"/>
  <c r="BB31" i="41" s="1"/>
  <c r="AK29" i="36"/>
  <c r="AI29" i="36"/>
  <c r="AG29" i="36"/>
  <c r="BB30" i="41" s="1"/>
  <c r="AK28" i="36"/>
  <c r="AI28" i="36"/>
  <c r="AG28" i="36"/>
  <c r="BB29" i="41" s="1"/>
  <c r="AK27" i="36"/>
  <c r="AI27" i="36"/>
  <c r="AG27" i="36"/>
  <c r="BB28" i="41" s="1"/>
  <c r="AK26" i="36"/>
  <c r="AI26" i="36"/>
  <c r="AG26" i="36"/>
  <c r="BB27" i="41" s="1"/>
  <c r="AK25" i="36"/>
  <c r="AI25" i="36"/>
  <c r="AG25" i="36"/>
  <c r="BB26" i="41" s="1"/>
  <c r="AK24" i="36"/>
  <c r="AI24" i="36"/>
  <c r="AG24" i="36"/>
  <c r="BB25" i="41" s="1"/>
  <c r="AK23" i="36"/>
  <c r="AI23" i="36"/>
  <c r="AG23" i="36"/>
  <c r="BB24" i="41" s="1"/>
  <c r="AK22" i="36"/>
  <c r="AI22" i="36"/>
  <c r="AG22" i="36"/>
  <c r="BB23" i="41" s="1"/>
  <c r="AK21" i="36"/>
  <c r="AI21" i="36"/>
  <c r="AG21" i="36"/>
  <c r="BB22" i="41" s="1"/>
  <c r="AK20" i="36"/>
  <c r="AI20" i="36"/>
  <c r="AG20" i="36"/>
  <c r="BB21" i="41" s="1"/>
  <c r="AK19" i="36"/>
  <c r="AI19" i="36"/>
  <c r="AG19" i="36"/>
  <c r="BB20" i="41" s="1"/>
  <c r="AK18" i="36"/>
  <c r="AI18" i="36"/>
  <c r="AG18" i="36"/>
  <c r="BB19" i="41" s="1"/>
  <c r="AK17" i="36"/>
  <c r="AI17" i="36"/>
  <c r="AG17" i="36"/>
  <c r="BB18" i="41" s="1"/>
  <c r="AK16" i="36"/>
  <c r="AI16" i="36"/>
  <c r="AG16" i="36"/>
  <c r="BB17" i="41" s="1"/>
  <c r="AK15" i="36"/>
  <c r="AI15" i="36"/>
  <c r="AG15" i="36"/>
  <c r="BB16" i="41" s="1"/>
  <c r="AK14" i="36"/>
  <c r="AI14" i="36"/>
  <c r="AG14" i="36"/>
  <c r="BB15" i="41" s="1"/>
  <c r="AK13" i="36"/>
  <c r="AI13" i="36"/>
  <c r="AG13" i="36"/>
  <c r="BB14" i="41" s="1"/>
  <c r="AK12" i="36"/>
  <c r="AI12" i="36"/>
  <c r="AG12" i="36"/>
  <c r="BB13" i="41" s="1"/>
  <c r="AK11" i="36"/>
  <c r="AI11" i="36"/>
  <c r="AG11" i="36"/>
  <c r="BB12" i="41" s="1"/>
  <c r="AK10" i="36"/>
  <c r="AI10" i="36"/>
  <c r="AG10" i="36"/>
  <c r="BB11" i="41" s="1"/>
  <c r="AK9" i="36"/>
  <c r="AI9" i="36"/>
  <c r="AG9" i="36"/>
  <c r="BB10" i="41" s="1"/>
  <c r="AK8" i="36"/>
  <c r="AI8" i="36"/>
  <c r="AG8" i="36"/>
  <c r="BB9" i="41" s="1"/>
  <c r="AK7" i="36"/>
  <c r="AI7" i="36"/>
  <c r="AG7" i="36"/>
  <c r="BB8" i="41" s="1"/>
  <c r="AK6" i="36"/>
  <c r="AI6" i="36"/>
  <c r="AG6" i="36"/>
  <c r="BB7" i="41" s="1"/>
  <c r="AK5" i="36"/>
  <c r="AI5" i="36"/>
  <c r="AG5" i="36"/>
  <c r="BB6" i="41" s="1"/>
  <c r="AN54" i="35"/>
  <c r="AL54" i="35"/>
  <c r="AJ54" i="35"/>
  <c r="AY55" i="41" s="1"/>
  <c r="AN53" i="35"/>
  <c r="AL53" i="35"/>
  <c r="AJ53" i="35"/>
  <c r="AN52" i="35"/>
  <c r="AL52" i="35"/>
  <c r="AJ52" i="35"/>
  <c r="AN51" i="35"/>
  <c r="AL51" i="35"/>
  <c r="AJ51" i="35"/>
  <c r="AN50" i="35"/>
  <c r="AL50" i="35"/>
  <c r="AJ50" i="35"/>
  <c r="AN49" i="35"/>
  <c r="AL49" i="35"/>
  <c r="AJ49" i="35"/>
  <c r="AN48" i="35"/>
  <c r="AL48" i="35"/>
  <c r="AJ48" i="35"/>
  <c r="AN47" i="35"/>
  <c r="AL47" i="35"/>
  <c r="AJ47" i="35"/>
  <c r="AN46" i="35"/>
  <c r="AL46" i="35"/>
  <c r="AJ46" i="35"/>
  <c r="AN45" i="35"/>
  <c r="AL45" i="35"/>
  <c r="AJ45" i="35"/>
  <c r="AN44" i="35"/>
  <c r="AL44" i="35"/>
  <c r="AJ44" i="35"/>
  <c r="AY45" i="41" s="1"/>
  <c r="AN43" i="35"/>
  <c r="AL43" i="35"/>
  <c r="AJ43" i="35"/>
  <c r="AY44" i="41" s="1"/>
  <c r="AN42" i="35"/>
  <c r="AL42" i="35"/>
  <c r="AJ42" i="35"/>
  <c r="AY43" i="41" s="1"/>
  <c r="AN41" i="35"/>
  <c r="AL41" i="35"/>
  <c r="AJ41" i="35"/>
  <c r="AY42" i="41" s="1"/>
  <c r="AN40" i="35"/>
  <c r="AL40" i="35"/>
  <c r="AJ40" i="35"/>
  <c r="AY41" i="41" s="1"/>
  <c r="AN39" i="35"/>
  <c r="AL39" i="35"/>
  <c r="AJ39" i="35"/>
  <c r="AY40" i="41" s="1"/>
  <c r="AN38" i="35"/>
  <c r="AL38" i="35"/>
  <c r="AJ38" i="35"/>
  <c r="AY39" i="41" s="1"/>
  <c r="AN37" i="35"/>
  <c r="AL37" i="35"/>
  <c r="AJ37" i="35"/>
  <c r="AY38" i="41" s="1"/>
  <c r="AN36" i="35"/>
  <c r="AL36" i="35"/>
  <c r="AJ36" i="35"/>
  <c r="AY37" i="41" s="1"/>
  <c r="AN35" i="35"/>
  <c r="AL35" i="35"/>
  <c r="AJ35" i="35"/>
  <c r="AY36" i="41" s="1"/>
  <c r="AN34" i="35"/>
  <c r="AL34" i="35"/>
  <c r="AJ34" i="35"/>
  <c r="AY35" i="41" s="1"/>
  <c r="AN33" i="35"/>
  <c r="AL33" i="35"/>
  <c r="AJ33" i="35"/>
  <c r="AY34" i="41" s="1"/>
  <c r="AN32" i="35"/>
  <c r="AL32" i="35"/>
  <c r="AJ32" i="35"/>
  <c r="AY33" i="41" s="1"/>
  <c r="AN31" i="35"/>
  <c r="AL31" i="35"/>
  <c r="AJ31" i="35"/>
  <c r="AY32" i="41" s="1"/>
  <c r="AN30" i="35"/>
  <c r="AL30" i="35"/>
  <c r="AJ30" i="35"/>
  <c r="AY31" i="41" s="1"/>
  <c r="AN29" i="35"/>
  <c r="AL29" i="35"/>
  <c r="AJ29" i="35"/>
  <c r="AY30" i="41" s="1"/>
  <c r="AN28" i="35"/>
  <c r="AL28" i="35"/>
  <c r="AJ28" i="35"/>
  <c r="AY29" i="41" s="1"/>
  <c r="AN27" i="35"/>
  <c r="AL27" i="35"/>
  <c r="AJ27" i="35"/>
  <c r="AY28" i="41" s="1"/>
  <c r="AN26" i="35"/>
  <c r="AL26" i="35"/>
  <c r="AJ26" i="35"/>
  <c r="AY27" i="41" s="1"/>
  <c r="AN25" i="35"/>
  <c r="AL25" i="35"/>
  <c r="AJ25" i="35"/>
  <c r="AY26" i="41" s="1"/>
  <c r="AN24" i="35"/>
  <c r="AL24" i="35"/>
  <c r="AJ24" i="35"/>
  <c r="AY25" i="41" s="1"/>
  <c r="AN23" i="35"/>
  <c r="AL23" i="35"/>
  <c r="AJ23" i="35"/>
  <c r="AY24" i="41" s="1"/>
  <c r="AN22" i="35"/>
  <c r="AL22" i="35"/>
  <c r="AJ22" i="35"/>
  <c r="AY23" i="41" s="1"/>
  <c r="AN21" i="35"/>
  <c r="AL21" i="35"/>
  <c r="AJ21" i="35"/>
  <c r="AY22" i="41" s="1"/>
  <c r="AN20" i="35"/>
  <c r="AL20" i="35"/>
  <c r="AJ20" i="35"/>
  <c r="AY21" i="41" s="1"/>
  <c r="AN19" i="35"/>
  <c r="AL19" i="35"/>
  <c r="AJ19" i="35"/>
  <c r="AY20" i="41" s="1"/>
  <c r="AN18" i="35"/>
  <c r="AL18" i="35"/>
  <c r="AJ18" i="35"/>
  <c r="AY19" i="41" s="1"/>
  <c r="AN17" i="35"/>
  <c r="AL17" i="35"/>
  <c r="AJ17" i="35"/>
  <c r="AY18" i="41" s="1"/>
  <c r="AN16" i="35"/>
  <c r="AL16" i="35"/>
  <c r="AJ16" i="35"/>
  <c r="AY17" i="41" s="1"/>
  <c r="AN15" i="35"/>
  <c r="AL15" i="35"/>
  <c r="AJ15" i="35"/>
  <c r="AY16" i="41" s="1"/>
  <c r="AN14" i="35"/>
  <c r="AL14" i="35"/>
  <c r="AJ14" i="35"/>
  <c r="AY15" i="41" s="1"/>
  <c r="AN13" i="35"/>
  <c r="AL13" i="35"/>
  <c r="AJ13" i="35"/>
  <c r="AY14" i="41" s="1"/>
  <c r="AN12" i="35"/>
  <c r="AL12" i="35"/>
  <c r="AJ12" i="35"/>
  <c r="AY13" i="41" s="1"/>
  <c r="AN11" i="35"/>
  <c r="AL11" i="35"/>
  <c r="AJ11" i="35"/>
  <c r="AY12" i="41" s="1"/>
  <c r="AN10" i="35"/>
  <c r="AL10" i="35"/>
  <c r="AJ10" i="35"/>
  <c r="AY11" i="41" s="1"/>
  <c r="AN9" i="35"/>
  <c r="AL9" i="35"/>
  <c r="AJ9" i="35"/>
  <c r="AY10" i="41" s="1"/>
  <c r="AN8" i="35"/>
  <c r="AL8" i="35"/>
  <c r="AJ8" i="35"/>
  <c r="AY9" i="41" s="1"/>
  <c r="AN7" i="35"/>
  <c r="AL7" i="35"/>
  <c r="AJ7" i="35"/>
  <c r="AY8" i="41" s="1"/>
  <c r="AN6" i="35"/>
  <c r="AL6" i="35"/>
  <c r="AJ6" i="35"/>
  <c r="AY7" i="41" s="1"/>
  <c r="AN5" i="35"/>
  <c r="AL5" i="35"/>
  <c r="AJ5" i="35"/>
  <c r="AY6" i="41" s="1"/>
  <c r="AT54" i="19"/>
  <c r="AR54" i="19"/>
  <c r="AP54" i="19"/>
  <c r="AV55" i="41" s="1"/>
  <c r="AT53" i="19"/>
  <c r="AR53" i="19"/>
  <c r="AP53" i="19"/>
  <c r="AT52" i="19"/>
  <c r="AR52" i="19"/>
  <c r="AP52" i="19"/>
  <c r="AT51" i="19"/>
  <c r="AR51" i="19"/>
  <c r="AP51" i="19"/>
  <c r="AT50" i="19"/>
  <c r="AR50" i="19"/>
  <c r="AP50" i="19"/>
  <c r="AT49" i="19"/>
  <c r="AR49" i="19"/>
  <c r="AP49" i="19"/>
  <c r="AT48" i="19"/>
  <c r="AR48" i="19"/>
  <c r="AP48" i="19"/>
  <c r="AT47" i="19"/>
  <c r="AR47" i="19"/>
  <c r="AP47" i="19"/>
  <c r="AT46" i="19"/>
  <c r="AR46" i="19"/>
  <c r="AP46" i="19"/>
  <c r="AT45" i="19"/>
  <c r="AR45" i="19"/>
  <c r="AP45" i="19"/>
  <c r="AT44" i="19"/>
  <c r="AR44" i="19"/>
  <c r="AP44" i="19"/>
  <c r="AV45" i="41" s="1"/>
  <c r="AT43" i="19"/>
  <c r="AR43" i="19"/>
  <c r="AP43" i="19"/>
  <c r="AV44" i="41" s="1"/>
  <c r="AT42" i="19"/>
  <c r="AR42" i="19"/>
  <c r="AP42" i="19"/>
  <c r="AV43" i="41" s="1"/>
  <c r="AT41" i="19"/>
  <c r="AR41" i="19"/>
  <c r="AP41" i="19"/>
  <c r="AV42" i="41" s="1"/>
  <c r="AT40" i="19"/>
  <c r="AR40" i="19"/>
  <c r="AP40" i="19"/>
  <c r="AV41" i="41" s="1"/>
  <c r="AT39" i="19"/>
  <c r="AR39" i="19"/>
  <c r="AP39" i="19"/>
  <c r="AV40" i="41" s="1"/>
  <c r="AT38" i="19"/>
  <c r="AR38" i="19"/>
  <c r="AP38" i="19"/>
  <c r="AV39" i="41" s="1"/>
  <c r="AT37" i="19"/>
  <c r="AR37" i="19"/>
  <c r="AP37" i="19"/>
  <c r="AV38" i="41" s="1"/>
  <c r="AT36" i="19"/>
  <c r="AR36" i="19"/>
  <c r="AP36" i="19"/>
  <c r="AV37" i="41" s="1"/>
  <c r="AT35" i="19"/>
  <c r="AR35" i="19"/>
  <c r="AP35" i="19"/>
  <c r="AV36" i="41" s="1"/>
  <c r="AT34" i="19"/>
  <c r="AR34" i="19"/>
  <c r="AP34" i="19"/>
  <c r="AV35" i="41" s="1"/>
  <c r="AT33" i="19"/>
  <c r="AR33" i="19"/>
  <c r="AP33" i="19"/>
  <c r="AV34" i="41" s="1"/>
  <c r="AT32" i="19"/>
  <c r="AR32" i="19"/>
  <c r="AP32" i="19"/>
  <c r="AV33" i="41" s="1"/>
  <c r="AT31" i="19"/>
  <c r="AR31" i="19"/>
  <c r="AP31" i="19"/>
  <c r="AV32" i="41" s="1"/>
  <c r="AT30" i="19"/>
  <c r="AR30" i="19"/>
  <c r="AP30" i="19"/>
  <c r="AV31" i="41" s="1"/>
  <c r="AT29" i="19"/>
  <c r="AR29" i="19"/>
  <c r="AP29" i="19"/>
  <c r="AV30" i="41" s="1"/>
  <c r="AT28" i="19"/>
  <c r="AR28" i="19"/>
  <c r="AP28" i="19"/>
  <c r="AV29" i="41" s="1"/>
  <c r="AT27" i="19"/>
  <c r="AR27" i="19"/>
  <c r="AP27" i="19"/>
  <c r="AV28" i="41" s="1"/>
  <c r="AT26" i="19"/>
  <c r="AR26" i="19"/>
  <c r="AP26" i="19"/>
  <c r="AV27" i="41" s="1"/>
  <c r="AT25" i="19"/>
  <c r="AR25" i="19"/>
  <c r="AP25" i="19"/>
  <c r="AV26" i="41" s="1"/>
  <c r="AT24" i="19"/>
  <c r="AR24" i="19"/>
  <c r="AP24" i="19"/>
  <c r="AV25" i="41" s="1"/>
  <c r="AT23" i="19"/>
  <c r="AR23" i="19"/>
  <c r="AP23" i="19"/>
  <c r="AV24" i="41" s="1"/>
  <c r="AT22" i="19"/>
  <c r="AR22" i="19"/>
  <c r="AP22" i="19"/>
  <c r="AV23" i="41" s="1"/>
  <c r="AT21" i="19"/>
  <c r="AR21" i="19"/>
  <c r="AP21" i="19"/>
  <c r="AV22" i="41" s="1"/>
  <c r="AT20" i="19"/>
  <c r="AR20" i="19"/>
  <c r="AP20" i="19"/>
  <c r="AV21" i="41" s="1"/>
  <c r="AT19" i="19"/>
  <c r="AR19" i="19"/>
  <c r="AP19" i="19"/>
  <c r="AV20" i="41" s="1"/>
  <c r="AT18" i="19"/>
  <c r="AR18" i="19"/>
  <c r="AP18" i="19"/>
  <c r="AV19" i="41" s="1"/>
  <c r="AT17" i="19"/>
  <c r="AR17" i="19"/>
  <c r="AP17" i="19"/>
  <c r="AV18" i="41" s="1"/>
  <c r="AT16" i="19"/>
  <c r="AR16" i="19"/>
  <c r="AP16" i="19"/>
  <c r="AV17" i="41" s="1"/>
  <c r="AT15" i="19"/>
  <c r="AR15" i="19"/>
  <c r="AP15" i="19"/>
  <c r="AV16" i="41" s="1"/>
  <c r="AT14" i="19"/>
  <c r="AR14" i="19"/>
  <c r="AP14" i="19"/>
  <c r="AV15" i="41" s="1"/>
  <c r="AT13" i="19"/>
  <c r="AR13" i="19"/>
  <c r="AP13" i="19"/>
  <c r="AV14" i="41" s="1"/>
  <c r="AT12" i="19"/>
  <c r="AR12" i="19"/>
  <c r="AP12" i="19"/>
  <c r="AV13" i="41" s="1"/>
  <c r="AT11" i="19"/>
  <c r="AR11" i="19"/>
  <c r="AP11" i="19"/>
  <c r="AV12" i="41" s="1"/>
  <c r="AT10" i="19"/>
  <c r="AR10" i="19"/>
  <c r="AP10" i="19"/>
  <c r="AV11" i="41" s="1"/>
  <c r="AT9" i="19"/>
  <c r="AR9" i="19"/>
  <c r="AP9" i="19"/>
  <c r="AV10" i="41" s="1"/>
  <c r="AT8" i="19"/>
  <c r="AR8" i="19"/>
  <c r="AP8" i="19"/>
  <c r="AV9" i="41" s="1"/>
  <c r="AT7" i="19"/>
  <c r="AR7" i="19"/>
  <c r="AP7" i="19"/>
  <c r="AV8" i="41" s="1"/>
  <c r="AT6" i="19"/>
  <c r="AR6" i="19"/>
  <c r="AP6" i="19"/>
  <c r="AV7" i="41" s="1"/>
  <c r="AT5" i="19"/>
  <c r="AR5" i="19"/>
  <c r="AP5" i="19"/>
  <c r="AV6" i="41" s="1"/>
  <c r="AT54" i="18"/>
  <c r="AR54" i="18"/>
  <c r="AP54" i="18"/>
  <c r="AS55" i="41" s="1"/>
  <c r="AT53" i="18"/>
  <c r="AR53" i="18"/>
  <c r="AP53" i="18"/>
  <c r="AT52" i="18"/>
  <c r="AR52" i="18"/>
  <c r="AP52" i="18"/>
  <c r="AT51" i="18"/>
  <c r="AR51" i="18"/>
  <c r="AP51" i="18"/>
  <c r="AT50" i="18"/>
  <c r="AR50" i="18"/>
  <c r="AP50" i="18"/>
  <c r="AT49" i="18"/>
  <c r="AR49" i="18"/>
  <c r="AP49" i="18"/>
  <c r="AT48" i="18"/>
  <c r="AR48" i="18"/>
  <c r="AP48" i="18"/>
  <c r="AT47" i="18"/>
  <c r="AR47" i="18"/>
  <c r="AP47" i="18"/>
  <c r="AT46" i="18"/>
  <c r="AR46" i="18"/>
  <c r="AP46" i="18"/>
  <c r="AT45" i="18"/>
  <c r="AR45" i="18"/>
  <c r="AP45" i="18"/>
  <c r="AT44" i="18"/>
  <c r="AR44" i="18"/>
  <c r="AP44" i="18"/>
  <c r="AS45" i="41" s="1"/>
  <c r="AT43" i="18"/>
  <c r="AR43" i="18"/>
  <c r="AP43" i="18"/>
  <c r="AS44" i="41" s="1"/>
  <c r="AT42" i="18"/>
  <c r="AR42" i="18"/>
  <c r="AP42" i="18"/>
  <c r="AS43" i="41" s="1"/>
  <c r="AT41" i="18"/>
  <c r="AR41" i="18"/>
  <c r="AP41" i="18"/>
  <c r="AS42" i="41" s="1"/>
  <c r="AT40" i="18"/>
  <c r="AR40" i="18"/>
  <c r="AP40" i="18"/>
  <c r="AS41" i="41" s="1"/>
  <c r="AT39" i="18"/>
  <c r="AR39" i="18"/>
  <c r="AP39" i="18"/>
  <c r="AS40" i="41" s="1"/>
  <c r="AT38" i="18"/>
  <c r="AR38" i="18"/>
  <c r="AP38" i="18"/>
  <c r="AS39" i="41" s="1"/>
  <c r="AT37" i="18"/>
  <c r="AR37" i="18"/>
  <c r="AP37" i="18"/>
  <c r="AS38" i="41" s="1"/>
  <c r="AT36" i="18"/>
  <c r="AR36" i="18"/>
  <c r="AP36" i="18"/>
  <c r="AS37" i="41" s="1"/>
  <c r="AT35" i="18"/>
  <c r="AR35" i="18"/>
  <c r="AP35" i="18"/>
  <c r="AS36" i="41" s="1"/>
  <c r="AT34" i="18"/>
  <c r="AR34" i="18"/>
  <c r="AP34" i="18"/>
  <c r="AS35" i="41" s="1"/>
  <c r="AT33" i="18"/>
  <c r="AR33" i="18"/>
  <c r="AP33" i="18"/>
  <c r="AS34" i="41" s="1"/>
  <c r="AT32" i="18"/>
  <c r="AR32" i="18"/>
  <c r="AP32" i="18"/>
  <c r="AS33" i="41" s="1"/>
  <c r="AT31" i="18"/>
  <c r="AR31" i="18"/>
  <c r="AP31" i="18"/>
  <c r="AS32" i="41" s="1"/>
  <c r="AT30" i="18"/>
  <c r="AR30" i="18"/>
  <c r="AP30" i="18"/>
  <c r="AS31" i="41" s="1"/>
  <c r="AT29" i="18"/>
  <c r="AR29" i="18"/>
  <c r="AP29" i="18"/>
  <c r="AS30" i="41" s="1"/>
  <c r="AT28" i="18"/>
  <c r="AR28" i="18"/>
  <c r="AP28" i="18"/>
  <c r="AS29" i="41" s="1"/>
  <c r="AT27" i="18"/>
  <c r="AR27" i="18"/>
  <c r="AP27" i="18"/>
  <c r="AS28" i="41" s="1"/>
  <c r="AT26" i="18"/>
  <c r="AR26" i="18"/>
  <c r="AP26" i="18"/>
  <c r="AS27" i="41" s="1"/>
  <c r="AT25" i="18"/>
  <c r="AR25" i="18"/>
  <c r="AP25" i="18"/>
  <c r="AS26" i="41" s="1"/>
  <c r="AT24" i="18"/>
  <c r="AR24" i="18"/>
  <c r="AP24" i="18"/>
  <c r="AS25" i="41" s="1"/>
  <c r="AT23" i="18"/>
  <c r="AR23" i="18"/>
  <c r="AP23" i="18"/>
  <c r="AS24" i="41" s="1"/>
  <c r="AT22" i="18"/>
  <c r="AR22" i="18"/>
  <c r="AP22" i="18"/>
  <c r="AS23" i="41" s="1"/>
  <c r="AT21" i="18"/>
  <c r="AR21" i="18"/>
  <c r="AP21" i="18"/>
  <c r="AS22" i="41" s="1"/>
  <c r="AT20" i="18"/>
  <c r="AR20" i="18"/>
  <c r="AP20" i="18"/>
  <c r="AS21" i="41" s="1"/>
  <c r="AT19" i="18"/>
  <c r="AR19" i="18"/>
  <c r="AP19" i="18"/>
  <c r="AS20" i="41" s="1"/>
  <c r="AT18" i="18"/>
  <c r="AR18" i="18"/>
  <c r="AP18" i="18"/>
  <c r="AS19" i="41" s="1"/>
  <c r="AT17" i="18"/>
  <c r="AR17" i="18"/>
  <c r="AP17" i="18"/>
  <c r="AS18" i="41" s="1"/>
  <c r="AT16" i="18"/>
  <c r="AR16" i="18"/>
  <c r="AP16" i="18"/>
  <c r="AS17" i="41" s="1"/>
  <c r="AT15" i="18"/>
  <c r="AR15" i="18"/>
  <c r="AP15" i="18"/>
  <c r="AS16" i="41" s="1"/>
  <c r="AT14" i="18"/>
  <c r="AR14" i="18"/>
  <c r="AP14" i="18"/>
  <c r="AS15" i="41" s="1"/>
  <c r="AT13" i="18"/>
  <c r="AR13" i="18"/>
  <c r="AP13" i="18"/>
  <c r="AS14" i="41" s="1"/>
  <c r="AT12" i="18"/>
  <c r="AR12" i="18"/>
  <c r="AP12" i="18"/>
  <c r="AS13" i="41" s="1"/>
  <c r="AT11" i="18"/>
  <c r="AR11" i="18"/>
  <c r="AP11" i="18"/>
  <c r="AS12" i="41" s="1"/>
  <c r="AT10" i="18"/>
  <c r="AR10" i="18"/>
  <c r="AP10" i="18"/>
  <c r="AS11" i="41" s="1"/>
  <c r="AT9" i="18"/>
  <c r="AR9" i="18"/>
  <c r="AP9" i="18"/>
  <c r="AS10" i="41" s="1"/>
  <c r="AT8" i="18"/>
  <c r="AR8" i="18"/>
  <c r="AP8" i="18"/>
  <c r="AS9" i="41" s="1"/>
  <c r="AT7" i="18"/>
  <c r="AR7" i="18"/>
  <c r="AP7" i="18"/>
  <c r="AS8" i="41" s="1"/>
  <c r="AT6" i="18"/>
  <c r="AR6" i="18"/>
  <c r="AP6" i="18"/>
  <c r="AS7" i="41" s="1"/>
  <c r="AT5" i="18"/>
  <c r="AR5" i="18"/>
  <c r="AP5" i="18"/>
  <c r="AS6" i="41" s="1"/>
  <c r="AD54" i="17"/>
  <c r="AP55" i="41" s="1"/>
  <c r="AD53" i="17"/>
  <c r="AD52" i="17"/>
  <c r="AD51" i="17"/>
  <c r="AD50" i="17"/>
  <c r="AD49" i="17"/>
  <c r="AD48" i="17"/>
  <c r="AD47" i="17"/>
  <c r="AD46" i="17"/>
  <c r="AD45" i="17"/>
  <c r="AD44" i="17"/>
  <c r="AP45" i="41" s="1"/>
  <c r="AD43" i="17"/>
  <c r="AP44" i="41" s="1"/>
  <c r="AD42" i="17"/>
  <c r="AP43" i="41" s="1"/>
  <c r="AD41" i="17"/>
  <c r="AP42" i="41" s="1"/>
  <c r="AD40" i="17"/>
  <c r="AP41" i="41" s="1"/>
  <c r="AD39" i="17"/>
  <c r="AP40" i="41" s="1"/>
  <c r="AD38" i="17"/>
  <c r="AP39" i="41" s="1"/>
  <c r="AD37" i="17"/>
  <c r="AP38" i="41" s="1"/>
  <c r="AD36" i="17"/>
  <c r="AP37" i="41" s="1"/>
  <c r="AD35" i="17"/>
  <c r="AP36" i="41" s="1"/>
  <c r="AD34" i="17"/>
  <c r="AP35" i="41" s="1"/>
  <c r="AD33" i="17"/>
  <c r="AP34" i="41" s="1"/>
  <c r="AD32" i="17"/>
  <c r="AP33" i="41" s="1"/>
  <c r="AD31" i="17"/>
  <c r="AP32" i="41" s="1"/>
  <c r="AD30" i="17"/>
  <c r="AP31" i="41" s="1"/>
  <c r="AD29" i="17"/>
  <c r="AP30" i="41" s="1"/>
  <c r="AD28" i="17"/>
  <c r="AP29" i="41" s="1"/>
  <c r="AD27" i="17"/>
  <c r="AP28" i="41" s="1"/>
  <c r="AD26" i="17"/>
  <c r="AP27" i="41" s="1"/>
  <c r="AD25" i="17"/>
  <c r="AP26" i="41" s="1"/>
  <c r="AD24" i="17"/>
  <c r="AP25" i="41" s="1"/>
  <c r="AD23" i="17"/>
  <c r="AP24" i="41" s="1"/>
  <c r="AD22" i="17"/>
  <c r="AP23" i="41" s="1"/>
  <c r="AD21" i="17"/>
  <c r="AP22" i="41" s="1"/>
  <c r="AD20" i="17"/>
  <c r="AP21" i="41" s="1"/>
  <c r="AD19" i="17"/>
  <c r="AP20" i="41" s="1"/>
  <c r="AD18" i="17"/>
  <c r="AP19" i="41" s="1"/>
  <c r="AD17" i="17"/>
  <c r="AP18" i="41" s="1"/>
  <c r="AD16" i="17"/>
  <c r="AP17" i="41" s="1"/>
  <c r="AD15" i="17"/>
  <c r="AP16" i="41" s="1"/>
  <c r="AD14" i="17"/>
  <c r="AP15" i="41" s="1"/>
  <c r="AD13" i="17"/>
  <c r="AP14" i="41" s="1"/>
  <c r="AD12" i="17"/>
  <c r="AP13" i="41" s="1"/>
  <c r="AD11" i="17"/>
  <c r="AP12" i="41" s="1"/>
  <c r="AD10" i="17"/>
  <c r="AP11" i="41" s="1"/>
  <c r="AD9" i="17"/>
  <c r="AP10" i="41" s="1"/>
  <c r="AD8" i="17"/>
  <c r="AP9" i="41" s="1"/>
  <c r="AD7" i="17"/>
  <c r="AP8" i="41" s="1"/>
  <c r="AD6" i="17"/>
  <c r="AP7" i="41" s="1"/>
  <c r="AH5" i="17"/>
  <c r="AF5" i="17"/>
  <c r="AD5" i="17"/>
  <c r="AP6" i="41" s="1"/>
  <c r="AT54" i="15"/>
  <c r="AR54" i="15"/>
  <c r="AP54" i="15"/>
  <c r="AJ55" i="41" s="1"/>
  <c r="AT53" i="15"/>
  <c r="AR53" i="15"/>
  <c r="AP53" i="15"/>
  <c r="AJ54" i="41" s="1"/>
  <c r="AT52" i="15"/>
  <c r="AR52" i="15"/>
  <c r="AP52" i="15"/>
  <c r="AJ53" i="41" s="1"/>
  <c r="AT51" i="15"/>
  <c r="AR51" i="15"/>
  <c r="AP51" i="15"/>
  <c r="AJ52" i="41" s="1"/>
  <c r="AT50" i="15"/>
  <c r="AR50" i="15"/>
  <c r="AP50" i="15"/>
  <c r="AJ51" i="41" s="1"/>
  <c r="AT49" i="15"/>
  <c r="AR49" i="15"/>
  <c r="AP49" i="15"/>
  <c r="AJ50" i="41" s="1"/>
  <c r="AT48" i="15"/>
  <c r="AR48" i="15"/>
  <c r="AP48" i="15"/>
  <c r="AJ49" i="41" s="1"/>
  <c r="AT47" i="15"/>
  <c r="AR47" i="15"/>
  <c r="AP47" i="15"/>
  <c r="AJ48" i="41" s="1"/>
  <c r="AT46" i="15"/>
  <c r="AR46" i="15"/>
  <c r="AP46" i="15"/>
  <c r="AJ47" i="41" s="1"/>
  <c r="AT45" i="15"/>
  <c r="AR45" i="15"/>
  <c r="AP45" i="15"/>
  <c r="AJ46" i="41" s="1"/>
  <c r="AT44" i="15"/>
  <c r="AR44" i="15"/>
  <c r="AP44" i="15"/>
  <c r="AJ45" i="41" s="1"/>
  <c r="AT43" i="15"/>
  <c r="AR43" i="15"/>
  <c r="AP43" i="15"/>
  <c r="AJ44" i="41" s="1"/>
  <c r="AT42" i="15"/>
  <c r="AR42" i="15"/>
  <c r="AP42" i="15"/>
  <c r="AJ43" i="41" s="1"/>
  <c r="AT41" i="15"/>
  <c r="AR41" i="15"/>
  <c r="AP41" i="15"/>
  <c r="AJ42" i="41" s="1"/>
  <c r="AT40" i="15"/>
  <c r="AR40" i="15"/>
  <c r="AP40" i="15"/>
  <c r="AJ41" i="41" s="1"/>
  <c r="AT39" i="15"/>
  <c r="AR39" i="15"/>
  <c r="AP39" i="15"/>
  <c r="AJ40" i="41" s="1"/>
  <c r="AT38" i="15"/>
  <c r="AR38" i="15"/>
  <c r="AP38" i="15"/>
  <c r="AJ39" i="41" s="1"/>
  <c r="AT37" i="15"/>
  <c r="AR37" i="15"/>
  <c r="AP37" i="15"/>
  <c r="AJ38" i="41" s="1"/>
  <c r="AT36" i="15"/>
  <c r="AR36" i="15"/>
  <c r="AP36" i="15"/>
  <c r="AJ37" i="41" s="1"/>
  <c r="AT35" i="15"/>
  <c r="AR35" i="15"/>
  <c r="AP35" i="15"/>
  <c r="AJ36" i="41" s="1"/>
  <c r="AT34" i="15"/>
  <c r="AR34" i="15"/>
  <c r="AP34" i="15"/>
  <c r="AJ35" i="41" s="1"/>
  <c r="AT33" i="15"/>
  <c r="AR33" i="15"/>
  <c r="AP33" i="15"/>
  <c r="AJ34" i="41" s="1"/>
  <c r="AT32" i="15"/>
  <c r="AR32" i="15"/>
  <c r="AP32" i="15"/>
  <c r="AJ33" i="41" s="1"/>
  <c r="AT31" i="15"/>
  <c r="AR31" i="15"/>
  <c r="AP31" i="15"/>
  <c r="AJ32" i="41" s="1"/>
  <c r="AT30" i="15"/>
  <c r="AR30" i="15"/>
  <c r="AP30" i="15"/>
  <c r="AJ31" i="41" s="1"/>
  <c r="AT29" i="15"/>
  <c r="AR29" i="15"/>
  <c r="AP29" i="15"/>
  <c r="AJ30" i="41" s="1"/>
  <c r="AT28" i="15"/>
  <c r="AR28" i="15"/>
  <c r="AP28" i="15"/>
  <c r="AJ29" i="41" s="1"/>
  <c r="AT27" i="15"/>
  <c r="AR27" i="15"/>
  <c r="AP27" i="15"/>
  <c r="AJ28" i="41" s="1"/>
  <c r="AT26" i="15"/>
  <c r="AR26" i="15"/>
  <c r="AP26" i="15"/>
  <c r="AJ27" i="41" s="1"/>
  <c r="AT25" i="15"/>
  <c r="AR25" i="15"/>
  <c r="AP25" i="15"/>
  <c r="AJ26" i="41" s="1"/>
  <c r="AT24" i="15"/>
  <c r="AR24" i="15"/>
  <c r="AP24" i="15"/>
  <c r="AJ25" i="41" s="1"/>
  <c r="AT23" i="15"/>
  <c r="AR23" i="15"/>
  <c r="AP23" i="15"/>
  <c r="AJ24" i="41" s="1"/>
  <c r="AT22" i="15"/>
  <c r="AR22" i="15"/>
  <c r="AP22" i="15"/>
  <c r="AJ23" i="41" s="1"/>
  <c r="AT21" i="15"/>
  <c r="AR21" i="15"/>
  <c r="AP21" i="15"/>
  <c r="AJ22" i="41" s="1"/>
  <c r="AT20" i="15"/>
  <c r="AR20" i="15"/>
  <c r="AP20" i="15"/>
  <c r="AJ21" i="41" s="1"/>
  <c r="AT19" i="15"/>
  <c r="AR19" i="15"/>
  <c r="AP19" i="15"/>
  <c r="AJ20" i="41" s="1"/>
  <c r="AT18" i="15"/>
  <c r="AR18" i="15"/>
  <c r="AP18" i="15"/>
  <c r="AJ19" i="41" s="1"/>
  <c r="AT17" i="15"/>
  <c r="AR17" i="15"/>
  <c r="AP17" i="15"/>
  <c r="AJ18" i="41" s="1"/>
  <c r="AT16" i="15"/>
  <c r="AR16" i="15"/>
  <c r="AP16" i="15"/>
  <c r="AJ17" i="41" s="1"/>
  <c r="AT15" i="15"/>
  <c r="AR15" i="15"/>
  <c r="AP15" i="15"/>
  <c r="AJ16" i="41" s="1"/>
  <c r="AT14" i="15"/>
  <c r="AR14" i="15"/>
  <c r="AP14" i="15"/>
  <c r="AJ15" i="41" s="1"/>
  <c r="AT13" i="15"/>
  <c r="AR13" i="15"/>
  <c r="AP13" i="15"/>
  <c r="AJ14" i="41" s="1"/>
  <c r="AT12" i="15"/>
  <c r="AR12" i="15"/>
  <c r="AP12" i="15"/>
  <c r="AJ13" i="41" s="1"/>
  <c r="AT11" i="15"/>
  <c r="AR11" i="15"/>
  <c r="AP11" i="15"/>
  <c r="AJ12" i="41" s="1"/>
  <c r="AT10" i="15"/>
  <c r="AR10" i="15"/>
  <c r="AP10" i="15"/>
  <c r="AJ11" i="41" s="1"/>
  <c r="AT9" i="15"/>
  <c r="AR9" i="15"/>
  <c r="AP9" i="15"/>
  <c r="AJ10" i="41" s="1"/>
  <c r="AT8" i="15"/>
  <c r="AR8" i="15"/>
  <c r="AP8" i="15"/>
  <c r="AJ9" i="41" s="1"/>
  <c r="AT7" i="15"/>
  <c r="AR7" i="15"/>
  <c r="AP7" i="15"/>
  <c r="AJ8" i="41" s="1"/>
  <c r="AT6" i="15"/>
  <c r="AR6" i="15"/>
  <c r="AP6" i="15"/>
  <c r="AJ7" i="41" s="1"/>
  <c r="AT5" i="15"/>
  <c r="AR5" i="15"/>
  <c r="AP5" i="15"/>
  <c r="AJ6" i="41" s="1"/>
  <c r="AT54" i="14"/>
  <c r="AR54" i="14"/>
  <c r="AP54" i="14"/>
  <c r="AG55" i="41" s="1"/>
  <c r="AT53" i="14"/>
  <c r="AR53" i="14"/>
  <c r="AP53" i="14"/>
  <c r="AG54" i="41" s="1"/>
  <c r="AT52" i="14"/>
  <c r="AR52" i="14"/>
  <c r="AP52" i="14"/>
  <c r="AG53" i="41" s="1"/>
  <c r="AT51" i="14"/>
  <c r="AR51" i="14"/>
  <c r="AP51" i="14"/>
  <c r="AG52" i="41" s="1"/>
  <c r="AT50" i="14"/>
  <c r="AR50" i="14"/>
  <c r="AP50" i="14"/>
  <c r="AG51" i="41" s="1"/>
  <c r="AT49" i="14"/>
  <c r="AR49" i="14"/>
  <c r="AP49" i="14"/>
  <c r="AG50" i="41" s="1"/>
  <c r="AT48" i="14"/>
  <c r="AR48" i="14"/>
  <c r="AP48" i="14"/>
  <c r="AG49" i="41" s="1"/>
  <c r="AT47" i="14"/>
  <c r="AR47" i="14"/>
  <c r="AP47" i="14"/>
  <c r="AG48" i="41" s="1"/>
  <c r="AT46" i="14"/>
  <c r="AR46" i="14"/>
  <c r="AP46" i="14"/>
  <c r="AG47" i="41" s="1"/>
  <c r="AT45" i="14"/>
  <c r="AR45" i="14"/>
  <c r="AP45" i="14"/>
  <c r="AG46" i="41" s="1"/>
  <c r="AT44" i="14"/>
  <c r="AR44" i="14"/>
  <c r="AP44" i="14"/>
  <c r="AG45" i="41" s="1"/>
  <c r="AT43" i="14"/>
  <c r="AR43" i="14"/>
  <c r="AP43" i="14"/>
  <c r="AG44" i="41" s="1"/>
  <c r="AT42" i="14"/>
  <c r="AR42" i="14"/>
  <c r="AP42" i="14"/>
  <c r="AG43" i="41" s="1"/>
  <c r="AT41" i="14"/>
  <c r="AR41" i="14"/>
  <c r="AP41" i="14"/>
  <c r="AG42" i="41" s="1"/>
  <c r="AT40" i="14"/>
  <c r="AR40" i="14"/>
  <c r="AP40" i="14"/>
  <c r="AG41" i="41" s="1"/>
  <c r="AT39" i="14"/>
  <c r="AR39" i="14"/>
  <c r="AP39" i="14"/>
  <c r="AG40" i="41" s="1"/>
  <c r="AT38" i="14"/>
  <c r="AR38" i="14"/>
  <c r="AP38" i="14"/>
  <c r="AG39" i="41" s="1"/>
  <c r="AT37" i="14"/>
  <c r="AR37" i="14"/>
  <c r="AP37" i="14"/>
  <c r="AG38" i="41" s="1"/>
  <c r="AT36" i="14"/>
  <c r="AR36" i="14"/>
  <c r="AP36" i="14"/>
  <c r="AG37" i="41" s="1"/>
  <c r="AT35" i="14"/>
  <c r="AR35" i="14"/>
  <c r="AP35" i="14"/>
  <c r="AG36" i="41" s="1"/>
  <c r="AT34" i="14"/>
  <c r="AR34" i="14"/>
  <c r="AP34" i="14"/>
  <c r="AG35" i="41" s="1"/>
  <c r="AT33" i="14"/>
  <c r="AR33" i="14"/>
  <c r="AP33" i="14"/>
  <c r="AG34" i="41" s="1"/>
  <c r="AT32" i="14"/>
  <c r="AR32" i="14"/>
  <c r="AP32" i="14"/>
  <c r="AG33" i="41" s="1"/>
  <c r="AT31" i="14"/>
  <c r="AR31" i="14"/>
  <c r="AP31" i="14"/>
  <c r="AG32" i="41" s="1"/>
  <c r="AT30" i="14"/>
  <c r="AR30" i="14"/>
  <c r="AP30" i="14"/>
  <c r="AG31" i="41" s="1"/>
  <c r="AT29" i="14"/>
  <c r="AR29" i="14"/>
  <c r="AP29" i="14"/>
  <c r="AG30" i="41" s="1"/>
  <c r="AT28" i="14"/>
  <c r="AR28" i="14"/>
  <c r="AP28" i="14"/>
  <c r="AG29" i="41" s="1"/>
  <c r="AT27" i="14"/>
  <c r="AR27" i="14"/>
  <c r="AP27" i="14"/>
  <c r="AG28" i="41" s="1"/>
  <c r="AT26" i="14"/>
  <c r="AR26" i="14"/>
  <c r="AP26" i="14"/>
  <c r="AG27" i="41" s="1"/>
  <c r="AT25" i="14"/>
  <c r="AR25" i="14"/>
  <c r="AP25" i="14"/>
  <c r="AG26" i="41" s="1"/>
  <c r="AT24" i="14"/>
  <c r="AR24" i="14"/>
  <c r="AP24" i="14"/>
  <c r="AG25" i="41" s="1"/>
  <c r="AT23" i="14"/>
  <c r="AR23" i="14"/>
  <c r="AP23" i="14"/>
  <c r="AG24" i="41" s="1"/>
  <c r="AT22" i="14"/>
  <c r="AR22" i="14"/>
  <c r="AP22" i="14"/>
  <c r="AG23" i="41" s="1"/>
  <c r="AT21" i="14"/>
  <c r="AR21" i="14"/>
  <c r="AP21" i="14"/>
  <c r="AG22" i="41" s="1"/>
  <c r="AT20" i="14"/>
  <c r="AR20" i="14"/>
  <c r="AP20" i="14"/>
  <c r="AG21" i="41" s="1"/>
  <c r="AT19" i="14"/>
  <c r="AR19" i="14"/>
  <c r="AP19" i="14"/>
  <c r="AG20" i="41" s="1"/>
  <c r="AT18" i="14"/>
  <c r="AR18" i="14"/>
  <c r="AP18" i="14"/>
  <c r="AG19" i="41" s="1"/>
  <c r="AT17" i="14"/>
  <c r="AR17" i="14"/>
  <c r="AP17" i="14"/>
  <c r="AG18" i="41" s="1"/>
  <c r="AT16" i="14"/>
  <c r="AR16" i="14"/>
  <c r="AP16" i="14"/>
  <c r="AG17" i="41" s="1"/>
  <c r="AT15" i="14"/>
  <c r="AR15" i="14"/>
  <c r="AP15" i="14"/>
  <c r="AG16" i="41" s="1"/>
  <c r="AT14" i="14"/>
  <c r="AR14" i="14"/>
  <c r="AP14" i="14"/>
  <c r="AG15" i="41" s="1"/>
  <c r="AT13" i="14"/>
  <c r="AR13" i="14"/>
  <c r="AP13" i="14"/>
  <c r="AG14" i="41" s="1"/>
  <c r="AT12" i="14"/>
  <c r="AR12" i="14"/>
  <c r="AP12" i="14"/>
  <c r="AG13" i="41" s="1"/>
  <c r="AT11" i="14"/>
  <c r="AR11" i="14"/>
  <c r="AP11" i="14"/>
  <c r="AG12" i="41" s="1"/>
  <c r="AT10" i="14"/>
  <c r="AR10" i="14"/>
  <c r="AP10" i="14"/>
  <c r="AG11" i="41" s="1"/>
  <c r="AT9" i="14"/>
  <c r="AR9" i="14"/>
  <c r="AP9" i="14"/>
  <c r="AG10" i="41" s="1"/>
  <c r="AT8" i="14"/>
  <c r="AR8" i="14"/>
  <c r="AP8" i="14"/>
  <c r="AG9" i="41" s="1"/>
  <c r="AT7" i="14"/>
  <c r="AR7" i="14"/>
  <c r="AP7" i="14"/>
  <c r="AG8" i="41" s="1"/>
  <c r="AT6" i="14"/>
  <c r="AR6" i="14"/>
  <c r="AP6" i="14"/>
  <c r="AG7" i="41" s="1"/>
  <c r="AT5" i="14"/>
  <c r="AR5" i="14"/>
  <c r="AP5" i="14"/>
  <c r="AG6" i="41" s="1"/>
  <c r="AX54" i="13"/>
  <c r="AV54" i="13"/>
  <c r="AT54" i="13"/>
  <c r="AD55" i="41" s="1"/>
  <c r="AX53" i="13"/>
  <c r="AV53" i="13"/>
  <c r="AT53" i="13"/>
  <c r="AX52" i="13"/>
  <c r="AV52" i="13"/>
  <c r="AT52" i="13"/>
  <c r="AX51" i="13"/>
  <c r="AV51" i="13"/>
  <c r="AT51" i="13"/>
  <c r="AX50" i="13"/>
  <c r="AV50" i="13"/>
  <c r="AT50" i="13"/>
  <c r="AX49" i="13"/>
  <c r="AV49" i="13"/>
  <c r="AT49" i="13"/>
  <c r="AX48" i="13"/>
  <c r="AV48" i="13"/>
  <c r="AT48" i="13"/>
  <c r="AX47" i="13"/>
  <c r="AV47" i="13"/>
  <c r="AT47" i="13"/>
  <c r="AX46" i="13"/>
  <c r="AV46" i="13"/>
  <c r="AT46" i="13"/>
  <c r="AX45" i="13"/>
  <c r="AV45" i="13"/>
  <c r="AT45" i="13"/>
  <c r="AX44" i="13"/>
  <c r="AV44" i="13"/>
  <c r="AT44" i="13"/>
  <c r="AD45" i="41" s="1"/>
  <c r="AX43" i="13"/>
  <c r="AV43" i="13"/>
  <c r="AT43" i="13"/>
  <c r="AD44" i="41" s="1"/>
  <c r="AX42" i="13"/>
  <c r="AV42" i="13"/>
  <c r="AT42" i="13"/>
  <c r="AD43" i="41" s="1"/>
  <c r="AX41" i="13"/>
  <c r="AV41" i="13"/>
  <c r="AT41" i="13"/>
  <c r="AD42" i="41" s="1"/>
  <c r="AX40" i="13"/>
  <c r="AV40" i="13"/>
  <c r="AT40" i="13"/>
  <c r="AD41" i="41" s="1"/>
  <c r="AX39" i="13"/>
  <c r="AV39" i="13"/>
  <c r="AT39" i="13"/>
  <c r="AD40" i="41" s="1"/>
  <c r="AX38" i="13"/>
  <c r="AV38" i="13"/>
  <c r="AT38" i="13"/>
  <c r="AD39" i="41" s="1"/>
  <c r="AX37" i="13"/>
  <c r="AV37" i="13"/>
  <c r="AT37" i="13"/>
  <c r="AD38" i="41" s="1"/>
  <c r="AX36" i="13"/>
  <c r="AV36" i="13"/>
  <c r="AT36" i="13"/>
  <c r="AD37" i="41" s="1"/>
  <c r="AX35" i="13"/>
  <c r="AV35" i="13"/>
  <c r="AT35" i="13"/>
  <c r="AD36" i="41" s="1"/>
  <c r="AX34" i="13"/>
  <c r="AV34" i="13"/>
  <c r="AT34" i="13"/>
  <c r="AD35" i="41" s="1"/>
  <c r="AX33" i="13"/>
  <c r="AV33" i="13"/>
  <c r="AT33" i="13"/>
  <c r="AD34" i="41" s="1"/>
  <c r="AX32" i="13"/>
  <c r="AV32" i="13"/>
  <c r="AT32" i="13"/>
  <c r="AD33" i="41" s="1"/>
  <c r="AX31" i="13"/>
  <c r="AV31" i="13"/>
  <c r="AT31" i="13"/>
  <c r="AD32" i="41" s="1"/>
  <c r="AX30" i="13"/>
  <c r="AV30" i="13"/>
  <c r="AT30" i="13"/>
  <c r="AD31" i="41" s="1"/>
  <c r="AX29" i="13"/>
  <c r="AV29" i="13"/>
  <c r="AT29" i="13"/>
  <c r="AD30" i="41" s="1"/>
  <c r="AX28" i="13"/>
  <c r="AV28" i="13"/>
  <c r="AT28" i="13"/>
  <c r="AD29" i="41" s="1"/>
  <c r="AX27" i="13"/>
  <c r="AV27" i="13"/>
  <c r="AT27" i="13"/>
  <c r="AD28" i="41" s="1"/>
  <c r="AX26" i="13"/>
  <c r="AV26" i="13"/>
  <c r="AT26" i="13"/>
  <c r="AD27" i="41" s="1"/>
  <c r="AX25" i="13"/>
  <c r="AV25" i="13"/>
  <c r="AT25" i="13"/>
  <c r="AD26" i="41" s="1"/>
  <c r="AX24" i="13"/>
  <c r="AV24" i="13"/>
  <c r="AT24" i="13"/>
  <c r="AD25" i="41" s="1"/>
  <c r="AX23" i="13"/>
  <c r="AV23" i="13"/>
  <c r="AT23" i="13"/>
  <c r="AD24" i="41" s="1"/>
  <c r="AX22" i="13"/>
  <c r="AV22" i="13"/>
  <c r="AT22" i="13"/>
  <c r="AD23" i="41" s="1"/>
  <c r="AX21" i="13"/>
  <c r="AV21" i="13"/>
  <c r="AT21" i="13"/>
  <c r="AD22" i="41" s="1"/>
  <c r="AX20" i="13"/>
  <c r="AV20" i="13"/>
  <c r="AT20" i="13"/>
  <c r="AD21" i="41" s="1"/>
  <c r="AX19" i="13"/>
  <c r="AV19" i="13"/>
  <c r="AT19" i="13"/>
  <c r="AD20" i="41" s="1"/>
  <c r="AX18" i="13"/>
  <c r="AV18" i="13"/>
  <c r="AT18" i="13"/>
  <c r="AD19" i="41" s="1"/>
  <c r="AX17" i="13"/>
  <c r="AV17" i="13"/>
  <c r="AT17" i="13"/>
  <c r="AD18" i="41" s="1"/>
  <c r="AX16" i="13"/>
  <c r="AV16" i="13"/>
  <c r="AT16" i="13"/>
  <c r="AD17" i="41" s="1"/>
  <c r="AX15" i="13"/>
  <c r="AV15" i="13"/>
  <c r="AT15" i="13"/>
  <c r="AD16" i="41" s="1"/>
  <c r="AX14" i="13"/>
  <c r="AV14" i="13"/>
  <c r="AT14" i="13"/>
  <c r="AD15" i="41" s="1"/>
  <c r="AX13" i="13"/>
  <c r="AV13" i="13"/>
  <c r="AT13" i="13"/>
  <c r="AD14" i="41" s="1"/>
  <c r="AX12" i="13"/>
  <c r="AV12" i="13"/>
  <c r="AT12" i="13"/>
  <c r="AD13" i="41" s="1"/>
  <c r="AX11" i="13"/>
  <c r="AV11" i="13"/>
  <c r="AT11" i="13"/>
  <c r="AD12" i="41" s="1"/>
  <c r="AX10" i="13"/>
  <c r="AV10" i="13"/>
  <c r="AT10" i="13"/>
  <c r="AD11" i="41" s="1"/>
  <c r="AX9" i="13"/>
  <c r="AV9" i="13"/>
  <c r="AT9" i="13"/>
  <c r="AD10" i="41" s="1"/>
  <c r="AX8" i="13"/>
  <c r="AV8" i="13"/>
  <c r="AT8" i="13"/>
  <c r="AD9" i="41" s="1"/>
  <c r="AX7" i="13"/>
  <c r="AV7" i="13"/>
  <c r="AT7" i="13"/>
  <c r="AD8" i="41" s="1"/>
  <c r="AX6" i="13"/>
  <c r="AV6" i="13"/>
  <c r="AT6" i="13"/>
  <c r="AD7" i="41" s="1"/>
  <c r="AX5" i="13"/>
  <c r="AV5" i="13"/>
  <c r="AT5" i="13"/>
  <c r="AD6" i="41" s="1"/>
  <c r="AZ54" i="26"/>
  <c r="AX54" i="26"/>
  <c r="AV54" i="26"/>
  <c r="AA55" i="41" s="1"/>
  <c r="AZ53" i="26"/>
  <c r="AX53" i="26"/>
  <c r="AV53" i="26"/>
  <c r="AZ52" i="26"/>
  <c r="AX52" i="26"/>
  <c r="AV52" i="26"/>
  <c r="AZ51" i="26"/>
  <c r="AX51" i="26"/>
  <c r="AV51" i="26"/>
  <c r="AZ50" i="26"/>
  <c r="AX50" i="26"/>
  <c r="AV50" i="26"/>
  <c r="AZ49" i="26"/>
  <c r="AX49" i="26"/>
  <c r="AV49" i="26"/>
  <c r="AZ48" i="26"/>
  <c r="AX48" i="26"/>
  <c r="AV48" i="26"/>
  <c r="AZ47" i="26"/>
  <c r="AX47" i="26"/>
  <c r="AV47" i="26"/>
  <c r="AZ46" i="26"/>
  <c r="AX46" i="26"/>
  <c r="AV46" i="26"/>
  <c r="AZ45" i="26"/>
  <c r="AX45" i="26"/>
  <c r="AV45" i="26"/>
  <c r="AZ44" i="26"/>
  <c r="AX44" i="26"/>
  <c r="AV44" i="26"/>
  <c r="AA45" i="41" s="1"/>
  <c r="AZ43" i="26"/>
  <c r="AX43" i="26"/>
  <c r="AV43" i="26"/>
  <c r="AA44" i="41" s="1"/>
  <c r="AZ42" i="26"/>
  <c r="AX42" i="26"/>
  <c r="AV42" i="26"/>
  <c r="AA43" i="41" s="1"/>
  <c r="AZ41" i="26"/>
  <c r="AX41" i="26"/>
  <c r="AV41" i="26"/>
  <c r="AA42" i="41" s="1"/>
  <c r="AZ40" i="26"/>
  <c r="AX40" i="26"/>
  <c r="AV40" i="26"/>
  <c r="AA41" i="41" s="1"/>
  <c r="AZ39" i="26"/>
  <c r="AX39" i="26"/>
  <c r="AV39" i="26"/>
  <c r="AA40" i="41" s="1"/>
  <c r="AZ38" i="26"/>
  <c r="AX38" i="26"/>
  <c r="AV38" i="26"/>
  <c r="AA39" i="41" s="1"/>
  <c r="AZ37" i="26"/>
  <c r="AX37" i="26"/>
  <c r="AV37" i="26"/>
  <c r="AA38" i="41" s="1"/>
  <c r="AZ36" i="26"/>
  <c r="AX36" i="26"/>
  <c r="AV36" i="26"/>
  <c r="AA37" i="41" s="1"/>
  <c r="AZ35" i="26"/>
  <c r="AX35" i="26"/>
  <c r="AV35" i="26"/>
  <c r="AA36" i="41" s="1"/>
  <c r="AZ34" i="26"/>
  <c r="AX34" i="26"/>
  <c r="AV34" i="26"/>
  <c r="AA35" i="41" s="1"/>
  <c r="AZ33" i="26"/>
  <c r="AX33" i="26"/>
  <c r="AV33" i="26"/>
  <c r="AA34" i="41" s="1"/>
  <c r="AZ32" i="26"/>
  <c r="AX32" i="26"/>
  <c r="AV32" i="26"/>
  <c r="AA33" i="41" s="1"/>
  <c r="AZ31" i="26"/>
  <c r="AX31" i="26"/>
  <c r="AV31" i="26"/>
  <c r="AA32" i="41" s="1"/>
  <c r="AZ30" i="26"/>
  <c r="AX30" i="26"/>
  <c r="AV30" i="26"/>
  <c r="AA31" i="41" s="1"/>
  <c r="AZ29" i="26"/>
  <c r="AX29" i="26"/>
  <c r="AV29" i="26"/>
  <c r="AA30" i="41" s="1"/>
  <c r="AZ28" i="26"/>
  <c r="AX28" i="26"/>
  <c r="AV28" i="26"/>
  <c r="AA29" i="41" s="1"/>
  <c r="AZ27" i="26"/>
  <c r="AX27" i="26"/>
  <c r="AV27" i="26"/>
  <c r="AA28" i="41" s="1"/>
  <c r="AZ26" i="26"/>
  <c r="AX26" i="26"/>
  <c r="AV26" i="26"/>
  <c r="AA27" i="41" s="1"/>
  <c r="AZ25" i="26"/>
  <c r="AX25" i="26"/>
  <c r="AV25" i="26"/>
  <c r="AA26" i="41" s="1"/>
  <c r="AZ24" i="26"/>
  <c r="AX24" i="26"/>
  <c r="AV24" i="26"/>
  <c r="AA25" i="41" s="1"/>
  <c r="AZ23" i="26"/>
  <c r="AX23" i="26"/>
  <c r="AV23" i="26"/>
  <c r="AA24" i="41" s="1"/>
  <c r="AZ22" i="26"/>
  <c r="AX22" i="26"/>
  <c r="AV22" i="26"/>
  <c r="AA23" i="41" s="1"/>
  <c r="AZ21" i="26"/>
  <c r="AX21" i="26"/>
  <c r="AV21" i="26"/>
  <c r="AA22" i="41" s="1"/>
  <c r="AZ20" i="26"/>
  <c r="AX20" i="26"/>
  <c r="AV20" i="26"/>
  <c r="AA21" i="41" s="1"/>
  <c r="AZ19" i="26"/>
  <c r="AX19" i="26"/>
  <c r="AV19" i="26"/>
  <c r="AA20" i="41" s="1"/>
  <c r="AZ18" i="26"/>
  <c r="AX18" i="26"/>
  <c r="AV18" i="26"/>
  <c r="AA19" i="41" s="1"/>
  <c r="AZ17" i="26"/>
  <c r="AX17" i="26"/>
  <c r="AV17" i="26"/>
  <c r="AA18" i="41" s="1"/>
  <c r="AZ16" i="26"/>
  <c r="AX16" i="26"/>
  <c r="AV16" i="26"/>
  <c r="AA17" i="41" s="1"/>
  <c r="AZ15" i="26"/>
  <c r="AX15" i="26"/>
  <c r="AV15" i="26"/>
  <c r="AA16" i="41" s="1"/>
  <c r="AZ14" i="26"/>
  <c r="AX14" i="26"/>
  <c r="AV14" i="26"/>
  <c r="AA15" i="41" s="1"/>
  <c r="AZ13" i="26"/>
  <c r="AX13" i="26"/>
  <c r="AV13" i="26"/>
  <c r="AA14" i="41" s="1"/>
  <c r="AZ12" i="26"/>
  <c r="AX12" i="26"/>
  <c r="AV12" i="26"/>
  <c r="AA13" i="41" s="1"/>
  <c r="AZ11" i="26"/>
  <c r="AX11" i="26"/>
  <c r="AV11" i="26"/>
  <c r="AA12" i="41" s="1"/>
  <c r="AZ10" i="26"/>
  <c r="AX10" i="26"/>
  <c r="AV10" i="26"/>
  <c r="AA11" i="41" s="1"/>
  <c r="AZ9" i="26"/>
  <c r="AX9" i="26"/>
  <c r="AV9" i="26"/>
  <c r="AA10" i="41" s="1"/>
  <c r="AZ8" i="26"/>
  <c r="AX8" i="26"/>
  <c r="AV8" i="26"/>
  <c r="AA9" i="41" s="1"/>
  <c r="AZ7" i="26"/>
  <c r="AX7" i="26"/>
  <c r="AV7" i="26"/>
  <c r="AA8" i="41" s="1"/>
  <c r="AZ6" i="26"/>
  <c r="AX6" i="26"/>
  <c r="AV6" i="26"/>
  <c r="AA7" i="41" s="1"/>
  <c r="AZ5" i="26"/>
  <c r="AX5" i="26"/>
  <c r="AV5" i="26"/>
  <c r="AA6" i="41" s="1"/>
  <c r="AN54" i="12"/>
  <c r="AN53" i="12"/>
  <c r="AN52" i="12"/>
  <c r="AN51" i="12"/>
  <c r="AN50" i="12"/>
  <c r="AN49" i="12"/>
  <c r="AN48" i="12"/>
  <c r="AN47" i="12"/>
  <c r="AN46" i="12"/>
  <c r="AN45" i="12"/>
  <c r="AN44" i="12"/>
  <c r="X45" i="41" s="1"/>
  <c r="AN43" i="12"/>
  <c r="X44" i="41" s="1"/>
  <c r="AN42" i="12"/>
  <c r="X43" i="41" s="1"/>
  <c r="AN41" i="12"/>
  <c r="X42" i="41" s="1"/>
  <c r="AN40" i="12"/>
  <c r="X41" i="41" s="1"/>
  <c r="AN39" i="12"/>
  <c r="X40" i="41" s="1"/>
  <c r="AN38" i="12"/>
  <c r="X39" i="41" s="1"/>
  <c r="AN37" i="12"/>
  <c r="X38" i="41" s="1"/>
  <c r="AN36" i="12"/>
  <c r="X37" i="41" s="1"/>
  <c r="AN35" i="12"/>
  <c r="X36" i="41" s="1"/>
  <c r="AN34" i="12"/>
  <c r="X35" i="41" s="1"/>
  <c r="AN33" i="12"/>
  <c r="X34" i="41" s="1"/>
  <c r="AN32" i="12"/>
  <c r="X33" i="41" s="1"/>
  <c r="AN31" i="12"/>
  <c r="X32" i="41" s="1"/>
  <c r="AN30" i="12"/>
  <c r="X31" i="41" s="1"/>
  <c r="AN29" i="12"/>
  <c r="X30" i="41" s="1"/>
  <c r="AN28" i="12"/>
  <c r="X29" i="41" s="1"/>
  <c r="AN27" i="12"/>
  <c r="X28" i="41" s="1"/>
  <c r="AN26" i="12"/>
  <c r="X27" i="41" s="1"/>
  <c r="AN25" i="12"/>
  <c r="X26" i="41" s="1"/>
  <c r="AN24" i="12"/>
  <c r="X25" i="41" s="1"/>
  <c r="AN23" i="12"/>
  <c r="X24" i="41" s="1"/>
  <c r="AN22" i="12"/>
  <c r="X23" i="41" s="1"/>
  <c r="AN21" i="12"/>
  <c r="X22" i="41" s="1"/>
  <c r="AN20" i="12"/>
  <c r="X21" i="41" s="1"/>
  <c r="AN19" i="12"/>
  <c r="X20" i="41" s="1"/>
  <c r="AN18" i="12"/>
  <c r="X19" i="41" s="1"/>
  <c r="AN17" i="12"/>
  <c r="X18" i="41" s="1"/>
  <c r="AN16" i="12"/>
  <c r="X17" i="41" s="1"/>
  <c r="AN15" i="12"/>
  <c r="X16" i="41" s="1"/>
  <c r="AN14" i="12"/>
  <c r="X15" i="41" s="1"/>
  <c r="AN13" i="12"/>
  <c r="X14" i="41" s="1"/>
  <c r="AN12" i="12"/>
  <c r="X13" i="41" s="1"/>
  <c r="AN11" i="12"/>
  <c r="X12" i="41" s="1"/>
  <c r="AN10" i="12"/>
  <c r="X11" i="41" s="1"/>
  <c r="AN9" i="12"/>
  <c r="X10" i="41" s="1"/>
  <c r="AN8" i="12"/>
  <c r="X9" i="41" s="1"/>
  <c r="AN7" i="12"/>
  <c r="X8" i="41" s="1"/>
  <c r="AR6" i="12"/>
  <c r="AP6" i="12"/>
  <c r="AN6" i="12"/>
  <c r="X7" i="41" s="1"/>
  <c r="AP5" i="12"/>
  <c r="AN5" i="12"/>
  <c r="X6" i="41" s="1"/>
  <c r="AN54" i="34"/>
  <c r="U55" i="41" s="1"/>
  <c r="AN53" i="34"/>
  <c r="AN52" i="34"/>
  <c r="AN51" i="34"/>
  <c r="AN50" i="34"/>
  <c r="AN49" i="34"/>
  <c r="AN48" i="34"/>
  <c r="AN47" i="34"/>
  <c r="AN46" i="34"/>
  <c r="AN45" i="34"/>
  <c r="AN44" i="34"/>
  <c r="U45" i="41" s="1"/>
  <c r="AN43" i="34"/>
  <c r="U44" i="41" s="1"/>
  <c r="AN42" i="34"/>
  <c r="U43" i="41" s="1"/>
  <c r="AN41" i="34"/>
  <c r="U42" i="41" s="1"/>
  <c r="AN40" i="34"/>
  <c r="U41" i="41" s="1"/>
  <c r="AN39" i="34"/>
  <c r="U40" i="41" s="1"/>
  <c r="AN38" i="34"/>
  <c r="U39" i="41" s="1"/>
  <c r="AN37" i="34"/>
  <c r="U38" i="41" s="1"/>
  <c r="AN36" i="34"/>
  <c r="U37" i="41" s="1"/>
  <c r="AN35" i="34"/>
  <c r="U36" i="41" s="1"/>
  <c r="AN34" i="34"/>
  <c r="U35" i="41" s="1"/>
  <c r="AN33" i="34"/>
  <c r="U34" i="41" s="1"/>
  <c r="AN32" i="34"/>
  <c r="U33" i="41" s="1"/>
  <c r="AN31" i="34"/>
  <c r="U32" i="41" s="1"/>
  <c r="AN30" i="34"/>
  <c r="U31" i="41" s="1"/>
  <c r="AN29" i="34"/>
  <c r="U30" i="41" s="1"/>
  <c r="AN28" i="34"/>
  <c r="U29" i="41" s="1"/>
  <c r="AN27" i="34"/>
  <c r="U28" i="41" s="1"/>
  <c r="AN26" i="34"/>
  <c r="U27" i="41" s="1"/>
  <c r="AN25" i="34"/>
  <c r="U26" i="41" s="1"/>
  <c r="AN24" i="34"/>
  <c r="U25" i="41" s="1"/>
  <c r="AN23" i="34"/>
  <c r="U24" i="41" s="1"/>
  <c r="AN22" i="34"/>
  <c r="U23" i="41" s="1"/>
  <c r="AN21" i="34"/>
  <c r="U22" i="41" s="1"/>
  <c r="AN20" i="34"/>
  <c r="U21" i="41" s="1"/>
  <c r="AN19" i="34"/>
  <c r="U20" i="41" s="1"/>
  <c r="AN18" i="34"/>
  <c r="U19" i="41" s="1"/>
  <c r="AN17" i="34"/>
  <c r="U18" i="41" s="1"/>
  <c r="AN16" i="34"/>
  <c r="U17" i="41" s="1"/>
  <c r="AN15" i="34"/>
  <c r="U16" i="41" s="1"/>
  <c r="AN14" i="34"/>
  <c r="U15" i="41" s="1"/>
  <c r="AN13" i="34"/>
  <c r="U14" i="41" s="1"/>
  <c r="AN12" i="34"/>
  <c r="U13" i="41" s="1"/>
  <c r="AN11" i="34"/>
  <c r="U12" i="41" s="1"/>
  <c r="AN10" i="34"/>
  <c r="U11" i="41" s="1"/>
  <c r="AN9" i="34"/>
  <c r="U10" i="41" s="1"/>
  <c r="AN8" i="34"/>
  <c r="U9" i="41" s="1"/>
  <c r="AN7" i="34"/>
  <c r="U8" i="41" s="1"/>
  <c r="AN6" i="34"/>
  <c r="U7" i="41" s="1"/>
  <c r="AR5" i="34"/>
  <c r="AP5" i="34"/>
  <c r="AN5" i="34"/>
  <c r="U6" i="41" s="1"/>
  <c r="AM54" i="33"/>
  <c r="R55" i="41" s="1"/>
  <c r="AM53" i="33"/>
  <c r="AM52" i="33"/>
  <c r="AM51" i="33"/>
  <c r="AM50" i="33"/>
  <c r="AM49" i="33"/>
  <c r="AM48" i="33"/>
  <c r="AM47" i="33"/>
  <c r="AM46" i="33"/>
  <c r="AM45" i="33"/>
  <c r="AM44" i="33"/>
  <c r="R45" i="41" s="1"/>
  <c r="AM43" i="33"/>
  <c r="R44" i="41" s="1"/>
  <c r="AM42" i="33"/>
  <c r="R43" i="41" s="1"/>
  <c r="AM41" i="33"/>
  <c r="R42" i="41" s="1"/>
  <c r="AM40" i="33"/>
  <c r="R41" i="41" s="1"/>
  <c r="AM39" i="33"/>
  <c r="R40" i="41" s="1"/>
  <c r="AM38" i="33"/>
  <c r="R39" i="41" s="1"/>
  <c r="AM37" i="33"/>
  <c r="R38" i="41" s="1"/>
  <c r="AM36" i="33"/>
  <c r="R37" i="41" s="1"/>
  <c r="AM35" i="33"/>
  <c r="R36" i="41" s="1"/>
  <c r="AM34" i="33"/>
  <c r="R35" i="41" s="1"/>
  <c r="AM33" i="33"/>
  <c r="R34" i="41" s="1"/>
  <c r="AM32" i="33"/>
  <c r="R33" i="41" s="1"/>
  <c r="AM31" i="33"/>
  <c r="R32" i="41" s="1"/>
  <c r="AM30" i="33"/>
  <c r="R31" i="41" s="1"/>
  <c r="AM29" i="33"/>
  <c r="R30" i="41" s="1"/>
  <c r="AM28" i="33"/>
  <c r="R29" i="41" s="1"/>
  <c r="AM27" i="33"/>
  <c r="R28" i="41" s="1"/>
  <c r="AM26" i="33"/>
  <c r="R27" i="41" s="1"/>
  <c r="AM25" i="33"/>
  <c r="R26" i="41" s="1"/>
  <c r="AM24" i="33"/>
  <c r="R25" i="41" s="1"/>
  <c r="AM23" i="33"/>
  <c r="R24" i="41" s="1"/>
  <c r="AM22" i="33"/>
  <c r="R23" i="41" s="1"/>
  <c r="AM21" i="33"/>
  <c r="R22" i="41" s="1"/>
  <c r="AM20" i="33"/>
  <c r="R21" i="41" s="1"/>
  <c r="AM19" i="33"/>
  <c r="R20" i="41" s="1"/>
  <c r="AM18" i="33"/>
  <c r="R19" i="41" s="1"/>
  <c r="AM17" i="33"/>
  <c r="R18" i="41" s="1"/>
  <c r="AM16" i="33"/>
  <c r="R17" i="41" s="1"/>
  <c r="AM15" i="33"/>
  <c r="R16" i="41" s="1"/>
  <c r="AM14" i="33"/>
  <c r="R15" i="41" s="1"/>
  <c r="AM13" i="33"/>
  <c r="R14" i="41" s="1"/>
  <c r="AM12" i="33"/>
  <c r="R13" i="41" s="1"/>
  <c r="AM11" i="33"/>
  <c r="R12" i="41" s="1"/>
  <c r="AM10" i="33"/>
  <c r="R11" i="41" s="1"/>
  <c r="AM9" i="33"/>
  <c r="R10" i="41" s="1"/>
  <c r="AM8" i="33"/>
  <c r="R9" i="41" s="1"/>
  <c r="AM7" i="33"/>
  <c r="R8" i="41" s="1"/>
  <c r="AM6" i="33"/>
  <c r="R7" i="41" s="1"/>
  <c r="AQ5" i="33"/>
  <c r="AO5" i="33"/>
  <c r="AM5" i="33"/>
  <c r="R6" i="41" s="1"/>
  <c r="BC54" i="11"/>
  <c r="O55" i="41" s="1"/>
  <c r="BC53" i="11"/>
  <c r="BC52" i="11"/>
  <c r="BC51" i="11"/>
  <c r="BC50" i="11"/>
  <c r="BC49" i="11"/>
  <c r="BC48" i="11"/>
  <c r="BC47" i="11"/>
  <c r="BC46" i="11"/>
  <c r="BC45" i="11"/>
  <c r="BC44" i="11"/>
  <c r="O45" i="41" s="1"/>
  <c r="BC43" i="11"/>
  <c r="O44" i="41" s="1"/>
  <c r="BC42" i="11"/>
  <c r="O43" i="41" s="1"/>
  <c r="BC41" i="11"/>
  <c r="O42" i="41" s="1"/>
  <c r="BC40" i="11"/>
  <c r="O41" i="41" s="1"/>
  <c r="BC39" i="11"/>
  <c r="O40" i="41" s="1"/>
  <c r="BC38" i="11"/>
  <c r="O39" i="41" s="1"/>
  <c r="BC37" i="11"/>
  <c r="O38" i="41" s="1"/>
  <c r="BC36" i="11"/>
  <c r="O37" i="41" s="1"/>
  <c r="BC35" i="11"/>
  <c r="O36" i="41" s="1"/>
  <c r="BC34" i="11"/>
  <c r="O35" i="41" s="1"/>
  <c r="BC33" i="11"/>
  <c r="O34" i="41" s="1"/>
  <c r="BC32" i="11"/>
  <c r="O33" i="41" s="1"/>
  <c r="BC31" i="11"/>
  <c r="O32" i="41" s="1"/>
  <c r="BC30" i="11"/>
  <c r="O31" i="41" s="1"/>
  <c r="BC29" i="11"/>
  <c r="O30" i="41" s="1"/>
  <c r="BC28" i="11"/>
  <c r="O29" i="41" s="1"/>
  <c r="BC27" i="11"/>
  <c r="O28" i="41" s="1"/>
  <c r="BC26" i="11"/>
  <c r="O27" i="41" s="1"/>
  <c r="BC25" i="11"/>
  <c r="O26" i="41" s="1"/>
  <c r="BC24" i="11"/>
  <c r="O25" i="41" s="1"/>
  <c r="BC23" i="11"/>
  <c r="O24" i="41" s="1"/>
  <c r="BC22" i="11"/>
  <c r="O23" i="41" s="1"/>
  <c r="BC21" i="11"/>
  <c r="O22" i="41" s="1"/>
  <c r="BC20" i="11"/>
  <c r="O21" i="41" s="1"/>
  <c r="BC19" i="11"/>
  <c r="O20" i="41" s="1"/>
  <c r="BC18" i="11"/>
  <c r="O19" i="41" s="1"/>
  <c r="BC17" i="11"/>
  <c r="O18" i="41" s="1"/>
  <c r="BC16" i="11"/>
  <c r="O17" i="41" s="1"/>
  <c r="BC15" i="11"/>
  <c r="O16" i="41" s="1"/>
  <c r="BC14" i="11"/>
  <c r="O15" i="41" s="1"/>
  <c r="BC13" i="11"/>
  <c r="O14" i="41" s="1"/>
  <c r="BC12" i="11"/>
  <c r="O13" i="41" s="1"/>
  <c r="BC11" i="11"/>
  <c r="O12" i="41" s="1"/>
  <c r="BC10" i="11"/>
  <c r="O11" i="41" s="1"/>
  <c r="BC9" i="11"/>
  <c r="O10" i="41" s="1"/>
  <c r="BC8" i="11"/>
  <c r="O9" i="41" s="1"/>
  <c r="BC7" i="11"/>
  <c r="O8" i="41" s="1"/>
  <c r="BC6" i="11"/>
  <c r="O7" i="41" s="1"/>
  <c r="AU54" i="10"/>
  <c r="L55" i="41" s="1"/>
  <c r="AU53" i="10"/>
  <c r="AU52" i="10"/>
  <c r="AU51" i="10"/>
  <c r="AU50" i="10"/>
  <c r="AU49" i="10"/>
  <c r="AU48" i="10"/>
  <c r="AU47" i="10"/>
  <c r="AU46" i="10"/>
  <c r="AU45" i="10"/>
  <c r="AU44" i="10"/>
  <c r="L45" i="41" s="1"/>
  <c r="AU43" i="10"/>
  <c r="L44" i="41" s="1"/>
  <c r="AU42" i="10"/>
  <c r="L43" i="41" s="1"/>
  <c r="AU41" i="10"/>
  <c r="L42" i="41" s="1"/>
  <c r="AU40" i="10"/>
  <c r="L41" i="41" s="1"/>
  <c r="AU39" i="10"/>
  <c r="L40" i="41" s="1"/>
  <c r="AU38" i="10"/>
  <c r="L39" i="41" s="1"/>
  <c r="AU37" i="10"/>
  <c r="L38" i="41" s="1"/>
  <c r="AU36" i="10"/>
  <c r="L37" i="41" s="1"/>
  <c r="AU35" i="10"/>
  <c r="L36" i="41" s="1"/>
  <c r="AU34" i="10"/>
  <c r="L35" i="41" s="1"/>
  <c r="AU33" i="10"/>
  <c r="L34" i="41" s="1"/>
  <c r="AU32" i="10"/>
  <c r="L33" i="41" s="1"/>
  <c r="AU31" i="10"/>
  <c r="L32" i="41" s="1"/>
  <c r="AU30" i="10"/>
  <c r="L31" i="41" s="1"/>
  <c r="AU29" i="10"/>
  <c r="L30" i="41" s="1"/>
  <c r="AU28" i="10"/>
  <c r="L29" i="41" s="1"/>
  <c r="AU27" i="10"/>
  <c r="L28" i="41" s="1"/>
  <c r="AU26" i="10"/>
  <c r="L27" i="41" s="1"/>
  <c r="AU25" i="10"/>
  <c r="L26" i="41" s="1"/>
  <c r="AU24" i="10"/>
  <c r="L25" i="41" s="1"/>
  <c r="AU23" i="10"/>
  <c r="L24" i="41" s="1"/>
  <c r="AU22" i="10"/>
  <c r="L23" i="41" s="1"/>
  <c r="AU21" i="10"/>
  <c r="L22" i="41" s="1"/>
  <c r="AU20" i="10"/>
  <c r="L21" i="41" s="1"/>
  <c r="AU19" i="10"/>
  <c r="L20" i="41" s="1"/>
  <c r="AU18" i="10"/>
  <c r="L19" i="41" s="1"/>
  <c r="AU17" i="10"/>
  <c r="L18" i="41" s="1"/>
  <c r="AU16" i="10"/>
  <c r="L17" i="41" s="1"/>
  <c r="AU15" i="10"/>
  <c r="L16" i="41" s="1"/>
  <c r="AU14" i="10"/>
  <c r="L15" i="41" s="1"/>
  <c r="AU13" i="10"/>
  <c r="L14" i="41" s="1"/>
  <c r="AU12" i="10"/>
  <c r="L13" i="41" s="1"/>
  <c r="AU11" i="10"/>
  <c r="L12" i="41" s="1"/>
  <c r="AU10" i="10"/>
  <c r="L11" i="41" s="1"/>
  <c r="AU9" i="10"/>
  <c r="L10" i="41" s="1"/>
  <c r="AU8" i="10"/>
  <c r="L9" i="41" s="1"/>
  <c r="AU7" i="10"/>
  <c r="L8" i="41" s="1"/>
  <c r="AU6" i="10"/>
  <c r="L7" i="41" s="1"/>
  <c r="AY5" i="10"/>
  <c r="AW5" i="10"/>
  <c r="AU5" i="10"/>
  <c r="L6" i="41" s="1"/>
  <c r="AI54" i="7"/>
  <c r="AI53" i="7"/>
  <c r="AI52" i="7"/>
  <c r="AI51" i="7"/>
  <c r="AI50" i="7"/>
  <c r="AI49" i="7"/>
  <c r="AI48" i="7"/>
  <c r="AI47" i="7"/>
  <c r="AI46" i="7"/>
  <c r="AI45" i="7"/>
  <c r="AI44" i="7"/>
  <c r="I45" i="41" s="1"/>
  <c r="AI43" i="7"/>
  <c r="I44" i="41" s="1"/>
  <c r="AI42" i="7"/>
  <c r="I43" i="41" s="1"/>
  <c r="AI41" i="7"/>
  <c r="I42" i="41" s="1"/>
  <c r="AI40" i="7"/>
  <c r="I41" i="41" s="1"/>
  <c r="AI39" i="7"/>
  <c r="I40" i="41" s="1"/>
  <c r="AI38" i="7"/>
  <c r="I39" i="41" s="1"/>
  <c r="AI37" i="7"/>
  <c r="I38" i="41" s="1"/>
  <c r="AI36" i="7"/>
  <c r="I37" i="41" s="1"/>
  <c r="AI35" i="7"/>
  <c r="I36" i="41" s="1"/>
  <c r="AI34" i="7"/>
  <c r="I35" i="41" s="1"/>
  <c r="AI33" i="7"/>
  <c r="I34" i="41" s="1"/>
  <c r="AI32" i="7"/>
  <c r="I33" i="41" s="1"/>
  <c r="AI31" i="7"/>
  <c r="I32" i="41" s="1"/>
  <c r="AI30" i="7"/>
  <c r="I31" i="41" s="1"/>
  <c r="AI29" i="7"/>
  <c r="I30" i="41" s="1"/>
  <c r="AI28" i="7"/>
  <c r="I29" i="41" s="1"/>
  <c r="AI27" i="7"/>
  <c r="I28" i="41" s="1"/>
  <c r="AI26" i="7"/>
  <c r="I27" i="41" s="1"/>
  <c r="AI25" i="7"/>
  <c r="I26" i="41" s="1"/>
  <c r="AI24" i="7"/>
  <c r="I25" i="41" s="1"/>
  <c r="AI23" i="7"/>
  <c r="I24" i="41" s="1"/>
  <c r="AI22" i="7"/>
  <c r="I23" i="41" s="1"/>
  <c r="AI21" i="7"/>
  <c r="I22" i="41" s="1"/>
  <c r="AI20" i="7"/>
  <c r="I21" i="41" s="1"/>
  <c r="AI19" i="7"/>
  <c r="I20" i="41" s="1"/>
  <c r="AI18" i="7"/>
  <c r="I19" i="41" s="1"/>
  <c r="AI17" i="7"/>
  <c r="I18" i="41" s="1"/>
  <c r="AI16" i="7"/>
  <c r="I17" i="41" s="1"/>
  <c r="AI15" i="7"/>
  <c r="I16" i="41" s="1"/>
  <c r="AI14" i="7"/>
  <c r="I15" i="41" s="1"/>
  <c r="AI13" i="7"/>
  <c r="I14" i="41" s="1"/>
  <c r="AI12" i="7"/>
  <c r="I13" i="41" s="1"/>
  <c r="AI11" i="7"/>
  <c r="I12" i="41" s="1"/>
  <c r="AI10" i="7"/>
  <c r="I11" i="41" s="1"/>
  <c r="AI9" i="7"/>
  <c r="I10" i="41" s="1"/>
  <c r="AI8" i="7"/>
  <c r="I9" i="41" s="1"/>
  <c r="AI7" i="7"/>
  <c r="I8" i="41" s="1"/>
  <c r="AI6" i="7"/>
  <c r="I7" i="41" s="1"/>
  <c r="AM5" i="7"/>
  <c r="AK5" i="7"/>
  <c r="AI5" i="7"/>
  <c r="I6" i="41" s="1"/>
  <c r="DU6" i="1"/>
  <c r="F6" i="41" s="1"/>
  <c r="BX25" i="26" l="1"/>
  <c r="BT29" i="7"/>
  <c r="BT19" i="7"/>
  <c r="BT7" i="7"/>
  <c r="BX41" i="26"/>
  <c r="BX35" i="26"/>
  <c r="BX5" i="33"/>
  <c r="BY5" i="33" s="1"/>
  <c r="BS5" i="33" s="1"/>
  <c r="R6" i="83" s="1"/>
  <c r="J27" i="84" s="1"/>
  <c r="BX49" i="26"/>
  <c r="BX10" i="26"/>
  <c r="CN44" i="11"/>
  <c r="CO44" i="11" s="1"/>
  <c r="CI44" i="11" s="1"/>
  <c r="O45" i="83" s="1"/>
  <c r="BX14" i="26"/>
  <c r="BT47" i="7"/>
  <c r="BT49" i="7"/>
  <c r="BT45" i="7"/>
  <c r="BT15" i="7"/>
  <c r="BT23" i="7"/>
  <c r="CA14" i="14"/>
  <c r="CA19" i="14"/>
  <c r="CA13" i="14"/>
  <c r="CA18" i="14"/>
  <c r="CA15" i="14"/>
  <c r="CA45" i="14"/>
  <c r="CA10" i="15"/>
  <c r="CA7" i="15"/>
  <c r="CA25" i="15"/>
  <c r="CA54" i="15"/>
  <c r="CA23" i="15"/>
  <c r="CA53" i="15"/>
  <c r="CA19" i="15"/>
  <c r="CA18" i="15"/>
  <c r="CA41" i="15"/>
  <c r="CA27" i="15"/>
  <c r="CA48" i="15"/>
  <c r="CA40" i="15"/>
  <c r="CA6" i="15"/>
  <c r="CA13" i="15"/>
  <c r="CA46" i="15"/>
  <c r="CN50" i="11"/>
  <c r="CO50" i="11" s="1"/>
  <c r="CI50" i="11" s="1"/>
  <c r="O51" i="83" s="1"/>
  <c r="CN25" i="11"/>
  <c r="CO25" i="11" s="1"/>
  <c r="CI25" i="11" s="1"/>
  <c r="O26" i="83" s="1"/>
  <c r="CE18" i="13"/>
  <c r="BX38" i="26"/>
  <c r="BT37" i="7"/>
  <c r="BT17" i="7"/>
  <c r="BT13" i="7"/>
  <c r="CA42" i="15"/>
  <c r="CA6" i="14"/>
  <c r="CA17" i="14"/>
  <c r="CA27" i="14"/>
  <c r="CA43" i="14"/>
  <c r="CA35" i="14"/>
  <c r="CA39" i="14"/>
  <c r="CA47" i="14"/>
  <c r="CA10" i="14"/>
  <c r="BT5" i="7"/>
  <c r="BT25" i="7"/>
  <c r="BT53" i="7"/>
  <c r="BT35" i="7"/>
  <c r="BT11" i="7"/>
  <c r="CE33" i="13"/>
  <c r="BX15" i="26"/>
  <c r="CN42" i="11"/>
  <c r="CO42" i="11" s="1"/>
  <c r="CI42" i="11" s="1"/>
  <c r="O43" i="83" s="1"/>
  <c r="CA32" i="15"/>
  <c r="CA11" i="15"/>
  <c r="BT33" i="7"/>
  <c r="BT41" i="7"/>
  <c r="BT43" i="7"/>
  <c r="BT27" i="7"/>
  <c r="CA53" i="14"/>
  <c r="CA54" i="14"/>
  <c r="CA11" i="14"/>
  <c r="CA5" i="14"/>
  <c r="CA37" i="14"/>
  <c r="CA41" i="14"/>
  <c r="CA29" i="15"/>
  <c r="CA49" i="15"/>
  <c r="CA35" i="15"/>
  <c r="CA5" i="15"/>
  <c r="CA33" i="15"/>
  <c r="BX53" i="26"/>
  <c r="CN14" i="11"/>
  <c r="CO14" i="11" s="1"/>
  <c r="CI14" i="11" s="1"/>
  <c r="O15" i="83" s="1"/>
  <c r="CN20" i="11"/>
  <c r="CO20" i="11" s="1"/>
  <c r="CI20" i="11" s="1"/>
  <c r="O21" i="83" s="1"/>
  <c r="CN49" i="11"/>
  <c r="CO49" i="11" s="1"/>
  <c r="CI49" i="11" s="1"/>
  <c r="O50" i="83" s="1"/>
  <c r="CA38" i="15"/>
  <c r="CA45" i="15"/>
  <c r="CA24" i="15"/>
  <c r="CA37" i="15"/>
  <c r="CA15" i="15"/>
  <c r="BX43" i="26"/>
  <c r="CN8" i="11"/>
  <c r="CO8" i="11" s="1"/>
  <c r="CI8" i="11" s="1"/>
  <c r="O9" i="83" s="1"/>
  <c r="CE23" i="13"/>
  <c r="CE34" i="13"/>
  <c r="CN15" i="11"/>
  <c r="CO15" i="11" s="1"/>
  <c r="CI15" i="11" s="1"/>
  <c r="O16" i="83" s="1"/>
  <c r="CN46" i="11"/>
  <c r="CO46" i="11" s="1"/>
  <c r="CI46" i="11" s="1"/>
  <c r="O47" i="83" s="1"/>
  <c r="CN30" i="11"/>
  <c r="CO30" i="11" s="1"/>
  <c r="CI30" i="11" s="1"/>
  <c r="O31" i="83" s="1"/>
  <c r="CE26" i="13"/>
  <c r="CE49" i="13"/>
  <c r="BX12" i="26"/>
  <c r="BX18" i="26"/>
  <c r="BX24" i="26"/>
  <c r="CN32" i="11"/>
  <c r="CO32" i="11" s="1"/>
  <c r="CI32" i="11" s="1"/>
  <c r="O33" i="83" s="1"/>
  <c r="CN36" i="11"/>
  <c r="CO36" i="11" s="1"/>
  <c r="CI36" i="11" s="1"/>
  <c r="O37" i="83" s="1"/>
  <c r="CE7" i="13"/>
  <c r="CE37" i="13"/>
  <c r="CN27" i="11"/>
  <c r="CO27" i="11" s="1"/>
  <c r="CI27" i="11" s="1"/>
  <c r="O28" i="83" s="1"/>
  <c r="CE47" i="13"/>
  <c r="CE14" i="13"/>
  <c r="BX48" i="26"/>
  <c r="CE5" i="10"/>
  <c r="CN37" i="11"/>
  <c r="CO37" i="11" s="1"/>
  <c r="CI37" i="11" s="1"/>
  <c r="O38" i="83" s="1"/>
  <c r="CN23" i="11"/>
  <c r="CO23" i="11" s="1"/>
  <c r="CI23" i="11" s="1"/>
  <c r="O24" i="83" s="1"/>
  <c r="CN31" i="11"/>
  <c r="CO31" i="11" s="1"/>
  <c r="CI31" i="11" s="1"/>
  <c r="O32" i="83" s="1"/>
  <c r="CN9" i="11"/>
  <c r="CO9" i="11" s="1"/>
  <c r="CI9" i="11" s="1"/>
  <c r="O10" i="83" s="1"/>
  <c r="CN19" i="11"/>
  <c r="CO19" i="11" s="1"/>
  <c r="CI19" i="11" s="1"/>
  <c r="O20" i="83" s="1"/>
  <c r="CE44" i="13"/>
  <c r="CE43" i="13"/>
  <c r="CE45" i="13"/>
  <c r="BX11" i="26"/>
  <c r="BX47" i="26"/>
  <c r="BX40" i="26"/>
  <c r="BX23" i="26"/>
  <c r="CN6" i="11"/>
  <c r="CO6" i="11" s="1"/>
  <c r="CI6" i="11" s="1"/>
  <c r="O7" i="83" s="1"/>
  <c r="CN12" i="11"/>
  <c r="CO12" i="11" s="1"/>
  <c r="CI12" i="11" s="1"/>
  <c r="O13" i="83" s="1"/>
  <c r="CN24" i="11"/>
  <c r="CO24" i="11" s="1"/>
  <c r="CI24" i="11" s="1"/>
  <c r="O25" i="83" s="1"/>
  <c r="CN10" i="11"/>
  <c r="CO10" i="11" s="1"/>
  <c r="CI10" i="11" s="1"/>
  <c r="O11" i="83" s="1"/>
  <c r="CE36" i="13"/>
  <c r="CE28" i="13"/>
  <c r="CE11" i="13"/>
  <c r="CF19" i="10"/>
  <c r="BZ19" i="10" s="1"/>
  <c r="L20" i="83" s="1"/>
  <c r="CF5" i="10"/>
  <c r="BZ5" i="10" s="1"/>
  <c r="L6" i="83" s="1"/>
  <c r="J23" i="84" s="1"/>
  <c r="CF33" i="10"/>
  <c r="BZ33" i="10" s="1"/>
  <c r="L34" i="83" s="1"/>
  <c r="CF49" i="10"/>
  <c r="BZ49" i="10" s="1"/>
  <c r="L50" i="83" s="1"/>
  <c r="BX7" i="12"/>
  <c r="BX6" i="26"/>
  <c r="CA28" i="14"/>
  <c r="CA46" i="14"/>
  <c r="CA26" i="14"/>
  <c r="BX7" i="26"/>
  <c r="BX13" i="26"/>
  <c r="BX33" i="26"/>
  <c r="CN29" i="11"/>
  <c r="CO29" i="11" s="1"/>
  <c r="CI29" i="11" s="1"/>
  <c r="O30" i="83" s="1"/>
  <c r="CN13" i="11"/>
  <c r="CO13" i="11" s="1"/>
  <c r="CI13" i="11" s="1"/>
  <c r="O14" i="83" s="1"/>
  <c r="CN28" i="11"/>
  <c r="CO28" i="11" s="1"/>
  <c r="CI28" i="11" s="1"/>
  <c r="O29" i="83" s="1"/>
  <c r="CN11" i="11"/>
  <c r="CO11" i="11" s="1"/>
  <c r="CI11" i="11" s="1"/>
  <c r="O12" i="83" s="1"/>
  <c r="CE27" i="13"/>
  <c r="CE53" i="13"/>
  <c r="BX28" i="26"/>
  <c r="BX26" i="26"/>
  <c r="BX19" i="26"/>
  <c r="BX39" i="26"/>
  <c r="BX27" i="26"/>
  <c r="CN33" i="11"/>
  <c r="CO33" i="11" s="1"/>
  <c r="CI33" i="11" s="1"/>
  <c r="O34" i="83" s="1"/>
  <c r="CE42" i="13"/>
  <c r="CE17" i="13"/>
  <c r="BX16" i="26"/>
  <c r="BX29" i="26"/>
  <c r="BX34" i="26"/>
  <c r="CN48" i="11"/>
  <c r="CO48" i="11" s="1"/>
  <c r="CI48" i="11" s="1"/>
  <c r="O49" i="83" s="1"/>
  <c r="CN45" i="11"/>
  <c r="CO45" i="11" s="1"/>
  <c r="CI45" i="11" s="1"/>
  <c r="O46" i="83" s="1"/>
  <c r="CN53" i="11"/>
  <c r="CO53" i="11" s="1"/>
  <c r="CI53" i="11" s="1"/>
  <c r="O54" i="83" s="1"/>
  <c r="CN17" i="11"/>
  <c r="CO17" i="11" s="1"/>
  <c r="CI17" i="11" s="1"/>
  <c r="O18" i="83" s="1"/>
  <c r="CE40" i="13"/>
  <c r="CE32" i="13"/>
  <c r="CE29" i="13"/>
  <c r="BX46" i="26"/>
  <c r="CF27" i="10"/>
  <c r="BZ27" i="10" s="1"/>
  <c r="L28" i="83" s="1"/>
  <c r="CF43" i="10"/>
  <c r="BZ43" i="10" s="1"/>
  <c r="L44" i="83" s="1"/>
  <c r="CN41" i="11"/>
  <c r="CO41" i="11" s="1"/>
  <c r="CI41" i="11" s="1"/>
  <c r="O42" i="83" s="1"/>
  <c r="CN5" i="11"/>
  <c r="CO5" i="11" s="1"/>
  <c r="CI5" i="11" s="1"/>
  <c r="O6" i="83" s="1"/>
  <c r="J25" i="84" s="1"/>
  <c r="CE54" i="13"/>
  <c r="CE38" i="13"/>
  <c r="BX22" i="26"/>
  <c r="CF9" i="10"/>
  <c r="BZ9" i="10" s="1"/>
  <c r="L10" i="83" s="1"/>
  <c r="CF25" i="10"/>
  <c r="BZ25" i="10" s="1"/>
  <c r="L26" i="83" s="1"/>
  <c r="BX8" i="12"/>
  <c r="BX5" i="26"/>
  <c r="CE8" i="10"/>
  <c r="CF8" i="10" s="1"/>
  <c r="BZ8" i="10" s="1"/>
  <c r="L9" i="83" s="1"/>
  <c r="BX36" i="26"/>
  <c r="CN18" i="11"/>
  <c r="CO18" i="11" s="1"/>
  <c r="CI18" i="11" s="1"/>
  <c r="O19" i="83" s="1"/>
  <c r="CN21" i="11"/>
  <c r="CO21" i="11" s="1"/>
  <c r="CI21" i="11" s="1"/>
  <c r="O22" i="83" s="1"/>
  <c r="CE24" i="13"/>
  <c r="CE48" i="13"/>
  <c r="CE35" i="13"/>
  <c r="BX32" i="26"/>
  <c r="BX6" i="33"/>
  <c r="BY6" i="33" s="1"/>
  <c r="BS6" i="33" s="1"/>
  <c r="R7" i="83" s="1"/>
  <c r="CN35" i="11"/>
  <c r="CO35" i="11" s="1"/>
  <c r="CI35" i="11" s="1"/>
  <c r="O36" i="83" s="1"/>
  <c r="CN26" i="11"/>
  <c r="CO26" i="11" s="1"/>
  <c r="CI26" i="11" s="1"/>
  <c r="O27" i="83" s="1"/>
  <c r="CN16" i="11"/>
  <c r="CO16" i="11" s="1"/>
  <c r="CI16" i="11" s="1"/>
  <c r="O17" i="83" s="1"/>
  <c r="CN54" i="11"/>
  <c r="CO54" i="11" s="1"/>
  <c r="CI54" i="11" s="1"/>
  <c r="O55" i="83" s="1"/>
  <c r="CE39" i="13"/>
  <c r="CE10" i="13"/>
  <c r="CE25" i="13"/>
  <c r="BX37" i="26"/>
  <c r="BX17" i="26"/>
  <c r="CN47" i="11"/>
  <c r="CO47" i="11" s="1"/>
  <c r="CI47" i="11" s="1"/>
  <c r="O48" i="83" s="1"/>
  <c r="CN40" i="11"/>
  <c r="CO40" i="11" s="1"/>
  <c r="CI40" i="11" s="1"/>
  <c r="O41" i="83" s="1"/>
  <c r="CN39" i="11"/>
  <c r="CO39" i="11" s="1"/>
  <c r="CI39" i="11" s="1"/>
  <c r="O40" i="83" s="1"/>
  <c r="CN52" i="11"/>
  <c r="CO52" i="11" s="1"/>
  <c r="CI52" i="11" s="1"/>
  <c r="O53" i="83" s="1"/>
  <c r="CE12" i="13"/>
  <c r="CE19" i="13"/>
  <c r="CE15" i="13"/>
  <c r="BX45" i="26"/>
  <c r="BX42" i="26"/>
  <c r="CF35" i="10"/>
  <c r="BZ35" i="10" s="1"/>
  <c r="L36" i="83" s="1"/>
  <c r="BX44" i="26"/>
  <c r="BX54" i="26"/>
  <c r="CN22" i="11"/>
  <c r="CO22" i="11" s="1"/>
  <c r="CI22" i="11" s="1"/>
  <c r="O23" i="83" s="1"/>
  <c r="CN7" i="11"/>
  <c r="CO7" i="11" s="1"/>
  <c r="CI7" i="11" s="1"/>
  <c r="O8" i="83" s="1"/>
  <c r="CN34" i="11"/>
  <c r="CO34" i="11" s="1"/>
  <c r="CI34" i="11" s="1"/>
  <c r="O35" i="83" s="1"/>
  <c r="CN51" i="11"/>
  <c r="CO51" i="11" s="1"/>
  <c r="CI51" i="11" s="1"/>
  <c r="O52" i="83" s="1"/>
  <c r="CN38" i="11"/>
  <c r="CO38" i="11" s="1"/>
  <c r="CI38" i="11" s="1"/>
  <c r="O39" i="83" s="1"/>
  <c r="CN43" i="11"/>
  <c r="CO43" i="11" s="1"/>
  <c r="CI43" i="11" s="1"/>
  <c r="O44" i="83" s="1"/>
  <c r="CE16" i="13"/>
  <c r="CE41" i="13"/>
  <c r="CE22" i="13"/>
  <c r="CE13" i="13"/>
  <c r="CE46" i="13"/>
  <c r="BX8" i="33"/>
  <c r="BY8" i="33" s="1"/>
  <c r="BS8" i="33" s="1"/>
  <c r="R9" i="83" s="1"/>
  <c r="CA34" i="15"/>
  <c r="CA28" i="15"/>
  <c r="CA44" i="15"/>
  <c r="CA14" i="15"/>
  <c r="CA36" i="15"/>
  <c r="CA12" i="15"/>
  <c r="CA22" i="15"/>
  <c r="CA43" i="15"/>
  <c r="CA17" i="15"/>
  <c r="CA47" i="15"/>
  <c r="CA39" i="15"/>
  <c r="CA26" i="15"/>
  <c r="CA16" i="15"/>
  <c r="CA32" i="14"/>
  <c r="CA16" i="14"/>
  <c r="CA34" i="14"/>
  <c r="CA42" i="14"/>
  <c r="CA38" i="14"/>
  <c r="CA24" i="14"/>
  <c r="CA36" i="14"/>
  <c r="CA44" i="14"/>
  <c r="CA40" i="14"/>
  <c r="CA48" i="14"/>
  <c r="CA12" i="14"/>
  <c r="CA22" i="14"/>
  <c r="CA7" i="14"/>
  <c r="CA49" i="14"/>
  <c r="CA29" i="14"/>
  <c r="CA33" i="14"/>
  <c r="CA25" i="14"/>
  <c r="CA23" i="14"/>
  <c r="BX6" i="12"/>
  <c r="BX5" i="12"/>
  <c r="BT14" i="7"/>
  <c r="BT48" i="7"/>
  <c r="BT18" i="7"/>
  <c r="BT38" i="7"/>
  <c r="BT16" i="7"/>
  <c r="BT6" i="7"/>
  <c r="BT12" i="7"/>
  <c r="BT26" i="7"/>
  <c r="BT24" i="7"/>
  <c r="BT42" i="7"/>
  <c r="BT28" i="7"/>
  <c r="BT10" i="7"/>
  <c r="BT46" i="7"/>
  <c r="BT32" i="7"/>
  <c r="BT34" i="7"/>
  <c r="BT40" i="7"/>
  <c r="BT54" i="7"/>
  <c r="BT44" i="7"/>
  <c r="BT22" i="7"/>
  <c r="BT36" i="7"/>
  <c r="BT39" i="7"/>
  <c r="I46" i="41"/>
  <c r="BF45" i="7"/>
  <c r="I50" i="41"/>
  <c r="BF49" i="7"/>
  <c r="I54" i="41"/>
  <c r="BF53" i="7"/>
  <c r="L48" i="41"/>
  <c r="BQ47" i="10"/>
  <c r="L52" i="41"/>
  <c r="BQ51" i="10"/>
  <c r="O46" i="41"/>
  <c r="BZ45" i="11"/>
  <c r="O50" i="41"/>
  <c r="BZ49" i="11"/>
  <c r="O54" i="41"/>
  <c r="BZ53" i="11"/>
  <c r="R48" i="41"/>
  <c r="BJ47" i="33"/>
  <c r="R52" i="41"/>
  <c r="BJ51" i="33"/>
  <c r="U46" i="41"/>
  <c r="BJ45" i="34"/>
  <c r="U50" i="41"/>
  <c r="BJ49" i="34"/>
  <c r="U54" i="41"/>
  <c r="BJ53" i="34"/>
  <c r="X48" i="41"/>
  <c r="BJ47" i="12"/>
  <c r="X52" i="41"/>
  <c r="BJ51" i="12"/>
  <c r="AA46" i="41"/>
  <c r="BK45" i="26"/>
  <c r="AA50" i="41"/>
  <c r="BK49" i="26"/>
  <c r="AA54" i="41"/>
  <c r="BK53" i="26"/>
  <c r="AD48" i="41"/>
  <c r="BL47" i="13"/>
  <c r="AD52" i="41"/>
  <c r="BL51" i="13"/>
  <c r="AP46" i="41"/>
  <c r="AY45" i="17"/>
  <c r="AP50" i="41"/>
  <c r="AY49" i="17"/>
  <c r="AP54" i="41"/>
  <c r="AY53" i="17"/>
  <c r="AS48" i="41"/>
  <c r="BN47" i="18"/>
  <c r="AS52" i="41"/>
  <c r="BN51" i="18"/>
  <c r="AV46" i="41"/>
  <c r="BL45" i="19"/>
  <c r="AV50" i="41"/>
  <c r="BL49" i="19"/>
  <c r="AV54" i="41"/>
  <c r="BL53" i="19"/>
  <c r="AY48" i="41"/>
  <c r="BH47" i="35"/>
  <c r="AY52" i="41"/>
  <c r="BH51" i="35"/>
  <c r="BB46" i="41"/>
  <c r="BG45" i="36"/>
  <c r="BB50" i="41"/>
  <c r="BG49" i="36"/>
  <c r="BB54" i="41"/>
  <c r="BG53" i="36"/>
  <c r="BE48" i="41"/>
  <c r="BD47" i="20"/>
  <c r="BE52" i="41"/>
  <c r="BD51" i="20"/>
  <c r="BH46" i="41"/>
  <c r="BG45" i="27"/>
  <c r="BH50" i="41"/>
  <c r="BG49" i="27"/>
  <c r="BH54" i="41"/>
  <c r="BG53" i="27"/>
  <c r="BK48" i="41"/>
  <c r="BE47" i="21"/>
  <c r="BK52" i="41"/>
  <c r="BE51" i="21"/>
  <c r="AM54" i="41"/>
  <c r="DF54" i="16"/>
  <c r="AM50" i="41"/>
  <c r="DF50" i="16"/>
  <c r="AM46" i="41"/>
  <c r="DF46" i="16"/>
  <c r="I49" i="41"/>
  <c r="BF48" i="7"/>
  <c r="I53" i="41"/>
  <c r="BF52" i="7"/>
  <c r="L47" i="41"/>
  <c r="BQ46" i="10"/>
  <c r="L51" i="41"/>
  <c r="BQ50" i="10"/>
  <c r="O49" i="41"/>
  <c r="BZ48" i="11"/>
  <c r="O53" i="41"/>
  <c r="BZ52" i="11"/>
  <c r="R47" i="41"/>
  <c r="BJ46" i="33"/>
  <c r="R51" i="41"/>
  <c r="BJ50" i="33"/>
  <c r="U49" i="41"/>
  <c r="BJ48" i="34"/>
  <c r="U53" i="41"/>
  <c r="BJ52" i="34"/>
  <c r="X47" i="41"/>
  <c r="BJ46" i="12"/>
  <c r="X51" i="41"/>
  <c r="BJ50" i="12"/>
  <c r="X55" i="41"/>
  <c r="BJ54" i="12"/>
  <c r="AA49" i="41"/>
  <c r="BK48" i="26"/>
  <c r="AA53" i="41"/>
  <c r="BK52" i="26"/>
  <c r="AD47" i="41"/>
  <c r="BL46" i="13"/>
  <c r="AD51" i="41"/>
  <c r="BL50" i="13"/>
  <c r="AP49" i="41"/>
  <c r="AY48" i="17"/>
  <c r="AP53" i="41"/>
  <c r="AY52" i="17"/>
  <c r="AS47" i="41"/>
  <c r="BN46" i="18"/>
  <c r="AS51" i="41"/>
  <c r="BN50" i="18"/>
  <c r="AV49" i="41"/>
  <c r="BL48" i="19"/>
  <c r="AV53" i="41"/>
  <c r="BL52" i="19"/>
  <c r="AY47" i="41"/>
  <c r="BH46" i="35"/>
  <c r="AY51" i="41"/>
  <c r="BH50" i="35"/>
  <c r="BB49" i="41"/>
  <c r="BG48" i="36"/>
  <c r="BB53" i="41"/>
  <c r="BG52" i="36"/>
  <c r="BE47" i="41"/>
  <c r="BD46" i="20"/>
  <c r="BE51" i="41"/>
  <c r="BD50" i="20"/>
  <c r="BH49" i="41"/>
  <c r="BG48" i="27"/>
  <c r="BH53" i="41"/>
  <c r="BG52" i="27"/>
  <c r="BK47" i="41"/>
  <c r="BE46" i="21"/>
  <c r="BK51" i="41"/>
  <c r="BE50" i="21"/>
  <c r="AM51" i="41"/>
  <c r="DF51" i="16"/>
  <c r="AM47" i="41"/>
  <c r="DF47" i="16"/>
  <c r="I48" i="41"/>
  <c r="BF47" i="7"/>
  <c r="I52" i="41"/>
  <c r="BF51" i="7"/>
  <c r="L46" i="41"/>
  <c r="BQ45" i="10"/>
  <c r="L50" i="41"/>
  <c r="BQ49" i="10"/>
  <c r="L54" i="41"/>
  <c r="BQ53" i="10"/>
  <c r="O48" i="41"/>
  <c r="BZ47" i="11"/>
  <c r="O52" i="41"/>
  <c r="BZ51" i="11"/>
  <c r="R46" i="41"/>
  <c r="BJ45" i="33"/>
  <c r="R50" i="41"/>
  <c r="BJ49" i="33"/>
  <c r="R54" i="41"/>
  <c r="BJ53" i="33"/>
  <c r="U48" i="41"/>
  <c r="BJ47" i="34"/>
  <c r="U52" i="41"/>
  <c r="BJ51" i="34"/>
  <c r="X46" i="41"/>
  <c r="BJ45" i="12"/>
  <c r="X50" i="41"/>
  <c r="BJ49" i="12"/>
  <c r="X54" i="41"/>
  <c r="BJ53" i="12"/>
  <c r="AA48" i="41"/>
  <c r="BK47" i="26"/>
  <c r="AA52" i="41"/>
  <c r="BK51" i="26"/>
  <c r="AD46" i="41"/>
  <c r="BL45" i="13"/>
  <c r="AD50" i="41"/>
  <c r="BL49" i="13"/>
  <c r="AD54" i="41"/>
  <c r="BL53" i="13"/>
  <c r="AP48" i="41"/>
  <c r="AY47" i="17"/>
  <c r="AP52" i="41"/>
  <c r="AY51" i="17"/>
  <c r="AS46" i="41"/>
  <c r="BN45" i="18"/>
  <c r="AS50" i="41"/>
  <c r="BN49" i="18"/>
  <c r="AS54" i="41"/>
  <c r="BN53" i="18"/>
  <c r="AV48" i="41"/>
  <c r="BL47" i="19"/>
  <c r="AV52" i="41"/>
  <c r="BL51" i="19"/>
  <c r="AY46" i="41"/>
  <c r="BH45" i="35"/>
  <c r="AY50" i="41"/>
  <c r="BH49" i="35"/>
  <c r="AY54" i="41"/>
  <c r="BH53" i="35"/>
  <c r="BB48" i="41"/>
  <c r="BG47" i="36"/>
  <c r="BB52" i="41"/>
  <c r="BG51" i="36"/>
  <c r="BE46" i="41"/>
  <c r="BD45" i="20"/>
  <c r="BE50" i="41"/>
  <c r="BD49" i="20"/>
  <c r="BE54" i="41"/>
  <c r="BD53" i="20"/>
  <c r="BH48" i="41"/>
  <c r="BG47" i="27"/>
  <c r="BH52" i="41"/>
  <c r="BG51" i="27"/>
  <c r="BK46" i="41"/>
  <c r="BE45" i="21"/>
  <c r="BK50" i="41"/>
  <c r="BE49" i="21"/>
  <c r="BK54" i="41"/>
  <c r="BE53" i="21"/>
  <c r="AM52" i="41"/>
  <c r="DF52" i="16"/>
  <c r="AM48" i="41"/>
  <c r="DF48" i="16"/>
  <c r="I47" i="41"/>
  <c r="BF46" i="7"/>
  <c r="I51" i="41"/>
  <c r="BF50" i="7"/>
  <c r="I55" i="41"/>
  <c r="BF54" i="7"/>
  <c r="L49" i="41"/>
  <c r="BQ48" i="10"/>
  <c r="L53" i="41"/>
  <c r="BQ52" i="10"/>
  <c r="O47" i="41"/>
  <c r="BZ46" i="11"/>
  <c r="O51" i="41"/>
  <c r="BZ50" i="11"/>
  <c r="R49" i="41"/>
  <c r="BJ48" i="33"/>
  <c r="R53" i="41"/>
  <c r="BJ52" i="33"/>
  <c r="U47" i="41"/>
  <c r="BJ46" i="34"/>
  <c r="U51" i="41"/>
  <c r="BJ50" i="34"/>
  <c r="X49" i="41"/>
  <c r="BJ48" i="12"/>
  <c r="X53" i="41"/>
  <c r="BJ52" i="12"/>
  <c r="AA47" i="41"/>
  <c r="BK46" i="26"/>
  <c r="AA51" i="41"/>
  <c r="BK50" i="26"/>
  <c r="AD49" i="41"/>
  <c r="BL48" i="13"/>
  <c r="AD53" i="41"/>
  <c r="BL52" i="13"/>
  <c r="AP47" i="41"/>
  <c r="AY46" i="17"/>
  <c r="AP51" i="41"/>
  <c r="AY50" i="17"/>
  <c r="AS49" i="41"/>
  <c r="BN48" i="18"/>
  <c r="AS53" i="41"/>
  <c r="BN52" i="18"/>
  <c r="AV47" i="41"/>
  <c r="BL46" i="19"/>
  <c r="AV51" i="41"/>
  <c r="BL50" i="19"/>
  <c r="AY49" i="41"/>
  <c r="BH48" i="35"/>
  <c r="AY53" i="41"/>
  <c r="BH52" i="35"/>
  <c r="BB47" i="41"/>
  <c r="BG46" i="36"/>
  <c r="BB51" i="41"/>
  <c r="BG50" i="36"/>
  <c r="BE49" i="41"/>
  <c r="BD48" i="20"/>
  <c r="BE53" i="41"/>
  <c r="BD52" i="20"/>
  <c r="BH47" i="41"/>
  <c r="BG46" i="27"/>
  <c r="BH51" i="41"/>
  <c r="BG50" i="27"/>
  <c r="BK49" i="41"/>
  <c r="BE48" i="21"/>
  <c r="BK53" i="41"/>
  <c r="BE52" i="21"/>
  <c r="AM53" i="41"/>
  <c r="DF53" i="16"/>
  <c r="AM49" i="41"/>
  <c r="DF49" i="16"/>
  <c r="BE7" i="21"/>
  <c r="BE11" i="21"/>
  <c r="BE15" i="21"/>
  <c r="BE39" i="21"/>
  <c r="BE24" i="21"/>
  <c r="BE32" i="21"/>
  <c r="BE36" i="21"/>
  <c r="BE40" i="21"/>
  <c r="BE44" i="21"/>
  <c r="BE10" i="21"/>
  <c r="BE14" i="21"/>
  <c r="BE18" i="21"/>
  <c r="BE22" i="21"/>
  <c r="BE26" i="21"/>
  <c r="BE30" i="21"/>
  <c r="BE34" i="21"/>
  <c r="BE38" i="21"/>
  <c r="BE42" i="21"/>
  <c r="BE19" i="21"/>
  <c r="BE23" i="21"/>
  <c r="BE27" i="21"/>
  <c r="BE31" i="21"/>
  <c r="BE35" i="21"/>
  <c r="BE43" i="21"/>
  <c r="BE8" i="21"/>
  <c r="BE12" i="21"/>
  <c r="BE16" i="21"/>
  <c r="BE20" i="21"/>
  <c r="BE28" i="21"/>
  <c r="BE5" i="21"/>
  <c r="BE9" i="21"/>
  <c r="BE13" i="21"/>
  <c r="BE17" i="21"/>
  <c r="BE21" i="21"/>
  <c r="BE25" i="21"/>
  <c r="BE29" i="21"/>
  <c r="BE33" i="21"/>
  <c r="BE37" i="21"/>
  <c r="BE41" i="21"/>
  <c r="BG9" i="27"/>
  <c r="BG18" i="27"/>
  <c r="BG22" i="27"/>
  <c r="BG26" i="27"/>
  <c r="BG30" i="27"/>
  <c r="BG34" i="27"/>
  <c r="BG38" i="27"/>
  <c r="BG42" i="27"/>
  <c r="BG8" i="27"/>
  <c r="BG12" i="27"/>
  <c r="BG16" i="27"/>
  <c r="BG20" i="27"/>
  <c r="BG24" i="27"/>
  <c r="BG28" i="27"/>
  <c r="BG32" i="27"/>
  <c r="BG36" i="27"/>
  <c r="BG40" i="27"/>
  <c r="BG44" i="27"/>
  <c r="BG5" i="27"/>
  <c r="BG13" i="27"/>
  <c r="BG17" i="27"/>
  <c r="BG21" i="27"/>
  <c r="BG25" i="27"/>
  <c r="BG29" i="27"/>
  <c r="BG33" i="27"/>
  <c r="BG37" i="27"/>
  <c r="BG41" i="27"/>
  <c r="BG10" i="27"/>
  <c r="BG14" i="27"/>
  <c r="BG11" i="27"/>
  <c r="BG15" i="27"/>
  <c r="BG19" i="27"/>
  <c r="BG23" i="27"/>
  <c r="BG27" i="27"/>
  <c r="BG31" i="27"/>
  <c r="BG35" i="27"/>
  <c r="BG39" i="27"/>
  <c r="BG43" i="27"/>
  <c r="BD10" i="20"/>
  <c r="BD14" i="20"/>
  <c r="BD18" i="20"/>
  <c r="BD26" i="20"/>
  <c r="BD42" i="20"/>
  <c r="BD11" i="20"/>
  <c r="BD15" i="20"/>
  <c r="BD19" i="20"/>
  <c r="BD31" i="20"/>
  <c r="BD43" i="20"/>
  <c r="BD8" i="20"/>
  <c r="BD12" i="20"/>
  <c r="BD16" i="20"/>
  <c r="BD20" i="20"/>
  <c r="BD24" i="20"/>
  <c r="BD28" i="20"/>
  <c r="BD32" i="20"/>
  <c r="BD36" i="20"/>
  <c r="BD40" i="20"/>
  <c r="BD44" i="20"/>
  <c r="BD22" i="20"/>
  <c r="BD30" i="20"/>
  <c r="BD34" i="20"/>
  <c r="BD38" i="20"/>
  <c r="BD23" i="20"/>
  <c r="BD27" i="20"/>
  <c r="BD35" i="20"/>
  <c r="BD39" i="20"/>
  <c r="BD5" i="20"/>
  <c r="BD9" i="20"/>
  <c r="BD13" i="20"/>
  <c r="BD17" i="20"/>
  <c r="BD21" i="20"/>
  <c r="BD25" i="20"/>
  <c r="BD29" i="20"/>
  <c r="BD33" i="20"/>
  <c r="BD37" i="20"/>
  <c r="BD41" i="20"/>
  <c r="BG8" i="36"/>
  <c r="BG12" i="36"/>
  <c r="BG20" i="36"/>
  <c r="BG44" i="36"/>
  <c r="BG16" i="36"/>
  <c r="BG24" i="36"/>
  <c r="BG28" i="36"/>
  <c r="BG32" i="36"/>
  <c r="BG36" i="36"/>
  <c r="BG40" i="36"/>
  <c r="BG5" i="36"/>
  <c r="BG9" i="36"/>
  <c r="BG13" i="36"/>
  <c r="BG17" i="36"/>
  <c r="BG21" i="36"/>
  <c r="BG25" i="36"/>
  <c r="BG29" i="36"/>
  <c r="BG33" i="36"/>
  <c r="BG37" i="36"/>
  <c r="BG41" i="36"/>
  <c r="BG10" i="36"/>
  <c r="BG14" i="36"/>
  <c r="BG18" i="36"/>
  <c r="BG22" i="36"/>
  <c r="BG26" i="36"/>
  <c r="BG30" i="36"/>
  <c r="BG34" i="36"/>
  <c r="BG38" i="36"/>
  <c r="BG42" i="36"/>
  <c r="BG7" i="36"/>
  <c r="BG11" i="36"/>
  <c r="BG15" i="36"/>
  <c r="BG19" i="36"/>
  <c r="BG23" i="36"/>
  <c r="BG27" i="36"/>
  <c r="BG31" i="36"/>
  <c r="BG35" i="36"/>
  <c r="BG39" i="36"/>
  <c r="BG43" i="36"/>
  <c r="BH11" i="35"/>
  <c r="BH8" i="35"/>
  <c r="BH12" i="35"/>
  <c r="BH16" i="35"/>
  <c r="BH20" i="35"/>
  <c r="BH24" i="35"/>
  <c r="BH28" i="35"/>
  <c r="BH32" i="35"/>
  <c r="BH36" i="35"/>
  <c r="BH40" i="35"/>
  <c r="BH44" i="35"/>
  <c r="BH6" i="35"/>
  <c r="BH10" i="35"/>
  <c r="BH14" i="35"/>
  <c r="BH18" i="35"/>
  <c r="BH22" i="35"/>
  <c r="BH26" i="35"/>
  <c r="BH30" i="35"/>
  <c r="BH34" i="35"/>
  <c r="BH38" i="35"/>
  <c r="BH42" i="35"/>
  <c r="BH7" i="35"/>
  <c r="BH15" i="35"/>
  <c r="BH19" i="35"/>
  <c r="BH23" i="35"/>
  <c r="BH27" i="35"/>
  <c r="BH31" i="35"/>
  <c r="BH35" i="35"/>
  <c r="BH39" i="35"/>
  <c r="BH43" i="35"/>
  <c r="BH5" i="35"/>
  <c r="BH9" i="35"/>
  <c r="BH13" i="35"/>
  <c r="BH17" i="35"/>
  <c r="BH21" i="35"/>
  <c r="BH25" i="35"/>
  <c r="BH29" i="35"/>
  <c r="BH33" i="35"/>
  <c r="BH37" i="35"/>
  <c r="BH41" i="35"/>
  <c r="BL8" i="19"/>
  <c r="BL12" i="19"/>
  <c r="BL16" i="19"/>
  <c r="BL20" i="19"/>
  <c r="BL24" i="19"/>
  <c r="BL28" i="19"/>
  <c r="BL32" i="19"/>
  <c r="BL36" i="19"/>
  <c r="BL40" i="19"/>
  <c r="BL9" i="19"/>
  <c r="BL13" i="19"/>
  <c r="BL17" i="19"/>
  <c r="BL25" i="19"/>
  <c r="BL6" i="19"/>
  <c r="BL10" i="19"/>
  <c r="BL14" i="19"/>
  <c r="BL18" i="19"/>
  <c r="BL22" i="19"/>
  <c r="BL26" i="19"/>
  <c r="BL30" i="19"/>
  <c r="BL34" i="19"/>
  <c r="BL38" i="19"/>
  <c r="BL42" i="19"/>
  <c r="BL44" i="19"/>
  <c r="BL21" i="19"/>
  <c r="BL29" i="19"/>
  <c r="BL33" i="19"/>
  <c r="BL37" i="19"/>
  <c r="BL41" i="19"/>
  <c r="BL11" i="19"/>
  <c r="BL15" i="19"/>
  <c r="BL19" i="19"/>
  <c r="BL23" i="19"/>
  <c r="BL27" i="19"/>
  <c r="BL31" i="19"/>
  <c r="BL35" i="19"/>
  <c r="BL39" i="19"/>
  <c r="BL43" i="19"/>
  <c r="BN18" i="18"/>
  <c r="BN30" i="18"/>
  <c r="BN10" i="18"/>
  <c r="BN14" i="18"/>
  <c r="BN22" i="18"/>
  <c r="BN26" i="18"/>
  <c r="BN34" i="18"/>
  <c r="BN38" i="18"/>
  <c r="BN42" i="18"/>
  <c r="BN7" i="18"/>
  <c r="BN11" i="18"/>
  <c r="BN15" i="18"/>
  <c r="BN19" i="18"/>
  <c r="BN23" i="18"/>
  <c r="BN27" i="18"/>
  <c r="BN31" i="18"/>
  <c r="BN35" i="18"/>
  <c r="BN39" i="18"/>
  <c r="BN43" i="18"/>
  <c r="BN8" i="18"/>
  <c r="BN12" i="18"/>
  <c r="BN16" i="18"/>
  <c r="BN20" i="18"/>
  <c r="BN24" i="18"/>
  <c r="BN28" i="18"/>
  <c r="BN32" i="18"/>
  <c r="BN36" i="18"/>
  <c r="BN40" i="18"/>
  <c r="BN44" i="18"/>
  <c r="BN5" i="18"/>
  <c r="BN9" i="18"/>
  <c r="BN13" i="18"/>
  <c r="BN17" i="18"/>
  <c r="BN21" i="18"/>
  <c r="BN25" i="18"/>
  <c r="BN29" i="18"/>
  <c r="BN33" i="18"/>
  <c r="BN37" i="18"/>
  <c r="BN41" i="18"/>
  <c r="AY25" i="17"/>
  <c r="AY29" i="17"/>
  <c r="AY41" i="17"/>
  <c r="AY6" i="17"/>
  <c r="AY14" i="17"/>
  <c r="AY22" i="17"/>
  <c r="AY30" i="17"/>
  <c r="AY38" i="17"/>
  <c r="AY42" i="17"/>
  <c r="AY8" i="17"/>
  <c r="AY12" i="17"/>
  <c r="AY16" i="17"/>
  <c r="AY20" i="17"/>
  <c r="AY24" i="17"/>
  <c r="AY28" i="17"/>
  <c r="AY32" i="17"/>
  <c r="AY36" i="17"/>
  <c r="AY40" i="17"/>
  <c r="AY44" i="17"/>
  <c r="AY5" i="17"/>
  <c r="AY9" i="17"/>
  <c r="AY13" i="17"/>
  <c r="AY17" i="17"/>
  <c r="AY21" i="17"/>
  <c r="AY33" i="17"/>
  <c r="AY37" i="17"/>
  <c r="AY10" i="17"/>
  <c r="AY18" i="17"/>
  <c r="AY26" i="17"/>
  <c r="AY34" i="17"/>
  <c r="AY11" i="17"/>
  <c r="AY15" i="17"/>
  <c r="AY19" i="17"/>
  <c r="AY23" i="17"/>
  <c r="AY27" i="17"/>
  <c r="AY31" i="17"/>
  <c r="AY35" i="17"/>
  <c r="AY39" i="17"/>
  <c r="AY43" i="17"/>
  <c r="DF38" i="16"/>
  <c r="DF30" i="16"/>
  <c r="DF22" i="16"/>
  <c r="DF18" i="16"/>
  <c r="DF14" i="16"/>
  <c r="DF45" i="16"/>
  <c r="DF37" i="16"/>
  <c r="DF29" i="16"/>
  <c r="DF43" i="16"/>
  <c r="DF39" i="16"/>
  <c r="DF35" i="16"/>
  <c r="DF31" i="16"/>
  <c r="DF27" i="16"/>
  <c r="DF23" i="16"/>
  <c r="DF19" i="16"/>
  <c r="DF15" i="16"/>
  <c r="DF11" i="16"/>
  <c r="DF42" i="16"/>
  <c r="DF34" i="16"/>
  <c r="DF26" i="16"/>
  <c r="DF10" i="16"/>
  <c r="DF41" i="16"/>
  <c r="DF33" i="16"/>
  <c r="DF25" i="16"/>
  <c r="DF21" i="16"/>
  <c r="DF17" i="16"/>
  <c r="DF13" i="16"/>
  <c r="DF44" i="16"/>
  <c r="DF40" i="16"/>
  <c r="DF36" i="16"/>
  <c r="DF32" i="16"/>
  <c r="DF28" i="16"/>
  <c r="DF24" i="16"/>
  <c r="DF20" i="16"/>
  <c r="DF16" i="16"/>
  <c r="DF12" i="16"/>
  <c r="BL5" i="13"/>
  <c r="BL13" i="13"/>
  <c r="BL17" i="13"/>
  <c r="BL21" i="13"/>
  <c r="BL25" i="13"/>
  <c r="BL29" i="13"/>
  <c r="BL33" i="13"/>
  <c r="BL37" i="13"/>
  <c r="BL41" i="13"/>
  <c r="BL10" i="13"/>
  <c r="BL14" i="13"/>
  <c r="BL18" i="13"/>
  <c r="BL22" i="13"/>
  <c r="BL26" i="13"/>
  <c r="BL30" i="13"/>
  <c r="BL34" i="13"/>
  <c r="BL38" i="13"/>
  <c r="BL42" i="13"/>
  <c r="BL11" i="13"/>
  <c r="BL15" i="13"/>
  <c r="BL19" i="13"/>
  <c r="BL23" i="13"/>
  <c r="BL27" i="13"/>
  <c r="BL31" i="13"/>
  <c r="BL35" i="13"/>
  <c r="BL39" i="13"/>
  <c r="BL43" i="13"/>
  <c r="BL12" i="13"/>
  <c r="BL16" i="13"/>
  <c r="BL20" i="13"/>
  <c r="BL24" i="13"/>
  <c r="BL28" i="13"/>
  <c r="BL32" i="13"/>
  <c r="BL36" i="13"/>
  <c r="BL40" i="13"/>
  <c r="BL44" i="13"/>
  <c r="BK5" i="26"/>
  <c r="BK9" i="26"/>
  <c r="BK13" i="26"/>
  <c r="BK17" i="26"/>
  <c r="BK21" i="26"/>
  <c r="BK25" i="26"/>
  <c r="BK29" i="26"/>
  <c r="BK37" i="26"/>
  <c r="BK8" i="26"/>
  <c r="BK12" i="26"/>
  <c r="BK16" i="26"/>
  <c r="BK20" i="26"/>
  <c r="BK24" i="26"/>
  <c r="BK28" i="26"/>
  <c r="BK32" i="26"/>
  <c r="BK36" i="26"/>
  <c r="BK40" i="26"/>
  <c r="BK44" i="26"/>
  <c r="BK33" i="26"/>
  <c r="BK41" i="26"/>
  <c r="BK10" i="26"/>
  <c r="BK14" i="26"/>
  <c r="BK18" i="26"/>
  <c r="BK22" i="26"/>
  <c r="BK26" i="26"/>
  <c r="BK30" i="26"/>
  <c r="BK34" i="26"/>
  <c r="BK38" i="26"/>
  <c r="BK42" i="26"/>
  <c r="BK7" i="26"/>
  <c r="BK11" i="26"/>
  <c r="BK15" i="26"/>
  <c r="BK19" i="26"/>
  <c r="BK23" i="26"/>
  <c r="BK27" i="26"/>
  <c r="BK31" i="26"/>
  <c r="BK35" i="26"/>
  <c r="BK39" i="26"/>
  <c r="BK43" i="26"/>
  <c r="BJ26" i="12"/>
  <c r="BJ42" i="12"/>
  <c r="BJ6" i="12"/>
  <c r="BJ14" i="12"/>
  <c r="BJ18" i="12"/>
  <c r="BJ22" i="12"/>
  <c r="BJ30" i="12"/>
  <c r="BJ34" i="12"/>
  <c r="BJ38" i="12"/>
  <c r="BJ11" i="12"/>
  <c r="BJ15" i="12"/>
  <c r="BJ19" i="12"/>
  <c r="BJ23" i="12"/>
  <c r="BJ27" i="12"/>
  <c r="BJ31" i="12"/>
  <c r="BJ35" i="12"/>
  <c r="BJ39" i="12"/>
  <c r="BJ43" i="12"/>
  <c r="BJ12" i="12"/>
  <c r="BJ16" i="12"/>
  <c r="BJ20" i="12"/>
  <c r="BJ24" i="12"/>
  <c r="BJ28" i="12"/>
  <c r="BJ32" i="12"/>
  <c r="BJ36" i="12"/>
  <c r="BJ40" i="12"/>
  <c r="BJ44" i="12"/>
  <c r="BJ5" i="12"/>
  <c r="BJ13" i="12"/>
  <c r="BJ17" i="12"/>
  <c r="BJ21" i="12"/>
  <c r="BJ25" i="12"/>
  <c r="BJ29" i="12"/>
  <c r="BJ33" i="12"/>
  <c r="BJ37" i="12"/>
  <c r="BJ41" i="12"/>
  <c r="BJ5" i="34"/>
  <c r="BJ9" i="34"/>
  <c r="BJ21" i="34"/>
  <c r="BJ37" i="34"/>
  <c r="BJ41" i="34"/>
  <c r="BJ6" i="34"/>
  <c r="BJ10" i="34"/>
  <c r="BJ14" i="34"/>
  <c r="BJ42" i="34"/>
  <c r="BJ8" i="34"/>
  <c r="BJ12" i="34"/>
  <c r="BJ16" i="34"/>
  <c r="BJ20" i="34"/>
  <c r="BJ24" i="34"/>
  <c r="BJ28" i="34"/>
  <c r="BJ32" i="34"/>
  <c r="BJ36" i="34"/>
  <c r="BJ40" i="34"/>
  <c r="BJ44" i="34"/>
  <c r="BJ13" i="34"/>
  <c r="BJ17" i="34"/>
  <c r="BJ25" i="34"/>
  <c r="BJ29" i="34"/>
  <c r="BJ33" i="34"/>
  <c r="BJ18" i="34"/>
  <c r="BJ22" i="34"/>
  <c r="BJ26" i="34"/>
  <c r="BJ30" i="34"/>
  <c r="BJ34" i="34"/>
  <c r="BJ38" i="34"/>
  <c r="BJ11" i="34"/>
  <c r="BJ15" i="34"/>
  <c r="BJ19" i="34"/>
  <c r="BJ23" i="34"/>
  <c r="BJ27" i="34"/>
  <c r="BJ31" i="34"/>
  <c r="BJ35" i="34"/>
  <c r="BJ39" i="34"/>
  <c r="BJ43" i="34"/>
  <c r="BJ27" i="33"/>
  <c r="BJ39" i="33"/>
  <c r="BJ20" i="33"/>
  <c r="BJ36" i="33"/>
  <c r="BJ40" i="33"/>
  <c r="BJ44" i="33"/>
  <c r="BJ9" i="33"/>
  <c r="BJ17" i="33"/>
  <c r="BJ21" i="33"/>
  <c r="BJ25" i="33"/>
  <c r="BJ6" i="33"/>
  <c r="BJ10" i="33"/>
  <c r="BJ14" i="33"/>
  <c r="BJ18" i="33"/>
  <c r="BJ22" i="33"/>
  <c r="BJ26" i="33"/>
  <c r="BJ30" i="33"/>
  <c r="BJ34" i="33"/>
  <c r="BJ38" i="33"/>
  <c r="BJ42" i="33"/>
  <c r="BJ11" i="33"/>
  <c r="BJ15" i="33"/>
  <c r="BJ19" i="33"/>
  <c r="BJ23" i="33"/>
  <c r="BJ31" i="33"/>
  <c r="BJ35" i="33"/>
  <c r="BJ43" i="33"/>
  <c r="BJ12" i="33"/>
  <c r="BJ16" i="33"/>
  <c r="BJ24" i="33"/>
  <c r="BJ28" i="33"/>
  <c r="BJ32" i="33"/>
  <c r="BJ13" i="33"/>
  <c r="BJ29" i="33"/>
  <c r="BJ33" i="33"/>
  <c r="BJ37" i="33"/>
  <c r="BJ41" i="33"/>
  <c r="BZ17" i="11"/>
  <c r="BZ29" i="11"/>
  <c r="BZ41" i="11"/>
  <c r="BZ42" i="11"/>
  <c r="BZ12" i="11"/>
  <c r="BZ16" i="11"/>
  <c r="BZ20" i="11"/>
  <c r="BZ24" i="11"/>
  <c r="BZ28" i="11"/>
  <c r="BZ32" i="11"/>
  <c r="BZ36" i="11"/>
  <c r="BZ40" i="11"/>
  <c r="BZ44" i="11"/>
  <c r="BZ13" i="11"/>
  <c r="BZ21" i="11"/>
  <c r="BZ25" i="11"/>
  <c r="BZ33" i="11"/>
  <c r="BZ37" i="11"/>
  <c r="BZ10" i="11"/>
  <c r="BZ14" i="11"/>
  <c r="BZ18" i="11"/>
  <c r="BZ22" i="11"/>
  <c r="BZ26" i="11"/>
  <c r="BZ30" i="11"/>
  <c r="BZ34" i="11"/>
  <c r="BZ38" i="11"/>
  <c r="BZ11" i="11"/>
  <c r="BZ15" i="11"/>
  <c r="BZ19" i="11"/>
  <c r="BZ23" i="11"/>
  <c r="BZ27" i="11"/>
  <c r="BZ31" i="11"/>
  <c r="BZ35" i="11"/>
  <c r="BZ39" i="11"/>
  <c r="BZ43" i="11"/>
  <c r="BQ6" i="10"/>
  <c r="BQ18" i="10"/>
  <c r="BQ26" i="10"/>
  <c r="BQ30" i="10"/>
  <c r="BQ34" i="10"/>
  <c r="BQ38" i="10"/>
  <c r="BQ42" i="10"/>
  <c r="BQ8" i="10"/>
  <c r="BQ12" i="10"/>
  <c r="BQ16" i="10"/>
  <c r="BQ20" i="10"/>
  <c r="BQ24" i="10"/>
  <c r="BQ28" i="10"/>
  <c r="BQ32" i="10"/>
  <c r="BQ36" i="10"/>
  <c r="BQ40" i="10"/>
  <c r="BQ44" i="10"/>
  <c r="BQ10" i="10"/>
  <c r="BQ14" i="10"/>
  <c r="BQ22" i="10"/>
  <c r="BQ11" i="10"/>
  <c r="BQ15" i="10"/>
  <c r="BQ19" i="10"/>
  <c r="BQ23" i="10"/>
  <c r="BQ27" i="10"/>
  <c r="BQ31" i="10"/>
  <c r="BQ35" i="10"/>
  <c r="BQ39" i="10"/>
  <c r="BQ43" i="10"/>
  <c r="BQ5" i="10"/>
  <c r="BQ9" i="10"/>
  <c r="BQ13" i="10"/>
  <c r="BQ17" i="10"/>
  <c r="BQ21" i="10"/>
  <c r="BQ25" i="10"/>
  <c r="BQ29" i="10"/>
  <c r="BQ33" i="10"/>
  <c r="BQ37" i="10"/>
  <c r="BQ41" i="10"/>
  <c r="BF8" i="7"/>
  <c r="BF12" i="7"/>
  <c r="BF16" i="7"/>
  <c r="BF36" i="7"/>
  <c r="BF40" i="7"/>
  <c r="BF44" i="7"/>
  <c r="BF17" i="7"/>
  <c r="BF21" i="7"/>
  <c r="BF25" i="7"/>
  <c r="BF33" i="7"/>
  <c r="BF37" i="7"/>
  <c r="BF6" i="7"/>
  <c r="BF10" i="7"/>
  <c r="BF14" i="7"/>
  <c r="BF18" i="7"/>
  <c r="BF22" i="7"/>
  <c r="BF26" i="7"/>
  <c r="BF30" i="7"/>
  <c r="BF34" i="7"/>
  <c r="BF38" i="7"/>
  <c r="BF42" i="7"/>
  <c r="BF20" i="7"/>
  <c r="BF24" i="7"/>
  <c r="BF28" i="7"/>
  <c r="BF32" i="7"/>
  <c r="BF5" i="7"/>
  <c r="BF9" i="7"/>
  <c r="BF13" i="7"/>
  <c r="BF29" i="7"/>
  <c r="BF41" i="7"/>
  <c r="BF11" i="7"/>
  <c r="BF15" i="7"/>
  <c r="BF19" i="7"/>
  <c r="BF23" i="7"/>
  <c r="BF27" i="7"/>
  <c r="BF31" i="7"/>
  <c r="BF35" i="7"/>
  <c r="BF39" i="7"/>
  <c r="BF43" i="7"/>
  <c r="BE6" i="21"/>
  <c r="BG7" i="27"/>
  <c r="BG6" i="27"/>
  <c r="BG6" i="36"/>
  <c r="BL5" i="19"/>
  <c r="BL7" i="19"/>
  <c r="BN6" i="18"/>
  <c r="AY7" i="17"/>
  <c r="DF55" i="16"/>
  <c r="BJ7" i="34"/>
  <c r="BF7" i="7"/>
  <c r="BD6" i="20"/>
  <c r="BD7" i="20"/>
  <c r="ES6" i="1"/>
  <c r="BL7" i="13"/>
  <c r="BJ5" i="33"/>
  <c r="BE54" i="21"/>
  <c r="BG54" i="27"/>
  <c r="BD54" i="20"/>
  <c r="BG54" i="36"/>
  <c r="BH54" i="35"/>
  <c r="BL54" i="19"/>
  <c r="BN54" i="18"/>
  <c r="AY54" i="17"/>
  <c r="DF9" i="16"/>
  <c r="DF8" i="16"/>
  <c r="DF7" i="16"/>
  <c r="DF6" i="16"/>
  <c r="BL9" i="13"/>
  <c r="BL8" i="13"/>
  <c r="BL6" i="13"/>
  <c r="BL54" i="13"/>
  <c r="BK54" i="26"/>
  <c r="BK6" i="26"/>
  <c r="BJ10" i="12"/>
  <c r="BJ9" i="12"/>
  <c r="BJ8" i="12"/>
  <c r="BJ7" i="12"/>
  <c r="BJ54" i="34"/>
  <c r="BJ8" i="33"/>
  <c r="BJ7" i="33"/>
  <c r="BJ54" i="33"/>
  <c r="BZ9" i="11"/>
  <c r="BZ8" i="11"/>
  <c r="BZ7" i="11"/>
  <c r="BZ6" i="11"/>
  <c r="BZ54" i="11"/>
  <c r="BQ7" i="10"/>
  <c r="BQ54" i="10"/>
  <c r="F75" i="30"/>
  <c r="F74" i="30"/>
  <c r="B74" i="30"/>
  <c r="F70" i="30"/>
  <c r="F69" i="30"/>
  <c r="F68" i="30"/>
  <c r="I87" i="30"/>
  <c r="J34" i="29"/>
  <c r="DU7" i="1"/>
  <c r="DW7" i="1"/>
  <c r="DY7" i="1"/>
  <c r="DU8" i="1"/>
  <c r="DW8" i="1"/>
  <c r="DY8" i="1"/>
  <c r="DU9" i="1"/>
  <c r="DW9" i="1"/>
  <c r="DY9" i="1"/>
  <c r="DU10" i="1"/>
  <c r="DW10" i="1"/>
  <c r="DY10" i="1"/>
  <c r="DU11" i="1"/>
  <c r="DW11" i="1"/>
  <c r="DY11" i="1"/>
  <c r="DU12" i="1"/>
  <c r="DW12" i="1"/>
  <c r="DY12" i="1"/>
  <c r="DU13" i="1"/>
  <c r="DW13" i="1"/>
  <c r="DY13" i="1"/>
  <c r="DU14" i="1"/>
  <c r="DW14" i="1"/>
  <c r="DY14" i="1"/>
  <c r="DU15" i="1"/>
  <c r="DW15" i="1"/>
  <c r="DY15" i="1"/>
  <c r="DU16" i="1"/>
  <c r="DW16" i="1"/>
  <c r="DY16" i="1"/>
  <c r="DU17" i="1"/>
  <c r="DW17" i="1"/>
  <c r="DY17" i="1"/>
  <c r="DU18" i="1"/>
  <c r="DW18" i="1"/>
  <c r="DY18" i="1"/>
  <c r="DU19" i="1"/>
  <c r="DW19" i="1"/>
  <c r="DY19" i="1"/>
  <c r="DU20" i="1"/>
  <c r="DW20" i="1"/>
  <c r="DY20" i="1"/>
  <c r="DU21" i="1"/>
  <c r="DW21" i="1"/>
  <c r="DY21" i="1"/>
  <c r="DU22" i="1"/>
  <c r="DW22" i="1"/>
  <c r="DY22" i="1"/>
  <c r="DU23" i="1"/>
  <c r="DW23" i="1"/>
  <c r="DY23" i="1"/>
  <c r="DU24" i="1"/>
  <c r="DW24" i="1"/>
  <c r="DY24" i="1"/>
  <c r="DU25" i="1"/>
  <c r="DW25" i="1"/>
  <c r="DY25" i="1"/>
  <c r="DU26" i="1"/>
  <c r="DW26" i="1"/>
  <c r="DY26" i="1"/>
  <c r="DU27" i="1"/>
  <c r="DW27" i="1"/>
  <c r="DY27" i="1"/>
  <c r="DU28" i="1"/>
  <c r="DW28" i="1"/>
  <c r="DY28" i="1"/>
  <c r="DU29" i="1"/>
  <c r="DW29" i="1"/>
  <c r="DY29" i="1"/>
  <c r="DU30" i="1"/>
  <c r="DW30" i="1"/>
  <c r="DY30" i="1"/>
  <c r="DU31" i="1"/>
  <c r="DW31" i="1"/>
  <c r="DY31" i="1"/>
  <c r="DU32" i="1"/>
  <c r="DW32" i="1"/>
  <c r="DY32" i="1"/>
  <c r="DU33" i="1"/>
  <c r="DW33" i="1"/>
  <c r="DY33" i="1"/>
  <c r="DU34" i="1"/>
  <c r="DW34" i="1"/>
  <c r="DY34" i="1"/>
  <c r="DU35" i="1"/>
  <c r="DW35" i="1"/>
  <c r="DY35" i="1"/>
  <c r="DU36" i="1"/>
  <c r="DW36" i="1"/>
  <c r="DY36" i="1"/>
  <c r="DU37" i="1"/>
  <c r="DW37" i="1"/>
  <c r="DY37" i="1"/>
  <c r="DU38" i="1"/>
  <c r="DW38" i="1"/>
  <c r="DY38" i="1"/>
  <c r="DU39" i="1"/>
  <c r="DW39" i="1"/>
  <c r="DY39" i="1"/>
  <c r="DU40" i="1"/>
  <c r="DW40" i="1"/>
  <c r="DY40" i="1"/>
  <c r="DU41" i="1"/>
  <c r="DW41" i="1"/>
  <c r="DY41" i="1"/>
  <c r="DU42" i="1"/>
  <c r="DW42" i="1"/>
  <c r="DY42" i="1"/>
  <c r="DU43" i="1"/>
  <c r="DW43" i="1"/>
  <c r="DY43" i="1"/>
  <c r="DU44" i="1"/>
  <c r="DW44" i="1"/>
  <c r="DY44" i="1"/>
  <c r="DU45" i="1"/>
  <c r="DW45" i="1"/>
  <c r="DY45" i="1"/>
  <c r="DU46" i="1"/>
  <c r="DW46" i="1"/>
  <c r="DY46" i="1"/>
  <c r="DU47" i="1"/>
  <c r="DW47" i="1"/>
  <c r="DY47" i="1"/>
  <c r="DU48" i="1"/>
  <c r="DW48" i="1"/>
  <c r="DY48" i="1"/>
  <c r="DU49" i="1"/>
  <c r="DW49" i="1"/>
  <c r="DY49" i="1"/>
  <c r="DU50" i="1"/>
  <c r="DW50" i="1"/>
  <c r="DY50" i="1"/>
  <c r="DU51" i="1"/>
  <c r="DW51" i="1"/>
  <c r="DY51" i="1"/>
  <c r="DU52" i="1"/>
  <c r="DW52" i="1"/>
  <c r="DY52" i="1"/>
  <c r="DU53" i="1"/>
  <c r="DW53" i="1"/>
  <c r="DY53" i="1"/>
  <c r="DU54" i="1"/>
  <c r="DW54" i="1"/>
  <c r="DY54" i="1"/>
  <c r="DU55" i="1"/>
  <c r="DW55" i="1"/>
  <c r="DY55" i="1"/>
  <c r="DY6" i="1"/>
  <c r="DW6" i="1"/>
  <c r="AA54" i="5"/>
  <c r="AB54" i="5"/>
  <c r="AC54" i="5"/>
  <c r="AD54" i="5"/>
  <c r="AE54" i="5"/>
  <c r="AF54" i="5"/>
  <c r="AS54" i="5"/>
  <c r="AT54" i="5"/>
  <c r="AU54" i="5"/>
  <c r="AV54" i="5"/>
  <c r="AW54" i="5"/>
  <c r="AX54" i="5"/>
  <c r="AZ54" i="5"/>
  <c r="U6" i="4"/>
  <c r="V6" i="4"/>
  <c r="W6" i="4"/>
  <c r="X6" i="4"/>
  <c r="AG6" i="4"/>
  <c r="AH6" i="4"/>
  <c r="AI6" i="4"/>
  <c r="AJ6" i="4"/>
  <c r="U7" i="4"/>
  <c r="V7" i="4"/>
  <c r="W7" i="4"/>
  <c r="X7" i="4"/>
  <c r="AG7" i="4"/>
  <c r="AH7" i="4"/>
  <c r="AI7" i="4"/>
  <c r="AJ7" i="4"/>
  <c r="U8" i="4"/>
  <c r="V8" i="4"/>
  <c r="W8" i="4"/>
  <c r="X8" i="4"/>
  <c r="AG8" i="4"/>
  <c r="AH8" i="4"/>
  <c r="AI8" i="4"/>
  <c r="AJ8" i="4"/>
  <c r="U9" i="4"/>
  <c r="V9" i="4"/>
  <c r="W9" i="4"/>
  <c r="X9" i="4"/>
  <c r="AG9" i="4"/>
  <c r="AH9" i="4"/>
  <c r="AI9" i="4"/>
  <c r="AJ9" i="4"/>
  <c r="U10" i="4"/>
  <c r="V10" i="4"/>
  <c r="W10" i="4"/>
  <c r="X10" i="4"/>
  <c r="AG10" i="4"/>
  <c r="AH10" i="4"/>
  <c r="AI10" i="4"/>
  <c r="AJ10" i="4"/>
  <c r="U11" i="4"/>
  <c r="V11" i="4"/>
  <c r="W11" i="4"/>
  <c r="X11" i="4"/>
  <c r="AG11" i="4"/>
  <c r="AH11" i="4"/>
  <c r="AI11" i="4"/>
  <c r="AJ11" i="4"/>
  <c r="U12" i="4"/>
  <c r="V12" i="4"/>
  <c r="W12" i="4"/>
  <c r="X12" i="4"/>
  <c r="AG12" i="4"/>
  <c r="AH12" i="4"/>
  <c r="AI12" i="4"/>
  <c r="AJ12" i="4"/>
  <c r="U13" i="4"/>
  <c r="V13" i="4"/>
  <c r="W13" i="4"/>
  <c r="X13" i="4"/>
  <c r="AG13" i="4"/>
  <c r="AH13" i="4"/>
  <c r="AI13" i="4"/>
  <c r="AJ13" i="4"/>
  <c r="U14" i="4"/>
  <c r="V14" i="4"/>
  <c r="W14" i="4"/>
  <c r="X14" i="4"/>
  <c r="AG14" i="4"/>
  <c r="AH14" i="4"/>
  <c r="AI14" i="4"/>
  <c r="AJ14" i="4"/>
  <c r="U15" i="4"/>
  <c r="V15" i="4"/>
  <c r="W15" i="4"/>
  <c r="X15" i="4"/>
  <c r="AG15" i="4"/>
  <c r="AH15" i="4"/>
  <c r="AI15" i="4"/>
  <c r="AJ15" i="4"/>
  <c r="U16" i="4"/>
  <c r="V16" i="4"/>
  <c r="W16" i="4"/>
  <c r="X16" i="4"/>
  <c r="AG16" i="4"/>
  <c r="AH16" i="4"/>
  <c r="AI16" i="4"/>
  <c r="AJ16" i="4"/>
  <c r="U17" i="4"/>
  <c r="V17" i="4"/>
  <c r="W17" i="4"/>
  <c r="X17" i="4"/>
  <c r="AG17" i="4"/>
  <c r="AH17" i="4"/>
  <c r="AI17" i="4"/>
  <c r="AJ17" i="4"/>
  <c r="U18" i="4"/>
  <c r="V18" i="4"/>
  <c r="W18" i="4"/>
  <c r="X18" i="4"/>
  <c r="AG18" i="4"/>
  <c r="AH18" i="4"/>
  <c r="AI18" i="4"/>
  <c r="AJ18" i="4"/>
  <c r="U19" i="4"/>
  <c r="V19" i="4"/>
  <c r="W19" i="4"/>
  <c r="X19" i="4"/>
  <c r="AG19" i="4"/>
  <c r="AH19" i="4"/>
  <c r="AI19" i="4"/>
  <c r="AJ19" i="4"/>
  <c r="U20" i="4"/>
  <c r="V20" i="4"/>
  <c r="W20" i="4"/>
  <c r="X20" i="4"/>
  <c r="AG20" i="4"/>
  <c r="AH20" i="4"/>
  <c r="AI20" i="4"/>
  <c r="AJ20" i="4"/>
  <c r="U21" i="4"/>
  <c r="V21" i="4"/>
  <c r="W21" i="4"/>
  <c r="X21" i="4"/>
  <c r="AG21" i="4"/>
  <c r="AH21" i="4"/>
  <c r="AI21" i="4"/>
  <c r="AJ21" i="4"/>
  <c r="U22" i="4"/>
  <c r="V22" i="4"/>
  <c r="W22" i="4"/>
  <c r="X22" i="4"/>
  <c r="AG22" i="4"/>
  <c r="AH22" i="4"/>
  <c r="AI22" i="4"/>
  <c r="AJ22" i="4"/>
  <c r="U23" i="4"/>
  <c r="V23" i="4"/>
  <c r="W23" i="4"/>
  <c r="X23" i="4"/>
  <c r="AG23" i="4"/>
  <c r="AH23" i="4"/>
  <c r="AI23" i="4"/>
  <c r="AJ23" i="4"/>
  <c r="U24" i="4"/>
  <c r="V24" i="4"/>
  <c r="W24" i="4"/>
  <c r="X24" i="4"/>
  <c r="AG24" i="4"/>
  <c r="AH24" i="4"/>
  <c r="AI24" i="4"/>
  <c r="AJ24" i="4"/>
  <c r="U25" i="4"/>
  <c r="V25" i="4"/>
  <c r="W25" i="4"/>
  <c r="X25" i="4"/>
  <c r="AG25" i="4"/>
  <c r="AH25" i="4"/>
  <c r="AI25" i="4"/>
  <c r="AJ25" i="4"/>
  <c r="U26" i="4"/>
  <c r="V26" i="4"/>
  <c r="W26" i="4"/>
  <c r="X26" i="4"/>
  <c r="AG26" i="4"/>
  <c r="AH26" i="4"/>
  <c r="AI26" i="4"/>
  <c r="AJ26" i="4"/>
  <c r="U27" i="4"/>
  <c r="V27" i="4"/>
  <c r="W27" i="4"/>
  <c r="X27" i="4"/>
  <c r="AG27" i="4"/>
  <c r="AH27" i="4"/>
  <c r="AI27" i="4"/>
  <c r="AJ27" i="4"/>
  <c r="U28" i="4"/>
  <c r="V28" i="4"/>
  <c r="W28" i="4"/>
  <c r="X28" i="4"/>
  <c r="AG28" i="4"/>
  <c r="AH28" i="4"/>
  <c r="AI28" i="4"/>
  <c r="AJ28" i="4"/>
  <c r="U29" i="4"/>
  <c r="V29" i="4"/>
  <c r="W29" i="4"/>
  <c r="X29" i="4"/>
  <c r="AG29" i="4"/>
  <c r="AH29" i="4"/>
  <c r="AI29" i="4"/>
  <c r="AJ29" i="4"/>
  <c r="U30" i="4"/>
  <c r="V30" i="4"/>
  <c r="W30" i="4"/>
  <c r="X30" i="4"/>
  <c r="AG30" i="4"/>
  <c r="AH30" i="4"/>
  <c r="AI30" i="4"/>
  <c r="AJ30" i="4"/>
  <c r="U31" i="4"/>
  <c r="V31" i="4"/>
  <c r="W31" i="4"/>
  <c r="X31" i="4"/>
  <c r="AG31" i="4"/>
  <c r="AH31" i="4"/>
  <c r="AI31" i="4"/>
  <c r="AJ31" i="4"/>
  <c r="U32" i="4"/>
  <c r="V32" i="4"/>
  <c r="W32" i="4"/>
  <c r="X32" i="4"/>
  <c r="AG32" i="4"/>
  <c r="AH32" i="4"/>
  <c r="AI32" i="4"/>
  <c r="AJ32" i="4"/>
  <c r="U33" i="4"/>
  <c r="V33" i="4"/>
  <c r="W33" i="4"/>
  <c r="X33" i="4"/>
  <c r="AG33" i="4"/>
  <c r="AH33" i="4"/>
  <c r="AI33" i="4"/>
  <c r="AJ33" i="4"/>
  <c r="U34" i="4"/>
  <c r="V34" i="4"/>
  <c r="W34" i="4"/>
  <c r="X34" i="4"/>
  <c r="AG34" i="4"/>
  <c r="AH34" i="4"/>
  <c r="AI34" i="4"/>
  <c r="AJ34" i="4"/>
  <c r="U35" i="4"/>
  <c r="V35" i="4"/>
  <c r="W35" i="4"/>
  <c r="X35" i="4"/>
  <c r="AG35" i="4"/>
  <c r="AH35" i="4"/>
  <c r="AI35" i="4"/>
  <c r="AJ35" i="4"/>
  <c r="U36" i="4"/>
  <c r="V36" i="4"/>
  <c r="W36" i="4"/>
  <c r="X36" i="4"/>
  <c r="AG36" i="4"/>
  <c r="AH36" i="4"/>
  <c r="AI36" i="4"/>
  <c r="AJ36" i="4"/>
  <c r="U37" i="4"/>
  <c r="V37" i="4"/>
  <c r="W37" i="4"/>
  <c r="X37" i="4"/>
  <c r="AG37" i="4"/>
  <c r="AH37" i="4"/>
  <c r="AI37" i="4"/>
  <c r="AJ37" i="4"/>
  <c r="U38" i="4"/>
  <c r="V38" i="4"/>
  <c r="W38" i="4"/>
  <c r="X38" i="4"/>
  <c r="AG38" i="4"/>
  <c r="AH38" i="4"/>
  <c r="AI38" i="4"/>
  <c r="AJ38" i="4"/>
  <c r="U39" i="4"/>
  <c r="V39" i="4"/>
  <c r="W39" i="4"/>
  <c r="X39" i="4"/>
  <c r="AG39" i="4"/>
  <c r="AH39" i="4"/>
  <c r="AI39" i="4"/>
  <c r="AJ39" i="4"/>
  <c r="U40" i="4"/>
  <c r="V40" i="4"/>
  <c r="W40" i="4"/>
  <c r="X40" i="4"/>
  <c r="AG40" i="4"/>
  <c r="AH40" i="4"/>
  <c r="AI40" i="4"/>
  <c r="AJ40" i="4"/>
  <c r="U41" i="4"/>
  <c r="V41" i="4"/>
  <c r="W41" i="4"/>
  <c r="X41" i="4"/>
  <c r="AG41" i="4"/>
  <c r="AH41" i="4"/>
  <c r="AI41" i="4"/>
  <c r="AJ41" i="4"/>
  <c r="U42" i="4"/>
  <c r="V42" i="4"/>
  <c r="W42" i="4"/>
  <c r="X42" i="4"/>
  <c r="AG42" i="4"/>
  <c r="AH42" i="4"/>
  <c r="AI42" i="4"/>
  <c r="AJ42" i="4"/>
  <c r="U43" i="4"/>
  <c r="V43" i="4"/>
  <c r="W43" i="4"/>
  <c r="X43" i="4"/>
  <c r="AG43" i="4"/>
  <c r="AH43" i="4"/>
  <c r="AI43" i="4"/>
  <c r="AJ43" i="4"/>
  <c r="U44" i="4"/>
  <c r="V44" i="4"/>
  <c r="W44" i="4"/>
  <c r="X44" i="4"/>
  <c r="AG44" i="4"/>
  <c r="AH44" i="4"/>
  <c r="AI44" i="4"/>
  <c r="AJ44" i="4"/>
  <c r="U45" i="4"/>
  <c r="V45" i="4"/>
  <c r="W45" i="4"/>
  <c r="X45" i="4"/>
  <c r="AG45" i="4"/>
  <c r="AH45" i="4"/>
  <c r="AI45" i="4"/>
  <c r="AJ45" i="4"/>
  <c r="U46" i="4"/>
  <c r="V46" i="4"/>
  <c r="W46" i="4"/>
  <c r="X46" i="4"/>
  <c r="AG46" i="4"/>
  <c r="AH46" i="4"/>
  <c r="AI46" i="4"/>
  <c r="AJ46" i="4"/>
  <c r="U47" i="4"/>
  <c r="V47" i="4"/>
  <c r="W47" i="4"/>
  <c r="X47" i="4"/>
  <c r="AG47" i="4"/>
  <c r="AH47" i="4"/>
  <c r="AI47" i="4"/>
  <c r="AJ47" i="4"/>
  <c r="U48" i="4"/>
  <c r="V48" i="4"/>
  <c r="W48" i="4"/>
  <c r="X48" i="4"/>
  <c r="AG48" i="4"/>
  <c r="AH48" i="4"/>
  <c r="AI48" i="4"/>
  <c r="AJ48" i="4"/>
  <c r="U49" i="4"/>
  <c r="V49" i="4"/>
  <c r="W49" i="4"/>
  <c r="X49" i="4"/>
  <c r="AG49" i="4"/>
  <c r="AH49" i="4"/>
  <c r="AI49" i="4"/>
  <c r="AJ49" i="4"/>
  <c r="U50" i="4"/>
  <c r="V50" i="4"/>
  <c r="W50" i="4"/>
  <c r="X50" i="4"/>
  <c r="AG50" i="4"/>
  <c r="AH50" i="4"/>
  <c r="AI50" i="4"/>
  <c r="AJ50" i="4"/>
  <c r="U51" i="4"/>
  <c r="V51" i="4"/>
  <c r="W51" i="4"/>
  <c r="X51" i="4"/>
  <c r="AG51" i="4"/>
  <c r="AH51" i="4"/>
  <c r="AI51" i="4"/>
  <c r="AJ51" i="4"/>
  <c r="U52" i="4"/>
  <c r="V52" i="4"/>
  <c r="W52" i="4"/>
  <c r="X52" i="4"/>
  <c r="AG52" i="4"/>
  <c r="AH52" i="4"/>
  <c r="AI52" i="4"/>
  <c r="AJ52" i="4"/>
  <c r="U53" i="4"/>
  <c r="V53" i="4"/>
  <c r="W53" i="4"/>
  <c r="X53" i="4"/>
  <c r="AG53" i="4"/>
  <c r="AH53" i="4"/>
  <c r="AI53" i="4"/>
  <c r="AJ53" i="4"/>
  <c r="U54" i="4"/>
  <c r="V54" i="4"/>
  <c r="W54" i="4"/>
  <c r="X54" i="4"/>
  <c r="AG54" i="4"/>
  <c r="AH54" i="4"/>
  <c r="AI54" i="4"/>
  <c r="AJ54" i="4"/>
  <c r="T54" i="5" l="1"/>
  <c r="V54" i="5"/>
  <c r="AR54" i="5"/>
  <c r="Z54" i="5"/>
  <c r="ES39" i="1"/>
  <c r="F39" i="41"/>
  <c r="BU39" i="41" s="1"/>
  <c r="BV39" i="41" s="1"/>
  <c r="ES35" i="1"/>
  <c r="F35" i="41"/>
  <c r="BU35" i="41" s="1"/>
  <c r="BV35" i="41" s="1"/>
  <c r="ES31" i="1"/>
  <c r="F31" i="41"/>
  <c r="BU31" i="41" s="1"/>
  <c r="BV31" i="41" s="1"/>
  <c r="ES27" i="1"/>
  <c r="F27" i="41"/>
  <c r="BU27" i="41" s="1"/>
  <c r="BV27" i="41" s="1"/>
  <c r="ES23" i="1"/>
  <c r="F23" i="41"/>
  <c r="BU23" i="41" s="1"/>
  <c r="BV23" i="41" s="1"/>
  <c r="ES19" i="1"/>
  <c r="F19" i="41"/>
  <c r="BU19" i="41" s="1"/>
  <c r="BV19" i="41" s="1"/>
  <c r="ES15" i="1"/>
  <c r="F15" i="41"/>
  <c r="BU15" i="41" s="1"/>
  <c r="BV15" i="41" s="1"/>
  <c r="ES11" i="1"/>
  <c r="F11" i="41"/>
  <c r="BU11" i="41" s="1"/>
  <c r="BT11" i="41" s="1"/>
  <c r="ES42" i="1"/>
  <c r="F42" i="41"/>
  <c r="BU42" i="41" s="1"/>
  <c r="BT42" i="41" s="1"/>
  <c r="ES38" i="1"/>
  <c r="F38" i="41"/>
  <c r="BU38" i="41" s="1"/>
  <c r="BV38" i="41" s="1"/>
  <c r="ES34" i="1"/>
  <c r="F34" i="41"/>
  <c r="BU34" i="41" s="1"/>
  <c r="BT34" i="41" s="1"/>
  <c r="ES30" i="1"/>
  <c r="F30" i="41"/>
  <c r="BU30" i="41" s="1"/>
  <c r="BV30" i="41" s="1"/>
  <c r="ES26" i="1"/>
  <c r="F26" i="41"/>
  <c r="BU26" i="41" s="1"/>
  <c r="BT26" i="41" s="1"/>
  <c r="ES22" i="1"/>
  <c r="F22" i="41"/>
  <c r="BU22" i="41" s="1"/>
  <c r="BV22" i="41" s="1"/>
  <c r="ES18" i="1"/>
  <c r="F18" i="41"/>
  <c r="BU18" i="41" s="1"/>
  <c r="BT18" i="41" s="1"/>
  <c r="ES14" i="1"/>
  <c r="F14" i="41"/>
  <c r="BU14" i="41" s="1"/>
  <c r="BT14" i="41" s="1"/>
  <c r="ES10" i="1"/>
  <c r="F10" i="41"/>
  <c r="BU10" i="41" s="1"/>
  <c r="BT10" i="41" s="1"/>
  <c r="ES43" i="1"/>
  <c r="F43" i="41"/>
  <c r="BU43" i="41" s="1"/>
  <c r="BT43" i="41" s="1"/>
  <c r="ES44" i="1"/>
  <c r="F44" i="41"/>
  <c r="BU44" i="41" s="1"/>
  <c r="BV44" i="41" s="1"/>
  <c r="ES40" i="1"/>
  <c r="F40" i="41"/>
  <c r="BU40" i="41" s="1"/>
  <c r="BV40" i="41" s="1"/>
  <c r="ES36" i="1"/>
  <c r="F36" i="41"/>
  <c r="BU36" i="41" s="1"/>
  <c r="BV36" i="41" s="1"/>
  <c r="ES32" i="1"/>
  <c r="F32" i="41"/>
  <c r="BU32" i="41" s="1"/>
  <c r="BV32" i="41" s="1"/>
  <c r="ES28" i="1"/>
  <c r="F28" i="41"/>
  <c r="BU28" i="41" s="1"/>
  <c r="BT28" i="41" s="1"/>
  <c r="ES24" i="1"/>
  <c r="F24" i="41"/>
  <c r="BU24" i="41" s="1"/>
  <c r="BV24" i="41" s="1"/>
  <c r="ES20" i="1"/>
  <c r="F20" i="41"/>
  <c r="BU20" i="41" s="1"/>
  <c r="BV20" i="41" s="1"/>
  <c r="ES16" i="1"/>
  <c r="F16" i="41"/>
  <c r="BU16" i="41" s="1"/>
  <c r="BT16" i="41" s="1"/>
  <c r="ES12" i="1"/>
  <c r="F12" i="41"/>
  <c r="BU12" i="41" s="1"/>
  <c r="BV12" i="41" s="1"/>
  <c r="ES8" i="1"/>
  <c r="F8" i="41"/>
  <c r="BU8" i="41" s="1"/>
  <c r="BT8" i="41" s="1"/>
  <c r="ES45" i="1"/>
  <c r="F45" i="41"/>
  <c r="BU45" i="41" s="1"/>
  <c r="BV45" i="41" s="1"/>
  <c r="ES41" i="1"/>
  <c r="F41" i="41"/>
  <c r="BU41" i="41" s="1"/>
  <c r="BV41" i="41" s="1"/>
  <c r="ES37" i="1"/>
  <c r="F37" i="41"/>
  <c r="BU37" i="41" s="1"/>
  <c r="BT37" i="41" s="1"/>
  <c r="ES33" i="1"/>
  <c r="F33" i="41"/>
  <c r="BU33" i="41" s="1"/>
  <c r="BV33" i="41" s="1"/>
  <c r="ES29" i="1"/>
  <c r="F29" i="41"/>
  <c r="BU29" i="41" s="1"/>
  <c r="BV29" i="41" s="1"/>
  <c r="ES25" i="1"/>
  <c r="F25" i="41"/>
  <c r="BU25" i="41" s="1"/>
  <c r="BV25" i="41" s="1"/>
  <c r="ES21" i="1"/>
  <c r="F21" i="41"/>
  <c r="BU21" i="41" s="1"/>
  <c r="BT21" i="41" s="1"/>
  <c r="ES17" i="1"/>
  <c r="F17" i="41"/>
  <c r="BU17" i="41" s="1"/>
  <c r="BT17" i="41" s="1"/>
  <c r="ES13" i="1"/>
  <c r="F13" i="41"/>
  <c r="BU13" i="41" s="1"/>
  <c r="BV13" i="41" s="1"/>
  <c r="ES9" i="1"/>
  <c r="F9" i="41"/>
  <c r="BU9" i="41" s="1"/>
  <c r="BT9" i="41" s="1"/>
  <c r="ES7" i="1"/>
  <c r="F7" i="41"/>
  <c r="BU7" i="41" s="1"/>
  <c r="BT7" i="41" s="1"/>
  <c r="ES53" i="1"/>
  <c r="F53" i="41"/>
  <c r="BU53" i="41" s="1"/>
  <c r="ES49" i="1"/>
  <c r="F49" i="41"/>
  <c r="BU49" i="41" s="1"/>
  <c r="ES52" i="1"/>
  <c r="F52" i="41"/>
  <c r="BU52" i="41" s="1"/>
  <c r="ES54" i="1"/>
  <c r="F54" i="41"/>
  <c r="BU54" i="41" s="1"/>
  <c r="ES50" i="1"/>
  <c r="F50" i="41"/>
  <c r="BU50" i="41" s="1"/>
  <c r="ES46" i="1"/>
  <c r="F46" i="41"/>
  <c r="BU46" i="41" s="1"/>
  <c r="ES48" i="1"/>
  <c r="F48" i="41"/>
  <c r="BU48" i="41" s="1"/>
  <c r="ES55" i="1"/>
  <c r="F55" i="41"/>
  <c r="BU55" i="41" s="1"/>
  <c r="BT55" i="41" s="1"/>
  <c r="ES51" i="1"/>
  <c r="F51" i="41"/>
  <c r="BU51" i="41" s="1"/>
  <c r="BV51" i="41" s="1"/>
  <c r="ES47" i="1"/>
  <c r="F47" i="41"/>
  <c r="BU47" i="41" s="1"/>
  <c r="BI5" i="35"/>
  <c r="BI3" i="35" s="1"/>
  <c r="BI6" i="35" s="1"/>
  <c r="BG5" i="7"/>
  <c r="BG3" i="7" s="1"/>
  <c r="BG6" i="7" s="1"/>
  <c r="BF5" i="21"/>
  <c r="BF3" i="21" s="1"/>
  <c r="BF6" i="21" s="1"/>
  <c r="BH5" i="27"/>
  <c r="BH3" i="27" s="1"/>
  <c r="BH6" i="27" s="1"/>
  <c r="BH5" i="36"/>
  <c r="BH3" i="36" s="1"/>
  <c r="BH6" i="36" s="1"/>
  <c r="BM5" i="19"/>
  <c r="BM3" i="19" s="1"/>
  <c r="BM6" i="19" s="1"/>
  <c r="BO5" i="18"/>
  <c r="BO3" i="18" s="1"/>
  <c r="BO6" i="18" s="1"/>
  <c r="AZ5" i="17"/>
  <c r="AZ3" i="17" s="1"/>
  <c r="AZ6" i="17" s="1"/>
  <c r="BK5" i="34"/>
  <c r="BK3" i="34" s="1"/>
  <c r="BK6" i="34" s="1"/>
  <c r="BE5" i="20"/>
  <c r="BE3" i="20" s="1"/>
  <c r="BE6" i="20" s="1"/>
  <c r="DG6" i="16"/>
  <c r="DG4" i="16" s="1"/>
  <c r="DG7" i="16" s="1"/>
  <c r="BM5" i="13"/>
  <c r="BM3" i="13" s="1"/>
  <c r="BM6" i="13" s="1"/>
  <c r="BL5" i="26"/>
  <c r="BL3" i="26" s="1"/>
  <c r="BL6" i="26" s="1"/>
  <c r="BK5" i="12"/>
  <c r="BK3" i="12" s="1"/>
  <c r="BK6" i="12" s="1"/>
  <c r="BK5" i="33"/>
  <c r="BK3" i="33" s="1"/>
  <c r="BK6" i="33" s="1"/>
  <c r="BR5" i="10"/>
  <c r="BR3" i="10" s="1"/>
  <c r="BR6" i="10" s="1"/>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T54" i="4"/>
  <c r="T53" i="4"/>
  <c r="T52" i="4"/>
  <c r="T51" i="4"/>
  <c r="T50" i="4"/>
  <c r="T49" i="4"/>
  <c r="T48" i="4"/>
  <c r="T47" i="4"/>
  <c r="T46" i="4"/>
  <c r="T45" i="4"/>
  <c r="T44" i="4"/>
  <c r="T43" i="4"/>
  <c r="T42" i="4"/>
  <c r="T41" i="4"/>
  <c r="T40" i="4"/>
  <c r="T39" i="4"/>
  <c r="T38" i="4"/>
  <c r="T37" i="4"/>
  <c r="T36" i="4"/>
  <c r="T35" i="4"/>
  <c r="T34" i="4"/>
  <c r="T33" i="4"/>
  <c r="T32" i="4"/>
  <c r="T31" i="4"/>
  <c r="T30" i="4"/>
  <c r="T29" i="4"/>
  <c r="T28" i="4"/>
  <c r="T27" i="4"/>
  <c r="T26" i="4"/>
  <c r="T25" i="4"/>
  <c r="T24" i="4"/>
  <c r="T23" i="4"/>
  <c r="T22" i="4"/>
  <c r="T21" i="4"/>
  <c r="T20" i="4"/>
  <c r="T19" i="4"/>
  <c r="T18" i="4"/>
  <c r="T17" i="4"/>
  <c r="T16" i="4"/>
  <c r="T15" i="4"/>
  <c r="T14" i="4"/>
  <c r="T13" i="4"/>
  <c r="T12" i="4"/>
  <c r="T11" i="4"/>
  <c r="T10" i="4"/>
  <c r="T9" i="4"/>
  <c r="T8" i="4"/>
  <c r="T7" i="4"/>
  <c r="T6" i="4"/>
  <c r="P5" i="4"/>
  <c r="AF45" i="4"/>
  <c r="P45" i="4" s="1"/>
  <c r="AF42" i="4"/>
  <c r="P42" i="4" s="1"/>
  <c r="AF38" i="4"/>
  <c r="P38" i="4" s="1"/>
  <c r="AF34" i="4"/>
  <c r="P34" i="4" s="1"/>
  <c r="AF30" i="4"/>
  <c r="P30" i="4" s="1"/>
  <c r="AF26" i="4"/>
  <c r="P26" i="4" s="1"/>
  <c r="AF22" i="4"/>
  <c r="P22" i="4" s="1"/>
  <c r="AF18" i="4"/>
  <c r="P18" i="4" s="1"/>
  <c r="AF14" i="4"/>
  <c r="AF10" i="4"/>
  <c r="P10" i="4" s="1"/>
  <c r="N5" i="4"/>
  <c r="AF9" i="4"/>
  <c r="P9" i="4" s="1"/>
  <c r="AF44" i="4"/>
  <c r="P44" i="4" s="1"/>
  <c r="AF41" i="4"/>
  <c r="AF37" i="4"/>
  <c r="P37" i="4" s="1"/>
  <c r="AF33" i="4"/>
  <c r="P33" i="4" s="1"/>
  <c r="AF29" i="4"/>
  <c r="P29" i="4" s="1"/>
  <c r="AF25" i="4"/>
  <c r="P25" i="4" s="1"/>
  <c r="AF21" i="4"/>
  <c r="P21" i="4" s="1"/>
  <c r="AF17" i="4"/>
  <c r="P17" i="4" s="1"/>
  <c r="AF15" i="4"/>
  <c r="P15" i="4" s="1"/>
  <c r="AF11" i="4"/>
  <c r="P11" i="4" s="1"/>
  <c r="AF6" i="4"/>
  <c r="P6" i="4" s="1"/>
  <c r="AF47" i="4"/>
  <c r="P47" i="4" s="1"/>
  <c r="AF40" i="4"/>
  <c r="P40" i="4" s="1"/>
  <c r="AF36" i="4"/>
  <c r="P36" i="4" s="1"/>
  <c r="AF32" i="4"/>
  <c r="P32" i="4" s="1"/>
  <c r="AF28" i="4"/>
  <c r="P28" i="4" s="1"/>
  <c r="AF24" i="4"/>
  <c r="P24" i="4" s="1"/>
  <c r="AF20" i="4"/>
  <c r="P20" i="4" s="1"/>
  <c r="AF16" i="4"/>
  <c r="P16" i="4" s="1"/>
  <c r="AF12" i="4"/>
  <c r="P12" i="4" s="1"/>
  <c r="AF7" i="4"/>
  <c r="P7" i="4" s="1"/>
  <c r="AF46" i="4"/>
  <c r="P46" i="4" s="1"/>
  <c r="AF43" i="4"/>
  <c r="P43" i="4" s="1"/>
  <c r="AF39" i="4"/>
  <c r="P39" i="4" s="1"/>
  <c r="AF35" i="4"/>
  <c r="P35" i="4" s="1"/>
  <c r="AF31" i="4"/>
  <c r="P31" i="4" s="1"/>
  <c r="AF27" i="4"/>
  <c r="P27" i="4" s="1"/>
  <c r="AF23" i="4"/>
  <c r="P23" i="4" s="1"/>
  <c r="AF19" i="4"/>
  <c r="P19" i="4" s="1"/>
  <c r="AF13" i="4"/>
  <c r="P13" i="4" s="1"/>
  <c r="AF8" i="4"/>
  <c r="P8" i="4" s="1"/>
  <c r="AB28" i="4"/>
  <c r="AF54" i="4"/>
  <c r="AF53" i="4"/>
  <c r="P53" i="4" s="1"/>
  <c r="AF52" i="4"/>
  <c r="P52" i="4" s="1"/>
  <c r="AF51" i="4"/>
  <c r="AF50" i="4"/>
  <c r="P50" i="4" s="1"/>
  <c r="AF49" i="4"/>
  <c r="P49" i="4" s="1"/>
  <c r="AF48" i="4"/>
  <c r="P48" i="4" s="1"/>
  <c r="AP54" i="5" l="1"/>
  <c r="AD14" i="4"/>
  <c r="BV9" i="41"/>
  <c r="BT20" i="41"/>
  <c r="BT31" i="41"/>
  <c r="BT35" i="41"/>
  <c r="BT15" i="41"/>
  <c r="BT40" i="41"/>
  <c r="BT23" i="41"/>
  <c r="BT36" i="41"/>
  <c r="BT24" i="41"/>
  <c r="BT19" i="41"/>
  <c r="BT39" i="41"/>
  <c r="BV10" i="41"/>
  <c r="BV55" i="41"/>
  <c r="BV28" i="41"/>
  <c r="BV16" i="41"/>
  <c r="BV11" i="41"/>
  <c r="BV43" i="41"/>
  <c r="BV34" i="41"/>
  <c r="BV42" i="41"/>
  <c r="BT30" i="41"/>
  <c r="BV37" i="41"/>
  <c r="BT12" i="41"/>
  <c r="BT44" i="41"/>
  <c r="BT32" i="41"/>
  <c r="BT27" i="41"/>
  <c r="BT25" i="41"/>
  <c r="BV26" i="41"/>
  <c r="BV17" i="41"/>
  <c r="BT13" i="41"/>
  <c r="BT29" i="41"/>
  <c r="BT41" i="41"/>
  <c r="BT38" i="41"/>
  <c r="BV18" i="41"/>
  <c r="BT45" i="41"/>
  <c r="BT22" i="41"/>
  <c r="BV21" i="41"/>
  <c r="BV14" i="41"/>
  <c r="BT33" i="41"/>
  <c r="AA11" i="4"/>
  <c r="BT51" i="41"/>
  <c r="BV46" i="41"/>
  <c r="BT46" i="41"/>
  <c r="BV53" i="41"/>
  <c r="BT53" i="41"/>
  <c r="BV54" i="41"/>
  <c r="BT54" i="41"/>
  <c r="BV48" i="41"/>
  <c r="BT48" i="41"/>
  <c r="BV49" i="41"/>
  <c r="BT49" i="41"/>
  <c r="BV52" i="41"/>
  <c r="BT52" i="41"/>
  <c r="ET6" i="1"/>
  <c r="ET4" i="1" s="1"/>
  <c r="ET7" i="1" s="1"/>
  <c r="BV47" i="41"/>
  <c r="BT47" i="41"/>
  <c r="BV50" i="41"/>
  <c r="BT50" i="41"/>
  <c r="BV7" i="41"/>
  <c r="BV8" i="41"/>
  <c r="BG6" i="21"/>
  <c r="O17" i="9" s="1"/>
  <c r="AC14" i="4"/>
  <c r="P14" i="4"/>
  <c r="AC16" i="4"/>
  <c r="AB27" i="4"/>
  <c r="AA54" i="4"/>
  <c r="P54" i="4"/>
  <c r="AB20" i="4"/>
  <c r="AD41" i="4"/>
  <c r="P41" i="4"/>
  <c r="AD51" i="4"/>
  <c r="P51" i="4"/>
  <c r="AA31" i="4"/>
  <c r="AC36" i="4"/>
  <c r="AC25" i="4"/>
  <c r="AA38" i="4"/>
  <c r="AD28" i="4"/>
  <c r="AA7" i="4"/>
  <c r="AA23" i="4"/>
  <c r="AA53" i="4"/>
  <c r="AA14" i="4"/>
  <c r="AD17" i="4"/>
  <c r="AB33" i="4"/>
  <c r="AC8" i="4"/>
  <c r="AB43" i="4"/>
  <c r="AB8" i="4"/>
  <c r="AC26" i="4"/>
  <c r="AA12" i="4"/>
  <c r="AB17" i="4"/>
  <c r="AA39" i="4"/>
  <c r="AC45" i="4"/>
  <c r="AD26" i="4"/>
  <c r="AA26" i="4"/>
  <c r="AC49" i="4"/>
  <c r="AC33" i="4"/>
  <c r="AB30" i="4"/>
  <c r="AA47" i="4"/>
  <c r="AA8" i="4"/>
  <c r="AA42" i="4"/>
  <c r="AC38" i="4"/>
  <c r="AD11" i="4"/>
  <c r="AC24" i="4"/>
  <c r="AA44" i="4"/>
  <c r="AC44" i="4"/>
  <c r="AA22" i="4"/>
  <c r="AC42" i="4"/>
  <c r="AA15" i="4"/>
  <c r="AC46" i="4"/>
  <c r="AB38" i="4"/>
  <c r="AD10" i="4"/>
  <c r="AC22" i="4"/>
  <c r="AD30" i="4"/>
  <c r="AD42" i="4"/>
  <c r="AD47" i="4"/>
  <c r="AB19" i="4"/>
  <c r="AB35" i="4"/>
  <c r="AC9" i="4"/>
  <c r="AB22" i="4"/>
  <c r="AC30" i="4"/>
  <c r="AA9" i="4"/>
  <c r="AA20" i="4"/>
  <c r="AA36" i="4"/>
  <c r="AC12" i="4"/>
  <c r="AA51" i="4"/>
  <c r="AB45" i="4"/>
  <c r="AC28" i="4"/>
  <c r="AD36" i="4"/>
  <c r="AC20" i="4"/>
  <c r="AB44" i="4"/>
  <c r="AB50" i="4"/>
  <c r="AC54" i="4"/>
  <c r="AA25" i="4"/>
  <c r="AC37" i="4"/>
  <c r="AD18" i="4"/>
  <c r="AD22" i="4"/>
  <c r="AA30" i="4"/>
  <c r="AD34" i="4"/>
  <c r="AD38" i="4"/>
  <c r="AA45" i="4"/>
  <c r="AB47" i="4"/>
  <c r="AA19" i="4"/>
  <c r="AA27" i="4"/>
  <c r="AA35" i="4"/>
  <c r="AA43" i="4"/>
  <c r="AB9" i="4"/>
  <c r="AD20" i="4"/>
  <c r="AA16" i="4"/>
  <c r="AB11" i="4"/>
  <c r="AC17" i="4"/>
  <c r="AD25" i="4"/>
  <c r="AD33" i="4"/>
  <c r="AA41" i="4"/>
  <c r="AA49" i="4"/>
  <c r="AA28" i="4"/>
  <c r="AC53" i="4"/>
  <c r="AD8" i="4"/>
  <c r="AD44" i="4"/>
  <c r="AA33" i="4"/>
  <c r="AC18" i="4"/>
  <c r="AC34" i="4"/>
  <c r="AB49" i="4"/>
  <c r="AD53" i="4"/>
  <c r="AA6" i="4"/>
  <c r="AC51" i="4"/>
  <c r="AA17" i="4"/>
  <c r="AC29" i="4"/>
  <c r="AC41" i="4"/>
  <c r="AD45" i="4"/>
  <c r="AB36" i="4"/>
  <c r="AC47" i="4"/>
  <c r="AD19" i="4"/>
  <c r="AD27" i="4"/>
  <c r="AD35" i="4"/>
  <c r="AD43" i="4"/>
  <c r="AD9" i="4"/>
  <c r="AD12" i="4"/>
  <c r="AA18" i="4"/>
  <c r="AA34" i="4"/>
  <c r="AC19" i="4"/>
  <c r="AC27" i="4"/>
  <c r="AC35" i="4"/>
  <c r="AC43" i="4"/>
  <c r="AB53" i="4"/>
  <c r="AB14" i="4"/>
  <c r="AC6" i="4"/>
  <c r="AJ54" i="5"/>
  <c r="AN54" i="5"/>
  <c r="AK54" i="5"/>
  <c r="AL54" i="5"/>
  <c r="AM54" i="5"/>
  <c r="AO54" i="5"/>
  <c r="AD6" i="4"/>
  <c r="AB13" i="4"/>
  <c r="AC13" i="4"/>
  <c r="AD13" i="4"/>
  <c r="AC21" i="4"/>
  <c r="AB21" i="4"/>
  <c r="AD21" i="4"/>
  <c r="AB29" i="4"/>
  <c r="AD29" i="4"/>
  <c r="AA29" i="4"/>
  <c r="AB37" i="4"/>
  <c r="AD37" i="4"/>
  <c r="AA37" i="4"/>
  <c r="AB7" i="4"/>
  <c r="AC7" i="4"/>
  <c r="AD7" i="4"/>
  <c r="AA24" i="4"/>
  <c r="AB24" i="4"/>
  <c r="AD24" i="4"/>
  <c r="AA32" i="4"/>
  <c r="AB32" i="4"/>
  <c r="AD32" i="4"/>
  <c r="AA40" i="4"/>
  <c r="AB40" i="4"/>
  <c r="AD40" i="4"/>
  <c r="AC52" i="4"/>
  <c r="AA52" i="4"/>
  <c r="AB52" i="4"/>
  <c r="AB10" i="4"/>
  <c r="AA10" i="4"/>
  <c r="AB15" i="4"/>
  <c r="AC15" i="4"/>
  <c r="AD15" i="4"/>
  <c r="AC23" i="4"/>
  <c r="AB23" i="4"/>
  <c r="AD23" i="4"/>
  <c r="AC31" i="4"/>
  <c r="AB31" i="4"/>
  <c r="AD31" i="4"/>
  <c r="AC39" i="4"/>
  <c r="AB39" i="4"/>
  <c r="AD39" i="4"/>
  <c r="AA46" i="4"/>
  <c r="AB46" i="4"/>
  <c r="AD46" i="4"/>
  <c r="AB16" i="4"/>
  <c r="AD16" i="4"/>
  <c r="AA21" i="4"/>
  <c r="AC40" i="4"/>
  <c r="AC32" i="4"/>
  <c r="AC10" i="4"/>
  <c r="AB51" i="4"/>
  <c r="AD52" i="4"/>
  <c r="AA48" i="4"/>
  <c r="AC48" i="4"/>
  <c r="AA13" i="4"/>
  <c r="O13" i="4" s="1"/>
  <c r="AB48" i="4"/>
  <c r="AB12" i="4"/>
  <c r="AB25" i="4"/>
  <c r="AB18" i="4"/>
  <c r="AB26" i="4"/>
  <c r="AB34" i="4"/>
  <c r="AB42" i="4"/>
  <c r="AC11" i="4"/>
  <c r="AD49" i="4"/>
  <c r="AB41" i="4"/>
  <c r="AB6" i="4"/>
  <c r="AD50" i="4"/>
  <c r="AD54" i="4"/>
  <c r="AC50" i="4"/>
  <c r="AD48" i="4"/>
  <c r="AA50" i="4"/>
  <c r="AB54" i="4"/>
  <c r="AI54" i="5" l="1"/>
  <c r="U54" i="5"/>
  <c r="W54" i="5" s="1"/>
  <c r="O21" i="4"/>
  <c r="O28" i="4"/>
  <c r="O41" i="4"/>
  <c r="O11" i="4"/>
  <c r="O30" i="4"/>
  <c r="O9" i="4"/>
  <c r="O43" i="4"/>
  <c r="O53" i="4"/>
  <c r="O50" i="4"/>
  <c r="O24" i="4"/>
  <c r="O32" i="4"/>
  <c r="O17" i="4"/>
  <c r="O37" i="4"/>
  <c r="O18" i="4"/>
  <c r="O49" i="4"/>
  <c r="O19" i="4"/>
  <c r="O20" i="4"/>
  <c r="O22" i="4"/>
  <c r="O47" i="4"/>
  <c r="O26" i="4"/>
  <c r="O14" i="4"/>
  <c r="O31" i="4"/>
  <c r="O54" i="4"/>
  <c r="O51" i="4"/>
  <c r="O38" i="4"/>
  <c r="O40" i="4"/>
  <c r="Z53" i="4"/>
  <c r="O16" i="4"/>
  <c r="O35" i="4"/>
  <c r="O45" i="4"/>
  <c r="O15" i="4"/>
  <c r="O44" i="4"/>
  <c r="O42" i="4"/>
  <c r="O23" i="4"/>
  <c r="O25" i="4"/>
  <c r="O12" i="4"/>
  <c r="O46" i="4"/>
  <c r="O52" i="4"/>
  <c r="O48" i="4"/>
  <c r="O10" i="4"/>
  <c r="O29" i="4"/>
  <c r="O34" i="4"/>
  <c r="O33" i="4"/>
  <c r="O27" i="4"/>
  <c r="O36" i="4"/>
  <c r="O8" i="4"/>
  <c r="O39" i="4"/>
  <c r="O6" i="4"/>
  <c r="O7" i="4"/>
  <c r="Z14" i="4"/>
  <c r="Z54" i="4"/>
  <c r="Z48" i="4"/>
  <c r="Z31" i="4"/>
  <c r="Z23" i="4"/>
  <c r="Z10" i="4"/>
  <c r="Z7" i="4"/>
  <c r="Z29" i="4"/>
  <c r="Z35" i="4"/>
  <c r="Z45" i="4"/>
  <c r="Z36" i="4"/>
  <c r="Z15" i="4"/>
  <c r="Z42" i="4"/>
  <c r="Z50" i="4"/>
  <c r="Z37" i="4"/>
  <c r="Z27" i="4"/>
  <c r="Z38" i="4"/>
  <c r="Z28" i="4"/>
  <c r="Z16" i="4"/>
  <c r="Z44" i="4"/>
  <c r="Z24" i="4"/>
  <c r="Z34" i="4"/>
  <c r="Z6" i="4"/>
  <c r="Z49" i="4"/>
  <c r="Z51" i="4"/>
  <c r="Z8" i="4"/>
  <c r="Z39" i="4"/>
  <c r="Z13" i="4"/>
  <c r="Z21" i="4"/>
  <c r="Z32" i="4"/>
  <c r="Z18" i="4"/>
  <c r="Z17" i="4"/>
  <c r="Z33" i="4"/>
  <c r="Z19" i="4"/>
  <c r="Z20" i="4"/>
  <c r="Z22" i="4"/>
  <c r="Z47" i="4"/>
  <c r="Z26" i="4"/>
  <c r="Z11" i="4"/>
  <c r="Z46" i="4"/>
  <c r="Z52" i="4"/>
  <c r="Z40" i="4"/>
  <c r="Z41" i="4"/>
  <c r="Z43" i="4"/>
  <c r="Z30" i="4"/>
  <c r="Z25" i="4"/>
  <c r="Z9" i="4"/>
  <c r="Z12" i="4"/>
  <c r="O5" i="4"/>
  <c r="B1" i="23" l="1"/>
  <c r="B1" i="22"/>
  <c r="B1" i="21"/>
  <c r="B1" i="15"/>
  <c r="B1" i="14"/>
  <c r="B1" i="13"/>
  <c r="F57" i="28"/>
  <c r="F56" i="28"/>
  <c r="F55" i="28"/>
  <c r="F54" i="28"/>
  <c r="F47" i="28"/>
  <c r="F50" i="28"/>
  <c r="AT7" i="3"/>
  <c r="AT8" i="3"/>
  <c r="AT9" i="3"/>
  <c r="AT10" i="3"/>
  <c r="AT11" i="3"/>
  <c r="AT12" i="3"/>
  <c r="AT13" i="3"/>
  <c r="AT14" i="3"/>
  <c r="AT15" i="3"/>
  <c r="AT16" i="3"/>
  <c r="AT17" i="3"/>
  <c r="AT18" i="3"/>
  <c r="AT19" i="3"/>
  <c r="AT20" i="3"/>
  <c r="AT21" i="3"/>
  <c r="AT22" i="3"/>
  <c r="AT23" i="3"/>
  <c r="AT24" i="3"/>
  <c r="AT25" i="3"/>
  <c r="AT26" i="3"/>
  <c r="AT27" i="3"/>
  <c r="AT28" i="3"/>
  <c r="AT29" i="3"/>
  <c r="AT30" i="3"/>
  <c r="AT31" i="3"/>
  <c r="AT32" i="3"/>
  <c r="AT33" i="3"/>
  <c r="AT34" i="3"/>
  <c r="AT35" i="3"/>
  <c r="AT36" i="3"/>
  <c r="AT37" i="3"/>
  <c r="AT38" i="3"/>
  <c r="AT39" i="3"/>
  <c r="AT40" i="3"/>
  <c r="AT41" i="3"/>
  <c r="AT42" i="3"/>
  <c r="AT43" i="3"/>
  <c r="AT44" i="3"/>
  <c r="AT45" i="3"/>
  <c r="AT46" i="3"/>
  <c r="AT47" i="3"/>
  <c r="AT48" i="3"/>
  <c r="AT49" i="3"/>
  <c r="AT50" i="3"/>
  <c r="AT51" i="3"/>
  <c r="AT52" i="3"/>
  <c r="AT53" i="3"/>
  <c r="AT54" i="3"/>
  <c r="AT55" i="3"/>
  <c r="AT6" i="3"/>
  <c r="D24" i="28" s="1"/>
  <c r="T8" i="38" l="1"/>
  <c r="P8" i="38"/>
  <c r="Q8" i="38" s="1"/>
  <c r="F8" i="38"/>
  <c r="E8" i="38"/>
  <c r="R8" i="38" l="1"/>
  <c r="S8" i="38"/>
  <c r="G8" i="38" l="1"/>
  <c r="I8" i="38"/>
  <c r="J8" i="38"/>
  <c r="CL16" i="16"/>
  <c r="CQ16" i="16" s="1"/>
  <c r="CJ27" i="16"/>
  <c r="AN27" i="41" s="1"/>
  <c r="CN37" i="16"/>
  <c r="CR37" i="16" s="1"/>
  <c r="CL48" i="16"/>
  <c r="CQ48" i="16" s="1"/>
  <c r="CL9" i="16"/>
  <c r="CQ9" i="16" s="1"/>
  <c r="CJ20" i="16"/>
  <c r="AN20" i="41" s="1"/>
  <c r="CN30" i="16"/>
  <c r="CR30" i="16" s="1"/>
  <c r="CL41" i="16"/>
  <c r="CQ41" i="16" s="1"/>
  <c r="CJ52" i="16"/>
  <c r="AN52" i="41" s="1"/>
  <c r="AL31" i="22"/>
  <c r="AP31" i="22" s="1"/>
  <c r="AK7" i="27"/>
  <c r="BI8" i="41" s="1"/>
  <c r="AJ6" i="23"/>
  <c r="AO6" i="23" s="1"/>
  <c r="AH44" i="36"/>
  <c r="BC45" i="41" s="1"/>
  <c r="AK19" i="35"/>
  <c r="AZ20" i="41" s="1"/>
  <c r="AU27" i="15"/>
  <c r="AY27" i="15" s="1"/>
  <c r="AH24" i="36"/>
  <c r="BC25" i="41" s="1"/>
  <c r="AE25" i="17"/>
  <c r="AQ26" i="41" s="1"/>
  <c r="AY40" i="13"/>
  <c r="BC40" i="13" s="1"/>
  <c r="AW19" i="13"/>
  <c r="BB19" i="13" s="1"/>
  <c r="AY22" i="26"/>
  <c r="BD22" i="26" s="1"/>
  <c r="AS43" i="34"/>
  <c r="AW43" i="34" s="1"/>
  <c r="BH43" i="11"/>
  <c r="BL43" i="11" s="1"/>
  <c r="AL47" i="7"/>
  <c r="AQ47" i="7" s="1"/>
  <c r="DZ12" i="1"/>
  <c r="ED12" i="1" s="1"/>
  <c r="DZ44" i="1"/>
  <c r="ED44" i="1" s="1"/>
  <c r="DX29" i="1"/>
  <c r="EC29" i="1" s="1"/>
  <c r="DV14" i="1"/>
  <c r="G14" i="41" s="1"/>
  <c r="DV46" i="1"/>
  <c r="G46" i="41" s="1"/>
  <c r="AH25" i="21"/>
  <c r="BL26" i="41" s="1"/>
  <c r="AJ41" i="36"/>
  <c r="AO41" i="36" s="1"/>
  <c r="AK43" i="35"/>
  <c r="AZ44" i="41" s="1"/>
  <c r="AS6" i="19"/>
  <c r="AX6" i="19" s="1"/>
  <c r="AE17" i="17"/>
  <c r="AQ18" i="41" s="1"/>
  <c r="AU19" i="14"/>
  <c r="AY19" i="14" s="1"/>
  <c r="AW45" i="13"/>
  <c r="BB45" i="13" s="1"/>
  <c r="AU28" i="13"/>
  <c r="AE29" i="41" s="1"/>
  <c r="AW15" i="13"/>
  <c r="BB15" i="13" s="1"/>
  <c r="BA19" i="26"/>
  <c r="BE19" i="26" s="1"/>
  <c r="AQ16" i="12"/>
  <c r="AV16" i="12" s="1"/>
  <c r="AS27" i="34"/>
  <c r="AW27" i="34" s="1"/>
  <c r="AN9" i="33"/>
  <c r="S10" i="41" s="1"/>
  <c r="AZ35" i="10"/>
  <c r="BD35" i="10" s="1"/>
  <c r="AL39" i="7"/>
  <c r="AQ39" i="7" s="1"/>
  <c r="AL11" i="7"/>
  <c r="AQ11" i="7" s="1"/>
  <c r="DZ29" i="1"/>
  <c r="ED29" i="1" s="1"/>
  <c r="DZ50" i="1"/>
  <c r="ED50" i="1" s="1"/>
  <c r="DX24" i="1"/>
  <c r="EC24" i="1" s="1"/>
  <c r="DX46" i="1"/>
  <c r="EC46" i="1" s="1"/>
  <c r="DV15" i="1"/>
  <c r="G15" i="41" s="1"/>
  <c r="DV36" i="1"/>
  <c r="G36" i="41" s="1"/>
  <c r="AL19" i="23"/>
  <c r="AP19" i="23" s="1"/>
  <c r="AO25" i="27"/>
  <c r="AS25" i="27" s="1"/>
  <c r="AJ49" i="36"/>
  <c r="AO49" i="36" s="1"/>
  <c r="AL32" i="36"/>
  <c r="AP32" i="36" s="1"/>
  <c r="AJ25" i="36"/>
  <c r="AO25" i="36" s="1"/>
  <c r="AH14" i="36"/>
  <c r="BC15" i="41" s="1"/>
  <c r="AK35" i="35"/>
  <c r="AZ36" i="41" s="1"/>
  <c r="AU43" i="19"/>
  <c r="AY43" i="19" s="1"/>
  <c r="AS34" i="18"/>
  <c r="AX34" i="18" s="1"/>
  <c r="AG30" i="17"/>
  <c r="AL30" i="17" s="1"/>
  <c r="AU43" i="15"/>
  <c r="AY43" i="15" s="1"/>
  <c r="AU11" i="15"/>
  <c r="AY11" i="15" s="1"/>
  <c r="AS30" i="14"/>
  <c r="AX30" i="14" s="1"/>
  <c r="AU52" i="13"/>
  <c r="AE53" i="41" s="1"/>
  <c r="AU48" i="13"/>
  <c r="AE49" i="41" s="1"/>
  <c r="AW39" i="13"/>
  <c r="BB39" i="13" s="1"/>
  <c r="AY30" i="13"/>
  <c r="BC30" i="13" s="1"/>
  <c r="AY26" i="13"/>
  <c r="BC26" i="13" s="1"/>
  <c r="AU18" i="13"/>
  <c r="AE19" i="41" s="1"/>
  <c r="AW9" i="13"/>
  <c r="BB9" i="13" s="1"/>
  <c r="AW5" i="13"/>
  <c r="BB5" i="13" s="1"/>
  <c r="AY30" i="26"/>
  <c r="BD30" i="26" s="1"/>
  <c r="AO35" i="12"/>
  <c r="Y36" i="41" s="1"/>
  <c r="AQ18" i="12"/>
  <c r="AV18" i="12" s="1"/>
  <c r="AQ38" i="34"/>
  <c r="AV38" i="34" s="1"/>
  <c r="AO9" i="34"/>
  <c r="V10" i="41" s="1"/>
  <c r="AN33" i="33"/>
  <c r="S34" i="41" s="1"/>
  <c r="BF38" i="11"/>
  <c r="BK38" i="11" s="1"/>
  <c r="BD9" i="11"/>
  <c r="P10" i="41" s="1"/>
  <c r="AV33" i="10"/>
  <c r="M34" i="41" s="1"/>
  <c r="AN44" i="7"/>
  <c r="AR44" i="7" s="1"/>
  <c r="AJ30" i="7"/>
  <c r="J31" i="41" s="1"/>
  <c r="AN16" i="7"/>
  <c r="AR16" i="7" s="1"/>
  <c r="DZ8" i="1"/>
  <c r="ED8" i="1" s="1"/>
  <c r="DZ19" i="1"/>
  <c r="ED19" i="1" s="1"/>
  <c r="DZ30" i="1"/>
  <c r="ED30" i="1" s="1"/>
  <c r="DZ41" i="1"/>
  <c r="ED41" i="1" s="1"/>
  <c r="DZ51" i="1"/>
  <c r="ED51" i="1" s="1"/>
  <c r="DX15" i="1"/>
  <c r="EC15" i="1" s="1"/>
  <c r="DX26" i="1"/>
  <c r="EC26" i="1" s="1"/>
  <c r="DX36" i="1"/>
  <c r="EC36" i="1" s="1"/>
  <c r="DX47" i="1"/>
  <c r="EC47" i="1" s="1"/>
  <c r="DV11" i="1"/>
  <c r="G11" i="41" s="1"/>
  <c r="DV21" i="1"/>
  <c r="G21" i="41" s="1"/>
  <c r="DV32" i="1"/>
  <c r="G32" i="41" s="1"/>
  <c r="DV43" i="1"/>
  <c r="G43" i="41" s="1"/>
  <c r="DV53" i="1"/>
  <c r="G53" i="41" s="1"/>
  <c r="AL35" i="21"/>
  <c r="AP35" i="21" s="1"/>
  <c r="AK23" i="27"/>
  <c r="BI24" i="41" s="1"/>
  <c r="AL11" i="20"/>
  <c r="AP11" i="20" s="1"/>
  <c r="AH50" i="36"/>
  <c r="BC51" i="41" s="1"/>
  <c r="AH36" i="36"/>
  <c r="BC37" i="41" s="1"/>
  <c r="AH28" i="36"/>
  <c r="BC29" i="41" s="1"/>
  <c r="AL16" i="36"/>
  <c r="AP16" i="36" s="1"/>
  <c r="AJ5" i="36"/>
  <c r="AO5" i="36" s="1"/>
  <c r="AO13" i="35"/>
  <c r="AS13" i="35" s="1"/>
  <c r="AQ17" i="19"/>
  <c r="AW18" i="41" s="1"/>
  <c r="AS10" i="18"/>
  <c r="AX10" i="18" s="1"/>
  <c r="AI27" i="17"/>
  <c r="AM27" i="17" s="1"/>
  <c r="AQ41" i="15"/>
  <c r="AK42" i="41" s="1"/>
  <c r="AS6" i="15"/>
  <c r="AX6" i="15" s="1"/>
  <c r="AU27" i="14"/>
  <c r="AY27" i="14" s="1"/>
  <c r="AY54" i="13"/>
  <c r="BC54" i="13" s="1"/>
  <c r="AY50" i="13"/>
  <c r="BC50" i="13" s="1"/>
  <c r="AU42" i="13"/>
  <c r="AE43" i="41" s="1"/>
  <c r="AW33" i="13"/>
  <c r="BB33" i="13" s="1"/>
  <c r="AW29" i="13"/>
  <c r="BB29" i="13" s="1"/>
  <c r="AY20" i="13"/>
  <c r="BC20" i="13" s="1"/>
  <c r="AU12" i="13"/>
  <c r="AE13" i="41" s="1"/>
  <c r="AU8" i="13"/>
  <c r="AE9" i="41" s="1"/>
  <c r="BA27" i="26"/>
  <c r="BE27" i="26" s="1"/>
  <c r="AO27" i="12"/>
  <c r="Y28" i="41" s="1"/>
  <c r="AO19" i="12"/>
  <c r="Y20" i="41" s="1"/>
  <c r="AS35" i="34"/>
  <c r="AW35" i="34" s="1"/>
  <c r="AQ6" i="34"/>
  <c r="AV6" i="34" s="1"/>
  <c r="AP30" i="33"/>
  <c r="AU30" i="33" s="1"/>
  <c r="BH35" i="11"/>
  <c r="BL35" i="11" s="1"/>
  <c r="BF6" i="11"/>
  <c r="BK6" i="11" s="1"/>
  <c r="AX30" i="10"/>
  <c r="BC30" i="10" s="1"/>
  <c r="AL43" i="7"/>
  <c r="AQ43" i="7" s="1"/>
  <c r="AN28" i="7"/>
  <c r="AR28" i="7" s="1"/>
  <c r="AJ14" i="7"/>
  <c r="J15" i="41" s="1"/>
  <c r="DZ10" i="1"/>
  <c r="ED10" i="1" s="1"/>
  <c r="DZ21" i="1"/>
  <c r="ED21" i="1" s="1"/>
  <c r="DZ31" i="1"/>
  <c r="ED31" i="1" s="1"/>
  <c r="DZ42" i="1"/>
  <c r="ED42" i="1" s="1"/>
  <c r="DZ53" i="1"/>
  <c r="ED53" i="1" s="1"/>
  <c r="DX16" i="1"/>
  <c r="EC16" i="1" s="1"/>
  <c r="DX27" i="1"/>
  <c r="EC27" i="1" s="1"/>
  <c r="DX38" i="1"/>
  <c r="EC38" i="1" s="1"/>
  <c r="DX48" i="1"/>
  <c r="EC48" i="1" s="1"/>
  <c r="DV12" i="1"/>
  <c r="G12" i="41" s="1"/>
  <c r="AH33" i="20"/>
  <c r="BF34" i="41" s="1"/>
  <c r="AS14" i="19"/>
  <c r="AX14" i="19" s="1"/>
  <c r="AE41" i="17"/>
  <c r="AQ42" i="41" s="1"/>
  <c r="AS38" i="14"/>
  <c r="AX38" i="14" s="1"/>
  <c r="AY44" i="13"/>
  <c r="BC44" i="13" s="1"/>
  <c r="AY10" i="13"/>
  <c r="BC10" i="13" s="1"/>
  <c r="AQ46" i="34"/>
  <c r="AV46" i="34" s="1"/>
  <c r="AJ22" i="21"/>
  <c r="AO22" i="21" s="1"/>
  <c r="AH9" i="20"/>
  <c r="BF10" i="41" s="1"/>
  <c r="AH54" i="36"/>
  <c r="BC55" i="41" s="1"/>
  <c r="AL38" i="36"/>
  <c r="AP38" i="36" s="1"/>
  <c r="AJ17" i="36"/>
  <c r="AO17" i="36" s="1"/>
  <c r="AH6" i="36"/>
  <c r="BC7" i="41" s="1"/>
  <c r="AK27" i="35"/>
  <c r="AZ28" i="41" s="1"/>
  <c r="AU7" i="18"/>
  <c r="AY7" i="18" s="1"/>
  <c r="AI19" i="17"/>
  <c r="AM19" i="17" s="1"/>
  <c r="AQ17" i="15"/>
  <c r="AK18" i="41" s="1"/>
  <c r="AS22" i="14"/>
  <c r="AX22" i="14" s="1"/>
  <c r="AY46" i="13"/>
  <c r="BC46" i="13" s="1"/>
  <c r="AW21" i="13"/>
  <c r="BB21" i="13" s="1"/>
  <c r="AY12" i="13"/>
  <c r="BC12" i="13" s="1"/>
  <c r="AW25" i="26"/>
  <c r="AB26" i="41" s="1"/>
  <c r="AQ24" i="12"/>
  <c r="AV24" i="12" s="1"/>
  <c r="AS7" i="12"/>
  <c r="AW7" i="12" s="1"/>
  <c r="AQ30" i="34"/>
  <c r="AV30" i="34" s="1"/>
  <c r="AN41" i="33"/>
  <c r="S42" i="41" s="1"/>
  <c r="AZ11" i="10"/>
  <c r="BD11" i="10" s="1"/>
  <c r="AN40" i="7"/>
  <c r="AR40" i="7" s="1"/>
  <c r="AN12" i="7"/>
  <c r="AR12" i="7" s="1"/>
  <c r="DZ17" i="1"/>
  <c r="ED17" i="1" s="1"/>
  <c r="DZ38" i="1"/>
  <c r="ED38" i="1" s="1"/>
  <c r="DX12" i="1"/>
  <c r="EC12" i="1" s="1"/>
  <c r="DX34" i="1"/>
  <c r="EC34" i="1" s="1"/>
  <c r="DX55" i="1"/>
  <c r="EC55" i="1" s="1"/>
  <c r="DV19" i="1"/>
  <c r="G19" i="41" s="1"/>
  <c r="DV29" i="1"/>
  <c r="G29" i="41" s="1"/>
  <c r="DV40" i="1"/>
  <c r="G40" i="41" s="1"/>
  <c r="DV51" i="1"/>
  <c r="G51" i="41" s="1"/>
  <c r="AO41" i="27"/>
  <c r="AS41" i="27" s="1"/>
  <c r="AL40" i="36"/>
  <c r="AP40" i="36" s="1"/>
  <c r="AJ19" i="36"/>
  <c r="AO19" i="36" s="1"/>
  <c r="AH8" i="36"/>
  <c r="BC9" i="41" s="1"/>
  <c r="AO5" i="35"/>
  <c r="AS5" i="35" s="1"/>
  <c r="AS42" i="18"/>
  <c r="AX42" i="18" s="1"/>
  <c r="AU34" i="13"/>
  <c r="AE35" i="41" s="1"/>
  <c r="AW25" i="13"/>
  <c r="BB25" i="13" s="1"/>
  <c r="AL27" i="7"/>
  <c r="AQ27" i="7" s="1"/>
  <c r="DZ11" i="1"/>
  <c r="ED11" i="1" s="1"/>
  <c r="DZ43" i="1"/>
  <c r="ED43" i="1" s="1"/>
  <c r="DX23" i="1"/>
  <c r="EC23" i="1" s="1"/>
  <c r="DX50" i="1"/>
  <c r="EC50" i="1" s="1"/>
  <c r="DV23" i="1"/>
  <c r="G23" i="41" s="1"/>
  <c r="DV35" i="1"/>
  <c r="G35" i="41" s="1"/>
  <c r="DV49" i="1"/>
  <c r="G49" i="41" s="1"/>
  <c r="AW23" i="13"/>
  <c r="BB23" i="13" s="1"/>
  <c r="AQ32" i="12"/>
  <c r="AV32" i="12" s="1"/>
  <c r="BD17" i="11"/>
  <c r="P18" i="41" s="1"/>
  <c r="AV25" i="10"/>
  <c r="M26" i="41" s="1"/>
  <c r="DX18" i="1"/>
  <c r="EC18" i="1" s="1"/>
  <c r="DV13" i="1"/>
  <c r="G13" i="41" s="1"/>
  <c r="DV45" i="1"/>
  <c r="G45" i="41" s="1"/>
  <c r="AM12" i="27"/>
  <c r="AR12" i="27" s="1"/>
  <c r="AQ33" i="19"/>
  <c r="AW34" i="41" s="1"/>
  <c r="AY42" i="13"/>
  <c r="BC42" i="13" s="1"/>
  <c r="AO11" i="12"/>
  <c r="Y12" i="41" s="1"/>
  <c r="AN25" i="33"/>
  <c r="S26" i="41" s="1"/>
  <c r="BF46" i="11"/>
  <c r="BK46" i="11" s="1"/>
  <c r="AL19" i="7"/>
  <c r="AQ19" i="7" s="1"/>
  <c r="DZ22" i="1"/>
  <c r="ED22" i="1" s="1"/>
  <c r="DZ49" i="1"/>
  <c r="ED49" i="1" s="1"/>
  <c r="DX28" i="1"/>
  <c r="EC28" i="1" s="1"/>
  <c r="DV24" i="1"/>
  <c r="G24" i="41" s="1"/>
  <c r="DV39" i="1"/>
  <c r="G39" i="41" s="1"/>
  <c r="DV55" i="1"/>
  <c r="G55" i="41" s="1"/>
  <c r="AY14" i="13"/>
  <c r="BC14" i="13" s="1"/>
  <c r="AW9" i="26"/>
  <c r="AB10" i="41" s="1"/>
  <c r="AO29" i="12"/>
  <c r="Y30" i="41" s="1"/>
  <c r="AO17" i="34"/>
  <c r="V18" i="41" s="1"/>
  <c r="AR11" i="33"/>
  <c r="AV11" i="33" s="1"/>
  <c r="BF30" i="11"/>
  <c r="BK30" i="11" s="1"/>
  <c r="AV41" i="10"/>
  <c r="M42" i="41" s="1"/>
  <c r="AJ6" i="7"/>
  <c r="J7" i="41" s="1"/>
  <c r="DZ27" i="1"/>
  <c r="ED27" i="1" s="1"/>
  <c r="DZ54" i="1"/>
  <c r="ED54" i="1" s="1"/>
  <c r="DX39" i="1"/>
  <c r="EC39" i="1" s="1"/>
  <c r="DV28" i="1"/>
  <c r="G28" i="41" s="1"/>
  <c r="DV44" i="1"/>
  <c r="G44" i="41" s="1"/>
  <c r="AL22" i="36"/>
  <c r="AP22" i="36" s="1"/>
  <c r="AQ9" i="14"/>
  <c r="AH10" i="41" s="1"/>
  <c r="AU32" i="13"/>
  <c r="AE33" i="41" s="1"/>
  <c r="AJ34" i="7"/>
  <c r="J35" i="41" s="1"/>
  <c r="DZ33" i="1"/>
  <c r="ED33" i="1" s="1"/>
  <c r="DX44" i="1"/>
  <c r="EC44" i="1" s="1"/>
  <c r="DV33" i="1"/>
  <c r="G33" i="41" s="1"/>
  <c r="AL8" i="7"/>
  <c r="AQ8" i="7" s="1"/>
  <c r="AV46" i="10"/>
  <c r="M47" i="41" s="1"/>
  <c r="AN18" i="33"/>
  <c r="S19" i="41" s="1"/>
  <c r="AR53" i="33"/>
  <c r="AV53" i="33" s="1"/>
  <c r="AS33" i="12"/>
  <c r="AW33" i="12" s="1"/>
  <c r="AS48" i="15"/>
  <c r="AX48" i="15" s="1"/>
  <c r="AU17" i="18"/>
  <c r="AY17" i="18" s="1"/>
  <c r="AL49" i="21"/>
  <c r="AP49" i="21" s="1"/>
  <c r="AJ49" i="7"/>
  <c r="J50" i="41" s="1"/>
  <c r="AL54" i="7"/>
  <c r="AQ54" i="7" s="1"/>
  <c r="AX20" i="10"/>
  <c r="BC20" i="10" s="1"/>
  <c r="AX42" i="10"/>
  <c r="BC42" i="10" s="1"/>
  <c r="BH13" i="11"/>
  <c r="BL13" i="11" s="1"/>
  <c r="AP9" i="33"/>
  <c r="AU9" i="33" s="1"/>
  <c r="AN46" i="33"/>
  <c r="S47" i="41" s="1"/>
  <c r="AQ21" i="12"/>
  <c r="AV21" i="12" s="1"/>
  <c r="AY10" i="26"/>
  <c r="BD10" i="26" s="1"/>
  <c r="AS7" i="15"/>
  <c r="AX7" i="15" s="1"/>
  <c r="AS11" i="18"/>
  <c r="AX11" i="18" s="1"/>
  <c r="AL18" i="7"/>
  <c r="AQ18" i="7" s="1"/>
  <c r="AZ16" i="10"/>
  <c r="BD16" i="10" s="1"/>
  <c r="BH8" i="11"/>
  <c r="BL8" i="11" s="1"/>
  <c r="BF45" i="11"/>
  <c r="BK45" i="11" s="1"/>
  <c r="BH51" i="11"/>
  <c r="BL51" i="11" s="1"/>
  <c r="AN7" i="33"/>
  <c r="S8" i="41" s="1"/>
  <c r="AP26" i="33"/>
  <c r="AU26" i="33" s="1"/>
  <c r="AS44" i="14"/>
  <c r="AX44" i="14" s="1"/>
  <c r="AU49" i="14"/>
  <c r="AY49" i="14" s="1"/>
  <c r="AQ5" i="15"/>
  <c r="AK6" i="41" s="1"/>
  <c r="AH9" i="36"/>
  <c r="BC10" i="41" s="1"/>
  <c r="AM11" i="27"/>
  <c r="AR11" i="27" s="1"/>
  <c r="AZ22" i="10"/>
  <c r="BD22" i="10" s="1"/>
  <c r="AP48" i="33"/>
  <c r="AU48" i="33" s="1"/>
  <c r="AQ23" i="34"/>
  <c r="AV23" i="34" s="1"/>
  <c r="AQ8" i="14"/>
  <c r="AH9" i="41" s="1"/>
  <c r="AQ51" i="15"/>
  <c r="AK52" i="41" s="1"/>
  <c r="AQ19" i="18"/>
  <c r="AT20" i="41" s="1"/>
  <c r="AJ48" i="21"/>
  <c r="AO48" i="21" s="1"/>
  <c r="AL9" i="7"/>
  <c r="AQ9" i="7" s="1"/>
  <c r="AL36" i="7"/>
  <c r="AQ36" i="7" s="1"/>
  <c r="BA33" i="26"/>
  <c r="BE33" i="26" s="1"/>
  <c r="BA49" i="26"/>
  <c r="BE49" i="26" s="1"/>
  <c r="AU5" i="13"/>
  <c r="AE6" i="41" s="1"/>
  <c r="AQ14" i="14"/>
  <c r="AH15" i="41" s="1"/>
  <c r="AI8" i="17"/>
  <c r="AM8" i="17" s="1"/>
  <c r="AE14" i="17"/>
  <c r="AQ15" i="41" s="1"/>
  <c r="AJ20" i="20"/>
  <c r="AO20" i="20" s="1"/>
  <c r="AS36" i="18"/>
  <c r="AX36" i="18" s="1"/>
  <c r="AS24" i="19"/>
  <c r="AX24" i="19" s="1"/>
  <c r="AU50" i="19"/>
  <c r="AY50" i="19" s="1"/>
  <c r="AK7" i="35"/>
  <c r="AZ8" i="41" s="1"/>
  <c r="AL39" i="36"/>
  <c r="AP39" i="36" s="1"/>
  <c r="AL16" i="20"/>
  <c r="AP16" i="20" s="1"/>
  <c r="AJ48" i="20"/>
  <c r="AO48" i="20" s="1"/>
  <c r="AL53" i="20"/>
  <c r="AP53" i="20" s="1"/>
  <c r="AK9" i="27"/>
  <c r="BI10" i="41" s="1"/>
  <c r="AH48" i="22"/>
  <c r="BO49" i="41" s="1"/>
  <c r="AJ53" i="22"/>
  <c r="AO53" i="22" s="1"/>
  <c r="AN30" i="7"/>
  <c r="AR30" i="7" s="1"/>
  <c r="AZ10" i="10"/>
  <c r="BD10" i="10" s="1"/>
  <c r="AZ49" i="10"/>
  <c r="BD49" i="10" s="1"/>
  <c r="BH24" i="11"/>
  <c r="BL24" i="11" s="1"/>
  <c r="AN40" i="33"/>
  <c r="S41" i="41" s="1"/>
  <c r="AQ12" i="34"/>
  <c r="AV12" i="34" s="1"/>
  <c r="AS31" i="34"/>
  <c r="AW31" i="34" s="1"/>
  <c r="AO37" i="12"/>
  <c r="Y38" i="41" s="1"/>
  <c r="AQ42" i="12"/>
  <c r="AV42" i="12" s="1"/>
  <c r="AS47" i="12"/>
  <c r="AW47" i="12" s="1"/>
  <c r="AO53" i="12"/>
  <c r="Y54" i="41" s="1"/>
  <c r="AW24" i="26"/>
  <c r="AB25" i="41" s="1"/>
  <c r="BA44" i="26"/>
  <c r="BE44" i="26" s="1"/>
  <c r="AY45" i="13"/>
  <c r="BC45" i="13" s="1"/>
  <c r="AU23" i="14"/>
  <c r="AY23" i="14" s="1"/>
  <c r="AQ16" i="15"/>
  <c r="AK17" i="41" s="1"/>
  <c r="AE21" i="17"/>
  <c r="AQ22" i="41" s="1"/>
  <c r="AU32" i="18"/>
  <c r="AY32" i="18" s="1"/>
  <c r="AU20" i="19"/>
  <c r="AY20" i="19" s="1"/>
  <c r="AO24" i="35"/>
  <c r="AS24" i="35" s="1"/>
  <c r="AL6" i="20"/>
  <c r="AP6" i="20" s="1"/>
  <c r="AH38" i="20"/>
  <c r="BF39" i="41" s="1"/>
  <c r="AH46" i="20"/>
  <c r="BF47" i="41" s="1"/>
  <c r="AP19" i="33"/>
  <c r="AU19" i="33" s="1"/>
  <c r="AO27" i="34"/>
  <c r="V28" i="41" s="1"/>
  <c r="AO49" i="34"/>
  <c r="V50" i="41" s="1"/>
  <c r="AQ54" i="34"/>
  <c r="AV54" i="34" s="1"/>
  <c r="AW36" i="26"/>
  <c r="AB37" i="41" s="1"/>
  <c r="AW30" i="13"/>
  <c r="BB30" i="13" s="1"/>
  <c r="AQ36" i="14"/>
  <c r="AH37" i="41" s="1"/>
  <c r="AU13" i="15"/>
  <c r="AY13" i="15" s="1"/>
  <c r="AE15" i="17"/>
  <c r="AQ16" i="41" s="1"/>
  <c r="AG42" i="17"/>
  <c r="AL42" i="17" s="1"/>
  <c r="AQ12" i="19"/>
  <c r="AW13" i="41" s="1"/>
  <c r="AQ38" i="19"/>
  <c r="AW39" i="41" s="1"/>
  <c r="AS43" i="19"/>
  <c r="AX43" i="19" s="1"/>
  <c r="AM47" i="35"/>
  <c r="AR47" i="35" s="1"/>
  <c r="AO52" i="35"/>
  <c r="AS52" i="35" s="1"/>
  <c r="AJ34" i="20"/>
  <c r="AO34" i="20" s="1"/>
  <c r="AH19" i="21"/>
  <c r="BL20" i="41" s="1"/>
  <c r="AL50" i="23"/>
  <c r="AP50" i="23" s="1"/>
  <c r="AJ12" i="7"/>
  <c r="J13" i="41" s="1"/>
  <c r="AL25" i="7"/>
  <c r="AQ25" i="7" s="1"/>
  <c r="AL32" i="7"/>
  <c r="AQ32" i="7" s="1"/>
  <c r="AN45" i="7"/>
  <c r="AR45" i="7" s="1"/>
  <c r="AN50" i="7"/>
  <c r="AR50" i="7" s="1"/>
  <c r="AV6" i="10"/>
  <c r="M7" i="41" s="1"/>
  <c r="AV11" i="10"/>
  <c r="M12" i="41" s="1"/>
  <c r="AV28" i="10"/>
  <c r="M29" i="41" s="1"/>
  <c r="AX35" i="10"/>
  <c r="BC35" i="10" s="1"/>
  <c r="AX40" i="10"/>
  <c r="BC40" i="10" s="1"/>
  <c r="AX47" i="10"/>
  <c r="BC47" i="10" s="1"/>
  <c r="AZ52" i="10"/>
  <c r="BD52" i="10" s="1"/>
  <c r="BD10" i="11"/>
  <c r="P11" i="41" s="1"/>
  <c r="BD15" i="11"/>
  <c r="P16" i="41" s="1"/>
  <c r="BD21" i="11"/>
  <c r="P22" i="41" s="1"/>
  <c r="BF39" i="11"/>
  <c r="BK39" i="11" s="1"/>
  <c r="BF44" i="11"/>
  <c r="BK44" i="11" s="1"/>
  <c r="BF49" i="11"/>
  <c r="BK49" i="11" s="1"/>
  <c r="BH54" i="11"/>
  <c r="BL54" i="11" s="1"/>
  <c r="AR9" i="33"/>
  <c r="AV9" i="33" s="1"/>
  <c r="AR15" i="33"/>
  <c r="AV15" i="33" s="1"/>
  <c r="AN34" i="33"/>
  <c r="S35" i="41" s="1"/>
  <c r="AN39" i="33"/>
  <c r="S40" i="41" s="1"/>
  <c r="AN45" i="33"/>
  <c r="S46" i="41" s="1"/>
  <c r="AP51" i="33"/>
  <c r="AU51" i="33" s="1"/>
  <c r="AS7" i="34"/>
  <c r="AW7" i="34" s="1"/>
  <c r="AO14" i="34"/>
  <c r="V15" i="41" s="1"/>
  <c r="AS18" i="34"/>
  <c r="AW18" i="34" s="1"/>
  <c r="AO37" i="34"/>
  <c r="V38" i="41" s="1"/>
  <c r="AO43" i="34"/>
  <c r="V44" i="41" s="1"/>
  <c r="AO48" i="34"/>
  <c r="V49" i="41" s="1"/>
  <c r="AQ53" i="34"/>
  <c r="AV53" i="34" s="1"/>
  <c r="AO9" i="12"/>
  <c r="Y10" i="41" s="1"/>
  <c r="AS22" i="12"/>
  <c r="AW22" i="12" s="1"/>
  <c r="AQ29" i="12"/>
  <c r="AV29" i="12" s="1"/>
  <c r="BA15" i="26"/>
  <c r="BE15" i="26" s="1"/>
  <c r="BA21" i="26"/>
  <c r="BE21" i="26" s="1"/>
  <c r="BA26" i="26"/>
  <c r="BE26" i="26" s="1"/>
  <c r="AW34" i="26"/>
  <c r="AB35" i="41" s="1"/>
  <c r="BA38" i="26"/>
  <c r="BE38" i="26" s="1"/>
  <c r="AU11" i="13"/>
  <c r="AE12" i="41" s="1"/>
  <c r="AY23" i="13"/>
  <c r="BC23" i="13" s="1"/>
  <c r="AW38" i="13"/>
  <c r="BB38" i="13" s="1"/>
  <c r="AY53" i="13"/>
  <c r="BC53" i="13" s="1"/>
  <c r="AS9" i="14"/>
  <c r="AX9" i="14" s="1"/>
  <c r="AU26" i="14"/>
  <c r="AY26" i="14" s="1"/>
  <c r="AU33" i="14"/>
  <c r="AY33" i="14" s="1"/>
  <c r="AU38" i="14"/>
  <c r="AY38" i="14" s="1"/>
  <c r="AQ46" i="14"/>
  <c r="AH47" i="41" s="1"/>
  <c r="AS51" i="14"/>
  <c r="AX51" i="14" s="1"/>
  <c r="AU7" i="15"/>
  <c r="AY7" i="15" s="1"/>
  <c r="AQ26" i="15"/>
  <c r="AK27" i="41" s="1"/>
  <c r="AQ31" i="15"/>
  <c r="AK32" i="41" s="1"/>
  <c r="AS42" i="15"/>
  <c r="AX42" i="15" s="1"/>
  <c r="AU48" i="15"/>
  <c r="AY48" i="15" s="1"/>
  <c r="AQ54" i="15"/>
  <c r="AK55" i="41" s="1"/>
  <c r="AI26" i="17"/>
  <c r="AM26" i="17" s="1"/>
  <c r="AE34" i="17"/>
  <c r="AQ35" i="41" s="1"/>
  <c r="AE44" i="17"/>
  <c r="AQ45" i="41" s="1"/>
  <c r="AG50" i="17"/>
  <c r="AL50" i="17" s="1"/>
  <c r="AU5" i="18"/>
  <c r="AY5" i="18" s="1"/>
  <c r="AU11" i="18"/>
  <c r="AY11" i="18" s="1"/>
  <c r="AQ18" i="18"/>
  <c r="AT19" i="41" s="1"/>
  <c r="AQ48" i="18"/>
  <c r="AT49" i="41" s="1"/>
  <c r="AS53" i="18"/>
  <c r="AX53" i="18" s="1"/>
  <c r="AS8" i="19"/>
  <c r="AX8" i="19" s="1"/>
  <c r="AU13" i="19"/>
  <c r="AY13" i="19" s="1"/>
  <c r="AQ26" i="19"/>
  <c r="AW27" i="41" s="1"/>
  <c r="AQ31" i="19"/>
  <c r="AW32" i="41" s="1"/>
  <c r="AL16" i="7"/>
  <c r="AQ16" i="7" s="1"/>
  <c r="BD16" i="11"/>
  <c r="P17" i="41" s="1"/>
  <c r="AN47" i="33"/>
  <c r="S48" i="41" s="1"/>
  <c r="AO22" i="34"/>
  <c r="V23" i="41" s="1"/>
  <c r="AW30" i="26"/>
  <c r="AB31" i="41" s="1"/>
  <c r="AS52" i="15"/>
  <c r="AX52" i="15" s="1"/>
  <c r="AS20" i="18"/>
  <c r="AX20" i="18" s="1"/>
  <c r="AJ52" i="21"/>
  <c r="AO52" i="21" s="1"/>
  <c r="AL50" i="7"/>
  <c r="AQ50" i="7" s="1"/>
  <c r="AZ5" i="10"/>
  <c r="BD5" i="10" s="1"/>
  <c r="AZ21" i="10"/>
  <c r="BD21" i="10" s="1"/>
  <c r="BH9" i="11"/>
  <c r="BL9" i="11" s="1"/>
  <c r="BD28" i="11"/>
  <c r="P29" i="41" s="1"/>
  <c r="AR10" i="33"/>
  <c r="AV10" i="33" s="1"/>
  <c r="AO16" i="34"/>
  <c r="V17" i="41" s="1"/>
  <c r="AO28" i="12"/>
  <c r="Y29" i="41" s="1"/>
  <c r="AY13" i="13"/>
  <c r="BC13" i="13" s="1"/>
  <c r="AU8" i="15"/>
  <c r="AY8" i="15" s="1"/>
  <c r="AL41" i="36"/>
  <c r="AP41" i="36" s="1"/>
  <c r="AN29" i="7"/>
  <c r="AR29" i="7" s="1"/>
  <c r="AV18" i="10"/>
  <c r="M19" i="41" s="1"/>
  <c r="BH25" i="11"/>
  <c r="BL25" i="11" s="1"/>
  <c r="BH47" i="11"/>
  <c r="BL47" i="11" s="1"/>
  <c r="BD53" i="11"/>
  <c r="P54" i="41" s="1"/>
  <c r="AP8" i="33"/>
  <c r="AU8" i="33" s="1"/>
  <c r="AS8" i="12"/>
  <c r="AW8" i="12" s="1"/>
  <c r="AU45" i="14"/>
  <c r="AY45" i="14" s="1"/>
  <c r="AQ51" i="14"/>
  <c r="AH52" i="41" s="1"/>
  <c r="AU30" i="19"/>
  <c r="AY30" i="19" s="1"/>
  <c r="AJ10" i="36"/>
  <c r="AO10" i="36" s="1"/>
  <c r="AO13" i="27"/>
  <c r="AS13" i="27" s="1"/>
  <c r="AZ44" i="10"/>
  <c r="BD44" i="10" s="1"/>
  <c r="AP52" i="33"/>
  <c r="AU52" i="33" s="1"/>
  <c r="AO30" i="12"/>
  <c r="Y31" i="41" s="1"/>
  <c r="AS10" i="14"/>
  <c r="AX10" i="14" s="1"/>
  <c r="AU53" i="15"/>
  <c r="AY53" i="15" s="1"/>
  <c r="AM38" i="35"/>
  <c r="AR38" i="35" s="1"/>
  <c r="AH51" i="21"/>
  <c r="BL52" i="41" s="1"/>
  <c r="AN10" i="7"/>
  <c r="AR10" i="7" s="1"/>
  <c r="AN37" i="7"/>
  <c r="AR37" i="7" s="1"/>
  <c r="AW35" i="26"/>
  <c r="AB36" i="41" s="1"/>
  <c r="AW51" i="26"/>
  <c r="AB52" i="41" s="1"/>
  <c r="AU9" i="13"/>
  <c r="AE10" i="41" s="1"/>
  <c r="AS15" i="14"/>
  <c r="AX15" i="14" s="1"/>
  <c r="AE10" i="17"/>
  <c r="AQ11" i="41" s="1"/>
  <c r="AQ40" i="18"/>
  <c r="AT41" i="41" s="1"/>
  <c r="AL21" i="20"/>
  <c r="AP21" i="20" s="1"/>
  <c r="AU37" i="18"/>
  <c r="AY37" i="18" s="1"/>
  <c r="AU46" i="19"/>
  <c r="AY46" i="19" s="1"/>
  <c r="AQ52" i="19"/>
  <c r="AW53" i="41" s="1"/>
  <c r="AH7" i="36"/>
  <c r="BC8" i="41" s="1"/>
  <c r="AL12" i="20"/>
  <c r="AP12" i="20" s="1"/>
  <c r="AH18" i="20"/>
  <c r="BF19" i="41" s="1"/>
  <c r="AL49" i="20"/>
  <c r="AP49" i="20" s="1"/>
  <c r="AK5" i="27"/>
  <c r="BI6" i="41" s="1"/>
  <c r="AM39" i="27"/>
  <c r="AR39" i="27" s="1"/>
  <c r="AJ49" i="22"/>
  <c r="AO49" i="22" s="1"/>
  <c r="AL54" i="22"/>
  <c r="AP54" i="22" s="1"/>
  <c r="AJ32" i="7"/>
  <c r="J33" i="41" s="1"/>
  <c r="AV13" i="10"/>
  <c r="M14" i="41" s="1"/>
  <c r="AV51" i="10"/>
  <c r="M52" i="41" s="1"/>
  <c r="BH20" i="11"/>
  <c r="BL20" i="11" s="1"/>
  <c r="AP20" i="33"/>
  <c r="AU20" i="33" s="1"/>
  <c r="AP42" i="33"/>
  <c r="AU42" i="33" s="1"/>
  <c r="AS13" i="34"/>
  <c r="AW13" i="34" s="1"/>
  <c r="AS6" i="12"/>
  <c r="AW6" i="12" s="1"/>
  <c r="AQ38" i="12"/>
  <c r="AV38" i="12" s="1"/>
  <c r="AS43" i="12"/>
  <c r="AW43" i="12" s="1"/>
  <c r="AO49" i="12"/>
  <c r="Y50" i="41" s="1"/>
  <c r="AQ54" i="12"/>
  <c r="AV54" i="12" s="1"/>
  <c r="AY26" i="26"/>
  <c r="BD26" i="26" s="1"/>
  <c r="AW46" i="26"/>
  <c r="AB47" i="41" s="1"/>
  <c r="AU5" i="14"/>
  <c r="AY5" i="14" s="1"/>
  <c r="AQ42" i="14"/>
  <c r="AH43" i="41" s="1"/>
  <c r="AS18" i="15"/>
  <c r="AX18" i="15" s="1"/>
  <c r="AS5" i="18"/>
  <c r="AX5" i="18" s="1"/>
  <c r="AQ34" i="18"/>
  <c r="AT35" i="41" s="1"/>
  <c r="AQ22" i="19"/>
  <c r="AW23" i="41" s="1"/>
  <c r="AK26" i="35"/>
  <c r="AZ27" i="41" s="1"/>
  <c r="AH8" i="20"/>
  <c r="BF9" i="41" s="1"/>
  <c r="AJ39" i="20"/>
  <c r="AO39" i="20" s="1"/>
  <c r="AH20" i="21"/>
  <c r="BL21" i="41" s="1"/>
  <c r="AQ7" i="34"/>
  <c r="AV7" i="34" s="1"/>
  <c r="AO44" i="34"/>
  <c r="V45" i="41" s="1"/>
  <c r="AQ50" i="34"/>
  <c r="AV50" i="34" s="1"/>
  <c r="AQ14" i="12"/>
  <c r="AV14" i="12" s="1"/>
  <c r="AY37" i="26"/>
  <c r="BD37" i="26" s="1"/>
  <c r="AU35" i="13"/>
  <c r="AE36" i="41" s="1"/>
  <c r="AS37" i="14"/>
  <c r="AX37" i="14" s="1"/>
  <c r="AS33" i="15"/>
  <c r="AX33" i="15" s="1"/>
  <c r="AG16" i="17"/>
  <c r="AL16" i="17" s="1"/>
  <c r="AS21" i="18"/>
  <c r="AX21" i="18" s="1"/>
  <c r="AS13" i="19"/>
  <c r="AX13" i="19" s="1"/>
  <c r="AS39" i="19"/>
  <c r="AX39" i="19" s="1"/>
  <c r="AM43" i="35"/>
  <c r="AR43" i="35" s="1"/>
  <c r="AO48" i="35"/>
  <c r="AS48" i="35" s="1"/>
  <c r="AK54" i="35"/>
  <c r="AZ55" i="41" s="1"/>
  <c r="AH15" i="21"/>
  <c r="BL16" i="41" s="1"/>
  <c r="AL46" i="23"/>
  <c r="AP46" i="23" s="1"/>
  <c r="AH52" i="23"/>
  <c r="BR53" i="41" s="1"/>
  <c r="AL6" i="7"/>
  <c r="AQ6" i="7" s="1"/>
  <c r="AJ13" i="7"/>
  <c r="J14" i="41" s="1"/>
  <c r="AN26" i="7"/>
  <c r="AR26" i="7" s="1"/>
  <c r="AL33" i="7"/>
  <c r="AQ33" i="7" s="1"/>
  <c r="AN46" i="7"/>
  <c r="AR46" i="7" s="1"/>
  <c r="AJ52" i="7"/>
  <c r="J53" i="41" s="1"/>
  <c r="AX7" i="10"/>
  <c r="BC7" i="10" s="1"/>
  <c r="AV12" i="10"/>
  <c r="M13" i="41" s="1"/>
  <c r="AX29" i="10"/>
  <c r="BC29" i="10" s="1"/>
  <c r="AX36" i="10"/>
  <c r="BC36" i="10" s="1"/>
  <c r="AX41" i="10"/>
  <c r="BC41" i="10" s="1"/>
  <c r="AZ48" i="10"/>
  <c r="BD48" i="10" s="1"/>
  <c r="AV54" i="10"/>
  <c r="M55" i="41" s="1"/>
  <c r="BF11" i="11"/>
  <c r="BK11" i="11" s="1"/>
  <c r="BF16" i="11"/>
  <c r="BK16" i="11" s="1"/>
  <c r="BF33" i="11"/>
  <c r="BK33" i="11" s="1"/>
  <c r="BH40" i="11"/>
  <c r="BL40" i="11" s="1"/>
  <c r="BH45" i="11"/>
  <c r="BL45" i="11" s="1"/>
  <c r="BH50" i="11"/>
  <c r="BL50" i="11" s="1"/>
  <c r="AN6" i="33"/>
  <c r="S7" i="41" s="1"/>
  <c r="AN11" i="33"/>
  <c r="S12" i="41" s="1"/>
  <c r="AN28" i="33"/>
  <c r="S29" i="41" s="1"/>
  <c r="AP35" i="33"/>
  <c r="AU35" i="33" s="1"/>
  <c r="AP40" i="33"/>
  <c r="AU40" i="33" s="1"/>
  <c r="AP47" i="33"/>
  <c r="AU47" i="33" s="1"/>
  <c r="AR52" i="33"/>
  <c r="AV52" i="33" s="1"/>
  <c r="AO10" i="34"/>
  <c r="V11" i="41" s="1"/>
  <c r="AO15" i="34"/>
  <c r="V16" i="41" s="1"/>
  <c r="AO21" i="34"/>
  <c r="V22" i="41" s="1"/>
  <c r="AQ39" i="34"/>
  <c r="AV39" i="34" s="1"/>
  <c r="AQ44" i="34"/>
  <c r="AV44" i="34" s="1"/>
  <c r="AQ49" i="34"/>
  <c r="AV49" i="34" s="1"/>
  <c r="AS54" i="34"/>
  <c r="AW54" i="34" s="1"/>
  <c r="AO16" i="12"/>
  <c r="Y17" i="41" s="1"/>
  <c r="AS24" i="12"/>
  <c r="AW24" i="12" s="1"/>
  <c r="AQ30" i="12"/>
  <c r="AV30" i="12" s="1"/>
  <c r="AW18" i="26"/>
  <c r="AB19" i="41" s="1"/>
  <c r="AW23" i="26"/>
  <c r="AB24" i="41" s="1"/>
  <c r="AW29" i="26"/>
  <c r="AB30" i="41" s="1"/>
  <c r="AY35" i="26"/>
  <c r="BD35" i="26" s="1"/>
  <c r="AW40" i="26"/>
  <c r="AB41" i="41" s="1"/>
  <c r="AU13" i="13"/>
  <c r="AE14" i="41" s="1"/>
  <c r="AY27" i="13"/>
  <c r="BC27" i="13" s="1"/>
  <c r="AU43" i="13"/>
  <c r="AE44" i="41" s="1"/>
  <c r="AQ6" i="14"/>
  <c r="AH7" i="41" s="1"/>
  <c r="AU10" i="14"/>
  <c r="AY10" i="14" s="1"/>
  <c r="AQ29" i="14"/>
  <c r="AH30" i="41" s="1"/>
  <c r="AQ35" i="14"/>
  <c r="AH36" i="41" s="1"/>
  <c r="AQ40" i="14"/>
  <c r="AH41" i="41" s="1"/>
  <c r="AS47" i="14"/>
  <c r="AX47" i="14" s="1"/>
  <c r="AU52" i="14"/>
  <c r="AY52" i="14" s="1"/>
  <c r="AQ20" i="15"/>
  <c r="AK21" i="41" s="1"/>
  <c r="AS27" i="15"/>
  <c r="AX27" i="15" s="1"/>
  <c r="AS32" i="15"/>
  <c r="AX32" i="15" s="1"/>
  <c r="AU44" i="15"/>
  <c r="AY44" i="15" s="1"/>
  <c r="AQ50" i="15"/>
  <c r="AK51" i="41" s="1"/>
  <c r="AG5" i="17"/>
  <c r="AL5" i="17" s="1"/>
  <c r="AE29" i="17"/>
  <c r="AQ30" i="41" s="1"/>
  <c r="AG35" i="17"/>
  <c r="AL35" i="17" s="1"/>
  <c r="AG45" i="17"/>
  <c r="AL45" i="17" s="1"/>
  <c r="AI51" i="17"/>
  <c r="AM51" i="17" s="1"/>
  <c r="AQ7" i="18"/>
  <c r="AT8" i="41" s="1"/>
  <c r="AQ14" i="18"/>
  <c r="AT15" i="41" s="1"/>
  <c r="AU26" i="18"/>
  <c r="AY26" i="18" s="1"/>
  <c r="AS49" i="18"/>
  <c r="AX49" i="18" s="1"/>
  <c r="AU54" i="18"/>
  <c r="AY54" i="18" s="1"/>
  <c r="AU9" i="19"/>
  <c r="AY9" i="19" s="1"/>
  <c r="AU14" i="19"/>
  <c r="AY14" i="19" s="1"/>
  <c r="AS27" i="19"/>
  <c r="AX27" i="19" s="1"/>
  <c r="AS32" i="19"/>
  <c r="AX32" i="19" s="1"/>
  <c r="AM11" i="35"/>
  <c r="AR11" i="35" s="1"/>
  <c r="AO18" i="35"/>
  <c r="AS18" i="35" s="1"/>
  <c r="AO23" i="35"/>
  <c r="AS23" i="35" s="1"/>
  <c r="AK36" i="35"/>
  <c r="AZ37" i="41" s="1"/>
  <c r="AM41" i="35"/>
  <c r="AR41" i="35" s="1"/>
  <c r="AM46" i="35"/>
  <c r="AR46" i="35" s="1"/>
  <c r="AO51" i="35"/>
  <c r="AS51" i="35" s="1"/>
  <c r="AL11" i="36"/>
  <c r="AP11" i="36" s="1"/>
  <c r="AJ26" i="36"/>
  <c r="AO26" i="36" s="1"/>
  <c r="AH39" i="36"/>
  <c r="BC40" i="41" s="1"/>
  <c r="AJ9" i="20"/>
  <c r="AO9" i="20" s="1"/>
  <c r="AL24" i="20"/>
  <c r="AP24" i="20" s="1"/>
  <c r="AL29" i="20"/>
  <c r="AP29" i="20" s="1"/>
  <c r="AL34" i="20"/>
  <c r="AP34" i="20" s="1"/>
  <c r="AM24" i="27"/>
  <c r="AR24" i="27" s="1"/>
  <c r="AO30" i="27"/>
  <c r="AS30" i="27" s="1"/>
  <c r="AO49" i="27"/>
  <c r="AS49" i="27" s="1"/>
  <c r="AH5" i="21"/>
  <c r="BL6" i="41" s="1"/>
  <c r="AL16" i="21"/>
  <c r="AP16" i="21" s="1"/>
  <c r="AJ33" i="21"/>
  <c r="AO33" i="21" s="1"/>
  <c r="AH46" i="21"/>
  <c r="BL47" i="41" s="1"/>
  <c r="AJ40" i="22"/>
  <c r="AO40" i="22" s="1"/>
  <c r="AL45" i="22"/>
  <c r="AP45" i="22" s="1"/>
  <c r="AH47" i="23"/>
  <c r="BR48" i="41" s="1"/>
  <c r="AJ52" i="23"/>
  <c r="AO52" i="23" s="1"/>
  <c r="AN7" i="7"/>
  <c r="AR7" i="7" s="1"/>
  <c r="AL21" i="7"/>
  <c r="AQ21" i="7" s="1"/>
  <c r="AJ28" i="7"/>
  <c r="J29" i="41" s="1"/>
  <c r="AL41" i="7"/>
  <c r="AQ41" i="7" s="1"/>
  <c r="AL48" i="7"/>
  <c r="AQ48" i="7" s="1"/>
  <c r="AN53" i="7"/>
  <c r="AR53" i="7" s="1"/>
  <c r="AV21" i="10"/>
  <c r="M22" i="41" s="1"/>
  <c r="AV27" i="10"/>
  <c r="M28" i="41" s="1"/>
  <c r="AV32" i="10"/>
  <c r="M33" i="41" s="1"/>
  <c r="AX39" i="10"/>
  <c r="BC39" i="10" s="1"/>
  <c r="AV44" i="10"/>
  <c r="M45" i="41" s="1"/>
  <c r="AX50" i="10"/>
  <c r="BC50" i="10" s="1"/>
  <c r="BH22" i="11"/>
  <c r="BL22" i="11" s="1"/>
  <c r="BD30" i="11"/>
  <c r="P31" i="41" s="1"/>
  <c r="BD35" i="11"/>
  <c r="P36" i="41" s="1"/>
  <c r="BD42" i="11"/>
  <c r="P43" i="41" s="1"/>
  <c r="BD47" i="11"/>
  <c r="P48" i="41" s="1"/>
  <c r="BF52" i="11"/>
  <c r="BK52" i="11" s="1"/>
  <c r="AR18" i="33"/>
  <c r="AV18" i="33" s="1"/>
  <c r="AV24" i="10"/>
  <c r="M25" i="41" s="1"/>
  <c r="AR49" i="33"/>
  <c r="AV49" i="33" s="1"/>
  <c r="AY19" i="13"/>
  <c r="BC19" i="13" s="1"/>
  <c r="AK41" i="35"/>
  <c r="AZ42" i="41" s="1"/>
  <c r="AN51" i="7"/>
  <c r="AR51" i="7" s="1"/>
  <c r="AZ38" i="10"/>
  <c r="BD38" i="10" s="1"/>
  <c r="BF29" i="11"/>
  <c r="BK29" i="11" s="1"/>
  <c r="AQ18" i="34"/>
  <c r="AV18" i="34" s="1"/>
  <c r="AY47" i="13"/>
  <c r="BC47" i="13" s="1"/>
  <c r="AH43" i="36"/>
  <c r="BC44" i="41" s="1"/>
  <c r="AX19" i="10"/>
  <c r="BC19" i="10" s="1"/>
  <c r="BD49" i="11"/>
  <c r="P50" i="41" s="1"/>
  <c r="AR22" i="33"/>
  <c r="AV22" i="33" s="1"/>
  <c r="AQ47" i="14"/>
  <c r="AH48" i="41" s="1"/>
  <c r="AQ32" i="19"/>
  <c r="AW33" i="41" s="1"/>
  <c r="AJ15" i="7"/>
  <c r="J16" i="41" s="1"/>
  <c r="AO5" i="34"/>
  <c r="V6" i="41" s="1"/>
  <c r="AQ47" i="15"/>
  <c r="AK48" i="41" s="1"/>
  <c r="AO39" i="35"/>
  <c r="AS39" i="35" s="1"/>
  <c r="AL17" i="7"/>
  <c r="AQ17" i="7" s="1"/>
  <c r="AW47" i="26"/>
  <c r="AB48" i="41" s="1"/>
  <c r="AW24" i="13"/>
  <c r="BB24" i="13" s="1"/>
  <c r="AG11" i="17"/>
  <c r="AL11" i="17" s="1"/>
  <c r="AU12" i="18"/>
  <c r="AY12" i="18" s="1"/>
  <c r="AQ48" i="19"/>
  <c r="AW49" i="41" s="1"/>
  <c r="AH31" i="36"/>
  <c r="BC32" i="41" s="1"/>
  <c r="AJ19" i="20"/>
  <c r="AO19" i="20" s="1"/>
  <c r="AM6" i="27"/>
  <c r="AR6" i="27" s="1"/>
  <c r="AL50" i="22"/>
  <c r="AP50" i="22" s="1"/>
  <c r="AN39" i="7"/>
  <c r="AR39" i="7" s="1"/>
  <c r="AX52" i="10"/>
  <c r="BC52" i="10" s="1"/>
  <c r="AR21" i="33"/>
  <c r="AV21" i="33" s="1"/>
  <c r="AO28" i="34"/>
  <c r="V29" i="41" s="1"/>
  <c r="AS39" i="12"/>
  <c r="AW39" i="12" s="1"/>
  <c r="AQ50" i="12"/>
  <c r="AV50" i="12" s="1"/>
  <c r="AW42" i="26"/>
  <c r="AB43" i="41" s="1"/>
  <c r="AQ20" i="14"/>
  <c r="AH21" i="41" s="1"/>
  <c r="AG17" i="17"/>
  <c r="AL17" i="17" s="1"/>
  <c r="AQ18" i="19"/>
  <c r="AW19" i="41" s="1"/>
  <c r="AM28" i="35"/>
  <c r="AR28" i="35" s="1"/>
  <c r="AL40" i="20"/>
  <c r="AP40" i="20" s="1"/>
  <c r="AS8" i="34"/>
  <c r="AW8" i="34" s="1"/>
  <c r="AS51" i="34"/>
  <c r="AW51" i="34" s="1"/>
  <c r="BA39" i="26"/>
  <c r="BE39" i="26" s="1"/>
  <c r="AU39" i="14"/>
  <c r="AY39" i="14" s="1"/>
  <c r="AI38" i="17"/>
  <c r="AM38" i="17" s="1"/>
  <c r="AU15" i="19"/>
  <c r="AY15" i="19" s="1"/>
  <c r="AO44" i="35"/>
  <c r="AS44" i="35" s="1"/>
  <c r="AL30" i="20"/>
  <c r="AP30" i="20" s="1"/>
  <c r="AH48" i="23"/>
  <c r="BR49" i="41" s="1"/>
  <c r="AN9" i="7"/>
  <c r="AR9" i="7" s="1"/>
  <c r="AN27" i="7"/>
  <c r="AR27" i="7" s="1"/>
  <c r="AJ48" i="7"/>
  <c r="J49" i="41" s="1"/>
  <c r="AZ8" i="10"/>
  <c r="BD8" i="10" s="1"/>
  <c r="AZ31" i="10"/>
  <c r="BD31" i="10" s="1"/>
  <c r="AZ42" i="10"/>
  <c r="BD42" i="10" s="1"/>
  <c r="BF17" i="11"/>
  <c r="BK17" i="11" s="1"/>
  <c r="BH41" i="11"/>
  <c r="BL41" i="11" s="1"/>
  <c r="BD52" i="11"/>
  <c r="P53" i="41" s="1"/>
  <c r="AN12" i="33"/>
  <c r="S13" i="41" s="1"/>
  <c r="AP36" i="33"/>
  <c r="AU36" i="33" s="1"/>
  <c r="AR48" i="33"/>
  <c r="AV48" i="33" s="1"/>
  <c r="AQ11" i="34"/>
  <c r="AV11" i="34" s="1"/>
  <c r="AQ33" i="34"/>
  <c r="AV33" i="34" s="1"/>
  <c r="AS45" i="34"/>
  <c r="AW45" i="34" s="1"/>
  <c r="AO7" i="12"/>
  <c r="Y8" i="41" s="1"/>
  <c r="AO26" i="12"/>
  <c r="Y27" i="41" s="1"/>
  <c r="AY19" i="26"/>
  <c r="BD19" i="26" s="1"/>
  <c r="AY31" i="26"/>
  <c r="BD31" i="26" s="1"/>
  <c r="AY42" i="26"/>
  <c r="BD42" i="26" s="1"/>
  <c r="AW32" i="13"/>
  <c r="BB32" i="13" s="1"/>
  <c r="AQ7" i="14"/>
  <c r="AH8" i="41" s="1"/>
  <c r="AS31" i="14"/>
  <c r="AX31" i="14" s="1"/>
  <c r="AS42" i="14"/>
  <c r="AX42" i="14" s="1"/>
  <c r="AQ54" i="14"/>
  <c r="AH55" i="41" s="1"/>
  <c r="AU28" i="15"/>
  <c r="AY28" i="15" s="1"/>
  <c r="AQ46" i="15"/>
  <c r="AK47" i="41" s="1"/>
  <c r="AI7" i="17"/>
  <c r="AM7" i="17" s="1"/>
  <c r="AG36" i="17"/>
  <c r="AL36" i="17" s="1"/>
  <c r="AE53" i="17"/>
  <c r="AQ54" i="41" s="1"/>
  <c r="AS15" i="18"/>
  <c r="AX15" i="18" s="1"/>
  <c r="AU50" i="18"/>
  <c r="AY50" i="18" s="1"/>
  <c r="AQ11" i="19"/>
  <c r="AW12" i="41" s="1"/>
  <c r="AS28" i="19"/>
  <c r="AX28" i="19" s="1"/>
  <c r="AQ37" i="19"/>
  <c r="AW38" i="41" s="1"/>
  <c r="AK20" i="35"/>
  <c r="AZ21" i="41" s="1"/>
  <c r="AM31" i="35"/>
  <c r="AR31" i="35" s="1"/>
  <c r="AK40" i="35"/>
  <c r="AZ41" i="41" s="1"/>
  <c r="AO47" i="35"/>
  <c r="AS47" i="35" s="1"/>
  <c r="AM54" i="35"/>
  <c r="AR54" i="35" s="1"/>
  <c r="AH21" i="36"/>
  <c r="BC22" i="41" s="1"/>
  <c r="AL5" i="20"/>
  <c r="AP5" i="20" s="1"/>
  <c r="AH13" i="20"/>
  <c r="BF14" i="41" s="1"/>
  <c r="AJ28" i="20"/>
  <c r="AO28" i="20" s="1"/>
  <c r="AH37" i="20"/>
  <c r="BF38" i="41" s="1"/>
  <c r="AK28" i="27"/>
  <c r="BI29" i="41" s="1"/>
  <c r="AM48" i="27"/>
  <c r="AR48" i="27" s="1"/>
  <c r="AL12" i="21"/>
  <c r="AP12" i="21" s="1"/>
  <c r="AJ19" i="21"/>
  <c r="AO19" i="21" s="1"/>
  <c r="AL44" i="21"/>
  <c r="AP44" i="21" s="1"/>
  <c r="AL41" i="22"/>
  <c r="AP41" i="22" s="1"/>
  <c r="AJ44" i="23"/>
  <c r="AO44" i="23" s="1"/>
  <c r="AH51" i="23"/>
  <c r="BR52" i="41" s="1"/>
  <c r="AN15" i="7"/>
  <c r="AR15" i="7" s="1"/>
  <c r="AN25" i="7"/>
  <c r="AR25" i="7" s="1"/>
  <c r="AL40" i="7"/>
  <c r="AQ40" i="7" s="1"/>
  <c r="AN49" i="7"/>
  <c r="AR49" i="7" s="1"/>
  <c r="AX17" i="10"/>
  <c r="BC17" i="10" s="1"/>
  <c r="AZ25" i="10"/>
  <c r="BD25" i="10" s="1"/>
  <c r="AX34" i="10"/>
  <c r="BC34" i="10" s="1"/>
  <c r="AZ41" i="10"/>
  <c r="BD41" i="10" s="1"/>
  <c r="AV49" i="10"/>
  <c r="M50" i="41" s="1"/>
  <c r="BH6" i="11"/>
  <c r="BL6" i="11" s="1"/>
  <c r="BF26" i="11"/>
  <c r="BK26" i="11" s="1"/>
  <c r="BH33" i="11"/>
  <c r="BL33" i="11" s="1"/>
  <c r="BF43" i="11"/>
  <c r="BK43" i="11" s="1"/>
  <c r="BH49" i="11"/>
  <c r="BL49" i="11" s="1"/>
  <c r="AP17" i="33"/>
  <c r="AU17" i="33" s="1"/>
  <c r="AR25" i="33"/>
  <c r="AV25" i="33" s="1"/>
  <c r="AR30" i="33"/>
  <c r="AV30" i="33" s="1"/>
  <c r="AN38" i="33"/>
  <c r="S39" i="41" s="1"/>
  <c r="AN43" i="33"/>
  <c r="S44" i="41" s="1"/>
  <c r="AN49" i="33"/>
  <c r="S50" i="41" s="1"/>
  <c r="AP54" i="33"/>
  <c r="AU54" i="33" s="1"/>
  <c r="AQ10" i="34"/>
  <c r="AV10" i="34" s="1"/>
  <c r="AS28" i="34"/>
  <c r="AW28" i="34" s="1"/>
  <c r="AS33" i="34"/>
  <c r="AW33" i="34" s="1"/>
  <c r="AS39" i="34"/>
  <c r="AW39" i="34" s="1"/>
  <c r="AO46" i="34"/>
  <c r="V47" i="41" s="1"/>
  <c r="AO51" i="34"/>
  <c r="V52" i="41" s="1"/>
  <c r="AS11" i="12"/>
  <c r="AW11" i="12" s="1"/>
  <c r="AS20" i="12"/>
  <c r="AW20" i="12" s="1"/>
  <c r="AO32" i="12"/>
  <c r="Y33" i="41" s="1"/>
  <c r="AO39" i="12"/>
  <c r="Y40" i="41" s="1"/>
  <c r="AQ44" i="12"/>
  <c r="AV44" i="12" s="1"/>
  <c r="AS49" i="12"/>
  <c r="AW49" i="12" s="1"/>
  <c r="AW5" i="26"/>
  <c r="AB6" i="41" s="1"/>
  <c r="AW11" i="26"/>
  <c r="AB12" i="41" s="1"/>
  <c r="AW16" i="26"/>
  <c r="AB17" i="41" s="1"/>
  <c r="AY23" i="26"/>
  <c r="BD23" i="26" s="1"/>
  <c r="AW28" i="26"/>
  <c r="AB29" i="41" s="1"/>
  <c r="AY45" i="26"/>
  <c r="BD45" i="26" s="1"/>
  <c r="BA51" i="26"/>
  <c r="BE51" i="26" s="1"/>
  <c r="AW10" i="13"/>
  <c r="BB10" i="13" s="1"/>
  <c r="AU25" i="13"/>
  <c r="AE26" i="41" s="1"/>
  <c r="AW40" i="13"/>
  <c r="BB40" i="13" s="1"/>
  <c r="AU53" i="13"/>
  <c r="AE54" i="41" s="1"/>
  <c r="AU20" i="14"/>
  <c r="AY20" i="14" s="1"/>
  <c r="AU25" i="14"/>
  <c r="AY25" i="14" s="1"/>
  <c r="AU31" i="14"/>
  <c r="AY31" i="14" s="1"/>
  <c r="AQ38" i="14"/>
  <c r="AH39" i="41" s="1"/>
  <c r="AU42" i="14"/>
  <c r="AY42" i="14" s="1"/>
  <c r="AQ13" i="15"/>
  <c r="AK14" i="41" s="1"/>
  <c r="AQ19" i="15"/>
  <c r="AK20" i="41" s="1"/>
  <c r="AQ24" i="15"/>
  <c r="AK25" i="41" s="1"/>
  <c r="AS36" i="15"/>
  <c r="AX36" i="15" s="1"/>
  <c r="AS41" i="15"/>
  <c r="AX41" i="15" s="1"/>
  <c r="AG13" i="17"/>
  <c r="AL13" i="17" s="1"/>
  <c r="AG20" i="17"/>
  <c r="AL20" i="17" s="1"/>
  <c r="AI25" i="17"/>
  <c r="AM25" i="17" s="1"/>
  <c r="AI31" i="17"/>
  <c r="AM31" i="17" s="1"/>
  <c r="AE43" i="17"/>
  <c r="AQ44" i="41" s="1"/>
  <c r="AE48" i="17"/>
  <c r="AQ49" i="41" s="1"/>
  <c r="AG53" i="17"/>
  <c r="AL53" i="17" s="1"/>
  <c r="AS8" i="18"/>
  <c r="AX8" i="18" s="1"/>
  <c r="AS14" i="18"/>
  <c r="AX14" i="18" s="1"/>
  <c r="AU45" i="18"/>
  <c r="AY45" i="18" s="1"/>
  <c r="AQ51" i="18"/>
  <c r="AT52" i="41" s="1"/>
  <c r="AS7" i="19"/>
  <c r="AX7" i="19" s="1"/>
  <c r="AQ20" i="19"/>
  <c r="AW21" i="41" s="1"/>
  <c r="AU42" i="19"/>
  <c r="AY42" i="19" s="1"/>
  <c r="AQ50" i="19"/>
  <c r="AW51" i="41" s="1"/>
  <c r="AM5" i="35"/>
  <c r="AR5" i="35" s="1"/>
  <c r="AM10" i="35"/>
  <c r="AR10" i="35" s="1"/>
  <c r="AM15" i="35"/>
  <c r="AR15" i="35" s="1"/>
  <c r="AO27" i="35"/>
  <c r="AS27" i="35" s="1"/>
  <c r="AO32" i="35"/>
  <c r="AS32" i="35" s="1"/>
  <c r="AH13" i="36"/>
  <c r="BC14" i="41" s="1"/>
  <c r="AJ28" i="36"/>
  <c r="AO28" i="36" s="1"/>
  <c r="AJ52" i="36"/>
  <c r="AO52" i="36" s="1"/>
  <c r="AH21" i="20"/>
  <c r="BF22" i="41" s="1"/>
  <c r="AH49" i="20"/>
  <c r="BF50" i="41" s="1"/>
  <c r="AJ54" i="20"/>
  <c r="AO54" i="20" s="1"/>
  <c r="AM18" i="27"/>
  <c r="AR18" i="27" s="1"/>
  <c r="AM23" i="27"/>
  <c r="AR23" i="27" s="1"/>
  <c r="AO38" i="27"/>
  <c r="AS38" i="27" s="1"/>
  <c r="AO43" i="27"/>
  <c r="AS43" i="27" s="1"/>
  <c r="AL25" i="21"/>
  <c r="AP25" i="21" s="1"/>
  <c r="AH31" i="21"/>
  <c r="BL32" i="41" s="1"/>
  <c r="AJ42" i="21"/>
  <c r="AO42" i="21" s="1"/>
  <c r="AH38" i="22"/>
  <c r="BO39" i="41" s="1"/>
  <c r="AJ43" i="22"/>
  <c r="AO43" i="22" s="1"/>
  <c r="AH21" i="23"/>
  <c r="BR22" i="41" s="1"/>
  <c r="AJ16" i="7"/>
  <c r="J17" i="41" s="1"/>
  <c r="AN22" i="7"/>
  <c r="AR22" i="7" s="1"/>
  <c r="AJ36" i="7"/>
  <c r="J37" i="41" s="1"/>
  <c r="AJ43" i="7"/>
  <c r="J44" i="41" s="1"/>
  <c r="AV8" i="10"/>
  <c r="M9" i="41" s="1"/>
  <c r="AV15" i="10"/>
  <c r="M16" i="41" s="1"/>
  <c r="AV20" i="10"/>
  <c r="M21" i="41" s="1"/>
  <c r="AX27" i="10"/>
  <c r="BC27" i="10" s="1"/>
  <c r="AX32" i="10"/>
  <c r="BC32" i="10" s="1"/>
  <c r="BD12" i="11"/>
  <c r="P13" i="41" s="1"/>
  <c r="BF19" i="11"/>
  <c r="BK19" i="11" s="1"/>
  <c r="BF24" i="11"/>
  <c r="BK24" i="11" s="1"/>
  <c r="BF31" i="11"/>
  <c r="BK31" i="11" s="1"/>
  <c r="BF36" i="11"/>
  <c r="BK36" i="11" s="1"/>
  <c r="BF42" i="11"/>
  <c r="BK42" i="11" s="1"/>
  <c r="AR12" i="33"/>
  <c r="AV12" i="33" s="1"/>
  <c r="AR17" i="33"/>
  <c r="AV17" i="33" s="1"/>
  <c r="AR23" i="33"/>
  <c r="AV23" i="33" s="1"/>
  <c r="AN30" i="33"/>
  <c r="S31" i="41" s="1"/>
  <c r="AR34" i="33"/>
  <c r="AV34" i="33" s="1"/>
  <c r="AS15" i="34"/>
  <c r="AW15" i="34" s="1"/>
  <c r="AS21" i="34"/>
  <c r="AW21" i="34" s="1"/>
  <c r="AS26" i="34"/>
  <c r="AW26" i="34" s="1"/>
  <c r="AO34" i="34"/>
  <c r="V35" i="41" s="1"/>
  <c r="AS38" i="34"/>
  <c r="AW38" i="34" s="1"/>
  <c r="AQ6" i="12"/>
  <c r="AV6" i="12" s="1"/>
  <c r="AQ15" i="12"/>
  <c r="AV15" i="12" s="1"/>
  <c r="AS26" i="12"/>
  <c r="AW26" i="12" s="1"/>
  <c r="AQ35" i="12"/>
  <c r="AV35" i="12" s="1"/>
  <c r="AS40" i="12"/>
  <c r="AW40" i="12" s="1"/>
  <c r="AO46" i="12"/>
  <c r="Y47" i="41" s="1"/>
  <c r="AQ51" i="12"/>
  <c r="AV51" i="12" s="1"/>
  <c r="BA7" i="26"/>
  <c r="BE7" i="26" s="1"/>
  <c r="AW14" i="26"/>
  <c r="AB15" i="41" s="1"/>
  <c r="BA18" i="26"/>
  <c r="BE18" i="26" s="1"/>
  <c r="AW37" i="26"/>
  <c r="AB38" i="41" s="1"/>
  <c r="AW43" i="26"/>
  <c r="AB44" i="41" s="1"/>
  <c r="AW48" i="26"/>
  <c r="AB49" i="41" s="1"/>
  <c r="AY53" i="26"/>
  <c r="BD53" i="26" s="1"/>
  <c r="AY11" i="13"/>
  <c r="BC11" i="13" s="1"/>
  <c r="AU27" i="13"/>
  <c r="AE28" i="41" s="1"/>
  <c r="AY39" i="13"/>
  <c r="BC39" i="13" s="1"/>
  <c r="AW54" i="13"/>
  <c r="BB54" i="13" s="1"/>
  <c r="AS11" i="14"/>
  <c r="AX11" i="14" s="1"/>
  <c r="AS16" i="14"/>
  <c r="AX16" i="14" s="1"/>
  <c r="AS23" i="14"/>
  <c r="AX23" i="14" s="1"/>
  <c r="AS28" i="14"/>
  <c r="AX28" i="14" s="1"/>
  <c r="AS34" i="14"/>
  <c r="AX34" i="14" s="1"/>
  <c r="AU50" i="14"/>
  <c r="AY50" i="14" s="1"/>
  <c r="AQ6" i="15"/>
  <c r="AK7" i="41" s="1"/>
  <c r="AQ11" i="15"/>
  <c r="AK12" i="41" s="1"/>
  <c r="AQ18" i="15"/>
  <c r="AK19" i="41" s="1"/>
  <c r="AS29" i="15"/>
  <c r="AX29" i="15" s="1"/>
  <c r="AG12" i="17"/>
  <c r="AL12" i="17" s="1"/>
  <c r="AG18" i="17"/>
  <c r="AL18" i="17" s="1"/>
  <c r="AI24" i="17"/>
  <c r="AM24" i="17" s="1"/>
  <c r="AU18" i="18"/>
  <c r="AY18" i="18" s="1"/>
  <c r="AQ26" i="18"/>
  <c r="AT27" i="41" s="1"/>
  <c r="AQ31" i="18"/>
  <c r="AT32" i="41" s="1"/>
  <c r="AS43" i="18"/>
  <c r="AX43" i="18" s="1"/>
  <c r="AU48" i="18"/>
  <c r="AY48" i="18" s="1"/>
  <c r="AQ54" i="18"/>
  <c r="AT55" i="41" s="1"/>
  <c r="AU26" i="19"/>
  <c r="AY26" i="19" s="1"/>
  <c r="AU41" i="19"/>
  <c r="AY41" i="19" s="1"/>
  <c r="AU47" i="19"/>
  <c r="AY47" i="19" s="1"/>
  <c r="AQ53" i="19"/>
  <c r="AW54" i="41" s="1"/>
  <c r="AM9" i="35"/>
  <c r="AR9" i="35" s="1"/>
  <c r="AK23" i="35"/>
  <c r="AZ24" i="41" s="1"/>
  <c r="AO45" i="35"/>
  <c r="AS45" i="35" s="1"/>
  <c r="AK51" i="35"/>
  <c r="AZ52" i="41" s="1"/>
  <c r="AJ20" i="36"/>
  <c r="AO20" i="36" s="1"/>
  <c r="AL37" i="36"/>
  <c r="AP37" i="36" s="1"/>
  <c r="AL41" i="20"/>
  <c r="AP41" i="20" s="1"/>
  <c r="AK11" i="27"/>
  <c r="BI12" i="41" s="1"/>
  <c r="AM17" i="27"/>
  <c r="AR17" i="27" s="1"/>
  <c r="AO32" i="27"/>
  <c r="AS32" i="27" s="1"/>
  <c r="AH21" i="21"/>
  <c r="BL22" i="41" s="1"/>
  <c r="AJ27" i="21"/>
  <c r="AO27" i="21" s="1"/>
  <c r="AL25" i="22"/>
  <c r="AP25" i="22" s="1"/>
  <c r="AJ25" i="23"/>
  <c r="AO25" i="23" s="1"/>
  <c r="AL22" i="21"/>
  <c r="AP22" i="21" s="1"/>
  <c r="AJ45" i="21"/>
  <c r="AO45" i="21" s="1"/>
  <c r="AL51" i="21"/>
  <c r="AP51" i="21" s="1"/>
  <c r="AL14" i="22"/>
  <c r="AP14" i="22" s="1"/>
  <c r="AH22" i="22"/>
  <c r="BO23" i="41" s="1"/>
  <c r="AL29" i="22"/>
  <c r="AP29" i="22" s="1"/>
  <c r="AL34" i="22"/>
  <c r="AP34" i="22" s="1"/>
  <c r="AH8" i="23"/>
  <c r="BR9" i="41" s="1"/>
  <c r="AJ15" i="23"/>
  <c r="AO15" i="23" s="1"/>
  <c r="AJ34" i="23"/>
  <c r="AO34" i="23" s="1"/>
  <c r="AH46" i="23"/>
  <c r="BR47" i="41" s="1"/>
  <c r="AJ51" i="23"/>
  <c r="AO51" i="23" s="1"/>
  <c r="AJ8" i="7"/>
  <c r="J9" i="41" s="1"/>
  <c r="AL14" i="7"/>
  <c r="AQ14" i="7" s="1"/>
  <c r="AJ23" i="7"/>
  <c r="J24" i="41" s="1"/>
  <c r="AL29" i="7"/>
  <c r="AQ29" i="7" s="1"/>
  <c r="AN35" i="7"/>
  <c r="AR35" i="7" s="1"/>
  <c r="AL44" i="7"/>
  <c r="AQ44" i="7" s="1"/>
  <c r="AJ50" i="7"/>
  <c r="J51" i="41" s="1"/>
  <c r="AX5" i="10"/>
  <c r="BC5" i="10" s="1"/>
  <c r="AX12" i="10"/>
  <c r="BC12" i="10" s="1"/>
  <c r="AX18" i="10"/>
  <c r="BC18" i="10" s="1"/>
  <c r="AX24" i="10"/>
  <c r="BC24" i="10" s="1"/>
  <c r="AX31" i="10"/>
  <c r="BC31" i="10" s="1"/>
  <c r="AV36" i="10"/>
  <c r="M37" i="41" s="1"/>
  <c r="AX43" i="10"/>
  <c r="BC43" i="10" s="1"/>
  <c r="AV48" i="10"/>
  <c r="M49" i="41" s="1"/>
  <c r="AX53" i="10"/>
  <c r="BC53" i="10" s="1"/>
  <c r="BF8" i="11"/>
  <c r="BK8" i="11" s="1"/>
  <c r="BF15" i="11"/>
  <c r="BK15" i="11" s="1"/>
  <c r="BD20" i="11"/>
  <c r="P21" i="41" s="1"/>
  <c r="BF27" i="11"/>
  <c r="BK27" i="11" s="1"/>
  <c r="BD32" i="11"/>
  <c r="P33" i="41" s="1"/>
  <c r="BD39" i="11"/>
  <c r="P40" i="41" s="1"/>
  <c r="BD45" i="11"/>
  <c r="P46" i="41" s="1"/>
  <c r="BF51" i="11"/>
  <c r="BK51" i="11" s="1"/>
  <c r="AR7" i="33"/>
  <c r="AV7" i="33" s="1"/>
  <c r="AR13" i="33"/>
  <c r="AV13" i="33" s="1"/>
  <c r="AR20" i="33"/>
  <c r="AV20" i="33" s="1"/>
  <c r="AP25" i="33"/>
  <c r="AU25" i="33" s="1"/>
  <c r="AR32" i="33"/>
  <c r="AV32" i="33" s="1"/>
  <c r="AP37" i="33"/>
  <c r="AU37" i="33" s="1"/>
  <c r="AP44" i="33"/>
  <c r="AU44" i="33" s="1"/>
  <c r="AP49" i="33"/>
  <c r="AU49" i="33" s="1"/>
  <c r="AR54" i="33"/>
  <c r="AV54" i="33" s="1"/>
  <c r="AQ9" i="34"/>
  <c r="AV9" i="34" s="1"/>
  <c r="AS16" i="34"/>
  <c r="AW16" i="34" s="1"/>
  <c r="AQ21" i="34"/>
  <c r="AV21" i="34" s="1"/>
  <c r="AQ28" i="34"/>
  <c r="AV28" i="34" s="1"/>
  <c r="AQ34" i="34"/>
  <c r="AV34" i="34" s="1"/>
  <c r="AQ40" i="34"/>
  <c r="AV40" i="34" s="1"/>
  <c r="AQ47" i="34"/>
  <c r="AV47" i="34" s="1"/>
  <c r="AS52" i="34"/>
  <c r="AW52" i="34" s="1"/>
  <c r="AQ9" i="12"/>
  <c r="AV9" i="12" s="1"/>
  <c r="AS16" i="12"/>
  <c r="AW16" i="12" s="1"/>
  <c r="AQ23" i="12"/>
  <c r="AV23" i="12" s="1"/>
  <c r="AS30" i="12"/>
  <c r="AW30" i="12" s="1"/>
  <c r="AQ37" i="12"/>
  <c r="AV37" i="12" s="1"/>
  <c r="AS42" i="12"/>
  <c r="AW42" i="12" s="1"/>
  <c r="AO48" i="12"/>
  <c r="Y49" i="41" s="1"/>
  <c r="AQ53" i="12"/>
  <c r="AV53" i="12" s="1"/>
  <c r="AY8" i="26"/>
  <c r="BD8" i="26" s="1"/>
  <c r="AY15" i="26"/>
  <c r="BD15" i="26" s="1"/>
  <c r="AW20" i="26"/>
  <c r="AB21" i="41" s="1"/>
  <c r="AY27" i="26"/>
  <c r="BD27" i="26" s="1"/>
  <c r="AW32" i="26"/>
  <c r="AB33" i="41" s="1"/>
  <c r="AW39" i="26"/>
  <c r="AB40" i="41" s="1"/>
  <c r="AX26" i="10"/>
  <c r="BC26" i="10" s="1"/>
  <c r="AN51" i="33"/>
  <c r="S52" i="41" s="1"/>
  <c r="AU6" i="14"/>
  <c r="AY6" i="14" s="1"/>
  <c r="AH47" i="21"/>
  <c r="BL48" i="41" s="1"/>
  <c r="AJ53" i="7"/>
  <c r="J54" i="41" s="1"/>
  <c r="AV40" i="10"/>
  <c r="M41" i="41" s="1"/>
  <c r="BH31" i="11"/>
  <c r="BL31" i="11" s="1"/>
  <c r="AQ13" i="12"/>
  <c r="AV13" i="12" s="1"/>
  <c r="AY51" i="13"/>
  <c r="BC51" i="13" s="1"/>
  <c r="AJ44" i="36"/>
  <c r="AO44" i="36" s="1"/>
  <c r="BF7" i="11"/>
  <c r="BK7" i="11" s="1"/>
  <c r="BF50" i="11"/>
  <c r="BK50" i="11" s="1"/>
  <c r="AN24" i="33"/>
  <c r="S25" i="41" s="1"/>
  <c r="AS48" i="14"/>
  <c r="AX48" i="14" s="1"/>
  <c r="AS34" i="19"/>
  <c r="AX34" i="19" s="1"/>
  <c r="AJ33" i="7"/>
  <c r="J34" i="41" s="1"/>
  <c r="AS20" i="34"/>
  <c r="AW20" i="34" s="1"/>
  <c r="AU49" i="15"/>
  <c r="AY49" i="15" s="1"/>
  <c r="AM42" i="35"/>
  <c r="AR42" i="35" s="1"/>
  <c r="AL26" i="7"/>
  <c r="AQ26" i="7" s="1"/>
  <c r="AY48" i="26"/>
  <c r="BD48" i="26" s="1"/>
  <c r="AU12" i="14"/>
  <c r="AY12" i="14" s="1"/>
  <c r="AI12" i="17"/>
  <c r="AM12" i="17" s="1"/>
  <c r="AQ35" i="18"/>
  <c r="AT36" i="41" s="1"/>
  <c r="AS49" i="19"/>
  <c r="AX49" i="19" s="1"/>
  <c r="AJ32" i="36"/>
  <c r="AO32" i="36" s="1"/>
  <c r="AH47" i="20"/>
  <c r="BF48" i="41" s="1"/>
  <c r="AO7" i="27"/>
  <c r="AS7" i="27" s="1"/>
  <c r="AH52" i="22"/>
  <c r="BO53" i="41" s="1"/>
  <c r="AX9" i="10"/>
  <c r="BC9" i="10" s="1"/>
  <c r="AZ53" i="10"/>
  <c r="BD53" i="10" s="1"/>
  <c r="AR38" i="33"/>
  <c r="AV38" i="33" s="1"/>
  <c r="AQ29" i="34"/>
  <c r="AV29" i="34" s="1"/>
  <c r="AO41" i="12"/>
  <c r="Y42" i="41" s="1"/>
  <c r="AS51" i="12"/>
  <c r="AW51" i="12" s="1"/>
  <c r="AY43" i="26"/>
  <c r="BD43" i="26" s="1"/>
  <c r="AS21" i="14"/>
  <c r="AX21" i="14" s="1"/>
  <c r="AI18" i="17"/>
  <c r="AM18" i="17" s="1"/>
  <c r="AS19" i="19"/>
  <c r="AX19" i="19" s="1"/>
  <c r="AH53" i="36"/>
  <c r="BC54" i="41" s="1"/>
  <c r="AL44" i="20"/>
  <c r="AP44" i="20" s="1"/>
  <c r="AS25" i="34"/>
  <c r="AW25" i="34" s="1"/>
  <c r="AO53" i="34"/>
  <c r="V54" i="41" s="1"/>
  <c r="AW26" i="13"/>
  <c r="BB26" i="13" s="1"/>
  <c r="AS12" i="15"/>
  <c r="AX12" i="15" s="1"/>
  <c r="AE40" i="17"/>
  <c r="AQ41" i="41" s="1"/>
  <c r="AU36" i="19"/>
  <c r="AY36" i="19" s="1"/>
  <c r="AK46" i="35"/>
  <c r="AZ47" i="41" s="1"/>
  <c r="AH32" i="20"/>
  <c r="BF33" i="41" s="1"/>
  <c r="AJ49" i="23"/>
  <c r="AO49" i="23" s="1"/>
  <c r="AJ11" i="7"/>
  <c r="J12" i="41" s="1"/>
  <c r="AJ31" i="7"/>
  <c r="J32" i="41" s="1"/>
  <c r="AL49" i="7"/>
  <c r="AQ49" i="7" s="1"/>
  <c r="AZ9" i="10"/>
  <c r="BD9" i="10" s="1"/>
  <c r="AV34" i="10"/>
  <c r="M35" i="41" s="1"/>
  <c r="AV45" i="10"/>
  <c r="M46" i="41" s="1"/>
  <c r="BH7" i="11"/>
  <c r="BL7" i="11" s="1"/>
  <c r="BH18" i="11"/>
  <c r="BL18" i="11" s="1"/>
  <c r="BD43" i="11"/>
  <c r="P44" i="41" s="1"/>
  <c r="BF53" i="11"/>
  <c r="BK53" i="11" s="1"/>
  <c r="AP13" i="33"/>
  <c r="AU13" i="33" s="1"/>
  <c r="AR37" i="33"/>
  <c r="AV37" i="33" s="1"/>
  <c r="AN50" i="33"/>
  <c r="S51" i="41" s="1"/>
  <c r="AS12" i="34"/>
  <c r="AW12" i="34" s="1"/>
  <c r="AS34" i="34"/>
  <c r="AW34" i="34" s="1"/>
  <c r="AS46" i="34"/>
  <c r="AW46" i="34" s="1"/>
  <c r="AO8" i="12"/>
  <c r="Y9" i="41" s="1"/>
  <c r="AQ28" i="12"/>
  <c r="AV28" i="12" s="1"/>
  <c r="AY20" i="26"/>
  <c r="BD20" i="26" s="1"/>
  <c r="BA32" i="26"/>
  <c r="BE32" i="26" s="1"/>
  <c r="AW6" i="13"/>
  <c r="BB6" i="13" s="1"/>
  <c r="AW34" i="13"/>
  <c r="BB34" i="13" s="1"/>
  <c r="AS8" i="14"/>
  <c r="AX8" i="14" s="1"/>
  <c r="AU32" i="14"/>
  <c r="AY32" i="14" s="1"/>
  <c r="AU44" i="14"/>
  <c r="AY44" i="14" s="1"/>
  <c r="AS5" i="15"/>
  <c r="AX5" i="15" s="1"/>
  <c r="AQ30" i="15"/>
  <c r="AK31" i="41" s="1"/>
  <c r="AS47" i="15"/>
  <c r="AX47" i="15" s="1"/>
  <c r="AG25" i="17"/>
  <c r="AL25" i="17" s="1"/>
  <c r="AI37" i="17"/>
  <c r="AM37" i="17" s="1"/>
  <c r="AG54" i="17"/>
  <c r="AL54" i="17" s="1"/>
  <c r="AU16" i="18"/>
  <c r="AY16" i="18" s="1"/>
  <c r="AQ52" i="18"/>
  <c r="AT53" i="41" s="1"/>
  <c r="AS12" i="19"/>
  <c r="AX12" i="19" s="1"/>
  <c r="AU29" i="19"/>
  <c r="AY29" i="19" s="1"/>
  <c r="AO12" i="35"/>
  <c r="AS12" i="35" s="1"/>
  <c r="AM21" i="35"/>
  <c r="AR21" i="35" s="1"/>
  <c r="AO33" i="35"/>
  <c r="AS33" i="35" s="1"/>
  <c r="AO42" i="35"/>
  <c r="AS42" i="35" s="1"/>
  <c r="AK49" i="35"/>
  <c r="AZ50" i="41" s="1"/>
  <c r="AJ6" i="36"/>
  <c r="AO6" i="36" s="1"/>
  <c r="AL33" i="36"/>
  <c r="AP33" i="36" s="1"/>
  <c r="AH7" i="20"/>
  <c r="BF8" i="41" s="1"/>
  <c r="AJ23" i="20"/>
  <c r="AO23" i="20" s="1"/>
  <c r="AH31" i="20"/>
  <c r="BF32" i="41" s="1"/>
  <c r="AO20" i="27"/>
  <c r="AS20" i="27" s="1"/>
  <c r="AM29" i="27"/>
  <c r="AR29" i="27" s="1"/>
  <c r="AK51" i="27"/>
  <c r="BI52" i="41" s="1"/>
  <c r="AH14" i="21"/>
  <c r="BL15" i="41" s="1"/>
  <c r="AJ20" i="21"/>
  <c r="AO20" i="21" s="1"/>
  <c r="AJ5" i="22"/>
  <c r="AO5" i="22" s="1"/>
  <c r="AH43" i="22"/>
  <c r="BO44" i="41" s="1"/>
  <c r="AL45" i="23"/>
  <c r="AP45" i="23" s="1"/>
  <c r="AL53" i="23"/>
  <c r="AP53" i="23" s="1"/>
  <c r="AJ19" i="7"/>
  <c r="J20" i="41" s="1"/>
  <c r="AJ27" i="7"/>
  <c r="J28" i="41" s="1"/>
  <c r="AN42" i="7"/>
  <c r="AR42" i="7" s="1"/>
  <c r="AJ51" i="7"/>
  <c r="J52" i="41" s="1"/>
  <c r="AZ18" i="10"/>
  <c r="BD18" i="10" s="1"/>
  <c r="AX28" i="10"/>
  <c r="BC28" i="10" s="1"/>
  <c r="AZ36" i="10"/>
  <c r="BD36" i="10" s="1"/>
  <c r="AV43" i="10"/>
  <c r="M44" i="41" s="1"/>
  <c r="AZ51" i="10"/>
  <c r="BD51" i="10" s="1"/>
  <c r="BD8" i="11"/>
  <c r="P9" i="41" s="1"/>
  <c r="BH28" i="11"/>
  <c r="BL28" i="11" s="1"/>
  <c r="BD36" i="11"/>
  <c r="P37" i="41" s="1"/>
  <c r="BH44" i="11"/>
  <c r="BL44" i="11" s="1"/>
  <c r="BD51" i="11"/>
  <c r="P52" i="41" s="1"/>
  <c r="AN21" i="33"/>
  <c r="S22" i="41" s="1"/>
  <c r="AN27" i="33"/>
  <c r="S28" i="41" s="1"/>
  <c r="AN32" i="33"/>
  <c r="S33" i="41" s="1"/>
  <c r="AP39" i="33"/>
  <c r="AU39" i="33" s="1"/>
  <c r="AN44" i="33"/>
  <c r="S45" i="41" s="1"/>
  <c r="AP50" i="33"/>
  <c r="AU50" i="33" s="1"/>
  <c r="AS5" i="34"/>
  <c r="AW5" i="34" s="1"/>
  <c r="AS22" i="34"/>
  <c r="AW22" i="34" s="1"/>
  <c r="AO30" i="34"/>
  <c r="V31" i="41" s="1"/>
  <c r="AO35" i="34"/>
  <c r="V36" i="41" s="1"/>
  <c r="AO42" i="34"/>
  <c r="V43" i="41" s="1"/>
  <c r="AO47" i="34"/>
  <c r="V48" i="41" s="1"/>
  <c r="AQ52" i="34"/>
  <c r="AV52" i="34" s="1"/>
  <c r="AO15" i="12"/>
  <c r="Y16" i="41" s="1"/>
  <c r="AO23" i="12"/>
  <c r="Y24" i="41" s="1"/>
  <c r="AO33" i="12"/>
  <c r="Y34" i="41" s="1"/>
  <c r="AQ40" i="12"/>
  <c r="AV40" i="12" s="1"/>
  <c r="AS45" i="12"/>
  <c r="AW45" i="12" s="1"/>
  <c r="AO51" i="12"/>
  <c r="Y52" i="41" s="1"/>
  <c r="AY7" i="26"/>
  <c r="BD7" i="26" s="1"/>
  <c r="AY12" i="26"/>
  <c r="BD12" i="26" s="1"/>
  <c r="AY18" i="26"/>
  <c r="BD18" i="26" s="1"/>
  <c r="BA24" i="26"/>
  <c r="BE24" i="26" s="1"/>
  <c r="AY29" i="26"/>
  <c r="BD29" i="26" s="1"/>
  <c r="BA47" i="26"/>
  <c r="BE47" i="26" s="1"/>
  <c r="AW53" i="26"/>
  <c r="AB54" i="41" s="1"/>
  <c r="AW14" i="13"/>
  <c r="BB14" i="13" s="1"/>
  <c r="AY29" i="13"/>
  <c r="BC29" i="13" s="1"/>
  <c r="AW42" i="13"/>
  <c r="BB42" i="13" s="1"/>
  <c r="AU14" i="14"/>
  <c r="AY14" i="14" s="1"/>
  <c r="AQ22" i="14"/>
  <c r="AH23" i="41" s="1"/>
  <c r="AQ27" i="14"/>
  <c r="AH28" i="41" s="1"/>
  <c r="AQ34" i="14"/>
  <c r="AH35" i="41" s="1"/>
  <c r="AQ39" i="14"/>
  <c r="AH40" i="41" s="1"/>
  <c r="AQ45" i="14"/>
  <c r="AH46" i="41" s="1"/>
  <c r="AS15" i="15"/>
  <c r="AX15" i="15" s="1"/>
  <c r="AS20" i="15"/>
  <c r="AX20" i="15" s="1"/>
  <c r="AS26" i="15"/>
  <c r="AX26" i="15" s="1"/>
  <c r="AU37" i="15"/>
  <c r="AY37" i="15" s="1"/>
  <c r="AU42" i="15"/>
  <c r="AY42" i="15" s="1"/>
  <c r="AI15" i="17"/>
  <c r="AM15" i="17" s="1"/>
  <c r="AI21" i="17"/>
  <c r="AM21" i="17" s="1"/>
  <c r="AE27" i="17"/>
  <c r="AQ28" i="41" s="1"/>
  <c r="AG39" i="17"/>
  <c r="AL39" i="17" s="1"/>
  <c r="AG44" i="17"/>
  <c r="AL44" i="17" s="1"/>
  <c r="AG49" i="17"/>
  <c r="AL49" i="17" s="1"/>
  <c r="AI54" i="17"/>
  <c r="AM54" i="17" s="1"/>
  <c r="AU9" i="18"/>
  <c r="AY9" i="18" s="1"/>
  <c r="AQ32" i="18"/>
  <c r="AT33" i="41" s="1"/>
  <c r="AQ47" i="18"/>
  <c r="AT48" i="41" s="1"/>
  <c r="AS52" i="18"/>
  <c r="AX52" i="18" s="1"/>
  <c r="AU8" i="19"/>
  <c r="AY8" i="19" s="1"/>
  <c r="AS21" i="19"/>
  <c r="AX21" i="19" s="1"/>
  <c r="AQ45" i="19"/>
  <c r="AW46" i="41" s="1"/>
  <c r="AS51" i="19"/>
  <c r="AX51" i="19" s="1"/>
  <c r="AM6" i="35"/>
  <c r="AR6" i="35" s="1"/>
  <c r="AO11" i="35"/>
  <c r="AS11" i="35" s="1"/>
  <c r="AO17" i="35"/>
  <c r="AS17" i="35" s="1"/>
  <c r="AK29" i="35"/>
  <c r="AZ30" i="41" s="1"/>
  <c r="AK34" i="35"/>
  <c r="AZ35" i="41" s="1"/>
  <c r="AH15" i="36"/>
  <c r="BC16" i="41" s="1"/>
  <c r="AL31" i="36"/>
  <c r="AP31" i="36" s="1"/>
  <c r="AL53" i="36"/>
  <c r="AP53" i="36" s="1"/>
  <c r="AH44" i="20"/>
  <c r="BF45" i="41" s="1"/>
  <c r="AJ50" i="20"/>
  <c r="AO50" i="20" s="1"/>
  <c r="AO5" i="27"/>
  <c r="AS5" i="27" s="1"/>
  <c r="AO19" i="27"/>
  <c r="AS19" i="27" s="1"/>
  <c r="AO24" i="27"/>
  <c r="AS24" i="27" s="1"/>
  <c r="AK40" i="27"/>
  <c r="BI41" i="41" s="1"/>
  <c r="AL6" i="21"/>
  <c r="AP6" i="21" s="1"/>
  <c r="AH27" i="21"/>
  <c r="BL28" i="41" s="1"/>
  <c r="AJ32" i="21"/>
  <c r="AO32" i="21" s="1"/>
  <c r="AL26" i="22"/>
  <c r="AP26" i="22" s="1"/>
  <c r="AJ39" i="22"/>
  <c r="AO39" i="22" s="1"/>
  <c r="AL44" i="22"/>
  <c r="AP44" i="22" s="1"/>
  <c r="AL10" i="7"/>
  <c r="AQ10" i="7" s="1"/>
  <c r="AJ17" i="7"/>
  <c r="J18" i="41" s="1"/>
  <c r="AN23" i="7"/>
  <c r="AR23" i="7" s="1"/>
  <c r="AL37" i="7"/>
  <c r="AQ37" i="7" s="1"/>
  <c r="AJ44" i="7"/>
  <c r="J45" i="41" s="1"/>
  <c r="AX10" i="10"/>
  <c r="BC10" i="10" s="1"/>
  <c r="AX16" i="10"/>
  <c r="BC16" i="10" s="1"/>
  <c r="AX21" i="10"/>
  <c r="BC21" i="10" s="1"/>
  <c r="AZ28" i="10"/>
  <c r="BD28" i="10" s="1"/>
  <c r="AX33" i="10"/>
  <c r="BC33" i="10" s="1"/>
  <c r="BF13" i="11"/>
  <c r="BK13" i="11" s="1"/>
  <c r="BF20" i="11"/>
  <c r="BK20" i="11" s="1"/>
  <c r="BF25" i="11"/>
  <c r="BK25" i="11" s="1"/>
  <c r="BH32" i="11"/>
  <c r="BL32" i="11" s="1"/>
  <c r="BH37" i="11"/>
  <c r="BL37" i="11" s="1"/>
  <c r="AR6" i="33"/>
  <c r="AV6" i="33" s="1"/>
  <c r="AN14" i="33"/>
  <c r="S15" i="41" s="1"/>
  <c r="AN19" i="33"/>
  <c r="S20" i="41" s="1"/>
  <c r="AN26" i="33"/>
  <c r="S27" i="41" s="1"/>
  <c r="AN31" i="33"/>
  <c r="S32" i="41" s="1"/>
  <c r="AN37" i="33"/>
  <c r="S38" i="41" s="1"/>
  <c r="AO18" i="34"/>
  <c r="V19" i="41" s="1"/>
  <c r="AO23" i="34"/>
  <c r="V24" i="41" s="1"/>
  <c r="AO29" i="34"/>
  <c r="V30" i="41" s="1"/>
  <c r="AQ35" i="34"/>
  <c r="AV35" i="34" s="1"/>
  <c r="AO40" i="34"/>
  <c r="V41" i="41" s="1"/>
  <c r="AS9" i="12"/>
  <c r="AW9" i="12" s="1"/>
  <c r="AS17" i="12"/>
  <c r="AW17" i="12" s="1"/>
  <c r="AS27" i="12"/>
  <c r="AW27" i="12" s="1"/>
  <c r="AS36" i="12"/>
  <c r="AW36" i="12" s="1"/>
  <c r="AO42" i="12"/>
  <c r="Y43" i="41" s="1"/>
  <c r="AQ47" i="12"/>
  <c r="AV47" i="12" s="1"/>
  <c r="AS52" i="12"/>
  <c r="AW52" i="12" s="1"/>
  <c r="AW10" i="26"/>
  <c r="AB11" i="41" s="1"/>
  <c r="AW15" i="26"/>
  <c r="AB16" i="41" s="1"/>
  <c r="AW21" i="26"/>
  <c r="AB22" i="41" s="1"/>
  <c r="AY39" i="26"/>
  <c r="BD39" i="26" s="1"/>
  <c r="AY44" i="26"/>
  <c r="BD44" i="26" s="1"/>
  <c r="AY49" i="26"/>
  <c r="BD49" i="26" s="1"/>
  <c r="BA54" i="26"/>
  <c r="BE54" i="26" s="1"/>
  <c r="AW16" i="13"/>
  <c r="BB16" i="13" s="1"/>
  <c r="AU29" i="13"/>
  <c r="AE30" i="41" s="1"/>
  <c r="AY43" i="13"/>
  <c r="BC43" i="13" s="1"/>
  <c r="AS5" i="14"/>
  <c r="AX5" i="14" s="1"/>
  <c r="AS12" i="14"/>
  <c r="AX12" i="14" s="1"/>
  <c r="AS17" i="14"/>
  <c r="AX17" i="14" s="1"/>
  <c r="AU24" i="14"/>
  <c r="AY24" i="14" s="1"/>
  <c r="AU29" i="14"/>
  <c r="AY29" i="14" s="1"/>
  <c r="AU46" i="14"/>
  <c r="AY46" i="14" s="1"/>
  <c r="AQ52" i="14"/>
  <c r="AH53" i="41" s="1"/>
  <c r="AQ7" i="15"/>
  <c r="AK8" i="41" s="1"/>
  <c r="AQ12" i="15"/>
  <c r="AK13" i="41" s="1"/>
  <c r="AS19" i="15"/>
  <c r="AX19" i="15" s="1"/>
  <c r="AU31" i="15"/>
  <c r="AY31" i="15" s="1"/>
  <c r="AI13" i="17"/>
  <c r="AM13" i="17" s="1"/>
  <c r="AI20" i="17"/>
  <c r="AM20" i="17" s="1"/>
  <c r="AG33" i="17"/>
  <c r="AL33" i="17" s="1"/>
  <c r="AQ20" i="18"/>
  <c r="AT21" i="41" s="1"/>
  <c r="AS27" i="18"/>
  <c r="AX27" i="18" s="1"/>
  <c r="AS37" i="18"/>
  <c r="AX37" i="18" s="1"/>
  <c r="AU44" i="18"/>
  <c r="AY44" i="18" s="1"/>
  <c r="AQ50" i="18"/>
  <c r="AT51" i="41" s="1"/>
  <c r="AS5" i="19"/>
  <c r="AX5" i="19" s="1"/>
  <c r="AQ29" i="19"/>
  <c r="AW30" i="41" s="1"/>
  <c r="AQ43" i="19"/>
  <c r="AW44" i="41" s="1"/>
  <c r="AQ49" i="19"/>
  <c r="AW50" i="41" s="1"/>
  <c r="AS54" i="19"/>
  <c r="AX54" i="19" s="1"/>
  <c r="AO10" i="35"/>
  <c r="AS10" i="35" s="1"/>
  <c r="AO40" i="35"/>
  <c r="AS40" i="35" s="1"/>
  <c r="AK47" i="35"/>
  <c r="AZ48" i="41" s="1"/>
  <c r="AM52" i="35"/>
  <c r="AR52" i="35" s="1"/>
  <c r="AL23" i="36"/>
  <c r="AP23" i="36" s="1"/>
  <c r="AL22" i="20"/>
  <c r="AP22" i="20" s="1"/>
  <c r="AH43" i="20"/>
  <c r="BF44" i="41" s="1"/>
  <c r="AM13" i="27"/>
  <c r="AR13" i="27" s="1"/>
  <c r="AO18" i="27"/>
  <c r="AS18" i="27" s="1"/>
  <c r="AK35" i="27"/>
  <c r="BI36" i="41" s="1"/>
  <c r="AJ23" i="21"/>
  <c r="AO23" i="21" s="1"/>
  <c r="AL28" i="21"/>
  <c r="AP28" i="21" s="1"/>
  <c r="AH32" i="22"/>
  <c r="BO33" i="41" s="1"/>
  <c r="AL26" i="23"/>
  <c r="AP26" i="23" s="1"/>
  <c r="AH24" i="21"/>
  <c r="BL25" i="41" s="1"/>
  <c r="AL47" i="21"/>
  <c r="AP47" i="21" s="1"/>
  <c r="AH53" i="21"/>
  <c r="BL54" i="41" s="1"/>
  <c r="AH17" i="22"/>
  <c r="BO18" i="41" s="1"/>
  <c r="AJ23" i="22"/>
  <c r="AO23" i="22" s="1"/>
  <c r="AH31" i="22"/>
  <c r="BO32" i="41" s="1"/>
  <c r="AH36" i="22"/>
  <c r="BO37" i="41" s="1"/>
  <c r="AJ10" i="23"/>
  <c r="AO10" i="23" s="1"/>
  <c r="AL16" i="23"/>
  <c r="AP16" i="23" s="1"/>
  <c r="AH42" i="23"/>
  <c r="BR43" i="41" s="1"/>
  <c r="AJ47" i="23"/>
  <c r="AO47" i="23" s="1"/>
  <c r="AL52" i="23"/>
  <c r="AP52" i="23" s="1"/>
  <c r="AJ9" i="7"/>
  <c r="J10" i="41" s="1"/>
  <c r="AN17" i="7"/>
  <c r="AR17" i="7" s="1"/>
  <c r="AJ24" i="7"/>
  <c r="J25" i="41" s="1"/>
  <c r="AL30" i="7"/>
  <c r="AQ30" i="7" s="1"/>
  <c r="AJ39" i="7"/>
  <c r="J40" i="41" s="1"/>
  <c r="AL45" i="7"/>
  <c r="AQ45" i="7" s="1"/>
  <c r="AL51" i="7"/>
  <c r="AQ51" i="7" s="1"/>
  <c r="AZ7" i="10"/>
  <c r="BD7" i="10" s="1"/>
  <c r="AZ13" i="10"/>
  <c r="BD13" i="10" s="1"/>
  <c r="AZ20" i="10"/>
  <c r="BD20" i="10" s="1"/>
  <c r="AX25" i="10"/>
  <c r="BC25" i="10" s="1"/>
  <c r="AZ32" i="10"/>
  <c r="BD32" i="10" s="1"/>
  <c r="AX37" i="10"/>
  <c r="BC37" i="10" s="1"/>
  <c r="AX44" i="10"/>
  <c r="BC44" i="10" s="1"/>
  <c r="AX49" i="10"/>
  <c r="BC49" i="10" s="1"/>
  <c r="AZ54" i="10"/>
  <c r="BD54" i="10" s="1"/>
  <c r="BF9" i="11"/>
  <c r="BK9" i="11" s="1"/>
  <c r="BH16" i="11"/>
  <c r="BL16" i="11" s="1"/>
  <c r="BF21" i="11"/>
  <c r="BK21" i="11" s="1"/>
  <c r="BF28" i="11"/>
  <c r="BK28" i="11" s="1"/>
  <c r="BF34" i="11"/>
  <c r="BK34" i="11" s="1"/>
  <c r="BF40" i="11"/>
  <c r="BK40" i="11" s="1"/>
  <c r="BF47" i="11"/>
  <c r="BK47" i="11" s="1"/>
  <c r="BH52" i="11"/>
  <c r="BL52" i="11" s="1"/>
  <c r="AN10" i="33"/>
  <c r="S11" i="41" s="1"/>
  <c r="AR14" i="33"/>
  <c r="AV14" i="33" s="1"/>
  <c r="AN22" i="33"/>
  <c r="S23" i="41" s="1"/>
  <c r="AR26" i="33"/>
  <c r="AV26" i="33" s="1"/>
  <c r="AR33" i="33"/>
  <c r="AV33" i="33" s="1"/>
  <c r="AR39" i="33"/>
  <c r="AV39" i="33" s="1"/>
  <c r="AR45" i="33"/>
  <c r="AV45" i="33" s="1"/>
  <c r="AR50" i="33"/>
  <c r="AV50" i="33" s="1"/>
  <c r="AO6" i="34"/>
  <c r="V7" i="41" s="1"/>
  <c r="AS10" i="34"/>
  <c r="AW10" i="34" s="1"/>
  <c r="AS17" i="34"/>
  <c r="AW17" i="34" s="1"/>
  <c r="AS23" i="34"/>
  <c r="AW23" i="34" s="1"/>
  <c r="AS29" i="34"/>
  <c r="AW29" i="34" s="1"/>
  <c r="AS36" i="34"/>
  <c r="AW36" i="34" s="1"/>
  <c r="AQ41" i="34"/>
  <c r="AV41" i="34" s="1"/>
  <c r="AS48" i="34"/>
  <c r="AW48" i="34" s="1"/>
  <c r="AO54" i="34"/>
  <c r="V55" i="41" s="1"/>
  <c r="AQ11" i="12"/>
  <c r="AV11" i="12" s="1"/>
  <c r="AO18" i="12"/>
  <c r="Y19" i="41" s="1"/>
  <c r="AQ25" i="12"/>
  <c r="AV25" i="12" s="1"/>
  <c r="AS32" i="12"/>
  <c r="AW32" i="12" s="1"/>
  <c r="AS38" i="12"/>
  <c r="AW38" i="12" s="1"/>
  <c r="AO44" i="12"/>
  <c r="Y45" i="41" s="1"/>
  <c r="AQ49" i="12"/>
  <c r="AV49" i="12" s="1"/>
  <c r="AS54" i="12"/>
  <c r="AW54" i="12" s="1"/>
  <c r="AY9" i="26"/>
  <c r="BD9" i="26" s="1"/>
  <c r="BA16" i="26"/>
  <c r="BE16" i="26" s="1"/>
  <c r="AY21" i="26"/>
  <c r="BD21" i="26" s="1"/>
  <c r="AY28" i="26"/>
  <c r="BD28" i="26" s="1"/>
  <c r="AY34" i="26"/>
  <c r="BD34" i="26" s="1"/>
  <c r="AY40" i="26"/>
  <c r="BD40" i="26" s="1"/>
  <c r="AY47" i="26"/>
  <c r="BD47" i="26" s="1"/>
  <c r="BA52" i="26"/>
  <c r="BE52" i="26" s="1"/>
  <c r="AW12" i="13"/>
  <c r="BB12" i="13" s="1"/>
  <c r="AU23" i="13"/>
  <c r="AE24" i="41" s="1"/>
  <c r="AY33" i="13"/>
  <c r="BC33" i="13" s="1"/>
  <c r="AW44" i="13"/>
  <c r="BB44" i="13" s="1"/>
  <c r="AQ5" i="14"/>
  <c r="AH6" i="41" s="1"/>
  <c r="AQ11" i="14"/>
  <c r="AH12" i="41" s="1"/>
  <c r="AQ18" i="14"/>
  <c r="AH19" i="41" s="1"/>
  <c r="AU22" i="14"/>
  <c r="AY22" i="14" s="1"/>
  <c r="AQ30" i="14"/>
  <c r="AH31" i="41" s="1"/>
  <c r="AU34" i="14"/>
  <c r="AY34" i="14" s="1"/>
  <c r="AU41" i="14"/>
  <c r="AY41" i="14" s="1"/>
  <c r="AU47" i="14"/>
  <c r="AY47" i="14" s="1"/>
  <c r="AQ53" i="14"/>
  <c r="AH54" i="41" s="1"/>
  <c r="AQ8" i="15"/>
  <c r="AK9" i="41" s="1"/>
  <c r="AQ15" i="15"/>
  <c r="AK16" i="41" s="1"/>
  <c r="AQ21" i="15"/>
  <c r="AK22" i="41" s="1"/>
  <c r="AQ27" i="15"/>
  <c r="AK28" i="41" s="1"/>
  <c r="AQ32" i="15"/>
  <c r="AK33" i="41" s="1"/>
  <c r="AS39" i="15"/>
  <c r="AX39" i="15" s="1"/>
  <c r="AQ44" i="15"/>
  <c r="AK45" i="41" s="1"/>
  <c r="AS50" i="15"/>
  <c r="AX50" i="15" s="1"/>
  <c r="AI5" i="17"/>
  <c r="AM5" i="17" s="1"/>
  <c r="AI22" i="17"/>
  <c r="AM22" i="17" s="1"/>
  <c r="AE30" i="17"/>
  <c r="AQ31" i="41" s="1"/>
  <c r="AE35" i="17"/>
  <c r="AQ36" i="41" s="1"/>
  <c r="AE42" i="17"/>
  <c r="AQ43" i="41" s="1"/>
  <c r="AE47" i="17"/>
  <c r="AQ48" i="41" s="1"/>
  <c r="AG52" i="17"/>
  <c r="AL52" i="17" s="1"/>
  <c r="AU19" i="18"/>
  <c r="AY19" i="18" s="1"/>
  <c r="AU25" i="18"/>
  <c r="AY25" i="18" s="1"/>
  <c r="AU30" i="18"/>
  <c r="AY30" i="18" s="1"/>
  <c r="AQ38" i="18"/>
  <c r="AT39" i="41" s="1"/>
  <c r="AU42" i="18"/>
  <c r="AY42" i="18" s="1"/>
  <c r="AU10" i="19"/>
  <c r="AY10" i="19" s="1"/>
  <c r="AU17" i="19"/>
  <c r="AY17" i="19" s="1"/>
  <c r="AU22" i="19"/>
  <c r="AY22" i="19" s="1"/>
  <c r="AQ30" i="19"/>
  <c r="AW31" i="41" s="1"/>
  <c r="AQ35" i="19"/>
  <c r="AW36" i="41" s="1"/>
  <c r="AO8" i="35"/>
  <c r="AS8" i="35" s="1"/>
  <c r="AK16" i="35"/>
  <c r="AZ17" i="41" s="1"/>
  <c r="AK21" i="35"/>
  <c r="AZ22" i="41" s="1"/>
  <c r="AK28" i="35"/>
  <c r="AZ29" i="41" s="1"/>
  <c r="AK33" i="35"/>
  <c r="AZ34" i="41" s="1"/>
  <c r="AK39" i="35"/>
  <c r="AZ40" i="41" s="1"/>
  <c r="AJ18" i="36"/>
  <c r="AO18" i="36" s="1"/>
  <c r="AJ42" i="36"/>
  <c r="AO42" i="36" s="1"/>
  <c r="AH5" i="20"/>
  <c r="BF6" i="41" s="1"/>
  <c r="AH19" i="20"/>
  <c r="BF20" i="41" s="1"/>
  <c r="AH26" i="20"/>
  <c r="BF27" i="41" s="1"/>
  <c r="AL38" i="20"/>
  <c r="AP38" i="20" s="1"/>
  <c r="AM19" i="27"/>
  <c r="AR19" i="27" s="1"/>
  <c r="AM26" i="27"/>
  <c r="AR26" i="27" s="1"/>
  <c r="AO31" i="27"/>
  <c r="AS31" i="27" s="1"/>
  <c r="AO37" i="27"/>
  <c r="AS37" i="27" s="1"/>
  <c r="AK49" i="27"/>
  <c r="BI50" i="41" s="1"/>
  <c r="AM54" i="27"/>
  <c r="AR54" i="27" s="1"/>
  <c r="AJ9" i="21"/>
  <c r="AO9" i="21" s="1"/>
  <c r="AH32" i="21"/>
  <c r="BL33" i="41" s="1"/>
  <c r="AJ39" i="21"/>
  <c r="AO39" i="21" s="1"/>
  <c r="AH6" i="22"/>
  <c r="BO7" i="41" s="1"/>
  <c r="AH11" i="22"/>
  <c r="BO12" i="41" s="1"/>
  <c r="AH16" i="22"/>
  <c r="BO17" i="41" s="1"/>
  <c r="AL46" i="22"/>
  <c r="AP46" i="22" s="1"/>
  <c r="AH53" i="22"/>
  <c r="BO54" i="41" s="1"/>
  <c r="AJ8" i="23"/>
  <c r="AO8" i="23" s="1"/>
  <c r="AJ23" i="23"/>
  <c r="AO23" i="23" s="1"/>
  <c r="AJ28" i="23"/>
  <c r="AO28" i="23" s="1"/>
  <c r="AL39" i="23"/>
  <c r="AP39" i="23" s="1"/>
  <c r="AS25" i="15"/>
  <c r="AX25" i="15" s="1"/>
  <c r="AU32" i="15"/>
  <c r="AY32" i="15" s="1"/>
  <c r="AS37" i="15"/>
  <c r="AX37" i="15" s="1"/>
  <c r="AS44" i="15"/>
  <c r="AX44" i="15" s="1"/>
  <c r="AS49" i="15"/>
  <c r="AX49" i="15" s="1"/>
  <c r="AU54" i="15"/>
  <c r="AY54" i="15" s="1"/>
  <c r="AG9" i="17"/>
  <c r="AL9" i="17" s="1"/>
  <c r="AI16" i="17"/>
  <c r="AM16" i="17" s="1"/>
  <c r="AG21" i="17"/>
  <c r="AL21" i="17" s="1"/>
  <c r="AG28" i="17"/>
  <c r="AL28" i="17" s="1"/>
  <c r="AG34" i="17"/>
  <c r="AL34" i="17" s="1"/>
  <c r="AG40" i="17"/>
  <c r="AL40" i="17" s="1"/>
  <c r="AG47" i="17"/>
  <c r="AL47" i="17" s="1"/>
  <c r="AI52" i="17"/>
  <c r="AM52" i="17" s="1"/>
  <c r="AQ10" i="18"/>
  <c r="AT11" i="41" s="1"/>
  <c r="AU14" i="18"/>
  <c r="AY14" i="18" s="1"/>
  <c r="AU21" i="18"/>
  <c r="AY21" i="18" s="1"/>
  <c r="AU27" i="18"/>
  <c r="AY27" i="18" s="1"/>
  <c r="AU33" i="18"/>
  <c r="AY33" i="18" s="1"/>
  <c r="AU40" i="18"/>
  <c r="AY40" i="18" s="1"/>
  <c r="AS45" i="18"/>
  <c r="AX45" i="18" s="1"/>
  <c r="AU51" i="18"/>
  <c r="AY51" i="18" s="1"/>
  <c r="AU6" i="19"/>
  <c r="AY6" i="19" s="1"/>
  <c r="AQ14" i="19"/>
  <c r="AW15" i="41" s="1"/>
  <c r="AU18" i="19"/>
  <c r="AY18" i="19" s="1"/>
  <c r="AU25" i="19"/>
  <c r="AY25" i="19" s="1"/>
  <c r="AU31" i="19"/>
  <c r="AY31" i="19" s="1"/>
  <c r="AU37" i="19"/>
  <c r="AY37" i="19" s="1"/>
  <c r="AU44" i="19"/>
  <c r="AY44" i="19" s="1"/>
  <c r="AU49" i="19"/>
  <c r="AY49" i="19" s="1"/>
  <c r="AK5" i="35"/>
  <c r="AZ6" i="41" s="1"/>
  <c r="AK12" i="35"/>
  <c r="AZ13" i="41" s="1"/>
  <c r="AO16" i="35"/>
  <c r="AS16" i="35" s="1"/>
  <c r="AK24" i="35"/>
  <c r="AZ25" i="41" s="1"/>
  <c r="AO28" i="35"/>
  <c r="AS28" i="35" s="1"/>
  <c r="AO35" i="35"/>
  <c r="AS35" i="35" s="1"/>
  <c r="AO41" i="35"/>
  <c r="AS41" i="35" s="1"/>
  <c r="AK48" i="35"/>
  <c r="AZ49" i="41" s="1"/>
  <c r="AM53" i="35"/>
  <c r="AR53" i="35" s="1"/>
  <c r="AH11" i="36"/>
  <c r="BC12" i="41" s="1"/>
  <c r="AL21" i="36"/>
  <c r="AP21" i="36" s="1"/>
  <c r="AJ34" i="36"/>
  <c r="AO34" i="36" s="1"/>
  <c r="AH47" i="36"/>
  <c r="BC48" i="41" s="1"/>
  <c r="AL8" i="20"/>
  <c r="AP8" i="20" s="1"/>
  <c r="AJ13" i="20"/>
  <c r="AO13" i="20" s="1"/>
  <c r="BF18" i="11"/>
  <c r="BK18" i="11" s="1"/>
  <c r="AE5" i="17"/>
  <c r="AQ6" i="41" s="1"/>
  <c r="AV7" i="10"/>
  <c r="M8" i="41" s="1"/>
  <c r="AN13" i="33"/>
  <c r="S14" i="41" s="1"/>
  <c r="AQ10" i="15"/>
  <c r="AK11" i="41" s="1"/>
  <c r="BD27" i="11"/>
  <c r="P28" i="41" s="1"/>
  <c r="AO10" i="12"/>
  <c r="Y11" i="41" s="1"/>
  <c r="AL15" i="36"/>
  <c r="AP15" i="36" s="1"/>
  <c r="BA28" i="26"/>
  <c r="BE28" i="26" s="1"/>
  <c r="AL53" i="21"/>
  <c r="AP53" i="21" s="1"/>
  <c r="AY52" i="26"/>
  <c r="BD52" i="26" s="1"/>
  <c r="AS41" i="18"/>
  <c r="AX41" i="18" s="1"/>
  <c r="AS53" i="19"/>
  <c r="AX53" i="19" s="1"/>
  <c r="AH51" i="20"/>
  <c r="BF52" i="41" s="1"/>
  <c r="AH6" i="23"/>
  <c r="BR7" i="41" s="1"/>
  <c r="BD22" i="11"/>
  <c r="P23" i="41" s="1"/>
  <c r="AS25" i="12"/>
  <c r="AW25" i="12" s="1"/>
  <c r="BA5" i="26"/>
  <c r="BE5" i="26" s="1"/>
  <c r="AS43" i="14"/>
  <c r="AX43" i="14" s="1"/>
  <c r="AS44" i="19"/>
  <c r="AX44" i="19" s="1"/>
  <c r="AJ21" i="21"/>
  <c r="AO21" i="21" s="1"/>
  <c r="AQ22" i="12"/>
  <c r="AV22" i="12" s="1"/>
  <c r="AU34" i="15"/>
  <c r="AY34" i="15" s="1"/>
  <c r="AU40" i="19"/>
  <c r="AY40" i="19" s="1"/>
  <c r="AJ16" i="21"/>
  <c r="AO16" i="21" s="1"/>
  <c r="AJ21" i="7"/>
  <c r="J22" i="41" s="1"/>
  <c r="AL53" i="7"/>
  <c r="AQ53" i="7" s="1"/>
  <c r="AZ37" i="10"/>
  <c r="BD37" i="10" s="1"/>
  <c r="BH12" i="11"/>
  <c r="BL12" i="11" s="1"/>
  <c r="AQ31" i="12"/>
  <c r="AV31" i="12" s="1"/>
  <c r="AN47" i="7"/>
  <c r="AR47" i="7" s="1"/>
  <c r="BF12" i="11"/>
  <c r="BK12" i="11" s="1"/>
  <c r="AW8" i="26"/>
  <c r="AB9" i="41" s="1"/>
  <c r="AX15" i="10"/>
  <c r="BC15" i="10" s="1"/>
  <c r="AR5" i="33"/>
  <c r="AV5" i="33" s="1"/>
  <c r="AU53" i="14"/>
  <c r="AY53" i="14" s="1"/>
  <c r="AR16" i="33"/>
  <c r="AV16" i="33" s="1"/>
  <c r="AS16" i="18"/>
  <c r="AX16" i="18" s="1"/>
  <c r="AY32" i="26"/>
  <c r="BD32" i="26" s="1"/>
  <c r="AG7" i="17"/>
  <c r="AL7" i="17" s="1"/>
  <c r="AQ23" i="19"/>
  <c r="AW24" i="41" s="1"/>
  <c r="AJ15" i="20"/>
  <c r="AO15" i="20" s="1"/>
  <c r="AK43" i="27"/>
  <c r="BI44" i="41" s="1"/>
  <c r="AX48" i="10"/>
  <c r="BC48" i="10" s="1"/>
  <c r="AO11" i="34"/>
  <c r="V12" i="41" s="1"/>
  <c r="AQ46" i="12"/>
  <c r="AV46" i="12" s="1"/>
  <c r="AU41" i="13"/>
  <c r="AE42" i="41" s="1"/>
  <c r="AQ9" i="18"/>
  <c r="AT10" i="41" s="1"/>
  <c r="AL36" i="20"/>
  <c r="AP36" i="20" s="1"/>
  <c r="AS47" i="34"/>
  <c r="AW47" i="34" s="1"/>
  <c r="AQ19" i="14"/>
  <c r="AH20" i="41" s="1"/>
  <c r="AQ25" i="18"/>
  <c r="AT26" i="41" s="1"/>
  <c r="AM51" i="35"/>
  <c r="AR51" i="35" s="1"/>
  <c r="AL54" i="23"/>
  <c r="AP54" i="23" s="1"/>
  <c r="AL42" i="7"/>
  <c r="AQ42" i="7" s="1"/>
  <c r="AZ15" i="10"/>
  <c r="BD15" i="10" s="1"/>
  <c r="AX51" i="10"/>
  <c r="BC51" i="10" s="1"/>
  <c r="BD37" i="11"/>
  <c r="P38" i="41" s="1"/>
  <c r="AR8" i="33"/>
  <c r="AV8" i="33" s="1"/>
  <c r="AR42" i="33"/>
  <c r="AV42" i="33" s="1"/>
  <c r="AQ17" i="34"/>
  <c r="AV17" i="34" s="1"/>
  <c r="AO52" i="34"/>
  <c r="V53" i="41" s="1"/>
  <c r="AY13" i="26"/>
  <c r="BD13" i="26" s="1"/>
  <c r="BA37" i="26"/>
  <c r="BE37" i="26" s="1"/>
  <c r="AU49" i="13"/>
  <c r="AE50" i="41" s="1"/>
  <c r="AU37" i="14"/>
  <c r="AY37" i="14" s="1"/>
  <c r="AU23" i="15"/>
  <c r="AY23" i="15" s="1"/>
  <c r="AU52" i="15"/>
  <c r="AY52" i="15" s="1"/>
  <c r="AE49" i="17"/>
  <c r="AQ50" i="41" s="1"/>
  <c r="AS30" i="18"/>
  <c r="AX30" i="18" s="1"/>
  <c r="AS18" i="19"/>
  <c r="AX18" i="19" s="1"/>
  <c r="AM17" i="35"/>
  <c r="AR17" i="35" s="1"/>
  <c r="AO38" i="35"/>
  <c r="AS38" i="35" s="1"/>
  <c r="AK53" i="35"/>
  <c r="AZ54" i="41" s="1"/>
  <c r="AH37" i="36"/>
  <c r="BC38" i="41" s="1"/>
  <c r="AH27" i="20"/>
  <c r="BF28" i="41" s="1"/>
  <c r="AO26" i="27"/>
  <c r="AS26" i="27" s="1"/>
  <c r="AO53" i="27"/>
  <c r="AS53" i="27" s="1"/>
  <c r="AH37" i="21"/>
  <c r="BL38" i="41" s="1"/>
  <c r="AH47" i="22"/>
  <c r="BO48" i="41" s="1"/>
  <c r="AN6" i="7"/>
  <c r="AR6" i="7" s="1"/>
  <c r="AJ37" i="7"/>
  <c r="J38" i="41" s="1"/>
  <c r="AV5" i="10"/>
  <c r="M6" i="41" s="1"/>
  <c r="AZ30" i="10"/>
  <c r="BD30" i="10" s="1"/>
  <c r="AZ47" i="10"/>
  <c r="BD47" i="10" s="1"/>
  <c r="BD24" i="11"/>
  <c r="P25" i="41" s="1"/>
  <c r="BH39" i="11"/>
  <c r="BL39" i="11" s="1"/>
  <c r="AN5" i="33"/>
  <c r="S6" i="41" s="1"/>
  <c r="AR29" i="33"/>
  <c r="AV29" i="33" s="1"/>
  <c r="AR41" i="33"/>
  <c r="AV41" i="33" s="1"/>
  <c r="AN53" i="33"/>
  <c r="S54" i="41" s="1"/>
  <c r="AQ26" i="34"/>
  <c r="AV26" i="34" s="1"/>
  <c r="AQ37" i="34"/>
  <c r="AV37" i="34" s="1"/>
  <c r="AS49" i="34"/>
  <c r="AW49" i="34" s="1"/>
  <c r="AQ19" i="12"/>
  <c r="AV19" i="12" s="1"/>
  <c r="AS37" i="12"/>
  <c r="AW37" i="12" s="1"/>
  <c r="AQ48" i="12"/>
  <c r="AV48" i="12" s="1"/>
  <c r="BA9" i="26"/>
  <c r="BE9" i="26" s="1"/>
  <c r="AW22" i="26"/>
  <c r="AB23" i="41" s="1"/>
  <c r="AW44" i="26"/>
  <c r="AB45" i="41" s="1"/>
  <c r="AW8" i="13"/>
  <c r="BB8" i="13" s="1"/>
  <c r="AY35" i="13"/>
  <c r="BC35" i="13" s="1"/>
  <c r="AS18" i="14"/>
  <c r="AX18" i="14" s="1"/>
  <c r="AS29" i="14"/>
  <c r="AX29" i="14" s="1"/>
  <c r="AS41" i="14"/>
  <c r="AX41" i="14" s="1"/>
  <c r="AU17" i="15"/>
  <c r="AY17" i="15" s="1"/>
  <c r="AS35" i="15"/>
  <c r="AX35" i="15" s="1"/>
  <c r="AE12" i="17"/>
  <c r="AQ13" i="41" s="1"/>
  <c r="AG24" i="17"/>
  <c r="AL24" i="17" s="1"/>
  <c r="AI41" i="17"/>
  <c r="AM41" i="17" s="1"/>
  <c r="AE52" i="17"/>
  <c r="AQ53" i="41" s="1"/>
  <c r="AQ12" i="18"/>
  <c r="AT13" i="41" s="1"/>
  <c r="AU49" i="18"/>
  <c r="AY49" i="18" s="1"/>
  <c r="AS11" i="19"/>
  <c r="AX11" i="19" s="1"/>
  <c r="AP15" i="33"/>
  <c r="AU15" i="33" s="1"/>
  <c r="AX8" i="10"/>
  <c r="BC8" i="10" s="1"/>
  <c r="AS11" i="15"/>
  <c r="AX11" i="15" s="1"/>
  <c r="AQ12" i="12"/>
  <c r="AV12" i="12" s="1"/>
  <c r="AY15" i="13"/>
  <c r="BC15" i="13" s="1"/>
  <c r="BA53" i="26"/>
  <c r="BE53" i="26" s="1"/>
  <c r="AU54" i="19"/>
  <c r="AY54" i="19" s="1"/>
  <c r="AN11" i="7"/>
  <c r="AR11" i="7" s="1"/>
  <c r="AS35" i="12"/>
  <c r="AW35" i="12" s="1"/>
  <c r="AU14" i="15"/>
  <c r="AY14" i="15" s="1"/>
  <c r="AL23" i="21"/>
  <c r="AP23" i="21" s="1"/>
  <c r="AQ37" i="15"/>
  <c r="AK38" i="41" s="1"/>
  <c r="AL17" i="21"/>
  <c r="AP17" i="21" s="1"/>
  <c r="AN54" i="7"/>
  <c r="AR54" i="7" s="1"/>
  <c r="BD14" i="11"/>
  <c r="P15" i="41" s="1"/>
  <c r="AP7" i="33"/>
  <c r="AU7" i="33" s="1"/>
  <c r="AN54" i="33"/>
  <c r="S55" i="41" s="1"/>
  <c r="AS41" i="34"/>
  <c r="AW41" i="34" s="1"/>
  <c r="AW12" i="26"/>
  <c r="AB13" i="41" s="1"/>
  <c r="AU17" i="13"/>
  <c r="AE18" i="41" s="1"/>
  <c r="AS25" i="14"/>
  <c r="AX25" i="14" s="1"/>
  <c r="AS21" i="15"/>
  <c r="AX21" i="15" s="1"/>
  <c r="AG31" i="17"/>
  <c r="AL31" i="17" s="1"/>
  <c r="AS9" i="18"/>
  <c r="AX9" i="18" s="1"/>
  <c r="AQ16" i="19"/>
  <c r="AW17" i="41" s="1"/>
  <c r="AM22" i="35"/>
  <c r="AR22" i="35" s="1"/>
  <c r="AK45" i="35"/>
  <c r="AZ46" i="41" s="1"/>
  <c r="AH35" i="36"/>
  <c r="BC36" i="41" s="1"/>
  <c r="AJ32" i="20"/>
  <c r="AO32" i="20" s="1"/>
  <c r="AK46" i="27"/>
  <c r="BI47" i="41" s="1"/>
  <c r="AL34" i="21"/>
  <c r="AP34" i="21" s="1"/>
  <c r="AJ48" i="23"/>
  <c r="AO48" i="23" s="1"/>
  <c r="AL22" i="7"/>
  <c r="AQ22" i="7" s="1"/>
  <c r="AL52" i="7"/>
  <c r="AQ52" i="7" s="1"/>
  <c r="AV38" i="10"/>
  <c r="M39" i="41" s="1"/>
  <c r="AX54" i="10"/>
  <c r="BC54" i="10" s="1"/>
  <c r="BF37" i="11"/>
  <c r="BK37" i="11" s="1"/>
  <c r="AP23" i="33"/>
  <c r="AU23" i="33" s="1"/>
  <c r="AR36" i="33"/>
  <c r="AV36" i="33" s="1"/>
  <c r="AR51" i="33"/>
  <c r="AV51" i="33" s="1"/>
  <c r="AO31" i="34"/>
  <c r="V32" i="41" s="1"/>
  <c r="AS44" i="34"/>
  <c r="AW44" i="34" s="1"/>
  <c r="AQ17" i="12"/>
  <c r="AV17" i="12" s="1"/>
  <c r="AS41" i="12"/>
  <c r="AW41" i="12" s="1"/>
  <c r="AS53" i="12"/>
  <c r="AW53" i="12" s="1"/>
  <c r="BA20" i="26"/>
  <c r="BE20" i="26" s="1"/>
  <c r="AW49" i="26"/>
  <c r="AB50" i="41" s="1"/>
  <c r="AU21" i="13"/>
  <c r="AE22" i="41" s="1"/>
  <c r="AQ16" i="14"/>
  <c r="AH17" i="41" s="1"/>
  <c r="AS35" i="14"/>
  <c r="AX35" i="14" s="1"/>
  <c r="AU10" i="15"/>
  <c r="AY10" i="15" s="1"/>
  <c r="AQ34" i="15"/>
  <c r="AK35" i="41" s="1"/>
  <c r="AE18" i="17"/>
  <c r="AQ19" i="41" s="1"/>
  <c r="AG29" i="17"/>
  <c r="AL29" i="17" s="1"/>
  <c r="AI50" i="17"/>
  <c r="AM50" i="17" s="1"/>
  <c r="AS33" i="18"/>
  <c r="AX33" i="18" s="1"/>
  <c r="AQ5" i="19"/>
  <c r="AW6" i="41" s="1"/>
  <c r="AS47" i="19"/>
  <c r="AX47" i="19" s="1"/>
  <c r="AO7" i="35"/>
  <c r="AS7" i="35" s="1"/>
  <c r="AM25" i="35"/>
  <c r="AR25" i="35" s="1"/>
  <c r="AM36" i="35"/>
  <c r="AR36" i="35" s="1"/>
  <c r="AJ48" i="36"/>
  <c r="AO48" i="36" s="1"/>
  <c r="AJ45" i="20"/>
  <c r="AO45" i="20" s="1"/>
  <c r="AO15" i="27"/>
  <c r="AS15" i="27" s="1"/>
  <c r="AK27" i="27"/>
  <c r="BI28" i="41" s="1"/>
  <c r="AH8" i="21"/>
  <c r="BL9" i="41" s="1"/>
  <c r="AL38" i="21"/>
  <c r="AP38" i="21" s="1"/>
  <c r="AL40" i="22"/>
  <c r="AP40" i="22" s="1"/>
  <c r="AN13" i="7"/>
  <c r="AR13" i="7" s="1"/>
  <c r="AN31" i="7"/>
  <c r="AR31" i="7" s="1"/>
  <c r="AJ45" i="7"/>
  <c r="J46" i="41" s="1"/>
  <c r="AZ17" i="10"/>
  <c r="BD17" i="10" s="1"/>
  <c r="AV30" i="10"/>
  <c r="M31" i="41" s="1"/>
  <c r="BH15" i="11"/>
  <c r="BL15" i="11" s="1"/>
  <c r="BH26" i="11"/>
  <c r="BL26" i="11" s="1"/>
  <c r="BH38" i="11"/>
  <c r="BL38" i="11" s="1"/>
  <c r="AN15" i="33"/>
  <c r="S16" i="41" s="1"/>
  <c r="AP27" i="33"/>
  <c r="AU27" i="33" s="1"/>
  <c r="AO12" i="34"/>
  <c r="V13" i="41" s="1"/>
  <c r="AQ24" i="34"/>
  <c r="AV24" i="34" s="1"/>
  <c r="AQ36" i="34"/>
  <c r="AV36" i="34" s="1"/>
  <c r="AO12" i="12"/>
  <c r="Y13" i="41" s="1"/>
  <c r="AO31" i="12"/>
  <c r="Y32" i="41" s="1"/>
  <c r="AQ43" i="12"/>
  <c r="AV43" i="12" s="1"/>
  <c r="AO54" i="12"/>
  <c r="Y55" i="41" s="1"/>
  <c r="AY16" i="26"/>
  <c r="BD16" i="26" s="1"/>
  <c r="BA40" i="26"/>
  <c r="BE40" i="26" s="1"/>
  <c r="BA50" i="26"/>
  <c r="BE50" i="26" s="1"/>
  <c r="AW18" i="13"/>
  <c r="BB18" i="13" s="1"/>
  <c r="AW48" i="13"/>
  <c r="BB48" i="13" s="1"/>
  <c r="AU13" i="14"/>
  <c r="AY13" i="14" s="1"/>
  <c r="AQ26" i="14"/>
  <c r="AH27" i="41" s="1"/>
  <c r="AQ48" i="14"/>
  <c r="AH49" i="41" s="1"/>
  <c r="AS8" i="15"/>
  <c r="AX8" i="15" s="1"/>
  <c r="AU20" i="15"/>
  <c r="AY20" i="15" s="1"/>
  <c r="AI14" i="17"/>
  <c r="AM14" i="17" s="1"/>
  <c r="AI34" i="17"/>
  <c r="AM34" i="17" s="1"/>
  <c r="AU28" i="18"/>
  <c r="AY28" i="18" s="1"/>
  <c r="AQ46" i="18"/>
  <c r="AT47" i="41" s="1"/>
  <c r="AU7" i="19"/>
  <c r="AY7" i="19" s="1"/>
  <c r="AQ44" i="19"/>
  <c r="AW45" i="41" s="1"/>
  <c r="AO6" i="35"/>
  <c r="AS6" i="35" s="1"/>
  <c r="AK42" i="35"/>
  <c r="AZ43" i="41" s="1"/>
  <c r="AO53" i="35"/>
  <c r="AS53" i="35" s="1"/>
  <c r="AH24" i="20"/>
  <c r="BF25" i="41" s="1"/>
  <c r="AO14" i="27"/>
  <c r="AS14" i="27" s="1"/>
  <c r="AJ17" i="21"/>
  <c r="AO17" i="21" s="1"/>
  <c r="AH30" i="21"/>
  <c r="BL31" i="41" s="1"/>
  <c r="AH29" i="23"/>
  <c r="BR30" i="41" s="1"/>
  <c r="AJ5" i="7"/>
  <c r="J6" i="41" s="1"/>
  <c r="BA6" i="26"/>
  <c r="BE6" i="26" s="1"/>
  <c r="BF54" i="11"/>
  <c r="BK54" i="11" s="1"/>
  <c r="BH14" i="11"/>
  <c r="BL14" i="11" s="1"/>
  <c r="AW31" i="26"/>
  <c r="AB32" i="41" s="1"/>
  <c r="AQ39" i="18"/>
  <c r="AT40" i="41" s="1"/>
  <c r="AO40" i="27"/>
  <c r="AS40" i="27" s="1"/>
  <c r="AS9" i="34"/>
  <c r="AW9" i="34" s="1"/>
  <c r="AU37" i="13"/>
  <c r="AE38" i="41" s="1"/>
  <c r="AJ10" i="20"/>
  <c r="AO10" i="20" s="1"/>
  <c r="AU17" i="14"/>
  <c r="AY17" i="14" s="1"/>
  <c r="AK50" i="35"/>
  <c r="AZ51" i="41" s="1"/>
  <c r="AL34" i="7"/>
  <c r="AQ34" i="7" s="1"/>
  <c r="AV50" i="10"/>
  <c r="M51" i="41" s="1"/>
  <c r="BD48" i="11"/>
  <c r="P49" i="41" s="1"/>
  <c r="AP41" i="33"/>
  <c r="AU41" i="33" s="1"/>
  <c r="AS40" i="34"/>
  <c r="AW40" i="34" s="1"/>
  <c r="AQ20" i="12"/>
  <c r="AV20" i="12" s="1"/>
  <c r="AY36" i="26"/>
  <c r="BD36" i="26" s="1"/>
  <c r="AQ13" i="14"/>
  <c r="AH14" i="41" s="1"/>
  <c r="AQ50" i="14"/>
  <c r="AH51" i="41" s="1"/>
  <c r="AS51" i="15"/>
  <c r="AX51" i="15" s="1"/>
  <c r="AQ8" i="18"/>
  <c r="AT9" i="41" s="1"/>
  <c r="AQ7" i="19"/>
  <c r="AW8" i="41" s="1"/>
  <c r="AK15" i="35"/>
  <c r="AZ16" i="41" s="1"/>
  <c r="AO43" i="35"/>
  <c r="AS43" i="35" s="1"/>
  <c r="AL19" i="36"/>
  <c r="AP19" i="36" s="1"/>
  <c r="AL25" i="20"/>
  <c r="AP25" i="20" s="1"/>
  <c r="AO44" i="27"/>
  <c r="AS44" i="27" s="1"/>
  <c r="AH18" i="21"/>
  <c r="BL19" i="41" s="1"/>
  <c r="AJ44" i="22"/>
  <c r="AO44" i="22" s="1"/>
  <c r="AJ20" i="7"/>
  <c r="J21" i="41" s="1"/>
  <c r="AJ47" i="7"/>
  <c r="J48" i="41" s="1"/>
  <c r="AZ29" i="10"/>
  <c r="BD29" i="10" s="1"/>
  <c r="AV53" i="10"/>
  <c r="M54" i="41" s="1"/>
  <c r="BF32" i="11"/>
  <c r="BK32" i="11" s="1"/>
  <c r="BH53" i="11"/>
  <c r="BL53" i="11" s="1"/>
  <c r="AP34" i="33"/>
  <c r="AU34" i="33" s="1"/>
  <c r="AR47" i="33"/>
  <c r="AV47" i="33" s="1"/>
  <c r="AO24" i="34"/>
  <c r="V25" i="41" s="1"/>
  <c r="AQ43" i="34"/>
  <c r="AV43" i="34" s="1"/>
  <c r="AS10" i="12"/>
  <c r="AW10" i="12" s="1"/>
  <c r="AQ36" i="12"/>
  <c r="AV36" i="12" s="1"/>
  <c r="AQ52" i="12"/>
  <c r="AV52" i="12" s="1"/>
  <c r="BA14" i="26"/>
  <c r="BE14" i="26" s="1"/>
  <c r="BA31" i="26"/>
  <c r="BE31" i="26" s="1"/>
  <c r="AU19" i="13"/>
  <c r="AE20" i="41" s="1"/>
  <c r="AU51" i="13"/>
  <c r="AE52" i="41" s="1"/>
  <c r="AQ28" i="14"/>
  <c r="AH29" i="41" s="1"/>
  <c r="AS9" i="15"/>
  <c r="AX9" i="15" s="1"/>
  <c r="AU22" i="15"/>
  <c r="AY22" i="15" s="1"/>
  <c r="AQ45" i="15"/>
  <c r="AK46" i="41" s="1"/>
  <c r="AE28" i="17"/>
  <c r="AQ29" i="41" s="1"/>
  <c r="AI46" i="17"/>
  <c r="AM46" i="17" s="1"/>
  <c r="AU10" i="18"/>
  <c r="AY10" i="18" s="1"/>
  <c r="AU53" i="18"/>
  <c r="AY53" i="18" s="1"/>
  <c r="AS41" i="19"/>
  <c r="AX41" i="19" s="1"/>
  <c r="AQ54" i="19"/>
  <c r="AW55" i="41" s="1"/>
  <c r="AK14" i="35"/>
  <c r="AZ15" i="41" s="1"/>
  <c r="AO31" i="35"/>
  <c r="AS31" i="35" s="1"/>
  <c r="AJ22" i="36"/>
  <c r="AO22" i="36" s="1"/>
  <c r="AL18" i="20"/>
  <c r="AP18" i="20" s="1"/>
  <c r="AH53" i="20"/>
  <c r="BF54" i="41" s="1"/>
  <c r="AM22" i="27"/>
  <c r="AR22" i="27" s="1"/>
  <c r="AM42" i="27"/>
  <c r="AR42" i="27" s="1"/>
  <c r="AL29" i="21"/>
  <c r="AP29" i="21" s="1"/>
  <c r="AJ30" i="22"/>
  <c r="AO30" i="22" s="1"/>
  <c r="AL18" i="23"/>
  <c r="AP18" i="23" s="1"/>
  <c r="AN21" i="7"/>
  <c r="AR21" i="7" s="1"/>
  <c r="AN41" i="7"/>
  <c r="AR41" i="7" s="1"/>
  <c r="AV14" i="10"/>
  <c r="M15" i="41" s="1"/>
  <c r="AV26" i="10"/>
  <c r="M27" i="41" s="1"/>
  <c r="AV37" i="10"/>
  <c r="M38" i="41" s="1"/>
  <c r="BD23" i="11"/>
  <c r="P24" i="41" s="1"/>
  <c r="BF35" i="11"/>
  <c r="BK35" i="11" s="1"/>
  <c r="AP10" i="33"/>
  <c r="AU10" i="33" s="1"/>
  <c r="AP21" i="33"/>
  <c r="AU21" i="33" s="1"/>
  <c r="AP33" i="33"/>
  <c r="AU33" i="33" s="1"/>
  <c r="AQ20" i="34"/>
  <c r="AV20" i="34" s="1"/>
  <c r="AS32" i="34"/>
  <c r="AW32" i="34" s="1"/>
  <c r="AQ5" i="12"/>
  <c r="AV5" i="12" s="1"/>
  <c r="AS19" i="12"/>
  <c r="AW19" i="12" s="1"/>
  <c r="AQ39" i="12"/>
  <c r="AV39" i="12" s="1"/>
  <c r="AO50" i="12"/>
  <c r="Y51" i="41" s="1"/>
  <c r="BA12" i="26"/>
  <c r="BE12" i="26" s="1"/>
  <c r="BA34" i="26"/>
  <c r="BE34" i="26" s="1"/>
  <c r="BA46" i="26"/>
  <c r="BE46" i="26" s="1"/>
  <c r="AY7" i="13"/>
  <c r="BC7" i="13" s="1"/>
  <c r="AY37" i="13"/>
  <c r="BC37" i="13" s="1"/>
  <c r="AQ10" i="14"/>
  <c r="AH11" i="41" s="1"/>
  <c r="AQ21" i="14"/>
  <c r="AH22" i="41" s="1"/>
  <c r="AQ32" i="14"/>
  <c r="AH33" i="41" s="1"/>
  <c r="AU54" i="14"/>
  <c r="AY54" i="14" s="1"/>
  <c r="AU15" i="15"/>
  <c r="AY15" i="15" s="1"/>
  <c r="AE11" i="17"/>
  <c r="AQ12" i="41" s="1"/>
  <c r="AG23" i="17"/>
  <c r="AL23" i="17" s="1"/>
  <c r="AU24" i="18"/>
  <c r="AY24" i="18" s="1"/>
  <c r="AQ41" i="18"/>
  <c r="AT42" i="41" s="1"/>
  <c r="AU52" i="18"/>
  <c r="AY52" i="18" s="1"/>
  <c r="AS40" i="19"/>
  <c r="AX40" i="19" s="1"/>
  <c r="AU51" i="19"/>
  <c r="AY51" i="19" s="1"/>
  <c r="AO20" i="35"/>
  <c r="AS20" i="35" s="1"/>
  <c r="AO49" i="35"/>
  <c r="AS49" i="35" s="1"/>
  <c r="AL27" i="36"/>
  <c r="AP27" i="36" s="1"/>
  <c r="AO8" i="27"/>
  <c r="AS8" i="27" s="1"/>
  <c r="AM31" i="27"/>
  <c r="AR31" i="27" s="1"/>
  <c r="AH26" i="21"/>
  <c r="BL27" i="41" s="1"/>
  <c r="AL35" i="22"/>
  <c r="AP35" i="22" s="1"/>
  <c r="AH44" i="21"/>
  <c r="BL45" i="41" s="1"/>
  <c r="AJ13" i="22"/>
  <c r="AO13" i="22" s="1"/>
  <c r="AL28" i="22"/>
  <c r="AP28" i="22" s="1"/>
  <c r="AL6" i="23"/>
  <c r="AP6" i="23" s="1"/>
  <c r="AH32" i="23"/>
  <c r="BR33" i="41" s="1"/>
  <c r="AH50" i="23"/>
  <c r="BR51" i="41" s="1"/>
  <c r="AL13" i="7"/>
  <c r="AQ13" i="7" s="1"/>
  <c r="AL28" i="7"/>
  <c r="AQ28" i="7" s="1"/>
  <c r="AJ41" i="7"/>
  <c r="J42" i="41" s="1"/>
  <c r="AJ54" i="7"/>
  <c r="J55" i="41" s="1"/>
  <c r="AV16" i="10"/>
  <c r="M17" i="41" s="1"/>
  <c r="AV29" i="10"/>
  <c r="M30" i="41" s="1"/>
  <c r="AV42" i="10"/>
  <c r="M43" i="41" s="1"/>
  <c r="AV52" i="10"/>
  <c r="M53" i="41" s="1"/>
  <c r="BD13" i="11"/>
  <c r="P14" i="41" s="1"/>
  <c r="BD26" i="11"/>
  <c r="P27" i="41" s="1"/>
  <c r="BD38" i="11"/>
  <c r="P39" i="41" s="1"/>
  <c r="BD50" i="11"/>
  <c r="P51" i="41" s="1"/>
  <c r="AP12" i="33"/>
  <c r="AU12" i="33" s="1"/>
  <c r="AP24" i="33"/>
  <c r="AU24" i="33" s="1"/>
  <c r="AN36" i="33"/>
  <c r="S37" i="41" s="1"/>
  <c r="AN48" i="33"/>
  <c r="S49" i="41" s="1"/>
  <c r="AQ8" i="34"/>
  <c r="AV8" i="34" s="1"/>
  <c r="AO20" i="34"/>
  <c r="V21" i="41" s="1"/>
  <c r="AO32" i="34"/>
  <c r="V33" i="41" s="1"/>
  <c r="AO45" i="34"/>
  <c r="V46" i="41" s="1"/>
  <c r="AQ7" i="12"/>
  <c r="AV7" i="12" s="1"/>
  <c r="AO22" i="12"/>
  <c r="Y23" i="41" s="1"/>
  <c r="AO36" i="12"/>
  <c r="Y37" i="41" s="1"/>
  <c r="AS46" i="12"/>
  <c r="AW46" i="12" s="1"/>
  <c r="AW7" i="26"/>
  <c r="AB8" i="41" s="1"/>
  <c r="AW19" i="26"/>
  <c r="AB20" i="41" s="1"/>
  <c r="BA30" i="26"/>
  <c r="BE30" i="26" s="1"/>
  <c r="BA42" i="26"/>
  <c r="BE42" i="26" s="1"/>
  <c r="AY51" i="26"/>
  <c r="BD51" i="26" s="1"/>
  <c r="AU15" i="13"/>
  <c r="AE16" i="41" s="1"/>
  <c r="AW28" i="13"/>
  <c r="BB28" i="13" s="1"/>
  <c r="AY41" i="13"/>
  <c r="BC41" i="13" s="1"/>
  <c r="AS7" i="14"/>
  <c r="AX7" i="14" s="1"/>
  <c r="AS13" i="14"/>
  <c r="AX13" i="14" s="1"/>
  <c r="AU21" i="14"/>
  <c r="AY21" i="14" s="1"/>
  <c r="AQ31" i="14"/>
  <c r="AH32" i="41" s="1"/>
  <c r="AS39" i="14"/>
  <c r="AX39" i="14" s="1"/>
  <c r="AS45" i="14"/>
  <c r="AX45" i="14" s="1"/>
  <c r="AS54" i="14"/>
  <c r="AX54" i="14" s="1"/>
  <c r="AU12" i="15"/>
  <c r="AY12" i="15" s="1"/>
  <c r="AU18" i="15"/>
  <c r="AY18" i="15" s="1"/>
  <c r="AS28" i="15"/>
  <c r="AX28" i="15" s="1"/>
  <c r="AU36" i="15"/>
  <c r="AY36" i="15" s="1"/>
  <c r="AQ43" i="15"/>
  <c r="AK44" i="41" s="1"/>
  <c r="AU51" i="15"/>
  <c r="AY51" i="15" s="1"/>
  <c r="AE8" i="17"/>
  <c r="AQ9" i="41" s="1"/>
  <c r="AI28" i="17"/>
  <c r="AM28" i="17" s="1"/>
  <c r="AE36" i="17"/>
  <c r="AQ37" i="41" s="1"/>
  <c r="AI44" i="17"/>
  <c r="AM44" i="17" s="1"/>
  <c r="AE51" i="17"/>
  <c r="AQ52" i="41" s="1"/>
  <c r="AQ22" i="18"/>
  <c r="AT23" i="41" s="1"/>
  <c r="AS28" i="18"/>
  <c r="AX28" i="18" s="1"/>
  <c r="AU36" i="18"/>
  <c r="AY36" i="18" s="1"/>
  <c r="AQ44" i="18"/>
  <c r="AT45" i="41" s="1"/>
  <c r="AS15" i="19"/>
  <c r="AX15" i="19" s="1"/>
  <c r="AU21" i="19"/>
  <c r="AY21" i="19" s="1"/>
  <c r="AS24" i="34"/>
  <c r="AW24" i="34" s="1"/>
  <c r="AN38" i="7"/>
  <c r="AR38" i="7" s="1"/>
  <c r="AU13" i="18"/>
  <c r="AY13" i="18" s="1"/>
  <c r="AH14" i="20"/>
  <c r="BF15" i="41" s="1"/>
  <c r="AO45" i="12"/>
  <c r="Y46" i="41" s="1"/>
  <c r="AQ45" i="34"/>
  <c r="AV45" i="34" s="1"/>
  <c r="AJ53" i="23"/>
  <c r="AO53" i="23" s="1"/>
  <c r="BH34" i="11"/>
  <c r="BL34" i="11" s="1"/>
  <c r="AQ5" i="34"/>
  <c r="AV5" i="34" s="1"/>
  <c r="AY24" i="26"/>
  <c r="BD24" i="26" s="1"/>
  <c r="AS36" i="14"/>
  <c r="AX36" i="14" s="1"/>
  <c r="AI32" i="17"/>
  <c r="AM32" i="17" s="1"/>
  <c r="AS33" i="19"/>
  <c r="AX33" i="19" s="1"/>
  <c r="AM50" i="35"/>
  <c r="AR50" i="35" s="1"/>
  <c r="AJ33" i="20"/>
  <c r="AO33" i="20" s="1"/>
  <c r="AL6" i="22"/>
  <c r="AP6" i="22" s="1"/>
  <c r="AJ29" i="7"/>
  <c r="J30" i="41" s="1"/>
  <c r="AZ40" i="10"/>
  <c r="BD40" i="10" s="1"/>
  <c r="BD46" i="11"/>
  <c r="P47" i="41" s="1"/>
  <c r="AR40" i="33"/>
  <c r="AV40" i="33" s="1"/>
  <c r="AQ32" i="34"/>
  <c r="AV32" i="34" s="1"/>
  <c r="AO24" i="12"/>
  <c r="Y25" i="41" s="1"/>
  <c r="BA8" i="26"/>
  <c r="BE8" i="26" s="1"/>
  <c r="AY50" i="26"/>
  <c r="BD50" i="26" s="1"/>
  <c r="AQ23" i="14"/>
  <c r="AH24" i="41" s="1"/>
  <c r="AU16" i="15"/>
  <c r="AY16" i="15" s="1"/>
  <c r="AG19" i="17"/>
  <c r="AL19" i="17" s="1"/>
  <c r="AQ6" i="18"/>
  <c r="AT7" i="41" s="1"/>
  <c r="AQ10" i="19"/>
  <c r="AW11" i="41" s="1"/>
  <c r="AK9" i="35"/>
  <c r="AZ10" i="41" s="1"/>
  <c r="AL9" i="36"/>
  <c r="AP9" i="36" s="1"/>
  <c r="AL47" i="20"/>
  <c r="AP47" i="20" s="1"/>
  <c r="AM37" i="27"/>
  <c r="AR37" i="27" s="1"/>
  <c r="AH40" i="21"/>
  <c r="BL41" i="41" s="1"/>
  <c r="AN14" i="7"/>
  <c r="AR14" i="7" s="1"/>
  <c r="AZ6" i="10"/>
  <c r="BD6" i="10" s="1"/>
  <c r="AV31" i="10"/>
  <c r="M32" i="41" s="1"/>
  <c r="BD29" i="11"/>
  <c r="P30" i="41" s="1"/>
  <c r="AP16" i="33"/>
  <c r="AU16" i="33" s="1"/>
  <c r="AQ13" i="34"/>
  <c r="AV13" i="34" s="1"/>
  <c r="AS37" i="34"/>
  <c r="AW37" i="34" s="1"/>
  <c r="AQ33" i="12"/>
  <c r="AV33" i="12" s="1"/>
  <c r="AY5" i="26"/>
  <c r="BD5" i="26" s="1"/>
  <c r="BA41" i="26"/>
  <c r="BE41" i="26" s="1"/>
  <c r="AW22" i="13"/>
  <c r="BB22" i="13" s="1"/>
  <c r="AQ15" i="14"/>
  <c r="AH16" i="41" s="1"/>
  <c r="AS49" i="14"/>
  <c r="AX49" i="14" s="1"/>
  <c r="AQ28" i="15"/>
  <c r="AK29" i="41" s="1"/>
  <c r="AE37" i="17"/>
  <c r="AQ38" i="41" s="1"/>
  <c r="AS47" i="18"/>
  <c r="AX47" i="18" s="1"/>
  <c r="AS45" i="19"/>
  <c r="AX45" i="19" s="1"/>
  <c r="AM44" i="35"/>
  <c r="AR44" i="35" s="1"/>
  <c r="AJ26" i="20"/>
  <c r="AO26" i="20" s="1"/>
  <c r="AL18" i="21"/>
  <c r="AP18" i="21" s="1"/>
  <c r="AL21" i="21"/>
  <c r="AP21" i="21" s="1"/>
  <c r="AJ54" i="21"/>
  <c r="AO54" i="21" s="1"/>
  <c r="AJ32" i="22"/>
  <c r="AO32" i="22" s="1"/>
  <c r="AH14" i="23"/>
  <c r="BR15" i="41" s="1"/>
  <c r="AL48" i="23"/>
  <c r="AP48" i="23" s="1"/>
  <c r="AN18" i="7"/>
  <c r="AR18" i="7" s="1"/>
  <c r="AN34" i="7"/>
  <c r="AR34" i="7" s="1"/>
  <c r="AN52" i="7"/>
  <c r="AR52" i="7" s="1"/>
  <c r="AV22" i="10"/>
  <c r="M23" i="41" s="1"/>
  <c r="AV35" i="10"/>
  <c r="M36" i="41" s="1"/>
  <c r="AZ50" i="10"/>
  <c r="BD50" i="10" s="1"/>
  <c r="BH17" i="11"/>
  <c r="BL17" i="11" s="1"/>
  <c r="BH30" i="11"/>
  <c r="BL30" i="11" s="1"/>
  <c r="BH48" i="11"/>
  <c r="BL48" i="11" s="1"/>
  <c r="AN16" i="33"/>
  <c r="S17" i="41" s="1"/>
  <c r="AP31" i="33"/>
  <c r="AU31" i="33" s="1"/>
  <c r="AR46" i="33"/>
  <c r="AV46" i="33" s="1"/>
  <c r="AO13" i="34"/>
  <c r="V14" i="41" s="1"/>
  <c r="AQ27" i="34"/>
  <c r="AV27" i="34" s="1"/>
  <c r="AS42" i="34"/>
  <c r="AW42" i="34" s="1"/>
  <c r="AS12" i="12"/>
  <c r="AW12" i="12" s="1"/>
  <c r="AS28" i="12"/>
  <c r="AW28" i="12" s="1"/>
  <c r="AQ45" i="12"/>
  <c r="AV45" i="12" s="1"/>
  <c r="BA10" i="26"/>
  <c r="BE10" i="26" s="1"/>
  <c r="AW26" i="26"/>
  <c r="AB27" i="41" s="1"/>
  <c r="AY41" i="26"/>
  <c r="BD41" i="26" s="1"/>
  <c r="AW54" i="26"/>
  <c r="AB55" i="41" s="1"/>
  <c r="AW20" i="13"/>
  <c r="BB20" i="13" s="1"/>
  <c r="AU39" i="13"/>
  <c r="AE40" i="41" s="1"/>
  <c r="AU8" i="14"/>
  <c r="AY8" i="14" s="1"/>
  <c r="AS19" i="14"/>
  <c r="AX19" i="14" s="1"/>
  <c r="AU28" i="14"/>
  <c r="AY28" i="14" s="1"/>
  <c r="AU40" i="14"/>
  <c r="AY40" i="14" s="1"/>
  <c r="AS50" i="14"/>
  <c r="AX50" i="14" s="1"/>
  <c r="AS10" i="15"/>
  <c r="AX10" i="15" s="1"/>
  <c r="AS23" i="15"/>
  <c r="AX23" i="15" s="1"/>
  <c r="AU30" i="15"/>
  <c r="AY30" i="15" s="1"/>
  <c r="AU41" i="15"/>
  <c r="AY41" i="15" s="1"/>
  <c r="AQ53" i="15"/>
  <c r="AK54" i="41" s="1"/>
  <c r="AE24" i="17"/>
  <c r="AQ25" i="41" s="1"/>
  <c r="AI33" i="17"/>
  <c r="AM33" i="17" s="1"/>
  <c r="AE46" i="17"/>
  <c r="AQ47" i="41" s="1"/>
  <c r="AQ16" i="18"/>
  <c r="AT17" i="41" s="1"/>
  <c r="AQ27" i="18"/>
  <c r="AT28" i="41" s="1"/>
  <c r="AS39" i="18"/>
  <c r="AX39" i="18" s="1"/>
  <c r="AS9" i="19"/>
  <c r="AX9" i="19" s="1"/>
  <c r="AS20" i="19"/>
  <c r="AX20" i="19" s="1"/>
  <c r="AS31" i="19"/>
  <c r="AX31" i="19" s="1"/>
  <c r="AS37" i="19"/>
  <c r="AX37" i="19" s="1"/>
  <c r="AO14" i="35"/>
  <c r="AS14" i="35" s="1"/>
  <c r="AK22" i="35"/>
  <c r="AZ23" i="41" s="1"/>
  <c r="AO30" i="35"/>
  <c r="AS30" i="35" s="1"/>
  <c r="AO36" i="35"/>
  <c r="AS36" i="35" s="1"/>
  <c r="AH23" i="36"/>
  <c r="BC24" i="41" s="1"/>
  <c r="AL47" i="36"/>
  <c r="AP47" i="36" s="1"/>
  <c r="AL17" i="20"/>
  <c r="AP17" i="20" s="1"/>
  <c r="AJ27" i="20"/>
  <c r="AO27" i="20" s="1"/>
  <c r="AJ42" i="20"/>
  <c r="AO42" i="20" s="1"/>
  <c r="AM25" i="27"/>
  <c r="AR25" i="27" s="1"/>
  <c r="AK33" i="27"/>
  <c r="BI34" i="41" s="1"/>
  <c r="AO46" i="27"/>
  <c r="AS46" i="27" s="1"/>
  <c r="AK53" i="27"/>
  <c r="BI54" i="41" s="1"/>
  <c r="AL10" i="21"/>
  <c r="AP10" i="21" s="1"/>
  <c r="AL36" i="21"/>
  <c r="AP36" i="21" s="1"/>
  <c r="AH43" i="21"/>
  <c r="BL44" i="41" s="1"/>
  <c r="AJ12" i="22"/>
  <c r="AO12" i="22" s="1"/>
  <c r="AL19" i="22"/>
  <c r="AP19" i="22" s="1"/>
  <c r="AL51" i="22"/>
  <c r="AP51" i="22" s="1"/>
  <c r="AJ9" i="23"/>
  <c r="AO9" i="23" s="1"/>
  <c r="AH26" i="23"/>
  <c r="BR27" i="41" s="1"/>
  <c r="AJ37" i="23"/>
  <c r="AO37" i="23" s="1"/>
  <c r="AU26" i="15"/>
  <c r="AY26" i="15" s="1"/>
  <c r="AQ35" i="15"/>
  <c r="AK36" i="41" s="1"/>
  <c r="AS43" i="15"/>
  <c r="AX43" i="15" s="1"/>
  <c r="AU50" i="15"/>
  <c r="AY50" i="15" s="1"/>
  <c r="AE7" i="17"/>
  <c r="AQ8" i="41" s="1"/>
  <c r="AG15" i="17"/>
  <c r="AL15" i="17" s="1"/>
  <c r="AI23" i="17"/>
  <c r="AM23" i="17" s="1"/>
  <c r="AI30" i="17"/>
  <c r="AM30" i="17" s="1"/>
  <c r="AE39" i="17"/>
  <c r="AQ40" i="41" s="1"/>
  <c r="AI48" i="17"/>
  <c r="AM48" i="17" s="1"/>
  <c r="AS6" i="18"/>
  <c r="AX6" i="18" s="1"/>
  <c r="AS13" i="18"/>
  <c r="AX13" i="18" s="1"/>
  <c r="AQ23" i="18"/>
  <c r="AT24" i="41" s="1"/>
  <c r="AS31" i="18"/>
  <c r="AX31" i="18" s="1"/>
  <c r="AS38" i="18"/>
  <c r="AX38" i="18" s="1"/>
  <c r="AU46" i="18"/>
  <c r="AY46" i="18" s="1"/>
  <c r="AS54" i="18"/>
  <c r="AX54" i="18" s="1"/>
  <c r="AU12" i="19"/>
  <c r="AY12" i="19" s="1"/>
  <c r="AQ21" i="19"/>
  <c r="AW22" i="41" s="1"/>
  <c r="AS36" i="19"/>
  <c r="AX36" i="19" s="1"/>
  <c r="AQ46" i="19"/>
  <c r="AW47" i="41" s="1"/>
  <c r="AS52" i="19"/>
  <c r="AX52" i="19" s="1"/>
  <c r="AO9" i="35"/>
  <c r="AS9" i="35" s="1"/>
  <c r="AK18" i="35"/>
  <c r="AZ19" i="41" s="1"/>
  <c r="AM26" i="35"/>
  <c r="AR26" i="35" s="1"/>
  <c r="AO34" i="35"/>
  <c r="AS34" i="35" s="1"/>
  <c r="AO50" i="35"/>
  <c r="AS50" i="35" s="1"/>
  <c r="AJ24" i="36"/>
  <c r="AO24" i="36" s="1"/>
  <c r="AL15" i="20"/>
  <c r="AP15" i="20" s="1"/>
  <c r="AH45" i="20"/>
  <c r="BF46" i="41" s="1"/>
  <c r="AO11" i="27"/>
  <c r="AS11" i="27" s="1"/>
  <c r="AK41" i="27"/>
  <c r="BI42" i="41" s="1"/>
  <c r="AM53" i="27"/>
  <c r="AR53" i="27" s="1"/>
  <c r="AL31" i="21"/>
  <c r="AP31" i="21" s="1"/>
  <c r="AH50" i="21"/>
  <c r="BL51" i="41" s="1"/>
  <c r="AL42" i="22"/>
  <c r="AP42" i="22" s="1"/>
  <c r="AJ12" i="23"/>
  <c r="AO12" i="23" s="1"/>
  <c r="AL23" i="23"/>
  <c r="AP23" i="23" s="1"/>
  <c r="AL35" i="36"/>
  <c r="AP35" i="36" s="1"/>
  <c r="AJ5" i="20"/>
  <c r="AO5" i="20" s="1"/>
  <c r="AJ24" i="20"/>
  <c r="AO24" i="20" s="1"/>
  <c r="AH36" i="20"/>
  <c r="BF37" i="41" s="1"/>
  <c r="AJ53" i="20"/>
  <c r="AO53" i="20" s="1"/>
  <c r="AO22" i="27"/>
  <c r="AS22" i="27" s="1"/>
  <c r="AM40" i="27"/>
  <c r="AR40" i="27" s="1"/>
  <c r="AL7" i="21"/>
  <c r="AP7" i="21" s="1"/>
  <c r="AL20" i="21"/>
  <c r="AP20" i="21" s="1"/>
  <c r="AJ37" i="21"/>
  <c r="AO37" i="21" s="1"/>
  <c r="AH19" i="22"/>
  <c r="BO20" i="41" s="1"/>
  <c r="AJ36" i="22"/>
  <c r="AO36" i="22" s="1"/>
  <c r="AH27" i="23"/>
  <c r="BR28" i="41" s="1"/>
  <c r="AH45" i="23"/>
  <c r="BR46" i="41" s="1"/>
  <c r="AH52" i="21"/>
  <c r="BL53" i="41" s="1"/>
  <c r="AH14" i="22"/>
  <c r="BO15" i="41" s="1"/>
  <c r="AL30" i="22"/>
  <c r="AP30" i="22" s="1"/>
  <c r="AL49" i="22"/>
  <c r="AP49" i="22" s="1"/>
  <c r="AH18" i="23"/>
  <c r="BR19" i="41" s="1"/>
  <c r="AH30" i="23"/>
  <c r="BR31" i="41" s="1"/>
  <c r="AL47" i="23"/>
  <c r="AP47" i="23" s="1"/>
  <c r="BD44" i="11"/>
  <c r="P45" i="41" s="1"/>
  <c r="AL24" i="7"/>
  <c r="AQ24" i="7" s="1"/>
  <c r="AY25" i="26"/>
  <c r="BD25" i="26" s="1"/>
  <c r="AI47" i="17"/>
  <c r="AM47" i="17" s="1"/>
  <c r="AU34" i="19"/>
  <c r="AY34" i="19" s="1"/>
  <c r="AK22" i="27"/>
  <c r="BI23" i="41" s="1"/>
  <c r="AN43" i="7"/>
  <c r="AR43" i="7" s="1"/>
  <c r="BF48" i="11"/>
  <c r="BK48" i="11" s="1"/>
  <c r="AO36" i="34"/>
  <c r="V37" i="41" s="1"/>
  <c r="BA13" i="26"/>
  <c r="BE13" i="26" s="1"/>
  <c r="AS24" i="14"/>
  <c r="AX24" i="14" s="1"/>
  <c r="AE23" i="17"/>
  <c r="AQ24" i="41" s="1"/>
  <c r="AU23" i="19"/>
  <c r="AY23" i="19" s="1"/>
  <c r="AH17" i="36"/>
  <c r="BC18" i="41" s="1"/>
  <c r="AM41" i="27"/>
  <c r="AR41" i="27" s="1"/>
  <c r="AL20" i="7"/>
  <c r="AQ20" i="7" s="1"/>
  <c r="AZ34" i="10"/>
  <c r="BD34" i="10" s="1"/>
  <c r="AN20" i="33"/>
  <c r="S21" i="41" s="1"/>
  <c r="AQ42" i="34"/>
  <c r="AV42" i="34" s="1"/>
  <c r="AY11" i="26"/>
  <c r="BD11" i="26" s="1"/>
  <c r="AU33" i="13"/>
  <c r="AE34" i="41" s="1"/>
  <c r="AS53" i="14"/>
  <c r="AX53" i="14" s="1"/>
  <c r="AS22" i="18"/>
  <c r="AX22" i="18" s="1"/>
  <c r="AS50" i="19"/>
  <c r="AX50" i="19" s="1"/>
  <c r="AM7" i="27"/>
  <c r="AR7" i="27" s="1"/>
  <c r="AJ26" i="21"/>
  <c r="AO26" i="21" s="1"/>
  <c r="AJ19" i="22"/>
  <c r="AO19" i="22" s="1"/>
  <c r="AL30" i="23"/>
  <c r="AP30" i="23" s="1"/>
  <c r="AN19" i="7"/>
  <c r="AR19" i="7" s="1"/>
  <c r="AV10" i="10"/>
  <c r="M11" i="41" s="1"/>
  <c r="AZ39" i="10"/>
  <c r="BD39" i="10" s="1"/>
  <c r="BD19" i="11"/>
  <c r="P20" i="41" s="1"/>
  <c r="BD54" i="11"/>
  <c r="P55" i="41" s="1"/>
  <c r="AN35" i="33"/>
  <c r="S36" i="41" s="1"/>
  <c r="AQ15" i="34"/>
  <c r="AV15" i="34" s="1"/>
  <c r="AO50" i="34"/>
  <c r="V51" i="41" s="1"/>
  <c r="AO34" i="12"/>
  <c r="Y35" i="41" s="1"/>
  <c r="AW13" i="26"/>
  <c r="AB14" i="41" s="1"/>
  <c r="AW45" i="26"/>
  <c r="AB46" i="41" s="1"/>
  <c r="AY25" i="13"/>
  <c r="BC25" i="13" s="1"/>
  <c r="AU9" i="14"/>
  <c r="AY9" i="14" s="1"/>
  <c r="AS32" i="14"/>
  <c r="AX32" i="14" s="1"/>
  <c r="AR44" i="33"/>
  <c r="AV44" i="33" s="1"/>
  <c r="AK10" i="27"/>
  <c r="BI11" i="41" s="1"/>
  <c r="AU43" i="18"/>
  <c r="AY43" i="18" s="1"/>
  <c r="BF23" i="11"/>
  <c r="BK23" i="11" s="1"/>
  <c r="AU45" i="19"/>
  <c r="AY45" i="19" s="1"/>
  <c r="AQ42" i="19"/>
  <c r="AW43" i="41" s="1"/>
  <c r="AV39" i="10"/>
  <c r="M40" i="41" s="1"/>
  <c r="AR31" i="33"/>
  <c r="AV31" i="33" s="1"/>
  <c r="AO17" i="12"/>
  <c r="Y18" i="41" s="1"/>
  <c r="AU45" i="13"/>
  <c r="AE46" i="41" s="1"/>
  <c r="AQ40" i="15"/>
  <c r="AK41" i="41" s="1"/>
  <c r="AQ6" i="19"/>
  <c r="AW7" i="41" s="1"/>
  <c r="AM37" i="35"/>
  <c r="AR37" i="35" s="1"/>
  <c r="AL10" i="20"/>
  <c r="AP10" i="20" s="1"/>
  <c r="AJ15" i="21"/>
  <c r="AO15" i="21" s="1"/>
  <c r="AN5" i="7"/>
  <c r="AR5" i="7" s="1"/>
  <c r="AZ24" i="10"/>
  <c r="BD24" i="10" s="1"/>
  <c r="BD31" i="11"/>
  <c r="P32" i="41" s="1"/>
  <c r="AP28" i="33"/>
  <c r="AU28" i="33" s="1"/>
  <c r="AO8" i="34"/>
  <c r="V9" i="41" s="1"/>
  <c r="AS53" i="34"/>
  <c r="AW53" i="34" s="1"/>
  <c r="AO47" i="12"/>
  <c r="Y48" i="41" s="1"/>
  <c r="AW27" i="26"/>
  <c r="AB28" i="41" s="1"/>
  <c r="AW46" i="13"/>
  <c r="BB46" i="13" s="1"/>
  <c r="AS40" i="14"/>
  <c r="AX40" i="14" s="1"/>
  <c r="AS40" i="15"/>
  <c r="AX40" i="15" s="1"/>
  <c r="AI45" i="17"/>
  <c r="AM45" i="17" s="1"/>
  <c r="AS48" i="18"/>
  <c r="AX48" i="18" s="1"/>
  <c r="AU52" i="19"/>
  <c r="AY52" i="19" s="1"/>
  <c r="AM30" i="35"/>
  <c r="AR30" i="35" s="1"/>
  <c r="AJ17" i="20"/>
  <c r="AO17" i="20" s="1"/>
  <c r="AK21" i="27"/>
  <c r="BI22" i="41" s="1"/>
  <c r="AJ28" i="21"/>
  <c r="AO28" i="21" s="1"/>
  <c r="AJ17" i="23"/>
  <c r="AO17" i="23" s="1"/>
  <c r="AL38" i="7"/>
  <c r="AQ38" i="7" s="1"/>
  <c r="AZ23" i="10"/>
  <c r="BD23" i="10" s="1"/>
  <c r="BH21" i="11"/>
  <c r="BL21" i="11" s="1"/>
  <c r="AN8" i="33"/>
  <c r="S9" i="41" s="1"/>
  <c r="AP32" i="33"/>
  <c r="AU32" i="33" s="1"/>
  <c r="AQ31" i="34"/>
  <c r="AV31" i="34" s="1"/>
  <c r="AS18" i="12"/>
  <c r="AW18" i="12" s="1"/>
  <c r="AS48" i="12"/>
  <c r="AW48" i="12" s="1"/>
  <c r="AY33" i="26"/>
  <c r="BD33" i="26" s="1"/>
  <c r="AY5" i="13"/>
  <c r="BC5" i="13" s="1"/>
  <c r="AU7" i="14"/>
  <c r="AY7" i="14" s="1"/>
  <c r="AU30" i="14"/>
  <c r="AY30" i="14" s="1"/>
  <c r="AS13" i="15"/>
  <c r="AX13" i="15" s="1"/>
  <c r="AE22" i="17"/>
  <c r="AQ23" i="41" s="1"/>
  <c r="AU38" i="18"/>
  <c r="AY38" i="18" s="1"/>
  <c r="AQ39" i="19"/>
  <c r="AW40" i="41" s="1"/>
  <c r="AM19" i="35"/>
  <c r="AR19" i="35" s="1"/>
  <c r="AL25" i="36"/>
  <c r="AP25" i="36" s="1"/>
  <c r="AK20" i="27"/>
  <c r="BI21" i="41" s="1"/>
  <c r="AJ33" i="22"/>
  <c r="AO33" i="22" s="1"/>
  <c r="AJ50" i="21"/>
  <c r="AO50" i="21" s="1"/>
  <c r="AJ27" i="22"/>
  <c r="AO27" i="22" s="1"/>
  <c r="AL12" i="23"/>
  <c r="AP12" i="23" s="1"/>
  <c r="AL44" i="23"/>
  <c r="AP44" i="23" s="1"/>
  <c r="AL12" i="7"/>
  <c r="AQ12" i="7" s="1"/>
  <c r="AN33" i="7"/>
  <c r="AR33" i="7" s="1"/>
  <c r="AN48" i="7"/>
  <c r="AR48" i="7" s="1"/>
  <c r="AZ14" i="10"/>
  <c r="BD14" i="10" s="1"/>
  <c r="AZ33" i="10"/>
  <c r="BD33" i="10" s="1"/>
  <c r="AZ46" i="10"/>
  <c r="BD46" i="10" s="1"/>
  <c r="BH10" i="11"/>
  <c r="BL10" i="11" s="1"/>
  <c r="BH29" i="11"/>
  <c r="BL29" i="11" s="1"/>
  <c r="BH42" i="11"/>
  <c r="BL42" i="11" s="1"/>
  <c r="AP11" i="33"/>
  <c r="AU11" i="33" s="1"/>
  <c r="AN29" i="33"/>
  <c r="S30" i="41" s="1"/>
  <c r="AP43" i="33"/>
  <c r="AU43" i="33" s="1"/>
  <c r="AO7" i="34"/>
  <c r="V8" i="41" s="1"/>
  <c r="AO26" i="34"/>
  <c r="V27" i="41" s="1"/>
  <c r="AO39" i="34"/>
  <c r="V40" i="41" s="1"/>
  <c r="AO6" i="12"/>
  <c r="Y7" i="41" s="1"/>
  <c r="AQ27" i="12"/>
  <c r="AV27" i="12" s="1"/>
  <c r="AQ41" i="12"/>
  <c r="AV41" i="12" s="1"/>
  <c r="AW6" i="26"/>
  <c r="AB7" i="41" s="1"/>
  <c r="BA23" i="26"/>
  <c r="BE23" i="26" s="1"/>
  <c r="AW38" i="26"/>
  <c r="AB39" i="41" s="1"/>
  <c r="AW50" i="26"/>
  <c r="AB51" i="41" s="1"/>
  <c r="AY17" i="13"/>
  <c r="BC17" i="13" s="1"/>
  <c r="AW36" i="13"/>
  <c r="BB36" i="13" s="1"/>
  <c r="AW52" i="13"/>
  <c r="BB52" i="13" s="1"/>
  <c r="AU15" i="14"/>
  <c r="AY15" i="14" s="1"/>
  <c r="AS26" i="14"/>
  <c r="AX26" i="14" s="1"/>
  <c r="AQ37" i="14"/>
  <c r="AH38" i="41" s="1"/>
  <c r="AQ49" i="14"/>
  <c r="AH50" i="41" s="1"/>
  <c r="AU6" i="15"/>
  <c r="AY6" i="15" s="1"/>
  <c r="AS17" i="15"/>
  <c r="AX17" i="15" s="1"/>
  <c r="AU29" i="15"/>
  <c r="AY29" i="15" s="1"/>
  <c r="AU40" i="15"/>
  <c r="AY40" i="15" s="1"/>
  <c r="AQ49" i="15"/>
  <c r="AK50" i="41" s="1"/>
  <c r="AG10" i="17"/>
  <c r="AL10" i="17" s="1"/>
  <c r="AG32" i="17"/>
  <c r="AL32" i="17" s="1"/>
  <c r="AG43" i="17"/>
  <c r="AL43" i="17" s="1"/>
  <c r="AI53" i="17"/>
  <c r="AM53" i="17" s="1"/>
  <c r="AS24" i="18"/>
  <c r="AX24" i="18" s="1"/>
  <c r="AS35" i="18"/>
  <c r="AX35" i="18" s="1"/>
  <c r="AS46" i="18"/>
  <c r="AX46" i="18" s="1"/>
  <c r="AQ19" i="19"/>
  <c r="AW20" i="41" s="1"/>
  <c r="AU28" i="19"/>
  <c r="AY28" i="19" s="1"/>
  <c r="AQ36" i="19"/>
  <c r="AW37" i="41" s="1"/>
  <c r="AM12" i="35"/>
  <c r="AR12" i="35" s="1"/>
  <c r="AO19" i="35"/>
  <c r="AS19" i="35" s="1"/>
  <c r="AM29" i="35"/>
  <c r="AR29" i="35" s="1"/>
  <c r="AM35" i="35"/>
  <c r="AR35" i="35" s="1"/>
  <c r="AJ14" i="36"/>
  <c r="AO14" i="36" s="1"/>
  <c r="AL45" i="36"/>
  <c r="AP45" i="36" s="1"/>
  <c r="AJ16" i="20"/>
  <c r="AO16" i="20" s="1"/>
  <c r="AL23" i="20"/>
  <c r="AP23" i="20" s="1"/>
  <c r="AH40" i="20"/>
  <c r="BF41" i="41" s="1"/>
  <c r="AK24" i="27"/>
  <c r="BI25" i="41" s="1"/>
  <c r="AM30" i="27"/>
  <c r="AR30" i="27" s="1"/>
  <c r="AM45" i="27"/>
  <c r="AR45" i="27" s="1"/>
  <c r="AO51" i="27"/>
  <c r="AS51" i="27" s="1"/>
  <c r="AJ8" i="21"/>
  <c r="AO8" i="21" s="1"/>
  <c r="AJ34" i="21"/>
  <c r="AO34" i="21" s="1"/>
  <c r="AL41" i="21"/>
  <c r="AP41" i="21" s="1"/>
  <c r="AL9" i="22"/>
  <c r="AP9" i="22" s="1"/>
  <c r="AJ17" i="22"/>
  <c r="AO17" i="22" s="1"/>
  <c r="AJ50" i="22"/>
  <c r="AO50" i="22" s="1"/>
  <c r="AH7" i="23"/>
  <c r="BR8" i="41" s="1"/>
  <c r="AL24" i="23"/>
  <c r="AP24" i="23" s="1"/>
  <c r="AH36" i="23"/>
  <c r="BR37" i="41" s="1"/>
  <c r="AS24" i="15"/>
  <c r="AX24" i="15" s="1"/>
  <c r="AU33" i="15"/>
  <c r="AY33" i="15" s="1"/>
  <c r="AQ42" i="15"/>
  <c r="AK43" i="41" s="1"/>
  <c r="AQ48" i="15"/>
  <c r="AK49" i="41" s="1"/>
  <c r="AE6" i="17"/>
  <c r="AQ7" i="41" s="1"/>
  <c r="AE13" i="17"/>
  <c r="AQ14" i="41" s="1"/>
  <c r="AE20" i="17"/>
  <c r="AQ21" i="41" s="1"/>
  <c r="AI29" i="17"/>
  <c r="AM29" i="17" s="1"/>
  <c r="AE38" i="17"/>
  <c r="AQ39" i="41" s="1"/>
  <c r="AE45" i="17"/>
  <c r="AQ46" i="41" s="1"/>
  <c r="AE54" i="17"/>
  <c r="AQ55" i="41" s="1"/>
  <c r="AS12" i="18"/>
  <c r="AX12" i="18" s="1"/>
  <c r="AU20" i="18"/>
  <c r="AY20" i="18" s="1"/>
  <c r="AQ30" i="18"/>
  <c r="AT31" i="41" s="1"/>
  <c r="AQ36" i="18"/>
  <c r="AT37" i="41" s="1"/>
  <c r="AS44" i="18"/>
  <c r="AX44" i="18" s="1"/>
  <c r="AQ53" i="18"/>
  <c r="AT54" i="41" s="1"/>
  <c r="AS10" i="19"/>
  <c r="AX10" i="19" s="1"/>
  <c r="AS17" i="19"/>
  <c r="AX17" i="19" s="1"/>
  <c r="AQ27" i="19"/>
  <c r="AW28" i="41" s="1"/>
  <c r="AS35" i="19"/>
  <c r="AX35" i="19" s="1"/>
  <c r="AS42" i="19"/>
  <c r="AX42" i="19" s="1"/>
  <c r="AQ51" i="19"/>
  <c r="AW52" i="41" s="1"/>
  <c r="AM7" i="35"/>
  <c r="AR7" i="35" s="1"/>
  <c r="AO15" i="35"/>
  <c r="AS15" i="35" s="1"/>
  <c r="AK25" i="35"/>
  <c r="AZ26" i="41" s="1"/>
  <c r="AM33" i="35"/>
  <c r="AR33" i="35" s="1"/>
  <c r="AM39" i="35"/>
  <c r="AR39" i="35" s="1"/>
  <c r="AM49" i="35"/>
  <c r="AR49" i="35" s="1"/>
  <c r="AL5" i="36"/>
  <c r="AP5" i="36" s="1"/>
  <c r="AH19" i="36"/>
  <c r="BC20" i="41" s="1"/>
  <c r="AJ36" i="36"/>
  <c r="AO36" i="36" s="1"/>
  <c r="AH6" i="20"/>
  <c r="BF7" i="41" s="1"/>
  <c r="AH12" i="20"/>
  <c r="BF13" i="41" s="1"/>
  <c r="AL31" i="20"/>
  <c r="AP31" i="20" s="1"/>
  <c r="AL37" i="20"/>
  <c r="AP37" i="20" s="1"/>
  <c r="AL42" i="20"/>
  <c r="AP42" i="20" s="1"/>
  <c r="AH50" i="20"/>
  <c r="BF51" i="41" s="1"/>
  <c r="AM5" i="27"/>
  <c r="AR5" i="27" s="1"/>
  <c r="AM10" i="27"/>
  <c r="AR10" i="27" s="1"/>
  <c r="AM16" i="27"/>
  <c r="AR16" i="27" s="1"/>
  <c r="AO34" i="27"/>
  <c r="AS34" i="27" s="1"/>
  <c r="AO39" i="27"/>
  <c r="AS39" i="27" s="1"/>
  <c r="AO45" i="27"/>
  <c r="AS45" i="27" s="1"/>
  <c r="AK52" i="27"/>
  <c r="BI53" i="41" s="1"/>
  <c r="AJ7" i="21"/>
  <c r="AO7" i="21" s="1"/>
  <c r="AH12" i="21"/>
  <c r="BL13" i="41" s="1"/>
  <c r="AJ29" i="21"/>
  <c r="AO29" i="21" s="1"/>
  <c r="AJ36" i="21"/>
  <c r="AO36" i="21" s="1"/>
  <c r="AJ41" i="21"/>
  <c r="AO41" i="21" s="1"/>
  <c r="AL48" i="21"/>
  <c r="AP48" i="21" s="1"/>
  <c r="AH54" i="21"/>
  <c r="BL55" i="41" s="1"/>
  <c r="AJ11" i="22"/>
  <c r="AO11" i="22" s="1"/>
  <c r="AH25" i="22"/>
  <c r="BO26" i="41" s="1"/>
  <c r="AL48" i="22"/>
  <c r="AP48" i="22" s="1"/>
  <c r="AH54" i="22"/>
  <c r="BO55" i="41" s="1"/>
  <c r="AJ11" i="23"/>
  <c r="AO11" i="23" s="1"/>
  <c r="AJ16" i="23"/>
  <c r="AO16" i="23" s="1"/>
  <c r="AJ21" i="23"/>
  <c r="AO21" i="23" s="1"/>
  <c r="AL33" i="23"/>
  <c r="AP33" i="23" s="1"/>
  <c r="AL38" i="23"/>
  <c r="AP38" i="23" s="1"/>
  <c r="AH33" i="36"/>
  <c r="BC34" i="41" s="1"/>
  <c r="AL43" i="36"/>
  <c r="AP43" i="36" s="1"/>
  <c r="AJ54" i="36"/>
  <c r="AO54" i="36" s="1"/>
  <c r="AJ11" i="20"/>
  <c r="AO11" i="20" s="1"/>
  <c r="AH16" i="20"/>
  <c r="BF17" i="41" s="1"/>
  <c r="AH23" i="20"/>
  <c r="BF24" i="41" s="1"/>
  <c r="AH29" i="20"/>
  <c r="BF30" i="41" s="1"/>
  <c r="AH35" i="20"/>
  <c r="BF36" i="41" s="1"/>
  <c r="AH42" i="20"/>
  <c r="BF43" i="41" s="1"/>
  <c r="AL46" i="20"/>
  <c r="AP46" i="20" s="1"/>
  <c r="AH52" i="20"/>
  <c r="BF53" i="41" s="1"/>
  <c r="AM8" i="27"/>
  <c r="AR8" i="27" s="1"/>
  <c r="AM14" i="27"/>
  <c r="AR14" i="27" s="1"/>
  <c r="AM21" i="27"/>
  <c r="AR21" i="27" s="1"/>
  <c r="AK26" i="27"/>
  <c r="BI27" i="41" s="1"/>
  <c r="AM33" i="27"/>
  <c r="AR33" i="27" s="1"/>
  <c r="AK38" i="27"/>
  <c r="BI39" i="41" s="1"/>
  <c r="AK45" i="27"/>
  <c r="BI46" i="41" s="1"/>
  <c r="AK50" i="27"/>
  <c r="BI51" i="41" s="1"/>
  <c r="AJ5" i="21"/>
  <c r="AO5" i="21" s="1"/>
  <c r="AJ12" i="21"/>
  <c r="AO12" i="21" s="1"/>
  <c r="AJ18" i="21"/>
  <c r="AO18" i="21" s="1"/>
  <c r="AJ24" i="21"/>
  <c r="AO24" i="21" s="1"/>
  <c r="AJ31" i="21"/>
  <c r="AO31" i="21" s="1"/>
  <c r="AH36" i="21"/>
  <c r="BL37" i="41" s="1"/>
  <c r="AL10" i="22"/>
  <c r="AP10" i="22" s="1"/>
  <c r="AH18" i="22"/>
  <c r="BO19" i="41" s="1"/>
  <c r="AH23" i="22"/>
  <c r="BO24" i="41" s="1"/>
  <c r="AH30" i="22"/>
  <c r="BO31" i="41" s="1"/>
  <c r="AH35" i="22"/>
  <c r="BO36" i="41" s="1"/>
  <c r="AH41" i="22"/>
  <c r="BO42" i="41" s="1"/>
  <c r="AL20" i="23"/>
  <c r="AP20" i="23" s="1"/>
  <c r="AL25" i="23"/>
  <c r="AP25" i="23" s="1"/>
  <c r="AL31" i="23"/>
  <c r="AP31" i="23" s="1"/>
  <c r="AH38" i="23"/>
  <c r="BR39" i="41" s="1"/>
  <c r="AL42" i="23"/>
  <c r="AP42" i="23" s="1"/>
  <c r="AL45" i="21"/>
  <c r="AP45" i="21" s="1"/>
  <c r="AL50" i="21"/>
  <c r="AP50" i="21" s="1"/>
  <c r="AL5" i="22"/>
  <c r="AP5" i="22" s="1"/>
  <c r="AL11" i="22"/>
  <c r="AP11" i="22" s="1"/>
  <c r="AL17" i="22"/>
  <c r="AP17" i="22" s="1"/>
  <c r="AL24" i="22"/>
  <c r="AP24" i="22" s="1"/>
  <c r="AJ29" i="22"/>
  <c r="AO29" i="22" s="1"/>
  <c r="AL36" i="22"/>
  <c r="AP36" i="22" s="1"/>
  <c r="AJ41" i="22"/>
  <c r="AO41" i="22" s="1"/>
  <c r="AJ48" i="22"/>
  <c r="AO48" i="22" s="1"/>
  <c r="AL53" i="22"/>
  <c r="AP53" i="22" s="1"/>
  <c r="AL9" i="23"/>
  <c r="AP9" i="23" s="1"/>
  <c r="AL15" i="23"/>
  <c r="AP15" i="23" s="1"/>
  <c r="AL21" i="23"/>
  <c r="AP21" i="23" s="1"/>
  <c r="AL28" i="23"/>
  <c r="AP28" i="23" s="1"/>
  <c r="AJ33" i="23"/>
  <c r="AO33" i="23" s="1"/>
  <c r="AL40" i="23"/>
  <c r="AP40" i="23" s="1"/>
  <c r="AJ45" i="23"/>
  <c r="AO45" i="23" s="1"/>
  <c r="AL51" i="23"/>
  <c r="AP51" i="23" s="1"/>
  <c r="AQ28" i="19"/>
  <c r="AW29" i="41" s="1"/>
  <c r="AK44" i="35"/>
  <c r="AZ45" i="41" s="1"/>
  <c r="AJ8" i="36"/>
  <c r="AO8" i="36" s="1"/>
  <c r="AJ40" i="36"/>
  <c r="AO40" i="36" s="1"/>
  <c r="AJ7" i="20"/>
  <c r="AO7" i="20" s="1"/>
  <c r="AH34" i="20"/>
  <c r="BF35" i="41" s="1"/>
  <c r="AH39" i="20"/>
  <c r="BF40" i="41" s="1"/>
  <c r="AJ51" i="20"/>
  <c r="AO51" i="20" s="1"/>
  <c r="AO6" i="27"/>
  <c r="AS6" i="27" s="1"/>
  <c r="AO28" i="27"/>
  <c r="AS28" i="27" s="1"/>
  <c r="AK36" i="27"/>
  <c r="BI37" i="41" s="1"/>
  <c r="AK48" i="27"/>
  <c r="BI49" i="41" s="1"/>
  <c r="AL8" i="21"/>
  <c r="AP8" i="21" s="1"/>
  <c r="AJ13" i="21"/>
  <c r="AO13" i="21" s="1"/>
  <c r="AL37" i="21"/>
  <c r="AP37" i="21" s="1"/>
  <c r="AL42" i="21"/>
  <c r="AP42" i="21" s="1"/>
  <c r="AJ6" i="22"/>
  <c r="AO6" i="22" s="1"/>
  <c r="AL12" i="22"/>
  <c r="AP12" i="22" s="1"/>
  <c r="AH50" i="22"/>
  <c r="BO51" i="41" s="1"/>
  <c r="AJ5" i="23"/>
  <c r="AO5" i="23" s="1"/>
  <c r="AL17" i="23"/>
  <c r="AP17" i="23" s="1"/>
  <c r="AH35" i="23"/>
  <c r="BR36" i="41" s="1"/>
  <c r="AH40" i="23"/>
  <c r="BR41" i="41" s="1"/>
  <c r="AJ46" i="36"/>
  <c r="AO46" i="36" s="1"/>
  <c r="AJ12" i="20"/>
  <c r="AO12" i="20" s="1"/>
  <c r="AJ18" i="20"/>
  <c r="AO18" i="20" s="1"/>
  <c r="AJ31" i="20"/>
  <c r="AO31" i="20" s="1"/>
  <c r="AJ43" i="20"/>
  <c r="AO43" i="20" s="1"/>
  <c r="AH48" i="20"/>
  <c r="BF49" i="41" s="1"/>
  <c r="AO10" i="27"/>
  <c r="AS10" i="27" s="1"/>
  <c r="AM15" i="27"/>
  <c r="AR15" i="27" s="1"/>
  <c r="AM27" i="27"/>
  <c r="AR27" i="27" s="1"/>
  <c r="AM34" i="27"/>
  <c r="AR34" i="27" s="1"/>
  <c r="AM46" i="27"/>
  <c r="AR46" i="27" s="1"/>
  <c r="AM51" i="27"/>
  <c r="AR51" i="27" s="1"/>
  <c r="AL13" i="21"/>
  <c r="AP13" i="21" s="1"/>
  <c r="AJ25" i="21"/>
  <c r="AO25" i="21" s="1"/>
  <c r="AL32" i="21"/>
  <c r="AP32" i="21" s="1"/>
  <c r="AH12" i="22"/>
  <c r="BO13" i="41" s="1"/>
  <c r="AH24" i="22"/>
  <c r="BO25" i="41" s="1"/>
  <c r="AJ31" i="22"/>
  <c r="AO31" i="22" s="1"/>
  <c r="AL14" i="23"/>
  <c r="AP14" i="23" s="1"/>
  <c r="AH22" i="23"/>
  <c r="BR23" i="41" s="1"/>
  <c r="AH34" i="23"/>
  <c r="BR35" i="41" s="1"/>
  <c r="AH39" i="23"/>
  <c r="BR40" i="41" s="1"/>
  <c r="AL46" i="21"/>
  <c r="AP46" i="21" s="1"/>
  <c r="AH7" i="22"/>
  <c r="BO8" i="41" s="1"/>
  <c r="AL18" i="22"/>
  <c r="AP18" i="22" s="1"/>
  <c r="AH26" i="22"/>
  <c r="BO27" i="41" s="1"/>
  <c r="AL37" i="22"/>
  <c r="AP37" i="22" s="1"/>
  <c r="AL43" i="22"/>
  <c r="AP43" i="22" s="1"/>
  <c r="AH5" i="23"/>
  <c r="BR6" i="41" s="1"/>
  <c r="AH11" i="23"/>
  <c r="BR12" i="41" s="1"/>
  <c r="AL22" i="23"/>
  <c r="AP22" i="23" s="1"/>
  <c r="AL34" i="23"/>
  <c r="AP34" i="23" s="1"/>
  <c r="AL41" i="23"/>
  <c r="AP41" i="23" s="1"/>
  <c r="AH53" i="23"/>
  <c r="BR54" i="41" s="1"/>
  <c r="AQ15" i="18"/>
  <c r="AT16" i="41" s="1"/>
  <c r="AS14" i="34"/>
  <c r="AW14" i="34" s="1"/>
  <c r="AJ52" i="20"/>
  <c r="AO52" i="20" s="1"/>
  <c r="BA22" i="26"/>
  <c r="BE22" i="26" s="1"/>
  <c r="AS34" i="12"/>
  <c r="AW34" i="12" s="1"/>
  <c r="BH46" i="11"/>
  <c r="BL46" i="11" s="1"/>
  <c r="AQ16" i="34"/>
  <c r="AV16" i="34" s="1"/>
  <c r="AU48" i="14"/>
  <c r="AY48" i="14" s="1"/>
  <c r="AL17" i="36"/>
  <c r="AP17" i="36" s="1"/>
  <c r="AH9" i="22"/>
  <c r="BO10" i="41" s="1"/>
  <c r="AX45" i="10"/>
  <c r="BC45" i="10" s="1"/>
  <c r="AP45" i="33"/>
  <c r="AU45" i="33" s="1"/>
  <c r="AO25" i="12"/>
  <c r="Y26" i="41" s="1"/>
  <c r="AY54" i="26"/>
  <c r="BD54" i="26" s="1"/>
  <c r="AU21" i="15"/>
  <c r="AY21" i="15" s="1"/>
  <c r="AS7" i="18"/>
  <c r="AX7" i="18" s="1"/>
  <c r="AK13" i="35"/>
  <c r="AZ14" i="41" s="1"/>
  <c r="AL51" i="20"/>
  <c r="AP51" i="20" s="1"/>
  <c r="AH28" i="22"/>
  <c r="BO29" i="41" s="1"/>
  <c r="AZ12" i="10"/>
  <c r="BD12" i="10" s="1"/>
  <c r="BD34" i="11"/>
  <c r="P35" i="41" s="1"/>
  <c r="AQ19" i="34"/>
  <c r="AV19" i="34" s="1"/>
  <c r="AO38" i="12"/>
  <c r="Y39" i="41" s="1"/>
  <c r="BA45" i="26"/>
  <c r="BE45" i="26" s="1"/>
  <c r="AU18" i="14"/>
  <c r="AY18" i="14" s="1"/>
  <c r="AI9" i="17"/>
  <c r="AM9" i="17" s="1"/>
  <c r="AS51" i="18"/>
  <c r="AX51" i="18" s="1"/>
  <c r="AM48" i="35"/>
  <c r="AR48" i="35" s="1"/>
  <c r="AL24" i="21"/>
  <c r="AP24" i="21" s="1"/>
  <c r="AL33" i="22"/>
  <c r="AP33" i="22" s="1"/>
  <c r="AH54" i="23"/>
  <c r="BR55" i="41" s="1"/>
  <c r="AJ40" i="7"/>
  <c r="J41" i="41" s="1"/>
  <c r="AV23" i="10"/>
  <c r="M24" i="41" s="1"/>
  <c r="BD6" i="11"/>
  <c r="P7" i="41" s="1"/>
  <c r="BH36" i="11"/>
  <c r="BL36" i="11" s="1"/>
  <c r="AP18" i="33"/>
  <c r="AU18" i="33" s="1"/>
  <c r="AN52" i="33"/>
  <c r="S53" i="41" s="1"/>
  <c r="AS30" i="34"/>
  <c r="AW30" i="34" s="1"/>
  <c r="AS14" i="12"/>
  <c r="AW14" i="12" s="1"/>
  <c r="AS50" i="12"/>
  <c r="AW50" i="12" s="1"/>
  <c r="BA29" i="26"/>
  <c r="BE29" i="26" s="1"/>
  <c r="AU7" i="13"/>
  <c r="AE8" i="41" s="1"/>
  <c r="AU47" i="13"/>
  <c r="AE48" i="41" s="1"/>
  <c r="AS20" i="14"/>
  <c r="AX20" i="14" s="1"/>
  <c r="BD11" i="11"/>
  <c r="P12" i="41" s="1"/>
  <c r="AU6" i="18"/>
  <c r="AY6" i="18" s="1"/>
  <c r="AS50" i="34"/>
  <c r="AW50" i="34" s="1"/>
  <c r="AK30" i="35"/>
  <c r="AZ31" i="41" s="1"/>
  <c r="AX23" i="10"/>
  <c r="BC23" i="10" s="1"/>
  <c r="AQ48" i="34"/>
  <c r="AV48" i="34" s="1"/>
  <c r="AU36" i="14"/>
  <c r="AY36" i="14" s="1"/>
  <c r="AU48" i="19"/>
  <c r="AY48" i="19" s="1"/>
  <c r="AJ10" i="21"/>
  <c r="AO10" i="21" s="1"/>
  <c r="BD18" i="11"/>
  <c r="P19" i="41" s="1"/>
  <c r="AO14" i="12"/>
  <c r="Y15" i="41" s="1"/>
  <c r="AW50" i="13"/>
  <c r="BB50" i="13" s="1"/>
  <c r="AU29" i="18"/>
  <c r="AY29" i="18" s="1"/>
  <c r="AK16" i="27"/>
  <c r="BI17" i="41" s="1"/>
  <c r="AJ38" i="22"/>
  <c r="AO38" i="22" s="1"/>
  <c r="AL46" i="7"/>
  <c r="AQ46" i="7" s="1"/>
  <c r="BD7" i="11"/>
  <c r="P8" i="41" s="1"/>
  <c r="AN23" i="33"/>
  <c r="S24" i="41" s="1"/>
  <c r="AO38" i="34"/>
  <c r="V39" i="41" s="1"/>
  <c r="AO52" i="12"/>
  <c r="Y53" i="41" s="1"/>
  <c r="AY9" i="13"/>
  <c r="BC9" i="13" s="1"/>
  <c r="AQ24" i="14"/>
  <c r="AH25" i="41" s="1"/>
  <c r="AU51" i="14"/>
  <c r="AY51" i="14" s="1"/>
  <c r="AU24" i="15"/>
  <c r="AY24" i="15" s="1"/>
  <c r="AS45" i="15"/>
  <c r="AX45" i="15" s="1"/>
  <c r="AG26" i="17"/>
  <c r="AL26" i="17" s="1"/>
  <c r="AG48" i="17"/>
  <c r="AL48" i="17" s="1"/>
  <c r="AS29" i="18"/>
  <c r="AX29" i="18" s="1"/>
  <c r="AQ13" i="19"/>
  <c r="AW14" i="41" s="1"/>
  <c r="AU32" i="19"/>
  <c r="AY32" i="19" s="1"/>
  <c r="AK17" i="35"/>
  <c r="AZ18" i="41" s="1"/>
  <c r="AK32" i="35"/>
  <c r="AZ33" i="41" s="1"/>
  <c r="AH25" i="36"/>
  <c r="BC26" i="41" s="1"/>
  <c r="AH20" i="20"/>
  <c r="BF21" i="41" s="1"/>
  <c r="AK18" i="27"/>
  <c r="BI19" i="41" s="1"/>
  <c r="AK34" i="27"/>
  <c r="BI35" i="41" s="1"/>
  <c r="AL5" i="21"/>
  <c r="AP5" i="21" s="1"/>
  <c r="AH38" i="21"/>
  <c r="BL39" i="41" s="1"/>
  <c r="AL13" i="22"/>
  <c r="AP13" i="22" s="1"/>
  <c r="AJ54" i="22"/>
  <c r="AO54" i="22" s="1"/>
  <c r="AJ27" i="23"/>
  <c r="AO27" i="23" s="1"/>
  <c r="AQ29" i="15"/>
  <c r="AK30" i="41" s="1"/>
  <c r="AU45" i="15"/>
  <c r="AY45" i="15" s="1"/>
  <c r="AG8" i="17"/>
  <c r="AL8" i="17" s="1"/>
  <c r="AE26" i="17"/>
  <c r="AQ27" i="41" s="1"/>
  <c r="AG41" i="17"/>
  <c r="AL41" i="17" s="1"/>
  <c r="AU8" i="18"/>
  <c r="AY8" i="18" s="1"/>
  <c r="AQ24" i="18"/>
  <c r="AT25" i="41" s="1"/>
  <c r="AQ42" i="18"/>
  <c r="AT43" i="41" s="1"/>
  <c r="AU5" i="19"/>
  <c r="AY5" i="19" s="1"/>
  <c r="AS23" i="19"/>
  <c r="AX23" i="19" s="1"/>
  <c r="AU38" i="19"/>
  <c r="AY38" i="19" s="1"/>
  <c r="AU53" i="19"/>
  <c r="AY53" i="19" s="1"/>
  <c r="AM20" i="35"/>
  <c r="AR20" i="35" s="1"/>
  <c r="AK37" i="35"/>
  <c r="AZ38" i="41" s="1"/>
  <c r="AK52" i="35"/>
  <c r="AZ53" i="41" s="1"/>
  <c r="AH27" i="36"/>
  <c r="BC28" i="41" s="1"/>
  <c r="AL9" i="20"/>
  <c r="AP9" i="20" s="1"/>
  <c r="AJ35" i="20"/>
  <c r="AO35" i="20" s="1"/>
  <c r="AJ47" i="20"/>
  <c r="AO47" i="20" s="1"/>
  <c r="AK8" i="27"/>
  <c r="BI9" i="41" s="1"/>
  <c r="AK30" i="27"/>
  <c r="BI31" i="41" s="1"/>
  <c r="AK42" i="27"/>
  <c r="BI43" i="41" s="1"/>
  <c r="AO54" i="27"/>
  <c r="AS54" i="27" s="1"/>
  <c r="AL15" i="21"/>
  <c r="AP15" i="21" s="1"/>
  <c r="AH39" i="21"/>
  <c r="BL40" i="41" s="1"/>
  <c r="AJ51" i="21"/>
  <c r="AO51" i="21" s="1"/>
  <c r="AJ21" i="22"/>
  <c r="AO21" i="22" s="1"/>
  <c r="AJ51" i="22"/>
  <c r="AO51" i="22" s="1"/>
  <c r="AL13" i="23"/>
  <c r="AP13" i="23" s="1"/>
  <c r="AJ31" i="23"/>
  <c r="AO31" i="23" s="1"/>
  <c r="AJ42" i="23"/>
  <c r="AO42" i="23" s="1"/>
  <c r="AH49" i="36"/>
  <c r="BC50" i="41" s="1"/>
  <c r="AL13" i="20"/>
  <c r="AP13" i="20" s="1"/>
  <c r="AJ25" i="20"/>
  <c r="AO25" i="20" s="1"/>
  <c r="AJ37" i="20"/>
  <c r="AO37" i="20" s="1"/>
  <c r="AJ49" i="20"/>
  <c r="AO49" i="20" s="1"/>
  <c r="AK12" i="27"/>
  <c r="BI13" i="41" s="1"/>
  <c r="AO23" i="27"/>
  <c r="AS23" i="27" s="1"/>
  <c r="AO35" i="27"/>
  <c r="AS35" i="27" s="1"/>
  <c r="AM47" i="27"/>
  <c r="AR47" i="27" s="1"/>
  <c r="AH10" i="21"/>
  <c r="BL11" i="41" s="1"/>
  <c r="AH22" i="21"/>
  <c r="BL23" i="41" s="1"/>
  <c r="AL33" i="21"/>
  <c r="AP33" i="21" s="1"/>
  <c r="AJ14" i="22"/>
  <c r="AO14" i="22" s="1"/>
  <c r="AJ25" i="22"/>
  <c r="AO25" i="22" s="1"/>
  <c r="AJ37" i="22"/>
  <c r="AO37" i="22" s="1"/>
  <c r="AH23" i="23"/>
  <c r="BR24" i="41" s="1"/>
  <c r="AJ35" i="23"/>
  <c r="AO35" i="23" s="1"/>
  <c r="AJ43" i="21"/>
  <c r="AO43" i="21" s="1"/>
  <c r="AJ53" i="21"/>
  <c r="AO53" i="21" s="1"/>
  <c r="AJ15" i="22"/>
  <c r="AO15" i="22" s="1"/>
  <c r="AH27" i="22"/>
  <c r="BO28" i="41" s="1"/>
  <c r="AH39" i="22"/>
  <c r="BO40" i="41" s="1"/>
  <c r="AH51" i="22"/>
  <c r="BO52" i="41" s="1"/>
  <c r="AH12" i="23"/>
  <c r="BR13" i="41" s="1"/>
  <c r="AH24" i="23"/>
  <c r="BR25" i="41" s="1"/>
  <c r="AH37" i="23"/>
  <c r="BR38" i="41" s="1"/>
  <c r="AH49" i="23"/>
  <c r="BR50" i="41" s="1"/>
  <c r="AH31" i="23"/>
  <c r="BR32" i="41" s="1"/>
  <c r="AJ54" i="23"/>
  <c r="AO54" i="23" s="1"/>
  <c r="AP29" i="33"/>
  <c r="AU29" i="33" s="1"/>
  <c r="AS6" i="34"/>
  <c r="AW6" i="34" s="1"/>
  <c r="AU35" i="18"/>
  <c r="AY35" i="18" s="1"/>
  <c r="AV19" i="10"/>
  <c r="M20" i="41" s="1"/>
  <c r="AW52" i="26"/>
  <c r="AB53" i="41" s="1"/>
  <c r="AH5" i="36"/>
  <c r="BC6" i="41" s="1"/>
  <c r="AJ25" i="7"/>
  <c r="J26" i="41" s="1"/>
  <c r="AP5" i="33"/>
  <c r="AU5" i="33" s="1"/>
  <c r="AO40" i="12"/>
  <c r="Y41" i="41" s="1"/>
  <c r="AQ12" i="14"/>
  <c r="AH13" i="41" s="1"/>
  <c r="AS16" i="15"/>
  <c r="AX16" i="15" s="1"/>
  <c r="AI6" i="17"/>
  <c r="AM6" i="17" s="1"/>
  <c r="AS23" i="18"/>
  <c r="AX23" i="18" s="1"/>
  <c r="AS26" i="19"/>
  <c r="AX26" i="19" s="1"/>
  <c r="AO25" i="35"/>
  <c r="AS25" i="35" s="1"/>
  <c r="AH15" i="20"/>
  <c r="BF16" i="41" s="1"/>
  <c r="AK29" i="27"/>
  <c r="BI30" i="41" s="1"/>
  <c r="AL30" i="21"/>
  <c r="AP30" i="21" s="1"/>
  <c r="AH49" i="22"/>
  <c r="BO50" i="41" s="1"/>
  <c r="AU39" i="15"/>
  <c r="AY39" i="15" s="1"/>
  <c r="AE19" i="17"/>
  <c r="AQ20" i="41" s="1"/>
  <c r="AG51" i="17"/>
  <c r="AL51" i="17" s="1"/>
  <c r="AU34" i="18"/>
  <c r="AY34" i="18" s="1"/>
  <c r="AS16" i="19"/>
  <c r="AX16" i="19" s="1"/>
  <c r="AS48" i="19"/>
  <c r="AX48" i="19" s="1"/>
  <c r="AM14" i="35"/>
  <c r="AR14" i="35" s="1"/>
  <c r="AO46" i="35"/>
  <c r="AS46" i="35" s="1"/>
  <c r="AH51" i="36"/>
  <c r="BC52" i="41" s="1"/>
  <c r="AJ41" i="20"/>
  <c r="AO41" i="20" s="1"/>
  <c r="AK14" i="27"/>
  <c r="BI15" i="41" s="1"/>
  <c r="AH11" i="21"/>
  <c r="BL12" i="41" s="1"/>
  <c r="AJ47" i="21"/>
  <c r="AO47" i="21" s="1"/>
  <c r="AJ46" i="22"/>
  <c r="AO46" i="22" s="1"/>
  <c r="AH20" i="23"/>
  <c r="BR21" i="41" s="1"/>
  <c r="AH41" i="36"/>
  <c r="BC42" i="41" s="1"/>
  <c r="AH22" i="20"/>
  <c r="BF23" i="41" s="1"/>
  <c r="AL45" i="20"/>
  <c r="AP45" i="20" s="1"/>
  <c r="AK19" i="27"/>
  <c r="BI20" i="41" s="1"/>
  <c r="AK44" i="27"/>
  <c r="BI45" i="41" s="1"/>
  <c r="AH16" i="21"/>
  <c r="BL17" i="41" s="1"/>
  <c r="AH42" i="21"/>
  <c r="BL43" i="41" s="1"/>
  <c r="AH34" i="22"/>
  <c r="BO35" i="41" s="1"/>
  <c r="AJ29" i="23"/>
  <c r="AO29" i="23" s="1"/>
  <c r="AJ49" i="21"/>
  <c r="AO49" i="21" s="1"/>
  <c r="AJ22" i="22"/>
  <c r="AO22" i="22" s="1"/>
  <c r="AJ47" i="22"/>
  <c r="AO47" i="22" s="1"/>
  <c r="AJ20" i="23"/>
  <c r="AO20" i="23" s="1"/>
  <c r="AH44" i="23"/>
  <c r="BR45" i="41" s="1"/>
  <c r="AS52" i="14"/>
  <c r="AX52" i="14" s="1"/>
  <c r="AU22" i="18"/>
  <c r="AY22" i="18" s="1"/>
  <c r="AY21" i="13"/>
  <c r="BC21" i="13" s="1"/>
  <c r="AJ8" i="20"/>
  <c r="AO8" i="20" s="1"/>
  <c r="BF10" i="11"/>
  <c r="BK10" i="11" s="1"/>
  <c r="AO43" i="12"/>
  <c r="Y44" i="41" s="1"/>
  <c r="AQ39" i="15"/>
  <c r="AK40" i="41" s="1"/>
  <c r="AO26" i="35"/>
  <c r="AS26" i="35" s="1"/>
  <c r="AH42" i="22"/>
  <c r="BO43" i="41" s="1"/>
  <c r="BD40" i="11"/>
  <c r="P41" i="41" s="1"/>
  <c r="AS44" i="12"/>
  <c r="AW44" i="12" s="1"/>
  <c r="AS27" i="14"/>
  <c r="AX27" i="14" s="1"/>
  <c r="AS25" i="19"/>
  <c r="AX25" i="19" s="1"/>
  <c r="AJ24" i="22"/>
  <c r="AO24" i="22" s="1"/>
  <c r="AJ43" i="23"/>
  <c r="AO43" i="23" s="1"/>
  <c r="AX11" i="10"/>
  <c r="BC11" i="10" s="1"/>
  <c r="BH23" i="11"/>
  <c r="BL23" i="11" s="1"/>
  <c r="AN42" i="33"/>
  <c r="S43" i="41" s="1"/>
  <c r="AQ51" i="34"/>
  <c r="AV51" i="34" s="1"/>
  <c r="BA17" i="26"/>
  <c r="BE17" i="26" s="1"/>
  <c r="AU31" i="13"/>
  <c r="AE32" i="41" s="1"/>
  <c r="AS33" i="14"/>
  <c r="AX33" i="14" s="1"/>
  <c r="AU5" i="15"/>
  <c r="AY5" i="15" s="1"/>
  <c r="AU25" i="15"/>
  <c r="AY25" i="15" s="1"/>
  <c r="AU47" i="15"/>
  <c r="AY47" i="15" s="1"/>
  <c r="AE31" i="17"/>
  <c r="AQ32" i="41" s="1"/>
  <c r="AI49" i="17"/>
  <c r="AM49" i="17" s="1"/>
  <c r="AQ33" i="18"/>
  <c r="AT34" i="41" s="1"/>
  <c r="AU16" i="19"/>
  <c r="AY16" i="19" s="1"/>
  <c r="AU33" i="19"/>
  <c r="AY33" i="19" s="1"/>
  <c r="AM18" i="35"/>
  <c r="AR18" i="35" s="1"/>
  <c r="AM34" i="35"/>
  <c r="AR34" i="35" s="1"/>
  <c r="AH29" i="36"/>
  <c r="BC30" i="41" s="1"/>
  <c r="AJ21" i="20"/>
  <c r="AO21" i="20" s="1"/>
  <c r="AO21" i="27"/>
  <c r="AS21" i="27" s="1"/>
  <c r="AM35" i="27"/>
  <c r="AR35" i="27" s="1"/>
  <c r="AH7" i="21"/>
  <c r="BL8" i="41" s="1"/>
  <c r="AL40" i="21"/>
  <c r="AP40" i="21" s="1"/>
  <c r="AH15" i="22"/>
  <c r="BO16" i="41" s="1"/>
  <c r="AL5" i="23"/>
  <c r="AP5" i="23" s="1"/>
  <c r="AL29" i="23"/>
  <c r="AP29" i="23" s="1"/>
  <c r="AS31" i="15"/>
  <c r="AX31" i="15" s="1"/>
  <c r="AU46" i="15"/>
  <c r="AY46" i="15" s="1"/>
  <c r="AI10" i="17"/>
  <c r="AM10" i="17" s="1"/>
  <c r="AG27" i="17"/>
  <c r="AL27" i="17" s="1"/>
  <c r="AI42" i="17"/>
  <c r="AM42" i="17" s="1"/>
  <c r="AQ11" i="18"/>
  <c r="AT12" i="41" s="1"/>
  <c r="AS25" i="18"/>
  <c r="AX25" i="18" s="1"/>
  <c r="AQ43" i="18"/>
  <c r="AT44" i="41" s="1"/>
  <c r="AQ8" i="19"/>
  <c r="AW9" i="41" s="1"/>
  <c r="AU24" i="19"/>
  <c r="AY24" i="19" s="1"/>
  <c r="AQ40" i="19"/>
  <c r="AW41" i="41" s="1"/>
  <c r="AK6" i="35"/>
  <c r="AZ7" i="41" s="1"/>
  <c r="AO22" i="35"/>
  <c r="AS22" i="35" s="1"/>
  <c r="AK38" i="35"/>
  <c r="AZ39" i="41" s="1"/>
  <c r="AO54" i="35"/>
  <c r="AS54" i="35" s="1"/>
  <c r="AL29" i="36"/>
  <c r="AP29" i="36" s="1"/>
  <c r="AH11" i="20"/>
  <c r="BF12" i="41" s="1"/>
  <c r="AJ36" i="20"/>
  <c r="AO36" i="20" s="1"/>
  <c r="AL48" i="20"/>
  <c r="AP48" i="20" s="1"/>
  <c r="AM9" i="27"/>
  <c r="AR9" i="27" s="1"/>
  <c r="AM32" i="27"/>
  <c r="AR32" i="27" s="1"/>
  <c r="AM43" i="27"/>
  <c r="AR43" i="27" s="1"/>
  <c r="AH6" i="21"/>
  <c r="BL7" i="41" s="1"/>
  <c r="AH28" i="21"/>
  <c r="BL29" i="41" s="1"/>
  <c r="AJ40" i="21"/>
  <c r="AO40" i="21" s="1"/>
  <c r="AL52" i="21"/>
  <c r="AP52" i="21" s="1"/>
  <c r="AL22" i="22"/>
  <c r="AP22" i="22" s="1"/>
  <c r="AL52" i="22"/>
  <c r="AP52" i="22" s="1"/>
  <c r="AH15" i="23"/>
  <c r="BR16" i="41" s="1"/>
  <c r="AL32" i="23"/>
  <c r="AP32" i="23" s="1"/>
  <c r="AJ30" i="36"/>
  <c r="AO30" i="36" s="1"/>
  <c r="AL51" i="36"/>
  <c r="AP51" i="36" s="1"/>
  <c r="AL14" i="20"/>
  <c r="AP14" i="20" s="1"/>
  <c r="AL26" i="20"/>
  <c r="AP26" i="20" s="1"/>
  <c r="AL39" i="20"/>
  <c r="AP39" i="20" s="1"/>
  <c r="AL50" i="20"/>
  <c r="AP50" i="20" s="1"/>
  <c r="AK13" i="27"/>
  <c r="BI14" i="41" s="1"/>
  <c r="AK25" i="27"/>
  <c r="BI26" i="41" s="1"/>
  <c r="AO36" i="27"/>
  <c r="AS36" i="27" s="1"/>
  <c r="AO48" i="27"/>
  <c r="AS48" i="27" s="1"/>
  <c r="AJ11" i="21"/>
  <c r="AO11" i="21" s="1"/>
  <c r="AH23" i="21"/>
  <c r="BL24" i="41" s="1"/>
  <c r="AH35" i="21"/>
  <c r="BL36" i="41" s="1"/>
  <c r="AL16" i="22"/>
  <c r="AP16" i="22" s="1"/>
  <c r="AL27" i="22"/>
  <c r="AP27" i="22" s="1"/>
  <c r="AL38" i="22"/>
  <c r="AP38" i="22" s="1"/>
  <c r="AJ24" i="23"/>
  <c r="AO24" i="23" s="1"/>
  <c r="AL36" i="23"/>
  <c r="AP36" i="23" s="1"/>
  <c r="AJ44" i="21"/>
  <c r="AO44" i="21" s="1"/>
  <c r="AL54" i="21"/>
  <c r="AP54" i="21" s="1"/>
  <c r="AJ16" i="22"/>
  <c r="AO16" i="22" s="1"/>
  <c r="AJ28" i="22"/>
  <c r="AO28" i="22" s="1"/>
  <c r="AH40" i="22"/>
  <c r="BO41" i="41" s="1"/>
  <c r="AJ52" i="22"/>
  <c r="AO52" i="22" s="1"/>
  <c r="AJ13" i="23"/>
  <c r="AO13" i="23" s="1"/>
  <c r="AJ26" i="23"/>
  <c r="AO26" i="23" s="1"/>
  <c r="AJ39" i="23"/>
  <c r="AO39" i="23" s="1"/>
  <c r="AJ50" i="23"/>
  <c r="AO50" i="23" s="1"/>
  <c r="AU16" i="14"/>
  <c r="AY16" i="14" s="1"/>
  <c r="AX13" i="10"/>
  <c r="BC13" i="10" s="1"/>
  <c r="AU38" i="15"/>
  <c r="AY38" i="15" s="1"/>
  <c r="AM52" i="27"/>
  <c r="AR52" i="27" s="1"/>
  <c r="AR24" i="33"/>
  <c r="AV24" i="33" s="1"/>
  <c r="BA25" i="26"/>
  <c r="BE25" i="26" s="1"/>
  <c r="AI40" i="17"/>
  <c r="AM40" i="17" s="1"/>
  <c r="AJ50" i="36"/>
  <c r="AO50" i="36" s="1"/>
  <c r="AJ35" i="7"/>
  <c r="J36" i="41" s="1"/>
  <c r="AR28" i="33"/>
  <c r="AV28" i="33" s="1"/>
  <c r="AY17" i="26"/>
  <c r="BD17" i="26" s="1"/>
  <c r="AU9" i="15"/>
  <c r="AY9" i="15" s="1"/>
  <c r="AK8" i="35"/>
  <c r="AZ9" i="41" s="1"/>
  <c r="AH49" i="21"/>
  <c r="BL50" i="41" s="1"/>
  <c r="AJ7" i="7"/>
  <c r="J8" i="41" s="1"/>
  <c r="AZ26" i="10"/>
  <c r="BD26" i="10" s="1"/>
  <c r="BF41" i="11"/>
  <c r="BK41" i="11" s="1"/>
  <c r="AP53" i="33"/>
  <c r="AU53" i="33" s="1"/>
  <c r="AO20" i="12"/>
  <c r="Y21" i="41" s="1"/>
  <c r="BA36" i="26"/>
  <c r="BE36" i="26" s="1"/>
  <c r="AY49" i="13"/>
  <c r="BC49" i="13" s="1"/>
  <c r="AQ43" i="14"/>
  <c r="AH44" i="41" s="1"/>
  <c r="AQ14" i="15"/>
  <c r="AK15" i="41" s="1"/>
  <c r="AS34" i="15"/>
  <c r="AX34" i="15" s="1"/>
  <c r="AS54" i="15"/>
  <c r="AX54" i="15" s="1"/>
  <c r="AG37" i="17"/>
  <c r="AL37" i="17" s="1"/>
  <c r="AS17" i="18"/>
  <c r="AX17" i="18" s="1"/>
  <c r="AS40" i="18"/>
  <c r="AX40" i="18" s="1"/>
  <c r="AQ24" i="19"/>
  <c r="AW25" i="41" s="1"/>
  <c r="AU39" i="19"/>
  <c r="AY39" i="19" s="1"/>
  <c r="AM23" i="35"/>
  <c r="AR23" i="35" s="1"/>
  <c r="AL7" i="36"/>
  <c r="AP7" i="36" s="1"/>
  <c r="AL49" i="36"/>
  <c r="AP49" i="36" s="1"/>
  <c r="AL28" i="20"/>
  <c r="AP28" i="20" s="1"/>
  <c r="AO27" i="27"/>
  <c r="AS27" i="27" s="1"/>
  <c r="AO47" i="27"/>
  <c r="AS47" i="27" s="1"/>
  <c r="AH13" i="21"/>
  <c r="BL14" i="41" s="1"/>
  <c r="AJ7" i="22"/>
  <c r="AO7" i="22" s="1"/>
  <c r="AJ45" i="22"/>
  <c r="AO45" i="22" s="1"/>
  <c r="AL10" i="23"/>
  <c r="AP10" i="23" s="1"/>
  <c r="AQ22" i="15"/>
  <c r="AK23" i="41" s="1"/>
  <c r="AQ36" i="15"/>
  <c r="AK37" i="41" s="1"/>
  <c r="AQ52" i="15"/>
  <c r="AK53" i="41" s="1"/>
  <c r="AI17" i="17"/>
  <c r="AM17" i="17" s="1"/>
  <c r="AE32" i="17"/>
  <c r="AQ33" i="41" s="1"/>
  <c r="AE50" i="17"/>
  <c r="AQ51" i="41" s="1"/>
  <c r="AQ17" i="18"/>
  <c r="AT18" i="41" s="1"/>
  <c r="AS32" i="18"/>
  <c r="AX32" i="18" s="1"/>
  <c r="AQ49" i="18"/>
  <c r="AT50" i="41" s="1"/>
  <c r="AQ15" i="19"/>
  <c r="AW16" i="41" s="1"/>
  <c r="AS29" i="19"/>
  <c r="AX29" i="19" s="1"/>
  <c r="AQ47" i="19"/>
  <c r="AW48" i="41" s="1"/>
  <c r="AM13" i="35"/>
  <c r="AR13" i="35" s="1"/>
  <c r="AM27" i="35"/>
  <c r="AR27" i="35" s="1"/>
  <c r="AM45" i="35"/>
  <c r="AR45" i="35" s="1"/>
  <c r="AL13" i="36"/>
  <c r="AP13" i="36" s="1"/>
  <c r="AH45" i="36"/>
  <c r="BC46" i="41" s="1"/>
  <c r="AH28" i="20"/>
  <c r="BF29" i="41" s="1"/>
  <c r="AJ40" i="20"/>
  <c r="AO40" i="20" s="1"/>
  <c r="AL52" i="20"/>
  <c r="AP52" i="20" s="1"/>
  <c r="AO12" i="27"/>
  <c r="AS12" i="27" s="1"/>
  <c r="AK37" i="27"/>
  <c r="BI38" i="41" s="1"/>
  <c r="AM49" i="27"/>
  <c r="AR49" i="27" s="1"/>
  <c r="AL9" i="21"/>
  <c r="AP9" i="21" s="1"/>
  <c r="AH34" i="21"/>
  <c r="BL35" i="41" s="1"/>
  <c r="AH45" i="21"/>
  <c r="BL46" i="41" s="1"/>
  <c r="AL8" i="22"/>
  <c r="AP8" i="22" s="1"/>
  <c r="AH44" i="22"/>
  <c r="BO45" i="41" s="1"/>
  <c r="AL7" i="23"/>
  <c r="AP7" i="23" s="1"/>
  <c r="AH19" i="23"/>
  <c r="BR20" i="41" s="1"/>
  <c r="AJ36" i="23"/>
  <c r="AO36" i="23" s="1"/>
  <c r="AJ38" i="36"/>
  <c r="AO38" i="36" s="1"/>
  <c r="AL7" i="20"/>
  <c r="AP7" i="20" s="1"/>
  <c r="AL20" i="20"/>
  <c r="AP20" i="20" s="1"/>
  <c r="AL32" i="20"/>
  <c r="AP32" i="20" s="1"/>
  <c r="AJ44" i="20"/>
  <c r="AO44" i="20" s="1"/>
  <c r="AL54" i="20"/>
  <c r="AP54" i="20" s="1"/>
  <c r="AO16" i="27"/>
  <c r="AS16" i="27" s="1"/>
  <c r="AO29" i="27"/>
  <c r="AS29" i="27" s="1"/>
  <c r="AO42" i="27"/>
  <c r="AS42" i="27" s="1"/>
  <c r="AO52" i="27"/>
  <c r="AS52" i="27" s="1"/>
  <c r="AL14" i="21"/>
  <c r="AP14" i="21" s="1"/>
  <c r="AL26" i="21"/>
  <c r="AP26" i="21" s="1"/>
  <c r="AL39" i="21"/>
  <c r="AP39" i="21" s="1"/>
  <c r="AJ20" i="22"/>
  <c r="AO20" i="22" s="1"/>
  <c r="AL32" i="22"/>
  <c r="AP32" i="22" s="1"/>
  <c r="AH16" i="23"/>
  <c r="BR17" i="41" s="1"/>
  <c r="AH28" i="23"/>
  <c r="BR29" i="41" s="1"/>
  <c r="AJ40" i="23"/>
  <c r="AO40" i="23" s="1"/>
  <c r="AH48" i="21"/>
  <c r="BL49" i="41" s="1"/>
  <c r="AH8" i="22"/>
  <c r="BO9" i="41" s="1"/>
  <c r="AH20" i="22"/>
  <c r="BO21" i="41" s="1"/>
  <c r="AH33" i="22"/>
  <c r="BO34" i="41" s="1"/>
  <c r="AH46" i="22"/>
  <c r="BO47" i="41" s="1"/>
  <c r="AJ7" i="23"/>
  <c r="AO7" i="23" s="1"/>
  <c r="AJ19" i="23"/>
  <c r="AO19" i="23" s="1"/>
  <c r="AH43" i="23"/>
  <c r="BR44" i="41" s="1"/>
  <c r="AV47" i="10"/>
  <c r="M48" i="41" s="1"/>
  <c r="AQ28" i="18"/>
  <c r="AT29" i="41" s="1"/>
  <c r="AL49" i="23"/>
  <c r="AP49" i="23" s="1"/>
  <c r="AY31" i="13"/>
  <c r="BC31" i="13" s="1"/>
  <c r="AK17" i="27"/>
  <c r="BI18" i="41" s="1"/>
  <c r="AQ25" i="34"/>
  <c r="AV25" i="34" s="1"/>
  <c r="AE16" i="17"/>
  <c r="AQ17" i="41" s="1"/>
  <c r="AL20" i="22"/>
  <c r="AP20" i="22" s="1"/>
  <c r="AZ45" i="10"/>
  <c r="BD45" i="10" s="1"/>
  <c r="AO19" i="34"/>
  <c r="V20" i="41" s="1"/>
  <c r="BA48" i="26"/>
  <c r="BE48" i="26" s="1"/>
  <c r="AQ44" i="14"/>
  <c r="AH45" i="41" s="1"/>
  <c r="AQ38" i="15"/>
  <c r="AK39" i="41" s="1"/>
  <c r="AI39" i="17"/>
  <c r="AM39" i="17" s="1"/>
  <c r="AU41" i="18"/>
  <c r="AY41" i="18" s="1"/>
  <c r="AK10" i="35"/>
  <c r="AZ11" i="41" s="1"/>
  <c r="AJ12" i="36"/>
  <c r="AO12" i="36" s="1"/>
  <c r="AH30" i="20"/>
  <c r="BF31" i="41" s="1"/>
  <c r="AM50" i="27"/>
  <c r="AR50" i="27" s="1"/>
  <c r="AJ8" i="22"/>
  <c r="AO8" i="22" s="1"/>
  <c r="AH13" i="23"/>
  <c r="BR14" i="41" s="1"/>
  <c r="AQ23" i="15"/>
  <c r="AK24" i="41" s="1"/>
  <c r="AS53" i="15"/>
  <c r="AX53" i="15" s="1"/>
  <c r="AI36" i="17"/>
  <c r="AM36" i="17" s="1"/>
  <c r="AS19" i="18"/>
  <c r="AX19" i="18" s="1"/>
  <c r="AS50" i="18"/>
  <c r="AX50" i="18" s="1"/>
  <c r="AQ34" i="19"/>
  <c r="AW35" i="41" s="1"/>
  <c r="AK31" i="35"/>
  <c r="AZ32" i="41" s="1"/>
  <c r="AJ16" i="36"/>
  <c r="AO16" i="36" s="1"/>
  <c r="AJ29" i="20"/>
  <c r="AO29" i="20" s="1"/>
  <c r="AH54" i="20"/>
  <c r="BF55" i="41" s="1"/>
  <c r="AM38" i="27"/>
  <c r="AR38" i="27" s="1"/>
  <c r="AO50" i="27"/>
  <c r="AS50" i="27" s="1"/>
  <c r="AJ35" i="21"/>
  <c r="AO35" i="21" s="1"/>
  <c r="AH10" i="22"/>
  <c r="BO11" i="41" s="1"/>
  <c r="AH10" i="23"/>
  <c r="BR11" i="41" s="1"/>
  <c r="AL37" i="23"/>
  <c r="AP37" i="23" s="1"/>
  <c r="AH10" i="20"/>
  <c r="BF11" i="41" s="1"/>
  <c r="AL33" i="20"/>
  <c r="AP33" i="20" s="1"/>
  <c r="AK6" i="27"/>
  <c r="BI7" i="41" s="1"/>
  <c r="AK32" i="27"/>
  <c r="BI33" i="41" s="1"/>
  <c r="AK54" i="27"/>
  <c r="BI55" i="41" s="1"/>
  <c r="AH29" i="21"/>
  <c r="BL30" i="41" s="1"/>
  <c r="AL21" i="22"/>
  <c r="AP21" i="22" s="1"/>
  <c r="AJ18" i="23"/>
  <c r="AO18" i="23" s="1"/>
  <c r="AJ41" i="23"/>
  <c r="AO41" i="23" s="1"/>
  <c r="AJ9" i="22"/>
  <c r="AO9" i="22" s="1"/>
  <c r="AJ35" i="22"/>
  <c r="AO35" i="22" s="1"/>
  <c r="AL8" i="23"/>
  <c r="AP8" i="23" s="1"/>
  <c r="AJ32" i="23"/>
  <c r="AO32" i="23" s="1"/>
  <c r="DZ9" i="1"/>
  <c r="ED9" i="1" s="1"/>
  <c r="DV9" i="1"/>
  <c r="G9" i="41" s="1"/>
  <c r="DV7" i="1"/>
  <c r="G7" i="41" s="1"/>
  <c r="DZ7" i="1"/>
  <c r="ED7" i="1" s="1"/>
  <c r="DX9" i="1"/>
  <c r="EC9" i="1" s="1"/>
  <c r="DV6" i="1"/>
  <c r="O8" i="38"/>
  <c r="D54" i="23"/>
  <c r="C54" i="23"/>
  <c r="D53" i="23"/>
  <c r="C53" i="23"/>
  <c r="BQ53" i="25"/>
  <c r="D52" i="23"/>
  <c r="C52" i="23"/>
  <c r="D51" i="23"/>
  <c r="C51" i="23"/>
  <c r="BQ51" i="25"/>
  <c r="D50" i="23"/>
  <c r="C50" i="23"/>
  <c r="D49" i="23"/>
  <c r="C49" i="23"/>
  <c r="BQ49" i="25"/>
  <c r="D48" i="23"/>
  <c r="C48" i="23"/>
  <c r="D47" i="23"/>
  <c r="C47" i="23"/>
  <c r="D46" i="23"/>
  <c r="C46" i="23"/>
  <c r="D45" i="23"/>
  <c r="C45" i="23"/>
  <c r="BQ45" i="25"/>
  <c r="D44" i="23"/>
  <c r="C44" i="23"/>
  <c r="D43" i="23"/>
  <c r="C43" i="23"/>
  <c r="BQ43" i="25"/>
  <c r="D42" i="23"/>
  <c r="C42" i="23"/>
  <c r="D41" i="23"/>
  <c r="C41" i="23"/>
  <c r="BQ41" i="25"/>
  <c r="D40" i="23"/>
  <c r="C40" i="23"/>
  <c r="D39" i="23"/>
  <c r="C39" i="23"/>
  <c r="D38" i="23"/>
  <c r="C38" i="23"/>
  <c r="D37" i="23"/>
  <c r="C37" i="23"/>
  <c r="D36" i="23"/>
  <c r="C36" i="23"/>
  <c r="D35" i="23"/>
  <c r="C35" i="23"/>
  <c r="BQ35" i="25"/>
  <c r="D34" i="23"/>
  <c r="C34" i="23"/>
  <c r="D33" i="23"/>
  <c r="C33" i="23"/>
  <c r="D32" i="23"/>
  <c r="C32" i="23"/>
  <c r="D31" i="23"/>
  <c r="C31" i="23"/>
  <c r="D30" i="23"/>
  <c r="C30" i="23"/>
  <c r="D29" i="23"/>
  <c r="C29" i="23"/>
  <c r="D28" i="23"/>
  <c r="C28" i="23"/>
  <c r="D27" i="23"/>
  <c r="C27" i="23"/>
  <c r="BQ27" i="25"/>
  <c r="D26" i="23"/>
  <c r="C26" i="23"/>
  <c r="D25" i="23"/>
  <c r="C25" i="23"/>
  <c r="D24" i="23"/>
  <c r="C24" i="23"/>
  <c r="BQ24" i="25"/>
  <c r="D23" i="23"/>
  <c r="C23" i="23"/>
  <c r="D22" i="23"/>
  <c r="C22" i="23"/>
  <c r="D21" i="23"/>
  <c r="C21" i="23"/>
  <c r="D20" i="23"/>
  <c r="C20" i="23"/>
  <c r="D19" i="23"/>
  <c r="C19" i="23"/>
  <c r="BQ19" i="25"/>
  <c r="D18" i="23"/>
  <c r="C18" i="23"/>
  <c r="D17" i="23"/>
  <c r="C17" i="23"/>
  <c r="D16" i="23"/>
  <c r="C16" i="23"/>
  <c r="D15" i="23"/>
  <c r="C15" i="23"/>
  <c r="D14" i="23"/>
  <c r="C14" i="23"/>
  <c r="D13" i="23"/>
  <c r="C13" i="23"/>
  <c r="D12" i="23"/>
  <c r="C12" i="23"/>
  <c r="D11" i="23"/>
  <c r="C11" i="23"/>
  <c r="D10" i="23"/>
  <c r="C10" i="23"/>
  <c r="D9" i="23"/>
  <c r="C9" i="23"/>
  <c r="D8" i="23"/>
  <c r="C8" i="23"/>
  <c r="D7" i="23"/>
  <c r="C7" i="23"/>
  <c r="BQ7" i="25"/>
  <c r="D6" i="23"/>
  <c r="C6" i="23"/>
  <c r="D5" i="23"/>
  <c r="C5" i="23"/>
  <c r="BN55" i="25"/>
  <c r="D54" i="22"/>
  <c r="C54" i="22"/>
  <c r="D53" i="22"/>
  <c r="C53" i="22"/>
  <c r="BN53" i="25"/>
  <c r="D52" i="22"/>
  <c r="C52" i="22"/>
  <c r="D51" i="22"/>
  <c r="C51" i="22"/>
  <c r="D50" i="22"/>
  <c r="C50" i="22"/>
  <c r="D49" i="22"/>
  <c r="C49" i="22"/>
  <c r="D48" i="22"/>
  <c r="C48" i="22"/>
  <c r="D47" i="22"/>
  <c r="C47" i="22"/>
  <c r="D46" i="22"/>
  <c r="C46" i="22"/>
  <c r="D45" i="22"/>
  <c r="C45" i="22"/>
  <c r="D44" i="22"/>
  <c r="C44" i="22"/>
  <c r="D43" i="22"/>
  <c r="C43" i="22"/>
  <c r="D42" i="22"/>
  <c r="C42" i="22"/>
  <c r="D41" i="22"/>
  <c r="C41" i="22"/>
  <c r="D40" i="22"/>
  <c r="C40" i="22"/>
  <c r="D39" i="22"/>
  <c r="C39" i="22"/>
  <c r="BN39" i="25"/>
  <c r="D38" i="22"/>
  <c r="C38" i="22"/>
  <c r="D37" i="22"/>
  <c r="C37" i="22"/>
  <c r="D36" i="22"/>
  <c r="C36" i="22"/>
  <c r="D35" i="22"/>
  <c r="C35" i="22"/>
  <c r="D34" i="22"/>
  <c r="C34" i="22"/>
  <c r="D33" i="22"/>
  <c r="C33" i="22"/>
  <c r="D32" i="22"/>
  <c r="C32" i="22"/>
  <c r="D31" i="22"/>
  <c r="C31" i="22"/>
  <c r="BN31" i="25"/>
  <c r="D30" i="22"/>
  <c r="C30" i="22"/>
  <c r="BN30" i="25"/>
  <c r="D29" i="22"/>
  <c r="C29" i="22"/>
  <c r="D28" i="22"/>
  <c r="C28" i="22"/>
  <c r="D27" i="22"/>
  <c r="C27" i="22"/>
  <c r="D26" i="22"/>
  <c r="C26" i="22"/>
  <c r="D25" i="22"/>
  <c r="C25" i="22"/>
  <c r="D24" i="22"/>
  <c r="C24" i="22"/>
  <c r="BN24" i="25"/>
  <c r="D23" i="22"/>
  <c r="C23" i="22"/>
  <c r="D22" i="22"/>
  <c r="C22" i="22"/>
  <c r="D21" i="22"/>
  <c r="C21" i="22"/>
  <c r="D20" i="22"/>
  <c r="C20" i="22"/>
  <c r="D19" i="22"/>
  <c r="C19" i="22"/>
  <c r="D18" i="22"/>
  <c r="C18" i="22"/>
  <c r="D17" i="22"/>
  <c r="C17" i="22"/>
  <c r="D16" i="22"/>
  <c r="C16" i="22"/>
  <c r="BN16" i="25"/>
  <c r="D15" i="22"/>
  <c r="C15" i="22"/>
  <c r="D14" i="22"/>
  <c r="C14" i="22"/>
  <c r="BN14" i="25"/>
  <c r="D13" i="22"/>
  <c r="C13" i="22"/>
  <c r="D12" i="22"/>
  <c r="C12" i="22"/>
  <c r="D11" i="22"/>
  <c r="C11" i="22"/>
  <c r="D10" i="22"/>
  <c r="C10" i="22"/>
  <c r="D9" i="22"/>
  <c r="C9" i="22"/>
  <c r="BN9" i="25"/>
  <c r="D8" i="22"/>
  <c r="C8" i="22"/>
  <c r="D7" i="22"/>
  <c r="C7" i="22"/>
  <c r="D6" i="22"/>
  <c r="C6" i="22"/>
  <c r="D5" i="22"/>
  <c r="C5" i="22"/>
  <c r="D54" i="21"/>
  <c r="C54" i="21"/>
  <c r="D53" i="21"/>
  <c r="C53" i="21"/>
  <c r="BK53" i="25"/>
  <c r="D52" i="21"/>
  <c r="C52" i="21"/>
  <c r="BK52" i="25"/>
  <c r="D51" i="21"/>
  <c r="C51" i="21"/>
  <c r="D50" i="21"/>
  <c r="C50" i="21"/>
  <c r="D49" i="21"/>
  <c r="C49" i="21"/>
  <c r="D48" i="21"/>
  <c r="C48" i="21"/>
  <c r="BK48" i="25"/>
  <c r="D47" i="21"/>
  <c r="C47" i="21"/>
  <c r="D46" i="21"/>
  <c r="C46" i="21"/>
  <c r="D45" i="21"/>
  <c r="C45" i="21"/>
  <c r="D44" i="21"/>
  <c r="C44" i="21"/>
  <c r="BK44" i="25"/>
  <c r="D43" i="21"/>
  <c r="C43" i="21"/>
  <c r="D42" i="21"/>
  <c r="C42" i="21"/>
  <c r="D41" i="21"/>
  <c r="C41" i="21"/>
  <c r="BK41" i="25"/>
  <c r="D40" i="21"/>
  <c r="C40" i="21"/>
  <c r="D39" i="21"/>
  <c r="C39" i="21"/>
  <c r="D38" i="21"/>
  <c r="C38" i="21"/>
  <c r="BK38" i="25"/>
  <c r="D37" i="21"/>
  <c r="C37" i="21"/>
  <c r="D36" i="21"/>
  <c r="C36" i="21"/>
  <c r="BK36" i="25"/>
  <c r="D35" i="21"/>
  <c r="C35" i="21"/>
  <c r="D34" i="21"/>
  <c r="C34" i="21"/>
  <c r="D33" i="21"/>
  <c r="C33" i="21"/>
  <c r="D32" i="21"/>
  <c r="C32" i="21"/>
  <c r="D31" i="21"/>
  <c r="C31" i="21"/>
  <c r="D30" i="21"/>
  <c r="C30" i="21"/>
  <c r="D29" i="21"/>
  <c r="C29" i="21"/>
  <c r="BK29" i="25"/>
  <c r="D28" i="21"/>
  <c r="C28" i="21"/>
  <c r="BK28" i="25"/>
  <c r="D27" i="21"/>
  <c r="C27" i="21"/>
  <c r="D26" i="21"/>
  <c r="C26" i="21"/>
  <c r="D25" i="21"/>
  <c r="C25" i="21"/>
  <c r="BK25" i="25"/>
  <c r="D24" i="21"/>
  <c r="C24" i="21"/>
  <c r="BK24" i="25"/>
  <c r="D23" i="21"/>
  <c r="C23" i="21"/>
  <c r="D22" i="21"/>
  <c r="C22" i="21"/>
  <c r="BK22" i="25"/>
  <c r="D21" i="21"/>
  <c r="C21" i="21"/>
  <c r="D20" i="21"/>
  <c r="C20" i="21"/>
  <c r="BK20" i="25"/>
  <c r="D19" i="21"/>
  <c r="C19" i="21"/>
  <c r="D18" i="21"/>
  <c r="C18" i="21"/>
  <c r="BK18" i="25"/>
  <c r="D17" i="21"/>
  <c r="C17" i="21"/>
  <c r="D16" i="21"/>
  <c r="C16" i="21"/>
  <c r="D15" i="21"/>
  <c r="C15" i="21"/>
  <c r="D14" i="21"/>
  <c r="C14" i="21"/>
  <c r="BK14" i="25"/>
  <c r="D13" i="21"/>
  <c r="C13" i="21"/>
  <c r="D12" i="21"/>
  <c r="C12" i="21"/>
  <c r="D11" i="21"/>
  <c r="C11" i="21"/>
  <c r="D10" i="21"/>
  <c r="C10" i="21"/>
  <c r="D9" i="21"/>
  <c r="C9" i="21"/>
  <c r="D8" i="21"/>
  <c r="C8" i="21"/>
  <c r="D7" i="21"/>
  <c r="C7" i="21"/>
  <c r="D6" i="21"/>
  <c r="C6" i="21"/>
  <c r="D5" i="21"/>
  <c r="C5" i="21"/>
  <c r="D54" i="27"/>
  <c r="C54" i="27"/>
  <c r="D53" i="27"/>
  <c r="C53" i="27"/>
  <c r="D52" i="27"/>
  <c r="C52" i="27"/>
  <c r="BH52" i="25"/>
  <c r="D51" i="27"/>
  <c r="C51" i="27"/>
  <c r="D50" i="27"/>
  <c r="C50" i="27"/>
  <c r="D49" i="27"/>
  <c r="C49" i="27"/>
  <c r="D48" i="27"/>
  <c r="C48" i="27"/>
  <c r="BH48" i="25"/>
  <c r="D47" i="27"/>
  <c r="C47" i="27"/>
  <c r="D46" i="27"/>
  <c r="C46" i="27"/>
  <c r="D45" i="27"/>
  <c r="C45" i="27"/>
  <c r="BH45" i="25"/>
  <c r="D44" i="27"/>
  <c r="C44" i="27"/>
  <c r="D43" i="27"/>
  <c r="C43" i="27"/>
  <c r="D42" i="27"/>
  <c r="C42" i="27"/>
  <c r="D41" i="27"/>
  <c r="C41" i="27"/>
  <c r="D40" i="27"/>
  <c r="C40" i="27"/>
  <c r="D39" i="27"/>
  <c r="C39" i="27"/>
  <c r="D38" i="27"/>
  <c r="C38" i="27"/>
  <c r="D37" i="27"/>
  <c r="C37" i="27"/>
  <c r="D36" i="27"/>
  <c r="C36" i="27"/>
  <c r="D35" i="27"/>
  <c r="C35" i="27"/>
  <c r="BH35" i="25"/>
  <c r="D34" i="27"/>
  <c r="C34" i="27"/>
  <c r="D33" i="27"/>
  <c r="C33" i="27"/>
  <c r="BH33" i="25"/>
  <c r="D32" i="27"/>
  <c r="C32" i="27"/>
  <c r="D31" i="27"/>
  <c r="C31" i="27"/>
  <c r="D30" i="27"/>
  <c r="C30" i="27"/>
  <c r="D29" i="27"/>
  <c r="C29" i="27"/>
  <c r="BH29" i="25"/>
  <c r="D28" i="27"/>
  <c r="C28" i="27"/>
  <c r="D27" i="27"/>
  <c r="C27" i="27"/>
  <c r="BH27" i="25"/>
  <c r="D26" i="27"/>
  <c r="C26" i="27"/>
  <c r="D25" i="27"/>
  <c r="C25" i="27"/>
  <c r="D24" i="27"/>
  <c r="C24" i="27"/>
  <c r="D23" i="27"/>
  <c r="C23" i="27"/>
  <c r="D22" i="27"/>
  <c r="C22" i="27"/>
  <c r="D21" i="27"/>
  <c r="C21" i="27"/>
  <c r="BH21" i="25"/>
  <c r="D20" i="27"/>
  <c r="C20" i="27"/>
  <c r="D19" i="27"/>
  <c r="C19" i="27"/>
  <c r="D18" i="27"/>
  <c r="C18" i="27"/>
  <c r="D17" i="27"/>
  <c r="C17" i="27"/>
  <c r="D16" i="27"/>
  <c r="C16" i="27"/>
  <c r="D15" i="27"/>
  <c r="C15" i="27"/>
  <c r="BH15" i="25"/>
  <c r="D14" i="27"/>
  <c r="C14" i="27"/>
  <c r="BH14" i="25"/>
  <c r="D13" i="27"/>
  <c r="C13" i="27"/>
  <c r="D12" i="27"/>
  <c r="C12" i="27"/>
  <c r="D11" i="27"/>
  <c r="C11" i="27"/>
  <c r="D10" i="27"/>
  <c r="C10" i="27"/>
  <c r="BH10" i="25"/>
  <c r="D9" i="27"/>
  <c r="C9" i="27"/>
  <c r="BH9" i="25"/>
  <c r="D8" i="27"/>
  <c r="C8" i="27"/>
  <c r="BH8" i="25"/>
  <c r="D7" i="27"/>
  <c r="C7" i="27"/>
  <c r="D6" i="27"/>
  <c r="C6" i="27"/>
  <c r="BH6" i="25"/>
  <c r="D5" i="27"/>
  <c r="C5" i="27"/>
  <c r="D54" i="20"/>
  <c r="C54" i="20"/>
  <c r="D53" i="20"/>
  <c r="C53" i="20"/>
  <c r="BE53" i="25"/>
  <c r="D52" i="20"/>
  <c r="C52" i="20"/>
  <c r="D51" i="20"/>
  <c r="C51" i="20"/>
  <c r="BE51" i="25"/>
  <c r="D50" i="20"/>
  <c r="C50" i="20"/>
  <c r="D49" i="20"/>
  <c r="C49" i="20"/>
  <c r="D48" i="20"/>
  <c r="C48" i="20"/>
  <c r="D47" i="20"/>
  <c r="C47" i="20"/>
  <c r="BE47" i="25"/>
  <c r="D46" i="20"/>
  <c r="C46" i="20"/>
  <c r="D45" i="20"/>
  <c r="C45" i="20"/>
  <c r="D44" i="20"/>
  <c r="C44" i="20"/>
  <c r="D43" i="20"/>
  <c r="C43" i="20"/>
  <c r="D42" i="20"/>
  <c r="C42" i="20"/>
  <c r="BE42" i="25"/>
  <c r="D41" i="20"/>
  <c r="C41" i="20"/>
  <c r="D40" i="20"/>
  <c r="C40" i="20"/>
  <c r="D39" i="20"/>
  <c r="C39" i="20"/>
  <c r="D38" i="20"/>
  <c r="C38" i="20"/>
  <c r="D37" i="20"/>
  <c r="C37" i="20"/>
  <c r="D36" i="20"/>
  <c r="C36" i="20"/>
  <c r="BE36" i="25"/>
  <c r="D35" i="20"/>
  <c r="C35" i="20"/>
  <c r="D34" i="20"/>
  <c r="C34" i="20"/>
  <c r="D33" i="20"/>
  <c r="C33" i="20"/>
  <c r="D32" i="20"/>
  <c r="C32" i="20"/>
  <c r="D31" i="20"/>
  <c r="C31" i="20"/>
  <c r="D30" i="20"/>
  <c r="C30" i="20"/>
  <c r="BE30" i="25"/>
  <c r="D29" i="20"/>
  <c r="C29" i="20"/>
  <c r="D28" i="20"/>
  <c r="C28" i="20"/>
  <c r="BE28" i="25"/>
  <c r="D27" i="20"/>
  <c r="C27" i="20"/>
  <c r="D26" i="20"/>
  <c r="C26" i="20"/>
  <c r="BE26" i="25"/>
  <c r="D25" i="20"/>
  <c r="C25" i="20"/>
  <c r="D24" i="20"/>
  <c r="C24" i="20"/>
  <c r="BE24" i="25"/>
  <c r="D23" i="20"/>
  <c r="C23" i="20"/>
  <c r="D22" i="20"/>
  <c r="C22" i="20"/>
  <c r="D21" i="20"/>
  <c r="C21" i="20"/>
  <c r="D20" i="20"/>
  <c r="C20" i="20"/>
  <c r="D19" i="20"/>
  <c r="C19" i="20"/>
  <c r="D18" i="20"/>
  <c r="C18" i="20"/>
  <c r="BE18" i="25"/>
  <c r="D17" i="20"/>
  <c r="C17" i="20"/>
  <c r="D16" i="20"/>
  <c r="C16" i="20"/>
  <c r="BE16" i="25"/>
  <c r="D15" i="20"/>
  <c r="C15" i="20"/>
  <c r="D14" i="20"/>
  <c r="C14" i="20"/>
  <c r="BE14" i="25"/>
  <c r="D13" i="20"/>
  <c r="C13" i="20"/>
  <c r="D12" i="20"/>
  <c r="C12" i="20"/>
  <c r="BE12" i="25"/>
  <c r="D11" i="20"/>
  <c r="C11" i="20"/>
  <c r="D10" i="20"/>
  <c r="C10" i="20"/>
  <c r="BE10" i="25"/>
  <c r="D9" i="20"/>
  <c r="C9" i="20"/>
  <c r="D8" i="20"/>
  <c r="C8" i="20"/>
  <c r="BE8" i="25"/>
  <c r="D7" i="20"/>
  <c r="C7" i="20"/>
  <c r="D6" i="20"/>
  <c r="C6" i="20"/>
  <c r="BE6" i="25"/>
  <c r="D5" i="20"/>
  <c r="C5" i="20"/>
  <c r="D54" i="36"/>
  <c r="C54" i="36"/>
  <c r="BB54" i="25"/>
  <c r="D53" i="36"/>
  <c r="C53" i="36"/>
  <c r="D52" i="36"/>
  <c r="C52" i="36"/>
  <c r="BB52" i="25"/>
  <c r="D51" i="36"/>
  <c r="C51" i="36"/>
  <c r="D50" i="36"/>
  <c r="C50" i="36"/>
  <c r="BB50" i="25"/>
  <c r="D49" i="36"/>
  <c r="C49" i="36"/>
  <c r="BB49" i="25"/>
  <c r="D48" i="36"/>
  <c r="C48" i="36"/>
  <c r="D47" i="36"/>
  <c r="C47" i="36"/>
  <c r="BB47" i="25"/>
  <c r="D46" i="36"/>
  <c r="C46" i="36"/>
  <c r="D45" i="36"/>
  <c r="C45" i="36"/>
  <c r="BB45" i="25"/>
  <c r="D44" i="36"/>
  <c r="C44" i="36"/>
  <c r="D43" i="36"/>
  <c r="C43" i="36"/>
  <c r="D42" i="36"/>
  <c r="C42" i="36"/>
  <c r="D41" i="36"/>
  <c r="C41" i="36"/>
  <c r="D40" i="36"/>
  <c r="C40" i="36"/>
  <c r="D39" i="36"/>
  <c r="C39" i="36"/>
  <c r="D38" i="36"/>
  <c r="C38" i="36"/>
  <c r="D37" i="36"/>
  <c r="C37" i="36"/>
  <c r="BB37" i="25"/>
  <c r="D36" i="36"/>
  <c r="C36" i="36"/>
  <c r="D35" i="36"/>
  <c r="C35" i="36"/>
  <c r="BB35" i="25"/>
  <c r="D34" i="36"/>
  <c r="C34" i="36"/>
  <c r="D33" i="36"/>
  <c r="C33" i="36"/>
  <c r="BB33" i="25"/>
  <c r="D32" i="36"/>
  <c r="C32" i="36"/>
  <c r="D31" i="36"/>
  <c r="C31" i="36"/>
  <c r="BB31" i="25"/>
  <c r="D30" i="36"/>
  <c r="C30" i="36"/>
  <c r="BB30" i="25"/>
  <c r="D29" i="36"/>
  <c r="C29" i="36"/>
  <c r="BB29" i="25"/>
  <c r="D28" i="36"/>
  <c r="C28" i="36"/>
  <c r="D27" i="36"/>
  <c r="C27" i="36"/>
  <c r="BB27" i="25"/>
  <c r="D26" i="36"/>
  <c r="C26" i="36"/>
  <c r="D25" i="36"/>
  <c r="C25" i="36"/>
  <c r="BB25" i="25"/>
  <c r="D24" i="36"/>
  <c r="C24" i="36"/>
  <c r="D23" i="36"/>
  <c r="C23" i="36"/>
  <c r="D22" i="36"/>
  <c r="C22" i="36"/>
  <c r="D21" i="36"/>
  <c r="C21" i="36"/>
  <c r="BB21" i="25"/>
  <c r="D20" i="36"/>
  <c r="C20" i="36"/>
  <c r="D19" i="36"/>
  <c r="C19" i="36"/>
  <c r="BB19" i="25"/>
  <c r="D18" i="36"/>
  <c r="C18" i="36"/>
  <c r="D17" i="36"/>
  <c r="C17" i="36"/>
  <c r="BB17" i="25"/>
  <c r="D16" i="36"/>
  <c r="C16" i="36"/>
  <c r="D15" i="36"/>
  <c r="C15" i="36"/>
  <c r="D14" i="36"/>
  <c r="C14" i="36"/>
  <c r="D13" i="36"/>
  <c r="C13" i="36"/>
  <c r="BB13" i="25"/>
  <c r="D12" i="36"/>
  <c r="C12" i="36"/>
  <c r="D11" i="36"/>
  <c r="C11" i="36"/>
  <c r="BB11" i="25"/>
  <c r="D10" i="36"/>
  <c r="C10" i="36"/>
  <c r="D9" i="36"/>
  <c r="C9" i="36"/>
  <c r="BB9" i="25"/>
  <c r="D8" i="36"/>
  <c r="C8" i="36"/>
  <c r="BB8" i="25"/>
  <c r="D7" i="36"/>
  <c r="C7" i="36"/>
  <c r="BB7" i="25"/>
  <c r="D6" i="36"/>
  <c r="C6" i="36"/>
  <c r="BB6" i="25"/>
  <c r="D5" i="36"/>
  <c r="C5" i="36"/>
  <c r="D54" i="35"/>
  <c r="C54" i="35"/>
  <c r="D53" i="35"/>
  <c r="C53" i="35"/>
  <c r="AY53" i="25"/>
  <c r="D52" i="35"/>
  <c r="C52" i="35"/>
  <c r="AY52" i="25"/>
  <c r="D51" i="35"/>
  <c r="C51" i="35"/>
  <c r="D50" i="35"/>
  <c r="C50" i="35"/>
  <c r="D49" i="35"/>
  <c r="C49" i="35"/>
  <c r="AY49" i="25"/>
  <c r="D48" i="35"/>
  <c r="C48" i="35"/>
  <c r="AY48" i="25"/>
  <c r="D47" i="35"/>
  <c r="C47" i="35"/>
  <c r="D46" i="35"/>
  <c r="C46" i="35"/>
  <c r="D45" i="35"/>
  <c r="C45" i="35"/>
  <c r="AY45" i="25"/>
  <c r="D44" i="35"/>
  <c r="C44" i="35"/>
  <c r="AY44" i="25"/>
  <c r="D43" i="35"/>
  <c r="C43" i="35"/>
  <c r="AY43" i="25"/>
  <c r="D42" i="35"/>
  <c r="C42" i="35"/>
  <c r="D41" i="35"/>
  <c r="C41" i="35"/>
  <c r="D40" i="35"/>
  <c r="C40" i="35"/>
  <c r="D39" i="35"/>
  <c r="C39" i="35"/>
  <c r="D38" i="35"/>
  <c r="C38" i="35"/>
  <c r="D37" i="35"/>
  <c r="C37" i="35"/>
  <c r="D36" i="35"/>
  <c r="C36" i="35"/>
  <c r="D35" i="35"/>
  <c r="C35" i="35"/>
  <c r="AY35" i="25"/>
  <c r="D34" i="35"/>
  <c r="C34" i="35"/>
  <c r="D33" i="35"/>
  <c r="C33" i="35"/>
  <c r="AY33" i="25"/>
  <c r="D32" i="35"/>
  <c r="C32" i="35"/>
  <c r="AY32" i="25"/>
  <c r="D31" i="35"/>
  <c r="C31" i="35"/>
  <c r="D30" i="35"/>
  <c r="C30" i="35"/>
  <c r="D29" i="35"/>
  <c r="C29" i="35"/>
  <c r="D28" i="35"/>
  <c r="C28" i="35"/>
  <c r="AY28" i="25"/>
  <c r="D27" i="35"/>
  <c r="C27" i="35"/>
  <c r="AY27" i="25"/>
  <c r="D26" i="35"/>
  <c r="C26" i="35"/>
  <c r="D25" i="35"/>
  <c r="C25" i="35"/>
  <c r="AY25" i="25"/>
  <c r="D24" i="35"/>
  <c r="C24" i="35"/>
  <c r="D23" i="35"/>
  <c r="C23" i="35"/>
  <c r="D22" i="35"/>
  <c r="C22" i="35"/>
  <c r="D21" i="35"/>
  <c r="C21" i="35"/>
  <c r="AY21" i="25"/>
  <c r="D20" i="35"/>
  <c r="C20" i="35"/>
  <c r="D19" i="35"/>
  <c r="C19" i="35"/>
  <c r="AY19" i="25"/>
  <c r="D18" i="35"/>
  <c r="C18" i="35"/>
  <c r="D17" i="35"/>
  <c r="C17" i="35"/>
  <c r="D16" i="35"/>
  <c r="C16" i="35"/>
  <c r="D15" i="35"/>
  <c r="C15" i="35"/>
  <c r="AY15" i="25"/>
  <c r="D14" i="35"/>
  <c r="C14" i="35"/>
  <c r="D13" i="35"/>
  <c r="C13" i="35"/>
  <c r="AY13" i="25"/>
  <c r="D12" i="35"/>
  <c r="C12" i="35"/>
  <c r="D11" i="35"/>
  <c r="C11" i="35"/>
  <c r="AY11" i="25"/>
  <c r="D10" i="35"/>
  <c r="C10" i="35"/>
  <c r="D9" i="35"/>
  <c r="C9" i="35"/>
  <c r="D8" i="35"/>
  <c r="C8" i="35"/>
  <c r="D7" i="35"/>
  <c r="C7" i="35"/>
  <c r="AY7" i="25"/>
  <c r="D6" i="35"/>
  <c r="C6" i="35"/>
  <c r="D5" i="35"/>
  <c r="C5" i="35"/>
  <c r="D54" i="19"/>
  <c r="C54" i="19"/>
  <c r="D53" i="19"/>
  <c r="C53" i="19"/>
  <c r="AV53" i="25"/>
  <c r="D52" i="19"/>
  <c r="C52" i="19"/>
  <c r="AV52" i="25"/>
  <c r="D51" i="19"/>
  <c r="C51" i="19"/>
  <c r="D50" i="19"/>
  <c r="C50" i="19"/>
  <c r="D49" i="19"/>
  <c r="C49" i="19"/>
  <c r="D48" i="19"/>
  <c r="C48" i="19"/>
  <c r="D47" i="19"/>
  <c r="C47" i="19"/>
  <c r="D46" i="19"/>
  <c r="C46" i="19"/>
  <c r="AV46" i="25"/>
  <c r="D45" i="19"/>
  <c r="C45" i="19"/>
  <c r="D44" i="19"/>
  <c r="C44" i="19"/>
  <c r="D43" i="19"/>
  <c r="C43" i="19"/>
  <c r="D42" i="19"/>
  <c r="C42" i="19"/>
  <c r="AV42" i="25"/>
  <c r="D41" i="19"/>
  <c r="C41" i="19"/>
  <c r="D40" i="19"/>
  <c r="C40" i="19"/>
  <c r="AV40" i="25"/>
  <c r="D39" i="19"/>
  <c r="C39" i="19"/>
  <c r="D38" i="19"/>
  <c r="C38" i="19"/>
  <c r="D37" i="19"/>
  <c r="C37" i="19"/>
  <c r="D36" i="19"/>
  <c r="C36" i="19"/>
  <c r="D35" i="19"/>
  <c r="C35" i="19"/>
  <c r="D34" i="19"/>
  <c r="C34" i="19"/>
  <c r="D33" i="19"/>
  <c r="C33" i="19"/>
  <c r="AV33" i="25"/>
  <c r="D32" i="19"/>
  <c r="C32" i="19"/>
  <c r="AV32" i="25"/>
  <c r="D31" i="19"/>
  <c r="C31" i="19"/>
  <c r="D30" i="19"/>
  <c r="C30" i="19"/>
  <c r="D29" i="19"/>
  <c r="C29" i="19"/>
  <c r="D28" i="19"/>
  <c r="C28" i="19"/>
  <c r="D27" i="19"/>
  <c r="C27" i="19"/>
  <c r="D26" i="19"/>
  <c r="C26" i="19"/>
  <c r="D25" i="19"/>
  <c r="C25" i="19"/>
  <c r="D24" i="19"/>
  <c r="C24" i="19"/>
  <c r="AV24" i="25"/>
  <c r="D23" i="19"/>
  <c r="C23" i="19"/>
  <c r="AV23" i="25"/>
  <c r="D22" i="19"/>
  <c r="C22" i="19"/>
  <c r="AV22" i="25"/>
  <c r="D21" i="19"/>
  <c r="C21" i="19"/>
  <c r="AV21" i="25"/>
  <c r="D20" i="19"/>
  <c r="C20" i="19"/>
  <c r="D19" i="19"/>
  <c r="C19" i="19"/>
  <c r="D18" i="19"/>
  <c r="C18" i="19"/>
  <c r="D17" i="19"/>
  <c r="C17" i="19"/>
  <c r="AV17" i="25"/>
  <c r="D16" i="19"/>
  <c r="C16" i="19"/>
  <c r="D15" i="19"/>
  <c r="C15" i="19"/>
  <c r="AV15" i="25"/>
  <c r="D14" i="19"/>
  <c r="C14" i="19"/>
  <c r="D13" i="19"/>
  <c r="C13" i="19"/>
  <c r="AV13" i="25"/>
  <c r="D12" i="19"/>
  <c r="C12" i="19"/>
  <c r="D11" i="19"/>
  <c r="C11" i="19"/>
  <c r="AV11" i="25"/>
  <c r="D10" i="19"/>
  <c r="C10" i="19"/>
  <c r="D9" i="19"/>
  <c r="C9" i="19"/>
  <c r="AV9" i="25"/>
  <c r="D8" i="19"/>
  <c r="C8" i="19"/>
  <c r="D7" i="19"/>
  <c r="C7" i="19"/>
  <c r="AV7" i="25"/>
  <c r="D6" i="19"/>
  <c r="C6" i="19"/>
  <c r="D5" i="19"/>
  <c r="C5" i="19"/>
  <c r="D54" i="18"/>
  <c r="C54" i="18"/>
  <c r="AS54" i="25"/>
  <c r="D53" i="18"/>
  <c r="C53" i="18"/>
  <c r="AS53" i="25"/>
  <c r="D52" i="18"/>
  <c r="C52" i="18"/>
  <c r="D51" i="18"/>
  <c r="C51" i="18"/>
  <c r="D50" i="18"/>
  <c r="C50" i="18"/>
  <c r="D49" i="18"/>
  <c r="C49" i="18"/>
  <c r="D48" i="18"/>
  <c r="C48" i="18"/>
  <c r="AS48" i="25"/>
  <c r="D47" i="18"/>
  <c r="C47" i="18"/>
  <c r="D46" i="18"/>
  <c r="C46" i="18"/>
  <c r="AS46" i="25"/>
  <c r="D45" i="18"/>
  <c r="C45" i="18"/>
  <c r="D44" i="18"/>
  <c r="C44" i="18"/>
  <c r="AS44" i="25"/>
  <c r="D43" i="18"/>
  <c r="C43" i="18"/>
  <c r="D42" i="18"/>
  <c r="C42" i="18"/>
  <c r="AS42" i="25"/>
  <c r="D41" i="18"/>
  <c r="C41" i="18"/>
  <c r="D40" i="18"/>
  <c r="C40" i="18"/>
  <c r="AS40" i="25"/>
  <c r="D39" i="18"/>
  <c r="C39" i="18"/>
  <c r="D38" i="18"/>
  <c r="C38" i="18"/>
  <c r="D37" i="18"/>
  <c r="C37" i="18"/>
  <c r="D36" i="18"/>
  <c r="C36" i="18"/>
  <c r="D35" i="18"/>
  <c r="C35" i="18"/>
  <c r="D34" i="18"/>
  <c r="C34" i="18"/>
  <c r="AS34" i="25"/>
  <c r="D33" i="18"/>
  <c r="C33" i="18"/>
  <c r="D32" i="18"/>
  <c r="C32" i="18"/>
  <c r="D31" i="18"/>
  <c r="C31" i="18"/>
  <c r="D30" i="18"/>
  <c r="C30" i="18"/>
  <c r="AS30" i="25"/>
  <c r="D29" i="18"/>
  <c r="C29" i="18"/>
  <c r="AS29" i="25"/>
  <c r="D28" i="18"/>
  <c r="C28" i="18"/>
  <c r="D27" i="18"/>
  <c r="C27" i="18"/>
  <c r="D26" i="18"/>
  <c r="C26" i="18"/>
  <c r="AS26" i="25"/>
  <c r="D25" i="18"/>
  <c r="C25" i="18"/>
  <c r="AS25" i="25"/>
  <c r="D24" i="18"/>
  <c r="C24" i="18"/>
  <c r="D23" i="18"/>
  <c r="C23" i="18"/>
  <c r="D22" i="18"/>
  <c r="C22" i="18"/>
  <c r="AS22" i="25"/>
  <c r="D21" i="18"/>
  <c r="C21" i="18"/>
  <c r="D20" i="18"/>
  <c r="C20" i="18"/>
  <c r="AS20" i="25"/>
  <c r="D19" i="18"/>
  <c r="C19" i="18"/>
  <c r="D18" i="18"/>
  <c r="C18" i="18"/>
  <c r="AS18" i="25"/>
  <c r="D17" i="18"/>
  <c r="C17" i="18"/>
  <c r="D16" i="18"/>
  <c r="C16" i="18"/>
  <c r="AS16" i="25"/>
  <c r="D15" i="18"/>
  <c r="C15" i="18"/>
  <c r="D14" i="18"/>
  <c r="C14" i="18"/>
  <c r="AS14" i="25"/>
  <c r="D13" i="18"/>
  <c r="C13" i="18"/>
  <c r="D12" i="18"/>
  <c r="C12" i="18"/>
  <c r="D11" i="18"/>
  <c r="C11" i="18"/>
  <c r="AS11" i="25"/>
  <c r="D10" i="18"/>
  <c r="C10" i="18"/>
  <c r="D9" i="18"/>
  <c r="C9" i="18"/>
  <c r="AS9" i="25"/>
  <c r="D8" i="18"/>
  <c r="C8" i="18"/>
  <c r="D7" i="18"/>
  <c r="C7" i="18"/>
  <c r="AS7" i="25"/>
  <c r="D6" i="18"/>
  <c r="C6" i="18"/>
  <c r="D5" i="18"/>
  <c r="C5" i="18"/>
  <c r="D54" i="17"/>
  <c r="C54" i="17"/>
  <c r="AP54" i="25"/>
  <c r="D53" i="17"/>
  <c r="C53" i="17"/>
  <c r="AP53" i="25"/>
  <c r="D52" i="17"/>
  <c r="C52" i="17"/>
  <c r="AP52" i="25"/>
  <c r="D51" i="17"/>
  <c r="C51" i="17"/>
  <c r="D50" i="17"/>
  <c r="C50" i="17"/>
  <c r="AP50" i="25"/>
  <c r="D49" i="17"/>
  <c r="C49" i="17"/>
  <c r="D48" i="17"/>
  <c r="C48" i="17"/>
  <c r="AP48" i="25"/>
  <c r="D47" i="17"/>
  <c r="C47" i="17"/>
  <c r="D46" i="17"/>
  <c r="C46" i="17"/>
  <c r="D45" i="17"/>
  <c r="C45" i="17"/>
  <c r="D44" i="17"/>
  <c r="C44" i="17"/>
  <c r="D43" i="17"/>
  <c r="C43" i="17"/>
  <c r="D42" i="17"/>
  <c r="C42" i="17"/>
  <c r="AP42" i="25"/>
  <c r="D41" i="17"/>
  <c r="C41" i="17"/>
  <c r="AP41" i="25"/>
  <c r="D40" i="17"/>
  <c r="C40" i="17"/>
  <c r="AP40" i="25"/>
  <c r="D39" i="17"/>
  <c r="C39" i="17"/>
  <c r="D38" i="17"/>
  <c r="C38" i="17"/>
  <c r="D37" i="17"/>
  <c r="C37" i="17"/>
  <c r="D36" i="17"/>
  <c r="C36" i="17"/>
  <c r="AP36" i="25"/>
  <c r="D35" i="17"/>
  <c r="C35" i="17"/>
  <c r="D34" i="17"/>
  <c r="C34" i="17"/>
  <c r="D33" i="17"/>
  <c r="C33" i="17"/>
  <c r="AP33" i="25"/>
  <c r="D32" i="17"/>
  <c r="C32" i="17"/>
  <c r="D31" i="17"/>
  <c r="C31" i="17"/>
  <c r="D30" i="17"/>
  <c r="C30" i="17"/>
  <c r="D29" i="17"/>
  <c r="C29" i="17"/>
  <c r="AP29" i="25"/>
  <c r="D28" i="17"/>
  <c r="C28" i="17"/>
  <c r="D27" i="17"/>
  <c r="C27" i="17"/>
  <c r="D26" i="17"/>
  <c r="C26" i="17"/>
  <c r="D25" i="17"/>
  <c r="C25" i="17"/>
  <c r="AP25" i="25"/>
  <c r="D24" i="17"/>
  <c r="C24" i="17"/>
  <c r="D23" i="17"/>
  <c r="C23" i="17"/>
  <c r="D22" i="17"/>
  <c r="C22" i="17"/>
  <c r="AP22" i="25"/>
  <c r="D21" i="17"/>
  <c r="C21" i="17"/>
  <c r="AP21" i="25"/>
  <c r="D20" i="17"/>
  <c r="C20" i="17"/>
  <c r="D19" i="17"/>
  <c r="C19" i="17"/>
  <c r="D18" i="17"/>
  <c r="C18" i="17"/>
  <c r="AP18" i="25"/>
  <c r="D17" i="17"/>
  <c r="C17" i="17"/>
  <c r="AP17" i="25"/>
  <c r="D16" i="17"/>
  <c r="C16" i="17"/>
  <c r="D15" i="17"/>
  <c r="C15" i="17"/>
  <c r="D14" i="17"/>
  <c r="C14" i="17"/>
  <c r="D13" i="17"/>
  <c r="C13" i="17"/>
  <c r="AP13" i="25"/>
  <c r="D12" i="17"/>
  <c r="C12" i="17"/>
  <c r="D11" i="17"/>
  <c r="C11" i="17"/>
  <c r="D10" i="17"/>
  <c r="C10" i="17"/>
  <c r="AP10" i="25"/>
  <c r="D9" i="17"/>
  <c r="C9" i="17"/>
  <c r="AP9" i="25"/>
  <c r="D8" i="17"/>
  <c r="C8" i="17"/>
  <c r="D7" i="17"/>
  <c r="C7" i="17"/>
  <c r="D6" i="17"/>
  <c r="C6" i="17"/>
  <c r="D5" i="17"/>
  <c r="C5" i="17"/>
  <c r="D55" i="16"/>
  <c r="C55" i="16"/>
  <c r="AM54" i="25"/>
  <c r="D54" i="16"/>
  <c r="C54" i="16"/>
  <c r="AM53" i="25"/>
  <c r="D53" i="16"/>
  <c r="C53" i="16"/>
  <c r="AM52" i="25"/>
  <c r="D52" i="16"/>
  <c r="C52" i="16"/>
  <c r="D51" i="16"/>
  <c r="C51" i="16"/>
  <c r="D50" i="16"/>
  <c r="C50" i="16"/>
  <c r="AM49" i="25"/>
  <c r="D49" i="16"/>
  <c r="C49" i="16"/>
  <c r="AM48" i="25"/>
  <c r="D48" i="16"/>
  <c r="C48" i="16"/>
  <c r="AM47" i="25"/>
  <c r="D47" i="16"/>
  <c r="C47" i="16"/>
  <c r="D46" i="16"/>
  <c r="C46" i="16"/>
  <c r="AM45" i="25"/>
  <c r="D45" i="16"/>
  <c r="C45" i="16"/>
  <c r="D44" i="16"/>
  <c r="C44" i="16"/>
  <c r="D43" i="16"/>
  <c r="C43" i="16"/>
  <c r="D42" i="16"/>
  <c r="C42" i="16"/>
  <c r="AM41" i="25"/>
  <c r="D41" i="16"/>
  <c r="C41" i="16"/>
  <c r="D40" i="16"/>
  <c r="C40" i="16"/>
  <c r="AM39" i="25"/>
  <c r="D39" i="16"/>
  <c r="C39" i="16"/>
  <c r="D38" i="16"/>
  <c r="C38" i="16"/>
  <c r="AM37" i="25"/>
  <c r="D37" i="16"/>
  <c r="C37" i="16"/>
  <c r="D36" i="16"/>
  <c r="C36" i="16"/>
  <c r="D35" i="16"/>
  <c r="C35" i="16"/>
  <c r="D34" i="16"/>
  <c r="C34" i="16"/>
  <c r="D33" i="16"/>
  <c r="C33" i="16"/>
  <c r="D32" i="16"/>
  <c r="C32" i="16"/>
  <c r="D31" i="16"/>
  <c r="C31" i="16"/>
  <c r="AM30" i="25"/>
  <c r="D30" i="16"/>
  <c r="C30" i="16"/>
  <c r="D29" i="16"/>
  <c r="C29" i="16"/>
  <c r="D28" i="16"/>
  <c r="C28" i="16"/>
  <c r="AM27" i="25"/>
  <c r="D27" i="16"/>
  <c r="C27" i="16"/>
  <c r="AM26" i="25"/>
  <c r="D26" i="16"/>
  <c r="C26" i="16"/>
  <c r="D25" i="16"/>
  <c r="C25" i="16"/>
  <c r="D24" i="16"/>
  <c r="C24" i="16"/>
  <c r="D23" i="16"/>
  <c r="C23" i="16"/>
  <c r="D22" i="16"/>
  <c r="C22" i="16"/>
  <c r="D21" i="16"/>
  <c r="C21" i="16"/>
  <c r="AM20" i="25"/>
  <c r="D20" i="16"/>
  <c r="C20" i="16"/>
  <c r="D19" i="16"/>
  <c r="C19" i="16"/>
  <c r="AM18" i="25"/>
  <c r="D18" i="16"/>
  <c r="C18" i="16"/>
  <c r="D17" i="16"/>
  <c r="C17" i="16"/>
  <c r="D16" i="16"/>
  <c r="C16" i="16"/>
  <c r="D15" i="16"/>
  <c r="C15" i="16"/>
  <c r="AM14" i="25"/>
  <c r="D14" i="16"/>
  <c r="C14" i="16"/>
  <c r="D13" i="16"/>
  <c r="C13" i="16"/>
  <c r="AM12" i="25"/>
  <c r="D12" i="16"/>
  <c r="C12" i="16"/>
  <c r="D11" i="16"/>
  <c r="C11" i="16"/>
  <c r="AM10" i="25"/>
  <c r="D10" i="16"/>
  <c r="C10" i="16"/>
  <c r="D9" i="16"/>
  <c r="C9" i="16"/>
  <c r="AM8" i="25"/>
  <c r="D8" i="16"/>
  <c r="C8" i="16"/>
  <c r="D7" i="16"/>
  <c r="C7" i="16"/>
  <c r="AM6" i="25"/>
  <c r="D6" i="16"/>
  <c r="C6" i="16"/>
  <c r="G6" i="41" l="1"/>
  <c r="AY38" i="26"/>
  <c r="BD38" i="26" s="1"/>
  <c r="AW53" i="13"/>
  <c r="BB53" i="13" s="1"/>
  <c r="AU23" i="18"/>
  <c r="AY23" i="18" s="1"/>
  <c r="DV17" i="1"/>
  <c r="G17" i="41" s="1"/>
  <c r="DX43" i="1"/>
  <c r="EC43" i="1" s="1"/>
  <c r="DX22" i="1"/>
  <c r="EC22" i="1" s="1"/>
  <c r="DZ47" i="1"/>
  <c r="ED47" i="1" s="1"/>
  <c r="DZ26" i="1"/>
  <c r="ED26" i="1" s="1"/>
  <c r="EF26" i="1" s="1"/>
  <c r="AL7" i="7"/>
  <c r="AQ7" i="7" s="1"/>
  <c r="AL35" i="7"/>
  <c r="AQ35" i="7" s="1"/>
  <c r="AZ43" i="10"/>
  <c r="BD43" i="10" s="1"/>
  <c r="AP14" i="33"/>
  <c r="AU14" i="33" s="1"/>
  <c r="AS19" i="34"/>
  <c r="AW19" i="34" s="1"/>
  <c r="AS23" i="12"/>
  <c r="AW23" i="12" s="1"/>
  <c r="AW41" i="26"/>
  <c r="AB42" i="41" s="1"/>
  <c r="AY18" i="13"/>
  <c r="BC18" i="13" s="1"/>
  <c r="BD18" i="13" s="1"/>
  <c r="AW31" i="13"/>
  <c r="BB31" i="13" s="1"/>
  <c r="AU44" i="13"/>
  <c r="AE45" i="41" s="1"/>
  <c r="AU11" i="14"/>
  <c r="AY11" i="14" s="1"/>
  <c r="AS22" i="15"/>
  <c r="AX22" i="15" s="1"/>
  <c r="AG46" i="17"/>
  <c r="AL46" i="17" s="1"/>
  <c r="AU35" i="19"/>
  <c r="AY35" i="19" s="1"/>
  <c r="AL14" i="36"/>
  <c r="AP14" i="36" s="1"/>
  <c r="AH30" i="36"/>
  <c r="BC31" i="41" s="1"/>
  <c r="AH52" i="36"/>
  <c r="BC53" i="41" s="1"/>
  <c r="AK47" i="27"/>
  <c r="BI48" i="41" s="1"/>
  <c r="DV48" i="1"/>
  <c r="G48" i="41" s="1"/>
  <c r="DV27" i="1"/>
  <c r="G27" i="41" s="1"/>
  <c r="DX52" i="1"/>
  <c r="EC52" i="1" s="1"/>
  <c r="DX31" i="1"/>
  <c r="EC31" i="1" s="1"/>
  <c r="DX10" i="1"/>
  <c r="EC10" i="1" s="1"/>
  <c r="DZ35" i="1"/>
  <c r="ED35" i="1" s="1"/>
  <c r="DZ14" i="1"/>
  <c r="ED14" i="1" s="1"/>
  <c r="AL23" i="7"/>
  <c r="AQ23" i="7" s="1"/>
  <c r="AZ19" i="10"/>
  <c r="BD19" i="10" s="1"/>
  <c r="BD25" i="11"/>
  <c r="P26" i="41" s="1"/>
  <c r="AP46" i="33"/>
  <c r="AU46" i="33" s="1"/>
  <c r="AS13" i="12"/>
  <c r="AW13" i="12" s="1"/>
  <c r="AX13" i="12" s="1"/>
  <c r="AW17" i="26"/>
  <c r="AB18" i="41" s="1"/>
  <c r="AW7" i="13"/>
  <c r="BB7" i="13" s="1"/>
  <c r="AU20" i="13"/>
  <c r="AE21" i="41" s="1"/>
  <c r="AW37" i="13"/>
  <c r="BB37" i="13" s="1"/>
  <c r="AU50" i="13"/>
  <c r="AE51" i="41" s="1"/>
  <c r="AU43" i="14"/>
  <c r="AY43" i="14" s="1"/>
  <c r="AG14" i="17"/>
  <c r="AL14" i="17" s="1"/>
  <c r="AS22" i="19"/>
  <c r="AX22" i="19" s="1"/>
  <c r="AL10" i="36"/>
  <c r="AP10" i="36" s="1"/>
  <c r="AJ27" i="36"/>
  <c r="AO27" i="36" s="1"/>
  <c r="AL19" i="20"/>
  <c r="AP19" i="20" s="1"/>
  <c r="DV47" i="1"/>
  <c r="G47" i="41" s="1"/>
  <c r="DZ6" i="1"/>
  <c r="ED6" i="1" s="1"/>
  <c r="DX14" i="1"/>
  <c r="EC14" i="1" s="1"/>
  <c r="DZ18" i="1"/>
  <c r="ED18" i="1" s="1"/>
  <c r="EF18" i="1" s="1"/>
  <c r="AV9" i="10"/>
  <c r="M10" i="41" s="1"/>
  <c r="AR35" i="33"/>
  <c r="AV35" i="33" s="1"/>
  <c r="AQ34" i="12"/>
  <c r="AV34" i="12" s="1"/>
  <c r="AX34" i="12" s="1"/>
  <c r="AU24" i="13"/>
  <c r="AE25" i="41" s="1"/>
  <c r="AW49" i="13"/>
  <c r="BB49" i="13" s="1"/>
  <c r="BD49" i="13" s="1"/>
  <c r="AQ21" i="18"/>
  <c r="AT22" i="41" s="1"/>
  <c r="AJ21" i="36"/>
  <c r="AO21" i="36" s="1"/>
  <c r="AH9" i="23"/>
  <c r="BR10" i="41" s="1"/>
  <c r="DX45" i="1"/>
  <c r="EC45" i="1" s="1"/>
  <c r="DZ28" i="1"/>
  <c r="ED28" i="1" s="1"/>
  <c r="AX38" i="10"/>
  <c r="BC38" i="10" s="1"/>
  <c r="AO21" i="12"/>
  <c r="Y22" i="41" s="1"/>
  <c r="AU30" i="13"/>
  <c r="AE31" i="41" s="1"/>
  <c r="AK11" i="35"/>
  <c r="AZ12" i="41" s="1"/>
  <c r="AS26" i="18"/>
  <c r="AX26" i="18" s="1"/>
  <c r="AK31" i="27"/>
  <c r="BI32" i="41" s="1"/>
  <c r="AH13" i="22"/>
  <c r="BO14" i="41" s="1"/>
  <c r="CN46" i="16"/>
  <c r="CR46" i="16" s="1"/>
  <c r="CL25" i="16"/>
  <c r="CQ25" i="16" s="1"/>
  <c r="CN53" i="16"/>
  <c r="CR53" i="16" s="1"/>
  <c r="CL32" i="16"/>
  <c r="CQ32" i="16" s="1"/>
  <c r="CJ11" i="16"/>
  <c r="AN11" i="41" s="1"/>
  <c r="AU36" i="13"/>
  <c r="AE37" i="41" s="1"/>
  <c r="AU35" i="15"/>
  <c r="AY35" i="15" s="1"/>
  <c r="AZ35" i="15" s="1"/>
  <c r="AL36" i="36"/>
  <c r="AP36" i="36" s="1"/>
  <c r="DX54" i="1"/>
  <c r="EC54" i="1" s="1"/>
  <c r="DX32" i="1"/>
  <c r="EC32" i="1" s="1"/>
  <c r="DX11" i="1"/>
  <c r="EC11" i="1" s="1"/>
  <c r="DZ37" i="1"/>
  <c r="ED37" i="1" s="1"/>
  <c r="DZ15" i="1"/>
  <c r="ED15" i="1" s="1"/>
  <c r="EF15" i="1" s="1"/>
  <c r="EG15" i="1" s="1"/>
  <c r="AJ22" i="7"/>
  <c r="J23" i="41" s="1"/>
  <c r="AX14" i="10"/>
  <c r="BC14" i="10" s="1"/>
  <c r="BE14" i="10" s="1"/>
  <c r="BH19" i="11"/>
  <c r="BL19" i="11" s="1"/>
  <c r="BN19" i="11" s="1"/>
  <c r="AR43" i="33"/>
  <c r="AV43" i="33" s="1"/>
  <c r="AS5" i="12"/>
  <c r="AW5" i="12" s="1"/>
  <c r="AY5" i="12" s="1"/>
  <c r="AY14" i="26"/>
  <c r="BD14" i="26" s="1"/>
  <c r="AU10" i="13"/>
  <c r="AE11" i="41" s="1"/>
  <c r="AY22" i="13"/>
  <c r="BC22" i="13" s="1"/>
  <c r="BD22" i="13" s="1"/>
  <c r="AU40" i="13"/>
  <c r="AE41" i="41" s="1"/>
  <c r="AY52" i="13"/>
  <c r="BC52" i="13" s="1"/>
  <c r="BE52" i="13" s="1"/>
  <c r="AQ41" i="14"/>
  <c r="AH42" i="41" s="1"/>
  <c r="AG6" i="17"/>
  <c r="AL6" i="17" s="1"/>
  <c r="AQ29" i="18"/>
  <c r="AT30" i="41" s="1"/>
  <c r="AM32" i="35"/>
  <c r="AR32" i="35" s="1"/>
  <c r="AL18" i="36"/>
  <c r="AP18" i="36" s="1"/>
  <c r="AH38" i="36"/>
  <c r="BC39" i="41" s="1"/>
  <c r="AL35" i="20"/>
  <c r="AP35" i="20" s="1"/>
  <c r="AL7" i="22"/>
  <c r="AP7" i="22" s="1"/>
  <c r="DV37" i="1"/>
  <c r="G37" i="41" s="1"/>
  <c r="DV16" i="1"/>
  <c r="G16" i="41" s="1"/>
  <c r="DX42" i="1"/>
  <c r="EC42" i="1" s="1"/>
  <c r="EE42" i="1" s="1"/>
  <c r="DX20" i="1"/>
  <c r="EC20" i="1" s="1"/>
  <c r="DZ46" i="1"/>
  <c r="ED46" i="1" s="1"/>
  <c r="DZ25" i="1"/>
  <c r="ED25" i="1" s="1"/>
  <c r="AN8" i="7"/>
  <c r="AR8" i="7" s="1"/>
  <c r="AS8" i="7" s="1"/>
  <c r="AJ38" i="7"/>
  <c r="J39" i="41" s="1"/>
  <c r="AX46" i="10"/>
  <c r="BC46" i="10" s="1"/>
  <c r="BE46" i="10" s="1"/>
  <c r="AR19" i="33"/>
  <c r="AV19" i="33" s="1"/>
  <c r="AO25" i="34"/>
  <c r="V26" i="41" s="1"/>
  <c r="AS21" i="12"/>
  <c r="AW21" i="12" s="1"/>
  <c r="AY46" i="26"/>
  <c r="BD46" i="26" s="1"/>
  <c r="AU16" i="13"/>
  <c r="AE17" i="41" s="1"/>
  <c r="AY28" i="13"/>
  <c r="BC28" i="13" s="1"/>
  <c r="BE28" i="13" s="1"/>
  <c r="AW41" i="13"/>
  <c r="BB41" i="13" s="1"/>
  <c r="AQ17" i="14"/>
  <c r="AH18" i="41" s="1"/>
  <c r="AQ25" i="15"/>
  <c r="AK26" i="41" s="1"/>
  <c r="AQ13" i="18"/>
  <c r="AT14" i="41" s="1"/>
  <c r="AM16" i="35"/>
  <c r="AR16" i="35" s="1"/>
  <c r="AH16" i="36"/>
  <c r="BC17" i="41" s="1"/>
  <c r="AL44" i="36"/>
  <c r="AP44" i="36" s="1"/>
  <c r="AH41" i="21"/>
  <c r="BL42" i="41" s="1"/>
  <c r="DV25" i="1"/>
  <c r="G25" i="41" s="1"/>
  <c r="DX35" i="1"/>
  <c r="EC35" i="1" s="1"/>
  <c r="DZ39" i="1"/>
  <c r="ED39" i="1" s="1"/>
  <c r="AN24" i="7"/>
  <c r="AR24" i="7" s="1"/>
  <c r="AT24" i="7" s="1"/>
  <c r="BH27" i="11"/>
  <c r="BL27" i="11" s="1"/>
  <c r="AQ8" i="12"/>
  <c r="AV8" i="12" s="1"/>
  <c r="AX8" i="12" s="1"/>
  <c r="AY6" i="13"/>
  <c r="BC6" i="13" s="1"/>
  <c r="BE6" i="13" s="1"/>
  <c r="AY36" i="13"/>
  <c r="BC36" i="13" s="1"/>
  <c r="AS14" i="15"/>
  <c r="AX14" i="15" s="1"/>
  <c r="BA14" i="15" s="1"/>
  <c r="AS46" i="19"/>
  <c r="AX46" i="19" s="1"/>
  <c r="AO33" i="27"/>
  <c r="AS33" i="27" s="1"/>
  <c r="DV30" i="1"/>
  <c r="G30" i="41" s="1"/>
  <c r="DX13" i="1"/>
  <c r="EC13" i="1" s="1"/>
  <c r="AJ26" i="7"/>
  <c r="J27" i="41" s="1"/>
  <c r="AP38" i="33"/>
  <c r="AU38" i="33" s="1"/>
  <c r="AY8" i="13"/>
  <c r="BC8" i="13" s="1"/>
  <c r="AQ25" i="14"/>
  <c r="AH26" i="41" s="1"/>
  <c r="AM20" i="27"/>
  <c r="AR20" i="27" s="1"/>
  <c r="AL20" i="36"/>
  <c r="AP20" i="36" s="1"/>
  <c r="AJ45" i="36"/>
  <c r="AO45" i="36" s="1"/>
  <c r="CN6" i="16"/>
  <c r="CR6" i="16" s="1"/>
  <c r="CJ36" i="16"/>
  <c r="AN36" i="41" s="1"/>
  <c r="CN14" i="16"/>
  <c r="CR14" i="16" s="1"/>
  <c r="CJ43" i="16"/>
  <c r="AN43" i="41" s="1"/>
  <c r="CN21" i="16"/>
  <c r="CR21" i="16" s="1"/>
  <c r="AJ46" i="20"/>
  <c r="AO46" i="20" s="1"/>
  <c r="AH29" i="22"/>
  <c r="BO30" i="41" s="1"/>
  <c r="DV41" i="1"/>
  <c r="G41" i="41" s="1"/>
  <c r="DV20" i="1"/>
  <c r="G20" i="41" s="1"/>
  <c r="DX51" i="1"/>
  <c r="EC51" i="1" s="1"/>
  <c r="EF51" i="1" s="1"/>
  <c r="EG51" i="1" s="1"/>
  <c r="DX30" i="1"/>
  <c r="EC30" i="1" s="1"/>
  <c r="DZ55" i="1"/>
  <c r="ED55" i="1" s="1"/>
  <c r="EE55" i="1" s="1"/>
  <c r="DZ34" i="1"/>
  <c r="ED34" i="1" s="1"/>
  <c r="DZ13" i="1"/>
  <c r="ED13" i="1" s="1"/>
  <c r="AN32" i="7"/>
  <c r="AR32" i="7" s="1"/>
  <c r="AS32" i="7" s="1"/>
  <c r="AX22" i="10"/>
  <c r="BC22" i="10" s="1"/>
  <c r="BF22" i="10" s="1"/>
  <c r="BD41" i="11"/>
  <c r="P42" i="41" s="1"/>
  <c r="AQ14" i="34"/>
  <c r="AV14" i="34" s="1"/>
  <c r="AO13" i="12"/>
  <c r="Y14" i="41" s="1"/>
  <c r="AY6" i="26"/>
  <c r="BD6" i="26" s="1"/>
  <c r="AW13" i="13"/>
  <c r="BB13" i="13" s="1"/>
  <c r="BE13" i="13" s="1"/>
  <c r="AU26" i="13"/>
  <c r="AE27" i="41" s="1"/>
  <c r="AY38" i="13"/>
  <c r="BC38" i="13" s="1"/>
  <c r="BD38" i="13" s="1"/>
  <c r="AS6" i="14"/>
  <c r="AX6" i="14" s="1"/>
  <c r="BA6" i="14" s="1"/>
  <c r="AS30" i="15"/>
  <c r="AX30" i="15" s="1"/>
  <c r="AZ30" i="15" s="1"/>
  <c r="AU39" i="18"/>
  <c r="AY39" i="18" s="1"/>
  <c r="AO21" i="35"/>
  <c r="AS21" i="35" s="1"/>
  <c r="AL26" i="36"/>
  <c r="AP26" i="36" s="1"/>
  <c r="AJ34" i="22"/>
  <c r="AO34" i="22" s="1"/>
  <c r="DV54" i="1"/>
  <c r="G54" i="41" s="1"/>
  <c r="DV22" i="1"/>
  <c r="G22" i="41" s="1"/>
  <c r="DX37" i="1"/>
  <c r="EC37" i="1" s="1"/>
  <c r="EF37" i="1" s="1"/>
  <c r="EG37" i="1" s="1"/>
  <c r="DZ52" i="1"/>
  <c r="ED52" i="1" s="1"/>
  <c r="DZ20" i="1"/>
  <c r="ED20" i="1" s="1"/>
  <c r="AN36" i="7"/>
  <c r="AR36" i="7" s="1"/>
  <c r="AT36" i="7" s="1"/>
  <c r="BF22" i="11"/>
  <c r="BK22" i="11" s="1"/>
  <c r="BM22" i="11" s="1"/>
  <c r="AQ22" i="34"/>
  <c r="AV22" i="34" s="1"/>
  <c r="AS31" i="12"/>
  <c r="AW31" i="12" s="1"/>
  <c r="AU14" i="13"/>
  <c r="AE15" i="41" s="1"/>
  <c r="AW35" i="13"/>
  <c r="BB35" i="13" s="1"/>
  <c r="BD35" i="13" s="1"/>
  <c r="AU19" i="15"/>
  <c r="AY19" i="15" s="1"/>
  <c r="BA19" i="15" s="1"/>
  <c r="AJ11" i="36"/>
  <c r="AO11" i="36" s="1"/>
  <c r="AJ18" i="22"/>
  <c r="AO18" i="22" s="1"/>
  <c r="AU19" i="19"/>
  <c r="AY19" i="19" s="1"/>
  <c r="AJ31" i="36"/>
  <c r="AO31" i="36" s="1"/>
  <c r="AL43" i="21"/>
  <c r="AP43" i="21" s="1"/>
  <c r="AJ6" i="20"/>
  <c r="AO6" i="20" s="1"/>
  <c r="AJ30" i="23"/>
  <c r="AO30" i="23" s="1"/>
  <c r="CN54" i="16"/>
  <c r="CR54" i="16" s="1"/>
  <c r="CJ44" i="16"/>
  <c r="AN44" i="41" s="1"/>
  <c r="CL33" i="16"/>
  <c r="CQ33" i="16" s="1"/>
  <c r="CN22" i="16"/>
  <c r="CR22" i="16" s="1"/>
  <c r="CJ12" i="16"/>
  <c r="AN12" i="41" s="1"/>
  <c r="CJ51" i="16"/>
  <c r="AN51" i="41" s="1"/>
  <c r="CL40" i="16"/>
  <c r="CQ40" i="16" s="1"/>
  <c r="CN29" i="16"/>
  <c r="CR29" i="16" s="1"/>
  <c r="CJ19" i="16"/>
  <c r="AN19" i="41" s="1"/>
  <c r="DX7" i="1"/>
  <c r="EC7" i="1" s="1"/>
  <c r="EF7" i="1" s="1"/>
  <c r="AJ29" i="36"/>
  <c r="AO29" i="36" s="1"/>
  <c r="AJ51" i="36"/>
  <c r="AO51" i="36" s="1"/>
  <c r="AH9" i="21"/>
  <c r="BL10" i="41" s="1"/>
  <c r="DV52" i="1"/>
  <c r="G52" i="41" s="1"/>
  <c r="DV31" i="1"/>
  <c r="G31" i="41" s="1"/>
  <c r="DV8" i="1"/>
  <c r="G8" i="41" s="1"/>
  <c r="DX40" i="1"/>
  <c r="EC40" i="1" s="1"/>
  <c r="DX19" i="1"/>
  <c r="EC19" i="1" s="1"/>
  <c r="EE19" i="1" s="1"/>
  <c r="DZ45" i="1"/>
  <c r="ED45" i="1" s="1"/>
  <c r="DZ23" i="1"/>
  <c r="ED23" i="1" s="1"/>
  <c r="EE23" i="1" s="1"/>
  <c r="AJ18" i="7"/>
  <c r="J19" i="41" s="1"/>
  <c r="AJ46" i="7"/>
  <c r="J47" i="41" s="1"/>
  <c r="BF14" i="11"/>
  <c r="BK14" i="11" s="1"/>
  <c r="AP22" i="33"/>
  <c r="AU22" i="33" s="1"/>
  <c r="AO41" i="34"/>
  <c r="V42" i="41" s="1"/>
  <c r="AS29" i="12"/>
  <c r="AW29" i="12" s="1"/>
  <c r="AX29" i="12" s="1"/>
  <c r="BA35" i="26"/>
  <c r="BE35" i="26" s="1"/>
  <c r="BG35" i="26" s="1"/>
  <c r="AW17" i="13"/>
  <c r="BB17" i="13" s="1"/>
  <c r="BE17" i="13" s="1"/>
  <c r="AY34" i="13"/>
  <c r="BC34" i="13" s="1"/>
  <c r="BE34" i="13" s="1"/>
  <c r="AW47" i="13"/>
  <c r="BB47" i="13" s="1"/>
  <c r="BD47" i="13" s="1"/>
  <c r="AQ33" i="14"/>
  <c r="AH34" i="41" s="1"/>
  <c r="AI35" i="17"/>
  <c r="AM35" i="17" s="1"/>
  <c r="AU27" i="19"/>
  <c r="AY27" i="19" s="1"/>
  <c r="AL8" i="36"/>
  <c r="AP8" i="36" s="1"/>
  <c r="AH25" i="20"/>
  <c r="BF26" i="41" s="1"/>
  <c r="AL15" i="22"/>
  <c r="AP15" i="22" s="1"/>
  <c r="DV38" i="1"/>
  <c r="G38" i="41" s="1"/>
  <c r="DX53" i="1"/>
  <c r="EC53" i="1" s="1"/>
  <c r="EF53" i="1" s="1"/>
  <c r="EG53" i="1" s="1"/>
  <c r="DX21" i="1"/>
  <c r="EC21" i="1" s="1"/>
  <c r="EE21" i="1" s="1"/>
  <c r="DZ36" i="1"/>
  <c r="ED36" i="1" s="1"/>
  <c r="EF36" i="1" s="1"/>
  <c r="EG36" i="1" s="1"/>
  <c r="AL15" i="7"/>
  <c r="AQ15" i="7" s="1"/>
  <c r="AS15" i="7" s="1"/>
  <c r="AV17" i="10"/>
  <c r="M18" i="41" s="1"/>
  <c r="AN17" i="33"/>
  <c r="S18" i="41" s="1"/>
  <c r="AQ10" i="12"/>
  <c r="AV10" i="12" s="1"/>
  <c r="BA43" i="26"/>
  <c r="BE43" i="26" s="1"/>
  <c r="AY24" i="13"/>
  <c r="BC24" i="13" s="1"/>
  <c r="AY48" i="13"/>
  <c r="BC48" i="13" s="1"/>
  <c r="BE48" i="13" s="1"/>
  <c r="AQ45" i="18"/>
  <c r="AT46" i="41" s="1"/>
  <c r="AL46" i="36"/>
  <c r="AP46" i="36" s="1"/>
  <c r="AE33" i="17"/>
  <c r="AQ34" i="41" s="1"/>
  <c r="AH10" i="36"/>
  <c r="BC11" i="41" s="1"/>
  <c r="AJ14" i="20"/>
  <c r="AO14" i="20" s="1"/>
  <c r="AL34" i="36"/>
  <c r="AP34" i="36" s="1"/>
  <c r="AJ6" i="21"/>
  <c r="AO6" i="21" s="1"/>
  <c r="AL35" i="23"/>
  <c r="AP35" i="23" s="1"/>
  <c r="CL49" i="16"/>
  <c r="CQ49" i="16" s="1"/>
  <c r="CN38" i="16"/>
  <c r="CR38" i="16" s="1"/>
  <c r="CJ28" i="16"/>
  <c r="AN28" i="41" s="1"/>
  <c r="CL17" i="16"/>
  <c r="CQ17" i="16" s="1"/>
  <c r="CJ8" i="16"/>
  <c r="AN8" i="41" s="1"/>
  <c r="CN45" i="16"/>
  <c r="CR45" i="16" s="1"/>
  <c r="CJ35" i="16"/>
  <c r="AN35" i="41" s="1"/>
  <c r="CL24" i="16"/>
  <c r="CQ24" i="16" s="1"/>
  <c r="CN13" i="16"/>
  <c r="CR13" i="16" s="1"/>
  <c r="AH12" i="36"/>
  <c r="BC13" i="41" s="1"/>
  <c r="AJ39" i="36"/>
  <c r="AO39" i="36" s="1"/>
  <c r="AO9" i="27"/>
  <c r="AS9" i="27" s="1"/>
  <c r="AL27" i="23"/>
  <c r="AP27" i="23" s="1"/>
  <c r="AH37" i="22"/>
  <c r="BO38" i="41" s="1"/>
  <c r="DV50" i="1"/>
  <c r="G50" i="41" s="1"/>
  <c r="DV34" i="1"/>
  <c r="G34" i="41" s="1"/>
  <c r="DV18" i="1"/>
  <c r="G18" i="41" s="1"/>
  <c r="DX49" i="1"/>
  <c r="EC49" i="1" s="1"/>
  <c r="EE49" i="1" s="1"/>
  <c r="DX33" i="1"/>
  <c r="EC33" i="1" s="1"/>
  <c r="EF33" i="1" s="1"/>
  <c r="EG33" i="1" s="1"/>
  <c r="DX17" i="1"/>
  <c r="EC17" i="1" s="1"/>
  <c r="EF17" i="1" s="1"/>
  <c r="DZ48" i="1"/>
  <c r="ED48" i="1" s="1"/>
  <c r="EF48" i="1" s="1"/>
  <c r="EG48" i="1" s="1"/>
  <c r="DZ32" i="1"/>
  <c r="ED32" i="1" s="1"/>
  <c r="DZ16" i="1"/>
  <c r="ED16" i="1" s="1"/>
  <c r="EE16" i="1" s="1"/>
  <c r="AN20" i="7"/>
  <c r="AR20" i="7" s="1"/>
  <c r="AS20" i="7" s="1"/>
  <c r="AJ42" i="7"/>
  <c r="J43" i="41" s="1"/>
  <c r="AZ27" i="10"/>
  <c r="BD27" i="10" s="1"/>
  <c r="BD33" i="11"/>
  <c r="P34" i="41" s="1"/>
  <c r="AR27" i="33"/>
  <c r="AV27" i="33" s="1"/>
  <c r="AO33" i="34"/>
  <c r="V34" i="41" s="1"/>
  <c r="AS15" i="12"/>
  <c r="AW15" i="12" s="1"/>
  <c r="BA11" i="26"/>
  <c r="BE11" i="26" s="1"/>
  <c r="AU6" i="13"/>
  <c r="AE7" i="41" s="1"/>
  <c r="AY16" i="13"/>
  <c r="BC16" i="13" s="1"/>
  <c r="BE16" i="13" s="1"/>
  <c r="AW27" i="13"/>
  <c r="BB27" i="13" s="1"/>
  <c r="BD27" i="13" s="1"/>
  <c r="AU38" i="13"/>
  <c r="AE39" i="41" s="1"/>
  <c r="AU54" i="13"/>
  <c r="AE55" i="41" s="1"/>
  <c r="AS46" i="15"/>
  <c r="AX46" i="15" s="1"/>
  <c r="AZ46" i="15" s="1"/>
  <c r="AQ25" i="19"/>
  <c r="AW26" i="41" s="1"/>
  <c r="AH20" i="36"/>
  <c r="BC21" i="41" s="1"/>
  <c r="AJ22" i="20"/>
  <c r="AO22" i="20" s="1"/>
  <c r="AL11" i="23"/>
  <c r="AP11" i="23" s="1"/>
  <c r="AQ5" i="18"/>
  <c r="AT6" i="41" s="1"/>
  <c r="AQ41" i="19"/>
  <c r="AW42" i="41" s="1"/>
  <c r="AJ15" i="36"/>
  <c r="AO15" i="36" s="1"/>
  <c r="AJ35" i="36"/>
  <c r="AO35" i="36" s="1"/>
  <c r="AL43" i="20"/>
  <c r="AP43" i="20" s="1"/>
  <c r="AL23" i="22"/>
  <c r="AP23" i="22" s="1"/>
  <c r="AH40" i="36"/>
  <c r="BC41" i="41" s="1"/>
  <c r="AL27" i="20"/>
  <c r="AP27" i="20" s="1"/>
  <c r="AL27" i="21"/>
  <c r="AP27" i="21" s="1"/>
  <c r="AJ10" i="22"/>
  <c r="AO10" i="22" s="1"/>
  <c r="CJ6" i="16"/>
  <c r="AN6" i="41" s="1"/>
  <c r="CL53" i="16"/>
  <c r="CQ53" i="16" s="1"/>
  <c r="CJ48" i="16"/>
  <c r="AN48" i="41" s="1"/>
  <c r="CN42" i="16"/>
  <c r="CR42" i="16" s="1"/>
  <c r="CL37" i="16"/>
  <c r="CQ37" i="16" s="1"/>
  <c r="CS37" i="16" s="1"/>
  <c r="CJ32" i="16"/>
  <c r="AN32" i="41" s="1"/>
  <c r="CN26" i="16"/>
  <c r="CR26" i="16" s="1"/>
  <c r="CL21" i="16"/>
  <c r="CQ21" i="16" s="1"/>
  <c r="CJ16" i="16"/>
  <c r="AN16" i="41" s="1"/>
  <c r="CN10" i="16"/>
  <c r="CR10" i="16" s="1"/>
  <c r="CJ55" i="16"/>
  <c r="AN55" i="41" s="1"/>
  <c r="CN49" i="16"/>
  <c r="CR49" i="16" s="1"/>
  <c r="CL44" i="16"/>
  <c r="CQ44" i="16" s="1"/>
  <c r="CJ39" i="16"/>
  <c r="AN39" i="41" s="1"/>
  <c r="CN33" i="16"/>
  <c r="CR33" i="16" s="1"/>
  <c r="CT33" i="16" s="1"/>
  <c r="CU33" i="16" s="1"/>
  <c r="CV33" i="16" s="1"/>
  <c r="CO33" i="16" s="1"/>
  <c r="AO33" i="41" s="1"/>
  <c r="CL28" i="16"/>
  <c r="CQ28" i="16" s="1"/>
  <c r="CJ23" i="16"/>
  <c r="AN23" i="41" s="1"/>
  <c r="CN17" i="16"/>
  <c r="CR17" i="16" s="1"/>
  <c r="CL12" i="16"/>
  <c r="CQ12" i="16" s="1"/>
  <c r="AL5" i="7"/>
  <c r="AQ5" i="7" s="1"/>
  <c r="AT5" i="7" s="1"/>
  <c r="AL6" i="36"/>
  <c r="AP6" i="36" s="1"/>
  <c r="AQ6" i="36" s="1"/>
  <c r="AL24" i="36"/>
  <c r="AP24" i="36" s="1"/>
  <c r="AJ47" i="36"/>
  <c r="AO47" i="36" s="1"/>
  <c r="AL19" i="21"/>
  <c r="AP19" i="21" s="1"/>
  <c r="AJ46" i="21"/>
  <c r="AO46" i="21" s="1"/>
  <c r="AH33" i="23"/>
  <c r="BR34" i="41" s="1"/>
  <c r="DV42" i="1"/>
  <c r="G42" i="41" s="1"/>
  <c r="DV26" i="1"/>
  <c r="G26" i="41" s="1"/>
  <c r="DV10" i="1"/>
  <c r="G10" i="41" s="1"/>
  <c r="DX41" i="1"/>
  <c r="EC41" i="1" s="1"/>
  <c r="EE41" i="1" s="1"/>
  <c r="DX25" i="1"/>
  <c r="EC25" i="1" s="1"/>
  <c r="EE25" i="1" s="1"/>
  <c r="DX8" i="1"/>
  <c r="EC8" i="1" s="1"/>
  <c r="EE8" i="1" s="1"/>
  <c r="DZ40" i="1"/>
  <c r="ED40" i="1" s="1"/>
  <c r="DZ24" i="1"/>
  <c r="ED24" i="1" s="1"/>
  <c r="EF24" i="1" s="1"/>
  <c r="AJ10" i="7"/>
  <c r="J11" i="41" s="1"/>
  <c r="AL31" i="7"/>
  <c r="AQ31" i="7" s="1"/>
  <c r="AT31" i="7" s="1"/>
  <c r="AX6" i="10"/>
  <c r="BC6" i="10" s="1"/>
  <c r="BH11" i="11"/>
  <c r="BL11" i="11" s="1"/>
  <c r="BM11" i="11" s="1"/>
  <c r="AP6" i="33"/>
  <c r="AU6" i="33" s="1"/>
  <c r="AS11" i="34"/>
  <c r="AW11" i="34" s="1"/>
  <c r="AY11" i="34" s="1"/>
  <c r="AZ11" i="34" s="1"/>
  <c r="AO5" i="12"/>
  <c r="Y6" i="41" s="1"/>
  <c r="AQ26" i="12"/>
  <c r="AV26" i="12" s="1"/>
  <c r="AX26" i="12" s="1"/>
  <c r="AW33" i="26"/>
  <c r="AB34" i="41" s="1"/>
  <c r="AW11" i="13"/>
  <c r="BB11" i="13" s="1"/>
  <c r="BD11" i="13" s="1"/>
  <c r="AU22" i="13"/>
  <c r="AE23" i="41" s="1"/>
  <c r="AY32" i="13"/>
  <c r="BC32" i="13" s="1"/>
  <c r="BE32" i="13" s="1"/>
  <c r="AW43" i="13"/>
  <c r="BB43" i="13" s="1"/>
  <c r="BE43" i="13" s="1"/>
  <c r="AS46" i="14"/>
  <c r="AX46" i="14" s="1"/>
  <c r="BA46" i="14" s="1"/>
  <c r="AS18" i="18"/>
  <c r="AX18" i="18" s="1"/>
  <c r="AO37" i="35"/>
  <c r="AS37" i="35" s="1"/>
  <c r="AH34" i="36"/>
  <c r="BC35" i="41" s="1"/>
  <c r="AL11" i="21"/>
  <c r="AP11" i="21" s="1"/>
  <c r="AI11" i="17"/>
  <c r="AM11" i="17" s="1"/>
  <c r="AU47" i="18"/>
  <c r="AY47" i="18" s="1"/>
  <c r="AM40" i="35"/>
  <c r="AR40" i="35" s="1"/>
  <c r="AH26" i="36"/>
  <c r="BC27" i="41" s="1"/>
  <c r="AL52" i="36"/>
  <c r="AP52" i="36" s="1"/>
  <c r="AJ14" i="21"/>
  <c r="AO14" i="21" s="1"/>
  <c r="AH41" i="23"/>
  <c r="BR42" i="41" s="1"/>
  <c r="AL50" i="36"/>
  <c r="AP50" i="36" s="1"/>
  <c r="AM28" i="27"/>
  <c r="AR28" i="27" s="1"/>
  <c r="AL39" i="22"/>
  <c r="AP39" i="22" s="1"/>
  <c r="AJ14" i="23"/>
  <c r="AO14" i="23" s="1"/>
  <c r="CL7" i="16"/>
  <c r="CQ7" i="16" s="1"/>
  <c r="CN50" i="16"/>
  <c r="CR50" i="16" s="1"/>
  <c r="CL45" i="16"/>
  <c r="CQ45" i="16" s="1"/>
  <c r="CT45" i="16" s="1"/>
  <c r="CU45" i="16" s="1"/>
  <c r="CV45" i="16" s="1"/>
  <c r="CO45" i="16" s="1"/>
  <c r="AO45" i="41" s="1"/>
  <c r="CJ40" i="16"/>
  <c r="AN40" i="41" s="1"/>
  <c r="CN34" i="16"/>
  <c r="CR34" i="16" s="1"/>
  <c r="CL29" i="16"/>
  <c r="CQ29" i="16" s="1"/>
  <c r="CJ24" i="16"/>
  <c r="AN24" i="41" s="1"/>
  <c r="CN18" i="16"/>
  <c r="CR18" i="16" s="1"/>
  <c r="CL13" i="16"/>
  <c r="CQ13" i="16" s="1"/>
  <c r="CN7" i="16"/>
  <c r="CR7" i="16" s="1"/>
  <c r="CL52" i="16"/>
  <c r="CQ52" i="16" s="1"/>
  <c r="CJ47" i="16"/>
  <c r="AN47" i="41" s="1"/>
  <c r="CN41" i="16"/>
  <c r="CR41" i="16" s="1"/>
  <c r="CL36" i="16"/>
  <c r="CQ36" i="16" s="1"/>
  <c r="CJ31" i="16"/>
  <c r="AN31" i="41" s="1"/>
  <c r="CN25" i="16"/>
  <c r="CR25" i="16" s="1"/>
  <c r="CS25" i="16" s="1"/>
  <c r="CL20" i="16"/>
  <c r="CQ20" i="16" s="1"/>
  <c r="CJ15" i="16"/>
  <c r="AN15" i="41" s="1"/>
  <c r="CN9" i="16"/>
  <c r="CR9" i="16" s="1"/>
  <c r="AU46" i="13"/>
  <c r="AE47" i="41" s="1"/>
  <c r="AS14" i="14"/>
  <c r="AX14" i="14" s="1"/>
  <c r="BA14" i="14" s="1"/>
  <c r="AQ9" i="15"/>
  <c r="AK10" i="41" s="1"/>
  <c r="AE9" i="17"/>
  <c r="AQ10" i="41" s="1"/>
  <c r="AU31" i="18"/>
  <c r="AY31" i="18" s="1"/>
  <c r="AS38" i="19"/>
  <c r="AX38" i="19" s="1"/>
  <c r="AJ9" i="36"/>
  <c r="AO9" i="36" s="1"/>
  <c r="AR9" i="36" s="1"/>
  <c r="AS9" i="36" s="1"/>
  <c r="AT9" i="36" s="1"/>
  <c r="AM9" i="36" s="1"/>
  <c r="BD10" i="41" s="1"/>
  <c r="AH22" i="36"/>
  <c r="BC23" i="41" s="1"/>
  <c r="AJ43" i="36"/>
  <c r="AO43" i="36" s="1"/>
  <c r="AH41" i="20"/>
  <c r="BF42" i="41" s="1"/>
  <c r="AH33" i="21"/>
  <c r="BL34" i="41" s="1"/>
  <c r="AJ38" i="23"/>
  <c r="AO38" i="23" s="1"/>
  <c r="AG22" i="17"/>
  <c r="AL22" i="17" s="1"/>
  <c r="AU15" i="18"/>
  <c r="AY15" i="18" s="1"/>
  <c r="AQ9" i="19"/>
  <c r="AW10" i="41" s="1"/>
  <c r="AM8" i="35"/>
  <c r="AR8" i="35" s="1"/>
  <c r="AJ7" i="36"/>
  <c r="AO7" i="36" s="1"/>
  <c r="AH18" i="36"/>
  <c r="BC19" i="41" s="1"/>
  <c r="AL28" i="36"/>
  <c r="AP28" i="36" s="1"/>
  <c r="AH42" i="36"/>
  <c r="BC43" i="41" s="1"/>
  <c r="AL54" i="36"/>
  <c r="AP54" i="36" s="1"/>
  <c r="AK15" i="27"/>
  <c r="BI16" i="41" s="1"/>
  <c r="AJ30" i="21"/>
  <c r="AO30" i="21" s="1"/>
  <c r="AR30" i="21" s="1"/>
  <c r="AS30" i="21" s="1"/>
  <c r="AT30" i="21" s="1"/>
  <c r="AM30" i="21" s="1"/>
  <c r="BM31" i="41" s="1"/>
  <c r="AH45" i="22"/>
  <c r="BO46" i="41" s="1"/>
  <c r="AH32" i="36"/>
  <c r="BC33" i="41" s="1"/>
  <c r="AL42" i="36"/>
  <c r="AP42" i="36" s="1"/>
  <c r="AJ53" i="36"/>
  <c r="AO53" i="36" s="1"/>
  <c r="AJ38" i="20"/>
  <c r="AO38" i="20" s="1"/>
  <c r="AK39" i="27"/>
  <c r="BI40" i="41" s="1"/>
  <c r="AJ38" i="21"/>
  <c r="AO38" i="21" s="1"/>
  <c r="AH17" i="23"/>
  <c r="BR18" i="41" s="1"/>
  <c r="AH21" i="22"/>
  <c r="BO22" i="41" s="1"/>
  <c r="AH25" i="23"/>
  <c r="BR26" i="41" s="1"/>
  <c r="CL8" i="16"/>
  <c r="CQ8" i="16" s="1"/>
  <c r="CL55" i="16"/>
  <c r="CQ55" i="16" s="1"/>
  <c r="CN52" i="16"/>
  <c r="CR52" i="16" s="1"/>
  <c r="CJ50" i="16"/>
  <c r="AN50" i="41" s="1"/>
  <c r="CL47" i="16"/>
  <c r="CQ47" i="16" s="1"/>
  <c r="CN44" i="16"/>
  <c r="CR44" i="16" s="1"/>
  <c r="CJ42" i="16"/>
  <c r="AN42" i="41" s="1"/>
  <c r="CL39" i="16"/>
  <c r="CQ39" i="16" s="1"/>
  <c r="CN36" i="16"/>
  <c r="CR36" i="16" s="1"/>
  <c r="CJ34" i="16"/>
  <c r="AN34" i="41" s="1"/>
  <c r="CL31" i="16"/>
  <c r="CQ31" i="16" s="1"/>
  <c r="CN28" i="16"/>
  <c r="CR28" i="16" s="1"/>
  <c r="CJ26" i="16"/>
  <c r="AN26" i="41" s="1"/>
  <c r="CL23" i="16"/>
  <c r="CQ23" i="16" s="1"/>
  <c r="CN20" i="16"/>
  <c r="CR20" i="16" s="1"/>
  <c r="CS20" i="16" s="1"/>
  <c r="CJ18" i="16"/>
  <c r="AN18" i="41" s="1"/>
  <c r="CL15" i="16"/>
  <c r="CQ15" i="16" s="1"/>
  <c r="CN12" i="16"/>
  <c r="CR12" i="16" s="1"/>
  <c r="CJ10" i="16"/>
  <c r="AN10" i="41" s="1"/>
  <c r="CJ7" i="16"/>
  <c r="AN7" i="41" s="1"/>
  <c r="CL54" i="16"/>
  <c r="CQ54" i="16" s="1"/>
  <c r="CN51" i="16"/>
  <c r="CR51" i="16" s="1"/>
  <c r="CJ49" i="16"/>
  <c r="AN49" i="41" s="1"/>
  <c r="CL46" i="16"/>
  <c r="CQ46" i="16" s="1"/>
  <c r="CT46" i="16" s="1"/>
  <c r="CU46" i="16" s="1"/>
  <c r="CV46" i="16" s="1"/>
  <c r="CO46" i="16" s="1"/>
  <c r="AO46" i="41" s="1"/>
  <c r="CN43" i="16"/>
  <c r="CR43" i="16" s="1"/>
  <c r="CJ41" i="16"/>
  <c r="AN41" i="41" s="1"/>
  <c r="CL38" i="16"/>
  <c r="CQ38" i="16" s="1"/>
  <c r="CN35" i="16"/>
  <c r="CR35" i="16" s="1"/>
  <c r="CJ33" i="16"/>
  <c r="AN33" i="41" s="1"/>
  <c r="CL30" i="16"/>
  <c r="CQ30" i="16" s="1"/>
  <c r="CS30" i="16" s="1"/>
  <c r="CN27" i="16"/>
  <c r="CR27" i="16" s="1"/>
  <c r="CJ25" i="16"/>
  <c r="AN25" i="41" s="1"/>
  <c r="CL22" i="16"/>
  <c r="CQ22" i="16" s="1"/>
  <c r="CN19" i="16"/>
  <c r="CR19" i="16" s="1"/>
  <c r="CJ17" i="16"/>
  <c r="AN17" i="41" s="1"/>
  <c r="CL14" i="16"/>
  <c r="CQ14" i="16" s="1"/>
  <c r="CN11" i="16"/>
  <c r="CR11" i="16" s="1"/>
  <c r="CJ9" i="16"/>
  <c r="AN9" i="41" s="1"/>
  <c r="AW51" i="13"/>
  <c r="BB51" i="13" s="1"/>
  <c r="AU35" i="14"/>
  <c r="AY35" i="14" s="1"/>
  <c r="AZ35" i="14" s="1"/>
  <c r="AQ33" i="15"/>
  <c r="AK34" i="41" s="1"/>
  <c r="AG38" i="17"/>
  <c r="AL38" i="17" s="1"/>
  <c r="AU11" i="19"/>
  <c r="AY11" i="19" s="1"/>
  <c r="AM24" i="35"/>
  <c r="AR24" i="35" s="1"/>
  <c r="AJ13" i="36"/>
  <c r="AO13" i="36" s="1"/>
  <c r="AL30" i="36"/>
  <c r="AP30" i="36" s="1"/>
  <c r="AL48" i="36"/>
  <c r="AP48" i="36" s="1"/>
  <c r="AM36" i="27"/>
  <c r="AR36" i="27" s="1"/>
  <c r="AL47" i="22"/>
  <c r="AP47" i="22" s="1"/>
  <c r="AS38" i="15"/>
  <c r="AX38" i="15" s="1"/>
  <c r="BA38" i="15" s="1"/>
  <c r="AI43" i="17"/>
  <c r="AM43" i="17" s="1"/>
  <c r="AQ37" i="18"/>
  <c r="AT38" i="41" s="1"/>
  <c r="AS30" i="19"/>
  <c r="AX30" i="19" s="1"/>
  <c r="AO29" i="35"/>
  <c r="AS29" i="35" s="1"/>
  <c r="AL12" i="36"/>
  <c r="AP12" i="36" s="1"/>
  <c r="AJ23" i="36"/>
  <c r="AO23" i="36" s="1"/>
  <c r="AJ33" i="36"/>
  <c r="AO33" i="36" s="1"/>
  <c r="AR33" i="36" s="1"/>
  <c r="AS33" i="36" s="1"/>
  <c r="AT33" i="36" s="1"/>
  <c r="AM33" i="36" s="1"/>
  <c r="BD34" i="41" s="1"/>
  <c r="AH46" i="36"/>
  <c r="BC47" i="41" s="1"/>
  <c r="AJ30" i="20"/>
  <c r="AO30" i="20" s="1"/>
  <c r="AM44" i="27"/>
  <c r="AR44" i="27" s="1"/>
  <c r="AH5" i="22"/>
  <c r="BO6" i="41" s="1"/>
  <c r="AJ22" i="23"/>
  <c r="AO22" i="23" s="1"/>
  <c r="AJ37" i="36"/>
  <c r="AO37" i="36" s="1"/>
  <c r="AH48" i="36"/>
  <c r="BC49" i="41" s="1"/>
  <c r="AH17" i="20"/>
  <c r="BF18" i="41" s="1"/>
  <c r="AO17" i="27"/>
  <c r="AS17" i="27" s="1"/>
  <c r="AH17" i="21"/>
  <c r="BL18" i="41" s="1"/>
  <c r="AJ26" i="22"/>
  <c r="AO26" i="22" s="1"/>
  <c r="AL43" i="23"/>
  <c r="AP43" i="23" s="1"/>
  <c r="AJ42" i="22"/>
  <c r="AO42" i="22" s="1"/>
  <c r="AJ46" i="23"/>
  <c r="AO46" i="23" s="1"/>
  <c r="CL6" i="16"/>
  <c r="CQ6" i="16" s="1"/>
  <c r="CS6" i="16" s="1"/>
  <c r="CJ54" i="16"/>
  <c r="AN54" i="41" s="1"/>
  <c r="CL51" i="16"/>
  <c r="CQ51" i="16" s="1"/>
  <c r="CS51" i="16" s="1"/>
  <c r="CN48" i="16"/>
  <c r="CR48" i="16" s="1"/>
  <c r="CS48" i="16" s="1"/>
  <c r="CJ46" i="16"/>
  <c r="AN46" i="41" s="1"/>
  <c r="CL43" i="16"/>
  <c r="CQ43" i="16" s="1"/>
  <c r="CN40" i="16"/>
  <c r="CR40" i="16" s="1"/>
  <c r="CS40" i="16" s="1"/>
  <c r="CJ38" i="16"/>
  <c r="AN38" i="41" s="1"/>
  <c r="CL35" i="16"/>
  <c r="CQ35" i="16" s="1"/>
  <c r="CT35" i="16" s="1"/>
  <c r="CU35" i="16" s="1"/>
  <c r="CV35" i="16" s="1"/>
  <c r="CO35" i="16" s="1"/>
  <c r="AO35" i="41" s="1"/>
  <c r="CN32" i="16"/>
  <c r="CR32" i="16" s="1"/>
  <c r="CJ30" i="16"/>
  <c r="AN30" i="41" s="1"/>
  <c r="CL27" i="16"/>
  <c r="CQ27" i="16" s="1"/>
  <c r="CS27" i="16" s="1"/>
  <c r="CN24" i="16"/>
  <c r="CR24" i="16" s="1"/>
  <c r="CT24" i="16" s="1"/>
  <c r="CU24" i="16" s="1"/>
  <c r="CV24" i="16" s="1"/>
  <c r="CO24" i="16" s="1"/>
  <c r="AO24" i="41" s="1"/>
  <c r="CJ22" i="16"/>
  <c r="AN22" i="41" s="1"/>
  <c r="CL19" i="16"/>
  <c r="CQ19" i="16" s="1"/>
  <c r="CT19" i="16" s="1"/>
  <c r="CU19" i="16" s="1"/>
  <c r="CV19" i="16" s="1"/>
  <c r="CO19" i="16" s="1"/>
  <c r="AO19" i="41" s="1"/>
  <c r="CN16" i="16"/>
  <c r="CR16" i="16" s="1"/>
  <c r="CT16" i="16" s="1"/>
  <c r="CU16" i="16" s="1"/>
  <c r="CV16" i="16" s="1"/>
  <c r="CO16" i="16" s="1"/>
  <c r="AO16" i="41" s="1"/>
  <c r="CJ14" i="16"/>
  <c r="AN14" i="41" s="1"/>
  <c r="CL11" i="16"/>
  <c r="CQ11" i="16" s="1"/>
  <c r="CN8" i="16"/>
  <c r="CR8" i="16" s="1"/>
  <c r="CT8" i="16" s="1"/>
  <c r="CN55" i="16"/>
  <c r="CR55" i="16" s="1"/>
  <c r="CJ53" i="16"/>
  <c r="AN53" i="41" s="1"/>
  <c r="CL50" i="16"/>
  <c r="CQ50" i="16" s="1"/>
  <c r="CN47" i="16"/>
  <c r="CR47" i="16" s="1"/>
  <c r="CT47" i="16" s="1"/>
  <c r="CU47" i="16" s="1"/>
  <c r="CV47" i="16" s="1"/>
  <c r="CO47" i="16" s="1"/>
  <c r="AO47" i="41" s="1"/>
  <c r="CJ45" i="16"/>
  <c r="AN45" i="41" s="1"/>
  <c r="CL42" i="16"/>
  <c r="CQ42" i="16" s="1"/>
  <c r="CT42" i="16" s="1"/>
  <c r="CU42" i="16" s="1"/>
  <c r="CV42" i="16" s="1"/>
  <c r="CO42" i="16" s="1"/>
  <c r="AO42" i="41" s="1"/>
  <c r="CN39" i="16"/>
  <c r="CR39" i="16" s="1"/>
  <c r="CJ37" i="16"/>
  <c r="AN37" i="41" s="1"/>
  <c r="CL34" i="16"/>
  <c r="CQ34" i="16" s="1"/>
  <c r="CS34" i="16" s="1"/>
  <c r="CN31" i="16"/>
  <c r="CR31" i="16" s="1"/>
  <c r="CT31" i="16" s="1"/>
  <c r="CU31" i="16" s="1"/>
  <c r="CV31" i="16" s="1"/>
  <c r="CO31" i="16" s="1"/>
  <c r="AO31" i="41" s="1"/>
  <c r="CJ29" i="16"/>
  <c r="AN29" i="41" s="1"/>
  <c r="CL26" i="16"/>
  <c r="CQ26" i="16" s="1"/>
  <c r="CN23" i="16"/>
  <c r="CR23" i="16" s="1"/>
  <c r="CJ21" i="16"/>
  <c r="AN21" i="41" s="1"/>
  <c r="CL18" i="16"/>
  <c r="CQ18" i="16" s="1"/>
  <c r="CN15" i="16"/>
  <c r="CR15" i="16" s="1"/>
  <c r="CT15" i="16" s="1"/>
  <c r="CU15" i="16" s="1"/>
  <c r="CV15" i="16" s="1"/>
  <c r="CO15" i="16" s="1"/>
  <c r="AO15" i="41" s="1"/>
  <c r="CJ13" i="16"/>
  <c r="AN13" i="41" s="1"/>
  <c r="CL10" i="16"/>
  <c r="CQ10" i="16" s="1"/>
  <c r="CS10" i="16" s="1"/>
  <c r="DX6" i="1"/>
  <c r="EC6" i="1" s="1"/>
  <c r="H8" i="38"/>
  <c r="CT41" i="16"/>
  <c r="CU41" i="16" s="1"/>
  <c r="CV41" i="16" s="1"/>
  <c r="CO41" i="16" s="1"/>
  <c r="AO41" i="41" s="1"/>
  <c r="CT25" i="16"/>
  <c r="CU25" i="16" s="1"/>
  <c r="CV25" i="16" s="1"/>
  <c r="CO25" i="16" s="1"/>
  <c r="AO25" i="41" s="1"/>
  <c r="CS49" i="16"/>
  <c r="CT9" i="16"/>
  <c r="CU9" i="16" s="1"/>
  <c r="CV9" i="16" s="1"/>
  <c r="CO9" i="16" s="1"/>
  <c r="AO9" i="41" s="1"/>
  <c r="CS9" i="16"/>
  <c r="CT17" i="16"/>
  <c r="CU17" i="16" s="1"/>
  <c r="CV17" i="16" s="1"/>
  <c r="CO17" i="16" s="1"/>
  <c r="AO17" i="41" s="1"/>
  <c r="CS17" i="16"/>
  <c r="CT43" i="16"/>
  <c r="CU43" i="16" s="1"/>
  <c r="CV43" i="16" s="1"/>
  <c r="CO43" i="16" s="1"/>
  <c r="AO43" i="41" s="1"/>
  <c r="CS43" i="16"/>
  <c r="CS11" i="16"/>
  <c r="CT11" i="16"/>
  <c r="CU11" i="16" s="1"/>
  <c r="CV11" i="16" s="1"/>
  <c r="CO11" i="16" s="1"/>
  <c r="AO11" i="41" s="1"/>
  <c r="CS7" i="16"/>
  <c r="CS53" i="16"/>
  <c r="CT53" i="16"/>
  <c r="CU53" i="16" s="1"/>
  <c r="CV53" i="16" s="1"/>
  <c r="CO53" i="16" s="1"/>
  <c r="AO53" i="41" s="1"/>
  <c r="CS21" i="16"/>
  <c r="CT21" i="16"/>
  <c r="CU21" i="16" s="1"/>
  <c r="CV21" i="16" s="1"/>
  <c r="CO21" i="16" s="1"/>
  <c r="AO21" i="41" s="1"/>
  <c r="CS13" i="16"/>
  <c r="CT52" i="16"/>
  <c r="CU52" i="16" s="1"/>
  <c r="CV52" i="16" s="1"/>
  <c r="CO52" i="16" s="1"/>
  <c r="AO52" i="41" s="1"/>
  <c r="CS52" i="16"/>
  <c r="CT44" i="16"/>
  <c r="CU44" i="16" s="1"/>
  <c r="CV44" i="16" s="1"/>
  <c r="CO44" i="16" s="1"/>
  <c r="AO44" i="41" s="1"/>
  <c r="CS41" i="16"/>
  <c r="CT28" i="16"/>
  <c r="CU28" i="16" s="1"/>
  <c r="CV28" i="16" s="1"/>
  <c r="CO28" i="16" s="1"/>
  <c r="AO28" i="41" s="1"/>
  <c r="CS28" i="16"/>
  <c r="CT20" i="16"/>
  <c r="CU20" i="16" s="1"/>
  <c r="CV20" i="16" s="1"/>
  <c r="CO20" i="16" s="1"/>
  <c r="AO20" i="41" s="1"/>
  <c r="CS33" i="16"/>
  <c r="CT32" i="16"/>
  <c r="CU32" i="16" s="1"/>
  <c r="CV32" i="16" s="1"/>
  <c r="CO32" i="16" s="1"/>
  <c r="AO32" i="41" s="1"/>
  <c r="CS32" i="16"/>
  <c r="AX39" i="12"/>
  <c r="AQ34" i="36"/>
  <c r="CT54" i="16"/>
  <c r="CU54" i="16" s="1"/>
  <c r="CV54" i="16" s="1"/>
  <c r="CO54" i="16" s="1"/>
  <c r="AO54" i="41" s="1"/>
  <c r="CS54" i="16"/>
  <c r="CT38" i="16"/>
  <c r="CU38" i="16" s="1"/>
  <c r="CV38" i="16" s="1"/>
  <c r="CO38" i="16" s="1"/>
  <c r="AO38" i="41" s="1"/>
  <c r="CS38" i="16"/>
  <c r="CS22" i="16"/>
  <c r="CT22" i="16"/>
  <c r="CU22" i="16" s="1"/>
  <c r="CV22" i="16" s="1"/>
  <c r="CO22" i="16" s="1"/>
  <c r="AO22" i="41" s="1"/>
  <c r="CS14" i="16"/>
  <c r="CT14" i="16"/>
  <c r="CU14" i="16" s="1"/>
  <c r="CV14" i="16" s="1"/>
  <c r="CO14" i="16" s="1"/>
  <c r="AO14" i="41" s="1"/>
  <c r="AR41" i="23"/>
  <c r="AS41" i="23" s="1"/>
  <c r="AT41" i="23" s="1"/>
  <c r="AM41" i="23" s="1"/>
  <c r="BS42" i="41" s="1"/>
  <c r="AQ41" i="23"/>
  <c r="AQ35" i="21"/>
  <c r="AR35" i="21"/>
  <c r="AS35" i="21" s="1"/>
  <c r="AT35" i="21" s="1"/>
  <c r="AM35" i="21" s="1"/>
  <c r="BM36" i="41" s="1"/>
  <c r="AZ50" i="18"/>
  <c r="BA50" i="18"/>
  <c r="BB50" i="18" s="1"/>
  <c r="BC50" i="18" s="1"/>
  <c r="AV50" i="18" s="1"/>
  <c r="AU51" i="41" s="1"/>
  <c r="AX25" i="34"/>
  <c r="AY25" i="34"/>
  <c r="AZ25" i="34" s="1"/>
  <c r="AQ36" i="23"/>
  <c r="AR36" i="23"/>
  <c r="AS36" i="23" s="1"/>
  <c r="AT36" i="23" s="1"/>
  <c r="AM36" i="23" s="1"/>
  <c r="BS37" i="41" s="1"/>
  <c r="AU49" i="27"/>
  <c r="AV49" i="27" s="1"/>
  <c r="AW49" i="27" s="1"/>
  <c r="AP49" i="27" s="1"/>
  <c r="BJ50" i="41" s="1"/>
  <c r="AT49" i="27"/>
  <c r="AU45" i="35"/>
  <c r="AV45" i="35" s="1"/>
  <c r="AW45" i="35" s="1"/>
  <c r="AP45" i="35" s="1"/>
  <c r="BA46" i="41" s="1"/>
  <c r="AT45" i="35"/>
  <c r="AR45" i="22"/>
  <c r="AS45" i="22" s="1"/>
  <c r="AT45" i="22" s="1"/>
  <c r="AM45" i="22" s="1"/>
  <c r="BP46" i="41" s="1"/>
  <c r="AQ45" i="22"/>
  <c r="AT23" i="35"/>
  <c r="AU23" i="35"/>
  <c r="AV23" i="35" s="1"/>
  <c r="AW23" i="35" s="1"/>
  <c r="AP23" i="35" s="1"/>
  <c r="BA24" i="41" s="1"/>
  <c r="AQ39" i="23"/>
  <c r="AR39" i="23"/>
  <c r="AS39" i="23" s="1"/>
  <c r="AT39" i="23" s="1"/>
  <c r="AM39" i="23" s="1"/>
  <c r="BS40" i="41" s="1"/>
  <c r="AU32" i="27"/>
  <c r="AV32" i="27" s="1"/>
  <c r="AW32" i="27" s="1"/>
  <c r="AP32" i="27" s="1"/>
  <c r="BJ33" i="41" s="1"/>
  <c r="AT32" i="27"/>
  <c r="AQ24" i="22"/>
  <c r="AR24" i="22"/>
  <c r="AS24" i="22" s="1"/>
  <c r="AT24" i="22" s="1"/>
  <c r="AM24" i="22" s="1"/>
  <c r="BP25" i="41" s="1"/>
  <c r="AR47" i="22"/>
  <c r="AS47" i="22" s="1"/>
  <c r="AT47" i="22" s="1"/>
  <c r="AM47" i="22" s="1"/>
  <c r="BP48" i="41" s="1"/>
  <c r="AQ47" i="22"/>
  <c r="AO51" i="17"/>
  <c r="AP51" i="17" s="1"/>
  <c r="AQ51" i="17" s="1"/>
  <c r="AJ51" i="17" s="1"/>
  <c r="AR52" i="41" s="1"/>
  <c r="AN51" i="17"/>
  <c r="AZ26" i="19"/>
  <c r="BA26" i="19"/>
  <c r="BB26" i="19" s="1"/>
  <c r="BC26" i="19" s="1"/>
  <c r="AV26" i="19" s="1"/>
  <c r="AX27" i="41" s="1"/>
  <c r="AR53" i="21"/>
  <c r="AS53" i="21" s="1"/>
  <c r="AT53" i="21" s="1"/>
  <c r="AM53" i="21" s="1"/>
  <c r="BM54" i="41" s="1"/>
  <c r="AQ53" i="21"/>
  <c r="AR31" i="23"/>
  <c r="AS31" i="23" s="1"/>
  <c r="AT31" i="23" s="1"/>
  <c r="AM31" i="23" s="1"/>
  <c r="BS32" i="41" s="1"/>
  <c r="AQ31" i="23"/>
  <c r="AQ35" i="20"/>
  <c r="AR35" i="20"/>
  <c r="AS35" i="20" s="1"/>
  <c r="AT35" i="20" s="1"/>
  <c r="AM35" i="20" s="1"/>
  <c r="BG36" i="41" s="1"/>
  <c r="BA23" i="19"/>
  <c r="BB23" i="19" s="1"/>
  <c r="BC23" i="19" s="1"/>
  <c r="AV23" i="19" s="1"/>
  <c r="AX24" i="41" s="1"/>
  <c r="AZ23" i="19"/>
  <c r="AR38" i="22"/>
  <c r="AS38" i="22" s="1"/>
  <c r="AT38" i="22" s="1"/>
  <c r="AM38" i="22" s="1"/>
  <c r="BP39" i="41" s="1"/>
  <c r="AQ38" i="22"/>
  <c r="BE45" i="10"/>
  <c r="BF45" i="10"/>
  <c r="AR52" i="20"/>
  <c r="AS52" i="20" s="1"/>
  <c r="AT52" i="20" s="1"/>
  <c r="AM52" i="20" s="1"/>
  <c r="BG53" i="41" s="1"/>
  <c r="AQ52" i="20"/>
  <c r="AU27" i="27"/>
  <c r="AV27" i="27" s="1"/>
  <c r="AW27" i="27" s="1"/>
  <c r="AP27" i="27" s="1"/>
  <c r="BJ28" i="41" s="1"/>
  <c r="AT27" i="27"/>
  <c r="AR46" i="36"/>
  <c r="AS46" i="36" s="1"/>
  <c r="AT46" i="36" s="1"/>
  <c r="AM46" i="36" s="1"/>
  <c r="BD47" i="41" s="1"/>
  <c r="AQ46" i="36"/>
  <c r="AQ40" i="36"/>
  <c r="AR40" i="36"/>
  <c r="AS40" i="36" s="1"/>
  <c r="AT40" i="36" s="1"/>
  <c r="AM40" i="36" s="1"/>
  <c r="BD41" i="41" s="1"/>
  <c r="AR29" i="22"/>
  <c r="AS29" i="22" s="1"/>
  <c r="AT29" i="22" s="1"/>
  <c r="AM29" i="22" s="1"/>
  <c r="BP30" i="41" s="1"/>
  <c r="AQ29" i="22"/>
  <c r="AQ24" i="21"/>
  <c r="AR24" i="21"/>
  <c r="AS24" i="21" s="1"/>
  <c r="AT24" i="21" s="1"/>
  <c r="AM24" i="21" s="1"/>
  <c r="BM25" i="41" s="1"/>
  <c r="AT39" i="35"/>
  <c r="AU39" i="35"/>
  <c r="AV39" i="35" s="1"/>
  <c r="AW39" i="35" s="1"/>
  <c r="AP39" i="35" s="1"/>
  <c r="BA40" i="41" s="1"/>
  <c r="BA44" i="18"/>
  <c r="BB44" i="18" s="1"/>
  <c r="BC44" i="18" s="1"/>
  <c r="AV44" i="18" s="1"/>
  <c r="AU45" i="41" s="1"/>
  <c r="AZ44" i="18"/>
  <c r="BA12" i="18"/>
  <c r="BB12" i="18" s="1"/>
  <c r="BC12" i="18" s="1"/>
  <c r="AV12" i="18" s="1"/>
  <c r="AU13" i="41" s="1"/>
  <c r="AZ12" i="18"/>
  <c r="AQ17" i="22"/>
  <c r="AR17" i="22"/>
  <c r="AS17" i="22" s="1"/>
  <c r="AT17" i="22" s="1"/>
  <c r="AM17" i="22" s="1"/>
  <c r="BP18" i="41" s="1"/>
  <c r="AW11" i="33"/>
  <c r="AX11" i="33"/>
  <c r="AY11" i="33" s="1"/>
  <c r="AY31" i="34"/>
  <c r="AZ31" i="34" s="1"/>
  <c r="AX31" i="34"/>
  <c r="AZ48" i="18"/>
  <c r="BA48" i="18"/>
  <c r="BB48" i="18" s="1"/>
  <c r="BC48" i="18" s="1"/>
  <c r="AV48" i="18" s="1"/>
  <c r="AU49" i="41" s="1"/>
  <c r="BM23" i="11"/>
  <c r="BN23" i="11"/>
  <c r="BA53" i="14"/>
  <c r="AZ53" i="14"/>
  <c r="AT40" i="27"/>
  <c r="AU40" i="27"/>
  <c r="AV40" i="27" s="1"/>
  <c r="AW40" i="27" s="1"/>
  <c r="AP40" i="27" s="1"/>
  <c r="BJ41" i="41" s="1"/>
  <c r="AQ12" i="23"/>
  <c r="AR12" i="23"/>
  <c r="AS12" i="23" s="1"/>
  <c r="AT12" i="23" s="1"/>
  <c r="AM12" i="23" s="1"/>
  <c r="BS13" i="41" s="1"/>
  <c r="AU26" i="35"/>
  <c r="AV26" i="35" s="1"/>
  <c r="AW26" i="35" s="1"/>
  <c r="AP26" i="35" s="1"/>
  <c r="BA27" i="41" s="1"/>
  <c r="AT26" i="35"/>
  <c r="AZ31" i="19"/>
  <c r="BA31" i="19"/>
  <c r="BB31" i="19" s="1"/>
  <c r="BC31" i="19" s="1"/>
  <c r="AV31" i="19" s="1"/>
  <c r="AX32" i="41" s="1"/>
  <c r="AZ23" i="15"/>
  <c r="BA23" i="15"/>
  <c r="BE20" i="13"/>
  <c r="BD20" i="13"/>
  <c r="AX33" i="12"/>
  <c r="AY33" i="12"/>
  <c r="AZ33" i="12" s="1"/>
  <c r="BF24" i="26"/>
  <c r="BG24" i="26"/>
  <c r="AX45" i="34"/>
  <c r="AY45" i="34"/>
  <c r="AZ45" i="34" s="1"/>
  <c r="AZ45" i="14"/>
  <c r="BA45" i="14"/>
  <c r="AX24" i="33"/>
  <c r="AY24" i="33" s="1"/>
  <c r="AW24" i="33"/>
  <c r="AO23" i="17"/>
  <c r="AP23" i="17" s="1"/>
  <c r="AQ23" i="17" s="1"/>
  <c r="AJ23" i="17" s="1"/>
  <c r="AR24" i="41" s="1"/>
  <c r="AN23" i="17"/>
  <c r="AX10" i="33"/>
  <c r="AY10" i="33" s="1"/>
  <c r="AW10" i="33"/>
  <c r="AY52" i="12"/>
  <c r="AZ52" i="12" s="1"/>
  <c r="AX52" i="12"/>
  <c r="AX36" i="34"/>
  <c r="AY36" i="34"/>
  <c r="AZ36" i="34" s="1"/>
  <c r="AU36" i="35"/>
  <c r="AV36" i="35" s="1"/>
  <c r="AW36" i="35" s="1"/>
  <c r="AP36" i="35" s="1"/>
  <c r="BA37" i="41" s="1"/>
  <c r="AT36" i="35"/>
  <c r="BM37" i="11"/>
  <c r="BN37" i="11"/>
  <c r="AQ32" i="20"/>
  <c r="AR32" i="20"/>
  <c r="AS32" i="20" s="1"/>
  <c r="AT32" i="20" s="1"/>
  <c r="AM32" i="20" s="1"/>
  <c r="BG33" i="41" s="1"/>
  <c r="AZ18" i="14"/>
  <c r="BA18" i="14"/>
  <c r="AX19" i="12"/>
  <c r="AY19" i="12"/>
  <c r="AZ19" i="12" s="1"/>
  <c r="BF32" i="26"/>
  <c r="BG32" i="26"/>
  <c r="BF52" i="26"/>
  <c r="BG52" i="26"/>
  <c r="AT26" i="27"/>
  <c r="AU26" i="27"/>
  <c r="AV26" i="27" s="1"/>
  <c r="AW26" i="27" s="1"/>
  <c r="AP26" i="27" s="1"/>
  <c r="BJ27" i="41" s="1"/>
  <c r="AN52" i="17"/>
  <c r="AO52" i="17"/>
  <c r="AP52" i="17" s="1"/>
  <c r="AQ52" i="17" s="1"/>
  <c r="AJ52" i="17" s="1"/>
  <c r="AR53" i="41" s="1"/>
  <c r="BE44" i="13"/>
  <c r="BD44" i="13"/>
  <c r="BF28" i="26"/>
  <c r="BG28" i="26"/>
  <c r="BN9" i="11"/>
  <c r="BM9" i="11"/>
  <c r="AQ23" i="22"/>
  <c r="AR23" i="22"/>
  <c r="AS23" i="22" s="1"/>
  <c r="AT23" i="22" s="1"/>
  <c r="AM23" i="22" s="1"/>
  <c r="BP24" i="41" s="1"/>
  <c r="BE10" i="10"/>
  <c r="BF10" i="10"/>
  <c r="AQ50" i="20"/>
  <c r="AR50" i="20"/>
  <c r="AS50" i="20" s="1"/>
  <c r="AT50" i="20" s="1"/>
  <c r="AM50" i="20" s="1"/>
  <c r="BG51" i="41" s="1"/>
  <c r="BE42" i="13"/>
  <c r="BD42" i="13"/>
  <c r="BG12" i="26"/>
  <c r="BF12" i="26"/>
  <c r="AX52" i="34"/>
  <c r="AY52" i="34"/>
  <c r="AZ52" i="34" s="1"/>
  <c r="AN25" i="17"/>
  <c r="AO25" i="17"/>
  <c r="AP25" i="17" s="1"/>
  <c r="AQ25" i="17" s="1"/>
  <c r="AJ25" i="17" s="1"/>
  <c r="AR26" i="41" s="1"/>
  <c r="AT42" i="35"/>
  <c r="AU42" i="35"/>
  <c r="AV42" i="35" s="1"/>
  <c r="AW42" i="35" s="1"/>
  <c r="AP42" i="35" s="1"/>
  <c r="BA43" i="41" s="1"/>
  <c r="BN7" i="11"/>
  <c r="BM7" i="11"/>
  <c r="AX37" i="12"/>
  <c r="AY37" i="12"/>
  <c r="AY34" i="34"/>
  <c r="AZ34" i="34" s="1"/>
  <c r="AX34" i="34"/>
  <c r="AW37" i="33"/>
  <c r="AX37" i="33"/>
  <c r="AY37" i="33" s="1"/>
  <c r="BM15" i="11"/>
  <c r="BN15" i="11"/>
  <c r="BF18" i="10"/>
  <c r="BE18" i="10"/>
  <c r="AT14" i="7"/>
  <c r="AS14" i="7"/>
  <c r="AR27" i="21"/>
  <c r="AS27" i="21" s="1"/>
  <c r="AT27" i="21" s="1"/>
  <c r="AM27" i="21" s="1"/>
  <c r="BM28" i="41" s="1"/>
  <c r="AQ27" i="21"/>
  <c r="AZ23" i="14"/>
  <c r="BA23" i="14"/>
  <c r="BM36" i="11"/>
  <c r="BN36" i="11"/>
  <c r="AQ54" i="20"/>
  <c r="AR54" i="20"/>
  <c r="AU15" i="35"/>
  <c r="AV15" i="35" s="1"/>
  <c r="AW15" i="35" s="1"/>
  <c r="AP15" i="35" s="1"/>
  <c r="BA16" i="41" s="1"/>
  <c r="AT15" i="35"/>
  <c r="AX44" i="12"/>
  <c r="AY44" i="12"/>
  <c r="AZ44" i="12" s="1"/>
  <c r="AO36" i="17"/>
  <c r="AP36" i="17" s="1"/>
  <c r="AQ36" i="17" s="1"/>
  <c r="AJ36" i="17" s="1"/>
  <c r="AR37" i="41" s="1"/>
  <c r="AN36" i="17"/>
  <c r="AX11" i="34"/>
  <c r="AX18" i="34"/>
  <c r="AY18" i="34"/>
  <c r="AZ18" i="34" s="1"/>
  <c r="BF50" i="10"/>
  <c r="BE50" i="10"/>
  <c r="AR52" i="23"/>
  <c r="AS52" i="23" s="1"/>
  <c r="AT52" i="23" s="1"/>
  <c r="AM52" i="23" s="1"/>
  <c r="BS53" i="41" s="1"/>
  <c r="AQ52" i="23"/>
  <c r="AQ26" i="36"/>
  <c r="AR26" i="36"/>
  <c r="AS26" i="36" s="1"/>
  <c r="AT26" i="36" s="1"/>
  <c r="AM26" i="36" s="1"/>
  <c r="BD27" i="41" s="1"/>
  <c r="AT11" i="35"/>
  <c r="AU11" i="35"/>
  <c r="AV11" i="35" s="1"/>
  <c r="AW11" i="35" s="1"/>
  <c r="AP11" i="35" s="1"/>
  <c r="BA12" i="41" s="1"/>
  <c r="AO35" i="17"/>
  <c r="AP35" i="17" s="1"/>
  <c r="AQ35" i="17" s="1"/>
  <c r="AJ35" i="17" s="1"/>
  <c r="AR36" i="41" s="1"/>
  <c r="AN35" i="17"/>
  <c r="AX35" i="33"/>
  <c r="AY35" i="33" s="1"/>
  <c r="AW35" i="33"/>
  <c r="BM16" i="11"/>
  <c r="BN16" i="11"/>
  <c r="BF7" i="10"/>
  <c r="BE7" i="10"/>
  <c r="AO16" i="17"/>
  <c r="AP16" i="17" s="1"/>
  <c r="AQ16" i="17" s="1"/>
  <c r="AJ16" i="17" s="1"/>
  <c r="AR17" i="41" s="1"/>
  <c r="AN16" i="17"/>
  <c r="AX7" i="34"/>
  <c r="AY7" i="34"/>
  <c r="BA18" i="15"/>
  <c r="AZ18" i="15"/>
  <c r="AY38" i="12"/>
  <c r="AZ38" i="12" s="1"/>
  <c r="AX38" i="12"/>
  <c r="AN50" i="17"/>
  <c r="AO50" i="17"/>
  <c r="AP50" i="17" s="1"/>
  <c r="AQ50" i="17" s="1"/>
  <c r="AJ50" i="17" s="1"/>
  <c r="AR51" i="41" s="1"/>
  <c r="AX53" i="34"/>
  <c r="AY53" i="34"/>
  <c r="AZ53" i="34" s="1"/>
  <c r="AS5" i="7"/>
  <c r="AX48" i="33"/>
  <c r="AY48" i="33" s="1"/>
  <c r="AW48" i="33"/>
  <c r="BF10" i="26"/>
  <c r="BG10" i="26"/>
  <c r="BM46" i="11"/>
  <c r="BN46" i="11"/>
  <c r="EE18" i="1"/>
  <c r="EF50" i="1"/>
  <c r="EG50" i="1" s="1"/>
  <c r="EE50" i="1"/>
  <c r="BF14" i="10"/>
  <c r="BG14" i="26"/>
  <c r="BF14" i="26"/>
  <c r="AU32" i="35"/>
  <c r="AV32" i="35" s="1"/>
  <c r="AW32" i="35" s="1"/>
  <c r="AP32" i="35" s="1"/>
  <c r="BA33" i="41" s="1"/>
  <c r="AT32" i="35"/>
  <c r="BF46" i="10"/>
  <c r="BG46" i="26"/>
  <c r="BF46" i="26"/>
  <c r="AY8" i="12"/>
  <c r="AZ46" i="19"/>
  <c r="BA46" i="19"/>
  <c r="BB46" i="19" s="1"/>
  <c r="BC46" i="19" s="1"/>
  <c r="AV46" i="19" s="1"/>
  <c r="AX47" i="41" s="1"/>
  <c r="AR34" i="22"/>
  <c r="AS34" i="22" s="1"/>
  <c r="AT34" i="22" s="1"/>
  <c r="AM34" i="22" s="1"/>
  <c r="BP35" i="41" s="1"/>
  <c r="AQ34" i="22"/>
  <c r="AX22" i="34"/>
  <c r="AY22" i="34"/>
  <c r="AZ22" i="34" s="1"/>
  <c r="AQ38" i="23"/>
  <c r="AR38" i="23"/>
  <c r="AS38" i="23" s="1"/>
  <c r="AT38" i="23" s="1"/>
  <c r="AM38" i="23" s="1"/>
  <c r="BS39" i="41" s="1"/>
  <c r="AQ7" i="36"/>
  <c r="AR7" i="36"/>
  <c r="AQ38" i="20"/>
  <c r="AR38" i="20"/>
  <c r="AS38" i="20" s="1"/>
  <c r="AT38" i="20" s="1"/>
  <c r="AM38" i="20" s="1"/>
  <c r="BG39" i="41" s="1"/>
  <c r="AQ38" i="21"/>
  <c r="AR38" i="21"/>
  <c r="AS38" i="21" s="1"/>
  <c r="AT38" i="21" s="1"/>
  <c r="AM38" i="21" s="1"/>
  <c r="BM39" i="41" s="1"/>
  <c r="AZ19" i="18"/>
  <c r="BA19" i="18"/>
  <c r="BB19" i="18" s="1"/>
  <c r="BC19" i="18" s="1"/>
  <c r="AV19" i="18" s="1"/>
  <c r="AU20" i="41" s="1"/>
  <c r="AN37" i="17"/>
  <c r="AO37" i="17"/>
  <c r="AP37" i="17" s="1"/>
  <c r="AQ37" i="17" s="1"/>
  <c r="AJ37" i="17" s="1"/>
  <c r="AR38" i="41" s="1"/>
  <c r="AX53" i="33"/>
  <c r="AY53" i="33" s="1"/>
  <c r="AW53" i="33"/>
  <c r="AQ28" i="22"/>
  <c r="AR28" i="22"/>
  <c r="AS28" i="22" s="1"/>
  <c r="AT28" i="22" s="1"/>
  <c r="AM28" i="22" s="1"/>
  <c r="BP29" i="41" s="1"/>
  <c r="BA25" i="19"/>
  <c r="BB25" i="19" s="1"/>
  <c r="BC25" i="19" s="1"/>
  <c r="AV25" i="19" s="1"/>
  <c r="AX26" i="41" s="1"/>
  <c r="AZ25" i="19"/>
  <c r="AZ52" i="14"/>
  <c r="BA52" i="14"/>
  <c r="AR46" i="22"/>
  <c r="AS46" i="22" s="1"/>
  <c r="AT46" i="22" s="1"/>
  <c r="AM46" i="22" s="1"/>
  <c r="BP47" i="41" s="1"/>
  <c r="AQ46" i="22"/>
  <c r="BA48" i="19"/>
  <c r="BB48" i="19" s="1"/>
  <c r="BC48" i="19" s="1"/>
  <c r="AV48" i="19" s="1"/>
  <c r="AX49" i="41" s="1"/>
  <c r="AZ48" i="19"/>
  <c r="BA23" i="18"/>
  <c r="BB23" i="18" s="1"/>
  <c r="BC23" i="18" s="1"/>
  <c r="AV23" i="18" s="1"/>
  <c r="AU24" i="41" s="1"/>
  <c r="AZ23" i="18"/>
  <c r="AQ43" i="21"/>
  <c r="AR43" i="21"/>
  <c r="AS43" i="21" s="1"/>
  <c r="AT43" i="21" s="1"/>
  <c r="AM43" i="21" s="1"/>
  <c r="BM44" i="41" s="1"/>
  <c r="BG54" i="26"/>
  <c r="BF54" i="26"/>
  <c r="AT51" i="27"/>
  <c r="AU51" i="27"/>
  <c r="AV51" i="27" s="1"/>
  <c r="AW51" i="27" s="1"/>
  <c r="AP51" i="27" s="1"/>
  <c r="BJ52" i="41" s="1"/>
  <c r="AR31" i="20"/>
  <c r="AS31" i="20" s="1"/>
  <c r="AT31" i="20" s="1"/>
  <c r="AM31" i="20" s="1"/>
  <c r="BG32" i="41" s="1"/>
  <c r="AQ31" i="20"/>
  <c r="AR8" i="36"/>
  <c r="AS8" i="36" s="1"/>
  <c r="AT8" i="36" s="1"/>
  <c r="AM8" i="36" s="1"/>
  <c r="BD9" i="41" s="1"/>
  <c r="AQ8" i="36"/>
  <c r="AU21" i="27"/>
  <c r="AV21" i="27" s="1"/>
  <c r="AW21" i="27" s="1"/>
  <c r="AP21" i="27" s="1"/>
  <c r="BJ22" i="41" s="1"/>
  <c r="AT21" i="27"/>
  <c r="AZ17" i="19"/>
  <c r="BA17" i="19"/>
  <c r="BB17" i="19" s="1"/>
  <c r="BC17" i="19" s="1"/>
  <c r="AV17" i="19" s="1"/>
  <c r="AX18" i="41" s="1"/>
  <c r="AT12" i="35"/>
  <c r="AU12" i="35"/>
  <c r="AV12" i="35" s="1"/>
  <c r="AW12" i="35" s="1"/>
  <c r="AP12" i="35" s="1"/>
  <c r="BA13" i="41" s="1"/>
  <c r="AO43" i="17"/>
  <c r="AP43" i="17" s="1"/>
  <c r="AQ43" i="17" s="1"/>
  <c r="AJ43" i="17" s="1"/>
  <c r="AR44" i="41" s="1"/>
  <c r="AN43" i="17"/>
  <c r="BD52" i="13"/>
  <c r="AT12" i="7"/>
  <c r="AS12" i="7"/>
  <c r="AR50" i="21"/>
  <c r="AS50" i="21" s="1"/>
  <c r="AT50" i="21" s="1"/>
  <c r="AM50" i="21" s="1"/>
  <c r="BM51" i="41" s="1"/>
  <c r="AQ50" i="21"/>
  <c r="BA13" i="15"/>
  <c r="AZ13" i="15"/>
  <c r="AX32" i="33"/>
  <c r="AY32" i="33" s="1"/>
  <c r="AW32" i="33"/>
  <c r="AR17" i="20"/>
  <c r="AS17" i="20" s="1"/>
  <c r="AT17" i="20" s="1"/>
  <c r="AM17" i="20" s="1"/>
  <c r="BG18" i="41" s="1"/>
  <c r="AQ17" i="20"/>
  <c r="AR15" i="21"/>
  <c r="AS15" i="21" s="1"/>
  <c r="AT15" i="21" s="1"/>
  <c r="AM15" i="21" s="1"/>
  <c r="BM16" i="41" s="1"/>
  <c r="AQ15" i="21"/>
  <c r="AR37" i="23"/>
  <c r="AS37" i="23" s="1"/>
  <c r="AT37" i="23" s="1"/>
  <c r="AM37" i="23" s="1"/>
  <c r="BS38" i="41" s="1"/>
  <c r="AQ37" i="23"/>
  <c r="BA10" i="15"/>
  <c r="AZ10" i="15"/>
  <c r="AY27" i="34"/>
  <c r="AZ27" i="34" s="1"/>
  <c r="AX27" i="34"/>
  <c r="AR26" i="20"/>
  <c r="AS26" i="20" s="1"/>
  <c r="AT26" i="20" s="1"/>
  <c r="AM26" i="20" s="1"/>
  <c r="BG27" i="41" s="1"/>
  <c r="AQ26" i="20"/>
  <c r="AY32" i="34"/>
  <c r="AZ32" i="34" s="1"/>
  <c r="AX32" i="34"/>
  <c r="AX5" i="34"/>
  <c r="AY5" i="34"/>
  <c r="BA39" i="14"/>
  <c r="AZ39" i="14"/>
  <c r="BG51" i="26"/>
  <c r="BF51" i="26"/>
  <c r="AX8" i="34"/>
  <c r="AY8" i="34"/>
  <c r="AT13" i="7"/>
  <c r="AS13" i="7"/>
  <c r="BM35" i="11"/>
  <c r="BN35" i="11"/>
  <c r="AY36" i="12"/>
  <c r="AX36" i="12"/>
  <c r="AR44" i="22"/>
  <c r="AS44" i="22" s="1"/>
  <c r="AT44" i="22" s="1"/>
  <c r="AM44" i="22" s="1"/>
  <c r="BP45" i="41" s="1"/>
  <c r="AQ44" i="22"/>
  <c r="BG36" i="26"/>
  <c r="BF36" i="26"/>
  <c r="BN54" i="11"/>
  <c r="BM54" i="11"/>
  <c r="AY43" i="12"/>
  <c r="AZ43" i="12" s="1"/>
  <c r="AX43" i="12"/>
  <c r="AT25" i="35"/>
  <c r="AU25" i="35"/>
  <c r="AV25" i="35" s="1"/>
  <c r="AW25" i="35" s="1"/>
  <c r="AP25" i="35" s="1"/>
  <c r="BA26" i="41" s="1"/>
  <c r="BE54" i="10"/>
  <c r="BF54" i="10"/>
  <c r="BA9" i="18"/>
  <c r="BB9" i="18" s="1"/>
  <c r="BC9" i="18" s="1"/>
  <c r="AV9" i="18" s="1"/>
  <c r="AU10" i="41" s="1"/>
  <c r="AZ9" i="18"/>
  <c r="BA11" i="19"/>
  <c r="BB11" i="19" s="1"/>
  <c r="BC11" i="19" s="1"/>
  <c r="AV11" i="19" s="1"/>
  <c r="AX12" i="41" s="1"/>
  <c r="AZ11" i="19"/>
  <c r="BA30" i="18"/>
  <c r="BB30" i="18" s="1"/>
  <c r="BC30" i="18" s="1"/>
  <c r="AV30" i="18" s="1"/>
  <c r="AU31" i="41" s="1"/>
  <c r="AZ30" i="18"/>
  <c r="AQ15" i="20"/>
  <c r="AR15" i="20"/>
  <c r="AS15" i="20" s="1"/>
  <c r="AT15" i="20" s="1"/>
  <c r="AM15" i="20" s="1"/>
  <c r="BG16" i="41" s="1"/>
  <c r="BF15" i="10"/>
  <c r="BE15" i="10"/>
  <c r="AY22" i="12"/>
  <c r="AZ22" i="12" s="1"/>
  <c r="AX22" i="12"/>
  <c r="AU53" i="35"/>
  <c r="AV53" i="35" s="1"/>
  <c r="AW53" i="35" s="1"/>
  <c r="AP53" i="35" s="1"/>
  <c r="BA54" i="41" s="1"/>
  <c r="AT53" i="35"/>
  <c r="AO9" i="17"/>
  <c r="AP9" i="17" s="1"/>
  <c r="AQ9" i="17" s="1"/>
  <c r="AJ9" i="17" s="1"/>
  <c r="AR10" i="41" s="1"/>
  <c r="AN9" i="17"/>
  <c r="AR28" i="23"/>
  <c r="AS28" i="23" s="1"/>
  <c r="AT28" i="23" s="1"/>
  <c r="AM28" i="23" s="1"/>
  <c r="BS29" i="41" s="1"/>
  <c r="AQ28" i="23"/>
  <c r="AQ39" i="21"/>
  <c r="AR39" i="21"/>
  <c r="AS39" i="21" s="1"/>
  <c r="AT39" i="21" s="1"/>
  <c r="AM39" i="21" s="1"/>
  <c r="BM40" i="41" s="1"/>
  <c r="BA39" i="15"/>
  <c r="AZ39" i="15"/>
  <c r="BG21" i="26"/>
  <c r="BF21" i="26"/>
  <c r="AY25" i="12"/>
  <c r="AZ25" i="12" s="1"/>
  <c r="AX25" i="12"/>
  <c r="BN28" i="11"/>
  <c r="BM28" i="11"/>
  <c r="AT30" i="7"/>
  <c r="AS30" i="7"/>
  <c r="AQ10" i="23"/>
  <c r="AR10" i="23"/>
  <c r="AS10" i="23" s="1"/>
  <c r="AT10" i="23" s="1"/>
  <c r="AM10" i="23" s="1"/>
  <c r="BS11" i="41" s="1"/>
  <c r="AN33" i="17"/>
  <c r="AO33" i="17"/>
  <c r="AP33" i="17" s="1"/>
  <c r="AQ33" i="17" s="1"/>
  <c r="AJ33" i="17" s="1"/>
  <c r="AR34" i="41" s="1"/>
  <c r="AX35" i="34"/>
  <c r="AY35" i="34"/>
  <c r="AZ35" i="34" s="1"/>
  <c r="AT6" i="35"/>
  <c r="AU6" i="35"/>
  <c r="BF29" i="26"/>
  <c r="BG29" i="26"/>
  <c r="AW39" i="33"/>
  <c r="AX39" i="33"/>
  <c r="AY39" i="33" s="1"/>
  <c r="AQ32" i="36"/>
  <c r="AR32" i="36"/>
  <c r="AS32" i="36" s="1"/>
  <c r="AT32" i="36" s="1"/>
  <c r="AM32" i="36" s="1"/>
  <c r="BD33" i="41" s="1"/>
  <c r="AR44" i="36"/>
  <c r="AS44" i="36" s="1"/>
  <c r="AT44" i="36" s="1"/>
  <c r="AM44" i="36" s="1"/>
  <c r="BD45" i="41" s="1"/>
  <c r="AQ44" i="36"/>
  <c r="AY53" i="12"/>
  <c r="AZ53" i="12" s="1"/>
  <c r="AX53" i="12"/>
  <c r="AY28" i="34"/>
  <c r="AZ28" i="34" s="1"/>
  <c r="AX28" i="34"/>
  <c r="BM8" i="11"/>
  <c r="BN8" i="11"/>
  <c r="AZ29" i="15"/>
  <c r="BA29" i="15"/>
  <c r="BA16" i="14"/>
  <c r="AZ16" i="14"/>
  <c r="AY35" i="12"/>
  <c r="AZ35" i="12" s="1"/>
  <c r="AX35" i="12"/>
  <c r="BF32" i="10"/>
  <c r="BE32" i="10"/>
  <c r="AT10" i="35"/>
  <c r="AU10" i="35"/>
  <c r="AV10" i="35" s="1"/>
  <c r="AW10" i="35" s="1"/>
  <c r="AP10" i="35" s="1"/>
  <c r="BA11" i="41" s="1"/>
  <c r="AN13" i="17"/>
  <c r="AO13" i="17"/>
  <c r="AP13" i="17" s="1"/>
  <c r="AQ13" i="17" s="1"/>
  <c r="AJ13" i="17" s="1"/>
  <c r="AR14" i="41" s="1"/>
  <c r="BD40" i="13"/>
  <c r="BE40" i="13"/>
  <c r="AW17" i="33"/>
  <c r="AX17" i="33"/>
  <c r="AY17" i="33" s="1"/>
  <c r="BF34" i="10"/>
  <c r="BE34" i="10"/>
  <c r="AQ44" i="23"/>
  <c r="AR44" i="23"/>
  <c r="AS44" i="23" s="1"/>
  <c r="AT44" i="23" s="1"/>
  <c r="AM44" i="23" s="1"/>
  <c r="BS45" i="41" s="1"/>
  <c r="AU54" i="35"/>
  <c r="AT54" i="35"/>
  <c r="AZ42" i="14"/>
  <c r="BA42" i="14"/>
  <c r="BE52" i="10"/>
  <c r="BF52" i="10"/>
  <c r="AO11" i="17"/>
  <c r="AP11" i="17" s="1"/>
  <c r="AQ11" i="17" s="1"/>
  <c r="AJ11" i="17" s="1"/>
  <c r="AR12" i="41" s="1"/>
  <c r="AN11" i="17"/>
  <c r="BN29" i="11"/>
  <c r="BM29" i="11"/>
  <c r="BM52" i="11"/>
  <c r="BN52" i="11"/>
  <c r="AQ33" i="21"/>
  <c r="AR33" i="21"/>
  <c r="AS33" i="21" s="1"/>
  <c r="AT33" i="21" s="1"/>
  <c r="AM33" i="21" s="1"/>
  <c r="BM34" i="41" s="1"/>
  <c r="AZ47" i="14"/>
  <c r="BA47" i="14"/>
  <c r="AX39" i="34"/>
  <c r="AY39" i="34"/>
  <c r="AZ39" i="34" s="1"/>
  <c r="BE36" i="10"/>
  <c r="BF36" i="10"/>
  <c r="AZ33" i="15"/>
  <c r="BA33" i="15"/>
  <c r="AR10" i="36"/>
  <c r="AS10" i="36" s="1"/>
  <c r="AT10" i="36" s="1"/>
  <c r="AM10" i="36" s="1"/>
  <c r="BD11" i="41" s="1"/>
  <c r="AQ10" i="36"/>
  <c r="BA52" i="15"/>
  <c r="BB52" i="15" s="1"/>
  <c r="AZ52" i="15"/>
  <c r="BF47" i="10"/>
  <c r="BE47" i="10"/>
  <c r="AN42" i="17"/>
  <c r="AO42" i="17"/>
  <c r="AP42" i="17" s="1"/>
  <c r="AQ42" i="17" s="1"/>
  <c r="AJ42" i="17" s="1"/>
  <c r="AR43" i="41" s="1"/>
  <c r="AX42" i="12"/>
  <c r="AY42" i="12"/>
  <c r="BE42" i="10"/>
  <c r="BF42" i="10"/>
  <c r="BA22" i="14"/>
  <c r="AZ22" i="14"/>
  <c r="BF38" i="26"/>
  <c r="BG38" i="26"/>
  <c r="BE30" i="10"/>
  <c r="BF30" i="10"/>
  <c r="AY6" i="34"/>
  <c r="AX6" i="34"/>
  <c r="BD29" i="13"/>
  <c r="BE29" i="13"/>
  <c r="AZ6" i="15"/>
  <c r="BA6" i="15"/>
  <c r="AR5" i="36"/>
  <c r="AQ5" i="36"/>
  <c r="EE15" i="1"/>
  <c r="BD5" i="13"/>
  <c r="BE5" i="13"/>
  <c r="BA30" i="14"/>
  <c r="AZ30" i="14"/>
  <c r="AZ34" i="18"/>
  <c r="BA34" i="18"/>
  <c r="BB34" i="18" s="1"/>
  <c r="BC34" i="18" s="1"/>
  <c r="AV34" i="18" s="1"/>
  <c r="AU35" i="41" s="1"/>
  <c r="BE22" i="10"/>
  <c r="BD13" i="13"/>
  <c r="AR39" i="36"/>
  <c r="AS39" i="36" s="1"/>
  <c r="AT39" i="36" s="1"/>
  <c r="AM39" i="36" s="1"/>
  <c r="BD40" i="41" s="1"/>
  <c r="AQ39" i="36"/>
  <c r="EE33" i="1"/>
  <c r="BE27" i="13"/>
  <c r="AR18" i="22"/>
  <c r="AS18" i="22" s="1"/>
  <c r="AT18" i="22" s="1"/>
  <c r="AM18" i="22" s="1"/>
  <c r="BP19" i="41" s="1"/>
  <c r="AQ18" i="22"/>
  <c r="AR31" i="36"/>
  <c r="AS31" i="36" s="1"/>
  <c r="AT31" i="36" s="1"/>
  <c r="AM31" i="36" s="1"/>
  <c r="BD32" i="41" s="1"/>
  <c r="AQ31" i="36"/>
  <c r="AR9" i="22"/>
  <c r="AS9" i="22" s="1"/>
  <c r="AT9" i="22" s="1"/>
  <c r="AM9" i="22" s="1"/>
  <c r="BP10" i="41" s="1"/>
  <c r="AQ9" i="22"/>
  <c r="AZ53" i="15"/>
  <c r="BA53" i="15"/>
  <c r="AT50" i="27"/>
  <c r="AU50" i="27"/>
  <c r="AV50" i="27" s="1"/>
  <c r="AW50" i="27" s="1"/>
  <c r="AP50" i="27" s="1"/>
  <c r="BJ51" i="41" s="1"/>
  <c r="AR19" i="23"/>
  <c r="AS19" i="23" s="1"/>
  <c r="AT19" i="23" s="1"/>
  <c r="AM19" i="23" s="1"/>
  <c r="BS20" i="41" s="1"/>
  <c r="AQ19" i="23"/>
  <c r="AR44" i="20"/>
  <c r="AS44" i="20" s="1"/>
  <c r="AT44" i="20" s="1"/>
  <c r="AM44" i="20" s="1"/>
  <c r="BG45" i="41" s="1"/>
  <c r="AQ44" i="20"/>
  <c r="AQ38" i="36"/>
  <c r="AR38" i="36"/>
  <c r="AS38" i="36" s="1"/>
  <c r="AT38" i="36" s="1"/>
  <c r="AM38" i="36" s="1"/>
  <c r="BD39" i="41" s="1"/>
  <c r="AZ32" i="18"/>
  <c r="BA32" i="18"/>
  <c r="BB32" i="18" s="1"/>
  <c r="BC32" i="18" s="1"/>
  <c r="AV32" i="18" s="1"/>
  <c r="AU33" i="41" s="1"/>
  <c r="BA40" i="18"/>
  <c r="BB40" i="18" s="1"/>
  <c r="BC40" i="18" s="1"/>
  <c r="AV40" i="18" s="1"/>
  <c r="AU41" i="41" s="1"/>
  <c r="AZ40" i="18"/>
  <c r="AZ34" i="15"/>
  <c r="BA34" i="15"/>
  <c r="AR50" i="36"/>
  <c r="AS50" i="36" s="1"/>
  <c r="AT50" i="36" s="1"/>
  <c r="AM50" i="36" s="1"/>
  <c r="BD51" i="41" s="1"/>
  <c r="AQ50" i="36"/>
  <c r="AU52" i="27"/>
  <c r="AV52" i="27" s="1"/>
  <c r="AW52" i="27" s="1"/>
  <c r="AP52" i="27" s="1"/>
  <c r="BJ53" i="41" s="1"/>
  <c r="AT52" i="27"/>
  <c r="AR50" i="23"/>
  <c r="AS50" i="23" s="1"/>
  <c r="AT50" i="23" s="1"/>
  <c r="AM50" i="23" s="1"/>
  <c r="BS51" i="41" s="1"/>
  <c r="AQ50" i="23"/>
  <c r="AR52" i="22"/>
  <c r="AS52" i="22" s="1"/>
  <c r="AT52" i="22" s="1"/>
  <c r="AM52" i="22" s="1"/>
  <c r="BP53" i="41" s="1"/>
  <c r="AQ52" i="22"/>
  <c r="AT43" i="27"/>
  <c r="AU43" i="27"/>
  <c r="AV43" i="27" s="1"/>
  <c r="AW43" i="27" s="1"/>
  <c r="AP43" i="27" s="1"/>
  <c r="BJ44" i="41" s="1"/>
  <c r="AR36" i="20"/>
  <c r="AS36" i="20" s="1"/>
  <c r="AT36" i="20" s="1"/>
  <c r="AM36" i="20" s="1"/>
  <c r="BG37" i="41" s="1"/>
  <c r="AQ36" i="20"/>
  <c r="AT18" i="35"/>
  <c r="AU18" i="35"/>
  <c r="AV18" i="35" s="1"/>
  <c r="AW18" i="35" s="1"/>
  <c r="AP18" i="35" s="1"/>
  <c r="BA19" i="41" s="1"/>
  <c r="AX51" i="34"/>
  <c r="AY51" i="34"/>
  <c r="AZ51" i="34" s="1"/>
  <c r="AR43" i="23"/>
  <c r="AS43" i="23" s="1"/>
  <c r="AT43" i="23" s="1"/>
  <c r="AM43" i="23" s="1"/>
  <c r="BS44" i="41" s="1"/>
  <c r="AQ43" i="23"/>
  <c r="AR20" i="23"/>
  <c r="AS20" i="23" s="1"/>
  <c r="AT20" i="23" s="1"/>
  <c r="AM20" i="23" s="1"/>
  <c r="BS21" i="41" s="1"/>
  <c r="AQ20" i="23"/>
  <c r="AQ29" i="23"/>
  <c r="AR29" i="23"/>
  <c r="AS29" i="23" s="1"/>
  <c r="AT29" i="23" s="1"/>
  <c r="AM29" i="23" s="1"/>
  <c r="BS30" i="41" s="1"/>
  <c r="AZ16" i="15"/>
  <c r="BA16" i="15"/>
  <c r="AR15" i="22"/>
  <c r="AS15" i="22" s="1"/>
  <c r="AT15" i="22" s="1"/>
  <c r="AM15" i="22" s="1"/>
  <c r="BP16" i="41" s="1"/>
  <c r="AQ15" i="22"/>
  <c r="AR37" i="20"/>
  <c r="AS37" i="20" s="1"/>
  <c r="AT37" i="20" s="1"/>
  <c r="AM37" i="20" s="1"/>
  <c r="BG38" i="41" s="1"/>
  <c r="AQ37" i="20"/>
  <c r="AQ42" i="23"/>
  <c r="AR42" i="23"/>
  <c r="AS42" i="23" s="1"/>
  <c r="AT42" i="23" s="1"/>
  <c r="AM42" i="23" s="1"/>
  <c r="BS43" i="41" s="1"/>
  <c r="AR21" i="22"/>
  <c r="AS21" i="22" s="1"/>
  <c r="AT21" i="22" s="1"/>
  <c r="AM21" i="22" s="1"/>
  <c r="BP22" i="41" s="1"/>
  <c r="AQ21" i="22"/>
  <c r="AR47" i="20"/>
  <c r="AS47" i="20" s="1"/>
  <c r="AT47" i="20" s="1"/>
  <c r="AM47" i="20" s="1"/>
  <c r="BG48" i="41" s="1"/>
  <c r="AQ47" i="20"/>
  <c r="AO8" i="17"/>
  <c r="AP8" i="17" s="1"/>
  <c r="AQ8" i="17" s="1"/>
  <c r="AJ8" i="17" s="1"/>
  <c r="AR9" i="41" s="1"/>
  <c r="AN8" i="17"/>
  <c r="AR54" i="22"/>
  <c r="AQ54" i="22"/>
  <c r="BA29" i="18"/>
  <c r="BB29" i="18" s="1"/>
  <c r="BC29" i="18" s="1"/>
  <c r="AV29" i="18" s="1"/>
  <c r="AU30" i="41" s="1"/>
  <c r="AZ29" i="18"/>
  <c r="AT46" i="7"/>
  <c r="AS46" i="7"/>
  <c r="BD50" i="13"/>
  <c r="BE50" i="13"/>
  <c r="AZ20" i="14"/>
  <c r="BA20" i="14"/>
  <c r="AW18" i="33"/>
  <c r="AX18" i="33"/>
  <c r="AY18" i="33" s="1"/>
  <c r="AU48" i="35"/>
  <c r="AV48" i="35" s="1"/>
  <c r="AW48" i="35" s="1"/>
  <c r="AP48" i="35" s="1"/>
  <c r="BA49" i="41" s="1"/>
  <c r="AT48" i="35"/>
  <c r="AZ7" i="18"/>
  <c r="BA7" i="18"/>
  <c r="BB7" i="18" s="1"/>
  <c r="BC7" i="18" s="1"/>
  <c r="AV7" i="18" s="1"/>
  <c r="AU8" i="41" s="1"/>
  <c r="AW45" i="33"/>
  <c r="AX45" i="33"/>
  <c r="AY45" i="33" s="1"/>
  <c r="AQ31" i="22"/>
  <c r="AR31" i="22"/>
  <c r="AS31" i="22" s="1"/>
  <c r="AT31" i="22" s="1"/>
  <c r="AM31" i="22" s="1"/>
  <c r="BP32" i="41" s="1"/>
  <c r="AR25" i="21"/>
  <c r="AS25" i="21" s="1"/>
  <c r="AT25" i="21" s="1"/>
  <c r="AM25" i="21" s="1"/>
  <c r="BM26" i="41" s="1"/>
  <c r="AQ25" i="21"/>
  <c r="AU34" i="27"/>
  <c r="AV34" i="27" s="1"/>
  <c r="AW34" i="27" s="1"/>
  <c r="AP34" i="27" s="1"/>
  <c r="BJ35" i="41" s="1"/>
  <c r="AT34" i="27"/>
  <c r="AR12" i="20"/>
  <c r="AS12" i="20" s="1"/>
  <c r="AT12" i="20" s="1"/>
  <c r="AM12" i="20" s="1"/>
  <c r="BG13" i="41" s="1"/>
  <c r="AQ12" i="20"/>
  <c r="AQ6" i="22"/>
  <c r="AR6" i="22"/>
  <c r="AQ7" i="20"/>
  <c r="AR7" i="20"/>
  <c r="AR33" i="23"/>
  <c r="AS33" i="23" s="1"/>
  <c r="AT33" i="23" s="1"/>
  <c r="AM33" i="23" s="1"/>
  <c r="BS34" i="41" s="1"/>
  <c r="AQ33" i="23"/>
  <c r="AR31" i="21"/>
  <c r="AS31" i="21" s="1"/>
  <c r="AT31" i="21" s="1"/>
  <c r="AM31" i="21" s="1"/>
  <c r="BM32" i="41" s="1"/>
  <c r="AQ31" i="21"/>
  <c r="AR5" i="21"/>
  <c r="AQ5" i="21"/>
  <c r="AU33" i="27"/>
  <c r="AV33" i="27" s="1"/>
  <c r="AW33" i="27" s="1"/>
  <c r="AP33" i="27" s="1"/>
  <c r="BJ34" i="41" s="1"/>
  <c r="AT33" i="27"/>
  <c r="AT8" i="27"/>
  <c r="AU8" i="27"/>
  <c r="AV8" i="27" s="1"/>
  <c r="AW8" i="27" s="1"/>
  <c r="AP8" i="27" s="1"/>
  <c r="BJ9" i="41" s="1"/>
  <c r="AQ11" i="20"/>
  <c r="AR11" i="20"/>
  <c r="AS11" i="20" s="1"/>
  <c r="AT11" i="20" s="1"/>
  <c r="AM11" i="20" s="1"/>
  <c r="BG12" i="41" s="1"/>
  <c r="AR11" i="23"/>
  <c r="AS11" i="23" s="1"/>
  <c r="AT11" i="23" s="1"/>
  <c r="AM11" i="23" s="1"/>
  <c r="BS12" i="41" s="1"/>
  <c r="AQ11" i="23"/>
  <c r="AQ11" i="22"/>
  <c r="AR11" i="22"/>
  <c r="AS11" i="22" s="1"/>
  <c r="AT11" i="22" s="1"/>
  <c r="AM11" i="22" s="1"/>
  <c r="BP12" i="41" s="1"/>
  <c r="AR36" i="21"/>
  <c r="AS36" i="21" s="1"/>
  <c r="AT36" i="21" s="1"/>
  <c r="AM36" i="21" s="1"/>
  <c r="BM37" i="41" s="1"/>
  <c r="AQ36" i="21"/>
  <c r="AU16" i="27"/>
  <c r="AV16" i="27" s="1"/>
  <c r="AW16" i="27" s="1"/>
  <c r="AP16" i="27" s="1"/>
  <c r="BJ17" i="41" s="1"/>
  <c r="AT16" i="27"/>
  <c r="AU49" i="35"/>
  <c r="AV49" i="35" s="1"/>
  <c r="AW49" i="35" s="1"/>
  <c r="AP49" i="35" s="1"/>
  <c r="BA50" i="41" s="1"/>
  <c r="AT49" i="35"/>
  <c r="AZ35" i="19"/>
  <c r="BA35" i="19"/>
  <c r="BB35" i="19" s="1"/>
  <c r="BC35" i="19" s="1"/>
  <c r="AV35" i="19" s="1"/>
  <c r="AX36" i="41" s="1"/>
  <c r="AZ24" i="15"/>
  <c r="BA24" i="15"/>
  <c r="AR50" i="22"/>
  <c r="AS50" i="22" s="1"/>
  <c r="AT50" i="22" s="1"/>
  <c r="AM50" i="22" s="1"/>
  <c r="BP51" i="41" s="1"/>
  <c r="AQ50" i="22"/>
  <c r="AQ34" i="21"/>
  <c r="AR34" i="21"/>
  <c r="AS34" i="21" s="1"/>
  <c r="AT34" i="21" s="1"/>
  <c r="AM34" i="21" s="1"/>
  <c r="BM35" i="41" s="1"/>
  <c r="AT30" i="27"/>
  <c r="AU30" i="27"/>
  <c r="AV30" i="27" s="1"/>
  <c r="AW30" i="27" s="1"/>
  <c r="AP30" i="27" s="1"/>
  <c r="BJ31" i="41" s="1"/>
  <c r="AR16" i="20"/>
  <c r="AS16" i="20" s="1"/>
  <c r="AT16" i="20" s="1"/>
  <c r="AM16" i="20" s="1"/>
  <c r="BG17" i="41" s="1"/>
  <c r="AQ16" i="20"/>
  <c r="AT29" i="35"/>
  <c r="AU29" i="35"/>
  <c r="AV29" i="35" s="1"/>
  <c r="AW29" i="35" s="1"/>
  <c r="AP29" i="35" s="1"/>
  <c r="BA30" i="41" s="1"/>
  <c r="AZ24" i="18"/>
  <c r="BA24" i="18"/>
  <c r="BB24" i="18" s="1"/>
  <c r="BC24" i="18" s="1"/>
  <c r="AV24" i="18" s="1"/>
  <c r="AU25" i="41" s="1"/>
  <c r="AN10" i="17"/>
  <c r="AO10" i="17"/>
  <c r="AP10" i="17" s="1"/>
  <c r="AQ10" i="17" s="1"/>
  <c r="AJ10" i="17" s="1"/>
  <c r="AR11" i="41" s="1"/>
  <c r="AZ17" i="15"/>
  <c r="BA17" i="15"/>
  <c r="BA26" i="14"/>
  <c r="AZ26" i="14"/>
  <c r="AQ28" i="21"/>
  <c r="AR28" i="21"/>
  <c r="AS28" i="21" s="1"/>
  <c r="AT28" i="21" s="1"/>
  <c r="AM28" i="21" s="1"/>
  <c r="BM29" i="41" s="1"/>
  <c r="AZ40" i="14"/>
  <c r="BA40" i="14"/>
  <c r="AU37" i="35"/>
  <c r="AV37" i="35" s="1"/>
  <c r="AW37" i="35" s="1"/>
  <c r="AP37" i="35" s="1"/>
  <c r="BA38" i="41" s="1"/>
  <c r="AT37" i="35"/>
  <c r="AY15" i="34"/>
  <c r="AZ15" i="34" s="1"/>
  <c r="AX15" i="34"/>
  <c r="AQ19" i="22"/>
  <c r="AR19" i="22"/>
  <c r="AS19" i="22" s="1"/>
  <c r="AT19" i="22" s="1"/>
  <c r="AM19" i="22" s="1"/>
  <c r="BP20" i="41" s="1"/>
  <c r="AZ22" i="18"/>
  <c r="BA22" i="18"/>
  <c r="BB22" i="18" s="1"/>
  <c r="BC22" i="18" s="1"/>
  <c r="AV22" i="18" s="1"/>
  <c r="AU23" i="41" s="1"/>
  <c r="AX42" i="34"/>
  <c r="AY42" i="34"/>
  <c r="AZ42" i="34" s="1"/>
  <c r="AT41" i="27"/>
  <c r="AU41" i="27"/>
  <c r="AV41" i="27" s="1"/>
  <c r="AW41" i="27" s="1"/>
  <c r="AP41" i="27" s="1"/>
  <c r="BJ42" i="41" s="1"/>
  <c r="BA24" i="14"/>
  <c r="AZ24" i="14"/>
  <c r="BG25" i="26"/>
  <c r="BF25" i="26"/>
  <c r="AQ36" i="22"/>
  <c r="AR36" i="22"/>
  <c r="AS36" i="22" s="1"/>
  <c r="AT36" i="22" s="1"/>
  <c r="AM36" i="22" s="1"/>
  <c r="BP37" i="41" s="1"/>
  <c r="AZ52" i="19"/>
  <c r="BA52" i="19"/>
  <c r="BB52" i="19" s="1"/>
  <c r="BC52" i="19" s="1"/>
  <c r="AV52" i="19" s="1"/>
  <c r="AX53" i="41" s="1"/>
  <c r="AZ31" i="18"/>
  <c r="BA31" i="18"/>
  <c r="BB31" i="18" s="1"/>
  <c r="BC31" i="18" s="1"/>
  <c r="AV31" i="18" s="1"/>
  <c r="AU32" i="41" s="1"/>
  <c r="AN15" i="17"/>
  <c r="AO15" i="17"/>
  <c r="AP15" i="17" s="1"/>
  <c r="AQ15" i="17" s="1"/>
  <c r="AJ15" i="17" s="1"/>
  <c r="AR16" i="41" s="1"/>
  <c r="AR9" i="23"/>
  <c r="AS9" i="23" s="1"/>
  <c r="AT9" i="23" s="1"/>
  <c r="AM9" i="23" s="1"/>
  <c r="BS10" i="41" s="1"/>
  <c r="AQ9" i="23"/>
  <c r="AR27" i="20"/>
  <c r="AS27" i="20" s="1"/>
  <c r="AT27" i="20" s="1"/>
  <c r="AM27" i="20" s="1"/>
  <c r="BG28" i="41" s="1"/>
  <c r="AQ27" i="20"/>
  <c r="BA37" i="19"/>
  <c r="BB37" i="19" s="1"/>
  <c r="BC37" i="19" s="1"/>
  <c r="AV37" i="19" s="1"/>
  <c r="AX38" i="41" s="1"/>
  <c r="AZ37" i="19"/>
  <c r="AZ39" i="18"/>
  <c r="BA39" i="18"/>
  <c r="BB39" i="18" s="1"/>
  <c r="BC39" i="18" s="1"/>
  <c r="AV39" i="18" s="1"/>
  <c r="AU40" i="41" s="1"/>
  <c r="BA45" i="19"/>
  <c r="BB45" i="19" s="1"/>
  <c r="BC45" i="19" s="1"/>
  <c r="AV45" i="19" s="1"/>
  <c r="AX46" i="41" s="1"/>
  <c r="AZ45" i="19"/>
  <c r="BA49" i="14"/>
  <c r="AZ49" i="14"/>
  <c r="BG5" i="26"/>
  <c r="BF5" i="26"/>
  <c r="AW16" i="33"/>
  <c r="AX16" i="33"/>
  <c r="AY16" i="33" s="1"/>
  <c r="AO19" i="17"/>
  <c r="AP19" i="17" s="1"/>
  <c r="AQ19" i="17" s="1"/>
  <c r="AJ19" i="17" s="1"/>
  <c r="AR20" i="41" s="1"/>
  <c r="AN19" i="17"/>
  <c r="AQ33" i="20"/>
  <c r="AR33" i="20"/>
  <c r="AS33" i="20" s="1"/>
  <c r="AT33" i="20" s="1"/>
  <c r="AM33" i="20" s="1"/>
  <c r="BG34" i="41" s="1"/>
  <c r="BA36" i="14"/>
  <c r="AZ36" i="14"/>
  <c r="AQ53" i="23"/>
  <c r="AR53" i="23"/>
  <c r="AS53" i="23" s="1"/>
  <c r="AT53" i="23" s="1"/>
  <c r="AM53" i="23" s="1"/>
  <c r="BS54" i="41" s="1"/>
  <c r="AZ15" i="19"/>
  <c r="BA15" i="19"/>
  <c r="BB15" i="19" s="1"/>
  <c r="BC15" i="19" s="1"/>
  <c r="AV15" i="19" s="1"/>
  <c r="AX16" i="41" s="1"/>
  <c r="BA54" i="14"/>
  <c r="AZ54" i="14"/>
  <c r="AX5" i="12"/>
  <c r="AX21" i="33"/>
  <c r="AY21" i="33" s="1"/>
  <c r="AW21" i="33"/>
  <c r="AU42" i="27"/>
  <c r="AV42" i="27" s="1"/>
  <c r="AW42" i="27" s="1"/>
  <c r="AP42" i="27" s="1"/>
  <c r="BJ43" i="41" s="1"/>
  <c r="AT42" i="27"/>
  <c r="AQ22" i="36"/>
  <c r="AR22" i="36"/>
  <c r="AS22" i="36" s="1"/>
  <c r="AT22" i="36" s="1"/>
  <c r="AM22" i="36" s="1"/>
  <c r="BD23" i="41" s="1"/>
  <c r="BA41" i="19"/>
  <c r="BB41" i="19" s="1"/>
  <c r="BC41" i="19" s="1"/>
  <c r="AV41" i="19" s="1"/>
  <c r="AX42" i="41" s="1"/>
  <c r="AZ41" i="19"/>
  <c r="AY43" i="34"/>
  <c r="AZ43" i="34" s="1"/>
  <c r="AX43" i="34"/>
  <c r="AT34" i="7"/>
  <c r="AS34" i="7"/>
  <c r="BA8" i="15"/>
  <c r="BB8" i="15" s="1"/>
  <c r="AZ8" i="15"/>
  <c r="BG16" i="26"/>
  <c r="BF16" i="26"/>
  <c r="AW27" i="33"/>
  <c r="AX27" i="33"/>
  <c r="AY27" i="33" s="1"/>
  <c r="AQ48" i="36"/>
  <c r="AR48" i="36"/>
  <c r="AS48" i="36" s="1"/>
  <c r="AT48" i="36" s="1"/>
  <c r="AM48" i="36" s="1"/>
  <c r="BD49" i="41" s="1"/>
  <c r="BA47" i="19"/>
  <c r="BB47" i="19" s="1"/>
  <c r="BC47" i="19" s="1"/>
  <c r="AV47" i="19" s="1"/>
  <c r="AX48" i="41" s="1"/>
  <c r="AZ47" i="19"/>
  <c r="AN29" i="17"/>
  <c r="AO29" i="17"/>
  <c r="AP29" i="17" s="1"/>
  <c r="AQ29" i="17" s="1"/>
  <c r="AJ29" i="17" s="1"/>
  <c r="AR30" i="41" s="1"/>
  <c r="BA35" i="14"/>
  <c r="AW23" i="33"/>
  <c r="AX23" i="33"/>
  <c r="AY23" i="33" s="1"/>
  <c r="AT52" i="7"/>
  <c r="AS52" i="7"/>
  <c r="AT22" i="35"/>
  <c r="AU22" i="35"/>
  <c r="AV22" i="35" s="1"/>
  <c r="AW22" i="35" s="1"/>
  <c r="AP22" i="35" s="1"/>
  <c r="BA23" i="41" s="1"/>
  <c r="AZ21" i="15"/>
  <c r="BA21" i="15"/>
  <c r="BB21" i="15" s="1"/>
  <c r="BE8" i="10"/>
  <c r="BF8" i="10"/>
  <c r="AZ29" i="14"/>
  <c r="BA29" i="14"/>
  <c r="AY26" i="34"/>
  <c r="AZ26" i="34" s="1"/>
  <c r="AX26" i="34"/>
  <c r="AT17" i="35"/>
  <c r="AU17" i="35"/>
  <c r="AV17" i="35" s="1"/>
  <c r="AW17" i="35" s="1"/>
  <c r="AP17" i="35" s="1"/>
  <c r="BA18" i="41" s="1"/>
  <c r="BF48" i="10"/>
  <c r="BE48" i="10"/>
  <c r="AN7" i="17"/>
  <c r="AO7" i="17"/>
  <c r="AP7" i="17" s="1"/>
  <c r="AQ7" i="17" s="1"/>
  <c r="AJ7" i="17" s="1"/>
  <c r="AR8" i="41" s="1"/>
  <c r="BM12" i="11"/>
  <c r="BN12" i="11"/>
  <c r="BA44" i="19"/>
  <c r="BB44" i="19" s="1"/>
  <c r="BC44" i="19" s="1"/>
  <c r="AV44" i="19" s="1"/>
  <c r="AX45" i="41" s="1"/>
  <c r="AZ44" i="19"/>
  <c r="BA41" i="18"/>
  <c r="BB41" i="18" s="1"/>
  <c r="BC41" i="18" s="1"/>
  <c r="AV41" i="18" s="1"/>
  <c r="AU42" i="41" s="1"/>
  <c r="AZ41" i="18"/>
  <c r="AR13" i="20"/>
  <c r="AS13" i="20" s="1"/>
  <c r="AT13" i="20" s="1"/>
  <c r="AM13" i="20" s="1"/>
  <c r="BG14" i="41" s="1"/>
  <c r="AQ13" i="20"/>
  <c r="BA45" i="18"/>
  <c r="BB45" i="18" s="1"/>
  <c r="BC45" i="18" s="1"/>
  <c r="AV45" i="18" s="1"/>
  <c r="AU46" i="41" s="1"/>
  <c r="AZ45" i="18"/>
  <c r="AN47" i="17"/>
  <c r="AO47" i="17"/>
  <c r="AP47" i="17" s="1"/>
  <c r="AQ47" i="17" s="1"/>
  <c r="AJ47" i="17" s="1"/>
  <c r="AR48" i="41" s="1"/>
  <c r="AN21" i="17"/>
  <c r="AO21" i="17"/>
  <c r="AP21" i="17" s="1"/>
  <c r="AQ21" i="17" s="1"/>
  <c r="AJ21" i="17" s="1"/>
  <c r="AR22" i="41" s="1"/>
  <c r="BA49" i="15"/>
  <c r="AZ49" i="15"/>
  <c r="AZ25" i="15"/>
  <c r="BA25" i="15"/>
  <c r="AR8" i="23"/>
  <c r="AS8" i="23" s="1"/>
  <c r="AT8" i="23" s="1"/>
  <c r="AM8" i="23" s="1"/>
  <c r="BS9" i="41" s="1"/>
  <c r="AQ8" i="23"/>
  <c r="AR9" i="21"/>
  <c r="AS9" i="21" s="1"/>
  <c r="AT9" i="21" s="1"/>
  <c r="AM9" i="21" s="1"/>
  <c r="BM10" i="41" s="1"/>
  <c r="AQ9" i="21"/>
  <c r="AQ18" i="36"/>
  <c r="AR18" i="36"/>
  <c r="AS18" i="36" s="1"/>
  <c r="AT18" i="36" s="1"/>
  <c r="AM18" i="36" s="1"/>
  <c r="BD19" i="41" s="1"/>
  <c r="BA50" i="15"/>
  <c r="BB50" i="15" s="1"/>
  <c r="AZ50" i="15"/>
  <c r="BE12" i="13"/>
  <c r="BD12" i="13"/>
  <c r="BF34" i="26"/>
  <c r="BG34" i="26"/>
  <c r="BF9" i="26"/>
  <c r="BG9" i="26"/>
  <c r="AY11" i="12"/>
  <c r="AX11" i="12"/>
  <c r="BN40" i="11"/>
  <c r="BM40" i="11"/>
  <c r="BE44" i="10"/>
  <c r="BF44" i="10"/>
  <c r="AS45" i="7"/>
  <c r="AT45" i="7"/>
  <c r="AU13" i="27"/>
  <c r="AV13" i="27" s="1"/>
  <c r="AW13" i="27" s="1"/>
  <c r="AP13" i="27" s="1"/>
  <c r="BJ14" i="41" s="1"/>
  <c r="AT13" i="27"/>
  <c r="AT52" i="35"/>
  <c r="AU52" i="35"/>
  <c r="AV52" i="35" s="1"/>
  <c r="AW52" i="35" s="1"/>
  <c r="AP52" i="35" s="1"/>
  <c r="BA53" i="41" s="1"/>
  <c r="AZ54" i="19"/>
  <c r="BA54" i="19"/>
  <c r="BA5" i="19"/>
  <c r="AZ5" i="19"/>
  <c r="BA27" i="18"/>
  <c r="BB27" i="18" s="1"/>
  <c r="BC27" i="18" s="1"/>
  <c r="AV27" i="18" s="1"/>
  <c r="AU28" i="41" s="1"/>
  <c r="AZ27" i="18"/>
  <c r="BF49" i="26"/>
  <c r="BG49" i="26"/>
  <c r="BN13" i="11"/>
  <c r="BM13" i="11"/>
  <c r="BF16" i="10"/>
  <c r="BE16" i="10"/>
  <c r="AR39" i="22"/>
  <c r="AS39" i="22" s="1"/>
  <c r="AT39" i="22" s="1"/>
  <c r="AM39" i="22" s="1"/>
  <c r="BP40" i="41" s="1"/>
  <c r="AQ39" i="22"/>
  <c r="AN49" i="17"/>
  <c r="AO49" i="17"/>
  <c r="AP49" i="17" s="1"/>
  <c r="AQ49" i="17" s="1"/>
  <c r="AJ49" i="17" s="1"/>
  <c r="AR50" i="41" s="1"/>
  <c r="AZ26" i="15"/>
  <c r="BA26" i="15"/>
  <c r="BG18" i="26"/>
  <c r="BF18" i="26"/>
  <c r="AW50" i="33"/>
  <c r="AX50" i="33"/>
  <c r="AY50" i="33" s="1"/>
  <c r="AQ20" i="21"/>
  <c r="AR20" i="21"/>
  <c r="AS20" i="21" s="1"/>
  <c r="AT20" i="21" s="1"/>
  <c r="AM20" i="21" s="1"/>
  <c r="BM21" i="41" s="1"/>
  <c r="AZ12" i="19"/>
  <c r="BA12" i="19"/>
  <c r="BB12" i="19" s="1"/>
  <c r="BC12" i="19" s="1"/>
  <c r="AV12" i="19" s="1"/>
  <c r="AX13" i="41" s="1"/>
  <c r="BA5" i="15"/>
  <c r="AZ5" i="15"/>
  <c r="BD34" i="13"/>
  <c r="AX28" i="12"/>
  <c r="AY28" i="12"/>
  <c r="BM53" i="11"/>
  <c r="BN53" i="11"/>
  <c r="BE26" i="13"/>
  <c r="BD26" i="13"/>
  <c r="BG43" i="26"/>
  <c r="BF43" i="26"/>
  <c r="AS26" i="7"/>
  <c r="AT26" i="7"/>
  <c r="BN50" i="11"/>
  <c r="BM50" i="11"/>
  <c r="AY13" i="12"/>
  <c r="BG15" i="26"/>
  <c r="BF15" i="26"/>
  <c r="AY40" i="34"/>
  <c r="AZ40" i="34" s="1"/>
  <c r="AX40" i="34"/>
  <c r="AX44" i="33"/>
  <c r="AY44" i="33" s="1"/>
  <c r="AW44" i="33"/>
  <c r="BE24" i="10"/>
  <c r="BF24" i="10"/>
  <c r="AT17" i="27"/>
  <c r="AU17" i="27"/>
  <c r="AV17" i="27" s="1"/>
  <c r="AW17" i="27" s="1"/>
  <c r="AP17" i="27" s="1"/>
  <c r="BJ18" i="41" s="1"/>
  <c r="AQ20" i="36"/>
  <c r="AR20" i="36"/>
  <c r="AS20" i="36" s="1"/>
  <c r="AT20" i="36" s="1"/>
  <c r="AM20" i="36" s="1"/>
  <c r="BD21" i="41" s="1"/>
  <c r="AT9" i="35"/>
  <c r="AU9" i="35"/>
  <c r="AV9" i="35" s="1"/>
  <c r="AW9" i="35" s="1"/>
  <c r="AP9" i="35" s="1"/>
  <c r="BA10" i="41" s="1"/>
  <c r="AN18" i="17"/>
  <c r="AO18" i="17"/>
  <c r="AP18" i="17" s="1"/>
  <c r="AQ18" i="17" s="1"/>
  <c r="AJ18" i="17" s="1"/>
  <c r="AR19" i="41" s="1"/>
  <c r="AZ28" i="14"/>
  <c r="BA28" i="14"/>
  <c r="BE54" i="13"/>
  <c r="BD54" i="13"/>
  <c r="BG53" i="26"/>
  <c r="BF53" i="26"/>
  <c r="AX15" i="12"/>
  <c r="AY15" i="12"/>
  <c r="BM42" i="11"/>
  <c r="BN42" i="11"/>
  <c r="BM19" i="11"/>
  <c r="AQ43" i="22"/>
  <c r="AR43" i="22"/>
  <c r="AS43" i="22" s="1"/>
  <c r="AT43" i="22" s="1"/>
  <c r="AM43" i="22" s="1"/>
  <c r="BP44" i="41" s="1"/>
  <c r="AT18" i="27"/>
  <c r="AU18" i="27"/>
  <c r="AV18" i="27" s="1"/>
  <c r="AW18" i="27" s="1"/>
  <c r="AP18" i="27" s="1"/>
  <c r="BJ19" i="41" s="1"/>
  <c r="AR52" i="36"/>
  <c r="AS52" i="36" s="1"/>
  <c r="AT52" i="36" s="1"/>
  <c r="AM52" i="36" s="1"/>
  <c r="BD53" i="41" s="1"/>
  <c r="AQ52" i="36"/>
  <c r="AO53" i="17"/>
  <c r="AP53" i="17" s="1"/>
  <c r="AQ53" i="17" s="1"/>
  <c r="AJ53" i="17" s="1"/>
  <c r="AR54" i="41" s="1"/>
  <c r="AN53" i="17"/>
  <c r="AZ36" i="15"/>
  <c r="BA36" i="15"/>
  <c r="BD10" i="13"/>
  <c r="BE10" i="13"/>
  <c r="BF23" i="26"/>
  <c r="BG23" i="26"/>
  <c r="AW54" i="33"/>
  <c r="AX54" i="33"/>
  <c r="BM43" i="11"/>
  <c r="BN43" i="11"/>
  <c r="BE17" i="10"/>
  <c r="BF17" i="10"/>
  <c r="BA28" i="19"/>
  <c r="BB28" i="19" s="1"/>
  <c r="BC28" i="19" s="1"/>
  <c r="AV28" i="19" s="1"/>
  <c r="AX29" i="41" s="1"/>
  <c r="AZ28" i="19"/>
  <c r="BF19" i="26"/>
  <c r="BG19" i="26"/>
  <c r="AX33" i="34"/>
  <c r="AY33" i="34"/>
  <c r="AZ33" i="34" s="1"/>
  <c r="AS48" i="7"/>
  <c r="AT48" i="7"/>
  <c r="AR40" i="22"/>
  <c r="AS40" i="22" s="1"/>
  <c r="AT40" i="22" s="1"/>
  <c r="AM40" i="22" s="1"/>
  <c r="BP41" i="41" s="1"/>
  <c r="AQ40" i="22"/>
  <c r="AT46" i="35"/>
  <c r="AU46" i="35"/>
  <c r="AV46" i="35" s="1"/>
  <c r="AW46" i="35" s="1"/>
  <c r="AP46" i="35" s="1"/>
  <c r="BA47" i="41" s="1"/>
  <c r="AN45" i="17"/>
  <c r="AO45" i="17"/>
  <c r="AP45" i="17" s="1"/>
  <c r="AQ45" i="17" s="1"/>
  <c r="AJ45" i="17" s="1"/>
  <c r="AR46" i="41" s="1"/>
  <c r="AY30" i="12"/>
  <c r="AX30" i="12"/>
  <c r="AX49" i="34"/>
  <c r="AY49" i="34"/>
  <c r="AZ49" i="34" s="1"/>
  <c r="AX40" i="33"/>
  <c r="AY40" i="33" s="1"/>
  <c r="AW40" i="33"/>
  <c r="BN33" i="11"/>
  <c r="BM33" i="11"/>
  <c r="AS33" i="7"/>
  <c r="AT33" i="7"/>
  <c r="AZ21" i="18"/>
  <c r="BA21" i="18"/>
  <c r="BB21" i="18" s="1"/>
  <c r="BC21" i="18" s="1"/>
  <c r="AV21" i="18" s="1"/>
  <c r="AU22" i="41" s="1"/>
  <c r="BA5" i="18"/>
  <c r="AZ5" i="18"/>
  <c r="AW42" i="33"/>
  <c r="AX42" i="33"/>
  <c r="AY42" i="33" s="1"/>
  <c r="AT39" i="27"/>
  <c r="AU39" i="27"/>
  <c r="AV39" i="27" s="1"/>
  <c r="AW39" i="27" s="1"/>
  <c r="AP39" i="27" s="1"/>
  <c r="BJ40" i="41" s="1"/>
  <c r="AZ15" i="14"/>
  <c r="BA15" i="14"/>
  <c r="AR52" i="21"/>
  <c r="AS52" i="21" s="1"/>
  <c r="AT52" i="21" s="1"/>
  <c r="AM52" i="21" s="1"/>
  <c r="BM53" i="41" s="1"/>
  <c r="AQ52" i="21"/>
  <c r="BA53" i="18"/>
  <c r="BB53" i="18" s="1"/>
  <c r="BC53" i="18" s="1"/>
  <c r="AV53" i="18" s="1"/>
  <c r="AU54" i="41" s="1"/>
  <c r="AZ53" i="18"/>
  <c r="AZ9" i="14"/>
  <c r="BA9" i="14"/>
  <c r="AW51" i="33"/>
  <c r="AX51" i="33"/>
  <c r="AY51" i="33" s="1"/>
  <c r="BM44" i="11"/>
  <c r="BN44" i="11"/>
  <c r="BF35" i="10"/>
  <c r="BE35" i="10"/>
  <c r="AR34" i="20"/>
  <c r="AS34" i="20" s="1"/>
  <c r="AT34" i="20" s="1"/>
  <c r="AM34" i="20" s="1"/>
  <c r="BG35" i="41" s="1"/>
  <c r="AQ34" i="20"/>
  <c r="AY54" i="34"/>
  <c r="AX54" i="34"/>
  <c r="AR53" i="22"/>
  <c r="AS53" i="22" s="1"/>
  <c r="AT53" i="22" s="1"/>
  <c r="AM53" i="22" s="1"/>
  <c r="BP54" i="41" s="1"/>
  <c r="AQ53" i="22"/>
  <c r="AR48" i="20"/>
  <c r="AS48" i="20" s="1"/>
  <c r="AT48" i="20" s="1"/>
  <c r="AM48" i="20" s="1"/>
  <c r="BG49" i="41" s="1"/>
  <c r="AQ48" i="20"/>
  <c r="AR48" i="21"/>
  <c r="AS48" i="21" s="1"/>
  <c r="AT48" i="21" s="1"/>
  <c r="AM48" i="21" s="1"/>
  <c r="BM49" i="41" s="1"/>
  <c r="AQ48" i="21"/>
  <c r="AX23" i="34"/>
  <c r="AY23" i="34"/>
  <c r="AZ23" i="34" s="1"/>
  <c r="AW26" i="33"/>
  <c r="AX26" i="33"/>
  <c r="AY26" i="33" s="1"/>
  <c r="AZ7" i="15"/>
  <c r="BA7" i="15"/>
  <c r="AX9" i="33"/>
  <c r="AY9" i="33" s="1"/>
  <c r="AW9" i="33"/>
  <c r="AS54" i="7"/>
  <c r="AT54" i="7"/>
  <c r="AZ48" i="15"/>
  <c r="BA48" i="15"/>
  <c r="BM30" i="11"/>
  <c r="BN30" i="11"/>
  <c r="AS19" i="7"/>
  <c r="AT19" i="7"/>
  <c r="AY32" i="12"/>
  <c r="AZ32" i="12" s="1"/>
  <c r="AX32" i="12"/>
  <c r="AZ42" i="18"/>
  <c r="BA42" i="18"/>
  <c r="BB42" i="18" s="1"/>
  <c r="BC42" i="18" s="1"/>
  <c r="AV42" i="18" s="1"/>
  <c r="AU43" i="41" s="1"/>
  <c r="EF12" i="1"/>
  <c r="EE12" i="1"/>
  <c r="BD21" i="13"/>
  <c r="BE21" i="13"/>
  <c r="AQ17" i="36"/>
  <c r="AR17" i="36"/>
  <c r="AS17" i="36" s="1"/>
  <c r="AT17" i="36" s="1"/>
  <c r="AM17" i="36" s="1"/>
  <c r="BD18" i="41" s="1"/>
  <c r="AQ22" i="21"/>
  <c r="AR22" i="21"/>
  <c r="AS22" i="21" s="1"/>
  <c r="AT22" i="21" s="1"/>
  <c r="AM22" i="21" s="1"/>
  <c r="BM23" i="41" s="1"/>
  <c r="EE6" i="1"/>
  <c r="EF38" i="1"/>
  <c r="EE38" i="1"/>
  <c r="EF16" i="1"/>
  <c r="EG16" i="1" s="1"/>
  <c r="AT43" i="7"/>
  <c r="AS43" i="7"/>
  <c r="BN6" i="11"/>
  <c r="BM6" i="11"/>
  <c r="AW30" i="33"/>
  <c r="AX30" i="33"/>
  <c r="AY30" i="33" s="1"/>
  <c r="BE33" i="13"/>
  <c r="BD33" i="13"/>
  <c r="BA10" i="18"/>
  <c r="BB10" i="18" s="1"/>
  <c r="BC10" i="18" s="1"/>
  <c r="AV10" i="18" s="1"/>
  <c r="AU11" i="41" s="1"/>
  <c r="AZ10" i="18"/>
  <c r="EF47" i="1"/>
  <c r="EE47" i="1"/>
  <c r="BM38" i="11"/>
  <c r="BN38" i="11"/>
  <c r="AY18" i="12"/>
  <c r="AX18" i="12"/>
  <c r="BG30" i="26"/>
  <c r="BF30" i="26"/>
  <c r="BD9" i="13"/>
  <c r="BE9" i="13"/>
  <c r="BD39" i="13"/>
  <c r="BE39" i="13"/>
  <c r="AO30" i="17"/>
  <c r="AP30" i="17" s="1"/>
  <c r="AQ30" i="17" s="1"/>
  <c r="AJ30" i="17" s="1"/>
  <c r="AR31" i="41" s="1"/>
  <c r="AN30" i="17"/>
  <c r="AR29" i="36"/>
  <c r="AS29" i="36" s="1"/>
  <c r="AT29" i="36" s="1"/>
  <c r="AM29" i="36" s="1"/>
  <c r="BD30" i="41" s="1"/>
  <c r="AQ29" i="36"/>
  <c r="AR51" i="36"/>
  <c r="AS51" i="36" s="1"/>
  <c r="AT51" i="36" s="1"/>
  <c r="AM51" i="36" s="1"/>
  <c r="BD52" i="41" s="1"/>
  <c r="AQ51" i="36"/>
  <c r="EF40" i="1"/>
  <c r="EF19" i="1"/>
  <c r="BN14" i="11"/>
  <c r="BM14" i="11"/>
  <c r="AX22" i="33"/>
  <c r="AY22" i="33" s="1"/>
  <c r="AW22" i="33"/>
  <c r="BE47" i="13"/>
  <c r="AQ47" i="36"/>
  <c r="AR47" i="36"/>
  <c r="AS47" i="36" s="1"/>
  <c r="AT47" i="36" s="1"/>
  <c r="AM47" i="36" s="1"/>
  <c r="BD48" i="41" s="1"/>
  <c r="AR46" i="21"/>
  <c r="AS46" i="21" s="1"/>
  <c r="AT46" i="21" s="1"/>
  <c r="AM46" i="21" s="1"/>
  <c r="BM47" i="41" s="1"/>
  <c r="AQ46" i="21"/>
  <c r="EF25" i="1"/>
  <c r="EF8" i="1"/>
  <c r="BE6" i="10"/>
  <c r="BF6" i="10"/>
  <c r="AW6" i="33"/>
  <c r="AX6" i="33"/>
  <c r="BD43" i="13"/>
  <c r="BA46" i="15"/>
  <c r="AZ18" i="18"/>
  <c r="BA18" i="18"/>
  <c r="BB18" i="18" s="1"/>
  <c r="BC18" i="18" s="1"/>
  <c r="AV18" i="18" s="1"/>
  <c r="AU19" i="41" s="1"/>
  <c r="AR22" i="20"/>
  <c r="AS22" i="20" s="1"/>
  <c r="AT22" i="20" s="1"/>
  <c r="AM22" i="20" s="1"/>
  <c r="BG23" i="41" s="1"/>
  <c r="AQ22" i="20"/>
  <c r="AU40" i="35"/>
  <c r="AV40" i="35" s="1"/>
  <c r="AW40" i="35" s="1"/>
  <c r="AP40" i="35" s="1"/>
  <c r="BA41" i="41" s="1"/>
  <c r="AT40" i="35"/>
  <c r="AR15" i="36"/>
  <c r="AS15" i="36" s="1"/>
  <c r="AT15" i="36" s="1"/>
  <c r="AM15" i="36" s="1"/>
  <c r="BD16" i="41" s="1"/>
  <c r="AQ15" i="36"/>
  <c r="AQ35" i="36"/>
  <c r="AR35" i="36"/>
  <c r="AS35" i="36" s="1"/>
  <c r="AT35" i="36" s="1"/>
  <c r="AM35" i="36" s="1"/>
  <c r="BD36" i="41" s="1"/>
  <c r="AR14" i="21"/>
  <c r="AS14" i="21" s="1"/>
  <c r="AT14" i="21" s="1"/>
  <c r="AM14" i="21" s="1"/>
  <c r="BM15" i="41" s="1"/>
  <c r="AQ14" i="21"/>
  <c r="AT28" i="27"/>
  <c r="AU28" i="27"/>
  <c r="AV28" i="27" s="1"/>
  <c r="AW28" i="27" s="1"/>
  <c r="AP28" i="27" s="1"/>
  <c r="BJ29" i="41" s="1"/>
  <c r="AR10" i="22"/>
  <c r="AS10" i="22" s="1"/>
  <c r="AT10" i="22" s="1"/>
  <c r="AM10" i="22" s="1"/>
  <c r="BP11" i="41" s="1"/>
  <c r="AQ10" i="22"/>
  <c r="AR14" i="23"/>
  <c r="AS14" i="23" s="1"/>
  <c r="AT14" i="23" s="1"/>
  <c r="AM14" i="23" s="1"/>
  <c r="BS15" i="41" s="1"/>
  <c r="AQ14" i="23"/>
  <c r="AR32" i="23"/>
  <c r="AS32" i="23" s="1"/>
  <c r="AT32" i="23" s="1"/>
  <c r="AM32" i="23" s="1"/>
  <c r="BS33" i="41" s="1"/>
  <c r="AQ32" i="23"/>
  <c r="AR29" i="20"/>
  <c r="AS29" i="20" s="1"/>
  <c r="AT29" i="20" s="1"/>
  <c r="AM29" i="20" s="1"/>
  <c r="BG30" i="41" s="1"/>
  <c r="AQ29" i="20"/>
  <c r="AQ7" i="23"/>
  <c r="AR7" i="23"/>
  <c r="AQ40" i="20"/>
  <c r="AR40" i="20"/>
  <c r="AS40" i="20" s="1"/>
  <c r="AT40" i="20" s="1"/>
  <c r="AM40" i="20" s="1"/>
  <c r="BG41" i="41" s="1"/>
  <c r="AZ29" i="19"/>
  <c r="BA29" i="19"/>
  <c r="BB29" i="19" s="1"/>
  <c r="BC29" i="19" s="1"/>
  <c r="AV29" i="19" s="1"/>
  <c r="AX30" i="41" s="1"/>
  <c r="AZ17" i="18"/>
  <c r="BA17" i="18"/>
  <c r="BB17" i="18" s="1"/>
  <c r="BC17" i="18" s="1"/>
  <c r="AV17" i="18" s="1"/>
  <c r="AU18" i="41" s="1"/>
  <c r="BF17" i="26"/>
  <c r="BG17" i="26"/>
  <c r="AR44" i="21"/>
  <c r="AS44" i="21" s="1"/>
  <c r="AT44" i="21" s="1"/>
  <c r="AM44" i="21" s="1"/>
  <c r="BM45" i="41" s="1"/>
  <c r="AQ44" i="21"/>
  <c r="AR11" i="21"/>
  <c r="AS11" i="21" s="1"/>
  <c r="AT11" i="21" s="1"/>
  <c r="AM11" i="21" s="1"/>
  <c r="BM12" i="41" s="1"/>
  <c r="AQ11" i="21"/>
  <c r="AR40" i="21"/>
  <c r="AS40" i="21" s="1"/>
  <c r="AT40" i="21" s="1"/>
  <c r="AM40" i="21" s="1"/>
  <c r="BM41" i="41" s="1"/>
  <c r="AQ40" i="21"/>
  <c r="AZ31" i="15"/>
  <c r="BA31" i="15"/>
  <c r="BB31" i="15" s="1"/>
  <c r="AQ21" i="20"/>
  <c r="AR21" i="20"/>
  <c r="AS21" i="20" s="1"/>
  <c r="AT21" i="20" s="1"/>
  <c r="AM21" i="20" s="1"/>
  <c r="BG22" i="41" s="1"/>
  <c r="BA33" i="14"/>
  <c r="AZ33" i="14"/>
  <c r="AT14" i="35"/>
  <c r="AU14" i="35"/>
  <c r="AV14" i="35" s="1"/>
  <c r="AW14" i="35" s="1"/>
  <c r="AP14" i="35" s="1"/>
  <c r="BA15" i="41" s="1"/>
  <c r="AR37" i="22"/>
  <c r="AS37" i="22" s="1"/>
  <c r="AT37" i="22" s="1"/>
  <c r="AM37" i="22" s="1"/>
  <c r="BP38" i="41" s="1"/>
  <c r="AQ37" i="22"/>
  <c r="AQ25" i="20"/>
  <c r="AR25" i="20"/>
  <c r="AS25" i="20" s="1"/>
  <c r="AT25" i="20" s="1"/>
  <c r="AM25" i="20" s="1"/>
  <c r="BG26" i="41" s="1"/>
  <c r="AR51" i="21"/>
  <c r="AS51" i="21" s="1"/>
  <c r="AT51" i="21" s="1"/>
  <c r="AM51" i="21" s="1"/>
  <c r="BM52" i="41" s="1"/>
  <c r="AQ51" i="21"/>
  <c r="AN48" i="17"/>
  <c r="AO48" i="17"/>
  <c r="AP48" i="17" s="1"/>
  <c r="AQ48" i="17" s="1"/>
  <c r="AJ48" i="17" s="1"/>
  <c r="AR49" i="41" s="1"/>
  <c r="AZ51" i="18"/>
  <c r="BA51" i="18"/>
  <c r="BB51" i="18" s="1"/>
  <c r="BC51" i="18" s="1"/>
  <c r="AV51" i="18" s="1"/>
  <c r="AU52" i="41" s="1"/>
  <c r="AX16" i="34"/>
  <c r="AY16" i="34"/>
  <c r="AZ16" i="34" s="1"/>
  <c r="AQ43" i="20"/>
  <c r="AR43" i="20"/>
  <c r="AS43" i="20" s="1"/>
  <c r="AT43" i="20" s="1"/>
  <c r="AM43" i="20" s="1"/>
  <c r="BG44" i="41" s="1"/>
  <c r="AQ5" i="23"/>
  <c r="AR5" i="23"/>
  <c r="AR51" i="20"/>
  <c r="AS51" i="20" s="1"/>
  <c r="AT51" i="20" s="1"/>
  <c r="AM51" i="20" s="1"/>
  <c r="BG52" i="41" s="1"/>
  <c r="AQ51" i="20"/>
  <c r="AQ54" i="36"/>
  <c r="AR54" i="36"/>
  <c r="AR29" i="21"/>
  <c r="AS29" i="21" s="1"/>
  <c r="AT29" i="21" s="1"/>
  <c r="AM29" i="21" s="1"/>
  <c r="BM30" i="41" s="1"/>
  <c r="AQ29" i="21"/>
  <c r="AT10" i="27"/>
  <c r="AU10" i="27"/>
  <c r="AV10" i="27" s="1"/>
  <c r="AW10" i="27" s="1"/>
  <c r="AP10" i="27" s="1"/>
  <c r="BJ11" i="41" s="1"/>
  <c r="AR36" i="36"/>
  <c r="AS36" i="36" s="1"/>
  <c r="AT36" i="36" s="1"/>
  <c r="AM36" i="36" s="1"/>
  <c r="BD37" i="41" s="1"/>
  <c r="AQ36" i="36"/>
  <c r="AU7" i="35"/>
  <c r="AT7" i="35"/>
  <c r="AR8" i="21"/>
  <c r="AS8" i="21" s="1"/>
  <c r="AT8" i="21" s="1"/>
  <c r="AM8" i="21" s="1"/>
  <c r="BM9" i="41" s="1"/>
  <c r="AQ8" i="21"/>
  <c r="AX41" i="12"/>
  <c r="AY41" i="12"/>
  <c r="AZ41" i="12" s="1"/>
  <c r="AR27" i="22"/>
  <c r="AS27" i="22" s="1"/>
  <c r="AT27" i="22" s="1"/>
  <c r="AM27" i="22" s="1"/>
  <c r="BP28" i="41" s="1"/>
  <c r="AQ27" i="22"/>
  <c r="BD46" i="13"/>
  <c r="BE46" i="13"/>
  <c r="BA32" i="14"/>
  <c r="AZ32" i="14"/>
  <c r="AQ26" i="21"/>
  <c r="AR26" i="21"/>
  <c r="AS26" i="21" s="1"/>
  <c r="AT26" i="21" s="1"/>
  <c r="AM26" i="21" s="1"/>
  <c r="BM27" i="41" s="1"/>
  <c r="AQ24" i="20"/>
  <c r="AR24" i="20"/>
  <c r="AS24" i="20" s="1"/>
  <c r="AT24" i="20" s="1"/>
  <c r="AM24" i="20" s="1"/>
  <c r="BG25" i="41" s="1"/>
  <c r="AT53" i="27"/>
  <c r="AU53" i="27"/>
  <c r="AV53" i="27" s="1"/>
  <c r="AW53" i="27" s="1"/>
  <c r="AP53" i="27" s="1"/>
  <c r="BJ54" i="41" s="1"/>
  <c r="AZ54" i="18"/>
  <c r="BA54" i="18"/>
  <c r="AW31" i="33"/>
  <c r="AX31" i="33"/>
  <c r="AY31" i="33" s="1"/>
  <c r="AZ47" i="18"/>
  <c r="BA47" i="18"/>
  <c r="BB47" i="18" s="1"/>
  <c r="BC47" i="18" s="1"/>
  <c r="AV47" i="18" s="1"/>
  <c r="AU48" i="41" s="1"/>
  <c r="AU50" i="35"/>
  <c r="AV50" i="35" s="1"/>
  <c r="AW50" i="35" s="1"/>
  <c r="AP50" i="35" s="1"/>
  <c r="BA51" i="41" s="1"/>
  <c r="AT50" i="35"/>
  <c r="BA28" i="15"/>
  <c r="AZ28" i="15"/>
  <c r="BA13" i="14"/>
  <c r="AZ13" i="14"/>
  <c r="AT28" i="7"/>
  <c r="AS28" i="7"/>
  <c r="AZ40" i="19"/>
  <c r="BA40" i="19"/>
  <c r="BB40" i="19" s="1"/>
  <c r="BC40" i="19" s="1"/>
  <c r="AV40" i="19" s="1"/>
  <c r="AX41" i="41" s="1"/>
  <c r="AT22" i="27"/>
  <c r="AU22" i="27"/>
  <c r="AV22" i="27" s="1"/>
  <c r="AW22" i="27" s="1"/>
  <c r="AP22" i="27" s="1"/>
  <c r="BJ23" i="41" s="1"/>
  <c r="BN32" i="11"/>
  <c r="BM32" i="11"/>
  <c r="AX41" i="33"/>
  <c r="AY41" i="33" s="1"/>
  <c r="AW41" i="33"/>
  <c r="AS22" i="7"/>
  <c r="AT22" i="7"/>
  <c r="BA25" i="14"/>
  <c r="AZ25" i="14"/>
  <c r="AW15" i="33"/>
  <c r="AX15" i="33"/>
  <c r="AY15" i="33" s="1"/>
  <c r="BA35" i="15"/>
  <c r="AZ18" i="19"/>
  <c r="BA18" i="19"/>
  <c r="BB18" i="19" s="1"/>
  <c r="BC18" i="19" s="1"/>
  <c r="AV18" i="19" s="1"/>
  <c r="AX19" i="41" s="1"/>
  <c r="BF13" i="26"/>
  <c r="BG13" i="26"/>
  <c r="AT42" i="7"/>
  <c r="AS42" i="7"/>
  <c r="AS53" i="7"/>
  <c r="AT53" i="7"/>
  <c r="AZ43" i="14"/>
  <c r="BA43" i="14"/>
  <c r="AN40" i="17"/>
  <c r="AO40" i="17"/>
  <c r="AP40" i="17" s="1"/>
  <c r="AQ40" i="17" s="1"/>
  <c r="AJ40" i="17" s="1"/>
  <c r="AR41" i="41" s="1"/>
  <c r="AZ44" i="15"/>
  <c r="BA44" i="15"/>
  <c r="AT54" i="27"/>
  <c r="AU54" i="27"/>
  <c r="BM34" i="11"/>
  <c r="BN34" i="11"/>
  <c r="BE37" i="10"/>
  <c r="BF37" i="10"/>
  <c r="AR23" i="21"/>
  <c r="AS23" i="21" s="1"/>
  <c r="AT23" i="21" s="1"/>
  <c r="AM23" i="21" s="1"/>
  <c r="BM24" i="41" s="1"/>
  <c r="AQ23" i="21"/>
  <c r="AZ17" i="14"/>
  <c r="BA17" i="14"/>
  <c r="BG44" i="26"/>
  <c r="BF44" i="26"/>
  <c r="BE33" i="10"/>
  <c r="BF33" i="10"/>
  <c r="AZ21" i="19"/>
  <c r="BA21" i="19"/>
  <c r="BB21" i="19" s="1"/>
  <c r="BC21" i="19" s="1"/>
  <c r="AV21" i="19" s="1"/>
  <c r="AX22" i="41" s="1"/>
  <c r="AN44" i="17"/>
  <c r="AO44" i="17"/>
  <c r="AP44" i="17" s="1"/>
  <c r="AQ44" i="17" s="1"/>
  <c r="AJ44" i="17" s="1"/>
  <c r="AR45" i="41" s="1"/>
  <c r="AZ20" i="15"/>
  <c r="BA20" i="15"/>
  <c r="BB20" i="15" s="1"/>
  <c r="AY40" i="12"/>
  <c r="AX40" i="12"/>
  <c r="AU21" i="35"/>
  <c r="AV21" i="35" s="1"/>
  <c r="AW21" i="35" s="1"/>
  <c r="AP21" i="35" s="1"/>
  <c r="BA22" i="41" s="1"/>
  <c r="AT21" i="35"/>
  <c r="AZ19" i="19"/>
  <c r="BA19" i="19"/>
  <c r="BB19" i="19" s="1"/>
  <c r="BC19" i="19" s="1"/>
  <c r="AV19" i="19" s="1"/>
  <c r="AX20" i="41" s="1"/>
  <c r="AZ34" i="19"/>
  <c r="BA34" i="19"/>
  <c r="BB34" i="19" s="1"/>
  <c r="BC34" i="19" s="1"/>
  <c r="AV34" i="19" s="1"/>
  <c r="AX35" i="41" s="1"/>
  <c r="BG8" i="26"/>
  <c r="BF8" i="26"/>
  <c r="AX9" i="12"/>
  <c r="AY9" i="12"/>
  <c r="AZ9" i="12" s="1"/>
  <c r="AY9" i="34"/>
  <c r="AZ9" i="34" s="1"/>
  <c r="AX9" i="34"/>
  <c r="BF43" i="10"/>
  <c r="BE43" i="10"/>
  <c r="AT44" i="7"/>
  <c r="AS44" i="7"/>
  <c r="AQ34" i="23"/>
  <c r="AR34" i="23"/>
  <c r="AS34" i="23" s="1"/>
  <c r="AT34" i="23" s="1"/>
  <c r="AM34" i="23" s="1"/>
  <c r="BS35" i="41" s="1"/>
  <c r="AR45" i="21"/>
  <c r="AS45" i="21" s="1"/>
  <c r="AT45" i="21" s="1"/>
  <c r="AM45" i="21" s="1"/>
  <c r="BM46" i="41" s="1"/>
  <c r="AQ45" i="21"/>
  <c r="AN12" i="17"/>
  <c r="AO12" i="17"/>
  <c r="AP12" i="17" s="1"/>
  <c r="AQ12" i="17" s="1"/>
  <c r="AJ12" i="17" s="1"/>
  <c r="AR13" i="41" s="1"/>
  <c r="AY6" i="12"/>
  <c r="AX6" i="12"/>
  <c r="AQ28" i="36"/>
  <c r="AR28" i="36"/>
  <c r="AS28" i="36" s="1"/>
  <c r="AT28" i="36" s="1"/>
  <c r="AM28" i="36" s="1"/>
  <c r="BD29" i="41" s="1"/>
  <c r="AO20" i="17"/>
  <c r="AP20" i="17" s="1"/>
  <c r="AQ20" i="17" s="1"/>
  <c r="AJ20" i="17" s="1"/>
  <c r="AR21" i="41" s="1"/>
  <c r="AN20" i="17"/>
  <c r="AR19" i="21"/>
  <c r="AS19" i="21" s="1"/>
  <c r="AT19" i="21" s="1"/>
  <c r="AM19" i="21" s="1"/>
  <c r="BM20" i="41" s="1"/>
  <c r="AQ19" i="21"/>
  <c r="AU31" i="35"/>
  <c r="AV31" i="35" s="1"/>
  <c r="AW31" i="35" s="1"/>
  <c r="AP31" i="35" s="1"/>
  <c r="BA32" i="41" s="1"/>
  <c r="AT31" i="35"/>
  <c r="BD32" i="13"/>
  <c r="AU28" i="35"/>
  <c r="AV28" i="35" s="1"/>
  <c r="AW28" i="35" s="1"/>
  <c r="AP28" i="35" s="1"/>
  <c r="BA29" i="41" s="1"/>
  <c r="AT28" i="35"/>
  <c r="AT6" i="27"/>
  <c r="AU6" i="27"/>
  <c r="AT17" i="7"/>
  <c r="AS17" i="7"/>
  <c r="AT41" i="7"/>
  <c r="AS41" i="7"/>
  <c r="AT41" i="35"/>
  <c r="AU41" i="35"/>
  <c r="AV41" i="35" s="1"/>
  <c r="AW41" i="35" s="1"/>
  <c r="AP41" i="35" s="1"/>
  <c r="BA42" i="41" s="1"/>
  <c r="AX44" i="34"/>
  <c r="AY44" i="34"/>
  <c r="AZ44" i="34" s="1"/>
  <c r="BE41" i="10"/>
  <c r="BF41" i="10"/>
  <c r="AT43" i="35"/>
  <c r="AU43" i="35"/>
  <c r="AV43" i="35" s="1"/>
  <c r="AW43" i="35" s="1"/>
  <c r="AP43" i="35" s="1"/>
  <c r="BA44" i="41" s="1"/>
  <c r="BF37" i="26"/>
  <c r="BG37" i="26"/>
  <c r="BF26" i="26"/>
  <c r="BG26" i="26"/>
  <c r="AW20" i="33"/>
  <c r="AX20" i="33"/>
  <c r="AY20" i="33" s="1"/>
  <c r="BA10" i="14"/>
  <c r="AZ10" i="14"/>
  <c r="BA20" i="18"/>
  <c r="BB20" i="18" s="1"/>
  <c r="BC20" i="18" s="1"/>
  <c r="AV20" i="18" s="1"/>
  <c r="AU21" i="41" s="1"/>
  <c r="AZ20" i="18"/>
  <c r="BN39" i="11"/>
  <c r="BM39" i="11"/>
  <c r="AY12" i="34"/>
  <c r="AZ12" i="34" s="1"/>
  <c r="AX12" i="34"/>
  <c r="BA24" i="19"/>
  <c r="BB24" i="19" s="1"/>
  <c r="BC24" i="19" s="1"/>
  <c r="AV24" i="19" s="1"/>
  <c r="AX25" i="41" s="1"/>
  <c r="AZ24" i="19"/>
  <c r="AT8" i="7"/>
  <c r="EF28" i="1"/>
  <c r="EE28" i="1"/>
  <c r="BE23" i="13"/>
  <c r="BD23" i="13"/>
  <c r="AS27" i="7"/>
  <c r="AT27" i="7"/>
  <c r="AX24" i="12"/>
  <c r="AY24" i="12"/>
  <c r="AX46" i="34"/>
  <c r="AY46" i="34"/>
  <c r="AZ46" i="34" s="1"/>
  <c r="EF54" i="1"/>
  <c r="EG54" i="1" s="1"/>
  <c r="EE54" i="1"/>
  <c r="EE11" i="1"/>
  <c r="EF11" i="1"/>
  <c r="AO6" i="17"/>
  <c r="AN6" i="17"/>
  <c r="EF20" i="1"/>
  <c r="EE20" i="1"/>
  <c r="BD41" i="13"/>
  <c r="BE41" i="13"/>
  <c r="AU16" i="35"/>
  <c r="AV16" i="35" s="1"/>
  <c r="AW16" i="35" s="1"/>
  <c r="AP16" i="35" s="1"/>
  <c r="BA17" i="41" s="1"/>
  <c r="AT16" i="35"/>
  <c r="AZ14" i="15"/>
  <c r="EE53" i="1"/>
  <c r="EF21" i="1"/>
  <c r="EG21" i="1" s="1"/>
  <c r="AT15" i="7"/>
  <c r="BN22" i="11"/>
  <c r="AY10" i="12"/>
  <c r="AZ10" i="12" s="1"/>
  <c r="AX10" i="12"/>
  <c r="BE35" i="13"/>
  <c r="BA38" i="19"/>
  <c r="BB38" i="19" s="1"/>
  <c r="BC38" i="19" s="1"/>
  <c r="AV38" i="19" s="1"/>
  <c r="AX39" i="41" s="1"/>
  <c r="AZ38" i="19"/>
  <c r="AR43" i="36"/>
  <c r="AS43" i="36" s="1"/>
  <c r="AT43" i="36" s="1"/>
  <c r="AM43" i="36" s="1"/>
  <c r="BD44" i="41" s="1"/>
  <c r="AQ43" i="36"/>
  <c r="AO22" i="17"/>
  <c r="AP22" i="17" s="1"/>
  <c r="AQ22" i="17" s="1"/>
  <c r="AJ22" i="17" s="1"/>
  <c r="AR23" i="41" s="1"/>
  <c r="AN22" i="17"/>
  <c r="AT8" i="35"/>
  <c r="AU8" i="35"/>
  <c r="AV8" i="35" s="1"/>
  <c r="AW8" i="35" s="1"/>
  <c r="AP8" i="35" s="1"/>
  <c r="BA9" i="41" s="1"/>
  <c r="AR53" i="36"/>
  <c r="AS53" i="36" s="1"/>
  <c r="AT53" i="36" s="1"/>
  <c r="AM53" i="36" s="1"/>
  <c r="BD54" i="41" s="1"/>
  <c r="AQ53" i="36"/>
  <c r="AQ18" i="23"/>
  <c r="AR18" i="23"/>
  <c r="AS18" i="23" s="1"/>
  <c r="AT18" i="23" s="1"/>
  <c r="AM18" i="23" s="1"/>
  <c r="BS19" i="41" s="1"/>
  <c r="AQ16" i="36"/>
  <c r="AR16" i="36"/>
  <c r="AS16" i="36" s="1"/>
  <c r="AT16" i="36" s="1"/>
  <c r="AM16" i="36" s="1"/>
  <c r="BD17" i="41" s="1"/>
  <c r="AR12" i="36"/>
  <c r="AS12" i="36" s="1"/>
  <c r="AT12" i="36" s="1"/>
  <c r="AM12" i="36" s="1"/>
  <c r="BD13" i="41" s="1"/>
  <c r="AQ12" i="36"/>
  <c r="AT27" i="35"/>
  <c r="AU27" i="35"/>
  <c r="AV27" i="35" s="1"/>
  <c r="AW27" i="35" s="1"/>
  <c r="AP27" i="35" s="1"/>
  <c r="BA28" i="41" s="1"/>
  <c r="AQ7" i="22"/>
  <c r="AR7" i="22"/>
  <c r="BE13" i="10"/>
  <c r="BF13" i="10"/>
  <c r="AR26" i="23"/>
  <c r="AS26" i="23" s="1"/>
  <c r="AT26" i="23" s="1"/>
  <c r="AM26" i="23" s="1"/>
  <c r="BS27" i="41" s="1"/>
  <c r="AQ26" i="23"/>
  <c r="AT9" i="27"/>
  <c r="AU9" i="27"/>
  <c r="AV9" i="27" s="1"/>
  <c r="AW9" i="27" s="1"/>
  <c r="AP9" i="27" s="1"/>
  <c r="BJ10" i="41" s="1"/>
  <c r="AN27" i="17"/>
  <c r="AO27" i="17"/>
  <c r="AP27" i="17" s="1"/>
  <c r="AQ27" i="17" s="1"/>
  <c r="AJ27" i="17" s="1"/>
  <c r="AR28" i="41" s="1"/>
  <c r="BM10" i="11"/>
  <c r="BN10" i="11"/>
  <c r="AQ22" i="22"/>
  <c r="AR22" i="22"/>
  <c r="AS22" i="22" s="1"/>
  <c r="AT22" i="22" s="1"/>
  <c r="AM22" i="22" s="1"/>
  <c r="BP23" i="41" s="1"/>
  <c r="AR41" i="20"/>
  <c r="AS41" i="20" s="1"/>
  <c r="AT41" i="20" s="1"/>
  <c r="AM41" i="20" s="1"/>
  <c r="BG42" i="41" s="1"/>
  <c r="AQ41" i="20"/>
  <c r="AX29" i="33"/>
  <c r="AY29" i="33" s="1"/>
  <c r="AW29" i="33"/>
  <c r="AR25" i="22"/>
  <c r="AS25" i="22" s="1"/>
  <c r="AT25" i="22" s="1"/>
  <c r="AM25" i="22" s="1"/>
  <c r="BP26" i="41" s="1"/>
  <c r="AQ25" i="22"/>
  <c r="AU20" i="35"/>
  <c r="AV20" i="35" s="1"/>
  <c r="AW20" i="35" s="1"/>
  <c r="AP20" i="35" s="1"/>
  <c r="BA21" i="41" s="1"/>
  <c r="AT20" i="35"/>
  <c r="AO41" i="17"/>
  <c r="AP41" i="17" s="1"/>
  <c r="AQ41" i="17" s="1"/>
  <c r="AJ41" i="17" s="1"/>
  <c r="AR42" i="41" s="1"/>
  <c r="AN41" i="17"/>
  <c r="AN26" i="17"/>
  <c r="AO26" i="17"/>
  <c r="AP26" i="17" s="1"/>
  <c r="AQ26" i="17" s="1"/>
  <c r="AJ26" i="17" s="1"/>
  <c r="AR27" i="41" s="1"/>
  <c r="AX48" i="34"/>
  <c r="AY48" i="34"/>
  <c r="AZ48" i="34" s="1"/>
  <c r="AY19" i="34"/>
  <c r="AZ19" i="34" s="1"/>
  <c r="AX19" i="34"/>
  <c r="AT15" i="27"/>
  <c r="AU15" i="27"/>
  <c r="AV15" i="27" s="1"/>
  <c r="AW15" i="27" s="1"/>
  <c r="AP15" i="27" s="1"/>
  <c r="BJ16" i="41" s="1"/>
  <c r="AR45" i="23"/>
  <c r="AS45" i="23" s="1"/>
  <c r="AT45" i="23" s="1"/>
  <c r="AM45" i="23" s="1"/>
  <c r="BS46" i="41" s="1"/>
  <c r="AQ45" i="23"/>
  <c r="AQ48" i="22"/>
  <c r="AR48" i="22"/>
  <c r="AS48" i="22" s="1"/>
  <c r="AT48" i="22" s="1"/>
  <c r="AM48" i="22" s="1"/>
  <c r="BP49" i="41" s="1"/>
  <c r="AQ18" i="21"/>
  <c r="AR18" i="21"/>
  <c r="AS18" i="21" s="1"/>
  <c r="AT18" i="21" s="1"/>
  <c r="AM18" i="21" s="1"/>
  <c r="BM19" i="41" s="1"/>
  <c r="AR21" i="23"/>
  <c r="AS21" i="23" s="1"/>
  <c r="AT21" i="23" s="1"/>
  <c r="AM21" i="23" s="1"/>
  <c r="BS22" i="41" s="1"/>
  <c r="AQ21" i="23"/>
  <c r="AU5" i="27"/>
  <c r="AT5" i="27"/>
  <c r="AU33" i="35"/>
  <c r="AV33" i="35" s="1"/>
  <c r="AW33" i="35" s="1"/>
  <c r="AP33" i="35" s="1"/>
  <c r="BA34" i="41" s="1"/>
  <c r="AT33" i="35"/>
  <c r="AR14" i="36"/>
  <c r="AS14" i="36" s="1"/>
  <c r="AT14" i="36" s="1"/>
  <c r="AM14" i="36" s="1"/>
  <c r="BD15" i="41" s="1"/>
  <c r="AQ14" i="36"/>
  <c r="AZ46" i="18"/>
  <c r="BA46" i="18"/>
  <c r="BB46" i="18" s="1"/>
  <c r="BC46" i="18" s="1"/>
  <c r="AV46" i="18" s="1"/>
  <c r="AU47" i="41" s="1"/>
  <c r="AY27" i="12"/>
  <c r="AZ27" i="12" s="1"/>
  <c r="AX27" i="12"/>
  <c r="AT19" i="35"/>
  <c r="AU19" i="35"/>
  <c r="AV19" i="35" s="1"/>
  <c r="AW19" i="35" s="1"/>
  <c r="AP19" i="35" s="1"/>
  <c r="BA20" i="41" s="1"/>
  <c r="BG33" i="26"/>
  <c r="BF33" i="26"/>
  <c r="AS38" i="7"/>
  <c r="AT38" i="7"/>
  <c r="AW28" i="33"/>
  <c r="AX28" i="33"/>
  <c r="AY28" i="33" s="1"/>
  <c r="AT7" i="27"/>
  <c r="AU7" i="27"/>
  <c r="AV7" i="27" s="1"/>
  <c r="AW7" i="27" s="1"/>
  <c r="AP7" i="27" s="1"/>
  <c r="BJ8" i="41" s="1"/>
  <c r="AR37" i="21"/>
  <c r="AS37" i="21" s="1"/>
  <c r="AT37" i="21" s="1"/>
  <c r="AM37" i="21" s="1"/>
  <c r="BM38" i="41" s="1"/>
  <c r="AQ37" i="21"/>
  <c r="AR5" i="20"/>
  <c r="AQ5" i="20"/>
  <c r="AR24" i="36"/>
  <c r="AS24" i="36" s="1"/>
  <c r="AQ24" i="36"/>
  <c r="BA36" i="19"/>
  <c r="BB36" i="19" s="1"/>
  <c r="BC36" i="19" s="1"/>
  <c r="AV36" i="19" s="1"/>
  <c r="AX37" i="41" s="1"/>
  <c r="AZ36" i="19"/>
  <c r="BA13" i="18"/>
  <c r="BB13" i="18" s="1"/>
  <c r="BC13" i="18" s="1"/>
  <c r="AV13" i="18" s="1"/>
  <c r="AU14" i="41" s="1"/>
  <c r="AZ13" i="18"/>
  <c r="AU25" i="27"/>
  <c r="AV25" i="27" s="1"/>
  <c r="AW25" i="27" s="1"/>
  <c r="AP25" i="27" s="1"/>
  <c r="BJ26" i="41" s="1"/>
  <c r="AT25" i="27"/>
  <c r="AZ20" i="19"/>
  <c r="BA20" i="19"/>
  <c r="BB20" i="19" s="1"/>
  <c r="BC20" i="19" s="1"/>
  <c r="AV20" i="19" s="1"/>
  <c r="AX21" i="41" s="1"/>
  <c r="AZ19" i="14"/>
  <c r="BA19" i="14"/>
  <c r="AY45" i="12"/>
  <c r="AZ45" i="12" s="1"/>
  <c r="AX45" i="12"/>
  <c r="AQ32" i="22"/>
  <c r="AR32" i="22"/>
  <c r="AS32" i="22" s="1"/>
  <c r="AT32" i="22" s="1"/>
  <c r="AM32" i="22" s="1"/>
  <c r="BP33" i="41" s="1"/>
  <c r="AU37" i="27"/>
  <c r="AV37" i="27" s="1"/>
  <c r="AW37" i="27" s="1"/>
  <c r="AP37" i="27" s="1"/>
  <c r="BJ38" i="41" s="1"/>
  <c r="AT37" i="27"/>
  <c r="BA33" i="19"/>
  <c r="BB33" i="19" s="1"/>
  <c r="BC33" i="19" s="1"/>
  <c r="AV33" i="19" s="1"/>
  <c r="AX34" i="41" s="1"/>
  <c r="AZ33" i="19"/>
  <c r="BA7" i="14"/>
  <c r="AZ7" i="14"/>
  <c r="AY7" i="12"/>
  <c r="AX7" i="12"/>
  <c r="AW12" i="33"/>
  <c r="AX12" i="33"/>
  <c r="AY12" i="33" s="1"/>
  <c r="AX20" i="34"/>
  <c r="AY20" i="34"/>
  <c r="AZ20" i="34" s="1"/>
  <c r="AQ30" i="22"/>
  <c r="AR30" i="22"/>
  <c r="AS30" i="22" s="1"/>
  <c r="AT30" i="22" s="1"/>
  <c r="AM30" i="22" s="1"/>
  <c r="BP31" i="41" s="1"/>
  <c r="AY24" i="34"/>
  <c r="AZ24" i="34" s="1"/>
  <c r="AX24" i="34"/>
  <c r="AZ33" i="18"/>
  <c r="BA33" i="18"/>
  <c r="BB33" i="18" s="1"/>
  <c r="BC33" i="18" s="1"/>
  <c r="AV33" i="18" s="1"/>
  <c r="AU34" i="41" s="1"/>
  <c r="AQ48" i="23"/>
  <c r="AR48" i="23"/>
  <c r="AS48" i="23" s="1"/>
  <c r="AT48" i="23" s="1"/>
  <c r="AM48" i="23" s="1"/>
  <c r="BS49" i="41" s="1"/>
  <c r="AX7" i="33"/>
  <c r="AW7" i="33"/>
  <c r="AY12" i="12"/>
  <c r="AZ12" i="12" s="1"/>
  <c r="AX12" i="12"/>
  <c r="AY46" i="12"/>
  <c r="AX46" i="12"/>
  <c r="BA16" i="18"/>
  <c r="BB16" i="18" s="1"/>
  <c r="BC16" i="18" s="1"/>
  <c r="AV16" i="18" s="1"/>
  <c r="AU17" i="41" s="1"/>
  <c r="AZ16" i="18"/>
  <c r="AY31" i="12"/>
  <c r="AZ31" i="12" s="1"/>
  <c r="AX31" i="12"/>
  <c r="AN34" i="17"/>
  <c r="AO34" i="17"/>
  <c r="AP34" i="17" s="1"/>
  <c r="AQ34" i="17" s="1"/>
  <c r="AJ34" i="17" s="1"/>
  <c r="AR35" i="41" s="1"/>
  <c r="BA37" i="15"/>
  <c r="AZ37" i="15"/>
  <c r="AT19" i="27"/>
  <c r="AU19" i="27"/>
  <c r="AV19" i="27" s="1"/>
  <c r="AW19" i="27" s="1"/>
  <c r="AP19" i="27" s="1"/>
  <c r="BJ20" i="41" s="1"/>
  <c r="BG47" i="26"/>
  <c r="BF47" i="26"/>
  <c r="AX49" i="12"/>
  <c r="AY49" i="12"/>
  <c r="AZ19" i="15"/>
  <c r="BA12" i="14"/>
  <c r="AZ12" i="14"/>
  <c r="BG39" i="26"/>
  <c r="BF39" i="26"/>
  <c r="BM25" i="11"/>
  <c r="BN25" i="11"/>
  <c r="AT10" i="7"/>
  <c r="AS10" i="7"/>
  <c r="AR32" i="21"/>
  <c r="AS32" i="21" s="1"/>
  <c r="AT32" i="21" s="1"/>
  <c r="AM32" i="21" s="1"/>
  <c r="BM33" i="41" s="1"/>
  <c r="AQ32" i="21"/>
  <c r="AN39" i="17"/>
  <c r="AO39" i="17"/>
  <c r="AP39" i="17" s="1"/>
  <c r="AQ39" i="17" s="1"/>
  <c r="AJ39" i="17" s="1"/>
  <c r="AR40" i="41" s="1"/>
  <c r="AZ15" i="15"/>
  <c r="BA15" i="15"/>
  <c r="BG7" i="26"/>
  <c r="BF7" i="26"/>
  <c r="BF28" i="10"/>
  <c r="BE28" i="10"/>
  <c r="AR23" i="20"/>
  <c r="AS23" i="20" s="1"/>
  <c r="AT23" i="20" s="1"/>
  <c r="AM23" i="20" s="1"/>
  <c r="BG24" i="41" s="1"/>
  <c r="AQ23" i="20"/>
  <c r="BA47" i="15"/>
  <c r="AZ47" i="15"/>
  <c r="AR49" i="23"/>
  <c r="AS49" i="23" s="1"/>
  <c r="AT49" i="23" s="1"/>
  <c r="AM49" i="23" s="1"/>
  <c r="BS50" i="41" s="1"/>
  <c r="AQ49" i="23"/>
  <c r="BE9" i="10"/>
  <c r="BF9" i="10"/>
  <c r="BA48" i="14"/>
  <c r="AZ48" i="14"/>
  <c r="BG27" i="26"/>
  <c r="BF27" i="26"/>
  <c r="BE12" i="10"/>
  <c r="BF12" i="10"/>
  <c r="AQ15" i="23"/>
  <c r="AR15" i="23"/>
  <c r="AS15" i="23" s="1"/>
  <c r="AT15" i="23" s="1"/>
  <c r="AM15" i="23" s="1"/>
  <c r="BS16" i="41" s="1"/>
  <c r="BN31" i="11"/>
  <c r="BM31" i="11"/>
  <c r="AR42" i="21"/>
  <c r="AS42" i="21" s="1"/>
  <c r="AT42" i="21" s="1"/>
  <c r="AM42" i="21" s="1"/>
  <c r="BM43" i="41" s="1"/>
  <c r="AQ42" i="21"/>
  <c r="BA14" i="18"/>
  <c r="BB14" i="18" s="1"/>
  <c r="BC14" i="18" s="1"/>
  <c r="AV14" i="18" s="1"/>
  <c r="AU15" i="41" s="1"/>
  <c r="AZ14" i="18"/>
  <c r="BG45" i="26"/>
  <c r="BF45" i="26"/>
  <c r="BN26" i="11"/>
  <c r="BM26" i="11"/>
  <c r="AS40" i="7"/>
  <c r="AT40" i="7"/>
  <c r="AQ28" i="20"/>
  <c r="AR28" i="20"/>
  <c r="AS28" i="20" s="1"/>
  <c r="AT28" i="20" s="1"/>
  <c r="AM28" i="20" s="1"/>
  <c r="BG29" i="41" s="1"/>
  <c r="BG42" i="26"/>
  <c r="BF42" i="26"/>
  <c r="AY50" i="12"/>
  <c r="AX50" i="12"/>
  <c r="AQ19" i="20"/>
  <c r="AR19" i="20"/>
  <c r="AS19" i="20" s="1"/>
  <c r="AT19" i="20" s="1"/>
  <c r="AM19" i="20" s="1"/>
  <c r="BG20" i="41" s="1"/>
  <c r="BE19" i="10"/>
  <c r="BF19" i="10"/>
  <c r="AZ32" i="19"/>
  <c r="BA32" i="19"/>
  <c r="BB32" i="19" s="1"/>
  <c r="BC32" i="19" s="1"/>
  <c r="AV32" i="19" s="1"/>
  <c r="AX33" i="41" s="1"/>
  <c r="AZ32" i="15"/>
  <c r="BA32" i="15"/>
  <c r="BN11" i="11"/>
  <c r="AZ39" i="19"/>
  <c r="BA39" i="19"/>
  <c r="BB39" i="19" s="1"/>
  <c r="BC39" i="19" s="1"/>
  <c r="AV39" i="19" s="1"/>
  <c r="AX40" i="41" s="1"/>
  <c r="AX14" i="12"/>
  <c r="AY14" i="12"/>
  <c r="AY54" i="12"/>
  <c r="AX54" i="12"/>
  <c r="AT32" i="7"/>
  <c r="AU47" i="35"/>
  <c r="AV47" i="35" s="1"/>
  <c r="AW47" i="35" s="1"/>
  <c r="AP47" i="35" s="1"/>
  <c r="BA48" i="41" s="1"/>
  <c r="AT47" i="35"/>
  <c r="BD30" i="13"/>
  <c r="BE30" i="13"/>
  <c r="BA36" i="18"/>
  <c r="BB36" i="18" s="1"/>
  <c r="BC36" i="18" s="1"/>
  <c r="AV36" i="18" s="1"/>
  <c r="AU37" i="41" s="1"/>
  <c r="AZ36" i="18"/>
  <c r="AT18" i="7"/>
  <c r="AS18" i="7"/>
  <c r="AX21" i="12"/>
  <c r="AY21" i="12"/>
  <c r="AT12" i="27"/>
  <c r="AU12" i="27"/>
  <c r="AV12" i="27" s="1"/>
  <c r="AW12" i="27" s="1"/>
  <c r="AP12" i="27" s="1"/>
  <c r="BJ13" i="41" s="1"/>
  <c r="BD25" i="13"/>
  <c r="BE25" i="13"/>
  <c r="BD53" i="13"/>
  <c r="BE53" i="13"/>
  <c r="EF27" i="1"/>
  <c r="EG27" i="1" s="1"/>
  <c r="EE27" i="1"/>
  <c r="AY38" i="34"/>
  <c r="AZ38" i="34" s="1"/>
  <c r="AX38" i="34"/>
  <c r="AR25" i="36"/>
  <c r="AS25" i="36" s="1"/>
  <c r="AT25" i="36" s="1"/>
  <c r="AM25" i="36" s="1"/>
  <c r="BD26" i="41" s="1"/>
  <c r="AQ25" i="36"/>
  <c r="AQ46" i="20"/>
  <c r="AR46" i="20"/>
  <c r="AS46" i="20" s="1"/>
  <c r="AT46" i="20" s="1"/>
  <c r="AM46" i="20" s="1"/>
  <c r="BG47" i="41" s="1"/>
  <c r="EE30" i="1"/>
  <c r="EF30" i="1"/>
  <c r="AX14" i="34"/>
  <c r="AY14" i="34"/>
  <c r="BF6" i="26"/>
  <c r="BG6" i="26"/>
  <c r="BA30" i="15"/>
  <c r="BB30" i="15" s="1"/>
  <c r="EF49" i="1"/>
  <c r="EE17" i="1"/>
  <c r="AQ11" i="36"/>
  <c r="AR11" i="36"/>
  <c r="AS11" i="36" s="1"/>
  <c r="AT11" i="36" s="1"/>
  <c r="AM11" i="36" s="1"/>
  <c r="BD12" i="41" s="1"/>
  <c r="AU20" i="27"/>
  <c r="AV20" i="27" s="1"/>
  <c r="AW20" i="27" s="1"/>
  <c r="AP20" i="27" s="1"/>
  <c r="BJ21" i="41" s="1"/>
  <c r="AT20" i="27"/>
  <c r="BA26" i="18"/>
  <c r="BB26" i="18" s="1"/>
  <c r="BC26" i="18" s="1"/>
  <c r="AV26" i="18" s="1"/>
  <c r="AU27" i="41" s="1"/>
  <c r="AZ26" i="18"/>
  <c r="AR14" i="20"/>
  <c r="AS14" i="20" s="1"/>
  <c r="AT14" i="20" s="1"/>
  <c r="AM14" i="20" s="1"/>
  <c r="BG15" i="41" s="1"/>
  <c r="AQ14" i="20"/>
  <c r="AQ6" i="23"/>
  <c r="AR6" i="23"/>
  <c r="AS6" i="23" s="1"/>
  <c r="AT6" i="23" s="1"/>
  <c r="AM6" i="23" s="1"/>
  <c r="BS7" i="41" s="1"/>
  <c r="AR45" i="36"/>
  <c r="AS45" i="36" s="1"/>
  <c r="AT45" i="36" s="1"/>
  <c r="AM45" i="36" s="1"/>
  <c r="BD46" i="41" s="1"/>
  <c r="AQ45" i="36"/>
  <c r="AQ6" i="20"/>
  <c r="AR6" i="20"/>
  <c r="AQ6" i="21"/>
  <c r="AR6" i="21"/>
  <c r="AQ30" i="23"/>
  <c r="AR30" i="23"/>
  <c r="AS30" i="23" s="1"/>
  <c r="AT30" i="23" s="1"/>
  <c r="AM30" i="23" s="1"/>
  <c r="BS31" i="41" s="1"/>
  <c r="AT24" i="36"/>
  <c r="AM24" i="36" s="1"/>
  <c r="BD25" i="41" s="1"/>
  <c r="EF9" i="1"/>
  <c r="EG9" i="1" s="1"/>
  <c r="EE9" i="1"/>
  <c r="AQ35" i="22"/>
  <c r="AR35" i="22"/>
  <c r="AS35" i="22" s="1"/>
  <c r="AT35" i="22" s="1"/>
  <c r="AM35" i="22" s="1"/>
  <c r="BP36" i="41" s="1"/>
  <c r="AT38" i="27"/>
  <c r="AU38" i="27"/>
  <c r="AV38" i="27" s="1"/>
  <c r="AW38" i="27" s="1"/>
  <c r="AP38" i="27" s="1"/>
  <c r="BJ39" i="41" s="1"/>
  <c r="AR8" i="22"/>
  <c r="AS8" i="22" s="1"/>
  <c r="AT8" i="22" s="1"/>
  <c r="AM8" i="22" s="1"/>
  <c r="BP9" i="41" s="1"/>
  <c r="AQ8" i="22"/>
  <c r="AQ40" i="23"/>
  <c r="AR40" i="23"/>
  <c r="AS40" i="23" s="1"/>
  <c r="AT40" i="23" s="1"/>
  <c r="AM40" i="23" s="1"/>
  <c r="BS41" i="41" s="1"/>
  <c r="AQ20" i="22"/>
  <c r="AR20" i="22"/>
  <c r="AS20" i="22" s="1"/>
  <c r="AT20" i="22" s="1"/>
  <c r="AM20" i="22" s="1"/>
  <c r="BP21" i="41" s="1"/>
  <c r="AU13" i="35"/>
  <c r="AV13" i="35" s="1"/>
  <c r="AW13" i="35" s="1"/>
  <c r="AP13" i="35" s="1"/>
  <c r="BA14" i="41" s="1"/>
  <c r="AT13" i="35"/>
  <c r="AZ54" i="15"/>
  <c r="BA54" i="15"/>
  <c r="BM41" i="11"/>
  <c r="BN41" i="11"/>
  <c r="AR13" i="23"/>
  <c r="AS13" i="23" s="1"/>
  <c r="AT13" i="23" s="1"/>
  <c r="AM13" i="23" s="1"/>
  <c r="BS14" i="41" s="1"/>
  <c r="AQ13" i="23"/>
  <c r="AR16" i="22"/>
  <c r="AS16" i="22" s="1"/>
  <c r="AT16" i="22" s="1"/>
  <c r="AM16" i="22" s="1"/>
  <c r="BP17" i="41" s="1"/>
  <c r="AQ16" i="22"/>
  <c r="AQ24" i="23"/>
  <c r="AR24" i="23"/>
  <c r="AS24" i="23" s="1"/>
  <c r="AT24" i="23" s="1"/>
  <c r="AM24" i="23" s="1"/>
  <c r="BS25" i="41" s="1"/>
  <c r="AQ30" i="36"/>
  <c r="AR30" i="36"/>
  <c r="AS30" i="36" s="1"/>
  <c r="AT30" i="36" s="1"/>
  <c r="AM30" i="36" s="1"/>
  <c r="BD31" i="41" s="1"/>
  <c r="AZ25" i="18"/>
  <c r="BA25" i="18"/>
  <c r="BB25" i="18" s="1"/>
  <c r="BC25" i="18" s="1"/>
  <c r="AV25" i="18" s="1"/>
  <c r="AU26" i="41" s="1"/>
  <c r="AT35" i="27"/>
  <c r="AU35" i="27"/>
  <c r="AV35" i="27" s="1"/>
  <c r="AW35" i="27" s="1"/>
  <c r="AP35" i="27" s="1"/>
  <c r="BJ36" i="41" s="1"/>
  <c r="AT34" i="35"/>
  <c r="AU34" i="35"/>
  <c r="AV34" i="35" s="1"/>
  <c r="AW34" i="35" s="1"/>
  <c r="AP34" i="35" s="1"/>
  <c r="BA35" i="41" s="1"/>
  <c r="BF11" i="10"/>
  <c r="BE11" i="10"/>
  <c r="BA27" i="14"/>
  <c r="AZ27" i="14"/>
  <c r="AR8" i="20"/>
  <c r="AS8" i="20" s="1"/>
  <c r="AT8" i="20" s="1"/>
  <c r="AM8" i="20" s="1"/>
  <c r="BG9" i="41" s="1"/>
  <c r="AQ8" i="20"/>
  <c r="AQ49" i="21"/>
  <c r="AR49" i="21"/>
  <c r="AS49" i="21" s="1"/>
  <c r="AT49" i="21" s="1"/>
  <c r="AM49" i="21" s="1"/>
  <c r="BM50" i="41" s="1"/>
  <c r="AR47" i="21"/>
  <c r="AS47" i="21" s="1"/>
  <c r="AT47" i="21" s="1"/>
  <c r="AM47" i="21" s="1"/>
  <c r="BM48" i="41" s="1"/>
  <c r="AQ47" i="21"/>
  <c r="AZ16" i="19"/>
  <c r="BA16" i="19"/>
  <c r="BB16" i="19" s="1"/>
  <c r="BC16" i="19" s="1"/>
  <c r="AV16" i="19" s="1"/>
  <c r="AX17" i="41" s="1"/>
  <c r="AW5" i="33"/>
  <c r="AX5" i="33"/>
  <c r="AR54" i="23"/>
  <c r="AQ54" i="23"/>
  <c r="AQ35" i="23"/>
  <c r="AR35" i="23"/>
  <c r="AS35" i="23" s="1"/>
  <c r="AT35" i="23" s="1"/>
  <c r="AM35" i="23" s="1"/>
  <c r="BS36" i="41" s="1"/>
  <c r="AR14" i="22"/>
  <c r="AS14" i="22" s="1"/>
  <c r="AT14" i="22" s="1"/>
  <c r="AM14" i="22" s="1"/>
  <c r="BP15" i="41" s="1"/>
  <c r="AQ14" i="22"/>
  <c r="AT47" i="27"/>
  <c r="AU47" i="27"/>
  <c r="AV47" i="27" s="1"/>
  <c r="AW47" i="27" s="1"/>
  <c r="AP47" i="27" s="1"/>
  <c r="BJ48" i="41" s="1"/>
  <c r="AQ49" i="20"/>
  <c r="AR49" i="20"/>
  <c r="AS49" i="20" s="1"/>
  <c r="AT49" i="20" s="1"/>
  <c r="AM49" i="20" s="1"/>
  <c r="BG50" i="41" s="1"/>
  <c r="AQ51" i="22"/>
  <c r="AR51" i="22"/>
  <c r="AS51" i="22" s="1"/>
  <c r="AT51" i="22" s="1"/>
  <c r="AM51" i="22" s="1"/>
  <c r="BP52" i="41" s="1"/>
  <c r="AR27" i="23"/>
  <c r="AS27" i="23" s="1"/>
  <c r="AT27" i="23" s="1"/>
  <c r="AM27" i="23" s="1"/>
  <c r="BS28" i="41" s="1"/>
  <c r="AQ27" i="23"/>
  <c r="AZ45" i="15"/>
  <c r="BA45" i="15"/>
  <c r="AR10" i="21"/>
  <c r="AS10" i="21" s="1"/>
  <c r="AT10" i="21" s="1"/>
  <c r="AM10" i="21" s="1"/>
  <c r="BM11" i="41" s="1"/>
  <c r="AQ10" i="21"/>
  <c r="BF23" i="10"/>
  <c r="BE23" i="10"/>
  <c r="AT46" i="27"/>
  <c r="AU46" i="27"/>
  <c r="AV46" i="27" s="1"/>
  <c r="AW46" i="27" s="1"/>
  <c r="AP46" i="27" s="1"/>
  <c r="BJ47" i="41" s="1"/>
  <c r="AQ18" i="20"/>
  <c r="AR18" i="20"/>
  <c r="AS18" i="20" s="1"/>
  <c r="AT18" i="20" s="1"/>
  <c r="AM18" i="20" s="1"/>
  <c r="BG19" i="41" s="1"/>
  <c r="AR13" i="21"/>
  <c r="AS13" i="21" s="1"/>
  <c r="AT13" i="21" s="1"/>
  <c r="AM13" i="21" s="1"/>
  <c r="BM14" i="41" s="1"/>
  <c r="AQ13" i="21"/>
  <c r="AR41" i="22"/>
  <c r="AS41" i="22" s="1"/>
  <c r="AT41" i="22" s="1"/>
  <c r="AM41" i="22" s="1"/>
  <c r="BP42" i="41" s="1"/>
  <c r="AQ41" i="22"/>
  <c r="AR12" i="21"/>
  <c r="AS12" i="21" s="1"/>
  <c r="AT12" i="21" s="1"/>
  <c r="AM12" i="21" s="1"/>
  <c r="BM13" i="41" s="1"/>
  <c r="AQ12" i="21"/>
  <c r="AT14" i="27"/>
  <c r="AU14" i="27"/>
  <c r="AV14" i="27" s="1"/>
  <c r="AW14" i="27" s="1"/>
  <c r="AP14" i="27" s="1"/>
  <c r="BJ15" i="41" s="1"/>
  <c r="AQ16" i="23"/>
  <c r="AR16" i="23"/>
  <c r="AS16" i="23" s="1"/>
  <c r="AT16" i="23" s="1"/>
  <c r="AM16" i="23" s="1"/>
  <c r="BS17" i="41" s="1"/>
  <c r="AQ41" i="21"/>
  <c r="AR41" i="21"/>
  <c r="AS41" i="21" s="1"/>
  <c r="AT41" i="21" s="1"/>
  <c r="AM41" i="21" s="1"/>
  <c r="BM42" i="41" s="1"/>
  <c r="AQ7" i="21"/>
  <c r="AR7" i="21"/>
  <c r="BA42" i="19"/>
  <c r="BB42" i="19" s="1"/>
  <c r="BC42" i="19" s="1"/>
  <c r="AV42" i="19" s="1"/>
  <c r="AX43" i="41" s="1"/>
  <c r="AZ42" i="19"/>
  <c r="AZ10" i="19"/>
  <c r="BA10" i="19"/>
  <c r="BB10" i="19" s="1"/>
  <c r="BC10" i="19" s="1"/>
  <c r="AV10" i="19" s="1"/>
  <c r="AX11" i="41" s="1"/>
  <c r="AT45" i="27"/>
  <c r="AU45" i="27"/>
  <c r="AV45" i="27" s="1"/>
  <c r="AW45" i="27" s="1"/>
  <c r="AP45" i="27" s="1"/>
  <c r="BJ46" i="41" s="1"/>
  <c r="AU35" i="35"/>
  <c r="AV35" i="35" s="1"/>
  <c r="AW35" i="35" s="1"/>
  <c r="AP35" i="35" s="1"/>
  <c r="BA36" i="41" s="1"/>
  <c r="AT35" i="35"/>
  <c r="AZ35" i="18"/>
  <c r="BA35" i="18"/>
  <c r="BB35" i="18" s="1"/>
  <c r="BC35" i="18" s="1"/>
  <c r="AV35" i="18" s="1"/>
  <c r="AU36" i="41" s="1"/>
  <c r="AO32" i="17"/>
  <c r="AP32" i="17" s="1"/>
  <c r="AQ32" i="17" s="1"/>
  <c r="AJ32" i="17" s="1"/>
  <c r="AR33" i="41" s="1"/>
  <c r="AN32" i="17"/>
  <c r="BE36" i="13"/>
  <c r="BD36" i="13"/>
  <c r="AX43" i="33"/>
  <c r="AY43" i="33" s="1"/>
  <c r="AW43" i="33"/>
  <c r="AQ33" i="22"/>
  <c r="AR33" i="22"/>
  <c r="AS33" i="22" s="1"/>
  <c r="AT33" i="22" s="1"/>
  <c r="AM33" i="22" s="1"/>
  <c r="BP34" i="41" s="1"/>
  <c r="AR17" i="23"/>
  <c r="AS17" i="23" s="1"/>
  <c r="AT17" i="23" s="1"/>
  <c r="AM17" i="23" s="1"/>
  <c r="BS18" i="41" s="1"/>
  <c r="AQ17" i="23"/>
  <c r="AU30" i="35"/>
  <c r="AV30" i="35" s="1"/>
  <c r="AW30" i="35" s="1"/>
  <c r="AP30" i="35" s="1"/>
  <c r="BA31" i="41" s="1"/>
  <c r="AT30" i="35"/>
  <c r="AZ40" i="15"/>
  <c r="BA40" i="15"/>
  <c r="BA50" i="19"/>
  <c r="BB50" i="19" s="1"/>
  <c r="BC50" i="19" s="1"/>
  <c r="AV50" i="19" s="1"/>
  <c r="AX51" i="41" s="1"/>
  <c r="AZ50" i="19"/>
  <c r="BG11" i="26"/>
  <c r="BF11" i="26"/>
  <c r="BN48" i="11"/>
  <c r="BM48" i="11"/>
  <c r="AR53" i="20"/>
  <c r="AS53" i="20" s="1"/>
  <c r="AT53" i="20" s="1"/>
  <c r="AM53" i="20" s="1"/>
  <c r="BG54" i="41" s="1"/>
  <c r="AQ53" i="20"/>
  <c r="AZ38" i="18"/>
  <c r="BA38" i="18"/>
  <c r="BB38" i="18" s="1"/>
  <c r="BC38" i="18" s="1"/>
  <c r="AV38" i="18" s="1"/>
  <c r="AU39" i="41" s="1"/>
  <c r="AZ6" i="18"/>
  <c r="BA6" i="18"/>
  <c r="AZ43" i="15"/>
  <c r="BA43" i="15"/>
  <c r="AQ12" i="22"/>
  <c r="AR12" i="22"/>
  <c r="AS12" i="22" s="1"/>
  <c r="AT12" i="22" s="1"/>
  <c r="AM12" i="22" s="1"/>
  <c r="BP13" i="41" s="1"/>
  <c r="AQ42" i="20"/>
  <c r="AR42" i="20"/>
  <c r="AS42" i="20" s="1"/>
  <c r="AT42" i="20" s="1"/>
  <c r="AM42" i="20" s="1"/>
  <c r="BG43" i="41" s="1"/>
  <c r="BA9" i="19"/>
  <c r="BB9" i="19" s="1"/>
  <c r="BC9" i="19" s="1"/>
  <c r="AV9" i="19" s="1"/>
  <c r="AX10" i="41" s="1"/>
  <c r="AZ9" i="19"/>
  <c r="BA50" i="14"/>
  <c r="AZ50" i="14"/>
  <c r="BG41" i="26"/>
  <c r="BF41" i="26"/>
  <c r="AQ54" i="21"/>
  <c r="AR54" i="21"/>
  <c r="AT44" i="35"/>
  <c r="AU44" i="35"/>
  <c r="AV44" i="35" s="1"/>
  <c r="AW44" i="35" s="1"/>
  <c r="AP44" i="35" s="1"/>
  <c r="BA45" i="41" s="1"/>
  <c r="AX13" i="34"/>
  <c r="AY13" i="34"/>
  <c r="AZ13" i="34" s="1"/>
  <c r="BG50" i="26"/>
  <c r="BF50" i="26"/>
  <c r="AZ28" i="18"/>
  <c r="BA28" i="18"/>
  <c r="BB28" i="18" s="1"/>
  <c r="BC28" i="18" s="1"/>
  <c r="AV28" i="18" s="1"/>
  <c r="AU29" i="41" s="1"/>
  <c r="AQ13" i="22"/>
  <c r="AR13" i="22"/>
  <c r="AS13" i="22" s="1"/>
  <c r="AT13" i="22" s="1"/>
  <c r="AM13" i="22" s="1"/>
  <c r="BP14" i="41" s="1"/>
  <c r="AU31" i="27"/>
  <c r="AV31" i="27" s="1"/>
  <c r="AW31" i="27" s="1"/>
  <c r="AP31" i="27" s="1"/>
  <c r="BJ32" i="41" s="1"/>
  <c r="AT31" i="27"/>
  <c r="AW33" i="33"/>
  <c r="AX33" i="33"/>
  <c r="AY33" i="33" s="1"/>
  <c r="AZ9" i="15"/>
  <c r="BA9" i="15"/>
  <c r="BB9" i="15" s="1"/>
  <c r="AX34" i="33"/>
  <c r="AY34" i="33" s="1"/>
  <c r="AW34" i="33"/>
  <c r="BA51" i="15"/>
  <c r="BB51" i="15" s="1"/>
  <c r="AZ51" i="15"/>
  <c r="AX20" i="12"/>
  <c r="AY20" i="12"/>
  <c r="AZ20" i="12" s="1"/>
  <c r="AR10" i="20"/>
  <c r="AS10" i="20" s="1"/>
  <c r="AT10" i="20" s="1"/>
  <c r="AM10" i="20" s="1"/>
  <c r="BG11" i="41" s="1"/>
  <c r="AQ10" i="20"/>
  <c r="AQ17" i="21"/>
  <c r="AR17" i="21"/>
  <c r="AS17" i="21" s="1"/>
  <c r="AT17" i="21" s="1"/>
  <c r="AM17" i="21" s="1"/>
  <c r="BM18" i="41" s="1"/>
  <c r="AR45" i="20"/>
  <c r="AS45" i="20" s="1"/>
  <c r="AT45" i="20" s="1"/>
  <c r="AM45" i="20" s="1"/>
  <c r="BG46" i="41" s="1"/>
  <c r="AQ45" i="20"/>
  <c r="AX17" i="12"/>
  <c r="AY17" i="12"/>
  <c r="AZ17" i="12" s="1"/>
  <c r="AN31" i="17"/>
  <c r="AO31" i="17"/>
  <c r="AP31" i="17" s="1"/>
  <c r="AQ31" i="17" s="1"/>
  <c r="AJ31" i="17" s="1"/>
  <c r="AR32" i="41" s="1"/>
  <c r="AZ11" i="15"/>
  <c r="BA11" i="15"/>
  <c r="AO24" i="17"/>
  <c r="AP24" i="17" s="1"/>
  <c r="AQ24" i="17" s="1"/>
  <c r="AJ24" i="17" s="1"/>
  <c r="AR25" i="41" s="1"/>
  <c r="AN24" i="17"/>
  <c r="AZ41" i="14"/>
  <c r="BA41" i="14"/>
  <c r="BE8" i="13"/>
  <c r="BD8" i="13"/>
  <c r="AX48" i="12"/>
  <c r="AY48" i="12"/>
  <c r="AZ48" i="12" s="1"/>
  <c r="AY37" i="34"/>
  <c r="AZ37" i="34" s="1"/>
  <c r="AX37" i="34"/>
  <c r="AY17" i="34"/>
  <c r="AZ17" i="34" s="1"/>
  <c r="AX17" i="34"/>
  <c r="BF51" i="10"/>
  <c r="BE51" i="10"/>
  <c r="AT51" i="35"/>
  <c r="AU51" i="35"/>
  <c r="AV51" i="35" s="1"/>
  <c r="AW51" i="35" s="1"/>
  <c r="AP51" i="35" s="1"/>
  <c r="BA52" i="41" s="1"/>
  <c r="AQ16" i="21"/>
  <c r="AR16" i="21"/>
  <c r="AS16" i="21" s="1"/>
  <c r="AT16" i="21" s="1"/>
  <c r="AM16" i="21" s="1"/>
  <c r="BM17" i="41" s="1"/>
  <c r="AQ21" i="21"/>
  <c r="AR21" i="21"/>
  <c r="AS21" i="21" s="1"/>
  <c r="AT21" i="21" s="1"/>
  <c r="AM21" i="21" s="1"/>
  <c r="BM22" i="41" s="1"/>
  <c r="AZ53" i="19"/>
  <c r="BA53" i="19"/>
  <c r="BB53" i="19" s="1"/>
  <c r="BC53" i="19" s="1"/>
  <c r="AV53" i="19" s="1"/>
  <c r="AX54" i="41" s="1"/>
  <c r="BM18" i="11"/>
  <c r="BN18" i="11"/>
  <c r="AR34" i="36"/>
  <c r="AS34" i="36" s="1"/>
  <c r="AT34" i="36" s="1"/>
  <c r="AM34" i="36" s="1"/>
  <c r="BD35" i="41" s="1"/>
  <c r="AO28" i="17"/>
  <c r="AP28" i="17" s="1"/>
  <c r="AQ28" i="17" s="1"/>
  <c r="AJ28" i="17" s="1"/>
  <c r="AR29" i="41" s="1"/>
  <c r="AN28" i="17"/>
  <c r="AQ23" i="23"/>
  <c r="AR23" i="23"/>
  <c r="AS23" i="23" s="1"/>
  <c r="AT23" i="23" s="1"/>
  <c r="AM23" i="23" s="1"/>
  <c r="BS24" i="41" s="1"/>
  <c r="AQ42" i="36"/>
  <c r="AR42" i="36"/>
  <c r="AS42" i="36" s="1"/>
  <c r="AT42" i="36" s="1"/>
  <c r="AM42" i="36" s="1"/>
  <c r="BD43" i="41" s="1"/>
  <c r="BF40" i="26"/>
  <c r="BG40" i="26"/>
  <c r="AX41" i="34"/>
  <c r="AY41" i="34"/>
  <c r="AZ41" i="34" s="1"/>
  <c r="BN47" i="11"/>
  <c r="BM47" i="11"/>
  <c r="BM21" i="11"/>
  <c r="BN21" i="11"/>
  <c r="BE49" i="10"/>
  <c r="BF49" i="10"/>
  <c r="BF25" i="10"/>
  <c r="BE25" i="10"/>
  <c r="AT51" i="7"/>
  <c r="AS51" i="7"/>
  <c r="AR47" i="23"/>
  <c r="AS47" i="23" s="1"/>
  <c r="AT47" i="23" s="1"/>
  <c r="AM47" i="23" s="1"/>
  <c r="BS48" i="41" s="1"/>
  <c r="AQ47" i="23"/>
  <c r="BA37" i="18"/>
  <c r="BB37" i="18" s="1"/>
  <c r="BC37" i="18" s="1"/>
  <c r="AV37" i="18" s="1"/>
  <c r="AU38" i="41" s="1"/>
  <c r="AZ37" i="18"/>
  <c r="BA5" i="14"/>
  <c r="AZ5" i="14"/>
  <c r="AX47" i="12"/>
  <c r="AY47" i="12"/>
  <c r="BN20" i="11"/>
  <c r="BM20" i="11"/>
  <c r="BE21" i="10"/>
  <c r="BF21" i="10"/>
  <c r="AS37" i="7"/>
  <c r="AT37" i="7"/>
  <c r="AZ51" i="19"/>
  <c r="BA51" i="19"/>
  <c r="BB51" i="19" s="1"/>
  <c r="BC51" i="19" s="1"/>
  <c r="AV51" i="19" s="1"/>
  <c r="AX52" i="41" s="1"/>
  <c r="BA52" i="18"/>
  <c r="BB52" i="18" s="1"/>
  <c r="BC52" i="18" s="1"/>
  <c r="AV52" i="18" s="1"/>
  <c r="AU53" i="41" s="1"/>
  <c r="AZ52" i="18"/>
  <c r="BD14" i="13"/>
  <c r="BE14" i="13"/>
  <c r="AQ5" i="22"/>
  <c r="AR5" i="22"/>
  <c r="AT29" i="27"/>
  <c r="AU29" i="27"/>
  <c r="AV29" i="27" s="1"/>
  <c r="AW29" i="27" s="1"/>
  <c r="AP29" i="27" s="1"/>
  <c r="BJ30" i="41" s="1"/>
  <c r="AO54" i="17"/>
  <c r="AN54" i="17"/>
  <c r="AZ8" i="14"/>
  <c r="BA8" i="14"/>
  <c r="BG20" i="26"/>
  <c r="BF20" i="26"/>
  <c r="AX13" i="33"/>
  <c r="AY13" i="33" s="1"/>
  <c r="AW13" i="33"/>
  <c r="AS49" i="7"/>
  <c r="AT49" i="7"/>
  <c r="BA12" i="15"/>
  <c r="AZ12" i="15"/>
  <c r="BA21" i="14"/>
  <c r="AZ21" i="14"/>
  <c r="AY29" i="34"/>
  <c r="AZ29" i="34" s="1"/>
  <c r="AX29" i="34"/>
  <c r="BA49" i="19"/>
  <c r="BB49" i="19" s="1"/>
  <c r="BC49" i="19" s="1"/>
  <c r="AV49" i="19" s="1"/>
  <c r="AX50" i="41" s="1"/>
  <c r="AZ49" i="19"/>
  <c r="BG48" i="26"/>
  <c r="BF48" i="26"/>
  <c r="BF26" i="10"/>
  <c r="BE26" i="10"/>
  <c r="AY23" i="12"/>
  <c r="AZ23" i="12" s="1"/>
  <c r="AX23" i="12"/>
  <c r="AX47" i="34"/>
  <c r="AY47" i="34"/>
  <c r="AZ47" i="34" s="1"/>
  <c r="AX21" i="34"/>
  <c r="AY21" i="34"/>
  <c r="AZ21" i="34" s="1"/>
  <c r="AW49" i="33"/>
  <c r="AX49" i="33"/>
  <c r="AY49" i="33" s="1"/>
  <c r="AW25" i="33"/>
  <c r="AX25" i="33"/>
  <c r="AY25" i="33" s="1"/>
  <c r="BM51" i="11"/>
  <c r="BN51" i="11"/>
  <c r="BN27" i="11"/>
  <c r="BM27" i="11"/>
  <c r="BE53" i="10"/>
  <c r="BF53" i="10"/>
  <c r="BF31" i="10"/>
  <c r="BE31" i="10"/>
  <c r="BE5" i="10"/>
  <c r="BF5" i="10"/>
  <c r="AT29" i="7"/>
  <c r="AS29" i="7"/>
  <c r="AR51" i="23"/>
  <c r="AS51" i="23" s="1"/>
  <c r="AT51" i="23" s="1"/>
  <c r="AM51" i="23" s="1"/>
  <c r="BS52" i="41" s="1"/>
  <c r="AQ51" i="23"/>
  <c r="AR25" i="23"/>
  <c r="AS25" i="23" s="1"/>
  <c r="AT25" i="23" s="1"/>
  <c r="AM25" i="23" s="1"/>
  <c r="BS26" i="41" s="1"/>
  <c r="AQ25" i="23"/>
  <c r="AZ43" i="18"/>
  <c r="BA43" i="18"/>
  <c r="BB43" i="18" s="1"/>
  <c r="BC43" i="18" s="1"/>
  <c r="AV43" i="18" s="1"/>
  <c r="AU44" i="41" s="1"/>
  <c r="AZ34" i="14"/>
  <c r="BA34" i="14"/>
  <c r="BA11" i="14"/>
  <c r="AZ11" i="14"/>
  <c r="AY51" i="12"/>
  <c r="AZ51" i="12" s="1"/>
  <c r="AX51" i="12"/>
  <c r="BM24" i="11"/>
  <c r="BN24" i="11"/>
  <c r="BF27" i="10"/>
  <c r="BE27" i="10"/>
  <c r="AT23" i="27"/>
  <c r="AU23" i="27"/>
  <c r="AV23" i="27" s="1"/>
  <c r="AW23" i="27" s="1"/>
  <c r="AP23" i="27" s="1"/>
  <c r="BJ24" i="41" s="1"/>
  <c r="AT5" i="35"/>
  <c r="AU5" i="35"/>
  <c r="AZ7" i="19"/>
  <c r="BA7" i="19"/>
  <c r="BA8" i="18"/>
  <c r="BB8" i="18" s="1"/>
  <c r="BC8" i="18" s="1"/>
  <c r="AV8" i="18" s="1"/>
  <c r="AU9" i="41" s="1"/>
  <c r="AZ8" i="18"/>
  <c r="AZ41" i="15"/>
  <c r="BA41" i="15"/>
  <c r="AY10" i="34"/>
  <c r="AZ10" i="34" s="1"/>
  <c r="AX10" i="34"/>
  <c r="AU48" i="27"/>
  <c r="AV48" i="27" s="1"/>
  <c r="AW48" i="27" s="1"/>
  <c r="AP48" i="27" s="1"/>
  <c r="BJ49" i="41" s="1"/>
  <c r="AT48" i="27"/>
  <c r="AZ15" i="18"/>
  <c r="BA15" i="18"/>
  <c r="BB15" i="18" s="1"/>
  <c r="BC15" i="18" s="1"/>
  <c r="AV15" i="18" s="1"/>
  <c r="AU16" i="41" s="1"/>
  <c r="BA31" i="14"/>
  <c r="AZ31" i="14"/>
  <c r="BF31" i="26"/>
  <c r="BG31" i="26"/>
  <c r="AW36" i="33"/>
  <c r="AX36" i="33"/>
  <c r="AY36" i="33" s="1"/>
  <c r="BM17" i="11"/>
  <c r="BN17" i="11"/>
  <c r="AN17" i="17"/>
  <c r="AO17" i="17"/>
  <c r="AP17" i="17" s="1"/>
  <c r="AQ17" i="17" s="1"/>
  <c r="AJ17" i="17" s="1"/>
  <c r="AR18" i="41" s="1"/>
  <c r="AY39" i="12"/>
  <c r="AZ39" i="12" s="1"/>
  <c r="BD24" i="13"/>
  <c r="BE24" i="13"/>
  <c r="BF39" i="10"/>
  <c r="BE39" i="10"/>
  <c r="AT21" i="7"/>
  <c r="AS21" i="7"/>
  <c r="AU24" i="27"/>
  <c r="AV24" i="27" s="1"/>
  <c r="AW24" i="27" s="1"/>
  <c r="AP24" i="27" s="1"/>
  <c r="BJ25" i="41" s="1"/>
  <c r="AT24" i="27"/>
  <c r="AR9" i="20"/>
  <c r="AS9" i="20" s="1"/>
  <c r="AT9" i="20" s="1"/>
  <c r="AM9" i="20" s="1"/>
  <c r="BG10" i="41" s="1"/>
  <c r="AQ9" i="20"/>
  <c r="BA27" i="19"/>
  <c r="BB27" i="19" s="1"/>
  <c r="BC27" i="19" s="1"/>
  <c r="AV27" i="19" s="1"/>
  <c r="AX28" i="41" s="1"/>
  <c r="AZ27" i="19"/>
  <c r="BA49" i="18"/>
  <c r="BB49" i="18" s="1"/>
  <c r="BC49" i="18" s="1"/>
  <c r="AV49" i="18" s="1"/>
  <c r="AU50" i="41" s="1"/>
  <c r="AZ49" i="18"/>
  <c r="AN5" i="17"/>
  <c r="AO5" i="17"/>
  <c r="BA27" i="15"/>
  <c r="AZ27" i="15"/>
  <c r="AX47" i="33"/>
  <c r="AY47" i="33" s="1"/>
  <c r="AW47" i="33"/>
  <c r="BF29" i="10"/>
  <c r="BE29" i="10"/>
  <c r="AS6" i="7"/>
  <c r="AT6" i="7"/>
  <c r="AZ13" i="19"/>
  <c r="BA13" i="19"/>
  <c r="BB13" i="19" s="1"/>
  <c r="BC13" i="19" s="1"/>
  <c r="AV13" i="19" s="1"/>
  <c r="AX14" i="41" s="1"/>
  <c r="BA37" i="14"/>
  <c r="AZ37" i="14"/>
  <c r="AX50" i="34"/>
  <c r="AY50" i="34"/>
  <c r="AZ50" i="34" s="1"/>
  <c r="AQ39" i="20"/>
  <c r="AR39" i="20"/>
  <c r="AS39" i="20" s="1"/>
  <c r="AT39" i="20" s="1"/>
  <c r="AM39" i="20" s="1"/>
  <c r="BG40" i="41" s="1"/>
  <c r="AQ49" i="22"/>
  <c r="AR49" i="22"/>
  <c r="AS49" i="22" s="1"/>
  <c r="AT49" i="22" s="1"/>
  <c r="AM49" i="22" s="1"/>
  <c r="BP50" i="41" s="1"/>
  <c r="AU38" i="35"/>
  <c r="AV38" i="35" s="1"/>
  <c r="AW38" i="35" s="1"/>
  <c r="AP38" i="35" s="1"/>
  <c r="BA39" i="41" s="1"/>
  <c r="AT38" i="35"/>
  <c r="AX52" i="33"/>
  <c r="AY52" i="33" s="1"/>
  <c r="AW52" i="33"/>
  <c r="AW8" i="33"/>
  <c r="AX8" i="33"/>
  <c r="AS50" i="7"/>
  <c r="AT50" i="7"/>
  <c r="AS16" i="7"/>
  <c r="AT16" i="7"/>
  <c r="BA8" i="19"/>
  <c r="BB8" i="19" s="1"/>
  <c r="BC8" i="19" s="1"/>
  <c r="AV8" i="19" s="1"/>
  <c r="AX9" i="41" s="1"/>
  <c r="AZ8" i="19"/>
  <c r="AZ42" i="15"/>
  <c r="BA42" i="15"/>
  <c r="BA51" i="14"/>
  <c r="AZ51" i="14"/>
  <c r="BN49" i="11"/>
  <c r="BM49" i="11"/>
  <c r="BF40" i="10"/>
  <c r="BE40" i="10"/>
  <c r="AT25" i="7"/>
  <c r="AS25" i="7"/>
  <c r="BA43" i="19"/>
  <c r="BB43" i="19" s="1"/>
  <c r="BC43" i="19" s="1"/>
  <c r="AV43" i="19" s="1"/>
  <c r="AX44" i="41" s="1"/>
  <c r="AZ43" i="19"/>
  <c r="AX19" i="33"/>
  <c r="AY19" i="33" s="1"/>
  <c r="AW19" i="33"/>
  <c r="AR20" i="20"/>
  <c r="AS20" i="20" s="1"/>
  <c r="AT20" i="20" s="1"/>
  <c r="AM20" i="20" s="1"/>
  <c r="BG21" i="41" s="1"/>
  <c r="AQ20" i="20"/>
  <c r="AT9" i="7"/>
  <c r="AS9" i="7"/>
  <c r="AU11" i="27"/>
  <c r="AV11" i="27" s="1"/>
  <c r="AW11" i="27" s="1"/>
  <c r="AP11" i="27" s="1"/>
  <c r="BJ12" i="41" s="1"/>
  <c r="AT11" i="27"/>
  <c r="BA44" i="14"/>
  <c r="AZ44" i="14"/>
  <c r="BM45" i="11"/>
  <c r="BN45" i="11"/>
  <c r="AZ11" i="18"/>
  <c r="BA11" i="18"/>
  <c r="BB11" i="18" s="1"/>
  <c r="BC11" i="18" s="1"/>
  <c r="AV11" i="18" s="1"/>
  <c r="AU12" i="41" s="1"/>
  <c r="BE20" i="10"/>
  <c r="BF20" i="10"/>
  <c r="EE44" i="1"/>
  <c r="EF44" i="1"/>
  <c r="EF39" i="1"/>
  <c r="EE39" i="1"/>
  <c r="AR19" i="36"/>
  <c r="AS19" i="36" s="1"/>
  <c r="AT19" i="36" s="1"/>
  <c r="AM19" i="36" s="1"/>
  <c r="BD20" i="41" s="1"/>
  <c r="AQ19" i="36"/>
  <c r="EF34" i="1"/>
  <c r="EE34" i="1"/>
  <c r="AX30" i="34"/>
  <c r="AY30" i="34"/>
  <c r="AZ30" i="34" s="1"/>
  <c r="BA38" i="14"/>
  <c r="AZ38" i="14"/>
  <c r="BA14" i="19"/>
  <c r="BB14" i="19" s="1"/>
  <c r="BC14" i="19" s="1"/>
  <c r="AV14" i="19" s="1"/>
  <c r="AX15" i="41" s="1"/>
  <c r="AZ14" i="19"/>
  <c r="EE43" i="1"/>
  <c r="EF43" i="1"/>
  <c r="EF22" i="1"/>
  <c r="EG22" i="1" s="1"/>
  <c r="EE22" i="1"/>
  <c r="AS7" i="7"/>
  <c r="AT7" i="7"/>
  <c r="AT35" i="7"/>
  <c r="AS35" i="7"/>
  <c r="AW14" i="33"/>
  <c r="AX14" i="33"/>
  <c r="BD31" i="13"/>
  <c r="BE31" i="13"/>
  <c r="AZ22" i="15"/>
  <c r="BA22" i="15"/>
  <c r="AN46" i="17"/>
  <c r="AO46" i="17"/>
  <c r="AP46" i="17" s="1"/>
  <c r="AQ46" i="17" s="1"/>
  <c r="AJ46" i="17" s="1"/>
  <c r="AR47" i="41" s="1"/>
  <c r="EE52" i="1"/>
  <c r="EF52" i="1"/>
  <c r="EG52" i="1" s="1"/>
  <c r="EE31" i="1"/>
  <c r="EF31" i="1"/>
  <c r="EG31" i="1" s="1"/>
  <c r="EF10" i="1"/>
  <c r="EG10" i="1" s="1"/>
  <c r="EE10" i="1"/>
  <c r="AS23" i="7"/>
  <c r="AT23" i="7"/>
  <c r="AW46" i="33"/>
  <c r="AX46" i="33"/>
  <c r="AY46" i="33" s="1"/>
  <c r="BD7" i="13"/>
  <c r="BE7" i="13"/>
  <c r="BD37" i="13"/>
  <c r="BE37" i="13"/>
  <c r="AO14" i="17"/>
  <c r="AP14" i="17" s="1"/>
  <c r="AQ14" i="17" s="1"/>
  <c r="AJ14" i="17" s="1"/>
  <c r="AR15" i="41" s="1"/>
  <c r="AN14" i="17"/>
  <c r="BA22" i="19"/>
  <c r="BB22" i="19" s="1"/>
  <c r="BC22" i="19" s="1"/>
  <c r="AV22" i="19" s="1"/>
  <c r="AX23" i="41" s="1"/>
  <c r="AZ22" i="19"/>
  <c r="AR27" i="36"/>
  <c r="AS27" i="36" s="1"/>
  <c r="AT27" i="36" s="1"/>
  <c r="AM27" i="36" s="1"/>
  <c r="BD28" i="41" s="1"/>
  <c r="AQ27" i="36"/>
  <c r="AQ49" i="36"/>
  <c r="AR49" i="36"/>
  <c r="AS49" i="36" s="1"/>
  <c r="AT49" i="36" s="1"/>
  <c r="AM49" i="36" s="1"/>
  <c r="BD50" i="41" s="1"/>
  <c r="EF46" i="1"/>
  <c r="EE46" i="1"/>
  <c r="AS11" i="7"/>
  <c r="AT11" i="7"/>
  <c r="AT39" i="7"/>
  <c r="AS39" i="7"/>
  <c r="AY16" i="12"/>
  <c r="AX16" i="12"/>
  <c r="BE15" i="13"/>
  <c r="BD15" i="13"/>
  <c r="BE45" i="13"/>
  <c r="BD45" i="13"/>
  <c r="AZ6" i="19"/>
  <c r="BA6" i="19"/>
  <c r="AQ21" i="36"/>
  <c r="AR21" i="36"/>
  <c r="AS21" i="36" s="1"/>
  <c r="AT21" i="36" s="1"/>
  <c r="AM21" i="36" s="1"/>
  <c r="BD22" i="41" s="1"/>
  <c r="AR41" i="36"/>
  <c r="AS41" i="36" s="1"/>
  <c r="AT41" i="36" s="1"/>
  <c r="AM41" i="36" s="1"/>
  <c r="BD42" i="41" s="1"/>
  <c r="AQ41" i="36"/>
  <c r="EE45" i="1"/>
  <c r="EF45" i="1"/>
  <c r="EE29" i="1"/>
  <c r="EF29" i="1"/>
  <c r="EE13" i="1"/>
  <c r="EF13" i="1"/>
  <c r="EG13" i="1" s="1"/>
  <c r="AT47" i="7"/>
  <c r="AS47" i="7"/>
  <c r="BE38" i="10"/>
  <c r="BF38" i="10"/>
  <c r="AW38" i="33"/>
  <c r="AX38" i="33"/>
  <c r="AY38" i="33" s="1"/>
  <c r="BG22" i="26"/>
  <c r="BF22" i="26"/>
  <c r="BE19" i="13"/>
  <c r="BD19" i="13"/>
  <c r="BE51" i="13"/>
  <c r="BD51" i="13"/>
  <c r="AO38" i="17"/>
  <c r="AP38" i="17" s="1"/>
  <c r="AQ38" i="17" s="1"/>
  <c r="AJ38" i="17" s="1"/>
  <c r="AR39" i="41" s="1"/>
  <c r="AN38" i="17"/>
  <c r="AT24" i="35"/>
  <c r="AU24" i="35"/>
  <c r="AV24" i="35" s="1"/>
  <c r="AW24" i="35" s="1"/>
  <c r="AP24" i="35" s="1"/>
  <c r="BA25" i="41" s="1"/>
  <c r="AR13" i="36"/>
  <c r="AS13" i="36" s="1"/>
  <c r="AT13" i="36" s="1"/>
  <c r="AM13" i="36" s="1"/>
  <c r="BD14" i="41" s="1"/>
  <c r="AQ13" i="36"/>
  <c r="AU36" i="27"/>
  <c r="AV36" i="27" s="1"/>
  <c r="AW36" i="27" s="1"/>
  <c r="AP36" i="27" s="1"/>
  <c r="BJ37" i="41" s="1"/>
  <c r="AT36" i="27"/>
  <c r="AZ30" i="19"/>
  <c r="BA30" i="19"/>
  <c r="BB30" i="19" s="1"/>
  <c r="BC30" i="19" s="1"/>
  <c r="AV30" i="19" s="1"/>
  <c r="AX31" i="41" s="1"/>
  <c r="AR23" i="36"/>
  <c r="AS23" i="36" s="1"/>
  <c r="AT23" i="36" s="1"/>
  <c r="AM23" i="36" s="1"/>
  <c r="BD24" i="41" s="1"/>
  <c r="AQ23" i="36"/>
  <c r="AQ33" i="36"/>
  <c r="AR30" i="20"/>
  <c r="AS30" i="20" s="1"/>
  <c r="AT30" i="20" s="1"/>
  <c r="AM30" i="20" s="1"/>
  <c r="BG31" i="41" s="1"/>
  <c r="AQ30" i="20"/>
  <c r="AT44" i="27"/>
  <c r="AU44" i="27"/>
  <c r="AV44" i="27" s="1"/>
  <c r="AW44" i="27" s="1"/>
  <c r="AP44" i="27" s="1"/>
  <c r="BJ45" i="41" s="1"/>
  <c r="AQ22" i="23"/>
  <c r="AR22" i="23"/>
  <c r="AS22" i="23" s="1"/>
  <c r="AT22" i="23" s="1"/>
  <c r="AM22" i="23" s="1"/>
  <c r="BS23" i="41" s="1"/>
  <c r="AR37" i="36"/>
  <c r="AS37" i="36" s="1"/>
  <c r="AT37" i="36" s="1"/>
  <c r="AM37" i="36" s="1"/>
  <c r="BD38" i="41" s="1"/>
  <c r="AQ37" i="36"/>
  <c r="AQ26" i="22"/>
  <c r="AR26" i="22"/>
  <c r="AS26" i="22" s="1"/>
  <c r="AT26" i="22" s="1"/>
  <c r="AM26" i="22" s="1"/>
  <c r="BP27" i="41" s="1"/>
  <c r="AQ42" i="22"/>
  <c r="AR42" i="22"/>
  <c r="AS42" i="22" s="1"/>
  <c r="AT42" i="22" s="1"/>
  <c r="AM42" i="22" s="1"/>
  <c r="BP43" i="41" s="1"/>
  <c r="AR46" i="23"/>
  <c r="AS46" i="23" s="1"/>
  <c r="AT46" i="23" s="1"/>
  <c r="AM46" i="23" s="1"/>
  <c r="BS47" i="41" s="1"/>
  <c r="AQ46" i="23"/>
  <c r="AM43" i="25"/>
  <c r="AP47" i="25"/>
  <c r="AS13" i="25"/>
  <c r="AS19" i="25"/>
  <c r="AV50" i="25"/>
  <c r="AY14" i="25"/>
  <c r="AY40" i="25"/>
  <c r="BB38" i="25"/>
  <c r="BH18" i="25"/>
  <c r="AM31" i="25"/>
  <c r="AM36" i="25"/>
  <c r="AM44" i="25"/>
  <c r="AM21" i="25"/>
  <c r="AM22" i="25"/>
  <c r="AM50" i="25"/>
  <c r="AM55" i="25"/>
  <c r="AP14" i="25"/>
  <c r="AP32" i="25"/>
  <c r="AP38" i="25"/>
  <c r="AP44" i="25"/>
  <c r="AS38" i="25"/>
  <c r="AS50" i="25"/>
  <c r="AM23" i="25"/>
  <c r="AM34" i="25"/>
  <c r="AM38" i="25"/>
  <c r="AM40" i="25"/>
  <c r="AP12" i="25"/>
  <c r="AP46" i="25"/>
  <c r="AS10" i="25"/>
  <c r="AS27" i="25"/>
  <c r="AV8" i="25"/>
  <c r="AV27" i="25"/>
  <c r="AV39" i="25"/>
  <c r="AV45" i="25"/>
  <c r="AY20" i="25"/>
  <c r="AY31" i="25"/>
  <c r="AY42" i="25"/>
  <c r="BB18" i="25"/>
  <c r="BE49" i="25"/>
  <c r="BH7" i="25"/>
  <c r="BH25" i="25"/>
  <c r="BK16" i="25"/>
  <c r="AM24" i="25"/>
  <c r="AM32" i="25"/>
  <c r="AP55" i="25"/>
  <c r="AS28" i="25"/>
  <c r="AV48" i="25"/>
  <c r="AV55" i="25"/>
  <c r="AY36" i="25"/>
  <c r="BE27" i="25"/>
  <c r="BH22" i="25"/>
  <c r="AP19" i="25"/>
  <c r="AP26" i="25"/>
  <c r="AS36" i="25"/>
  <c r="AS37" i="25"/>
  <c r="AS52" i="25"/>
  <c r="AV10" i="25"/>
  <c r="AV20" i="25"/>
  <c r="AV28" i="25"/>
  <c r="AY41" i="25"/>
  <c r="AY47" i="25"/>
  <c r="AY50" i="25"/>
  <c r="BH16" i="25"/>
  <c r="AV19" i="25"/>
  <c r="AV54" i="25"/>
  <c r="AY9" i="25"/>
  <c r="AY17" i="25"/>
  <c r="AY39" i="25"/>
  <c r="BB26" i="25"/>
  <c r="BB48" i="25"/>
  <c r="BE22" i="25"/>
  <c r="BH38" i="25"/>
  <c r="BQ25" i="25"/>
  <c r="AM15" i="25"/>
  <c r="AM46" i="25"/>
  <c r="AP11" i="25"/>
  <c r="AP35" i="25"/>
  <c r="AP51" i="25"/>
  <c r="AS24" i="25"/>
  <c r="AV18" i="25"/>
  <c r="AV34" i="25"/>
  <c r="AV38" i="25"/>
  <c r="AV44" i="25"/>
  <c r="AY26" i="25"/>
  <c r="BE21" i="25"/>
  <c r="BH41" i="25"/>
  <c r="BN8" i="25"/>
  <c r="BN15" i="25"/>
  <c r="AM11" i="25"/>
  <c r="AP8" i="25"/>
  <c r="AP27" i="25"/>
  <c r="AP28" i="25"/>
  <c r="AP30" i="25"/>
  <c r="AP34" i="25"/>
  <c r="AP43" i="25"/>
  <c r="AS23" i="25"/>
  <c r="AS31" i="25"/>
  <c r="AS32" i="25"/>
  <c r="AS33" i="25"/>
  <c r="AS39" i="25"/>
  <c r="AS45" i="25"/>
  <c r="AS49" i="25"/>
  <c r="AS51" i="25"/>
  <c r="AM9" i="25"/>
  <c r="AM13" i="25"/>
  <c r="AM16" i="25"/>
  <c r="AM25" i="25"/>
  <c r="AM28" i="25"/>
  <c r="AM29" i="25"/>
  <c r="AM33" i="25"/>
  <c r="AM35" i="25"/>
  <c r="AM51" i="25"/>
  <c r="AP7" i="25"/>
  <c r="AP15" i="25"/>
  <c r="AP16" i="25"/>
  <c r="AP20" i="25"/>
  <c r="AP24" i="25"/>
  <c r="AP31" i="25"/>
  <c r="AP37" i="25"/>
  <c r="AP49" i="25"/>
  <c r="AS15" i="25"/>
  <c r="AS17" i="25"/>
  <c r="AS21" i="25"/>
  <c r="AS43" i="25"/>
  <c r="AS55" i="25"/>
  <c r="AV25" i="25"/>
  <c r="AV29" i="25"/>
  <c r="AV36" i="25"/>
  <c r="AV37" i="25"/>
  <c r="AV43" i="25"/>
  <c r="AV51" i="25"/>
  <c r="BB34" i="25"/>
  <c r="BE20" i="25"/>
  <c r="BE25" i="25"/>
  <c r="BE35" i="25"/>
  <c r="BE44" i="25"/>
  <c r="BH13" i="25"/>
  <c r="BH17" i="25"/>
  <c r="BH23" i="25"/>
  <c r="BH47" i="25"/>
  <c r="BK26" i="25"/>
  <c r="AM7" i="25"/>
  <c r="AM17" i="25"/>
  <c r="AM42" i="25"/>
  <c r="AP23" i="25"/>
  <c r="AS35" i="25"/>
  <c r="AS41" i="25"/>
  <c r="AS47" i="25"/>
  <c r="AV49" i="25"/>
  <c r="BE50" i="25"/>
  <c r="BE55" i="25"/>
  <c r="BH37" i="25"/>
  <c r="BK13" i="25"/>
  <c r="BN11" i="25"/>
  <c r="BQ17" i="25"/>
  <c r="AM19" i="25"/>
  <c r="AP39" i="25"/>
  <c r="AP45" i="25"/>
  <c r="AS8" i="25"/>
  <c r="AS12" i="25"/>
  <c r="AV12" i="25"/>
  <c r="AV14" i="25"/>
  <c r="AV16" i="25"/>
  <c r="AV26" i="25"/>
  <c r="AV30" i="25"/>
  <c r="AV31" i="25"/>
  <c r="AV35" i="25"/>
  <c r="AV41" i="25"/>
  <c r="AV47" i="25"/>
  <c r="AY10" i="25"/>
  <c r="AY12" i="25"/>
  <c r="AY16" i="25"/>
  <c r="AY22" i="25"/>
  <c r="AY23" i="25"/>
  <c r="AY24" i="25"/>
  <c r="AY34" i="25"/>
  <c r="BB12" i="25"/>
  <c r="BB23" i="25"/>
  <c r="BB53" i="25"/>
  <c r="BE31" i="25"/>
  <c r="BE40" i="25"/>
  <c r="BE45" i="25"/>
  <c r="BH12" i="25"/>
  <c r="BH28" i="25"/>
  <c r="BH39" i="25"/>
  <c r="BH50" i="25"/>
  <c r="BK39" i="25"/>
  <c r="BB41" i="25"/>
  <c r="BE54" i="25"/>
  <c r="BH24" i="25"/>
  <c r="BH49" i="25"/>
  <c r="BK10" i="25"/>
  <c r="BK35" i="25"/>
  <c r="BK40" i="25"/>
  <c r="BN51" i="25"/>
  <c r="BN54" i="25"/>
  <c r="BQ9" i="25"/>
  <c r="BQ52" i="25"/>
  <c r="AY8" i="25"/>
  <c r="AY18" i="25"/>
  <c r="AY29" i="25"/>
  <c r="AY30" i="25"/>
  <c r="AY37" i="25"/>
  <c r="AY38" i="25"/>
  <c r="AY46" i="25"/>
  <c r="BB15" i="25"/>
  <c r="BB16" i="25"/>
  <c r="BB24" i="25"/>
  <c r="BB32" i="25"/>
  <c r="BB36" i="25"/>
  <c r="BB42" i="25"/>
  <c r="BE19" i="25"/>
  <c r="BE23" i="25"/>
  <c r="BE32" i="25"/>
  <c r="BE46" i="25"/>
  <c r="BH26" i="25"/>
  <c r="BH31" i="25"/>
  <c r="BH46" i="25"/>
  <c r="BH53" i="25"/>
  <c r="BH54" i="25"/>
  <c r="BK6" i="25"/>
  <c r="BK19" i="25"/>
  <c r="BN23" i="25"/>
  <c r="BN38" i="25"/>
  <c r="BQ21" i="25"/>
  <c r="BQ30" i="25"/>
  <c r="BQ38" i="25"/>
  <c r="BQ54" i="25"/>
  <c r="BB39" i="25"/>
  <c r="BB40" i="25"/>
  <c r="BB43" i="25"/>
  <c r="BB51" i="25"/>
  <c r="BE29" i="25"/>
  <c r="BE34" i="25"/>
  <c r="BE37" i="25"/>
  <c r="BE38" i="25"/>
  <c r="BE43" i="25"/>
  <c r="BE48" i="25"/>
  <c r="BH11" i="25"/>
  <c r="BH30" i="25"/>
  <c r="BH32" i="25"/>
  <c r="BH42" i="25"/>
  <c r="BK9" i="25"/>
  <c r="BK15" i="25"/>
  <c r="BK17" i="25"/>
  <c r="BK27" i="25"/>
  <c r="BK45" i="25"/>
  <c r="BK46" i="25"/>
  <c r="BN12" i="25"/>
  <c r="BN18" i="25"/>
  <c r="BN21" i="25"/>
  <c r="BN37" i="25"/>
  <c r="BN42" i="25"/>
  <c r="BN49" i="25"/>
  <c r="BN50" i="25"/>
  <c r="BQ18" i="25"/>
  <c r="BQ40" i="25"/>
  <c r="BK37" i="25"/>
  <c r="BN13" i="25"/>
  <c r="BN22" i="25"/>
  <c r="BN43" i="25"/>
  <c r="AY51" i="25"/>
  <c r="AY54" i="25"/>
  <c r="AY55" i="25"/>
  <c r="BB10" i="25"/>
  <c r="BB14" i="25"/>
  <c r="BB20" i="25"/>
  <c r="BB22" i="25"/>
  <c r="BB28" i="25"/>
  <c r="BB44" i="25"/>
  <c r="BB46" i="25"/>
  <c r="BB55" i="25"/>
  <c r="BE7" i="25"/>
  <c r="BE9" i="25"/>
  <c r="BE11" i="25"/>
  <c r="BE13" i="25"/>
  <c r="BE15" i="25"/>
  <c r="BE17" i="25"/>
  <c r="BE33" i="25"/>
  <c r="BE39" i="25"/>
  <c r="BE41" i="25"/>
  <c r="BE52" i="25"/>
  <c r="BH19" i="25"/>
  <c r="BH20" i="25"/>
  <c r="BH34" i="25"/>
  <c r="BH55" i="25"/>
  <c r="BK8" i="25"/>
  <c r="BK11" i="25"/>
  <c r="BK12" i="25"/>
  <c r="BK21" i="25"/>
  <c r="BK30" i="25"/>
  <c r="BK31" i="25"/>
  <c r="BK32" i="25"/>
  <c r="BK33" i="25"/>
  <c r="BK43" i="25"/>
  <c r="BK51" i="25"/>
  <c r="BK55" i="25"/>
  <c r="BN35" i="25"/>
  <c r="BN44" i="25"/>
  <c r="BN45" i="25"/>
  <c r="BQ10" i="25"/>
  <c r="BQ14" i="25"/>
  <c r="BQ37" i="25"/>
  <c r="BQ46" i="25"/>
  <c r="BH36" i="25"/>
  <c r="BH40" i="25"/>
  <c r="BH43" i="25"/>
  <c r="BH44" i="25"/>
  <c r="BH51" i="25"/>
  <c r="BK7" i="25"/>
  <c r="BK23" i="25"/>
  <c r="BK34" i="25"/>
  <c r="BK42" i="25"/>
  <c r="BK47" i="25"/>
  <c r="BK49" i="25"/>
  <c r="BK50" i="25"/>
  <c r="BN10" i="25"/>
  <c r="BN27" i="25"/>
  <c r="BN34" i="25"/>
  <c r="BN36" i="25"/>
  <c r="BQ8" i="25"/>
  <c r="BQ15" i="25"/>
  <c r="BQ23" i="25"/>
  <c r="BQ28" i="25"/>
  <c r="BQ29" i="25"/>
  <c r="BQ47" i="25"/>
  <c r="BN19" i="25"/>
  <c r="BN25" i="25"/>
  <c r="BN26" i="25"/>
  <c r="BN29" i="25"/>
  <c r="BN40" i="25"/>
  <c r="BN41" i="25"/>
  <c r="BQ11" i="25"/>
  <c r="BQ12" i="25"/>
  <c r="BQ13" i="25"/>
  <c r="BQ20" i="25"/>
  <c r="BQ22" i="25"/>
  <c r="BQ34" i="25"/>
  <c r="BQ36" i="25"/>
  <c r="BQ39" i="25"/>
  <c r="BN46" i="25"/>
  <c r="BN47" i="25"/>
  <c r="BQ31" i="25"/>
  <c r="BQ55" i="25"/>
  <c r="BQ32" i="25"/>
  <c r="BQ44" i="25"/>
  <c r="BK54" i="25"/>
  <c r="BN7" i="25"/>
  <c r="BN17" i="25"/>
  <c r="BN20" i="25"/>
  <c r="BN28" i="25"/>
  <c r="BN32" i="25"/>
  <c r="BN33" i="25"/>
  <c r="BN48" i="25"/>
  <c r="BN52" i="25"/>
  <c r="BQ16" i="25"/>
  <c r="BQ26" i="25"/>
  <c r="BQ33" i="25"/>
  <c r="BQ42" i="25"/>
  <c r="BQ48" i="25"/>
  <c r="BQ50" i="25"/>
  <c r="BQ6" i="25"/>
  <c r="BN6" i="25"/>
  <c r="AY6" i="25"/>
  <c r="AV6" i="25"/>
  <c r="AS6" i="25"/>
  <c r="AP6" i="25"/>
  <c r="AZ38" i="15" l="1"/>
  <c r="AZ46" i="14"/>
  <c r="AZ14" i="14"/>
  <c r="BD17" i="13"/>
  <c r="BD28" i="13"/>
  <c r="BF28" i="13" s="1"/>
  <c r="BE11" i="13"/>
  <c r="BE49" i="13"/>
  <c r="BF49" i="13" s="1"/>
  <c r="BE18" i="13"/>
  <c r="AS24" i="7"/>
  <c r="AU24" i="7" s="1"/>
  <c r="EF55" i="1"/>
  <c r="EG55" i="1" s="1"/>
  <c r="EF42" i="1"/>
  <c r="EE51" i="1"/>
  <c r="EE24" i="1"/>
  <c r="EF41" i="1"/>
  <c r="EG41" i="1" s="1"/>
  <c r="CT39" i="16"/>
  <c r="CU39" i="16" s="1"/>
  <c r="CV39" i="16" s="1"/>
  <c r="CO39" i="16" s="1"/>
  <c r="AO39" i="41" s="1"/>
  <c r="CS18" i="16"/>
  <c r="CT13" i="16"/>
  <c r="CU13" i="16" s="1"/>
  <c r="CV13" i="16" s="1"/>
  <c r="CO13" i="16" s="1"/>
  <c r="AO13" i="41" s="1"/>
  <c r="CT49" i="16"/>
  <c r="CU49" i="16" s="1"/>
  <c r="CV49" i="16" s="1"/>
  <c r="CO49" i="16" s="1"/>
  <c r="AO49" i="41" s="1"/>
  <c r="CS46" i="16"/>
  <c r="CS45" i="16"/>
  <c r="CS16" i="16"/>
  <c r="CS26" i="16"/>
  <c r="CS12" i="16"/>
  <c r="CS29" i="16"/>
  <c r="CT48" i="16"/>
  <c r="CU48" i="16" s="1"/>
  <c r="CV48" i="16" s="1"/>
  <c r="CO48" i="16" s="1"/>
  <c r="AO48" i="41" s="1"/>
  <c r="CT18" i="16"/>
  <c r="CU18" i="16" s="1"/>
  <c r="CV18" i="16" s="1"/>
  <c r="CO18" i="16" s="1"/>
  <c r="AO18" i="41" s="1"/>
  <c r="CS39" i="16"/>
  <c r="BH48" i="26"/>
  <c r="BG18" i="10"/>
  <c r="BG7" i="10"/>
  <c r="CT7" i="16"/>
  <c r="BO37" i="11"/>
  <c r="BB27" i="15"/>
  <c r="BB41" i="15"/>
  <c r="BB23" i="15"/>
  <c r="BB7" i="15"/>
  <c r="BB36" i="15"/>
  <c r="BB33" i="15"/>
  <c r="BB29" i="15"/>
  <c r="BB48" i="15"/>
  <c r="AZ6" i="14"/>
  <c r="BB45" i="14"/>
  <c r="BB24" i="14"/>
  <c r="BB17" i="14"/>
  <c r="BE22" i="13"/>
  <c r="BE38" i="13"/>
  <c r="BD48" i="13"/>
  <c r="BD6" i="13"/>
  <c r="BF6" i="13" s="1"/>
  <c r="BF35" i="26"/>
  <c r="BH28" i="26"/>
  <c r="AY26" i="12"/>
  <c r="AY34" i="12"/>
  <c r="AZ34" i="12" s="1"/>
  <c r="AY29" i="12"/>
  <c r="BO26" i="11"/>
  <c r="BO31" i="11"/>
  <c r="BO16" i="11"/>
  <c r="BO15" i="11"/>
  <c r="BO35" i="11"/>
  <c r="BO36" i="11"/>
  <c r="BO23" i="11"/>
  <c r="BG48" i="10"/>
  <c r="BG25" i="10"/>
  <c r="BG45" i="10"/>
  <c r="BG6" i="10"/>
  <c r="BG10" i="10"/>
  <c r="AU35" i="7"/>
  <c r="AU9" i="7"/>
  <c r="AU25" i="7"/>
  <c r="AU49" i="7"/>
  <c r="AU37" i="7"/>
  <c r="AS31" i="7"/>
  <c r="AU31" i="7" s="1"/>
  <c r="AU47" i="7"/>
  <c r="AU39" i="7"/>
  <c r="EE40" i="1"/>
  <c r="EE32" i="1"/>
  <c r="EF14" i="1"/>
  <c r="EG14" i="1" s="1"/>
  <c r="EE35" i="1"/>
  <c r="EE26" i="1"/>
  <c r="EE37" i="1"/>
  <c r="EE14" i="1"/>
  <c r="EE36" i="1"/>
  <c r="EF35" i="1"/>
  <c r="EG35" i="1" s="1"/>
  <c r="EE48" i="1"/>
  <c r="EF23" i="1"/>
  <c r="EG23" i="1" s="1"/>
  <c r="EF32" i="1"/>
  <c r="EG32" i="1" s="1"/>
  <c r="EG20" i="1"/>
  <c r="EG28" i="1"/>
  <c r="EG25" i="1"/>
  <c r="EG45" i="1"/>
  <c r="EG44" i="1"/>
  <c r="EG17" i="1"/>
  <c r="EG29" i="1"/>
  <c r="EG42" i="1"/>
  <c r="EF6" i="1"/>
  <c r="EG6" i="1" s="1"/>
  <c r="BB40" i="15"/>
  <c r="BB28" i="15"/>
  <c r="BB46" i="15"/>
  <c r="BB17" i="15"/>
  <c r="BB24" i="15"/>
  <c r="BB16" i="15"/>
  <c r="BB34" i="15"/>
  <c r="BB26" i="15"/>
  <c r="BB25" i="15"/>
  <c r="BB53" i="15"/>
  <c r="BB36" i="14"/>
  <c r="BB27" i="14"/>
  <c r="BB53" i="14"/>
  <c r="BF43" i="13"/>
  <c r="BF7" i="13"/>
  <c r="BF31" i="13"/>
  <c r="BF37" i="13"/>
  <c r="BF24" i="13"/>
  <c r="BF32" i="13"/>
  <c r="BF33" i="13"/>
  <c r="BD16" i="13"/>
  <c r="BF16" i="13" s="1"/>
  <c r="BF23" i="13"/>
  <c r="BF47" i="13"/>
  <c r="BF29" i="13"/>
  <c r="BF18" i="13"/>
  <c r="BH42" i="26"/>
  <c r="BH45" i="26"/>
  <c r="BH27" i="26"/>
  <c r="BH44" i="26"/>
  <c r="BH33" i="26"/>
  <c r="BH38" i="26"/>
  <c r="AY8" i="33"/>
  <c r="BO46" i="11"/>
  <c r="BG46" i="10"/>
  <c r="BG40" i="10"/>
  <c r="BG21" i="10"/>
  <c r="BG52" i="10"/>
  <c r="BG22" i="10"/>
  <c r="BG30" i="10"/>
  <c r="BG42" i="10"/>
  <c r="BG26" i="10"/>
  <c r="BG32" i="10"/>
  <c r="BG15" i="10"/>
  <c r="BG49" i="10"/>
  <c r="BG23" i="10"/>
  <c r="BG43" i="10"/>
  <c r="BG35" i="10"/>
  <c r="BG9" i="10"/>
  <c r="AU38" i="7"/>
  <c r="AU27" i="7"/>
  <c r="AU8" i="7"/>
  <c r="AT20" i="7"/>
  <c r="AU20" i="7" s="1"/>
  <c r="AU52" i="7"/>
  <c r="AS36" i="7"/>
  <c r="AU36" i="7" s="1"/>
  <c r="AU43" i="7"/>
  <c r="AU34" i="7"/>
  <c r="AU46" i="7"/>
  <c r="AU53" i="7"/>
  <c r="AU40" i="7"/>
  <c r="AU22" i="7"/>
  <c r="AU21" i="7"/>
  <c r="BG38" i="10"/>
  <c r="BG27" i="10"/>
  <c r="BG31" i="10"/>
  <c r="BG11" i="10"/>
  <c r="BG19" i="10"/>
  <c r="BG12" i="10"/>
  <c r="BG16" i="10"/>
  <c r="BG39" i="10"/>
  <c r="BG53" i="10"/>
  <c r="BG41" i="10"/>
  <c r="BG33" i="10"/>
  <c r="BG37" i="10"/>
  <c r="BG44" i="10"/>
  <c r="BG20" i="10"/>
  <c r="BG47" i="10"/>
  <c r="BG34" i="10"/>
  <c r="BG50" i="10"/>
  <c r="BG29" i="10"/>
  <c r="BG51" i="10"/>
  <c r="BG28" i="10"/>
  <c r="BG13" i="10"/>
  <c r="BG17" i="10"/>
  <c r="BG24" i="10"/>
  <c r="BG36" i="10"/>
  <c r="BO27" i="11"/>
  <c r="BO47" i="11"/>
  <c r="BO18" i="11"/>
  <c r="BO40" i="11"/>
  <c r="BB32" i="15"/>
  <c r="BB38" i="15"/>
  <c r="BB15" i="15"/>
  <c r="BB45" i="15"/>
  <c r="BB19" i="15"/>
  <c r="BB42" i="15"/>
  <c r="BB12" i="15"/>
  <c r="BB11" i="15"/>
  <c r="BB47" i="15"/>
  <c r="BB49" i="15"/>
  <c r="BB39" i="15"/>
  <c r="BB35" i="15"/>
  <c r="BB22" i="15"/>
  <c r="BB43" i="15"/>
  <c r="BB37" i="15"/>
  <c r="BB44" i="15"/>
  <c r="BB10" i="15"/>
  <c r="BB18" i="15"/>
  <c r="BB44" i="14"/>
  <c r="BB37" i="14"/>
  <c r="BB19" i="14"/>
  <c r="BB38" i="14"/>
  <c r="BB51" i="14"/>
  <c r="BB34" i="14"/>
  <c r="BB8" i="14"/>
  <c r="BB50" i="14"/>
  <c r="BB15" i="14"/>
  <c r="BB29" i="14"/>
  <c r="BB35" i="14"/>
  <c r="BB40" i="14"/>
  <c r="BB20" i="14"/>
  <c r="BB47" i="14"/>
  <c r="BF26" i="13"/>
  <c r="BF12" i="13"/>
  <c r="BF27" i="13"/>
  <c r="BF40" i="13"/>
  <c r="BH30" i="26"/>
  <c r="BH35" i="26"/>
  <c r="BH18" i="26"/>
  <c r="BH25" i="26"/>
  <c r="BH8" i="26"/>
  <c r="BH10" i="26"/>
  <c r="BH20" i="26"/>
  <c r="BH39" i="26"/>
  <c r="BH47" i="26"/>
  <c r="BH53" i="26"/>
  <c r="BH15" i="26"/>
  <c r="BH43" i="26"/>
  <c r="BO20" i="11"/>
  <c r="BO50" i="11"/>
  <c r="BO13" i="11"/>
  <c r="BO41" i="11"/>
  <c r="BO39" i="11"/>
  <c r="BO32" i="11"/>
  <c r="BO52" i="11"/>
  <c r="AU32" i="7"/>
  <c r="AU15" i="7"/>
  <c r="AU11" i="7"/>
  <c r="AU23" i="7"/>
  <c r="AU16" i="7"/>
  <c r="AU29" i="7"/>
  <c r="AU51" i="7"/>
  <c r="AU18" i="7"/>
  <c r="AU10" i="7"/>
  <c r="AU17" i="7"/>
  <c r="AU44" i="7"/>
  <c r="AU28" i="7"/>
  <c r="AU19" i="7"/>
  <c r="AU33" i="7"/>
  <c r="AU30" i="7"/>
  <c r="AU12" i="7"/>
  <c r="AU50" i="7"/>
  <c r="AU41" i="7"/>
  <c r="AU42" i="7"/>
  <c r="AU48" i="7"/>
  <c r="AU45" i="7"/>
  <c r="AU13" i="7"/>
  <c r="AU14" i="7"/>
  <c r="EG46" i="1"/>
  <c r="EG11" i="1"/>
  <c r="EG19" i="1"/>
  <c r="EG26" i="1"/>
  <c r="EG38" i="1"/>
  <c r="EG18" i="1"/>
  <c r="EG24" i="1"/>
  <c r="EG34" i="1"/>
  <c r="EG39" i="1"/>
  <c r="EG49" i="1"/>
  <c r="EG30" i="1"/>
  <c r="EG40" i="1"/>
  <c r="EG47" i="1"/>
  <c r="EG12" i="1"/>
  <c r="EE7" i="1"/>
  <c r="CS36" i="16"/>
  <c r="CT27" i="16"/>
  <c r="CU27" i="16" s="1"/>
  <c r="CV27" i="16" s="1"/>
  <c r="CO27" i="16" s="1"/>
  <c r="AO27" i="41" s="1"/>
  <c r="CT34" i="16"/>
  <c r="CU34" i="16" s="1"/>
  <c r="CV34" i="16" s="1"/>
  <c r="CO34" i="16" s="1"/>
  <c r="AO34" i="41" s="1"/>
  <c r="AQ9" i="36"/>
  <c r="CT29" i="16"/>
  <c r="CU29" i="16" s="1"/>
  <c r="CV29" i="16" s="1"/>
  <c r="CO29" i="16" s="1"/>
  <c r="AO29" i="41" s="1"/>
  <c r="AR6" i="36"/>
  <c r="CS23" i="16"/>
  <c r="CT50" i="16"/>
  <c r="CU50" i="16" s="1"/>
  <c r="CV50" i="16" s="1"/>
  <c r="CO50" i="16" s="1"/>
  <c r="AO50" i="41" s="1"/>
  <c r="CT30" i="16"/>
  <c r="CU30" i="16" s="1"/>
  <c r="CV30" i="16" s="1"/>
  <c r="CO30" i="16" s="1"/>
  <c r="AO30" i="41" s="1"/>
  <c r="CS47" i="16"/>
  <c r="CT23" i="16"/>
  <c r="CU23" i="16" s="1"/>
  <c r="CV23" i="16" s="1"/>
  <c r="CO23" i="16" s="1"/>
  <c r="AO23" i="41" s="1"/>
  <c r="CS55" i="16"/>
  <c r="CT36" i="16"/>
  <c r="CU36" i="16" s="1"/>
  <c r="CV36" i="16" s="1"/>
  <c r="CO36" i="16" s="1"/>
  <c r="AO36" i="41" s="1"/>
  <c r="CS44" i="16"/>
  <c r="AQ30" i="21"/>
  <c r="CT26" i="16"/>
  <c r="CU26" i="16" s="1"/>
  <c r="CV26" i="16" s="1"/>
  <c r="CO26" i="16" s="1"/>
  <c r="AO26" i="41" s="1"/>
  <c r="CS50" i="16"/>
  <c r="CT55" i="16"/>
  <c r="CT12" i="16"/>
  <c r="CU12" i="16" s="1"/>
  <c r="CV12" i="16" s="1"/>
  <c r="CO12" i="16" s="1"/>
  <c r="AO12" i="41" s="1"/>
  <c r="CT37" i="16"/>
  <c r="CU37" i="16" s="1"/>
  <c r="CV37" i="16" s="1"/>
  <c r="CO37" i="16" s="1"/>
  <c r="AO37" i="41" s="1"/>
  <c r="CT51" i="16"/>
  <c r="CU51" i="16" s="1"/>
  <c r="CV51" i="16" s="1"/>
  <c r="CO51" i="16" s="1"/>
  <c r="AO51" i="41" s="1"/>
  <c r="CS24" i="16"/>
  <c r="CS15" i="16"/>
  <c r="CS19" i="16"/>
  <c r="CS8" i="16"/>
  <c r="CT10" i="16"/>
  <c r="CU10" i="16" s="1"/>
  <c r="CV10" i="16" s="1"/>
  <c r="CO10" i="16" s="1"/>
  <c r="AO10" i="41" s="1"/>
  <c r="CT40" i="16"/>
  <c r="CU40" i="16" s="1"/>
  <c r="CV40" i="16" s="1"/>
  <c r="CO40" i="16" s="1"/>
  <c r="AO40" i="41" s="1"/>
  <c r="CS31" i="16"/>
  <c r="CS42" i="16"/>
  <c r="CS35" i="16"/>
  <c r="CT6" i="16"/>
  <c r="CU6" i="16" s="1"/>
  <c r="CV6" i="16" s="1"/>
  <c r="CO6" i="16" s="1"/>
  <c r="AO6" i="41" s="1"/>
  <c r="BG8" i="10"/>
  <c r="BH7" i="26"/>
  <c r="BB43" i="14"/>
  <c r="BB42" i="14"/>
  <c r="BB52" i="14"/>
  <c r="BB18" i="14"/>
  <c r="BH52" i="26"/>
  <c r="BH16" i="26"/>
  <c r="BH29" i="26"/>
  <c r="BH32" i="26"/>
  <c r="BH24" i="26"/>
  <c r="BB30" i="14"/>
  <c r="BB22" i="14"/>
  <c r="BB16" i="14"/>
  <c r="BB39" i="14"/>
  <c r="BB41" i="14"/>
  <c r="BB48" i="14"/>
  <c r="BB25" i="14"/>
  <c r="BB32" i="14"/>
  <c r="BB33" i="14"/>
  <c r="BB49" i="14"/>
  <c r="BB26" i="14"/>
  <c r="BB23" i="14"/>
  <c r="BB46" i="14"/>
  <c r="BB9" i="14"/>
  <c r="BB28" i="14"/>
  <c r="BB31" i="14"/>
  <c r="BB11" i="14"/>
  <c r="BB21" i="14"/>
  <c r="BB12" i="14"/>
  <c r="BB10" i="14"/>
  <c r="BB13" i="14"/>
  <c r="BF19" i="13"/>
  <c r="BF15" i="13"/>
  <c r="BF8" i="13"/>
  <c r="BF53" i="13"/>
  <c r="BF30" i="13"/>
  <c r="BF41" i="13"/>
  <c r="BF17" i="13"/>
  <c r="BF39" i="13"/>
  <c r="BF10" i="13"/>
  <c r="BF48" i="13"/>
  <c r="BF13" i="13"/>
  <c r="BF42" i="13"/>
  <c r="BF44" i="13"/>
  <c r="BF20" i="13"/>
  <c r="BF51" i="13"/>
  <c r="BF45" i="13"/>
  <c r="BF36" i="13"/>
  <c r="BF25" i="13"/>
  <c r="BF38" i="13"/>
  <c r="BF22" i="13"/>
  <c r="BF35" i="13"/>
  <c r="BF46" i="13"/>
  <c r="BF11" i="13"/>
  <c r="BF21" i="13"/>
  <c r="BF34" i="13"/>
  <c r="BF50" i="13"/>
  <c r="BF52" i="13"/>
  <c r="BH31" i="26"/>
  <c r="BH40" i="26"/>
  <c r="BH11" i="26"/>
  <c r="BH37" i="26"/>
  <c r="BH13" i="26"/>
  <c r="BH17" i="26"/>
  <c r="BH19" i="26"/>
  <c r="BH49" i="26"/>
  <c r="BH9" i="26"/>
  <c r="BH22" i="26"/>
  <c r="BH50" i="26"/>
  <c r="BH41" i="26"/>
  <c r="BH26" i="26"/>
  <c r="BH23" i="26"/>
  <c r="BH34" i="26"/>
  <c r="BH21" i="26"/>
  <c r="BH36" i="26"/>
  <c r="BH51" i="26"/>
  <c r="BH46" i="26"/>
  <c r="BH12" i="26"/>
  <c r="BB13" i="15"/>
  <c r="BB7" i="14"/>
  <c r="AZ47" i="12"/>
  <c r="AZ24" i="12"/>
  <c r="AZ26" i="12"/>
  <c r="AZ15" i="12"/>
  <c r="AZ13" i="12"/>
  <c r="AZ28" i="12"/>
  <c r="AZ50" i="12"/>
  <c r="AZ46" i="12"/>
  <c r="AZ40" i="12"/>
  <c r="AZ42" i="12"/>
  <c r="AZ16" i="12"/>
  <c r="AZ21" i="12"/>
  <c r="AZ49" i="12"/>
  <c r="AZ36" i="12"/>
  <c r="AZ8" i="12"/>
  <c r="AZ18" i="12"/>
  <c r="AZ30" i="12"/>
  <c r="AZ11" i="12"/>
  <c r="AZ29" i="12"/>
  <c r="AZ37" i="12"/>
  <c r="BO33" i="11"/>
  <c r="BO19" i="11"/>
  <c r="BO45" i="11"/>
  <c r="BO22" i="11"/>
  <c r="BO17" i="11"/>
  <c r="BO48" i="11"/>
  <c r="BO38" i="11"/>
  <c r="BO30" i="11"/>
  <c r="BO49" i="11"/>
  <c r="BO24" i="11"/>
  <c r="BO51" i="11"/>
  <c r="BO21" i="11"/>
  <c r="BO25" i="11"/>
  <c r="BO34" i="11"/>
  <c r="BO44" i="11"/>
  <c r="BO43" i="11"/>
  <c r="BO42" i="11"/>
  <c r="BO53" i="11"/>
  <c r="BO12" i="11"/>
  <c r="BO29" i="11"/>
  <c r="BO28" i="11"/>
  <c r="AU26" i="7"/>
  <c r="BO10" i="11"/>
  <c r="BO8" i="11"/>
  <c r="BO9" i="11"/>
  <c r="BO11" i="11"/>
  <c r="BF14" i="13"/>
  <c r="AZ6" i="34"/>
  <c r="AS5" i="23"/>
  <c r="AT5" i="23" s="1"/>
  <c r="AM5" i="23" s="1"/>
  <c r="BS6" i="41" s="1"/>
  <c r="AS6" i="22"/>
  <c r="AT6" i="22" s="1"/>
  <c r="AM6" i="22" s="1"/>
  <c r="BP7" i="41" s="1"/>
  <c r="BB6" i="14"/>
  <c r="BB5" i="19"/>
  <c r="BC5" i="19" s="1"/>
  <c r="AV5" i="19" s="1"/>
  <c r="AX6" i="41" s="1"/>
  <c r="BB5" i="18"/>
  <c r="BC5" i="18" s="1"/>
  <c r="AV5" i="18" s="1"/>
  <c r="AU6" i="41" s="1"/>
  <c r="AP6" i="17"/>
  <c r="AQ6" i="17" s="1"/>
  <c r="AJ6" i="17" s="1"/>
  <c r="AR7" i="41" s="1"/>
  <c r="BB6" i="15"/>
  <c r="BB14" i="15"/>
  <c r="BB5" i="15"/>
  <c r="BB14" i="14"/>
  <c r="BH14" i="26"/>
  <c r="AZ7" i="12"/>
  <c r="AZ14" i="12"/>
  <c r="AY14" i="33"/>
  <c r="AZ14" i="34"/>
  <c r="AZ8" i="34"/>
  <c r="BO6" i="11"/>
  <c r="BO14" i="11"/>
  <c r="AY6" i="33"/>
  <c r="BG14" i="10"/>
  <c r="EG43" i="1"/>
  <c r="AS7" i="23"/>
  <c r="AT7" i="23" s="1"/>
  <c r="AM7" i="23" s="1"/>
  <c r="BS8" i="41" s="1"/>
  <c r="AS7" i="22"/>
  <c r="AT7" i="22" s="1"/>
  <c r="AM7" i="22" s="1"/>
  <c r="BP8" i="41" s="1"/>
  <c r="AS7" i="21"/>
  <c r="AT7" i="21" s="1"/>
  <c r="AM7" i="21" s="1"/>
  <c r="BM8" i="41" s="1"/>
  <c r="AS6" i="21"/>
  <c r="AT6" i="21" s="1"/>
  <c r="AM6" i="21" s="1"/>
  <c r="BM7" i="41" s="1"/>
  <c r="AV6" i="27"/>
  <c r="AW6" i="27" s="1"/>
  <c r="AP6" i="27" s="1"/>
  <c r="BJ7" i="41" s="1"/>
  <c r="AS6" i="36"/>
  <c r="AT6" i="36" s="1"/>
  <c r="AM6" i="36" s="1"/>
  <c r="BD7" i="41" s="1"/>
  <c r="AS7" i="36"/>
  <c r="AT7" i="36" s="1"/>
  <c r="AM7" i="36" s="1"/>
  <c r="BD8" i="41" s="1"/>
  <c r="AV7" i="35"/>
  <c r="AW7" i="35" s="1"/>
  <c r="AP7" i="35" s="1"/>
  <c r="BA8" i="41" s="1"/>
  <c r="BB6" i="19"/>
  <c r="BC6" i="19" s="1"/>
  <c r="AV6" i="19" s="1"/>
  <c r="AX7" i="41" s="1"/>
  <c r="BB7" i="19"/>
  <c r="BC7" i="19" s="1"/>
  <c r="AV7" i="19" s="1"/>
  <c r="AX8" i="41" s="1"/>
  <c r="BB6" i="18"/>
  <c r="BC6" i="18" s="1"/>
  <c r="AV6" i="18" s="1"/>
  <c r="AU7" i="41" s="1"/>
  <c r="CU8" i="16"/>
  <c r="CV8" i="16" s="1"/>
  <c r="CO8" i="16" s="1"/>
  <c r="AO8" i="41" s="1"/>
  <c r="CU7" i="16"/>
  <c r="CV7" i="16" s="1"/>
  <c r="CO7" i="16" s="1"/>
  <c r="AO7" i="41" s="1"/>
  <c r="BF9" i="13"/>
  <c r="AZ6" i="12"/>
  <c r="AZ7" i="34"/>
  <c r="AU7" i="7"/>
  <c r="AS7" i="20"/>
  <c r="AT7" i="20" s="1"/>
  <c r="AM7" i="20" s="1"/>
  <c r="BG8" i="41" s="1"/>
  <c r="AZ5" i="34"/>
  <c r="BH5" i="26"/>
  <c r="AS6" i="20"/>
  <c r="AT6" i="20" s="1"/>
  <c r="AM6" i="20" s="1"/>
  <c r="BG7" i="41" s="1"/>
  <c r="AY5" i="33"/>
  <c r="BG5" i="10"/>
  <c r="AS5" i="22"/>
  <c r="AT5" i="22" s="1"/>
  <c r="AM5" i="22" s="1"/>
  <c r="BP6" i="41" s="1"/>
  <c r="AU5" i="7"/>
  <c r="AV6" i="35"/>
  <c r="AW6" i="35" s="1"/>
  <c r="AP6" i="35" s="1"/>
  <c r="AS54" i="23"/>
  <c r="AT54" i="23" s="1"/>
  <c r="AM54" i="23" s="1"/>
  <c r="BS55" i="41" s="1"/>
  <c r="AU54" i="7"/>
  <c r="AZ54" i="34"/>
  <c r="BB54" i="19"/>
  <c r="BC54" i="19" s="1"/>
  <c r="AV54" i="19" s="1"/>
  <c r="AX55" i="41" s="1"/>
  <c r="AP54" i="17"/>
  <c r="AQ54" i="17" s="1"/>
  <c r="AJ54" i="17" s="1"/>
  <c r="AR55" i="41" s="1"/>
  <c r="BF54" i="13"/>
  <c r="BB54" i="14"/>
  <c r="EG7" i="1"/>
  <c r="AS5" i="21"/>
  <c r="AT5" i="21" s="1"/>
  <c r="AM5" i="21" s="1"/>
  <c r="BM6" i="41" s="1"/>
  <c r="AS5" i="20"/>
  <c r="AT5" i="20" s="1"/>
  <c r="AM5" i="20" s="1"/>
  <c r="BG6" i="41" s="1"/>
  <c r="AS5" i="36"/>
  <c r="AT5" i="36" s="1"/>
  <c r="AM5" i="36" s="1"/>
  <c r="BD6" i="41" s="1"/>
  <c r="AV5" i="35"/>
  <c r="AW5" i="35" s="1"/>
  <c r="AP5" i="35" s="1"/>
  <c r="BA6" i="41" s="1"/>
  <c r="AP5" i="17"/>
  <c r="AQ5" i="17" s="1"/>
  <c r="AJ5" i="17" s="1"/>
  <c r="AR6" i="41" s="1"/>
  <c r="AV5" i="27"/>
  <c r="AW5" i="27" s="1"/>
  <c r="AP5" i="27" s="1"/>
  <c r="BJ6" i="41" s="1"/>
  <c r="AV54" i="27"/>
  <c r="AW54" i="27" s="1"/>
  <c r="AP54" i="27" s="1"/>
  <c r="BJ55" i="41" s="1"/>
  <c r="BB54" i="18"/>
  <c r="BC54" i="18" s="1"/>
  <c r="AV54" i="18" s="1"/>
  <c r="AV54" i="35"/>
  <c r="AW54" i="35" s="1"/>
  <c r="AP54" i="35" s="1"/>
  <c r="BA55" i="41" s="1"/>
  <c r="AY7" i="33"/>
  <c r="BO54" i="11"/>
  <c r="CU55" i="16"/>
  <c r="CV55" i="16" s="1"/>
  <c r="CO55" i="16" s="1"/>
  <c r="AO55" i="41" s="1"/>
  <c r="BB5" i="14"/>
  <c r="BF5" i="13"/>
  <c r="AU6" i="7"/>
  <c r="AZ5" i="12"/>
  <c r="BO7" i="11"/>
  <c r="BH6" i="26"/>
  <c r="AS54" i="36"/>
  <c r="AT54" i="36" s="1"/>
  <c r="AM54" i="36" s="1"/>
  <c r="BD55" i="41" s="1"/>
  <c r="EG8" i="1"/>
  <c r="BG54" i="10"/>
  <c r="BH54" i="26"/>
  <c r="AZ54" i="12"/>
  <c r="AS54" i="21"/>
  <c r="AT54" i="21" s="1"/>
  <c r="AM54" i="21" s="1"/>
  <c r="BM55" i="41" s="1"/>
  <c r="BB54" i="15"/>
  <c r="AY54" i="33"/>
  <c r="AS54" i="22"/>
  <c r="AT54" i="22" s="1"/>
  <c r="AM54" i="22" s="1"/>
  <c r="BP55" i="41" s="1"/>
  <c r="AS54" i="20"/>
  <c r="AT54" i="20" s="1"/>
  <c r="AM54" i="20" s="1"/>
  <c r="BG55" i="41" s="1"/>
  <c r="BD22" i="25"/>
  <c r="BA19" i="25"/>
  <c r="AX29" i="25"/>
  <c r="AO17" i="25"/>
  <c r="AO16" i="25"/>
  <c r="AU29" i="25"/>
  <c r="AU18" i="25"/>
  <c r="BJ8" i="25"/>
  <c r="BP33" i="25"/>
  <c r="BP32" i="25"/>
  <c r="AU32" i="25"/>
  <c r="BJ10" i="25"/>
  <c r="BG37" i="25"/>
  <c r="BG30" i="25"/>
  <c r="BG11" i="25"/>
  <c r="BA32" i="25"/>
  <c r="BP10" i="25"/>
  <c r="BP9" i="25"/>
  <c r="BS49" i="25"/>
  <c r="BS39" i="25"/>
  <c r="BS21" i="25"/>
  <c r="BS22" i="25"/>
  <c r="BG26" i="25"/>
  <c r="BD40" i="25"/>
  <c r="BJ11" i="25"/>
  <c r="BA11" i="25"/>
  <c r="AO42" i="25"/>
  <c r="BS43" i="25"/>
  <c r="BP11" i="25"/>
  <c r="AO51" i="25"/>
  <c r="AO50" i="25"/>
  <c r="AO52" i="25"/>
  <c r="AO15" i="25"/>
  <c r="AO14" i="25"/>
  <c r="BJ41" i="25"/>
  <c r="BJ40" i="25"/>
  <c r="BG14" i="25"/>
  <c r="BA15" i="25"/>
  <c r="BA33" i="25"/>
  <c r="BA9" i="25"/>
  <c r="BA34" i="25"/>
  <c r="BA26" i="25"/>
  <c r="AX37" i="25"/>
  <c r="AU52" i="25"/>
  <c r="AU51" i="25"/>
  <c r="BS20" i="25"/>
  <c r="BS14" i="25"/>
  <c r="BS50" i="25"/>
  <c r="BS23" i="25"/>
  <c r="BS28" i="25"/>
  <c r="BP18" i="25"/>
  <c r="BP12" i="25"/>
  <c r="BP31" i="25"/>
  <c r="BP13" i="25"/>
  <c r="BM51" i="25"/>
  <c r="BM47" i="25"/>
  <c r="BJ9" i="25"/>
  <c r="BG41" i="25"/>
  <c r="BD37" i="25"/>
  <c r="BD41" i="25"/>
  <c r="BA53" i="25"/>
  <c r="BA35" i="25"/>
  <c r="BA20" i="25"/>
  <c r="BA27" i="25"/>
  <c r="BA12" i="25"/>
  <c r="AX22" i="25"/>
  <c r="AX14" i="25"/>
  <c r="AU45" i="25"/>
  <c r="AU23" i="25"/>
  <c r="AU28" i="25"/>
  <c r="AU15" i="25"/>
  <c r="AU43" i="25"/>
  <c r="AU53" i="25"/>
  <c r="AU19" i="25"/>
  <c r="AR19" i="25"/>
  <c r="AR53" i="25"/>
  <c r="AR50" i="25"/>
  <c r="AR13" i="25"/>
  <c r="AO18" i="25"/>
  <c r="AO11" i="25"/>
  <c r="AO13" i="25"/>
  <c r="AO32" i="25"/>
  <c r="EO55" i="1"/>
  <c r="EQ53" i="1"/>
  <c r="EM53" i="1"/>
  <c r="EI53" i="1"/>
  <c r="EO52" i="1"/>
  <c r="EK51" i="1"/>
  <c r="EM50" i="1"/>
  <c r="EM49" i="1"/>
  <c r="ER48" i="1"/>
  <c r="EN48" i="1"/>
  <c r="ER45" i="1"/>
  <c r="EJ45" i="1"/>
  <c r="EL42" i="1"/>
  <c r="EP41" i="1"/>
  <c r="EL41" i="1"/>
  <c r="EP40" i="1"/>
  <c r="EP38" i="1"/>
  <c r="EK38" i="1"/>
  <c r="EJ38" i="1"/>
  <c r="ER35" i="1"/>
  <c r="EM35" i="1"/>
  <c r="EJ35" i="1"/>
  <c r="EI32" i="1"/>
  <c r="EM31" i="1"/>
  <c r="EK31" i="1"/>
  <c r="EQ29" i="1"/>
  <c r="EM29" i="1"/>
  <c r="EI29" i="1"/>
  <c r="EK28" i="1"/>
  <c r="ER25" i="1"/>
  <c r="EQ24" i="1"/>
  <c r="EL23" i="1"/>
  <c r="EL22" i="1"/>
  <c r="EK22" i="1"/>
  <c r="EK20" i="1"/>
  <c r="EP18" i="1"/>
  <c r="EK18" i="1"/>
  <c r="EJ17" i="1"/>
  <c r="EM16" i="1"/>
  <c r="EJ16" i="1"/>
  <c r="ER15" i="1"/>
  <c r="EO14" i="1"/>
  <c r="EM14" i="1"/>
  <c r="EI14" i="1"/>
  <c r="EQ13" i="1"/>
  <c r="EN13" i="1"/>
  <c r="EL13" i="1"/>
  <c r="EQ12" i="1"/>
  <c r="EN12" i="1"/>
  <c r="EQ10" i="1"/>
  <c r="ER9" i="1"/>
  <c r="EP9" i="1"/>
  <c r="ER8" i="1"/>
  <c r="EQ7" i="1"/>
  <c r="EM7" i="1"/>
  <c r="EI7" i="1"/>
  <c r="BP7" i="25" l="1"/>
  <c r="BP8" i="25"/>
  <c r="BA8" i="25"/>
  <c r="AX7" i="25"/>
  <c r="AX8" i="25"/>
  <c r="AU55" i="25"/>
  <c r="AU55" i="41"/>
  <c r="BA7" i="25"/>
  <c r="BA7" i="41"/>
  <c r="BS10" i="25"/>
  <c r="BS54" i="25"/>
  <c r="BS35" i="25"/>
  <c r="BS53" i="25"/>
  <c r="BS40" i="25"/>
  <c r="BS36" i="25"/>
  <c r="BP34" i="25"/>
  <c r="BM20" i="25"/>
  <c r="BM49" i="25"/>
  <c r="BM33" i="25"/>
  <c r="BJ7" i="25"/>
  <c r="BJ24" i="25"/>
  <c r="BJ33" i="25"/>
  <c r="BJ42" i="25"/>
  <c r="BJ6" i="25"/>
  <c r="BG10" i="25"/>
  <c r="BG40" i="25"/>
  <c r="BG36" i="25"/>
  <c r="BG27" i="25"/>
  <c r="BG23" i="25"/>
  <c r="BG7" i="25"/>
  <c r="BG45" i="25"/>
  <c r="BD12" i="25"/>
  <c r="BD55" i="25"/>
  <c r="BD36" i="25"/>
  <c r="BD21" i="25"/>
  <c r="BD25" i="25"/>
  <c r="BD39" i="25"/>
  <c r="BA16" i="25"/>
  <c r="BA55" i="25"/>
  <c r="AX27" i="25"/>
  <c r="AX48" i="25"/>
  <c r="AX55" i="25"/>
  <c r="AX32" i="25"/>
  <c r="AX40" i="25"/>
  <c r="AU40" i="25"/>
  <c r="AU50" i="25"/>
  <c r="AU22" i="25"/>
  <c r="AU26" i="25"/>
  <c r="AU54" i="25"/>
  <c r="AO49" i="25"/>
  <c r="AO35" i="25"/>
  <c r="AO47" i="25"/>
  <c r="AO55" i="25"/>
  <c r="AO19" i="25"/>
  <c r="EL6" i="1"/>
  <c r="EP6" i="1"/>
  <c r="EN17" i="1"/>
  <c r="EL11" i="1"/>
  <c r="EQ28" i="1"/>
  <c r="EP34" i="1"/>
  <c r="EM36" i="1"/>
  <c r="EO47" i="1"/>
  <c r="EP55" i="1"/>
  <c r="ER13" i="1"/>
  <c r="ER49" i="1"/>
  <c r="EL51" i="1"/>
  <c r="EM20" i="1"/>
  <c r="EN29" i="1"/>
  <c r="EQ31" i="1"/>
  <c r="EI45" i="1"/>
  <c r="EP46" i="1"/>
  <c r="EL47" i="1"/>
  <c r="EJ25" i="1"/>
  <c r="EP29" i="1"/>
  <c r="EN53" i="1"/>
  <c r="EJ21" i="1"/>
  <c r="EP21" i="1"/>
  <c r="EN43" i="1"/>
  <c r="EI49" i="1"/>
  <c r="EQ49" i="1"/>
  <c r="EO51" i="1"/>
  <c r="BG15" i="25"/>
  <c r="EK41" i="1"/>
  <c r="EN44" i="1"/>
  <c r="EL54" i="1"/>
  <c r="AO36" i="25"/>
  <c r="BP23" i="25"/>
  <c r="BP40" i="25"/>
  <c r="BP6" i="25"/>
  <c r="AU31" i="25"/>
  <c r="AX23" i="25"/>
  <c r="BD26" i="25"/>
  <c r="BA54" i="25"/>
  <c r="AO12" i="25"/>
  <c r="EQ16" i="1"/>
  <c r="EM44" i="1"/>
  <c r="EP47" i="1"/>
  <c r="EJ29" i="1"/>
  <c r="EN36" i="1"/>
  <c r="EQ39" i="1"/>
  <c r="AU12" i="25"/>
  <c r="BD46" i="25"/>
  <c r="EO12" i="1"/>
  <c r="ER21" i="1"/>
  <c r="EK23" i="1"/>
  <c r="EM10" i="1"/>
  <c r="EK16" i="1"/>
  <c r="EM17" i="1"/>
  <c r="ER17" i="1"/>
  <c r="EP19" i="1"/>
  <c r="EL24" i="1"/>
  <c r="EL27" i="1"/>
  <c r="EP27" i="1"/>
  <c r="EI30" i="1"/>
  <c r="EN32" i="1"/>
  <c r="ER32" i="1"/>
  <c r="EK33" i="1"/>
  <c r="EL34" i="1"/>
  <c r="EN35" i="1"/>
  <c r="EM41" i="1"/>
  <c r="EP43" i="1"/>
  <c r="EK47" i="1"/>
  <c r="EL50" i="1"/>
  <c r="EN52" i="1"/>
  <c r="ER53" i="1"/>
  <c r="BG13" i="25"/>
  <c r="BJ34" i="25"/>
  <c r="BM10" i="25"/>
  <c r="EQ6" i="1"/>
  <c r="EM9" i="1"/>
  <c r="EJ14" i="1"/>
  <c r="EL14" i="1"/>
  <c r="EO16" i="1"/>
  <c r="ER16" i="1"/>
  <c r="ER18" i="1"/>
  <c r="EO33" i="1"/>
  <c r="EK34" i="1"/>
  <c r="EK40" i="1"/>
  <c r="EJ44" i="1"/>
  <c r="EL45" i="1"/>
  <c r="EI46" i="1"/>
  <c r="EN51" i="1"/>
  <c r="AR22" i="25"/>
  <c r="AR12" i="25"/>
  <c r="AR24" i="25"/>
  <c r="AR46" i="25"/>
  <c r="BA46" i="25"/>
  <c r="BA22" i="25"/>
  <c r="BA42" i="25"/>
  <c r="BA44" i="25"/>
  <c r="BD30" i="25"/>
  <c r="BP52" i="25"/>
  <c r="BP36" i="25"/>
  <c r="BP46" i="25"/>
  <c r="BD8" i="25"/>
  <c r="BD16" i="25"/>
  <c r="BD18" i="25"/>
  <c r="BD32" i="25"/>
  <c r="BD28" i="25"/>
  <c r="BD43" i="25"/>
  <c r="BD7" i="25"/>
  <c r="BD19" i="25"/>
  <c r="BD44" i="25"/>
  <c r="BM29" i="25"/>
  <c r="BM42" i="25"/>
  <c r="BM50" i="25"/>
  <c r="BM8" i="25"/>
  <c r="BS44" i="25"/>
  <c r="AX6" i="25"/>
  <c r="AO27" i="25"/>
  <c r="AR26" i="25"/>
  <c r="AU8" i="25"/>
  <c r="AX33" i="25"/>
  <c r="BA45" i="25"/>
  <c r="BA49" i="25"/>
  <c r="BA40" i="25"/>
  <c r="BJ30" i="25"/>
  <c r="BJ53" i="25"/>
  <c r="BJ22" i="25"/>
  <c r="BJ25" i="25"/>
  <c r="BM14" i="25"/>
  <c r="BM23" i="25"/>
  <c r="BP20" i="25"/>
  <c r="BP24" i="25"/>
  <c r="AO40" i="25"/>
  <c r="AR39" i="25"/>
  <c r="AR33" i="25"/>
  <c r="AR10" i="25"/>
  <c r="AR25" i="25"/>
  <c r="AR45" i="25"/>
  <c r="AR51" i="25"/>
  <c r="AR9" i="25"/>
  <c r="AU35" i="25"/>
  <c r="AX38" i="25"/>
  <c r="AX35" i="25"/>
  <c r="BD42" i="25"/>
  <c r="BG18" i="25"/>
  <c r="BG22" i="25"/>
  <c r="BJ20" i="25"/>
  <c r="BJ32" i="25"/>
  <c r="BJ17" i="25"/>
  <c r="BM11" i="25"/>
  <c r="BS45" i="25"/>
  <c r="BS47" i="25"/>
  <c r="BA6" i="25"/>
  <c r="BS12" i="25"/>
  <c r="BP38" i="25"/>
  <c r="BP27" i="25"/>
  <c r="BP54" i="25"/>
  <c r="AO38" i="25"/>
  <c r="BS34" i="25"/>
  <c r="BS29" i="25"/>
  <c r="BS31" i="25"/>
  <c r="BS9" i="25"/>
  <c r="BS18" i="25"/>
  <c r="BS46" i="25"/>
  <c r="BS11" i="25"/>
  <c r="BS19" i="25"/>
  <c r="BS30" i="25"/>
  <c r="BS26" i="25"/>
  <c r="BS51" i="25"/>
  <c r="BS55" i="25"/>
  <c r="BS25" i="25"/>
  <c r="BS24" i="25"/>
  <c r="BS32" i="25"/>
  <c r="BS33" i="25"/>
  <c r="BS52" i="25"/>
  <c r="BS42" i="25"/>
  <c r="BS38" i="25"/>
  <c r="BS48" i="25"/>
  <c r="BS8" i="25"/>
  <c r="BS16" i="25"/>
  <c r="BP25" i="25"/>
  <c r="BP15" i="25"/>
  <c r="BP17" i="25"/>
  <c r="BP35" i="25"/>
  <c r="BP45" i="25"/>
  <c r="BP42" i="25"/>
  <c r="BP19" i="25"/>
  <c r="BP44" i="25"/>
  <c r="BP14" i="25"/>
  <c r="BP21" i="25"/>
  <c r="BP29" i="25"/>
  <c r="BP39" i="25"/>
  <c r="BP43" i="25"/>
  <c r="BP50" i="25"/>
  <c r="BP48" i="25"/>
  <c r="BP55" i="25"/>
  <c r="BP28" i="25"/>
  <c r="BP37" i="25"/>
  <c r="BM31" i="25"/>
  <c r="BM34" i="25"/>
  <c r="BM41" i="25"/>
  <c r="BM35" i="25"/>
  <c r="BM7" i="25"/>
  <c r="BM15" i="25"/>
  <c r="BM36" i="25"/>
  <c r="BM9" i="25"/>
  <c r="BM19" i="25"/>
  <c r="BM30" i="25"/>
  <c r="BM53" i="25"/>
  <c r="BM39" i="25"/>
  <c r="BM43" i="25"/>
  <c r="BM13" i="25"/>
  <c r="BM22" i="25"/>
  <c r="BM44" i="25"/>
  <c r="BM12" i="25"/>
  <c r="BM45" i="25"/>
  <c r="BM25" i="25"/>
  <c r="BM37" i="25"/>
  <c r="BM26" i="25"/>
  <c r="AO44" i="25"/>
  <c r="AO25" i="25"/>
  <c r="AO39" i="25"/>
  <c r="AO10" i="25"/>
  <c r="AO30" i="25"/>
  <c r="AO33" i="25"/>
  <c r="AO46" i="25"/>
  <c r="AO53" i="25"/>
  <c r="AO23" i="25"/>
  <c r="AO7" i="25"/>
  <c r="AO43" i="25"/>
  <c r="AO20" i="25"/>
  <c r="AO54" i="25"/>
  <c r="AO9" i="25"/>
  <c r="AO8" i="25"/>
  <c r="AO28" i="25"/>
  <c r="AO31" i="25"/>
  <c r="AO29" i="25"/>
  <c r="ER6" i="1"/>
  <c r="EM6" i="1"/>
  <c r="BJ49" i="25"/>
  <c r="BJ18" i="25"/>
  <c r="BJ44" i="25"/>
  <c r="BD27" i="25"/>
  <c r="BD9" i="25"/>
  <c r="BD53" i="25"/>
  <c r="BA10" i="25"/>
  <c r="BA43" i="25"/>
  <c r="AX45" i="25"/>
  <c r="AX42" i="25"/>
  <c r="AX25" i="25"/>
  <c r="AX43" i="25"/>
  <c r="AX31" i="25"/>
  <c r="AX34" i="25"/>
  <c r="AX53" i="25"/>
  <c r="AU13" i="25"/>
  <c r="AU42" i="25"/>
  <c r="AR38" i="25"/>
  <c r="BJ36" i="25"/>
  <c r="BJ27" i="25"/>
  <c r="BJ14" i="25"/>
  <c r="BJ26" i="25"/>
  <c r="BJ12" i="25"/>
  <c r="BJ45" i="25"/>
  <c r="BJ51" i="25"/>
  <c r="BJ43" i="25"/>
  <c r="BJ55" i="25"/>
  <c r="BJ35" i="25"/>
  <c r="BJ28" i="25"/>
  <c r="BJ39" i="25"/>
  <c r="BJ54" i="25"/>
  <c r="BJ46" i="25"/>
  <c r="BJ47" i="25"/>
  <c r="BJ21" i="25"/>
  <c r="BJ23" i="25"/>
  <c r="BJ38" i="25"/>
  <c r="BJ15" i="25"/>
  <c r="BG25" i="25"/>
  <c r="BG12" i="25"/>
  <c r="BG53" i="25"/>
  <c r="BG16" i="25"/>
  <c r="BG52" i="25"/>
  <c r="BG21" i="25"/>
  <c r="BG48" i="25"/>
  <c r="BG31" i="25"/>
  <c r="BG39" i="25"/>
  <c r="BG54" i="25"/>
  <c r="BG29" i="25"/>
  <c r="BG46" i="25"/>
  <c r="BG44" i="25"/>
  <c r="BG50" i="25"/>
  <c r="BG51" i="25"/>
  <c r="BG6" i="25"/>
  <c r="BG8" i="25"/>
  <c r="BG35" i="25"/>
  <c r="BG43" i="25"/>
  <c r="BG34" i="25"/>
  <c r="BG47" i="25"/>
  <c r="BG19" i="25"/>
  <c r="BG9" i="25"/>
  <c r="BG17" i="25"/>
  <c r="BD15" i="25"/>
  <c r="BD49" i="25"/>
  <c r="BD47" i="25"/>
  <c r="BD34" i="25"/>
  <c r="BD17" i="25"/>
  <c r="BD24" i="25"/>
  <c r="BD45" i="25"/>
  <c r="BD6" i="25"/>
  <c r="BD14" i="25"/>
  <c r="BD50" i="25"/>
  <c r="BD35" i="25"/>
  <c r="BD54" i="25"/>
  <c r="BD38" i="25"/>
  <c r="BA36" i="25"/>
  <c r="BA30" i="25"/>
  <c r="BA51" i="25"/>
  <c r="BA23" i="25"/>
  <c r="BA14" i="25"/>
  <c r="BA41" i="25"/>
  <c r="BA24" i="25"/>
  <c r="BA28" i="25"/>
  <c r="BA18" i="25"/>
  <c r="AX50" i="25"/>
  <c r="AX41" i="25"/>
  <c r="AX47" i="25"/>
  <c r="AX51" i="25"/>
  <c r="AX16" i="25"/>
  <c r="AX12" i="25"/>
  <c r="AX10" i="25"/>
  <c r="AX18" i="25"/>
  <c r="AX46" i="25"/>
  <c r="AX36" i="25"/>
  <c r="AX20" i="25"/>
  <c r="AX15" i="25"/>
  <c r="AX49" i="25"/>
  <c r="AX13" i="25"/>
  <c r="AU44" i="25"/>
  <c r="AU10" i="25"/>
  <c r="AU39" i="25"/>
  <c r="AU33" i="25"/>
  <c r="AU36" i="25"/>
  <c r="AU24" i="25"/>
  <c r="AU41" i="25"/>
  <c r="AU27" i="25"/>
  <c r="AU30" i="25"/>
  <c r="AU21" i="25"/>
  <c r="AU48" i="25"/>
  <c r="AU37" i="25"/>
  <c r="AU49" i="25"/>
  <c r="AU17" i="25"/>
  <c r="AR27" i="25"/>
  <c r="AR48" i="25"/>
  <c r="AR15" i="25"/>
  <c r="AR7" i="25"/>
  <c r="AR35" i="25"/>
  <c r="AR47" i="25"/>
  <c r="AR23" i="25"/>
  <c r="AR20" i="25"/>
  <c r="AR18" i="25"/>
  <c r="AR28" i="25"/>
  <c r="AR32" i="25"/>
  <c r="AR30" i="25"/>
  <c r="AR14" i="25"/>
  <c r="AR6" i="25"/>
  <c r="AR42" i="25"/>
  <c r="AR34" i="25"/>
  <c r="AR37" i="25"/>
  <c r="AR41" i="25"/>
  <c r="AR44" i="25"/>
  <c r="AR49" i="25"/>
  <c r="AR43" i="25"/>
  <c r="AR54" i="25"/>
  <c r="AR55" i="25"/>
  <c r="BS6" i="25"/>
  <c r="BM6" i="25"/>
  <c r="AU6" i="25"/>
  <c r="AO6" i="25"/>
  <c r="BS27" i="25"/>
  <c r="BS7" i="25"/>
  <c r="BS13" i="25"/>
  <c r="BS37" i="25"/>
  <c r="BS15" i="25"/>
  <c r="BS17" i="25"/>
  <c r="BS41" i="25"/>
  <c r="BP47" i="25"/>
  <c r="BP41" i="25"/>
  <c r="BP49" i="25"/>
  <c r="BP16" i="25"/>
  <c r="BP26" i="25"/>
  <c r="BP30" i="25"/>
  <c r="BP51" i="25"/>
  <c r="BP53" i="25"/>
  <c r="BP22" i="25"/>
  <c r="BM28" i="25"/>
  <c r="BM24" i="25"/>
  <c r="BM38" i="25"/>
  <c r="BM18" i="25"/>
  <c r="BM48" i="25"/>
  <c r="BM27" i="25"/>
  <c r="BM32" i="25"/>
  <c r="BM54" i="25"/>
  <c r="BM46" i="25"/>
  <c r="BM16" i="25"/>
  <c r="BM21" i="25"/>
  <c r="BM17" i="25"/>
  <c r="BM55" i="25"/>
  <c r="BM40" i="25"/>
  <c r="BM52" i="25"/>
  <c r="BJ31" i="25"/>
  <c r="BJ29" i="25"/>
  <c r="BJ50" i="25"/>
  <c r="BJ37" i="25"/>
  <c r="BJ52" i="25"/>
  <c r="BJ48" i="25"/>
  <c r="BJ16" i="25"/>
  <c r="BJ13" i="25"/>
  <c r="BJ19" i="25"/>
  <c r="BG33" i="25"/>
  <c r="BG55" i="25"/>
  <c r="BG28" i="25"/>
  <c r="BG38" i="25"/>
  <c r="BG49" i="25"/>
  <c r="BG32" i="25"/>
  <c r="BG20" i="25"/>
  <c r="BG24" i="25"/>
  <c r="BG42" i="25"/>
  <c r="BD51" i="25"/>
  <c r="BD11" i="25"/>
  <c r="BD31" i="25"/>
  <c r="BD29" i="25"/>
  <c r="BD52" i="25"/>
  <c r="BD20" i="25"/>
  <c r="BD13" i="25"/>
  <c r="BD48" i="25"/>
  <c r="BD33" i="25"/>
  <c r="BD10" i="25"/>
  <c r="BD23" i="25"/>
  <c r="BA47" i="25"/>
  <c r="BA31" i="25"/>
  <c r="BA21" i="25"/>
  <c r="BA38" i="25"/>
  <c r="BA29" i="25"/>
  <c r="BA39" i="25"/>
  <c r="BA13" i="25"/>
  <c r="BA17" i="25"/>
  <c r="BA52" i="25"/>
  <c r="BA25" i="25"/>
  <c r="BA37" i="25"/>
  <c r="BA48" i="25"/>
  <c r="BA50" i="25"/>
  <c r="AX19" i="25"/>
  <c r="AX9" i="25"/>
  <c r="AX17" i="25"/>
  <c r="AX24" i="25"/>
  <c r="AX39" i="25"/>
  <c r="AX52" i="25"/>
  <c r="AX21" i="25"/>
  <c r="AX11" i="25"/>
  <c r="AX28" i="25"/>
  <c r="AX30" i="25"/>
  <c r="AX54" i="25"/>
  <c r="AX26" i="25"/>
  <c r="AX44" i="25"/>
  <c r="AU11" i="25"/>
  <c r="AU34" i="25"/>
  <c r="AU47" i="25"/>
  <c r="AU14" i="25"/>
  <c r="AU20" i="25"/>
  <c r="AU46" i="25"/>
  <c r="AU38" i="25"/>
  <c r="AU16" i="25"/>
  <c r="AU7" i="25"/>
  <c r="AU25" i="25"/>
  <c r="AU9" i="25"/>
  <c r="AR29" i="25"/>
  <c r="AR16" i="25"/>
  <c r="AR21" i="25"/>
  <c r="AR8" i="25"/>
  <c r="AR11" i="25"/>
  <c r="AR40" i="25"/>
  <c r="AR52" i="25"/>
  <c r="AR31" i="25"/>
  <c r="AR36" i="25"/>
  <c r="AR17" i="25"/>
  <c r="AO22" i="25"/>
  <c r="AO48" i="25"/>
  <c r="AO21" i="25"/>
  <c r="AO26" i="25"/>
  <c r="AO45" i="25"/>
  <c r="AO34" i="25"/>
  <c r="AO24" i="25"/>
  <c r="AO37" i="25"/>
  <c r="AO41" i="25"/>
  <c r="EI8" i="1"/>
  <c r="EJ8" i="1"/>
  <c r="EK8" i="1"/>
  <c r="EM8" i="1"/>
  <c r="EP8" i="1"/>
  <c r="EN10" i="1"/>
  <c r="EM13" i="1"/>
  <c r="EQ17" i="1"/>
  <c r="EM24" i="1"/>
  <c r="EQ25" i="1"/>
  <c r="ER26" i="1"/>
  <c r="EJ6" i="1"/>
  <c r="EL7" i="1"/>
  <c r="EP11" i="1"/>
  <c r="ER12" i="1"/>
  <c r="EL15" i="1"/>
  <c r="EO19" i="1"/>
  <c r="EQ19" i="1"/>
  <c r="EJ20" i="1"/>
  <c r="EO22" i="1"/>
  <c r="EJ24" i="1"/>
  <c r="EN25" i="1"/>
  <c r="EK26" i="1"/>
  <c r="EL28" i="1"/>
  <c r="EN28" i="1"/>
  <c r="EJ30" i="1"/>
  <c r="EN30" i="1"/>
  <c r="ER36" i="1"/>
  <c r="EN6" i="1"/>
  <c r="EK7" i="1"/>
  <c r="EP7" i="1"/>
  <c r="ER7" i="1"/>
  <c r="EJ9" i="1"/>
  <c r="EQ9" i="1"/>
  <c r="EJ10" i="1"/>
  <c r="EM11" i="1"/>
  <c r="EO11" i="1"/>
  <c r="EM12" i="1"/>
  <c r="EI13" i="1"/>
  <c r="EP14" i="1"/>
  <c r="ER14" i="1"/>
  <c r="EI15" i="1"/>
  <c r="EK15" i="1"/>
  <c r="EP15" i="1"/>
  <c r="EL16" i="1"/>
  <c r="EN16" i="1"/>
  <c r="EI17" i="1"/>
  <c r="EK17" i="1"/>
  <c r="EO18" i="1"/>
  <c r="EL19" i="1"/>
  <c r="EQ20" i="1"/>
  <c r="EN21" i="1"/>
  <c r="EM25" i="1"/>
  <c r="EJ26" i="1"/>
  <c r="EI28" i="1"/>
  <c r="EK29" i="1"/>
  <c r="EK42" i="1"/>
  <c r="EK6" i="1"/>
  <c r="EJ7" i="1"/>
  <c r="EP10" i="1"/>
  <c r="EO13" i="1"/>
  <c r="EO17" i="1"/>
  <c r="ER22" i="1"/>
  <c r="EO6" i="1"/>
  <c r="EN7" i="1"/>
  <c r="EK10" i="1"/>
  <c r="EI12" i="1"/>
  <c r="EP12" i="1"/>
  <c r="EJ13" i="1"/>
  <c r="EI6" i="1"/>
  <c r="EO7" i="1"/>
  <c r="EL8" i="1"/>
  <c r="EI9" i="1"/>
  <c r="EL12" i="1"/>
  <c r="EO15" i="1"/>
  <c r="EI16" i="1"/>
  <c r="EL18" i="1"/>
  <c r="EN18" i="1"/>
  <c r="EK19" i="1"/>
  <c r="EN20" i="1"/>
  <c r="EP20" i="1"/>
  <c r="EI21" i="1"/>
  <c r="EK21" i="1"/>
  <c r="EO23" i="1"/>
  <c r="EP24" i="1"/>
  <c r="ER24" i="1"/>
  <c r="EK27" i="1"/>
  <c r="EM27" i="1"/>
  <c r="EN8" i="1"/>
  <c r="ER10" i="1"/>
  <c r="EO10" i="1"/>
  <c r="EJ11" i="1"/>
  <c r="EK13" i="1"/>
  <c r="EN14" i="1"/>
  <c r="EK14" i="1"/>
  <c r="EQ15" i="1"/>
  <c r="EP16" i="1"/>
  <c r="EJ18" i="1"/>
  <c r="EM19" i="1"/>
  <c r="EQ23" i="1"/>
  <c r="ER28" i="1"/>
  <c r="EP30" i="1"/>
  <c r="EL31" i="1"/>
  <c r="EJ32" i="1"/>
  <c r="EL37" i="1"/>
  <c r="ER37" i="1"/>
  <c r="EO40" i="1"/>
  <c r="EO45" i="1"/>
  <c r="EJ46" i="1"/>
  <c r="ER54" i="1"/>
  <c r="EK9" i="1"/>
  <c r="EQ11" i="1"/>
  <c r="EK11" i="1"/>
  <c r="EM15" i="1"/>
  <c r="EI19" i="1"/>
  <c r="EO21" i="1"/>
  <c r="EO25" i="1"/>
  <c r="EM28" i="1"/>
  <c r="EO30" i="1"/>
  <c r="EL33" i="1"/>
  <c r="EN33" i="1"/>
  <c r="EQ34" i="1"/>
  <c r="EO36" i="1"/>
  <c r="EI37" i="1"/>
  <c r="EN39" i="1"/>
  <c r="EJ42" i="1"/>
  <c r="EM42" i="1"/>
  <c r="EO42" i="1"/>
  <c r="EM45" i="1"/>
  <c r="ER46" i="1"/>
  <c r="EP51" i="1"/>
  <c r="EL10" i="1"/>
  <c r="EI18" i="1"/>
  <c r="EI20" i="1"/>
  <c r="EK25" i="1"/>
  <c r="EL26" i="1"/>
  <c r="EO28" i="1"/>
  <c r="EQ32" i="1"/>
  <c r="EI34" i="1"/>
  <c r="EN34" i="1"/>
  <c r="EP35" i="1"/>
  <c r="EL36" i="1"/>
  <c r="EO37" i="1"/>
  <c r="EI40" i="1"/>
  <c r="EN40" i="1"/>
  <c r="ER41" i="1"/>
  <c r="EP42" i="1"/>
  <c r="EL43" i="1"/>
  <c r="EO43" i="1"/>
  <c r="EQ43" i="1"/>
  <c r="EI44" i="1"/>
  <c r="EO44" i="1"/>
  <c r="EP44" i="1"/>
  <c r="EI51" i="1"/>
  <c r="EQ51" i="1"/>
  <c r="EJ52" i="1"/>
  <c r="EK55" i="1"/>
  <c r="EO9" i="1"/>
  <c r="EP13" i="1"/>
  <c r="ER19" i="1"/>
  <c r="EL20" i="1"/>
  <c r="EI23" i="1"/>
  <c r="EI27" i="1"/>
  <c r="EP28" i="1"/>
  <c r="EI31" i="1"/>
  <c r="EN31" i="1"/>
  <c r="EL35" i="1"/>
  <c r="EN37" i="1"/>
  <c r="EQ37" i="1"/>
  <c r="EN41" i="1"/>
  <c r="EI42" i="1"/>
  <c r="EQ45" i="1"/>
  <c r="EM23" i="1"/>
  <c r="EQ27" i="1"/>
  <c r="EL30" i="1"/>
  <c r="EP32" i="1"/>
  <c r="EI33" i="1"/>
  <c r="EJ33" i="1"/>
  <c r="EP33" i="1"/>
  <c r="EO34" i="1"/>
  <c r="EI35" i="1"/>
  <c r="EQ36" i="1"/>
  <c r="EJ37" i="1"/>
  <c r="ER38" i="1"/>
  <c r="ER20" i="1"/>
  <c r="EN24" i="1"/>
  <c r="EO26" i="1"/>
  <c r="EJ28" i="1"/>
  <c r="EO29" i="1"/>
  <c r="EK30" i="1"/>
  <c r="EK32" i="1"/>
  <c r="EM32" i="1"/>
  <c r="EP37" i="1"/>
  <c r="EM38" i="1"/>
  <c r="EO38" i="1"/>
  <c r="EL38" i="1"/>
  <c r="ER39" i="1"/>
  <c r="ER40" i="1"/>
  <c r="EO41" i="1"/>
  <c r="EQ42" i="1"/>
  <c r="EI43" i="1"/>
  <c r="EP52" i="1"/>
  <c r="ER52" i="1"/>
  <c r="EN54" i="1"/>
  <c r="EJ31" i="1"/>
  <c r="EO32" i="1"/>
  <c r="EQ35" i="1"/>
  <c r="EI36" i="1"/>
  <c r="EI38" i="1"/>
  <c r="EQ38" i="1"/>
  <c r="EI39" i="1"/>
  <c r="EL46" i="1"/>
  <c r="EM48" i="1"/>
  <c r="EJ49" i="1"/>
  <c r="EP50" i="1"/>
  <c r="EP31" i="1"/>
  <c r="EM34" i="1"/>
  <c r="EK36" i="1"/>
  <c r="EM43" i="1"/>
  <c r="EL44" i="1"/>
  <c r="EK45" i="1"/>
  <c r="EN46" i="1"/>
  <c r="EO46" i="1"/>
  <c r="EQ46" i="1"/>
  <c r="EI47" i="1"/>
  <c r="EN47" i="1"/>
  <c r="EQ47" i="1"/>
  <c r="EL48" i="1"/>
  <c r="EK49" i="1"/>
  <c r="EN49" i="1"/>
  <c r="EN50" i="1"/>
  <c r="EI52" i="1"/>
  <c r="EQ52" i="1"/>
  <c r="EL53" i="1"/>
  <c r="EO53" i="1"/>
  <c r="EL55" i="1"/>
  <c r="EQ44" i="1"/>
  <c r="EJ47" i="1"/>
  <c r="EM47" i="1"/>
  <c r="ER47" i="1"/>
  <c r="EK48" i="1"/>
  <c r="EK50" i="1"/>
  <c r="ER50" i="1"/>
  <c r="EL52" i="1"/>
  <c r="EJ53" i="1"/>
  <c r="EJ54" i="1"/>
  <c r="EO54" i="1"/>
  <c r="EJ55" i="1"/>
  <c r="EM55" i="1"/>
  <c r="ER55" i="1"/>
  <c r="EP48" i="1"/>
  <c r="EO50" i="1"/>
  <c r="EM51" i="1"/>
  <c r="EK54" i="1"/>
  <c r="EI55" i="1"/>
  <c r="EQ55" i="1"/>
  <c r="EI48" i="1"/>
  <c r="EQ48" i="1"/>
  <c r="EO49" i="1"/>
  <c r="EM52" i="1"/>
  <c r="EK53" i="1"/>
  <c r="EQ8" i="1" l="1"/>
  <c r="EJ48" i="1"/>
  <c r="EJ23" i="1"/>
  <c r="EK46" i="1"/>
  <c r="EJ36" i="1"/>
  <c r="EJ40" i="1"/>
  <c r="EP23" i="1"/>
  <c r="EJ39" i="1"/>
  <c r="EI26" i="1"/>
  <c r="EO24" i="1"/>
  <c r="EM39" i="1"/>
  <c r="EL17" i="1"/>
  <c r="EL39" i="1"/>
  <c r="EJ50" i="1"/>
  <c r="EN9" i="1"/>
  <c r="EQ21" i="1"/>
  <c r="EI11" i="1"/>
  <c r="EN22" i="1"/>
  <c r="EN26" i="1"/>
  <c r="ER31" i="1"/>
  <c r="ER44" i="1"/>
  <c r="EM26" i="1"/>
  <c r="EN19" i="1"/>
  <c r="EJ12" i="1"/>
  <c r="EP54" i="1"/>
  <c r="EL25" i="1"/>
  <c r="ER29" i="1"/>
  <c r="EO8" i="1"/>
  <c r="EK37" i="1"/>
  <c r="EP26" i="1"/>
  <c r="EI24" i="1"/>
  <c r="EM22" i="1"/>
  <c r="ER27" i="1"/>
  <c r="EP22" i="1"/>
  <c r="EN45" i="1"/>
  <c r="EP53" i="1"/>
  <c r="EO39" i="1"/>
  <c r="EN27" i="1"/>
  <c r="EI22" i="1"/>
  <c r="EJ27" i="1"/>
  <c r="EQ22" i="1"/>
  <c r="ER51" i="1"/>
  <c r="EO48" i="1"/>
  <c r="EK52" i="1"/>
  <c r="ER42" i="1"/>
  <c r="EN42" i="1"/>
  <c r="EP17" i="1"/>
  <c r="EM21" i="1"/>
  <c r="EQ18" i="1"/>
  <c r="EQ50" i="1"/>
  <c r="EL49" i="1"/>
  <c r="EQ54" i="1"/>
  <c r="EP45" i="1"/>
  <c r="EI54" i="1"/>
  <c r="EI41" i="1"/>
  <c r="EP36" i="1"/>
  <c r="EJ41" i="1"/>
  <c r="EQ41" i="1"/>
  <c r="EP39" i="1"/>
  <c r="ER33" i="1"/>
  <c r="EL32" i="1"/>
  <c r="EQ30" i="1"/>
  <c r="EK24" i="1"/>
  <c r="ER30" i="1"/>
  <c r="EL29" i="1"/>
  <c r="EJ15" i="1"/>
  <c r="EP25" i="1"/>
  <c r="EN15" i="1"/>
  <c r="EJ51" i="1"/>
  <c r="EK44" i="1"/>
  <c r="EQ33" i="1"/>
  <c r="EO31" i="1"/>
  <c r="ER43" i="1"/>
  <c r="EQ40" i="1"/>
  <c r="EI25" i="1"/>
  <c r="EM18" i="1"/>
  <c r="EM46" i="1"/>
  <c r="EM37" i="1"/>
  <c r="EK35" i="1"/>
  <c r="EL21" i="1"/>
  <c r="EJ22" i="1"/>
  <c r="EN11" i="1"/>
  <c r="EJ19" i="1"/>
  <c r="EK12" i="1"/>
  <c r="EL9" i="1"/>
  <c r="EM54" i="1"/>
  <c r="EI50" i="1"/>
  <c r="EN55" i="1"/>
  <c r="EJ43" i="1"/>
  <c r="EL40" i="1"/>
  <c r="EJ34" i="1"/>
  <c r="ER34" i="1"/>
  <c r="EP49" i="1"/>
  <c r="EM40" i="1"/>
  <c r="EK39" i="1"/>
  <c r="EN38" i="1"/>
  <c r="EM33" i="1"/>
  <c r="ER23" i="1"/>
  <c r="EM30" i="1"/>
  <c r="EQ26" i="1"/>
  <c r="EN23" i="1"/>
  <c r="EO20" i="1"/>
  <c r="EQ14" i="1"/>
  <c r="EK43" i="1"/>
  <c r="EO35" i="1"/>
  <c r="EO27" i="1"/>
  <c r="ER11" i="1"/>
  <c r="EI10" i="1"/>
  <c r="F101" i="30"/>
  <c r="I93" i="30"/>
  <c r="D6" i="30"/>
  <c r="D5" i="30"/>
  <c r="K42" i="29"/>
  <c r="K41" i="29"/>
  <c r="A15" i="28"/>
  <c r="A14" i="28"/>
  <c r="BR35" i="25" l="1"/>
  <c r="BR45" i="25"/>
  <c r="BR27" i="25"/>
  <c r="BR41" i="25"/>
  <c r="BO16" i="25"/>
  <c r="BO39" i="25"/>
  <c r="BO31" i="25"/>
  <c r="BO24" i="25"/>
  <c r="BL36" i="25"/>
  <c r="BL22" i="25"/>
  <c r="BR51" i="25"/>
  <c r="BO53" i="25"/>
  <c r="BL52" i="25"/>
  <c r="BL29" i="25"/>
  <c r="BL25" i="25"/>
  <c r="BL24" i="25"/>
  <c r="BL18" i="25"/>
  <c r="BR43" i="25"/>
  <c r="BO9" i="25"/>
  <c r="BL53" i="25"/>
  <c r="BL44" i="25"/>
  <c r="BL28" i="25"/>
  <c r="BI14" i="25"/>
  <c r="BF36" i="25"/>
  <c r="BC33" i="25"/>
  <c r="BR53" i="25"/>
  <c r="BI45" i="25"/>
  <c r="BI27" i="25"/>
  <c r="BI10" i="25"/>
  <c r="BF51" i="25"/>
  <c r="BF47" i="25"/>
  <c r="BF26" i="25"/>
  <c r="BF18" i="25"/>
  <c r="BF10" i="25"/>
  <c r="BC50" i="25"/>
  <c r="BC47" i="25"/>
  <c r="BC25" i="25"/>
  <c r="BC19" i="25"/>
  <c r="BC8" i="25"/>
  <c r="BR7" i="25"/>
  <c r="BO30" i="25"/>
  <c r="BL20" i="25"/>
  <c r="BF53" i="25"/>
  <c r="BF12" i="25"/>
  <c r="BC52" i="25"/>
  <c r="BC30" i="25"/>
  <c r="BC27" i="25"/>
  <c r="BC9" i="25"/>
  <c r="BR49" i="25"/>
  <c r="BL48" i="25"/>
  <c r="BL38" i="25"/>
  <c r="BI52" i="25"/>
  <c r="BI35" i="25"/>
  <c r="BI21" i="25"/>
  <c r="BI15" i="25"/>
  <c r="BF30" i="25"/>
  <c r="BF14" i="25"/>
  <c r="BC13" i="25"/>
  <c r="AZ52" i="25"/>
  <c r="AZ49" i="25"/>
  <c r="AZ48" i="25"/>
  <c r="BO14" i="25"/>
  <c r="BI29" i="25"/>
  <c r="BI8" i="25"/>
  <c r="BC35" i="25"/>
  <c r="BC31" i="25"/>
  <c r="AZ19" i="25"/>
  <c r="BI48" i="25"/>
  <c r="BF28" i="25"/>
  <c r="BF16" i="25"/>
  <c r="BC37" i="25"/>
  <c r="BC21" i="25"/>
  <c r="BC17" i="25"/>
  <c r="AZ33" i="25"/>
  <c r="AZ32" i="25"/>
  <c r="AZ21" i="25"/>
  <c r="AZ11" i="25"/>
  <c r="AZ53" i="25"/>
  <c r="AZ13" i="25"/>
  <c r="BR19" i="25"/>
  <c r="BL41" i="25"/>
  <c r="BC49" i="25"/>
  <c r="BC45" i="25"/>
  <c r="BC7" i="25"/>
  <c r="AW52" i="25"/>
  <c r="BI9" i="25"/>
  <c r="BF24" i="25"/>
  <c r="BF8" i="25"/>
  <c r="AT29" i="25"/>
  <c r="AT14" i="25"/>
  <c r="AQ36" i="25"/>
  <c r="AQ21" i="25"/>
  <c r="BC11" i="25"/>
  <c r="AZ45" i="25"/>
  <c r="AT26" i="25"/>
  <c r="AQ40" i="25"/>
  <c r="AQ22" i="25"/>
  <c r="AN18" i="25"/>
  <c r="AZ35" i="25"/>
  <c r="AZ15" i="25"/>
  <c r="AW24" i="25"/>
  <c r="AW11" i="25"/>
  <c r="AT48" i="25"/>
  <c r="AT34" i="25"/>
  <c r="AQ33" i="25"/>
  <c r="AQ29" i="25"/>
  <c r="AQ25" i="25"/>
  <c r="AQ17" i="25"/>
  <c r="AN27" i="25"/>
  <c r="AN8" i="25"/>
  <c r="AT20" i="25"/>
  <c r="BL14" i="25"/>
  <c r="AZ44" i="25"/>
  <c r="AT42" i="25"/>
  <c r="AN43" i="25"/>
  <c r="AN22" i="25"/>
  <c r="AN50" i="25"/>
  <c r="AN55" i="25"/>
  <c r="AN40" i="25"/>
  <c r="AT27" i="25"/>
  <c r="AQ19" i="25"/>
  <c r="AW10" i="25"/>
  <c r="AW20" i="25"/>
  <c r="AZ41" i="25"/>
  <c r="AZ47" i="25"/>
  <c r="AQ35" i="25"/>
  <c r="AZ26" i="25"/>
  <c r="BO15" i="25"/>
  <c r="AN39" i="25"/>
  <c r="AN53" i="25"/>
  <c r="AQ9" i="25"/>
  <c r="AQ30" i="25"/>
  <c r="AQ41" i="25"/>
  <c r="AT23" i="25"/>
  <c r="AT45" i="25"/>
  <c r="AT51" i="25"/>
  <c r="AN25" i="25"/>
  <c r="AN29" i="25"/>
  <c r="AN52" i="25"/>
  <c r="AQ7" i="25"/>
  <c r="AQ24" i="25"/>
  <c r="AQ37" i="25"/>
  <c r="AQ53" i="25"/>
  <c r="AT18" i="25"/>
  <c r="AT30" i="25"/>
  <c r="AT54" i="25"/>
  <c r="AW22" i="25"/>
  <c r="AW42" i="25"/>
  <c r="BC54" i="25"/>
  <c r="BF35" i="25"/>
  <c r="BF44" i="25"/>
  <c r="AN17" i="25"/>
  <c r="AT47" i="25"/>
  <c r="BI37" i="25"/>
  <c r="BL13" i="25"/>
  <c r="BO11" i="25"/>
  <c r="BR17" i="25"/>
  <c r="AN47" i="25"/>
  <c r="AT8" i="25"/>
  <c r="AT12" i="25"/>
  <c r="AW12" i="25"/>
  <c r="AW17" i="25"/>
  <c r="AW40" i="25"/>
  <c r="AW47" i="25"/>
  <c r="AZ7" i="25"/>
  <c r="AZ22" i="25"/>
  <c r="AZ24" i="25"/>
  <c r="AZ27" i="25"/>
  <c r="BC53" i="25"/>
  <c r="BF31" i="25"/>
  <c r="BF40" i="25"/>
  <c r="BI28" i="25"/>
  <c r="BI39" i="25"/>
  <c r="BI24" i="25"/>
  <c r="BL40" i="25"/>
  <c r="BR9" i="25"/>
  <c r="AZ18" i="25"/>
  <c r="AZ37" i="25"/>
  <c r="BC15" i="25"/>
  <c r="BC32" i="25"/>
  <c r="BF23" i="25"/>
  <c r="BI54" i="25"/>
  <c r="BR54" i="25"/>
  <c r="BF34" i="25"/>
  <c r="BF38" i="25"/>
  <c r="BF48" i="25"/>
  <c r="BL45" i="25"/>
  <c r="BO21" i="25"/>
  <c r="BO42" i="25"/>
  <c r="BR18" i="25"/>
  <c r="BL37" i="25"/>
  <c r="BO13" i="25"/>
  <c r="BO22" i="25"/>
  <c r="AZ54" i="25"/>
  <c r="AZ55" i="25"/>
  <c r="BC10" i="25"/>
  <c r="BC22" i="25"/>
  <c r="BF13" i="25"/>
  <c r="BF39" i="25"/>
  <c r="BF52" i="25"/>
  <c r="BL8" i="25"/>
  <c r="BL31" i="25"/>
  <c r="BL33" i="25"/>
  <c r="BL51" i="25"/>
  <c r="BR10" i="25"/>
  <c r="BR37" i="25"/>
  <c r="BI36" i="25"/>
  <c r="BI40" i="25"/>
  <c r="BI51" i="25"/>
  <c r="BO19" i="25"/>
  <c r="BR34" i="25"/>
  <c r="BR36" i="25"/>
  <c r="BO46" i="25"/>
  <c r="BL54" i="25"/>
  <c r="BO20" i="25"/>
  <c r="BO48" i="25"/>
  <c r="BR33" i="25"/>
  <c r="BR50" i="25"/>
  <c r="AN6" i="25"/>
  <c r="AQ6" i="25"/>
  <c r="AQ14" i="25"/>
  <c r="AT38" i="25"/>
  <c r="AT50" i="25"/>
  <c r="AQ12" i="25"/>
  <c r="AW39" i="25"/>
  <c r="BL16" i="25"/>
  <c r="AT36" i="25"/>
  <c r="BI41" i="25"/>
  <c r="AN41" i="25"/>
  <c r="AN54" i="25"/>
  <c r="AQ28" i="25"/>
  <c r="AT33" i="25"/>
  <c r="AN9" i="25"/>
  <c r="AN12" i="25"/>
  <c r="AN13" i="25"/>
  <c r="AT17" i="25"/>
  <c r="BC34" i="25"/>
  <c r="BF25" i="25"/>
  <c r="BI23" i="25"/>
  <c r="BI47" i="25"/>
  <c r="BL26" i="25"/>
  <c r="AT35" i="25"/>
  <c r="AW49" i="25"/>
  <c r="AQ18" i="25"/>
  <c r="AW53" i="25"/>
  <c r="AZ12" i="25"/>
  <c r="BC29" i="25"/>
  <c r="BF54" i="25"/>
  <c r="AZ8" i="25"/>
  <c r="BC16" i="25"/>
  <c r="BF32" i="25"/>
  <c r="BI26" i="25"/>
  <c r="BI46" i="25"/>
  <c r="BI30" i="25"/>
  <c r="BI20" i="25"/>
  <c r="BL55" i="25"/>
  <c r="BR46" i="25"/>
  <c r="BO40" i="25"/>
  <c r="BR32" i="25"/>
  <c r="BR42" i="25"/>
  <c r="BR48" i="25"/>
  <c r="AT19" i="25"/>
  <c r="BC38" i="25"/>
  <c r="BI18" i="25"/>
  <c r="AN31" i="25"/>
  <c r="AN44" i="25"/>
  <c r="AQ38" i="25"/>
  <c r="AN38" i="25"/>
  <c r="AW8" i="25"/>
  <c r="AZ31" i="25"/>
  <c r="AZ42" i="25"/>
  <c r="BC18" i="25"/>
  <c r="BI7" i="25"/>
  <c r="BI25" i="25"/>
  <c r="AN24" i="25"/>
  <c r="AQ55" i="25"/>
  <c r="AT28" i="25"/>
  <c r="AW55" i="25"/>
  <c r="BF27" i="25"/>
  <c r="AT37" i="25"/>
  <c r="AW28" i="25"/>
  <c r="AW19" i="25"/>
  <c r="AZ9" i="25"/>
  <c r="AZ39" i="25"/>
  <c r="BI38" i="25"/>
  <c r="BR25" i="25"/>
  <c r="AN46" i="25"/>
  <c r="AQ51" i="25"/>
  <c r="AW18" i="25"/>
  <c r="AW34" i="25"/>
  <c r="AW44" i="25"/>
  <c r="AN26" i="25"/>
  <c r="AN49" i="25"/>
  <c r="AQ50" i="25"/>
  <c r="AT32" i="25"/>
  <c r="AN10" i="25"/>
  <c r="AN16" i="25"/>
  <c r="AN28" i="25"/>
  <c r="AN30" i="25"/>
  <c r="AN33" i="25"/>
  <c r="AN35" i="25"/>
  <c r="AQ10" i="25"/>
  <c r="AQ20" i="25"/>
  <c r="AQ31" i="25"/>
  <c r="AQ52" i="25"/>
  <c r="AT9" i="25"/>
  <c r="AT15" i="25"/>
  <c r="AT21" i="25"/>
  <c r="AT43" i="25"/>
  <c r="AT53" i="25"/>
  <c r="AW9" i="25"/>
  <c r="AW25" i="25"/>
  <c r="AW29" i="25"/>
  <c r="AW36" i="25"/>
  <c r="AW46" i="25"/>
  <c r="AW51" i="25"/>
  <c r="AZ25" i="25"/>
  <c r="AZ43" i="25"/>
  <c r="BF20" i="25"/>
  <c r="BF42" i="25"/>
  <c r="BI33" i="25"/>
  <c r="BF50" i="25"/>
  <c r="AN20" i="25"/>
  <c r="AQ45" i="25"/>
  <c r="AT44" i="25"/>
  <c r="AW14" i="25"/>
  <c r="AW21" i="25"/>
  <c r="AW26" i="25"/>
  <c r="AW31" i="25"/>
  <c r="AW33" i="25"/>
  <c r="AZ23" i="25"/>
  <c r="AZ34" i="25"/>
  <c r="BC12" i="25"/>
  <c r="BC41" i="25"/>
  <c r="BL35" i="25"/>
  <c r="BO54" i="25"/>
  <c r="AZ29" i="25"/>
  <c r="AZ38" i="25"/>
  <c r="BC24" i="25"/>
  <c r="BC36" i="25"/>
  <c r="BC42" i="25"/>
  <c r="BF46" i="25"/>
  <c r="BR21" i="25"/>
  <c r="BR30" i="25"/>
  <c r="BR38" i="25"/>
  <c r="BC39" i="25"/>
  <c r="BC40" i="25"/>
  <c r="BC51" i="25"/>
  <c r="BF37" i="25"/>
  <c r="BI32" i="25"/>
  <c r="BL17" i="25"/>
  <c r="BO37" i="25"/>
  <c r="BO50" i="25"/>
  <c r="BO43" i="25"/>
  <c r="AZ51" i="25"/>
  <c r="BC14" i="25"/>
  <c r="BC55" i="25"/>
  <c r="BF7" i="25"/>
  <c r="BF15" i="25"/>
  <c r="BI34" i="25"/>
  <c r="BL21" i="25"/>
  <c r="BL32" i="25"/>
  <c r="BI43" i="25"/>
  <c r="BI44" i="25"/>
  <c r="BL42" i="25"/>
  <c r="BO10" i="25"/>
  <c r="BR29" i="25"/>
  <c r="BO29" i="25"/>
  <c r="BR22" i="25"/>
  <c r="BR24" i="25"/>
  <c r="BR39" i="25"/>
  <c r="BR31" i="25"/>
  <c r="BR55" i="25"/>
  <c r="BO7" i="25"/>
  <c r="BO28" i="25"/>
  <c r="BO52" i="25"/>
  <c r="BR16" i="25"/>
  <c r="BR26" i="25"/>
  <c r="BR6" i="25"/>
  <c r="BI6" i="25"/>
  <c r="BF6" i="25"/>
  <c r="BC6" i="25"/>
  <c r="AT6" i="25"/>
  <c r="AQ47" i="25"/>
  <c r="AW50" i="25"/>
  <c r="AZ14" i="25"/>
  <c r="AN21" i="25"/>
  <c r="AQ32" i="25"/>
  <c r="AQ44" i="25"/>
  <c r="AN34" i="25"/>
  <c r="AQ46" i="25"/>
  <c r="AT10" i="25"/>
  <c r="AW45" i="25"/>
  <c r="BI22" i="25"/>
  <c r="BI16" i="25"/>
  <c r="AW54" i="25"/>
  <c r="AZ17" i="25"/>
  <c r="BC48" i="25"/>
  <c r="BF22" i="25"/>
  <c r="AQ11" i="25"/>
  <c r="AN37" i="25"/>
  <c r="AQ54" i="25"/>
  <c r="AT31" i="25"/>
  <c r="AT39" i="25"/>
  <c r="AT49" i="25"/>
  <c r="AN14" i="25"/>
  <c r="AQ16" i="25"/>
  <c r="AT55" i="25"/>
  <c r="AW23" i="25"/>
  <c r="AW37" i="25"/>
  <c r="BI13" i="25"/>
  <c r="BI17" i="25"/>
  <c r="AN7" i="25"/>
  <c r="AT41" i="25"/>
  <c r="AN19" i="25"/>
  <c r="AW15" i="25"/>
  <c r="AW30" i="25"/>
  <c r="AZ10" i="25"/>
  <c r="AZ16" i="25"/>
  <c r="AZ28" i="25"/>
  <c r="BF45" i="25"/>
  <c r="BI12" i="25"/>
  <c r="BL10" i="25"/>
  <c r="AZ46" i="25"/>
  <c r="BF19" i="25"/>
  <c r="BF29" i="25"/>
  <c r="BF43" i="25"/>
  <c r="BI42" i="25"/>
  <c r="BL46" i="25"/>
  <c r="BO18" i="25"/>
  <c r="BC20" i="25"/>
  <c r="BC28" i="25"/>
  <c r="BC44" i="25"/>
  <c r="BC46" i="25"/>
  <c r="BF11" i="25"/>
  <c r="BF33" i="25"/>
  <c r="BF41" i="25"/>
  <c r="BL12" i="25"/>
  <c r="BO45" i="25"/>
  <c r="BL23" i="25"/>
  <c r="BL47" i="25"/>
  <c r="BL49" i="25"/>
  <c r="BL50" i="25"/>
  <c r="BR28" i="25"/>
  <c r="BO26" i="25"/>
  <c r="BR11" i="25"/>
  <c r="BR13" i="25"/>
  <c r="BO6" i="25"/>
  <c r="AW6" i="25"/>
  <c r="AT13" i="25"/>
  <c r="AZ40" i="25"/>
  <c r="AN36" i="25"/>
  <c r="AN23" i="25"/>
  <c r="AW27" i="25"/>
  <c r="AZ20" i="25"/>
  <c r="BF49" i="25"/>
  <c r="AN32" i="25"/>
  <c r="AW48" i="25"/>
  <c r="AZ36" i="25"/>
  <c r="AQ26" i="25"/>
  <c r="AT52" i="25"/>
  <c r="AZ50" i="25"/>
  <c r="BC26" i="25"/>
  <c r="AN15" i="25"/>
  <c r="AT24" i="25"/>
  <c r="AW38" i="25"/>
  <c r="BF21" i="25"/>
  <c r="BO8" i="25"/>
  <c r="AN11" i="25"/>
  <c r="AQ8" i="25"/>
  <c r="AQ13" i="25"/>
  <c r="AQ27" i="25"/>
  <c r="AQ34" i="25"/>
  <c r="AQ43" i="25"/>
  <c r="AQ48" i="25"/>
  <c r="AT46" i="25"/>
  <c r="AN48" i="25"/>
  <c r="AN51" i="25"/>
  <c r="AQ15" i="25"/>
  <c r="AQ49" i="25"/>
  <c r="AT7" i="25"/>
  <c r="AT16" i="25"/>
  <c r="AT25" i="25"/>
  <c r="AT40" i="25"/>
  <c r="AW32" i="25"/>
  <c r="AW43" i="25"/>
  <c r="AN42" i="25"/>
  <c r="AQ23" i="25"/>
  <c r="BF55" i="25"/>
  <c r="AN45" i="25"/>
  <c r="AQ39" i="25"/>
  <c r="AQ42" i="25"/>
  <c r="AT11" i="25"/>
  <c r="AT22" i="25"/>
  <c r="AW7" i="25"/>
  <c r="AW13" i="25"/>
  <c r="AW16" i="25"/>
  <c r="AW35" i="25"/>
  <c r="AW41" i="25"/>
  <c r="BC23" i="25"/>
  <c r="BI50" i="25"/>
  <c r="BL39" i="25"/>
  <c r="BI49" i="25"/>
  <c r="BO51" i="25"/>
  <c r="BR52" i="25"/>
  <c r="AZ30" i="25"/>
  <c r="BI31" i="25"/>
  <c r="BI53" i="25"/>
  <c r="BL6" i="25"/>
  <c r="BL19" i="25"/>
  <c r="BO23" i="25"/>
  <c r="BO38" i="25"/>
  <c r="BC43" i="25"/>
  <c r="BI11" i="25"/>
  <c r="BL9" i="25"/>
  <c r="BL15" i="25"/>
  <c r="BL27" i="25"/>
  <c r="BO12" i="25"/>
  <c r="BO49" i="25"/>
  <c r="BR40" i="25"/>
  <c r="BF9" i="25"/>
  <c r="BF17" i="25"/>
  <c r="BI19" i="25"/>
  <c r="BI55" i="25"/>
  <c r="BL11" i="25"/>
  <c r="BL30" i="25"/>
  <c r="BL43" i="25"/>
  <c r="BO35" i="25"/>
  <c r="BO44" i="25"/>
  <c r="BR14" i="25"/>
  <c r="BL7" i="25"/>
  <c r="BL34" i="25"/>
  <c r="BO27" i="25"/>
  <c r="BO34" i="25"/>
  <c r="BO36" i="25"/>
  <c r="BR8" i="25"/>
  <c r="BR15" i="25"/>
  <c r="BR23" i="25"/>
  <c r="BR47" i="25"/>
  <c r="BO25" i="25"/>
  <c r="BO41" i="25"/>
  <c r="BO55" i="25"/>
  <c r="BR12" i="25"/>
  <c r="BR20" i="25"/>
  <c r="BO47" i="25"/>
  <c r="BR44" i="25"/>
  <c r="BO17" i="25"/>
  <c r="BO32" i="25"/>
  <c r="BO33" i="25"/>
  <c r="AZ6" i="25"/>
  <c r="C6" i="25" l="1"/>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51" i="25"/>
  <c r="B52" i="25"/>
  <c r="B53" i="25"/>
  <c r="B54" i="25"/>
  <c r="B55" i="25"/>
  <c r="B6" i="25"/>
  <c r="U46" i="25" l="1"/>
  <c r="D54" i="34"/>
  <c r="C54" i="34"/>
  <c r="D53" i="34"/>
  <c r="C53" i="34"/>
  <c r="D52" i="34"/>
  <c r="C52" i="34"/>
  <c r="D51" i="34"/>
  <c r="C51" i="34"/>
  <c r="D50" i="34"/>
  <c r="C50" i="34"/>
  <c r="D49" i="34"/>
  <c r="C49" i="34"/>
  <c r="D48" i="34"/>
  <c r="C48" i="34"/>
  <c r="D47" i="34"/>
  <c r="C47" i="34"/>
  <c r="D46" i="34"/>
  <c r="C46" i="34"/>
  <c r="D45" i="34"/>
  <c r="C45" i="34"/>
  <c r="D44" i="34"/>
  <c r="C44" i="34"/>
  <c r="D43" i="34"/>
  <c r="C43" i="34"/>
  <c r="D42" i="34"/>
  <c r="C42" i="34"/>
  <c r="D41" i="34"/>
  <c r="C41" i="34"/>
  <c r="D40" i="34"/>
  <c r="C40" i="34"/>
  <c r="D39" i="34"/>
  <c r="C39" i="34"/>
  <c r="D38" i="34"/>
  <c r="C38" i="34"/>
  <c r="D37" i="34"/>
  <c r="C37" i="34"/>
  <c r="D36" i="34"/>
  <c r="C36" i="34"/>
  <c r="D35" i="34"/>
  <c r="C35" i="34"/>
  <c r="D34" i="34"/>
  <c r="C34" i="34"/>
  <c r="D33" i="34"/>
  <c r="C33" i="34"/>
  <c r="D32" i="34"/>
  <c r="C32" i="34"/>
  <c r="D31" i="34"/>
  <c r="C31" i="34"/>
  <c r="D30" i="34"/>
  <c r="C30" i="34"/>
  <c r="D29" i="34"/>
  <c r="C29" i="34"/>
  <c r="D28" i="34"/>
  <c r="C28" i="34"/>
  <c r="D27" i="34"/>
  <c r="C27" i="34"/>
  <c r="D26" i="34"/>
  <c r="C26" i="34"/>
  <c r="V26" i="25"/>
  <c r="D25" i="34"/>
  <c r="C25" i="34"/>
  <c r="D24" i="34"/>
  <c r="C24" i="34"/>
  <c r="D23" i="34"/>
  <c r="C23" i="34"/>
  <c r="D22" i="34"/>
  <c r="C22" i="34"/>
  <c r="D21" i="34"/>
  <c r="C21" i="34"/>
  <c r="D20" i="34"/>
  <c r="C20" i="34"/>
  <c r="D19" i="34"/>
  <c r="C19" i="34"/>
  <c r="D18" i="34"/>
  <c r="C18" i="34"/>
  <c r="D17" i="34"/>
  <c r="C17" i="34"/>
  <c r="D16" i="34"/>
  <c r="C16" i="34"/>
  <c r="D15" i="34"/>
  <c r="C15" i="34"/>
  <c r="D14" i="34"/>
  <c r="C14" i="34"/>
  <c r="D13" i="34"/>
  <c r="C13" i="34"/>
  <c r="D12" i="34"/>
  <c r="C12" i="34"/>
  <c r="D11" i="34"/>
  <c r="C11" i="34"/>
  <c r="D10" i="34"/>
  <c r="C10" i="34"/>
  <c r="D9" i="34"/>
  <c r="C9" i="34"/>
  <c r="D8" i="34"/>
  <c r="C8" i="34"/>
  <c r="D7" i="34"/>
  <c r="C7" i="34"/>
  <c r="D6" i="34"/>
  <c r="C6" i="34"/>
  <c r="D5" i="34"/>
  <c r="C5" i="34"/>
  <c r="D54" i="33"/>
  <c r="AZ54" i="33" s="1"/>
  <c r="AS54" i="33" s="1"/>
  <c r="T55" i="41" s="1"/>
  <c r="C54" i="33"/>
  <c r="D53" i="33"/>
  <c r="AZ53" i="33" s="1"/>
  <c r="AS53" i="33" s="1"/>
  <c r="T54" i="41" s="1"/>
  <c r="C53" i="33"/>
  <c r="D52" i="33"/>
  <c r="AZ52" i="33" s="1"/>
  <c r="AS52" i="33" s="1"/>
  <c r="T53" i="41" s="1"/>
  <c r="C52" i="33"/>
  <c r="D51" i="33"/>
  <c r="AZ51" i="33" s="1"/>
  <c r="AS51" i="33" s="1"/>
  <c r="T52" i="41" s="1"/>
  <c r="C51" i="33"/>
  <c r="S51" i="25"/>
  <c r="D50" i="33"/>
  <c r="AZ50" i="33" s="1"/>
  <c r="AS50" i="33" s="1"/>
  <c r="T51" i="41" s="1"/>
  <c r="C50" i="33"/>
  <c r="D49" i="33"/>
  <c r="AZ49" i="33" s="1"/>
  <c r="AS49" i="33" s="1"/>
  <c r="T50" i="41" s="1"/>
  <c r="C49" i="33"/>
  <c r="D48" i="33"/>
  <c r="AZ48" i="33" s="1"/>
  <c r="AS48" i="33" s="1"/>
  <c r="T49" i="41" s="1"/>
  <c r="C48" i="33"/>
  <c r="D47" i="33"/>
  <c r="AZ47" i="33" s="1"/>
  <c r="AS47" i="33" s="1"/>
  <c r="T48" i="41" s="1"/>
  <c r="C47" i="33"/>
  <c r="D46" i="33"/>
  <c r="AZ46" i="33" s="1"/>
  <c r="AS46" i="33" s="1"/>
  <c r="T47" i="41" s="1"/>
  <c r="C46" i="33"/>
  <c r="D45" i="33"/>
  <c r="AZ45" i="33" s="1"/>
  <c r="AS45" i="33" s="1"/>
  <c r="T46" i="41" s="1"/>
  <c r="C45" i="33"/>
  <c r="D44" i="33"/>
  <c r="AZ44" i="33" s="1"/>
  <c r="AS44" i="33" s="1"/>
  <c r="T45" i="41" s="1"/>
  <c r="C44" i="33"/>
  <c r="D43" i="33"/>
  <c r="AZ43" i="33" s="1"/>
  <c r="AS43" i="33" s="1"/>
  <c r="T44" i="41" s="1"/>
  <c r="C43" i="33"/>
  <c r="D42" i="33"/>
  <c r="AZ42" i="33" s="1"/>
  <c r="AS42" i="33" s="1"/>
  <c r="T43" i="41" s="1"/>
  <c r="C42" i="33"/>
  <c r="D41" i="33"/>
  <c r="AZ41" i="33" s="1"/>
  <c r="AS41" i="33" s="1"/>
  <c r="T42" i="41" s="1"/>
  <c r="C41" i="33"/>
  <c r="D40" i="33"/>
  <c r="AZ40" i="33" s="1"/>
  <c r="AS40" i="33" s="1"/>
  <c r="T41" i="41" s="1"/>
  <c r="C40" i="33"/>
  <c r="D39" i="33"/>
  <c r="AZ39" i="33" s="1"/>
  <c r="AS39" i="33" s="1"/>
  <c r="T40" i="41" s="1"/>
  <c r="C39" i="33"/>
  <c r="D38" i="33"/>
  <c r="AZ38" i="33" s="1"/>
  <c r="AS38" i="33" s="1"/>
  <c r="T39" i="41" s="1"/>
  <c r="C38" i="33"/>
  <c r="D37" i="33"/>
  <c r="AZ37" i="33" s="1"/>
  <c r="AS37" i="33" s="1"/>
  <c r="T38" i="41" s="1"/>
  <c r="C37" i="33"/>
  <c r="D36" i="33"/>
  <c r="AZ36" i="33" s="1"/>
  <c r="AS36" i="33" s="1"/>
  <c r="T37" i="41" s="1"/>
  <c r="C36" i="33"/>
  <c r="D35" i="33"/>
  <c r="AZ35" i="33" s="1"/>
  <c r="AS35" i="33" s="1"/>
  <c r="T36" i="41" s="1"/>
  <c r="C35" i="33"/>
  <c r="S35" i="25"/>
  <c r="D34" i="33"/>
  <c r="AZ34" i="33" s="1"/>
  <c r="AS34" i="33" s="1"/>
  <c r="T35" i="41" s="1"/>
  <c r="C34" i="33"/>
  <c r="D33" i="33"/>
  <c r="AZ33" i="33" s="1"/>
  <c r="AS33" i="33" s="1"/>
  <c r="T34" i="41" s="1"/>
  <c r="C33" i="33"/>
  <c r="D32" i="33"/>
  <c r="AZ32" i="33" s="1"/>
  <c r="AS32" i="33" s="1"/>
  <c r="T33" i="41" s="1"/>
  <c r="C32" i="33"/>
  <c r="D31" i="33"/>
  <c r="AZ31" i="33" s="1"/>
  <c r="AS31" i="33" s="1"/>
  <c r="T32" i="41" s="1"/>
  <c r="C31" i="33"/>
  <c r="D30" i="33"/>
  <c r="AZ30" i="33" s="1"/>
  <c r="AS30" i="33" s="1"/>
  <c r="T31" i="41" s="1"/>
  <c r="C30" i="33"/>
  <c r="D29" i="33"/>
  <c r="AZ29" i="33" s="1"/>
  <c r="AS29" i="33" s="1"/>
  <c r="T30" i="41" s="1"/>
  <c r="C29" i="33"/>
  <c r="D28" i="33"/>
  <c r="AZ28" i="33" s="1"/>
  <c r="AS28" i="33" s="1"/>
  <c r="T29" i="41" s="1"/>
  <c r="C28" i="33"/>
  <c r="D27" i="33"/>
  <c r="AZ27" i="33" s="1"/>
  <c r="AS27" i="33" s="1"/>
  <c r="T28" i="41" s="1"/>
  <c r="C27" i="33"/>
  <c r="D26" i="33"/>
  <c r="AZ26" i="33" s="1"/>
  <c r="AS26" i="33" s="1"/>
  <c r="T27" i="41" s="1"/>
  <c r="C26" i="33"/>
  <c r="D25" i="33"/>
  <c r="AZ25" i="33" s="1"/>
  <c r="AS25" i="33" s="1"/>
  <c r="T26" i="41" s="1"/>
  <c r="C25" i="33"/>
  <c r="D24" i="33"/>
  <c r="AZ24" i="33" s="1"/>
  <c r="AS24" i="33" s="1"/>
  <c r="T25" i="41" s="1"/>
  <c r="C24" i="33"/>
  <c r="D23" i="33"/>
  <c r="AZ23" i="33" s="1"/>
  <c r="AS23" i="33" s="1"/>
  <c r="T24" i="41" s="1"/>
  <c r="C23" i="33"/>
  <c r="D22" i="33"/>
  <c r="AZ22" i="33" s="1"/>
  <c r="AS22" i="33" s="1"/>
  <c r="T23" i="41" s="1"/>
  <c r="C22" i="33"/>
  <c r="D21" i="33"/>
  <c r="AZ21" i="33" s="1"/>
  <c r="AS21" i="33" s="1"/>
  <c r="T22" i="41" s="1"/>
  <c r="C21" i="33"/>
  <c r="D20" i="33"/>
  <c r="AZ20" i="33" s="1"/>
  <c r="AS20" i="33" s="1"/>
  <c r="T21" i="41" s="1"/>
  <c r="C20" i="33"/>
  <c r="D19" i="33"/>
  <c r="AZ19" i="33" s="1"/>
  <c r="AS19" i="33" s="1"/>
  <c r="T20" i="41" s="1"/>
  <c r="C19" i="33"/>
  <c r="S19" i="25"/>
  <c r="D18" i="33"/>
  <c r="AZ18" i="33" s="1"/>
  <c r="AS18" i="33" s="1"/>
  <c r="T19" i="41" s="1"/>
  <c r="C18" i="33"/>
  <c r="D17" i="33"/>
  <c r="AZ17" i="33" s="1"/>
  <c r="AS17" i="33" s="1"/>
  <c r="T18" i="41" s="1"/>
  <c r="C17" i="33"/>
  <c r="D16" i="33"/>
  <c r="AZ16" i="33" s="1"/>
  <c r="AS16" i="33" s="1"/>
  <c r="T17" i="41" s="1"/>
  <c r="C16" i="33"/>
  <c r="D15" i="33"/>
  <c r="AZ15" i="33" s="1"/>
  <c r="AS15" i="33" s="1"/>
  <c r="T16" i="41" s="1"/>
  <c r="C15" i="33"/>
  <c r="D14" i="33"/>
  <c r="AZ14" i="33" s="1"/>
  <c r="AS14" i="33" s="1"/>
  <c r="T15" i="41" s="1"/>
  <c r="C14" i="33"/>
  <c r="D13" i="33"/>
  <c r="AZ13" i="33" s="1"/>
  <c r="AS13" i="33" s="1"/>
  <c r="T14" i="41" s="1"/>
  <c r="C13" i="33"/>
  <c r="D12" i="33"/>
  <c r="AZ12" i="33" s="1"/>
  <c r="AS12" i="33" s="1"/>
  <c r="T13" i="41" s="1"/>
  <c r="C12" i="33"/>
  <c r="D11" i="33"/>
  <c r="AZ11" i="33" s="1"/>
  <c r="AS11" i="33" s="1"/>
  <c r="T12" i="41" s="1"/>
  <c r="C11" i="33"/>
  <c r="D10" i="33"/>
  <c r="AZ10" i="33" s="1"/>
  <c r="AS10" i="33" s="1"/>
  <c r="T11" i="41" s="1"/>
  <c r="C10" i="33"/>
  <c r="D9" i="33"/>
  <c r="AZ9" i="33" s="1"/>
  <c r="AS9" i="33" s="1"/>
  <c r="T10" i="41" s="1"/>
  <c r="C9" i="33"/>
  <c r="S9" i="25"/>
  <c r="D8" i="33"/>
  <c r="AZ8" i="33" s="1"/>
  <c r="AS8" i="33" s="1"/>
  <c r="T9" i="41" s="1"/>
  <c r="C8" i="33"/>
  <c r="D7" i="33"/>
  <c r="AZ7" i="33" s="1"/>
  <c r="AS7" i="33" s="1"/>
  <c r="T8" i="41" s="1"/>
  <c r="C7" i="33"/>
  <c r="D6" i="33"/>
  <c r="AZ6" i="33" s="1"/>
  <c r="AS6" i="33" s="1"/>
  <c r="T7" i="41" s="1"/>
  <c r="C6" i="33"/>
  <c r="D5" i="33"/>
  <c r="AZ5" i="33" s="1"/>
  <c r="AS5" i="33" s="1"/>
  <c r="T6" i="41" s="1"/>
  <c r="C5" i="33"/>
  <c r="BA27" i="34" l="1"/>
  <c r="AT27" i="34" s="1"/>
  <c r="W28" i="41" s="1"/>
  <c r="BY27" i="34"/>
  <c r="BS27" i="34" s="1"/>
  <c r="U28" i="83" s="1"/>
  <c r="BA29" i="34"/>
  <c r="AT29" i="34" s="1"/>
  <c r="W30" i="41" s="1"/>
  <c r="BY29" i="34"/>
  <c r="BS29" i="34" s="1"/>
  <c r="U30" i="83" s="1"/>
  <c r="BA31" i="34"/>
  <c r="AT31" i="34" s="1"/>
  <c r="W32" i="41" s="1"/>
  <c r="BY31" i="34"/>
  <c r="BS31" i="34" s="1"/>
  <c r="U32" i="83" s="1"/>
  <c r="BA33" i="34"/>
  <c r="AT33" i="34" s="1"/>
  <c r="W34" i="41" s="1"/>
  <c r="BY33" i="34"/>
  <c r="BS33" i="34" s="1"/>
  <c r="U34" i="83" s="1"/>
  <c r="BA35" i="34"/>
  <c r="AT35" i="34" s="1"/>
  <c r="W36" i="41" s="1"/>
  <c r="BY35" i="34"/>
  <c r="BS35" i="34" s="1"/>
  <c r="U36" i="83" s="1"/>
  <c r="BA37" i="34"/>
  <c r="AT37" i="34" s="1"/>
  <c r="W38" i="41" s="1"/>
  <c r="BY37" i="34"/>
  <c r="BS37" i="34" s="1"/>
  <c r="U38" i="83" s="1"/>
  <c r="BA39" i="34"/>
  <c r="AT39" i="34" s="1"/>
  <c r="W40" i="41" s="1"/>
  <c r="BY39" i="34"/>
  <c r="BS39" i="34" s="1"/>
  <c r="U40" i="83" s="1"/>
  <c r="BA41" i="34"/>
  <c r="AT41" i="34" s="1"/>
  <c r="W42" i="41" s="1"/>
  <c r="BY41" i="34"/>
  <c r="BS41" i="34" s="1"/>
  <c r="U42" i="83" s="1"/>
  <c r="BA43" i="34"/>
  <c r="AT43" i="34" s="1"/>
  <c r="W44" i="41" s="1"/>
  <c r="BY43" i="34"/>
  <c r="BS43" i="34" s="1"/>
  <c r="U44" i="83" s="1"/>
  <c r="BA45" i="34"/>
  <c r="AT45" i="34" s="1"/>
  <c r="W46" i="41" s="1"/>
  <c r="BY45" i="34"/>
  <c r="BS45" i="34" s="1"/>
  <c r="U46" i="83" s="1"/>
  <c r="BA47" i="34"/>
  <c r="AT47" i="34" s="1"/>
  <c r="W48" i="41" s="1"/>
  <c r="BY47" i="34"/>
  <c r="BS47" i="34" s="1"/>
  <c r="U48" i="83" s="1"/>
  <c r="BA49" i="34"/>
  <c r="AT49" i="34" s="1"/>
  <c r="W50" i="41" s="1"/>
  <c r="BY49" i="34"/>
  <c r="BS49" i="34" s="1"/>
  <c r="U50" i="83" s="1"/>
  <c r="BA51" i="34"/>
  <c r="AT51" i="34" s="1"/>
  <c r="W52" i="41" s="1"/>
  <c r="BY51" i="34"/>
  <c r="BS51" i="34" s="1"/>
  <c r="U52" i="83" s="1"/>
  <c r="BA53" i="34"/>
  <c r="AT53" i="34" s="1"/>
  <c r="W54" i="41" s="1"/>
  <c r="BY53" i="34"/>
  <c r="BS53" i="34" s="1"/>
  <c r="U54" i="83" s="1"/>
  <c r="BA6" i="34"/>
  <c r="AT6" i="34" s="1"/>
  <c r="W7" i="41" s="1"/>
  <c r="BY6" i="34"/>
  <c r="BS6" i="34" s="1"/>
  <c r="U7" i="83" s="1"/>
  <c r="BA8" i="34"/>
  <c r="AT8" i="34" s="1"/>
  <c r="W9" i="41" s="1"/>
  <c r="BY8" i="34"/>
  <c r="BS8" i="34" s="1"/>
  <c r="U9" i="83" s="1"/>
  <c r="BA10" i="34"/>
  <c r="AT10" i="34" s="1"/>
  <c r="W11" i="41" s="1"/>
  <c r="BY10" i="34"/>
  <c r="BS10" i="34" s="1"/>
  <c r="U11" i="83" s="1"/>
  <c r="BA12" i="34"/>
  <c r="AT12" i="34" s="1"/>
  <c r="W13" i="41" s="1"/>
  <c r="BY12" i="34"/>
  <c r="BS12" i="34" s="1"/>
  <c r="U13" i="83" s="1"/>
  <c r="BA14" i="34"/>
  <c r="AT14" i="34" s="1"/>
  <c r="W15" i="41" s="1"/>
  <c r="BY14" i="34"/>
  <c r="BS14" i="34" s="1"/>
  <c r="U15" i="83" s="1"/>
  <c r="BA16" i="34"/>
  <c r="AT16" i="34" s="1"/>
  <c r="W17" i="41" s="1"/>
  <c r="BY16" i="34"/>
  <c r="BS16" i="34" s="1"/>
  <c r="U17" i="83" s="1"/>
  <c r="BA18" i="34"/>
  <c r="AT18" i="34" s="1"/>
  <c r="W19" i="41" s="1"/>
  <c r="BY18" i="34"/>
  <c r="BS18" i="34" s="1"/>
  <c r="U19" i="83" s="1"/>
  <c r="BA20" i="34"/>
  <c r="AT20" i="34" s="1"/>
  <c r="W21" i="41" s="1"/>
  <c r="BY20" i="34"/>
  <c r="BS20" i="34" s="1"/>
  <c r="U21" i="83" s="1"/>
  <c r="BA22" i="34"/>
  <c r="AT22" i="34" s="1"/>
  <c r="W23" i="41" s="1"/>
  <c r="BY22" i="34"/>
  <c r="BS22" i="34" s="1"/>
  <c r="U23" i="83" s="1"/>
  <c r="BA24" i="34"/>
  <c r="AT24" i="34" s="1"/>
  <c r="W25" i="41" s="1"/>
  <c r="BY24" i="34"/>
  <c r="BS24" i="34" s="1"/>
  <c r="U25" i="83" s="1"/>
  <c r="BA26" i="34"/>
  <c r="AT26" i="34" s="1"/>
  <c r="W27" i="41" s="1"/>
  <c r="BY26" i="34"/>
  <c r="BS26" i="34" s="1"/>
  <c r="U27" i="83" s="1"/>
  <c r="BA28" i="34"/>
  <c r="AT28" i="34" s="1"/>
  <c r="W29" i="41" s="1"/>
  <c r="BY28" i="34"/>
  <c r="BS28" i="34" s="1"/>
  <c r="U29" i="83" s="1"/>
  <c r="BA30" i="34"/>
  <c r="AT30" i="34" s="1"/>
  <c r="W31" i="41" s="1"/>
  <c r="BY30" i="34"/>
  <c r="BS30" i="34" s="1"/>
  <c r="U31" i="83" s="1"/>
  <c r="BA32" i="34"/>
  <c r="AT32" i="34" s="1"/>
  <c r="W33" i="41" s="1"/>
  <c r="BY32" i="34"/>
  <c r="BS32" i="34" s="1"/>
  <c r="U33" i="83" s="1"/>
  <c r="BA34" i="34"/>
  <c r="AT34" i="34" s="1"/>
  <c r="W35" i="41" s="1"/>
  <c r="BY34" i="34"/>
  <c r="BS34" i="34" s="1"/>
  <c r="U35" i="83" s="1"/>
  <c r="BA36" i="34"/>
  <c r="AT36" i="34" s="1"/>
  <c r="W37" i="41" s="1"/>
  <c r="BY36" i="34"/>
  <c r="BS36" i="34" s="1"/>
  <c r="U37" i="83" s="1"/>
  <c r="BA38" i="34"/>
  <c r="AT38" i="34" s="1"/>
  <c r="W39" i="41" s="1"/>
  <c r="BY38" i="34"/>
  <c r="BS38" i="34" s="1"/>
  <c r="U39" i="83" s="1"/>
  <c r="BA40" i="34"/>
  <c r="AT40" i="34" s="1"/>
  <c r="W41" i="41" s="1"/>
  <c r="BY40" i="34"/>
  <c r="BS40" i="34" s="1"/>
  <c r="U41" i="83" s="1"/>
  <c r="BA42" i="34"/>
  <c r="AT42" i="34" s="1"/>
  <c r="W43" i="41" s="1"/>
  <c r="BY42" i="34"/>
  <c r="BS42" i="34" s="1"/>
  <c r="U43" i="83" s="1"/>
  <c r="BA44" i="34"/>
  <c r="AT44" i="34" s="1"/>
  <c r="W45" i="41" s="1"/>
  <c r="BY44" i="34"/>
  <c r="BS44" i="34" s="1"/>
  <c r="U45" i="83" s="1"/>
  <c r="BA46" i="34"/>
  <c r="AT46" i="34" s="1"/>
  <c r="W47" i="41" s="1"/>
  <c r="BY46" i="34"/>
  <c r="BS46" i="34" s="1"/>
  <c r="U47" i="83" s="1"/>
  <c r="BA48" i="34"/>
  <c r="AT48" i="34" s="1"/>
  <c r="W49" i="41" s="1"/>
  <c r="BY48" i="34"/>
  <c r="BS48" i="34" s="1"/>
  <c r="U49" i="83" s="1"/>
  <c r="BA50" i="34"/>
  <c r="AT50" i="34" s="1"/>
  <c r="W51" i="41" s="1"/>
  <c r="BY50" i="34"/>
  <c r="BS50" i="34" s="1"/>
  <c r="U51" i="83" s="1"/>
  <c r="BA52" i="34"/>
  <c r="AT52" i="34" s="1"/>
  <c r="W53" i="41" s="1"/>
  <c r="BY52" i="34"/>
  <c r="BS52" i="34" s="1"/>
  <c r="U53" i="83" s="1"/>
  <c r="BA54" i="34"/>
  <c r="AT54" i="34" s="1"/>
  <c r="W55" i="41" s="1"/>
  <c r="BY54" i="34"/>
  <c r="BS54" i="34" s="1"/>
  <c r="U55" i="83" s="1"/>
  <c r="BA5" i="34"/>
  <c r="AT5" i="34" s="1"/>
  <c r="W6" i="41" s="1"/>
  <c r="BY5" i="34"/>
  <c r="BS5" i="34" s="1"/>
  <c r="U6" i="83" s="1"/>
  <c r="J29" i="84" s="1"/>
  <c r="BA7" i="34"/>
  <c r="AT7" i="34" s="1"/>
  <c r="W8" i="41" s="1"/>
  <c r="BY7" i="34"/>
  <c r="BS7" i="34" s="1"/>
  <c r="U8" i="83" s="1"/>
  <c r="BA9" i="34"/>
  <c r="AT9" i="34" s="1"/>
  <c r="W10" i="41" s="1"/>
  <c r="BY9" i="34"/>
  <c r="BS9" i="34" s="1"/>
  <c r="U10" i="83" s="1"/>
  <c r="BA11" i="34"/>
  <c r="AT11" i="34" s="1"/>
  <c r="W12" i="41" s="1"/>
  <c r="BY11" i="34"/>
  <c r="BS11" i="34" s="1"/>
  <c r="U12" i="83" s="1"/>
  <c r="BA13" i="34"/>
  <c r="AT13" i="34" s="1"/>
  <c r="W14" i="41" s="1"/>
  <c r="BY13" i="34"/>
  <c r="BS13" i="34" s="1"/>
  <c r="U14" i="83" s="1"/>
  <c r="BA15" i="34"/>
  <c r="AT15" i="34" s="1"/>
  <c r="W16" i="41" s="1"/>
  <c r="BY15" i="34"/>
  <c r="BS15" i="34" s="1"/>
  <c r="U16" i="83" s="1"/>
  <c r="BA17" i="34"/>
  <c r="AT17" i="34" s="1"/>
  <c r="W18" i="41" s="1"/>
  <c r="BY17" i="34"/>
  <c r="BS17" i="34" s="1"/>
  <c r="U18" i="83" s="1"/>
  <c r="BA19" i="34"/>
  <c r="AT19" i="34" s="1"/>
  <c r="W20" i="41" s="1"/>
  <c r="BY19" i="34"/>
  <c r="BS19" i="34" s="1"/>
  <c r="U20" i="83" s="1"/>
  <c r="BA21" i="34"/>
  <c r="AT21" i="34" s="1"/>
  <c r="W22" i="41" s="1"/>
  <c r="BY21" i="34"/>
  <c r="BS21" i="34" s="1"/>
  <c r="U22" i="83" s="1"/>
  <c r="BA23" i="34"/>
  <c r="AT23" i="34" s="1"/>
  <c r="W24" i="41" s="1"/>
  <c r="BY23" i="34"/>
  <c r="BS23" i="34" s="1"/>
  <c r="U24" i="83" s="1"/>
  <c r="BA25" i="34"/>
  <c r="AT25" i="34" s="1"/>
  <c r="W26" i="41" s="1"/>
  <c r="BY25" i="34"/>
  <c r="BS25" i="34" s="1"/>
  <c r="U26" i="83" s="1"/>
  <c r="U27" i="25"/>
  <c r="U26" i="25"/>
  <c r="U54" i="25"/>
  <c r="U18" i="25"/>
  <c r="R47" i="25"/>
  <c r="R23" i="25"/>
  <c r="R39" i="25"/>
  <c r="R19" i="25"/>
  <c r="R35" i="25"/>
  <c r="R15" i="25"/>
  <c r="R55" i="25"/>
  <c r="R31" i="25"/>
  <c r="R10" i="25"/>
  <c r="R26" i="25"/>
  <c r="U43" i="25"/>
  <c r="U15" i="25"/>
  <c r="R14" i="25"/>
  <c r="U51" i="25"/>
  <c r="U42" i="25"/>
  <c r="U23" i="25"/>
  <c r="U11" i="25"/>
  <c r="R50" i="25"/>
  <c r="R34" i="25"/>
  <c r="R22" i="25"/>
  <c r="R11" i="25"/>
  <c r="U50" i="25"/>
  <c r="U31" i="25"/>
  <c r="U19" i="25"/>
  <c r="U55" i="25"/>
  <c r="U47" i="25"/>
  <c r="U39" i="25"/>
  <c r="U35" i="25"/>
  <c r="U7" i="25"/>
  <c r="U53" i="25"/>
  <c r="U49" i="25"/>
  <c r="U45" i="25"/>
  <c r="U41" i="25"/>
  <c r="U37" i="25"/>
  <c r="U33" i="25"/>
  <c r="U29" i="25"/>
  <c r="U25" i="25"/>
  <c r="U21" i="25"/>
  <c r="U17" i="25"/>
  <c r="U13" i="25"/>
  <c r="U9" i="25"/>
  <c r="U38" i="25"/>
  <c r="U34" i="25"/>
  <c r="U30" i="25"/>
  <c r="U22" i="25"/>
  <c r="U14" i="25"/>
  <c r="U10" i="25"/>
  <c r="U52" i="25"/>
  <c r="U48" i="25"/>
  <c r="U44" i="25"/>
  <c r="U40" i="25"/>
  <c r="U36" i="25"/>
  <c r="U32" i="25"/>
  <c r="U28" i="25"/>
  <c r="U24" i="25"/>
  <c r="U20" i="25"/>
  <c r="U16" i="25"/>
  <c r="U12" i="25"/>
  <c r="U8" i="25"/>
  <c r="R51" i="25"/>
  <c r="R43" i="25"/>
  <c r="R27" i="25"/>
  <c r="R54" i="25"/>
  <c r="R46" i="25"/>
  <c r="R38" i="25"/>
  <c r="R18" i="25"/>
  <c r="R53" i="25"/>
  <c r="R49" i="25"/>
  <c r="R45" i="25"/>
  <c r="R41" i="25"/>
  <c r="R37" i="25"/>
  <c r="R33" i="25"/>
  <c r="R29" i="25"/>
  <c r="R25" i="25"/>
  <c r="R21" i="25"/>
  <c r="R17" i="25"/>
  <c r="R13" i="25"/>
  <c r="R9" i="25"/>
  <c r="R42" i="25"/>
  <c r="R30" i="25"/>
  <c r="R6" i="25"/>
  <c r="G21" i="44" s="1"/>
  <c r="R52" i="25"/>
  <c r="R48" i="25"/>
  <c r="R44" i="25"/>
  <c r="R40" i="25"/>
  <c r="R36" i="25"/>
  <c r="R32" i="25"/>
  <c r="R28" i="25"/>
  <c r="R24" i="25"/>
  <c r="R20" i="25"/>
  <c r="R16" i="25"/>
  <c r="R12" i="25"/>
  <c r="R8" i="25"/>
  <c r="U6" i="25"/>
  <c r="G22" i="44" s="1"/>
  <c r="R7" i="25"/>
  <c r="G31" i="30"/>
  <c r="V38" i="25"/>
  <c r="V54" i="25"/>
  <c r="V10" i="25"/>
  <c r="V42" i="25"/>
  <c r="V22" i="25"/>
  <c r="V18" i="25"/>
  <c r="V34" i="25"/>
  <c r="V50" i="25"/>
  <c r="S48" i="25"/>
  <c r="S16" i="25"/>
  <c r="S40" i="25"/>
  <c r="S24" i="25"/>
  <c r="S8" i="25"/>
  <c r="S32" i="25"/>
  <c r="S43" i="25"/>
  <c r="S27" i="25"/>
  <c r="S11" i="25"/>
  <c r="V8" i="25"/>
  <c r="V12" i="25"/>
  <c r="V16" i="25"/>
  <c r="V20" i="25"/>
  <c r="V24" i="25"/>
  <c r="V28" i="25"/>
  <c r="V32" i="25"/>
  <c r="V36" i="25"/>
  <c r="V40" i="25"/>
  <c r="V44" i="25"/>
  <c r="V48" i="25"/>
  <c r="V52" i="25"/>
  <c r="V9" i="25"/>
  <c r="V13" i="25"/>
  <c r="V17" i="25"/>
  <c r="V21" i="25"/>
  <c r="V29" i="25"/>
  <c r="V33" i="25"/>
  <c r="V37" i="25"/>
  <c r="V41" i="25"/>
  <c r="V49" i="25"/>
  <c r="V53" i="25"/>
  <c r="V11" i="25"/>
  <c r="V15" i="25"/>
  <c r="V19" i="25"/>
  <c r="V23" i="25"/>
  <c r="V27" i="25"/>
  <c r="V31" i="25"/>
  <c r="V35" i="25"/>
  <c r="V39" i="25"/>
  <c r="V43" i="25"/>
  <c r="V47" i="25"/>
  <c r="V51" i="25"/>
  <c r="V25" i="25"/>
  <c r="V45" i="25"/>
  <c r="V46" i="25"/>
  <c r="V30" i="25"/>
  <c r="V14" i="25"/>
  <c r="S52" i="25"/>
  <c r="S44" i="25"/>
  <c r="S36" i="25"/>
  <c r="S28" i="25"/>
  <c r="S20" i="25"/>
  <c r="S12" i="25"/>
  <c r="S47" i="25"/>
  <c r="S39" i="25"/>
  <c r="S31" i="25"/>
  <c r="S23" i="25"/>
  <c r="S15" i="25"/>
  <c r="S54" i="25"/>
  <c r="S50" i="25"/>
  <c r="S46" i="25"/>
  <c r="S42" i="25"/>
  <c r="S38" i="25"/>
  <c r="S34" i="25"/>
  <c r="S30" i="25"/>
  <c r="S26" i="25"/>
  <c r="S22" i="25"/>
  <c r="S18" i="25"/>
  <c r="S14" i="25"/>
  <c r="S10" i="25"/>
  <c r="S53" i="25"/>
  <c r="S49" i="25"/>
  <c r="S45" i="25"/>
  <c r="S41" i="25"/>
  <c r="S37" i="25"/>
  <c r="S33" i="25"/>
  <c r="S29" i="25"/>
  <c r="S25" i="25"/>
  <c r="S21" i="25"/>
  <c r="S17" i="25"/>
  <c r="S13" i="25"/>
  <c r="C36" i="30" l="1"/>
  <c r="C31" i="30"/>
  <c r="G36" i="30"/>
  <c r="V55" i="25"/>
  <c r="V7" i="25"/>
  <c r="H31" i="30"/>
  <c r="V6" i="25"/>
  <c r="H22" i="44" s="1"/>
  <c r="S6" i="25"/>
  <c r="H21" i="44" s="1"/>
  <c r="S7" i="25"/>
  <c r="S55" i="25"/>
  <c r="D22" i="28"/>
  <c r="G11" i="29"/>
  <c r="G10" i="29"/>
  <c r="G8" i="29"/>
  <c r="F81" i="30"/>
  <c r="F80" i="30"/>
  <c r="F79" i="30"/>
  <c r="A58" i="30"/>
  <c r="F53" i="30"/>
  <c r="B53" i="30"/>
  <c r="F52" i="30"/>
  <c r="B52" i="30"/>
  <c r="F51" i="30"/>
  <c r="AJ39" i="25"/>
  <c r="AG12" i="25"/>
  <c r="AG27" i="25"/>
  <c r="AG48" i="25"/>
  <c r="AD21" i="25"/>
  <c r="AD46" i="25"/>
  <c r="D54" i="26"/>
  <c r="C54" i="26"/>
  <c r="D53" i="26"/>
  <c r="C53" i="26"/>
  <c r="D52" i="26"/>
  <c r="C52" i="26"/>
  <c r="D51" i="26"/>
  <c r="C51" i="26"/>
  <c r="D50" i="26"/>
  <c r="C50" i="26"/>
  <c r="D49" i="26"/>
  <c r="C49" i="26"/>
  <c r="D48" i="26"/>
  <c r="C48" i="26"/>
  <c r="D47" i="26"/>
  <c r="C47" i="26"/>
  <c r="D46" i="26"/>
  <c r="C46" i="26"/>
  <c r="D45" i="26"/>
  <c r="C45" i="26"/>
  <c r="D44" i="26"/>
  <c r="C44" i="26"/>
  <c r="D43" i="26"/>
  <c r="C43" i="26"/>
  <c r="D42" i="26"/>
  <c r="C42" i="26"/>
  <c r="D41" i="26"/>
  <c r="C41" i="26"/>
  <c r="D40" i="26"/>
  <c r="C40" i="26"/>
  <c r="D39" i="26"/>
  <c r="C39" i="26"/>
  <c r="D38" i="26"/>
  <c r="C38" i="26"/>
  <c r="D37" i="26"/>
  <c r="C37" i="26"/>
  <c r="D36" i="26"/>
  <c r="C36" i="26"/>
  <c r="D35" i="26"/>
  <c r="C35" i="26"/>
  <c r="D34" i="26"/>
  <c r="C34" i="26"/>
  <c r="D33" i="26"/>
  <c r="C33" i="26"/>
  <c r="D32" i="26"/>
  <c r="C32" i="26"/>
  <c r="D31" i="26"/>
  <c r="C31" i="26"/>
  <c r="D30" i="26"/>
  <c r="C30" i="26"/>
  <c r="D29" i="26"/>
  <c r="C29" i="26"/>
  <c r="D28" i="26"/>
  <c r="C28" i="26"/>
  <c r="D27" i="26"/>
  <c r="C27" i="26"/>
  <c r="D26" i="26"/>
  <c r="C26" i="26"/>
  <c r="D25" i="26"/>
  <c r="C25" i="26"/>
  <c r="D24" i="26"/>
  <c r="C24" i="26"/>
  <c r="D23" i="26"/>
  <c r="C23" i="26"/>
  <c r="D22" i="26"/>
  <c r="C22" i="26"/>
  <c r="D21" i="26"/>
  <c r="C21" i="26"/>
  <c r="D20" i="26"/>
  <c r="C20" i="26"/>
  <c r="D19" i="26"/>
  <c r="C19" i="26"/>
  <c r="D18" i="26"/>
  <c r="C18" i="26"/>
  <c r="D17" i="26"/>
  <c r="C17" i="26"/>
  <c r="D16" i="26"/>
  <c r="C16" i="26"/>
  <c r="D15" i="26"/>
  <c r="C15" i="26"/>
  <c r="D14" i="26"/>
  <c r="C14" i="26"/>
  <c r="D13" i="26"/>
  <c r="C13" i="26"/>
  <c r="D12" i="26"/>
  <c r="C12" i="26"/>
  <c r="D11" i="26"/>
  <c r="C11" i="26"/>
  <c r="D10" i="26"/>
  <c r="C10" i="26"/>
  <c r="D9" i="26"/>
  <c r="C9" i="26"/>
  <c r="D8" i="26"/>
  <c r="C8" i="26"/>
  <c r="D7" i="26"/>
  <c r="C7" i="26"/>
  <c r="D6" i="26"/>
  <c r="C6" i="26"/>
  <c r="D5" i="26"/>
  <c r="C5" i="26"/>
  <c r="X15" i="25"/>
  <c r="X16" i="25"/>
  <c r="X32" i="25"/>
  <c r="X40" i="25"/>
  <c r="O14" i="25"/>
  <c r="F19" i="25"/>
  <c r="D3" i="30"/>
  <c r="D4" i="30"/>
  <c r="B8" i="24"/>
  <c r="C8" i="24"/>
  <c r="B9" i="24"/>
  <c r="C9" i="24"/>
  <c r="B10" i="24"/>
  <c r="C10" i="24"/>
  <c r="B11" i="24"/>
  <c r="C11" i="24"/>
  <c r="B12" i="24"/>
  <c r="C12" i="24"/>
  <c r="B13" i="24"/>
  <c r="C13" i="24"/>
  <c r="B14" i="24"/>
  <c r="C14" i="24"/>
  <c r="B15" i="24"/>
  <c r="C15" i="24"/>
  <c r="B16" i="24"/>
  <c r="C16" i="24"/>
  <c r="B17" i="24"/>
  <c r="C17" i="24"/>
  <c r="B18" i="24"/>
  <c r="C18" i="24"/>
  <c r="B19" i="24"/>
  <c r="C19" i="24"/>
  <c r="B20" i="24"/>
  <c r="C20" i="24"/>
  <c r="B21" i="24"/>
  <c r="C21" i="24"/>
  <c r="B22" i="24"/>
  <c r="C22" i="24"/>
  <c r="B23" i="24"/>
  <c r="C23" i="24"/>
  <c r="B24" i="24"/>
  <c r="C24" i="24"/>
  <c r="B25" i="24"/>
  <c r="C25" i="24"/>
  <c r="B26" i="24"/>
  <c r="C26" i="24"/>
  <c r="B27" i="24"/>
  <c r="C27" i="24"/>
  <c r="B28" i="24"/>
  <c r="B29" i="24"/>
  <c r="B30" i="24"/>
  <c r="B31" i="24"/>
  <c r="B32" i="24"/>
  <c r="B33" i="24"/>
  <c r="B34" i="24"/>
  <c r="B35" i="24"/>
  <c r="B36" i="24"/>
  <c r="B37" i="24"/>
  <c r="B38" i="24"/>
  <c r="B39" i="24"/>
  <c r="B40" i="24"/>
  <c r="B41" i="24"/>
  <c r="B42" i="24"/>
  <c r="B43" i="24"/>
  <c r="B44" i="24"/>
  <c r="B45" i="24"/>
  <c r="B46" i="24"/>
  <c r="B47" i="24"/>
  <c r="B48" i="24"/>
  <c r="B49" i="24"/>
  <c r="B50" i="24"/>
  <c r="B51" i="24"/>
  <c r="B52" i="24"/>
  <c r="B53" i="24"/>
  <c r="B54" i="24"/>
  <c r="B55" i="24"/>
  <c r="B56" i="24"/>
  <c r="B7" i="24"/>
  <c r="C7" i="24"/>
  <c r="D54" i="15"/>
  <c r="C54" i="15"/>
  <c r="D53" i="15"/>
  <c r="C53" i="15"/>
  <c r="D52" i="15"/>
  <c r="C52" i="15"/>
  <c r="D51" i="15"/>
  <c r="C51" i="15"/>
  <c r="D50" i="15"/>
  <c r="C50" i="15"/>
  <c r="D49" i="15"/>
  <c r="C49" i="15"/>
  <c r="D48" i="15"/>
  <c r="C48" i="15"/>
  <c r="D47" i="15"/>
  <c r="C47" i="15"/>
  <c r="D46" i="15"/>
  <c r="C46" i="15"/>
  <c r="D45" i="15"/>
  <c r="C45" i="15"/>
  <c r="D44" i="15"/>
  <c r="C44" i="15"/>
  <c r="D43" i="15"/>
  <c r="C43" i="15"/>
  <c r="D42" i="15"/>
  <c r="C42" i="15"/>
  <c r="D41" i="15"/>
  <c r="C41" i="15"/>
  <c r="D40" i="15"/>
  <c r="C40" i="15"/>
  <c r="D39" i="15"/>
  <c r="C39" i="15"/>
  <c r="D38" i="15"/>
  <c r="C38" i="15"/>
  <c r="D37" i="15"/>
  <c r="C37" i="15"/>
  <c r="D36" i="15"/>
  <c r="C36" i="15"/>
  <c r="D35" i="15"/>
  <c r="C35" i="15"/>
  <c r="D34" i="15"/>
  <c r="C34" i="15"/>
  <c r="D33" i="15"/>
  <c r="C33" i="15"/>
  <c r="D32" i="15"/>
  <c r="C32" i="15"/>
  <c r="D31" i="15"/>
  <c r="C31" i="15"/>
  <c r="D30" i="15"/>
  <c r="C30" i="15"/>
  <c r="D29" i="15"/>
  <c r="C29" i="15"/>
  <c r="D28" i="15"/>
  <c r="C28" i="15"/>
  <c r="D27" i="15"/>
  <c r="C27" i="15"/>
  <c r="D26" i="15"/>
  <c r="C26" i="15"/>
  <c r="D25" i="15"/>
  <c r="C25" i="15"/>
  <c r="D24" i="15"/>
  <c r="C24" i="15"/>
  <c r="D23" i="15"/>
  <c r="C23" i="15"/>
  <c r="D22" i="15"/>
  <c r="C22" i="15"/>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54" i="14"/>
  <c r="C54" i="14"/>
  <c r="D53" i="14"/>
  <c r="C53" i="14"/>
  <c r="D52" i="14"/>
  <c r="C52" i="14"/>
  <c r="D51" i="14"/>
  <c r="C51" i="14"/>
  <c r="D50" i="14"/>
  <c r="C50" i="14"/>
  <c r="D49" i="14"/>
  <c r="C49" i="14"/>
  <c r="D48" i="14"/>
  <c r="C48" i="14"/>
  <c r="D47" i="14"/>
  <c r="C47" i="14"/>
  <c r="D46" i="14"/>
  <c r="C46" i="14"/>
  <c r="D45" i="14"/>
  <c r="C45" i="14"/>
  <c r="D44" i="14"/>
  <c r="C44" i="14"/>
  <c r="D43" i="14"/>
  <c r="C43" i="14"/>
  <c r="D42" i="14"/>
  <c r="C42" i="14"/>
  <c r="D41" i="14"/>
  <c r="C41" i="14"/>
  <c r="D40" i="14"/>
  <c r="C40" i="14"/>
  <c r="D39" i="14"/>
  <c r="C39" i="14"/>
  <c r="D38" i="14"/>
  <c r="C38" i="14"/>
  <c r="D37" i="14"/>
  <c r="C37" i="14"/>
  <c r="D36" i="14"/>
  <c r="C36" i="14"/>
  <c r="D35" i="14"/>
  <c r="C35" i="14"/>
  <c r="D34" i="14"/>
  <c r="C34" i="14"/>
  <c r="D33" i="14"/>
  <c r="C33" i="14"/>
  <c r="D32" i="14"/>
  <c r="C32" i="14"/>
  <c r="D31" i="14"/>
  <c r="C31" i="14"/>
  <c r="D30" i="14"/>
  <c r="C30" i="14"/>
  <c r="D29" i="14"/>
  <c r="C29" i="14"/>
  <c r="D28" i="14"/>
  <c r="C28" i="14"/>
  <c r="D27" i="14"/>
  <c r="C27" i="14"/>
  <c r="D26" i="14"/>
  <c r="C26" i="14"/>
  <c r="D25" i="14"/>
  <c r="C25" i="14"/>
  <c r="D24" i="14"/>
  <c r="C24" i="14"/>
  <c r="D23" i="14"/>
  <c r="C23" i="14"/>
  <c r="D22" i="14"/>
  <c r="C22" i="14"/>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AE55" i="25"/>
  <c r="D54" i="13"/>
  <c r="C54" i="13"/>
  <c r="AE54" i="25"/>
  <c r="D53" i="13"/>
  <c r="C53" i="13"/>
  <c r="AE53" i="25"/>
  <c r="D52" i="13"/>
  <c r="C52" i="13"/>
  <c r="AE52" i="25"/>
  <c r="D51" i="13"/>
  <c r="C51" i="13"/>
  <c r="AE51" i="25"/>
  <c r="D50" i="13"/>
  <c r="C50" i="13"/>
  <c r="AE50" i="25"/>
  <c r="D49" i="13"/>
  <c r="C49" i="13"/>
  <c r="AE49" i="25"/>
  <c r="D48" i="13"/>
  <c r="C48" i="13"/>
  <c r="AE48" i="25"/>
  <c r="D47" i="13"/>
  <c r="C47" i="13"/>
  <c r="AE47" i="25"/>
  <c r="D46" i="13"/>
  <c r="C46" i="13"/>
  <c r="AE46" i="25"/>
  <c r="D45" i="13"/>
  <c r="C45" i="13"/>
  <c r="AE45" i="25"/>
  <c r="D44" i="13"/>
  <c r="C44" i="13"/>
  <c r="AE44" i="25"/>
  <c r="D43" i="13"/>
  <c r="C43" i="13"/>
  <c r="AE43" i="25"/>
  <c r="D42" i="13"/>
  <c r="C42" i="13"/>
  <c r="AE42" i="25"/>
  <c r="D41" i="13"/>
  <c r="C41" i="13"/>
  <c r="AE41" i="25"/>
  <c r="D40" i="13"/>
  <c r="C40" i="13"/>
  <c r="AE40" i="25"/>
  <c r="D39" i="13"/>
  <c r="C39" i="13"/>
  <c r="AE39" i="25"/>
  <c r="D38" i="13"/>
  <c r="C38" i="13"/>
  <c r="AE38" i="25"/>
  <c r="D37" i="13"/>
  <c r="C37" i="13"/>
  <c r="AE37" i="25"/>
  <c r="D36" i="13"/>
  <c r="C36" i="13"/>
  <c r="AE36" i="25"/>
  <c r="D35" i="13"/>
  <c r="C35" i="13"/>
  <c r="AE35" i="25"/>
  <c r="D34" i="13"/>
  <c r="C34" i="13"/>
  <c r="AE34" i="25"/>
  <c r="D33" i="13"/>
  <c r="C33" i="13"/>
  <c r="AE33" i="25"/>
  <c r="D32" i="13"/>
  <c r="C32" i="13"/>
  <c r="AE32" i="25"/>
  <c r="D31" i="13"/>
  <c r="C31" i="13"/>
  <c r="AE31" i="25"/>
  <c r="D30" i="13"/>
  <c r="C30" i="13"/>
  <c r="AE30" i="25"/>
  <c r="D29" i="13"/>
  <c r="C29" i="13"/>
  <c r="AE29" i="25"/>
  <c r="D28" i="13"/>
  <c r="C28" i="13"/>
  <c r="AE28" i="25"/>
  <c r="D27" i="13"/>
  <c r="C27" i="13"/>
  <c r="AE27" i="25"/>
  <c r="D26" i="13"/>
  <c r="C26" i="13"/>
  <c r="AE26" i="25"/>
  <c r="D25" i="13"/>
  <c r="C25" i="13"/>
  <c r="AE25" i="25"/>
  <c r="D24" i="13"/>
  <c r="C24" i="13"/>
  <c r="AE24" i="25"/>
  <c r="D23" i="13"/>
  <c r="C23" i="13"/>
  <c r="AE23" i="25"/>
  <c r="D22" i="13"/>
  <c r="C22" i="13"/>
  <c r="AE22" i="25"/>
  <c r="D21" i="13"/>
  <c r="C21" i="13"/>
  <c r="AE21" i="25"/>
  <c r="D20" i="13"/>
  <c r="C20" i="13"/>
  <c r="AE20" i="25"/>
  <c r="D19" i="13"/>
  <c r="C19" i="13"/>
  <c r="AE19" i="25"/>
  <c r="D18" i="13"/>
  <c r="C18" i="13"/>
  <c r="AE18" i="25"/>
  <c r="D17" i="13"/>
  <c r="C17" i="13"/>
  <c r="AE17" i="25"/>
  <c r="D16" i="13"/>
  <c r="C16" i="13"/>
  <c r="AE16" i="25"/>
  <c r="D15" i="13"/>
  <c r="C15" i="13"/>
  <c r="AE15" i="25"/>
  <c r="D14" i="13"/>
  <c r="C14" i="13"/>
  <c r="AE14" i="25"/>
  <c r="D13" i="13"/>
  <c r="C13" i="13"/>
  <c r="AE13" i="25"/>
  <c r="D12" i="13"/>
  <c r="C12" i="13"/>
  <c r="AE12" i="25"/>
  <c r="D11" i="13"/>
  <c r="C11" i="13"/>
  <c r="AE11" i="25"/>
  <c r="D10" i="13"/>
  <c r="C10" i="13"/>
  <c r="AE10" i="25"/>
  <c r="D9" i="13"/>
  <c r="C9" i="13"/>
  <c r="AE9" i="25"/>
  <c r="D8" i="13"/>
  <c r="C8" i="13"/>
  <c r="D7" i="13"/>
  <c r="C7" i="13"/>
  <c r="AE7" i="25"/>
  <c r="D6" i="13"/>
  <c r="C6" i="13"/>
  <c r="AE6" i="25"/>
  <c r="H26" i="44" s="1"/>
  <c r="D5" i="13"/>
  <c r="C5" i="13"/>
  <c r="D54" i="12"/>
  <c r="C54" i="12"/>
  <c r="D53" i="12"/>
  <c r="C53" i="12"/>
  <c r="D52" i="12"/>
  <c r="C52" i="12"/>
  <c r="D51" i="12"/>
  <c r="C51" i="12"/>
  <c r="D50" i="12"/>
  <c r="C50" i="12"/>
  <c r="D49" i="12"/>
  <c r="C49" i="12"/>
  <c r="D48" i="12"/>
  <c r="C48" i="12"/>
  <c r="D47" i="12"/>
  <c r="C47" i="12"/>
  <c r="D46" i="12"/>
  <c r="C46" i="12"/>
  <c r="D45" i="12"/>
  <c r="C45" i="12"/>
  <c r="D44" i="12"/>
  <c r="C44" i="12"/>
  <c r="D43" i="12"/>
  <c r="C43" i="12"/>
  <c r="D42" i="12"/>
  <c r="C42" i="12"/>
  <c r="D41" i="12"/>
  <c r="C41" i="12"/>
  <c r="D40" i="12"/>
  <c r="C40" i="12"/>
  <c r="D39" i="12"/>
  <c r="C39" i="12"/>
  <c r="D38" i="12"/>
  <c r="C38" i="12"/>
  <c r="D37" i="12"/>
  <c r="C37" i="12"/>
  <c r="D36" i="12"/>
  <c r="C36" i="12"/>
  <c r="D35" i="12"/>
  <c r="C35" i="12"/>
  <c r="D34" i="12"/>
  <c r="C34" i="12"/>
  <c r="D33" i="12"/>
  <c r="C33" i="12"/>
  <c r="D32" i="12"/>
  <c r="C32" i="12"/>
  <c r="D31" i="12"/>
  <c r="C31" i="12"/>
  <c r="D30" i="12"/>
  <c r="C30" i="12"/>
  <c r="D29" i="12"/>
  <c r="C29" i="12"/>
  <c r="D28" i="12"/>
  <c r="C28" i="12"/>
  <c r="D27" i="12"/>
  <c r="C27" i="12"/>
  <c r="D26" i="12"/>
  <c r="C26" i="12"/>
  <c r="D25" i="12"/>
  <c r="C25" i="12"/>
  <c r="D24" i="12"/>
  <c r="C24" i="12"/>
  <c r="D23" i="12"/>
  <c r="C23" i="12"/>
  <c r="D22" i="12"/>
  <c r="C22" i="12"/>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54" i="11"/>
  <c r="BP54" i="11" s="1"/>
  <c r="BI54" i="11" s="1"/>
  <c r="Q55" i="41" s="1"/>
  <c r="C54" i="11"/>
  <c r="D53" i="11"/>
  <c r="BP53" i="11" s="1"/>
  <c r="BI53" i="11" s="1"/>
  <c r="Q54" i="41" s="1"/>
  <c r="C53" i="11"/>
  <c r="D52" i="11"/>
  <c r="BP52" i="11" s="1"/>
  <c r="BI52" i="11" s="1"/>
  <c r="Q53" i="41" s="1"/>
  <c r="C52" i="11"/>
  <c r="D51" i="11"/>
  <c r="BP51" i="11" s="1"/>
  <c r="BI51" i="11" s="1"/>
  <c r="Q52" i="41" s="1"/>
  <c r="C51" i="11"/>
  <c r="D50" i="11"/>
  <c r="BP50" i="11" s="1"/>
  <c r="BI50" i="11" s="1"/>
  <c r="Q51" i="41" s="1"/>
  <c r="C50" i="11"/>
  <c r="D49" i="11"/>
  <c r="BP49" i="11" s="1"/>
  <c r="BI49" i="11" s="1"/>
  <c r="Q50" i="41" s="1"/>
  <c r="C49" i="11"/>
  <c r="D48" i="11"/>
  <c r="BP48" i="11" s="1"/>
  <c r="BI48" i="11" s="1"/>
  <c r="Q49" i="41" s="1"/>
  <c r="C48" i="11"/>
  <c r="D47" i="11"/>
  <c r="BP47" i="11" s="1"/>
  <c r="BI47" i="11" s="1"/>
  <c r="Q48" i="41" s="1"/>
  <c r="C47" i="11"/>
  <c r="D46" i="11"/>
  <c r="BP46" i="11" s="1"/>
  <c r="BI46" i="11" s="1"/>
  <c r="Q47" i="41" s="1"/>
  <c r="C46" i="11"/>
  <c r="D45" i="11"/>
  <c r="BP45" i="11" s="1"/>
  <c r="BI45" i="11" s="1"/>
  <c r="Q46" i="41" s="1"/>
  <c r="C45" i="11"/>
  <c r="D44" i="11"/>
  <c r="BP44" i="11" s="1"/>
  <c r="BI44" i="11" s="1"/>
  <c r="Q45" i="41" s="1"/>
  <c r="C44" i="11"/>
  <c r="D43" i="11"/>
  <c r="BP43" i="11" s="1"/>
  <c r="BI43" i="11" s="1"/>
  <c r="Q44" i="41" s="1"/>
  <c r="C43" i="11"/>
  <c r="D42" i="11"/>
  <c r="BP42" i="11" s="1"/>
  <c r="BI42" i="11" s="1"/>
  <c r="Q43" i="41" s="1"/>
  <c r="C42" i="11"/>
  <c r="D41" i="11"/>
  <c r="BP41" i="11" s="1"/>
  <c r="BI41" i="11" s="1"/>
  <c r="Q42" i="41" s="1"/>
  <c r="C41" i="11"/>
  <c r="D40" i="11"/>
  <c r="BP40" i="11" s="1"/>
  <c r="BI40" i="11" s="1"/>
  <c r="Q41" i="41" s="1"/>
  <c r="C40" i="11"/>
  <c r="D39" i="11"/>
  <c r="BP39" i="11" s="1"/>
  <c r="BI39" i="11" s="1"/>
  <c r="Q40" i="41" s="1"/>
  <c r="C39" i="11"/>
  <c r="D38" i="11"/>
  <c r="BP38" i="11" s="1"/>
  <c r="BI38" i="11" s="1"/>
  <c r="Q39" i="41" s="1"/>
  <c r="C38" i="11"/>
  <c r="D37" i="11"/>
  <c r="BP37" i="11" s="1"/>
  <c r="BI37" i="11" s="1"/>
  <c r="Q38" i="41" s="1"/>
  <c r="C37" i="11"/>
  <c r="D36" i="11"/>
  <c r="BP36" i="11" s="1"/>
  <c r="BI36" i="11" s="1"/>
  <c r="Q37" i="41" s="1"/>
  <c r="C36" i="11"/>
  <c r="D35" i="11"/>
  <c r="BP35" i="11" s="1"/>
  <c r="BI35" i="11" s="1"/>
  <c r="Q36" i="41" s="1"/>
  <c r="C35" i="11"/>
  <c r="D34" i="11"/>
  <c r="BP34" i="11" s="1"/>
  <c r="BI34" i="11" s="1"/>
  <c r="Q35" i="41" s="1"/>
  <c r="C34" i="11"/>
  <c r="D33" i="11"/>
  <c r="BP33" i="11" s="1"/>
  <c r="BI33" i="11" s="1"/>
  <c r="Q34" i="41" s="1"/>
  <c r="C33" i="11"/>
  <c r="D32" i="11"/>
  <c r="BP32" i="11" s="1"/>
  <c r="BI32" i="11" s="1"/>
  <c r="Q33" i="41" s="1"/>
  <c r="C32" i="11"/>
  <c r="D31" i="11"/>
  <c r="BP31" i="11" s="1"/>
  <c r="BI31" i="11" s="1"/>
  <c r="Q32" i="41" s="1"/>
  <c r="C31" i="11"/>
  <c r="D30" i="11"/>
  <c r="BP30" i="11" s="1"/>
  <c r="BI30" i="11" s="1"/>
  <c r="Q31" i="41" s="1"/>
  <c r="C30" i="11"/>
  <c r="D29" i="11"/>
  <c r="BP29" i="11" s="1"/>
  <c r="BI29" i="11" s="1"/>
  <c r="Q30" i="41" s="1"/>
  <c r="C29" i="11"/>
  <c r="D28" i="11"/>
  <c r="BP28" i="11" s="1"/>
  <c r="BI28" i="11" s="1"/>
  <c r="Q29" i="41" s="1"/>
  <c r="C28" i="11"/>
  <c r="D27" i="11"/>
  <c r="BP27" i="11" s="1"/>
  <c r="BI27" i="11" s="1"/>
  <c r="Q28" i="41" s="1"/>
  <c r="C27" i="11"/>
  <c r="D26" i="11"/>
  <c r="BP26" i="11" s="1"/>
  <c r="BI26" i="11" s="1"/>
  <c r="Q27" i="41" s="1"/>
  <c r="C26" i="11"/>
  <c r="D25" i="11"/>
  <c r="BP25" i="11" s="1"/>
  <c r="BI25" i="11" s="1"/>
  <c r="Q26" i="41" s="1"/>
  <c r="C25" i="11"/>
  <c r="D24" i="11"/>
  <c r="BP24" i="11" s="1"/>
  <c r="BI24" i="11" s="1"/>
  <c r="Q25" i="41" s="1"/>
  <c r="C24" i="11"/>
  <c r="D23" i="11"/>
  <c r="BP23" i="11" s="1"/>
  <c r="BI23" i="11" s="1"/>
  <c r="Q24" i="41" s="1"/>
  <c r="C23" i="11"/>
  <c r="D22" i="11"/>
  <c r="BP22" i="11" s="1"/>
  <c r="BI22" i="11" s="1"/>
  <c r="Q23" i="41" s="1"/>
  <c r="C22" i="11"/>
  <c r="D21" i="11"/>
  <c r="BP21" i="11" s="1"/>
  <c r="BI21" i="11" s="1"/>
  <c r="Q22" i="41" s="1"/>
  <c r="C21" i="11"/>
  <c r="D20" i="11"/>
  <c r="BP20" i="11" s="1"/>
  <c r="BI20" i="11" s="1"/>
  <c r="Q21" i="41" s="1"/>
  <c r="C20" i="11"/>
  <c r="D19" i="11"/>
  <c r="BP19" i="11" s="1"/>
  <c r="BI19" i="11" s="1"/>
  <c r="Q20" i="41" s="1"/>
  <c r="C19" i="11"/>
  <c r="D18" i="11"/>
  <c r="BP18" i="11" s="1"/>
  <c r="BI18" i="11" s="1"/>
  <c r="Q19" i="41" s="1"/>
  <c r="C18" i="11"/>
  <c r="D17" i="11"/>
  <c r="BP17" i="11" s="1"/>
  <c r="BI17" i="11" s="1"/>
  <c r="Q18" i="41" s="1"/>
  <c r="C17" i="11"/>
  <c r="D16" i="11"/>
  <c r="BP16" i="11" s="1"/>
  <c r="BI16" i="11" s="1"/>
  <c r="Q17" i="41" s="1"/>
  <c r="C16" i="11"/>
  <c r="D15" i="11"/>
  <c r="BP15" i="11" s="1"/>
  <c r="BI15" i="11" s="1"/>
  <c r="Q16" i="41" s="1"/>
  <c r="C15" i="11"/>
  <c r="D14" i="11"/>
  <c r="BP14" i="11" s="1"/>
  <c r="BI14" i="11" s="1"/>
  <c r="Q15" i="41" s="1"/>
  <c r="C14" i="11"/>
  <c r="D13" i="11"/>
  <c r="BP13" i="11" s="1"/>
  <c r="BI13" i="11" s="1"/>
  <c r="Q14" i="41" s="1"/>
  <c r="C13" i="11"/>
  <c r="D12" i="11"/>
  <c r="BP12" i="11" s="1"/>
  <c r="BI12" i="11" s="1"/>
  <c r="Q13" i="41" s="1"/>
  <c r="C12" i="11"/>
  <c r="D11" i="11"/>
  <c r="BP11" i="11" s="1"/>
  <c r="BI11" i="11" s="1"/>
  <c r="Q12" i="41" s="1"/>
  <c r="C11" i="11"/>
  <c r="D10" i="11"/>
  <c r="BP10" i="11" s="1"/>
  <c r="BI10" i="11" s="1"/>
  <c r="Q11" i="41" s="1"/>
  <c r="C10" i="11"/>
  <c r="D9" i="11"/>
  <c r="BP9" i="11" s="1"/>
  <c r="BI9" i="11" s="1"/>
  <c r="Q10" i="41" s="1"/>
  <c r="C9" i="11"/>
  <c r="D8" i="11"/>
  <c r="BP8" i="11" s="1"/>
  <c r="BI8" i="11" s="1"/>
  <c r="Q9" i="41" s="1"/>
  <c r="C8" i="11"/>
  <c r="D7" i="11"/>
  <c r="BP7" i="11" s="1"/>
  <c r="BI7" i="11" s="1"/>
  <c r="Q8" i="41" s="1"/>
  <c r="C7" i="11"/>
  <c r="D6" i="11"/>
  <c r="BP6" i="11" s="1"/>
  <c r="BI6" i="11" s="1"/>
  <c r="Q7" i="41" s="1"/>
  <c r="C6" i="11"/>
  <c r="D5" i="11"/>
  <c r="C5" i="11"/>
  <c r="M55" i="25"/>
  <c r="D54" i="10"/>
  <c r="BH54" i="10" s="1"/>
  <c r="BA54" i="10" s="1"/>
  <c r="N55" i="41" s="1"/>
  <c r="C54" i="10"/>
  <c r="M54" i="25"/>
  <c r="D53" i="10"/>
  <c r="BH53" i="10" s="1"/>
  <c r="BA53" i="10" s="1"/>
  <c r="N54" i="41" s="1"/>
  <c r="C53" i="10"/>
  <c r="M53" i="25"/>
  <c r="D52" i="10"/>
  <c r="BH52" i="10" s="1"/>
  <c r="BA52" i="10" s="1"/>
  <c r="N53" i="41" s="1"/>
  <c r="C52" i="10"/>
  <c r="M52" i="25"/>
  <c r="D51" i="10"/>
  <c r="BH51" i="10" s="1"/>
  <c r="BA51" i="10" s="1"/>
  <c r="N52" i="41" s="1"/>
  <c r="C51" i="10"/>
  <c r="M51" i="25"/>
  <c r="D50" i="10"/>
  <c r="BH50" i="10" s="1"/>
  <c r="BA50" i="10" s="1"/>
  <c r="N51" i="41" s="1"/>
  <c r="C50" i="10"/>
  <c r="M50" i="25"/>
  <c r="D49" i="10"/>
  <c r="BH49" i="10" s="1"/>
  <c r="BA49" i="10" s="1"/>
  <c r="N50" i="41" s="1"/>
  <c r="C49" i="10"/>
  <c r="M49" i="25"/>
  <c r="D48" i="10"/>
  <c r="BH48" i="10" s="1"/>
  <c r="BA48" i="10" s="1"/>
  <c r="N49" i="41" s="1"/>
  <c r="C48" i="10"/>
  <c r="M48" i="25"/>
  <c r="D47" i="10"/>
  <c r="BH47" i="10" s="1"/>
  <c r="BA47" i="10" s="1"/>
  <c r="N48" i="41" s="1"/>
  <c r="C47" i="10"/>
  <c r="M47" i="25"/>
  <c r="D46" i="10"/>
  <c r="BH46" i="10" s="1"/>
  <c r="BA46" i="10" s="1"/>
  <c r="N47" i="41" s="1"/>
  <c r="C46" i="10"/>
  <c r="M46" i="25"/>
  <c r="D45" i="10"/>
  <c r="BH45" i="10" s="1"/>
  <c r="BA45" i="10" s="1"/>
  <c r="N46" i="41" s="1"/>
  <c r="C45" i="10"/>
  <c r="M45" i="25"/>
  <c r="D44" i="10"/>
  <c r="BH44" i="10" s="1"/>
  <c r="BA44" i="10" s="1"/>
  <c r="N45" i="41" s="1"/>
  <c r="C44" i="10"/>
  <c r="M44" i="25"/>
  <c r="D43" i="10"/>
  <c r="BH43" i="10" s="1"/>
  <c r="BA43" i="10" s="1"/>
  <c r="N44" i="41" s="1"/>
  <c r="C43" i="10"/>
  <c r="M43" i="25"/>
  <c r="D42" i="10"/>
  <c r="BH42" i="10" s="1"/>
  <c r="BA42" i="10" s="1"/>
  <c r="N43" i="41" s="1"/>
  <c r="C42" i="10"/>
  <c r="M42" i="25"/>
  <c r="D41" i="10"/>
  <c r="BH41" i="10" s="1"/>
  <c r="BA41" i="10" s="1"/>
  <c r="N42" i="41" s="1"/>
  <c r="C41" i="10"/>
  <c r="M41" i="25"/>
  <c r="D40" i="10"/>
  <c r="BH40" i="10" s="1"/>
  <c r="BA40" i="10" s="1"/>
  <c r="N41" i="41" s="1"/>
  <c r="C40" i="10"/>
  <c r="M40" i="25"/>
  <c r="D39" i="10"/>
  <c r="BH39" i="10" s="1"/>
  <c r="BA39" i="10" s="1"/>
  <c r="N40" i="41" s="1"/>
  <c r="C39" i="10"/>
  <c r="M39" i="25"/>
  <c r="D38" i="10"/>
  <c r="BH38" i="10" s="1"/>
  <c r="BA38" i="10" s="1"/>
  <c r="N39" i="41" s="1"/>
  <c r="C38" i="10"/>
  <c r="M38" i="25"/>
  <c r="D37" i="10"/>
  <c r="BH37" i="10" s="1"/>
  <c r="BA37" i="10" s="1"/>
  <c r="N38" i="41" s="1"/>
  <c r="C37" i="10"/>
  <c r="M37" i="25"/>
  <c r="D36" i="10"/>
  <c r="BH36" i="10" s="1"/>
  <c r="BA36" i="10" s="1"/>
  <c r="N37" i="41" s="1"/>
  <c r="C36" i="10"/>
  <c r="M36" i="25"/>
  <c r="D35" i="10"/>
  <c r="BH35" i="10" s="1"/>
  <c r="BA35" i="10" s="1"/>
  <c r="N36" i="41" s="1"/>
  <c r="C35" i="10"/>
  <c r="M35" i="25"/>
  <c r="D34" i="10"/>
  <c r="BH34" i="10" s="1"/>
  <c r="BA34" i="10" s="1"/>
  <c r="N35" i="41" s="1"/>
  <c r="C34" i="10"/>
  <c r="M34" i="25"/>
  <c r="D33" i="10"/>
  <c r="BH33" i="10" s="1"/>
  <c r="BA33" i="10" s="1"/>
  <c r="N34" i="41" s="1"/>
  <c r="C33" i="10"/>
  <c r="M33" i="25"/>
  <c r="D32" i="10"/>
  <c r="BH32" i="10" s="1"/>
  <c r="BA32" i="10" s="1"/>
  <c r="N33" i="41" s="1"/>
  <c r="C32" i="10"/>
  <c r="M32" i="25"/>
  <c r="D31" i="10"/>
  <c r="BH31" i="10" s="1"/>
  <c r="BA31" i="10" s="1"/>
  <c r="N32" i="41" s="1"/>
  <c r="C31" i="10"/>
  <c r="M31" i="25"/>
  <c r="D30" i="10"/>
  <c r="BH30" i="10" s="1"/>
  <c r="BA30" i="10" s="1"/>
  <c r="N31" i="41" s="1"/>
  <c r="C30" i="10"/>
  <c r="M30" i="25"/>
  <c r="D29" i="10"/>
  <c r="BH29" i="10" s="1"/>
  <c r="BA29" i="10" s="1"/>
  <c r="N30" i="41" s="1"/>
  <c r="C29" i="10"/>
  <c r="M29" i="25"/>
  <c r="D28" i="10"/>
  <c r="BH28" i="10" s="1"/>
  <c r="BA28" i="10" s="1"/>
  <c r="N29" i="41" s="1"/>
  <c r="C28" i="10"/>
  <c r="M28" i="25"/>
  <c r="D27" i="10"/>
  <c r="BH27" i="10" s="1"/>
  <c r="BA27" i="10" s="1"/>
  <c r="N28" i="41" s="1"/>
  <c r="C27" i="10"/>
  <c r="M27" i="25"/>
  <c r="D26" i="10"/>
  <c r="BH26" i="10" s="1"/>
  <c r="BA26" i="10" s="1"/>
  <c r="N27" i="41" s="1"/>
  <c r="C26" i="10"/>
  <c r="M26" i="25"/>
  <c r="D25" i="10"/>
  <c r="BH25" i="10" s="1"/>
  <c r="BA25" i="10" s="1"/>
  <c r="N26" i="41" s="1"/>
  <c r="C25" i="10"/>
  <c r="M25" i="25"/>
  <c r="D24" i="10"/>
  <c r="BH24" i="10" s="1"/>
  <c r="BA24" i="10" s="1"/>
  <c r="N25" i="41" s="1"/>
  <c r="C24" i="10"/>
  <c r="M24" i="25"/>
  <c r="D23" i="10"/>
  <c r="BH23" i="10" s="1"/>
  <c r="BA23" i="10" s="1"/>
  <c r="N24" i="41" s="1"/>
  <c r="C23" i="10"/>
  <c r="M23" i="25"/>
  <c r="D22" i="10"/>
  <c r="BH22" i="10" s="1"/>
  <c r="BA22" i="10" s="1"/>
  <c r="N23" i="41" s="1"/>
  <c r="C22" i="10"/>
  <c r="M22" i="25"/>
  <c r="D21" i="10"/>
  <c r="BH21" i="10" s="1"/>
  <c r="BA21" i="10" s="1"/>
  <c r="N22" i="41" s="1"/>
  <c r="C21" i="10"/>
  <c r="M21" i="25"/>
  <c r="D20" i="10"/>
  <c r="BH20" i="10" s="1"/>
  <c r="BA20" i="10" s="1"/>
  <c r="N21" i="41" s="1"/>
  <c r="C20" i="10"/>
  <c r="M20" i="25"/>
  <c r="D19" i="10"/>
  <c r="BH19" i="10" s="1"/>
  <c r="BA19" i="10" s="1"/>
  <c r="N20" i="41" s="1"/>
  <c r="C19" i="10"/>
  <c r="M19" i="25"/>
  <c r="D18" i="10"/>
  <c r="BH18" i="10" s="1"/>
  <c r="BA18" i="10" s="1"/>
  <c r="N19" i="41" s="1"/>
  <c r="C18" i="10"/>
  <c r="M18" i="25"/>
  <c r="D17" i="10"/>
  <c r="BH17" i="10" s="1"/>
  <c r="BA17" i="10" s="1"/>
  <c r="N18" i="41" s="1"/>
  <c r="C17" i="10"/>
  <c r="M17" i="25"/>
  <c r="D16" i="10"/>
  <c r="BH16" i="10" s="1"/>
  <c r="BA16" i="10" s="1"/>
  <c r="N17" i="41" s="1"/>
  <c r="C16" i="10"/>
  <c r="M16" i="25"/>
  <c r="D15" i="10"/>
  <c r="BH15" i="10" s="1"/>
  <c r="BA15" i="10" s="1"/>
  <c r="N16" i="41" s="1"/>
  <c r="C15" i="10"/>
  <c r="M15" i="25"/>
  <c r="D14" i="10"/>
  <c r="BH14" i="10" s="1"/>
  <c r="BA14" i="10" s="1"/>
  <c r="N15" i="41" s="1"/>
  <c r="C14" i="10"/>
  <c r="M14" i="25"/>
  <c r="D13" i="10"/>
  <c r="BH13" i="10" s="1"/>
  <c r="BA13" i="10" s="1"/>
  <c r="N14" i="41" s="1"/>
  <c r="C13" i="10"/>
  <c r="M13" i="25"/>
  <c r="D12" i="10"/>
  <c r="BH12" i="10" s="1"/>
  <c r="BA12" i="10" s="1"/>
  <c r="N13" i="41" s="1"/>
  <c r="C12" i="10"/>
  <c r="M12" i="25"/>
  <c r="D11" i="10"/>
  <c r="BH11" i="10" s="1"/>
  <c r="BA11" i="10" s="1"/>
  <c r="N12" i="41" s="1"/>
  <c r="C11" i="10"/>
  <c r="M11" i="25"/>
  <c r="D10" i="10"/>
  <c r="BH10" i="10" s="1"/>
  <c r="BA10" i="10" s="1"/>
  <c r="N11" i="41" s="1"/>
  <c r="C10" i="10"/>
  <c r="M10" i="25"/>
  <c r="D9" i="10"/>
  <c r="BH9" i="10" s="1"/>
  <c r="BA9" i="10" s="1"/>
  <c r="N10" i="41" s="1"/>
  <c r="C9" i="10"/>
  <c r="M9" i="25"/>
  <c r="D8" i="10"/>
  <c r="BH8" i="10" s="1"/>
  <c r="BA8" i="10" s="1"/>
  <c r="N9" i="41" s="1"/>
  <c r="C8" i="10"/>
  <c r="M8" i="25"/>
  <c r="D7" i="10"/>
  <c r="BH7" i="10" s="1"/>
  <c r="BA7" i="10" s="1"/>
  <c r="N8" i="41" s="1"/>
  <c r="C7" i="10"/>
  <c r="D6" i="10"/>
  <c r="BH6" i="10" s="1"/>
  <c r="BA6" i="10" s="1"/>
  <c r="N7" i="41" s="1"/>
  <c r="C6" i="10"/>
  <c r="D5" i="10"/>
  <c r="BH5" i="10" s="1"/>
  <c r="BA5" i="10" s="1"/>
  <c r="N6" i="41" s="1"/>
  <c r="C5" i="10"/>
  <c r="D54" i="7"/>
  <c r="C54" i="7"/>
  <c r="D53" i="7"/>
  <c r="C53" i="7"/>
  <c r="D52" i="7"/>
  <c r="C52" i="7"/>
  <c r="D51" i="7"/>
  <c r="C51" i="7"/>
  <c r="D50" i="7"/>
  <c r="C50" i="7"/>
  <c r="D49" i="7"/>
  <c r="C49" i="7"/>
  <c r="D48" i="7"/>
  <c r="C48" i="7"/>
  <c r="D47" i="7"/>
  <c r="C47" i="7"/>
  <c r="D46" i="7"/>
  <c r="C46" i="7"/>
  <c r="D45" i="7"/>
  <c r="C45" i="7"/>
  <c r="D44" i="7"/>
  <c r="C44" i="7"/>
  <c r="D43" i="7"/>
  <c r="C43" i="7"/>
  <c r="D42" i="7"/>
  <c r="C42" i="7"/>
  <c r="D41" i="7"/>
  <c r="C41" i="7"/>
  <c r="D40" i="7"/>
  <c r="C40" i="7"/>
  <c r="D39" i="7"/>
  <c r="C39" i="7"/>
  <c r="D38" i="7"/>
  <c r="C38" i="7"/>
  <c r="D37" i="7"/>
  <c r="C37" i="7"/>
  <c r="D36" i="7"/>
  <c r="C36" i="7"/>
  <c r="D35" i="7"/>
  <c r="C35" i="7"/>
  <c r="D34" i="7"/>
  <c r="C34" i="7"/>
  <c r="D33" i="7"/>
  <c r="C33" i="7"/>
  <c r="D32" i="7"/>
  <c r="C32" i="7"/>
  <c r="D31" i="7"/>
  <c r="C31" i="7"/>
  <c r="D30" i="7"/>
  <c r="C30" i="7"/>
  <c r="D29" i="7"/>
  <c r="C29" i="7"/>
  <c r="D28" i="7"/>
  <c r="C28" i="7"/>
  <c r="D27" i="7"/>
  <c r="C27" i="7"/>
  <c r="D26" i="7"/>
  <c r="C26" i="7"/>
  <c r="D25" i="7"/>
  <c r="C25" i="7"/>
  <c r="D24" i="7"/>
  <c r="C24" i="7"/>
  <c r="D23" i="7"/>
  <c r="C23" i="7"/>
  <c r="D22" i="7"/>
  <c r="C22" i="7"/>
  <c r="D21" i="7"/>
  <c r="C21" i="7"/>
  <c r="D20" i="7"/>
  <c r="C20" i="7"/>
  <c r="D19" i="7"/>
  <c r="C19" i="7"/>
  <c r="D18" i="7"/>
  <c r="C18" i="7"/>
  <c r="D17" i="7"/>
  <c r="C17" i="7"/>
  <c r="D16" i="7"/>
  <c r="C16" i="7"/>
  <c r="D15" i="7"/>
  <c r="C15" i="7"/>
  <c r="D14" i="7"/>
  <c r="C14" i="7"/>
  <c r="D13" i="7"/>
  <c r="C13" i="7"/>
  <c r="D12" i="7"/>
  <c r="C12" i="7"/>
  <c r="D11" i="7"/>
  <c r="C11" i="7"/>
  <c r="D10" i="7"/>
  <c r="C10" i="7"/>
  <c r="D9" i="7"/>
  <c r="C9" i="7"/>
  <c r="D8" i="7"/>
  <c r="C8" i="7"/>
  <c r="D7" i="7"/>
  <c r="C7" i="7"/>
  <c r="D6" i="7"/>
  <c r="C6" i="7"/>
  <c r="D5" i="7"/>
  <c r="C5" i="7"/>
  <c r="C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EH6" i="1"/>
  <c r="EA6" i="1" s="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D54" i="5"/>
  <c r="C54" i="5"/>
  <c r="D53" i="5"/>
  <c r="C53" i="5"/>
  <c r="D52" i="5"/>
  <c r="C52" i="5"/>
  <c r="D51" i="5"/>
  <c r="C51" i="5"/>
  <c r="D50" i="5"/>
  <c r="C50" i="5"/>
  <c r="D49" i="5"/>
  <c r="C49" i="5"/>
  <c r="D48" i="5"/>
  <c r="C48" i="5"/>
  <c r="D47" i="5"/>
  <c r="C47" i="5"/>
  <c r="D46" i="5"/>
  <c r="C46" i="5"/>
  <c r="D45" i="5"/>
  <c r="C45" i="5"/>
  <c r="D44" i="5"/>
  <c r="C44" i="5"/>
  <c r="D43" i="5"/>
  <c r="C43" i="5"/>
  <c r="D42" i="5"/>
  <c r="C42" i="5"/>
  <c r="D41" i="5"/>
  <c r="C41" i="5"/>
  <c r="D40" i="5"/>
  <c r="C40" i="5"/>
  <c r="D39" i="5"/>
  <c r="C39" i="5"/>
  <c r="D38" i="5"/>
  <c r="C38" i="5"/>
  <c r="D37" i="5"/>
  <c r="C37" i="5"/>
  <c r="D36" i="5"/>
  <c r="C36" i="5"/>
  <c r="D35" i="5"/>
  <c r="C35" i="5"/>
  <c r="D34" i="5"/>
  <c r="C34" i="5"/>
  <c r="D33" i="5"/>
  <c r="C33" i="5"/>
  <c r="D32" i="5"/>
  <c r="C32" i="5"/>
  <c r="D31" i="5"/>
  <c r="C31" i="5"/>
  <c r="D30" i="5"/>
  <c r="C30" i="5"/>
  <c r="D29" i="5"/>
  <c r="C29" i="5"/>
  <c r="D28" i="5"/>
  <c r="C28" i="5"/>
  <c r="D27" i="5"/>
  <c r="C27" i="5"/>
  <c r="D26" i="5"/>
  <c r="C26" i="5"/>
  <c r="D25" i="5"/>
  <c r="C25" i="5"/>
  <c r="D24" i="5"/>
  <c r="C24" i="5"/>
  <c r="D23" i="5"/>
  <c r="C23" i="5"/>
  <c r="D22" i="5"/>
  <c r="C22" i="5"/>
  <c r="D21" i="5"/>
  <c r="C21" i="5"/>
  <c r="D20" i="5"/>
  <c r="C20" i="5"/>
  <c r="D19" i="5"/>
  <c r="C19" i="5"/>
  <c r="D18" i="5"/>
  <c r="C18" i="5"/>
  <c r="D17" i="5"/>
  <c r="C17" i="5"/>
  <c r="D16" i="5"/>
  <c r="C16" i="5"/>
  <c r="D15" i="5"/>
  <c r="C15" i="5"/>
  <c r="D14" i="5"/>
  <c r="C14" i="5"/>
  <c r="D13" i="5"/>
  <c r="C13" i="5"/>
  <c r="D12" i="5"/>
  <c r="C12" i="5"/>
  <c r="D11" i="5"/>
  <c r="C11" i="5"/>
  <c r="D10" i="5"/>
  <c r="C10" i="5"/>
  <c r="D9" i="5"/>
  <c r="C9" i="5"/>
  <c r="D8" i="5"/>
  <c r="C8" i="5"/>
  <c r="D7" i="5"/>
  <c r="C7" i="5"/>
  <c r="D6" i="5"/>
  <c r="C6" i="5"/>
  <c r="D5" i="5"/>
  <c r="C5" i="5"/>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 i="4"/>
  <c r="D6" i="4"/>
  <c r="M6" i="4" s="1"/>
  <c r="Q6" i="4" s="1"/>
  <c r="D7" i="41" s="1"/>
  <c r="D7" i="4"/>
  <c r="M7" i="4" s="1"/>
  <c r="Q7" i="4" s="1"/>
  <c r="D8" i="41" s="1"/>
  <c r="D8" i="4"/>
  <c r="M8" i="4" s="1"/>
  <c r="Q8" i="4" s="1"/>
  <c r="D9" i="41" s="1"/>
  <c r="D9" i="4"/>
  <c r="M9" i="4" s="1"/>
  <c r="Q9" i="4" s="1"/>
  <c r="D10" i="41" s="1"/>
  <c r="D10" i="4"/>
  <c r="M10" i="4" s="1"/>
  <c r="Q10" i="4" s="1"/>
  <c r="D11" i="41" s="1"/>
  <c r="D11" i="4"/>
  <c r="M11" i="4" s="1"/>
  <c r="Q11" i="4" s="1"/>
  <c r="D12" i="41" s="1"/>
  <c r="D12" i="4"/>
  <c r="M12" i="4" s="1"/>
  <c r="Q12" i="4" s="1"/>
  <c r="D13" i="41" s="1"/>
  <c r="D13" i="4"/>
  <c r="M13" i="4" s="1"/>
  <c r="Q13" i="4" s="1"/>
  <c r="D14" i="41" s="1"/>
  <c r="D14" i="4"/>
  <c r="M14" i="4" s="1"/>
  <c r="Q14" i="4" s="1"/>
  <c r="D15" i="41" s="1"/>
  <c r="D15" i="4"/>
  <c r="M15" i="4" s="1"/>
  <c r="Q15" i="4" s="1"/>
  <c r="D16" i="41" s="1"/>
  <c r="D16" i="4"/>
  <c r="M16" i="4" s="1"/>
  <c r="Q16" i="4" s="1"/>
  <c r="D17" i="41" s="1"/>
  <c r="D17" i="4"/>
  <c r="M17" i="4" s="1"/>
  <c r="Q17" i="4" s="1"/>
  <c r="D18" i="41" s="1"/>
  <c r="D18" i="4"/>
  <c r="M18" i="4" s="1"/>
  <c r="Q18" i="4" s="1"/>
  <c r="D19" i="41" s="1"/>
  <c r="D19" i="4"/>
  <c r="M19" i="4" s="1"/>
  <c r="Q19" i="4" s="1"/>
  <c r="D20" i="41" s="1"/>
  <c r="D20" i="4"/>
  <c r="M20" i="4" s="1"/>
  <c r="Q20" i="4" s="1"/>
  <c r="D21" i="41" s="1"/>
  <c r="D21" i="4"/>
  <c r="M21" i="4" s="1"/>
  <c r="Q21" i="4" s="1"/>
  <c r="D22" i="41" s="1"/>
  <c r="D22" i="4"/>
  <c r="M22" i="4" s="1"/>
  <c r="Q22" i="4" s="1"/>
  <c r="D23" i="41" s="1"/>
  <c r="D23" i="4"/>
  <c r="M23" i="4" s="1"/>
  <c r="Q23" i="4" s="1"/>
  <c r="D24" i="41" s="1"/>
  <c r="D24" i="4"/>
  <c r="M24" i="4" s="1"/>
  <c r="Q24" i="4" s="1"/>
  <c r="D25" i="41" s="1"/>
  <c r="D25" i="4"/>
  <c r="M25" i="4" s="1"/>
  <c r="Q25" i="4" s="1"/>
  <c r="D26" i="41" s="1"/>
  <c r="D26" i="4"/>
  <c r="M26" i="4" s="1"/>
  <c r="Q26" i="4" s="1"/>
  <c r="D27" i="41" s="1"/>
  <c r="D27" i="4"/>
  <c r="M27" i="4" s="1"/>
  <c r="Q27" i="4" s="1"/>
  <c r="D28" i="41" s="1"/>
  <c r="D28" i="4"/>
  <c r="M28" i="4" s="1"/>
  <c r="Q28" i="4" s="1"/>
  <c r="D29" i="41" s="1"/>
  <c r="D29" i="4"/>
  <c r="M29" i="4" s="1"/>
  <c r="Q29" i="4" s="1"/>
  <c r="D30" i="41" s="1"/>
  <c r="D30" i="4"/>
  <c r="M30" i="4" s="1"/>
  <c r="Q30" i="4" s="1"/>
  <c r="D31" i="41" s="1"/>
  <c r="D31" i="4"/>
  <c r="M31" i="4" s="1"/>
  <c r="Q31" i="4" s="1"/>
  <c r="D32" i="41" s="1"/>
  <c r="D32" i="4"/>
  <c r="M32" i="4" s="1"/>
  <c r="Q32" i="4" s="1"/>
  <c r="D33" i="41" s="1"/>
  <c r="D33" i="4"/>
  <c r="M33" i="4" s="1"/>
  <c r="Q33" i="4" s="1"/>
  <c r="D34" i="41" s="1"/>
  <c r="D34" i="4"/>
  <c r="M34" i="4" s="1"/>
  <c r="Q34" i="4" s="1"/>
  <c r="D35" i="41" s="1"/>
  <c r="D35" i="4"/>
  <c r="M35" i="4" s="1"/>
  <c r="Q35" i="4" s="1"/>
  <c r="D36" i="41" s="1"/>
  <c r="D36" i="4"/>
  <c r="M36" i="4" s="1"/>
  <c r="Q36" i="4" s="1"/>
  <c r="D37" i="41" s="1"/>
  <c r="D37" i="4"/>
  <c r="M37" i="4" s="1"/>
  <c r="Q37" i="4" s="1"/>
  <c r="D38" i="41" s="1"/>
  <c r="D38" i="4"/>
  <c r="M38" i="4" s="1"/>
  <c r="Q38" i="4" s="1"/>
  <c r="D39" i="41" s="1"/>
  <c r="D39" i="4"/>
  <c r="M39" i="4" s="1"/>
  <c r="Q39" i="4" s="1"/>
  <c r="D40" i="41" s="1"/>
  <c r="D40" i="4"/>
  <c r="M40" i="4" s="1"/>
  <c r="Q40" i="4" s="1"/>
  <c r="D41" i="41" s="1"/>
  <c r="D41" i="4"/>
  <c r="M41" i="4" s="1"/>
  <c r="Q41" i="4" s="1"/>
  <c r="D42" i="41" s="1"/>
  <c r="D42" i="4"/>
  <c r="M42" i="4" s="1"/>
  <c r="Q42" i="4" s="1"/>
  <c r="D43" i="41" s="1"/>
  <c r="D43" i="4"/>
  <c r="M43" i="4" s="1"/>
  <c r="Q43" i="4" s="1"/>
  <c r="D44" i="41" s="1"/>
  <c r="D44" i="4"/>
  <c r="M44" i="4" s="1"/>
  <c r="Q44" i="4" s="1"/>
  <c r="D45" i="41" s="1"/>
  <c r="D45" i="4"/>
  <c r="M45" i="4" s="1"/>
  <c r="Q45" i="4" s="1"/>
  <c r="D46" i="41" s="1"/>
  <c r="D46" i="4"/>
  <c r="M46" i="4" s="1"/>
  <c r="Q46" i="4" s="1"/>
  <c r="D47" i="41" s="1"/>
  <c r="D47" i="4"/>
  <c r="M47" i="4" s="1"/>
  <c r="Q47" i="4" s="1"/>
  <c r="D48" i="41" s="1"/>
  <c r="D48" i="4"/>
  <c r="M48" i="4" s="1"/>
  <c r="Q48" i="4" s="1"/>
  <c r="D49" i="41" s="1"/>
  <c r="D49" i="4"/>
  <c r="M49" i="4" s="1"/>
  <c r="Q49" i="4" s="1"/>
  <c r="D50" i="41" s="1"/>
  <c r="D50" i="4"/>
  <c r="M50" i="4" s="1"/>
  <c r="Q50" i="4" s="1"/>
  <c r="D51" i="41" s="1"/>
  <c r="D51" i="4"/>
  <c r="M51" i="4" s="1"/>
  <c r="Q51" i="4" s="1"/>
  <c r="D52" i="41" s="1"/>
  <c r="D52" i="4"/>
  <c r="M52" i="4" s="1"/>
  <c r="Q52" i="4" s="1"/>
  <c r="D53" i="41" s="1"/>
  <c r="D53" i="4"/>
  <c r="M53" i="4" s="1"/>
  <c r="Q53" i="4" s="1"/>
  <c r="D54" i="41" s="1"/>
  <c r="D54" i="4"/>
  <c r="M54" i="4" s="1"/>
  <c r="Q54" i="4" s="1"/>
  <c r="D55" i="41" s="1"/>
  <c r="D5" i="4"/>
  <c r="S5" i="4" s="1"/>
  <c r="EH52" i="1" l="1"/>
  <c r="EA52" i="1" s="1"/>
  <c r="H52" i="41" s="1"/>
  <c r="FJ52" i="1"/>
  <c r="FD52" i="1" s="1"/>
  <c r="F52" i="83" s="1"/>
  <c r="EH48" i="1"/>
  <c r="EA48" i="1" s="1"/>
  <c r="H48" i="41" s="1"/>
  <c r="FJ48" i="1"/>
  <c r="FD48" i="1" s="1"/>
  <c r="F48" i="83" s="1"/>
  <c r="EH44" i="1"/>
  <c r="EA44" i="1" s="1"/>
  <c r="H44" i="41" s="1"/>
  <c r="FJ44" i="1"/>
  <c r="FD44" i="1" s="1"/>
  <c r="F44" i="83" s="1"/>
  <c r="EH40" i="1"/>
  <c r="EA40" i="1" s="1"/>
  <c r="H40" i="41" s="1"/>
  <c r="FJ40" i="1"/>
  <c r="FD40" i="1" s="1"/>
  <c r="F40" i="83" s="1"/>
  <c r="EH36" i="1"/>
  <c r="EA36" i="1" s="1"/>
  <c r="H36" i="41" s="1"/>
  <c r="FJ36" i="1"/>
  <c r="FD36" i="1" s="1"/>
  <c r="F36" i="83" s="1"/>
  <c r="EH32" i="1"/>
  <c r="EA32" i="1" s="1"/>
  <c r="H32" i="41" s="1"/>
  <c r="FJ32" i="1"/>
  <c r="FD32" i="1" s="1"/>
  <c r="F32" i="83" s="1"/>
  <c r="EH28" i="1"/>
  <c r="EA28" i="1" s="1"/>
  <c r="H28" i="41" s="1"/>
  <c r="FJ28" i="1"/>
  <c r="FD28" i="1" s="1"/>
  <c r="F28" i="83" s="1"/>
  <c r="EH24" i="1"/>
  <c r="EA24" i="1" s="1"/>
  <c r="H24" i="41" s="1"/>
  <c r="FJ24" i="1"/>
  <c r="FD24" i="1" s="1"/>
  <c r="F24" i="83" s="1"/>
  <c r="EH20" i="1"/>
  <c r="EA20" i="1" s="1"/>
  <c r="H20" i="41" s="1"/>
  <c r="FJ20" i="1"/>
  <c r="FD20" i="1" s="1"/>
  <c r="F20" i="83" s="1"/>
  <c r="EH16" i="1"/>
  <c r="EA16" i="1" s="1"/>
  <c r="H16" i="41" s="1"/>
  <c r="FJ16" i="1"/>
  <c r="FD16" i="1" s="1"/>
  <c r="F16" i="83" s="1"/>
  <c r="EH12" i="1"/>
  <c r="EA12" i="1" s="1"/>
  <c r="H12" i="41" s="1"/>
  <c r="FJ12" i="1"/>
  <c r="FD12" i="1" s="1"/>
  <c r="F12" i="83" s="1"/>
  <c r="EH8" i="1"/>
  <c r="EA8" i="1" s="1"/>
  <c r="H8" i="41" s="1"/>
  <c r="FJ8" i="1"/>
  <c r="FD8" i="1" s="1"/>
  <c r="F8" i="83" s="1"/>
  <c r="EH55" i="1"/>
  <c r="EA55" i="1" s="1"/>
  <c r="H55" i="41" s="1"/>
  <c r="FJ55" i="1"/>
  <c r="FD55" i="1" s="1"/>
  <c r="F55" i="83" s="1"/>
  <c r="EH51" i="1"/>
  <c r="EA51" i="1" s="1"/>
  <c r="H51" i="41" s="1"/>
  <c r="FJ51" i="1"/>
  <c r="FD51" i="1" s="1"/>
  <c r="F51" i="83" s="1"/>
  <c r="EH47" i="1"/>
  <c r="EA47" i="1" s="1"/>
  <c r="H47" i="41" s="1"/>
  <c r="FJ47" i="1"/>
  <c r="FD47" i="1" s="1"/>
  <c r="F47" i="83" s="1"/>
  <c r="EH43" i="1"/>
  <c r="EA43" i="1" s="1"/>
  <c r="H43" i="41" s="1"/>
  <c r="FJ43" i="1"/>
  <c r="FD43" i="1" s="1"/>
  <c r="F43" i="83" s="1"/>
  <c r="EH39" i="1"/>
  <c r="EA39" i="1" s="1"/>
  <c r="H39" i="41" s="1"/>
  <c r="FJ39" i="1"/>
  <c r="FD39" i="1" s="1"/>
  <c r="F39" i="83" s="1"/>
  <c r="EH35" i="1"/>
  <c r="EA35" i="1" s="1"/>
  <c r="H35" i="41" s="1"/>
  <c r="FJ35" i="1"/>
  <c r="FD35" i="1" s="1"/>
  <c r="F35" i="83" s="1"/>
  <c r="EH31" i="1"/>
  <c r="EA31" i="1" s="1"/>
  <c r="H31" i="41" s="1"/>
  <c r="FJ31" i="1"/>
  <c r="FD31" i="1" s="1"/>
  <c r="F31" i="83" s="1"/>
  <c r="EH27" i="1"/>
  <c r="EA27" i="1" s="1"/>
  <c r="H27" i="41" s="1"/>
  <c r="FJ27" i="1"/>
  <c r="FD27" i="1" s="1"/>
  <c r="F27" i="83" s="1"/>
  <c r="EH23" i="1"/>
  <c r="EA23" i="1" s="1"/>
  <c r="H23" i="41" s="1"/>
  <c r="FJ23" i="1"/>
  <c r="FD23" i="1" s="1"/>
  <c r="F23" i="83" s="1"/>
  <c r="EH19" i="1"/>
  <c r="EA19" i="1" s="1"/>
  <c r="H19" i="41" s="1"/>
  <c r="FJ19" i="1"/>
  <c r="FD19" i="1" s="1"/>
  <c r="F19" i="83" s="1"/>
  <c r="EH15" i="1"/>
  <c r="EA15" i="1" s="1"/>
  <c r="H15" i="41" s="1"/>
  <c r="FJ15" i="1"/>
  <c r="FD15" i="1" s="1"/>
  <c r="F15" i="83" s="1"/>
  <c r="EH11" i="1"/>
  <c r="EA11" i="1" s="1"/>
  <c r="H11" i="41" s="1"/>
  <c r="FJ11" i="1"/>
  <c r="FD11" i="1" s="1"/>
  <c r="F11" i="83" s="1"/>
  <c r="EH7" i="1"/>
  <c r="FJ7" i="1"/>
  <c r="FD7" i="1" s="1"/>
  <c r="F7" i="83" s="1"/>
  <c r="EH54" i="1"/>
  <c r="EA54" i="1" s="1"/>
  <c r="H54" i="41" s="1"/>
  <c r="FJ54" i="1"/>
  <c r="FD54" i="1" s="1"/>
  <c r="F54" i="83" s="1"/>
  <c r="EH50" i="1"/>
  <c r="EA50" i="1" s="1"/>
  <c r="H50" i="41" s="1"/>
  <c r="FJ50" i="1"/>
  <c r="FD50" i="1" s="1"/>
  <c r="F50" i="83" s="1"/>
  <c r="EH46" i="1"/>
  <c r="EA46" i="1" s="1"/>
  <c r="H46" i="41" s="1"/>
  <c r="FJ46" i="1"/>
  <c r="FD46" i="1" s="1"/>
  <c r="F46" i="83" s="1"/>
  <c r="EH42" i="1"/>
  <c r="EA42" i="1" s="1"/>
  <c r="H42" i="41" s="1"/>
  <c r="FJ42" i="1"/>
  <c r="FD42" i="1" s="1"/>
  <c r="F42" i="83" s="1"/>
  <c r="EH38" i="1"/>
  <c r="EA38" i="1" s="1"/>
  <c r="H38" i="41" s="1"/>
  <c r="FJ38" i="1"/>
  <c r="FD38" i="1" s="1"/>
  <c r="F38" i="83" s="1"/>
  <c r="EH34" i="1"/>
  <c r="EA34" i="1" s="1"/>
  <c r="H34" i="41" s="1"/>
  <c r="FJ34" i="1"/>
  <c r="FD34" i="1" s="1"/>
  <c r="F34" i="83" s="1"/>
  <c r="EH30" i="1"/>
  <c r="EA30" i="1" s="1"/>
  <c r="H30" i="41" s="1"/>
  <c r="FJ30" i="1"/>
  <c r="FD30" i="1" s="1"/>
  <c r="F30" i="83" s="1"/>
  <c r="EH26" i="1"/>
  <c r="EA26" i="1" s="1"/>
  <c r="H26" i="41" s="1"/>
  <c r="FJ26" i="1"/>
  <c r="FD26" i="1" s="1"/>
  <c r="F26" i="83" s="1"/>
  <c r="EH22" i="1"/>
  <c r="EA22" i="1" s="1"/>
  <c r="H22" i="41" s="1"/>
  <c r="FJ22" i="1"/>
  <c r="FD22" i="1" s="1"/>
  <c r="F22" i="83" s="1"/>
  <c r="EH18" i="1"/>
  <c r="EA18" i="1" s="1"/>
  <c r="H18" i="41" s="1"/>
  <c r="FJ18" i="1"/>
  <c r="FD18" i="1" s="1"/>
  <c r="F18" i="83" s="1"/>
  <c r="EH14" i="1"/>
  <c r="EA14" i="1" s="1"/>
  <c r="H14" i="41" s="1"/>
  <c r="FJ14" i="1"/>
  <c r="FD14" i="1" s="1"/>
  <c r="F14" i="83" s="1"/>
  <c r="EH10" i="1"/>
  <c r="EA10" i="1" s="1"/>
  <c r="H10" i="41" s="1"/>
  <c r="FJ10" i="1"/>
  <c r="FD10" i="1" s="1"/>
  <c r="F10" i="83" s="1"/>
  <c r="EH53" i="1"/>
  <c r="EA53" i="1" s="1"/>
  <c r="H53" i="41" s="1"/>
  <c r="FJ53" i="1"/>
  <c r="FD53" i="1" s="1"/>
  <c r="F53" i="83" s="1"/>
  <c r="EH49" i="1"/>
  <c r="EA49" i="1" s="1"/>
  <c r="H49" i="41" s="1"/>
  <c r="FJ49" i="1"/>
  <c r="FD49" i="1" s="1"/>
  <c r="F49" i="83" s="1"/>
  <c r="EH45" i="1"/>
  <c r="EA45" i="1" s="1"/>
  <c r="H45" i="41" s="1"/>
  <c r="FJ45" i="1"/>
  <c r="FD45" i="1" s="1"/>
  <c r="F45" i="83" s="1"/>
  <c r="EH41" i="1"/>
  <c r="EA41" i="1" s="1"/>
  <c r="H41" i="41" s="1"/>
  <c r="FJ41" i="1"/>
  <c r="FD41" i="1" s="1"/>
  <c r="F41" i="83" s="1"/>
  <c r="EH37" i="1"/>
  <c r="EA37" i="1" s="1"/>
  <c r="H37" i="41" s="1"/>
  <c r="FJ37" i="1"/>
  <c r="FD37" i="1" s="1"/>
  <c r="F37" i="83" s="1"/>
  <c r="EH33" i="1"/>
  <c r="EA33" i="1" s="1"/>
  <c r="H33" i="41" s="1"/>
  <c r="FJ33" i="1"/>
  <c r="FD33" i="1" s="1"/>
  <c r="F33" i="83" s="1"/>
  <c r="EH29" i="1"/>
  <c r="EA29" i="1" s="1"/>
  <c r="H29" i="41" s="1"/>
  <c r="FJ29" i="1"/>
  <c r="FD29" i="1" s="1"/>
  <c r="F29" i="83" s="1"/>
  <c r="EH25" i="1"/>
  <c r="EA25" i="1" s="1"/>
  <c r="H25" i="41" s="1"/>
  <c r="FJ25" i="1"/>
  <c r="FD25" i="1" s="1"/>
  <c r="F25" i="83" s="1"/>
  <c r="EH21" i="1"/>
  <c r="EA21" i="1" s="1"/>
  <c r="H21" i="41" s="1"/>
  <c r="FJ21" i="1"/>
  <c r="FD21" i="1" s="1"/>
  <c r="F21" i="83" s="1"/>
  <c r="EH17" i="1"/>
  <c r="EA17" i="1" s="1"/>
  <c r="H17" i="41" s="1"/>
  <c r="FJ17" i="1"/>
  <c r="FD17" i="1" s="1"/>
  <c r="F17" i="83" s="1"/>
  <c r="EH13" i="1"/>
  <c r="EA13" i="1" s="1"/>
  <c r="H13" i="41" s="1"/>
  <c r="FJ13" i="1"/>
  <c r="FD13" i="1" s="1"/>
  <c r="F13" i="83" s="1"/>
  <c r="EH9" i="1"/>
  <c r="EA9" i="1" s="1"/>
  <c r="H9" i="41" s="1"/>
  <c r="FJ9" i="1"/>
  <c r="FD9" i="1" s="1"/>
  <c r="F9" i="83" s="1"/>
  <c r="BC5" i="15"/>
  <c r="AV5" i="15" s="1"/>
  <c r="AL6" i="41" s="1"/>
  <c r="CB5" i="15"/>
  <c r="BV5" i="15" s="1"/>
  <c r="AJ6" i="83" s="1"/>
  <c r="J40" i="84" s="1"/>
  <c r="BC7" i="15"/>
  <c r="AV7" i="15" s="1"/>
  <c r="AL8" i="41" s="1"/>
  <c r="CB7" i="15"/>
  <c r="BV7" i="15" s="1"/>
  <c r="AJ8" i="83" s="1"/>
  <c r="BC9" i="15"/>
  <c r="AV9" i="15" s="1"/>
  <c r="AL10" i="41" s="1"/>
  <c r="CB9" i="15"/>
  <c r="BV9" i="15" s="1"/>
  <c r="AJ10" i="83" s="1"/>
  <c r="BC11" i="15"/>
  <c r="AV11" i="15" s="1"/>
  <c r="AL12" i="41" s="1"/>
  <c r="CB11" i="15"/>
  <c r="BV11" i="15" s="1"/>
  <c r="AJ12" i="83" s="1"/>
  <c r="BC13" i="15"/>
  <c r="AV13" i="15" s="1"/>
  <c r="AL14" i="41" s="1"/>
  <c r="CB13" i="15"/>
  <c r="BV13" i="15" s="1"/>
  <c r="AJ14" i="83" s="1"/>
  <c r="BC15" i="15"/>
  <c r="AV15" i="15" s="1"/>
  <c r="AL16" i="41" s="1"/>
  <c r="CB15" i="15"/>
  <c r="BV15" i="15" s="1"/>
  <c r="AJ16" i="83" s="1"/>
  <c r="BC17" i="15"/>
  <c r="AV17" i="15" s="1"/>
  <c r="AL18" i="41" s="1"/>
  <c r="CB17" i="15"/>
  <c r="BV17" i="15" s="1"/>
  <c r="AJ18" i="83" s="1"/>
  <c r="BC19" i="15"/>
  <c r="AV19" i="15" s="1"/>
  <c r="AL20" i="41" s="1"/>
  <c r="CB19" i="15"/>
  <c r="BV19" i="15" s="1"/>
  <c r="AJ20" i="83" s="1"/>
  <c r="BC21" i="15"/>
  <c r="AV21" i="15" s="1"/>
  <c r="AL22" i="41" s="1"/>
  <c r="CB21" i="15"/>
  <c r="BV21" i="15" s="1"/>
  <c r="AJ22" i="83" s="1"/>
  <c r="BC23" i="15"/>
  <c r="AV23" i="15" s="1"/>
  <c r="AL24" i="41" s="1"/>
  <c r="CB23" i="15"/>
  <c r="BV23" i="15" s="1"/>
  <c r="AJ24" i="83" s="1"/>
  <c r="BC25" i="15"/>
  <c r="AV25" i="15" s="1"/>
  <c r="AL26" i="41" s="1"/>
  <c r="CB25" i="15"/>
  <c r="BV25" i="15" s="1"/>
  <c r="AJ26" i="83" s="1"/>
  <c r="BC27" i="15"/>
  <c r="AV27" i="15" s="1"/>
  <c r="AL28" i="41" s="1"/>
  <c r="CB27" i="15"/>
  <c r="BV27" i="15" s="1"/>
  <c r="AJ28" i="83" s="1"/>
  <c r="BC29" i="15"/>
  <c r="AV29" i="15" s="1"/>
  <c r="AL30" i="41" s="1"/>
  <c r="CB29" i="15"/>
  <c r="BV29" i="15" s="1"/>
  <c r="AJ30" i="83" s="1"/>
  <c r="BC31" i="15"/>
  <c r="AV31" i="15" s="1"/>
  <c r="AL32" i="41" s="1"/>
  <c r="CB31" i="15"/>
  <c r="BV31" i="15" s="1"/>
  <c r="AJ32" i="83" s="1"/>
  <c r="BC33" i="15"/>
  <c r="AV33" i="15" s="1"/>
  <c r="AL34" i="41" s="1"/>
  <c r="CB33" i="15"/>
  <c r="BV33" i="15" s="1"/>
  <c r="AJ34" i="83" s="1"/>
  <c r="BC35" i="15"/>
  <c r="AV35" i="15" s="1"/>
  <c r="AL36" i="41" s="1"/>
  <c r="CB35" i="15"/>
  <c r="BV35" i="15" s="1"/>
  <c r="AJ36" i="83" s="1"/>
  <c r="BC37" i="15"/>
  <c r="AV37" i="15" s="1"/>
  <c r="AL38" i="41" s="1"/>
  <c r="CB37" i="15"/>
  <c r="BV37" i="15" s="1"/>
  <c r="AJ38" i="83" s="1"/>
  <c r="BC39" i="15"/>
  <c r="AV39" i="15" s="1"/>
  <c r="AL40" i="41" s="1"/>
  <c r="CB39" i="15"/>
  <c r="BV39" i="15" s="1"/>
  <c r="AJ40" i="83" s="1"/>
  <c r="BC41" i="15"/>
  <c r="AV41" i="15" s="1"/>
  <c r="AL42" i="41" s="1"/>
  <c r="CB41" i="15"/>
  <c r="BV41" i="15" s="1"/>
  <c r="AJ42" i="83" s="1"/>
  <c r="BC43" i="15"/>
  <c r="AV43" i="15" s="1"/>
  <c r="AL44" i="41" s="1"/>
  <c r="CB43" i="15"/>
  <c r="BV43" i="15" s="1"/>
  <c r="AJ44" i="83" s="1"/>
  <c r="BC45" i="15"/>
  <c r="AV45" i="15" s="1"/>
  <c r="AL46" i="41" s="1"/>
  <c r="CB45" i="15"/>
  <c r="BV45" i="15" s="1"/>
  <c r="AJ46" i="83" s="1"/>
  <c r="BC47" i="15"/>
  <c r="AV47" i="15" s="1"/>
  <c r="AL48" i="41" s="1"/>
  <c r="CB47" i="15"/>
  <c r="BV47" i="15" s="1"/>
  <c r="AJ48" i="83" s="1"/>
  <c r="BC49" i="15"/>
  <c r="AV49" i="15" s="1"/>
  <c r="AL50" i="41" s="1"/>
  <c r="CB49" i="15"/>
  <c r="BV49" i="15" s="1"/>
  <c r="AJ50" i="83" s="1"/>
  <c r="BC51" i="15"/>
  <c r="AV51" i="15" s="1"/>
  <c r="AL52" i="41" s="1"/>
  <c r="CB51" i="15"/>
  <c r="BV51" i="15" s="1"/>
  <c r="AJ52" i="83" s="1"/>
  <c r="BC53" i="15"/>
  <c r="AV53" i="15" s="1"/>
  <c r="AL54" i="41" s="1"/>
  <c r="CB53" i="15"/>
  <c r="BV53" i="15" s="1"/>
  <c r="AJ54" i="83" s="1"/>
  <c r="BC6" i="15"/>
  <c r="AV6" i="15" s="1"/>
  <c r="AL7" i="41" s="1"/>
  <c r="CB6" i="15"/>
  <c r="BV6" i="15" s="1"/>
  <c r="AJ7" i="83" s="1"/>
  <c r="BC8" i="15"/>
  <c r="AV8" i="15" s="1"/>
  <c r="AL9" i="41" s="1"/>
  <c r="CB8" i="15"/>
  <c r="BV8" i="15" s="1"/>
  <c r="AJ9" i="83" s="1"/>
  <c r="BC10" i="15"/>
  <c r="AV10" i="15" s="1"/>
  <c r="AL11" i="41" s="1"/>
  <c r="CB10" i="15"/>
  <c r="BV10" i="15" s="1"/>
  <c r="AJ11" i="83" s="1"/>
  <c r="BC12" i="15"/>
  <c r="AV12" i="15" s="1"/>
  <c r="AL13" i="41" s="1"/>
  <c r="CB12" i="15"/>
  <c r="BV12" i="15" s="1"/>
  <c r="AJ13" i="83" s="1"/>
  <c r="BC14" i="15"/>
  <c r="AV14" i="15" s="1"/>
  <c r="AL15" i="41" s="1"/>
  <c r="CB14" i="15"/>
  <c r="BV14" i="15" s="1"/>
  <c r="AJ15" i="83" s="1"/>
  <c r="BC16" i="15"/>
  <c r="AV16" i="15" s="1"/>
  <c r="AL17" i="41" s="1"/>
  <c r="CB16" i="15"/>
  <c r="BV16" i="15" s="1"/>
  <c r="AJ17" i="83" s="1"/>
  <c r="BC18" i="15"/>
  <c r="AV18" i="15" s="1"/>
  <c r="AL19" i="41" s="1"/>
  <c r="CB18" i="15"/>
  <c r="BV18" i="15" s="1"/>
  <c r="AJ19" i="83" s="1"/>
  <c r="BC20" i="15"/>
  <c r="AV20" i="15" s="1"/>
  <c r="AL21" i="41" s="1"/>
  <c r="CB20" i="15"/>
  <c r="BV20" i="15" s="1"/>
  <c r="AJ21" i="83" s="1"/>
  <c r="BC22" i="15"/>
  <c r="AV22" i="15" s="1"/>
  <c r="AL23" i="41" s="1"/>
  <c r="CB22" i="15"/>
  <c r="BV22" i="15" s="1"/>
  <c r="AJ23" i="83" s="1"/>
  <c r="BC24" i="15"/>
  <c r="AV24" i="15" s="1"/>
  <c r="AL25" i="41" s="1"/>
  <c r="CB24" i="15"/>
  <c r="BV24" i="15" s="1"/>
  <c r="AJ25" i="83" s="1"/>
  <c r="BC26" i="15"/>
  <c r="AV26" i="15" s="1"/>
  <c r="AL27" i="41" s="1"/>
  <c r="CB26" i="15"/>
  <c r="BV26" i="15" s="1"/>
  <c r="AJ27" i="83" s="1"/>
  <c r="BC28" i="15"/>
  <c r="AV28" i="15" s="1"/>
  <c r="AL29" i="41" s="1"/>
  <c r="CB28" i="15"/>
  <c r="BV28" i="15" s="1"/>
  <c r="AJ29" i="83" s="1"/>
  <c r="BC30" i="15"/>
  <c r="AV30" i="15" s="1"/>
  <c r="AL31" i="41" s="1"/>
  <c r="CB30" i="15"/>
  <c r="BV30" i="15" s="1"/>
  <c r="AJ31" i="83" s="1"/>
  <c r="BC32" i="15"/>
  <c r="AV32" i="15" s="1"/>
  <c r="AL33" i="41" s="1"/>
  <c r="CB32" i="15"/>
  <c r="BV32" i="15" s="1"/>
  <c r="AJ33" i="83" s="1"/>
  <c r="BC34" i="15"/>
  <c r="AV34" i="15" s="1"/>
  <c r="AL35" i="41" s="1"/>
  <c r="CB34" i="15"/>
  <c r="BV34" i="15" s="1"/>
  <c r="AJ35" i="83" s="1"/>
  <c r="BC36" i="15"/>
  <c r="AV36" i="15" s="1"/>
  <c r="AL37" i="41" s="1"/>
  <c r="CB36" i="15"/>
  <c r="BV36" i="15" s="1"/>
  <c r="AJ37" i="83" s="1"/>
  <c r="BC38" i="15"/>
  <c r="AV38" i="15" s="1"/>
  <c r="AL39" i="41" s="1"/>
  <c r="CB38" i="15"/>
  <c r="BV38" i="15" s="1"/>
  <c r="AJ39" i="83" s="1"/>
  <c r="BC40" i="15"/>
  <c r="AV40" i="15" s="1"/>
  <c r="AL41" i="41" s="1"/>
  <c r="CB40" i="15"/>
  <c r="BV40" i="15" s="1"/>
  <c r="AJ41" i="83" s="1"/>
  <c r="BC42" i="15"/>
  <c r="AV42" i="15" s="1"/>
  <c r="AL43" i="41" s="1"/>
  <c r="CB42" i="15"/>
  <c r="BV42" i="15" s="1"/>
  <c r="AJ43" i="83" s="1"/>
  <c r="BC44" i="15"/>
  <c r="AV44" i="15" s="1"/>
  <c r="AL45" i="41" s="1"/>
  <c r="CB44" i="15"/>
  <c r="BV44" i="15" s="1"/>
  <c r="AJ45" i="83" s="1"/>
  <c r="BC46" i="15"/>
  <c r="AV46" i="15" s="1"/>
  <c r="AL47" i="41" s="1"/>
  <c r="CB46" i="15"/>
  <c r="BV46" i="15" s="1"/>
  <c r="AJ47" i="83" s="1"/>
  <c r="BC48" i="15"/>
  <c r="AV48" i="15" s="1"/>
  <c r="AL49" i="41" s="1"/>
  <c r="CB48" i="15"/>
  <c r="BV48" i="15" s="1"/>
  <c r="AJ49" i="83" s="1"/>
  <c r="BC50" i="15"/>
  <c r="AV50" i="15" s="1"/>
  <c r="AL51" i="41" s="1"/>
  <c r="CB50" i="15"/>
  <c r="BV50" i="15" s="1"/>
  <c r="AJ51" i="83" s="1"/>
  <c r="BC52" i="15"/>
  <c r="AV52" i="15" s="1"/>
  <c r="AL53" i="41" s="1"/>
  <c r="CB52" i="15"/>
  <c r="BV52" i="15" s="1"/>
  <c r="AJ53" i="83" s="1"/>
  <c r="BC54" i="15"/>
  <c r="AV54" i="15" s="1"/>
  <c r="AL55" i="41" s="1"/>
  <c r="CB54" i="15"/>
  <c r="BV54" i="15" s="1"/>
  <c r="AJ55" i="83" s="1"/>
  <c r="BC5" i="14"/>
  <c r="AV5" i="14" s="1"/>
  <c r="AI6" i="41" s="1"/>
  <c r="CB5" i="14"/>
  <c r="BV5" i="14" s="1"/>
  <c r="AG6" i="83" s="1"/>
  <c r="J38" i="84" s="1"/>
  <c r="BC7" i="14"/>
  <c r="AV7" i="14" s="1"/>
  <c r="AI8" i="41" s="1"/>
  <c r="CB7" i="14"/>
  <c r="BV7" i="14" s="1"/>
  <c r="AG8" i="83" s="1"/>
  <c r="BC9" i="14"/>
  <c r="AV9" i="14" s="1"/>
  <c r="AI10" i="41" s="1"/>
  <c r="CB9" i="14"/>
  <c r="BV9" i="14" s="1"/>
  <c r="AG10" i="83" s="1"/>
  <c r="BC11" i="14"/>
  <c r="AV11" i="14" s="1"/>
  <c r="AI12" i="41" s="1"/>
  <c r="CB11" i="14"/>
  <c r="BV11" i="14" s="1"/>
  <c r="AG12" i="83" s="1"/>
  <c r="BC13" i="14"/>
  <c r="AV13" i="14" s="1"/>
  <c r="AI14" i="41" s="1"/>
  <c r="CB13" i="14"/>
  <c r="BV13" i="14" s="1"/>
  <c r="AG14" i="83" s="1"/>
  <c r="BC15" i="14"/>
  <c r="AV15" i="14" s="1"/>
  <c r="AI16" i="41" s="1"/>
  <c r="CB15" i="14"/>
  <c r="BV15" i="14" s="1"/>
  <c r="AG16" i="83" s="1"/>
  <c r="BC17" i="14"/>
  <c r="AV17" i="14" s="1"/>
  <c r="AI18" i="41" s="1"/>
  <c r="CB17" i="14"/>
  <c r="BV17" i="14" s="1"/>
  <c r="AG18" i="83" s="1"/>
  <c r="BC19" i="14"/>
  <c r="AV19" i="14" s="1"/>
  <c r="AI20" i="41" s="1"/>
  <c r="CB19" i="14"/>
  <c r="BV19" i="14" s="1"/>
  <c r="AG20" i="83" s="1"/>
  <c r="BC21" i="14"/>
  <c r="AV21" i="14" s="1"/>
  <c r="AI22" i="41" s="1"/>
  <c r="CB21" i="14"/>
  <c r="BV21" i="14" s="1"/>
  <c r="AG22" i="83" s="1"/>
  <c r="BC23" i="14"/>
  <c r="AV23" i="14" s="1"/>
  <c r="AI24" i="41" s="1"/>
  <c r="CB23" i="14"/>
  <c r="BV23" i="14" s="1"/>
  <c r="AG24" i="83" s="1"/>
  <c r="BC25" i="14"/>
  <c r="AV25" i="14" s="1"/>
  <c r="AI26" i="41" s="1"/>
  <c r="CB25" i="14"/>
  <c r="BV25" i="14" s="1"/>
  <c r="AG26" i="83" s="1"/>
  <c r="BC27" i="14"/>
  <c r="AV27" i="14" s="1"/>
  <c r="AI28" i="41" s="1"/>
  <c r="CB27" i="14"/>
  <c r="BV27" i="14" s="1"/>
  <c r="AG28" i="83" s="1"/>
  <c r="BC29" i="14"/>
  <c r="AV29" i="14" s="1"/>
  <c r="AI30" i="41" s="1"/>
  <c r="CB29" i="14"/>
  <c r="BV29" i="14" s="1"/>
  <c r="AG30" i="83" s="1"/>
  <c r="BC31" i="14"/>
  <c r="AV31" i="14" s="1"/>
  <c r="AI32" i="41" s="1"/>
  <c r="CB31" i="14"/>
  <c r="BV31" i="14" s="1"/>
  <c r="AG32" i="83" s="1"/>
  <c r="BC33" i="14"/>
  <c r="AV33" i="14" s="1"/>
  <c r="AI34" i="41" s="1"/>
  <c r="CB33" i="14"/>
  <c r="BV33" i="14" s="1"/>
  <c r="AG34" i="83" s="1"/>
  <c r="BC35" i="14"/>
  <c r="AV35" i="14" s="1"/>
  <c r="AI36" i="41" s="1"/>
  <c r="CB35" i="14"/>
  <c r="BV35" i="14" s="1"/>
  <c r="AG36" i="83" s="1"/>
  <c r="BC37" i="14"/>
  <c r="AV37" i="14" s="1"/>
  <c r="AI38" i="41" s="1"/>
  <c r="CB37" i="14"/>
  <c r="BV37" i="14" s="1"/>
  <c r="AG38" i="83" s="1"/>
  <c r="BC39" i="14"/>
  <c r="AV39" i="14" s="1"/>
  <c r="AI40" i="41" s="1"/>
  <c r="CB39" i="14"/>
  <c r="BV39" i="14" s="1"/>
  <c r="AG40" i="83" s="1"/>
  <c r="BC41" i="14"/>
  <c r="AV41" i="14" s="1"/>
  <c r="AI42" i="41" s="1"/>
  <c r="CB41" i="14"/>
  <c r="BV41" i="14" s="1"/>
  <c r="AG42" i="83" s="1"/>
  <c r="BC43" i="14"/>
  <c r="AV43" i="14" s="1"/>
  <c r="AI44" i="41" s="1"/>
  <c r="CB43" i="14"/>
  <c r="BV43" i="14" s="1"/>
  <c r="AG44" i="83" s="1"/>
  <c r="BC45" i="14"/>
  <c r="AV45" i="14" s="1"/>
  <c r="AI46" i="41" s="1"/>
  <c r="CB45" i="14"/>
  <c r="BV45" i="14" s="1"/>
  <c r="AG46" i="83" s="1"/>
  <c r="BC47" i="14"/>
  <c r="AV47" i="14" s="1"/>
  <c r="AI48" i="41" s="1"/>
  <c r="CB47" i="14"/>
  <c r="BV47" i="14" s="1"/>
  <c r="AG48" i="83" s="1"/>
  <c r="BC49" i="14"/>
  <c r="AV49" i="14" s="1"/>
  <c r="AI50" i="41" s="1"/>
  <c r="CB49" i="14"/>
  <c r="BV49" i="14" s="1"/>
  <c r="AG50" i="83" s="1"/>
  <c r="BC51" i="14"/>
  <c r="AV51" i="14" s="1"/>
  <c r="AI52" i="41" s="1"/>
  <c r="CB51" i="14"/>
  <c r="BV51" i="14" s="1"/>
  <c r="AG52" i="83" s="1"/>
  <c r="BC53" i="14"/>
  <c r="AV53" i="14" s="1"/>
  <c r="AI54" i="41" s="1"/>
  <c r="CB53" i="14"/>
  <c r="BV53" i="14" s="1"/>
  <c r="AG54" i="83" s="1"/>
  <c r="BC6" i="14"/>
  <c r="AV6" i="14" s="1"/>
  <c r="AI7" i="41" s="1"/>
  <c r="CB6" i="14"/>
  <c r="BV6" i="14" s="1"/>
  <c r="AG7" i="83" s="1"/>
  <c r="BC8" i="14"/>
  <c r="AV8" i="14" s="1"/>
  <c r="AI9" i="41" s="1"/>
  <c r="CB8" i="14"/>
  <c r="BV8" i="14" s="1"/>
  <c r="AG9" i="83" s="1"/>
  <c r="BC10" i="14"/>
  <c r="AV10" i="14" s="1"/>
  <c r="AI11" i="41" s="1"/>
  <c r="CB10" i="14"/>
  <c r="BV10" i="14" s="1"/>
  <c r="AG11" i="83" s="1"/>
  <c r="BC12" i="14"/>
  <c r="AV12" i="14" s="1"/>
  <c r="AI13" i="41" s="1"/>
  <c r="CB12" i="14"/>
  <c r="BV12" i="14" s="1"/>
  <c r="AG13" i="83" s="1"/>
  <c r="BC14" i="14"/>
  <c r="AV14" i="14" s="1"/>
  <c r="AI15" i="41" s="1"/>
  <c r="CB14" i="14"/>
  <c r="BV14" i="14" s="1"/>
  <c r="AG15" i="83" s="1"/>
  <c r="BC16" i="14"/>
  <c r="AV16" i="14" s="1"/>
  <c r="AI17" i="41" s="1"/>
  <c r="CB16" i="14"/>
  <c r="BV16" i="14" s="1"/>
  <c r="AG17" i="83" s="1"/>
  <c r="BC18" i="14"/>
  <c r="AV18" i="14" s="1"/>
  <c r="AI19" i="41" s="1"/>
  <c r="CB18" i="14"/>
  <c r="BV18" i="14" s="1"/>
  <c r="AG19" i="83" s="1"/>
  <c r="BC20" i="14"/>
  <c r="AV20" i="14" s="1"/>
  <c r="AI21" i="41" s="1"/>
  <c r="CB20" i="14"/>
  <c r="BV20" i="14" s="1"/>
  <c r="AG21" i="83" s="1"/>
  <c r="BC22" i="14"/>
  <c r="AV22" i="14" s="1"/>
  <c r="AI23" i="41" s="1"/>
  <c r="CB22" i="14"/>
  <c r="BV22" i="14" s="1"/>
  <c r="AG23" i="83" s="1"/>
  <c r="BC24" i="14"/>
  <c r="AV24" i="14" s="1"/>
  <c r="AI25" i="41" s="1"/>
  <c r="CB24" i="14"/>
  <c r="BV24" i="14" s="1"/>
  <c r="AG25" i="83" s="1"/>
  <c r="BC26" i="14"/>
  <c r="AV26" i="14" s="1"/>
  <c r="AI27" i="41" s="1"/>
  <c r="CB26" i="14"/>
  <c r="BV26" i="14" s="1"/>
  <c r="AG27" i="83" s="1"/>
  <c r="BC28" i="14"/>
  <c r="AV28" i="14" s="1"/>
  <c r="AI29" i="41" s="1"/>
  <c r="CB28" i="14"/>
  <c r="BV28" i="14" s="1"/>
  <c r="AG29" i="83" s="1"/>
  <c r="BC30" i="14"/>
  <c r="AV30" i="14" s="1"/>
  <c r="AI31" i="41" s="1"/>
  <c r="CB30" i="14"/>
  <c r="BV30" i="14" s="1"/>
  <c r="AG31" i="83" s="1"/>
  <c r="BC32" i="14"/>
  <c r="AV32" i="14" s="1"/>
  <c r="AI33" i="41" s="1"/>
  <c r="CB32" i="14"/>
  <c r="BV32" i="14" s="1"/>
  <c r="AG33" i="83" s="1"/>
  <c r="BC34" i="14"/>
  <c r="AV34" i="14" s="1"/>
  <c r="AI35" i="41" s="1"/>
  <c r="CB34" i="14"/>
  <c r="BV34" i="14" s="1"/>
  <c r="AG35" i="83" s="1"/>
  <c r="BC36" i="14"/>
  <c r="AV36" i="14" s="1"/>
  <c r="AI37" i="41" s="1"/>
  <c r="CB36" i="14"/>
  <c r="BV36" i="14" s="1"/>
  <c r="AG37" i="83" s="1"/>
  <c r="BC38" i="14"/>
  <c r="AV38" i="14" s="1"/>
  <c r="AI39" i="41" s="1"/>
  <c r="CB38" i="14"/>
  <c r="BV38" i="14" s="1"/>
  <c r="AG39" i="83" s="1"/>
  <c r="BC40" i="14"/>
  <c r="AV40" i="14" s="1"/>
  <c r="AI41" i="41" s="1"/>
  <c r="CB40" i="14"/>
  <c r="BV40" i="14" s="1"/>
  <c r="AG41" i="83" s="1"/>
  <c r="BC42" i="14"/>
  <c r="AV42" i="14" s="1"/>
  <c r="AI43" i="41" s="1"/>
  <c r="CB42" i="14"/>
  <c r="BV42" i="14" s="1"/>
  <c r="AG43" i="83" s="1"/>
  <c r="BC44" i="14"/>
  <c r="AV44" i="14" s="1"/>
  <c r="AI45" i="41" s="1"/>
  <c r="CB44" i="14"/>
  <c r="BV44" i="14" s="1"/>
  <c r="AG45" i="83" s="1"/>
  <c r="BC46" i="14"/>
  <c r="AV46" i="14" s="1"/>
  <c r="AI47" i="41" s="1"/>
  <c r="CB46" i="14"/>
  <c r="BV46" i="14" s="1"/>
  <c r="AG47" i="83" s="1"/>
  <c r="BC48" i="14"/>
  <c r="AV48" i="14" s="1"/>
  <c r="AI49" i="41" s="1"/>
  <c r="CB48" i="14"/>
  <c r="BV48" i="14" s="1"/>
  <c r="AG49" i="83" s="1"/>
  <c r="BC50" i="14"/>
  <c r="AV50" i="14" s="1"/>
  <c r="AI51" i="41" s="1"/>
  <c r="CB50" i="14"/>
  <c r="BV50" i="14" s="1"/>
  <c r="AG51" i="83" s="1"/>
  <c r="BC52" i="14"/>
  <c r="AV52" i="14" s="1"/>
  <c r="AI53" i="41" s="1"/>
  <c r="CB52" i="14"/>
  <c r="BV52" i="14" s="1"/>
  <c r="AG53" i="83" s="1"/>
  <c r="BC54" i="14"/>
  <c r="AV54" i="14" s="1"/>
  <c r="AI55" i="41" s="1"/>
  <c r="CB54" i="14"/>
  <c r="BV54" i="14" s="1"/>
  <c r="AG55" i="83" s="1"/>
  <c r="BG5" i="13"/>
  <c r="AZ5" i="13" s="1"/>
  <c r="AF6" i="41" s="1"/>
  <c r="CF5" i="13"/>
  <c r="BZ5" i="13" s="1"/>
  <c r="AD6" i="83" s="1"/>
  <c r="J36" i="84" s="1"/>
  <c r="BG8" i="13"/>
  <c r="AZ8" i="13" s="1"/>
  <c r="AF9" i="41" s="1"/>
  <c r="CF8" i="13"/>
  <c r="BZ8" i="13" s="1"/>
  <c r="AD9" i="83" s="1"/>
  <c r="BG12" i="13"/>
  <c r="AZ12" i="13" s="1"/>
  <c r="AF13" i="41" s="1"/>
  <c r="CF12" i="13"/>
  <c r="BZ12" i="13" s="1"/>
  <c r="AD13" i="83" s="1"/>
  <c r="BG16" i="13"/>
  <c r="AZ16" i="13" s="1"/>
  <c r="AF17" i="41" s="1"/>
  <c r="CF16" i="13"/>
  <c r="BZ16" i="13" s="1"/>
  <c r="AD17" i="83" s="1"/>
  <c r="BG20" i="13"/>
  <c r="AZ20" i="13" s="1"/>
  <c r="AF21" i="41" s="1"/>
  <c r="CF20" i="13"/>
  <c r="BZ20" i="13" s="1"/>
  <c r="AD21" i="83" s="1"/>
  <c r="BG24" i="13"/>
  <c r="AZ24" i="13" s="1"/>
  <c r="AF25" i="41" s="1"/>
  <c r="CF24" i="13"/>
  <c r="BZ24" i="13" s="1"/>
  <c r="AD25" i="83" s="1"/>
  <c r="BG28" i="13"/>
  <c r="AZ28" i="13" s="1"/>
  <c r="AF29" i="41" s="1"/>
  <c r="CF28" i="13"/>
  <c r="BZ28" i="13" s="1"/>
  <c r="AD29" i="83" s="1"/>
  <c r="BG32" i="13"/>
  <c r="AZ32" i="13" s="1"/>
  <c r="AF33" i="41" s="1"/>
  <c r="CF32" i="13"/>
  <c r="BZ32" i="13" s="1"/>
  <c r="AD33" i="83" s="1"/>
  <c r="BG36" i="13"/>
  <c r="AZ36" i="13" s="1"/>
  <c r="AF37" i="41" s="1"/>
  <c r="CF36" i="13"/>
  <c r="BZ36" i="13" s="1"/>
  <c r="AD37" i="83" s="1"/>
  <c r="BG40" i="13"/>
  <c r="AZ40" i="13" s="1"/>
  <c r="AF41" i="41" s="1"/>
  <c r="CF40" i="13"/>
  <c r="BZ40" i="13" s="1"/>
  <c r="AD41" i="83" s="1"/>
  <c r="BG44" i="13"/>
  <c r="AZ44" i="13" s="1"/>
  <c r="AF45" i="41" s="1"/>
  <c r="CF44" i="13"/>
  <c r="BZ44" i="13" s="1"/>
  <c r="AD45" i="83" s="1"/>
  <c r="BG48" i="13"/>
  <c r="AZ48" i="13" s="1"/>
  <c r="AF49" i="41" s="1"/>
  <c r="CF48" i="13"/>
  <c r="BZ48" i="13" s="1"/>
  <c r="AD49" i="83" s="1"/>
  <c r="BG52" i="13"/>
  <c r="AZ52" i="13" s="1"/>
  <c r="AF53" i="41" s="1"/>
  <c r="CF52" i="13"/>
  <c r="BZ52" i="13" s="1"/>
  <c r="AD53" i="83" s="1"/>
  <c r="BG11" i="13"/>
  <c r="AZ11" i="13" s="1"/>
  <c r="AF12" i="41" s="1"/>
  <c r="CF11" i="13"/>
  <c r="BZ11" i="13" s="1"/>
  <c r="AD12" i="83" s="1"/>
  <c r="BG15" i="13"/>
  <c r="AZ15" i="13" s="1"/>
  <c r="AF16" i="41" s="1"/>
  <c r="CF15" i="13"/>
  <c r="BZ15" i="13" s="1"/>
  <c r="AD16" i="83" s="1"/>
  <c r="BG19" i="13"/>
  <c r="AZ19" i="13" s="1"/>
  <c r="AF20" i="41" s="1"/>
  <c r="CF19" i="13"/>
  <c r="BZ19" i="13" s="1"/>
  <c r="AD20" i="83" s="1"/>
  <c r="BG23" i="13"/>
  <c r="AZ23" i="13" s="1"/>
  <c r="AF24" i="41" s="1"/>
  <c r="CF23" i="13"/>
  <c r="BZ23" i="13" s="1"/>
  <c r="AD24" i="83" s="1"/>
  <c r="BG27" i="13"/>
  <c r="AZ27" i="13" s="1"/>
  <c r="AF28" i="41" s="1"/>
  <c r="CF27" i="13"/>
  <c r="BZ27" i="13" s="1"/>
  <c r="AD28" i="83" s="1"/>
  <c r="BG31" i="13"/>
  <c r="AZ31" i="13" s="1"/>
  <c r="AF32" i="41" s="1"/>
  <c r="CF31" i="13"/>
  <c r="BZ31" i="13" s="1"/>
  <c r="AD32" i="83" s="1"/>
  <c r="BG35" i="13"/>
  <c r="AZ35" i="13" s="1"/>
  <c r="AF36" i="41" s="1"/>
  <c r="CF35" i="13"/>
  <c r="BZ35" i="13" s="1"/>
  <c r="AD36" i="83" s="1"/>
  <c r="BG39" i="13"/>
  <c r="AZ39" i="13" s="1"/>
  <c r="AF40" i="41" s="1"/>
  <c r="CF39" i="13"/>
  <c r="BZ39" i="13" s="1"/>
  <c r="AD40" i="83" s="1"/>
  <c r="BG43" i="13"/>
  <c r="AZ43" i="13" s="1"/>
  <c r="AF44" i="41" s="1"/>
  <c r="CF43" i="13"/>
  <c r="BZ43" i="13" s="1"/>
  <c r="AD44" i="83" s="1"/>
  <c r="BG47" i="13"/>
  <c r="AZ47" i="13" s="1"/>
  <c r="AF48" i="41" s="1"/>
  <c r="CF47" i="13"/>
  <c r="BZ47" i="13" s="1"/>
  <c r="AD48" i="83" s="1"/>
  <c r="BG51" i="13"/>
  <c r="AZ51" i="13" s="1"/>
  <c r="AF52" i="41" s="1"/>
  <c r="CF51" i="13"/>
  <c r="BZ51" i="13" s="1"/>
  <c r="AD52" i="83" s="1"/>
  <c r="BG7" i="13"/>
  <c r="AZ7" i="13" s="1"/>
  <c r="AF8" i="41" s="1"/>
  <c r="CF7" i="13"/>
  <c r="BZ7" i="13" s="1"/>
  <c r="AD8" i="83" s="1"/>
  <c r="BG10" i="13"/>
  <c r="AZ10" i="13" s="1"/>
  <c r="AF11" i="41" s="1"/>
  <c r="CF10" i="13"/>
  <c r="BZ10" i="13" s="1"/>
  <c r="AD11" i="83" s="1"/>
  <c r="BG14" i="13"/>
  <c r="AZ14" i="13" s="1"/>
  <c r="AF15" i="41" s="1"/>
  <c r="CF14" i="13"/>
  <c r="BZ14" i="13" s="1"/>
  <c r="AD15" i="83" s="1"/>
  <c r="BG18" i="13"/>
  <c r="AZ18" i="13" s="1"/>
  <c r="AF19" i="41" s="1"/>
  <c r="CF18" i="13"/>
  <c r="BZ18" i="13" s="1"/>
  <c r="AD19" i="83" s="1"/>
  <c r="BG22" i="13"/>
  <c r="AZ22" i="13" s="1"/>
  <c r="AF23" i="41" s="1"/>
  <c r="CF22" i="13"/>
  <c r="BZ22" i="13" s="1"/>
  <c r="AD23" i="83" s="1"/>
  <c r="BG26" i="13"/>
  <c r="AZ26" i="13" s="1"/>
  <c r="AF27" i="41" s="1"/>
  <c r="CF26" i="13"/>
  <c r="BZ26" i="13" s="1"/>
  <c r="AD27" i="83" s="1"/>
  <c r="BG30" i="13"/>
  <c r="AZ30" i="13" s="1"/>
  <c r="AF31" i="41" s="1"/>
  <c r="CF30" i="13"/>
  <c r="BZ30" i="13" s="1"/>
  <c r="AD31" i="83" s="1"/>
  <c r="BG34" i="13"/>
  <c r="AZ34" i="13" s="1"/>
  <c r="AF35" i="41" s="1"/>
  <c r="CF34" i="13"/>
  <c r="BZ34" i="13" s="1"/>
  <c r="AD35" i="83" s="1"/>
  <c r="BG38" i="13"/>
  <c r="AZ38" i="13" s="1"/>
  <c r="AF39" i="41" s="1"/>
  <c r="CF38" i="13"/>
  <c r="BZ38" i="13" s="1"/>
  <c r="AD39" i="83" s="1"/>
  <c r="BG42" i="13"/>
  <c r="AZ42" i="13" s="1"/>
  <c r="AF43" i="41" s="1"/>
  <c r="CF42" i="13"/>
  <c r="BZ42" i="13" s="1"/>
  <c r="AD43" i="83" s="1"/>
  <c r="BG46" i="13"/>
  <c r="AZ46" i="13" s="1"/>
  <c r="AF47" i="41" s="1"/>
  <c r="CF46" i="13"/>
  <c r="BZ46" i="13" s="1"/>
  <c r="AD47" i="83" s="1"/>
  <c r="BG50" i="13"/>
  <c r="AZ50" i="13" s="1"/>
  <c r="AF51" i="41" s="1"/>
  <c r="CF50" i="13"/>
  <c r="BZ50" i="13" s="1"/>
  <c r="AD51" i="83" s="1"/>
  <c r="BG54" i="13"/>
  <c r="AZ54" i="13" s="1"/>
  <c r="AF55" i="41" s="1"/>
  <c r="CF54" i="13"/>
  <c r="BZ54" i="13" s="1"/>
  <c r="AD55" i="83" s="1"/>
  <c r="BG6" i="13"/>
  <c r="AZ6" i="13" s="1"/>
  <c r="AF7" i="41" s="1"/>
  <c r="CF6" i="13"/>
  <c r="BZ6" i="13" s="1"/>
  <c r="AD7" i="83" s="1"/>
  <c r="BG9" i="13"/>
  <c r="AZ9" i="13" s="1"/>
  <c r="AF10" i="41" s="1"/>
  <c r="CF9" i="13"/>
  <c r="BZ9" i="13" s="1"/>
  <c r="AD10" i="83" s="1"/>
  <c r="BG13" i="13"/>
  <c r="AZ13" i="13" s="1"/>
  <c r="AF14" i="41" s="1"/>
  <c r="CF13" i="13"/>
  <c r="BZ13" i="13" s="1"/>
  <c r="AD14" i="83" s="1"/>
  <c r="BG17" i="13"/>
  <c r="AZ17" i="13" s="1"/>
  <c r="AF18" i="41" s="1"/>
  <c r="CF17" i="13"/>
  <c r="BZ17" i="13" s="1"/>
  <c r="AD18" i="83" s="1"/>
  <c r="BG21" i="13"/>
  <c r="AZ21" i="13" s="1"/>
  <c r="AF22" i="41" s="1"/>
  <c r="CF21" i="13"/>
  <c r="BZ21" i="13" s="1"/>
  <c r="AD22" i="83" s="1"/>
  <c r="BG25" i="13"/>
  <c r="AZ25" i="13" s="1"/>
  <c r="AF26" i="41" s="1"/>
  <c r="CF25" i="13"/>
  <c r="BZ25" i="13" s="1"/>
  <c r="AD26" i="83" s="1"/>
  <c r="BG29" i="13"/>
  <c r="AZ29" i="13" s="1"/>
  <c r="AF30" i="41" s="1"/>
  <c r="CF29" i="13"/>
  <c r="BZ29" i="13" s="1"/>
  <c r="AD30" i="83" s="1"/>
  <c r="BG33" i="13"/>
  <c r="AZ33" i="13" s="1"/>
  <c r="AF34" i="41" s="1"/>
  <c r="CF33" i="13"/>
  <c r="BZ33" i="13" s="1"/>
  <c r="AD34" i="83" s="1"/>
  <c r="BG37" i="13"/>
  <c r="AZ37" i="13" s="1"/>
  <c r="AF38" i="41" s="1"/>
  <c r="CF37" i="13"/>
  <c r="BZ37" i="13" s="1"/>
  <c r="AD38" i="83" s="1"/>
  <c r="BG41" i="13"/>
  <c r="AZ41" i="13" s="1"/>
  <c r="AF42" i="41" s="1"/>
  <c r="CF41" i="13"/>
  <c r="BZ41" i="13" s="1"/>
  <c r="AD42" i="83" s="1"/>
  <c r="BG45" i="13"/>
  <c r="AZ45" i="13" s="1"/>
  <c r="AF46" i="41" s="1"/>
  <c r="CF45" i="13"/>
  <c r="BZ45" i="13" s="1"/>
  <c r="AD46" i="83" s="1"/>
  <c r="BG49" i="13"/>
  <c r="AZ49" i="13" s="1"/>
  <c r="AF50" i="41" s="1"/>
  <c r="CF49" i="13"/>
  <c r="BZ49" i="13" s="1"/>
  <c r="AD50" i="83" s="1"/>
  <c r="BG53" i="13"/>
  <c r="AZ53" i="13" s="1"/>
  <c r="AF54" i="41" s="1"/>
  <c r="CF53" i="13"/>
  <c r="BZ53" i="13" s="1"/>
  <c r="AD54" i="83" s="1"/>
  <c r="BI7" i="26"/>
  <c r="BB7" i="26" s="1"/>
  <c r="AC8" i="41" s="1"/>
  <c r="BY7" i="26"/>
  <c r="BS7" i="26" s="1"/>
  <c r="AA8" i="83" s="1"/>
  <c r="BI13" i="26"/>
  <c r="BB13" i="26" s="1"/>
  <c r="AC14" i="41" s="1"/>
  <c r="BY13" i="26"/>
  <c r="BS13" i="26" s="1"/>
  <c r="AA14" i="83" s="1"/>
  <c r="BI19" i="26"/>
  <c r="BB19" i="26" s="1"/>
  <c r="AC20" i="41" s="1"/>
  <c r="BY19" i="26"/>
  <c r="BS19" i="26" s="1"/>
  <c r="AA20" i="83" s="1"/>
  <c r="BI25" i="26"/>
  <c r="BB25" i="26" s="1"/>
  <c r="AC26" i="41" s="1"/>
  <c r="BY25" i="26"/>
  <c r="BS25" i="26" s="1"/>
  <c r="AA26" i="83" s="1"/>
  <c r="BI31" i="26"/>
  <c r="BB31" i="26" s="1"/>
  <c r="AC32" i="41" s="1"/>
  <c r="BY31" i="26"/>
  <c r="BS31" i="26" s="1"/>
  <c r="AA32" i="83" s="1"/>
  <c r="BI41" i="26"/>
  <c r="BB41" i="26" s="1"/>
  <c r="AC42" i="41" s="1"/>
  <c r="BY41" i="26"/>
  <c r="BS41" i="26" s="1"/>
  <c r="AA42" i="83" s="1"/>
  <c r="BI47" i="26"/>
  <c r="BB47" i="26" s="1"/>
  <c r="AC48" i="41" s="1"/>
  <c r="BY47" i="26"/>
  <c r="BS47" i="26" s="1"/>
  <c r="AA48" i="83" s="1"/>
  <c r="BI53" i="26"/>
  <c r="BB53" i="26" s="1"/>
  <c r="AC54" i="41" s="1"/>
  <c r="BY53" i="26"/>
  <c r="BS53" i="26" s="1"/>
  <c r="AA54" i="83" s="1"/>
  <c r="BI5" i="26"/>
  <c r="BB5" i="26" s="1"/>
  <c r="AC6" i="41" s="1"/>
  <c r="BY5" i="26"/>
  <c r="BS5" i="26" s="1"/>
  <c r="AA6" i="83" s="1"/>
  <c r="J33" i="84" s="1"/>
  <c r="BI11" i="26"/>
  <c r="BB11" i="26" s="1"/>
  <c r="AC12" i="41" s="1"/>
  <c r="BY11" i="26"/>
  <c r="BS11" i="26" s="1"/>
  <c r="AA12" i="83" s="1"/>
  <c r="BI17" i="26"/>
  <c r="BB17" i="26" s="1"/>
  <c r="AC18" i="41" s="1"/>
  <c r="BY17" i="26"/>
  <c r="BS17" i="26" s="1"/>
  <c r="AA18" i="83" s="1"/>
  <c r="BI23" i="26"/>
  <c r="BB23" i="26" s="1"/>
  <c r="AC24" i="41" s="1"/>
  <c r="BY23" i="26"/>
  <c r="BS23" i="26" s="1"/>
  <c r="AA24" i="83" s="1"/>
  <c r="BI29" i="26"/>
  <c r="BB29" i="26" s="1"/>
  <c r="AC30" i="41" s="1"/>
  <c r="BY29" i="26"/>
  <c r="BS29" i="26" s="1"/>
  <c r="AA30" i="83" s="1"/>
  <c r="BI35" i="26"/>
  <c r="BB35" i="26" s="1"/>
  <c r="AC36" i="41" s="1"/>
  <c r="BY35" i="26"/>
  <c r="BS35" i="26" s="1"/>
  <c r="AA36" i="83" s="1"/>
  <c r="BI39" i="26"/>
  <c r="BB39" i="26" s="1"/>
  <c r="AC40" i="41" s="1"/>
  <c r="BY39" i="26"/>
  <c r="BS39" i="26" s="1"/>
  <c r="AA40" i="83" s="1"/>
  <c r="BI43" i="26"/>
  <c r="BB43" i="26" s="1"/>
  <c r="AC44" i="41" s="1"/>
  <c r="BY43" i="26"/>
  <c r="BS43" i="26" s="1"/>
  <c r="AA44" i="83" s="1"/>
  <c r="BI49" i="26"/>
  <c r="BB49" i="26" s="1"/>
  <c r="AC50" i="41" s="1"/>
  <c r="BY49" i="26"/>
  <c r="BS49" i="26" s="1"/>
  <c r="AA50" i="83" s="1"/>
  <c r="BI51" i="26"/>
  <c r="BB51" i="26" s="1"/>
  <c r="AC52" i="41" s="1"/>
  <c r="BY51" i="26"/>
  <c r="BS51" i="26" s="1"/>
  <c r="AA52" i="83" s="1"/>
  <c r="BI6" i="26"/>
  <c r="BB6" i="26" s="1"/>
  <c r="AC7" i="41" s="1"/>
  <c r="BY6" i="26"/>
  <c r="BS6" i="26" s="1"/>
  <c r="AA7" i="83" s="1"/>
  <c r="BI8" i="26"/>
  <c r="BB8" i="26" s="1"/>
  <c r="AC9" i="41" s="1"/>
  <c r="BY8" i="26"/>
  <c r="BS8" i="26" s="1"/>
  <c r="AA9" i="83" s="1"/>
  <c r="BI10" i="26"/>
  <c r="BB10" i="26" s="1"/>
  <c r="AC11" i="41" s="1"/>
  <c r="BY10" i="26"/>
  <c r="BS10" i="26" s="1"/>
  <c r="AA11" i="83" s="1"/>
  <c r="BI12" i="26"/>
  <c r="BB12" i="26" s="1"/>
  <c r="AC13" i="41" s="1"/>
  <c r="BY12" i="26"/>
  <c r="BS12" i="26" s="1"/>
  <c r="AA13" i="83" s="1"/>
  <c r="BI14" i="26"/>
  <c r="BB14" i="26" s="1"/>
  <c r="AC15" i="41" s="1"/>
  <c r="BY14" i="26"/>
  <c r="BS14" i="26" s="1"/>
  <c r="AA15" i="83" s="1"/>
  <c r="BI16" i="26"/>
  <c r="BB16" i="26" s="1"/>
  <c r="AC17" i="41" s="1"/>
  <c r="BY16" i="26"/>
  <c r="BS16" i="26" s="1"/>
  <c r="AA17" i="83" s="1"/>
  <c r="BI18" i="26"/>
  <c r="BB18" i="26" s="1"/>
  <c r="AC19" i="41" s="1"/>
  <c r="BY18" i="26"/>
  <c r="BS18" i="26" s="1"/>
  <c r="AA19" i="83" s="1"/>
  <c r="BI20" i="26"/>
  <c r="BB20" i="26" s="1"/>
  <c r="AC21" i="41" s="1"/>
  <c r="BY20" i="26"/>
  <c r="BS20" i="26" s="1"/>
  <c r="AA21" i="83" s="1"/>
  <c r="BI22" i="26"/>
  <c r="BB22" i="26" s="1"/>
  <c r="AC23" i="41" s="1"/>
  <c r="BY22" i="26"/>
  <c r="BS22" i="26" s="1"/>
  <c r="AA23" i="83" s="1"/>
  <c r="BI24" i="26"/>
  <c r="BB24" i="26" s="1"/>
  <c r="AC25" i="41" s="1"/>
  <c r="BY24" i="26"/>
  <c r="BS24" i="26" s="1"/>
  <c r="AA25" i="83" s="1"/>
  <c r="BI26" i="26"/>
  <c r="BB26" i="26" s="1"/>
  <c r="AC27" i="41" s="1"/>
  <c r="BY26" i="26"/>
  <c r="BS26" i="26" s="1"/>
  <c r="AA27" i="83" s="1"/>
  <c r="BI28" i="26"/>
  <c r="BB28" i="26" s="1"/>
  <c r="AC29" i="41" s="1"/>
  <c r="BY28" i="26"/>
  <c r="BS28" i="26" s="1"/>
  <c r="AA29" i="83" s="1"/>
  <c r="BI30" i="26"/>
  <c r="BB30" i="26" s="1"/>
  <c r="AC31" i="41" s="1"/>
  <c r="BY30" i="26"/>
  <c r="BS30" i="26" s="1"/>
  <c r="AA31" i="83" s="1"/>
  <c r="BI32" i="26"/>
  <c r="BB32" i="26" s="1"/>
  <c r="AC33" i="41" s="1"/>
  <c r="BY32" i="26"/>
  <c r="BS32" i="26" s="1"/>
  <c r="AA33" i="83" s="1"/>
  <c r="BI34" i="26"/>
  <c r="BB34" i="26" s="1"/>
  <c r="AC35" i="41" s="1"/>
  <c r="BY34" i="26"/>
  <c r="BS34" i="26" s="1"/>
  <c r="AA35" i="83" s="1"/>
  <c r="BI36" i="26"/>
  <c r="BB36" i="26" s="1"/>
  <c r="AC37" i="41" s="1"/>
  <c r="BY36" i="26"/>
  <c r="BS36" i="26" s="1"/>
  <c r="AA37" i="83" s="1"/>
  <c r="BI38" i="26"/>
  <c r="BB38" i="26" s="1"/>
  <c r="AC39" i="41" s="1"/>
  <c r="BY38" i="26"/>
  <c r="BS38" i="26" s="1"/>
  <c r="AA39" i="83" s="1"/>
  <c r="BI40" i="26"/>
  <c r="BB40" i="26" s="1"/>
  <c r="AC41" i="41" s="1"/>
  <c r="BY40" i="26"/>
  <c r="BS40" i="26" s="1"/>
  <c r="AA41" i="83" s="1"/>
  <c r="BI42" i="26"/>
  <c r="BB42" i="26" s="1"/>
  <c r="AC43" i="41" s="1"/>
  <c r="BY42" i="26"/>
  <c r="BS42" i="26" s="1"/>
  <c r="AA43" i="83" s="1"/>
  <c r="BI44" i="26"/>
  <c r="BB44" i="26" s="1"/>
  <c r="AC45" i="41" s="1"/>
  <c r="BY44" i="26"/>
  <c r="BS44" i="26" s="1"/>
  <c r="AA45" i="83" s="1"/>
  <c r="BI46" i="26"/>
  <c r="BB46" i="26" s="1"/>
  <c r="AC47" i="41" s="1"/>
  <c r="BY46" i="26"/>
  <c r="BS46" i="26" s="1"/>
  <c r="AA47" i="83" s="1"/>
  <c r="BI48" i="26"/>
  <c r="BB48" i="26" s="1"/>
  <c r="AC49" i="41" s="1"/>
  <c r="BY48" i="26"/>
  <c r="BS48" i="26" s="1"/>
  <c r="AA49" i="83" s="1"/>
  <c r="BI50" i="26"/>
  <c r="BB50" i="26" s="1"/>
  <c r="AC51" i="41" s="1"/>
  <c r="BY50" i="26"/>
  <c r="BS50" i="26" s="1"/>
  <c r="AA51" i="83" s="1"/>
  <c r="BI52" i="26"/>
  <c r="BB52" i="26" s="1"/>
  <c r="AC53" i="41" s="1"/>
  <c r="BY52" i="26"/>
  <c r="BS52" i="26" s="1"/>
  <c r="AA53" i="83" s="1"/>
  <c r="BI54" i="26"/>
  <c r="BB54" i="26" s="1"/>
  <c r="AC55" i="41" s="1"/>
  <c r="BY54" i="26"/>
  <c r="BS54" i="26" s="1"/>
  <c r="AA55" i="83" s="1"/>
  <c r="BI9" i="26"/>
  <c r="BB9" i="26" s="1"/>
  <c r="AC10" i="41" s="1"/>
  <c r="BY9" i="26"/>
  <c r="BS9" i="26" s="1"/>
  <c r="AA10" i="83" s="1"/>
  <c r="BI15" i="26"/>
  <c r="BB15" i="26" s="1"/>
  <c r="AC16" i="41" s="1"/>
  <c r="BY15" i="26"/>
  <c r="BS15" i="26" s="1"/>
  <c r="AA16" i="83" s="1"/>
  <c r="BI21" i="26"/>
  <c r="BB21" i="26" s="1"/>
  <c r="AC22" i="41" s="1"/>
  <c r="BY21" i="26"/>
  <c r="BS21" i="26" s="1"/>
  <c r="AA22" i="83" s="1"/>
  <c r="BI27" i="26"/>
  <c r="BB27" i="26" s="1"/>
  <c r="AC28" i="41" s="1"/>
  <c r="BY27" i="26"/>
  <c r="BS27" i="26" s="1"/>
  <c r="AA28" i="83" s="1"/>
  <c r="BI33" i="26"/>
  <c r="BB33" i="26" s="1"/>
  <c r="AC34" i="41" s="1"/>
  <c r="BY33" i="26"/>
  <c r="BS33" i="26" s="1"/>
  <c r="AA34" i="83" s="1"/>
  <c r="BI37" i="26"/>
  <c r="BB37" i="26" s="1"/>
  <c r="AC38" i="41" s="1"/>
  <c r="BY37" i="26"/>
  <c r="BS37" i="26" s="1"/>
  <c r="AA38" i="83" s="1"/>
  <c r="BI45" i="26"/>
  <c r="BB45" i="26" s="1"/>
  <c r="AC46" i="41" s="1"/>
  <c r="BY45" i="26"/>
  <c r="BS45" i="26" s="1"/>
  <c r="AA46" i="83" s="1"/>
  <c r="BA5" i="12"/>
  <c r="AT5" i="12" s="1"/>
  <c r="Z6" i="41" s="1"/>
  <c r="BY5" i="12"/>
  <c r="BS5" i="12" s="1"/>
  <c r="X6" i="83" s="1"/>
  <c r="J31" i="84" s="1"/>
  <c r="BA13" i="12"/>
  <c r="AT13" i="12" s="1"/>
  <c r="Z14" i="41" s="1"/>
  <c r="BY13" i="12"/>
  <c r="BS13" i="12" s="1"/>
  <c r="X14" i="83" s="1"/>
  <c r="BA23" i="12"/>
  <c r="AT23" i="12" s="1"/>
  <c r="Z24" i="41" s="1"/>
  <c r="BY23" i="12"/>
  <c r="BS23" i="12" s="1"/>
  <c r="X24" i="83" s="1"/>
  <c r="BA35" i="12"/>
  <c r="AT35" i="12" s="1"/>
  <c r="Z36" i="41" s="1"/>
  <c r="BY35" i="12"/>
  <c r="BS35" i="12" s="1"/>
  <c r="X36" i="83" s="1"/>
  <c r="BA43" i="12"/>
  <c r="AT43" i="12" s="1"/>
  <c r="Z44" i="41" s="1"/>
  <c r="BY43" i="12"/>
  <c r="BS43" i="12" s="1"/>
  <c r="X44" i="83" s="1"/>
  <c r="BA53" i="12"/>
  <c r="AT53" i="12" s="1"/>
  <c r="Z54" i="41" s="1"/>
  <c r="BY53" i="12"/>
  <c r="BS53" i="12" s="1"/>
  <c r="X54" i="83" s="1"/>
  <c r="BA11" i="12"/>
  <c r="AT11" i="12" s="1"/>
  <c r="Z12" i="41" s="1"/>
  <c r="BY11" i="12"/>
  <c r="BS11" i="12" s="1"/>
  <c r="X12" i="83" s="1"/>
  <c r="BA19" i="12"/>
  <c r="AT19" i="12" s="1"/>
  <c r="Z20" i="41" s="1"/>
  <c r="BY19" i="12"/>
  <c r="BS19" i="12" s="1"/>
  <c r="X20" i="83" s="1"/>
  <c r="BA27" i="12"/>
  <c r="AT27" i="12" s="1"/>
  <c r="Z28" i="41" s="1"/>
  <c r="BY27" i="12"/>
  <c r="BS27" i="12" s="1"/>
  <c r="X28" i="83" s="1"/>
  <c r="BA29" i="12"/>
  <c r="AT29" i="12" s="1"/>
  <c r="Z30" i="41" s="1"/>
  <c r="BY29" i="12"/>
  <c r="BS29" i="12" s="1"/>
  <c r="X30" i="83" s="1"/>
  <c r="BA37" i="12"/>
  <c r="AT37" i="12" s="1"/>
  <c r="Z38" i="41" s="1"/>
  <c r="BY37" i="12"/>
  <c r="BS37" i="12" s="1"/>
  <c r="X38" i="83" s="1"/>
  <c r="BA49" i="12"/>
  <c r="AT49" i="12" s="1"/>
  <c r="Z50" i="41" s="1"/>
  <c r="BY49" i="12"/>
  <c r="BS49" i="12" s="1"/>
  <c r="X50" i="83" s="1"/>
  <c r="BA7" i="12"/>
  <c r="AT7" i="12" s="1"/>
  <c r="Z8" i="41" s="1"/>
  <c r="BY7" i="12"/>
  <c r="BS7" i="12" s="1"/>
  <c r="X8" i="83" s="1"/>
  <c r="BA15" i="12"/>
  <c r="AT15" i="12" s="1"/>
  <c r="Z16" i="41" s="1"/>
  <c r="BY15" i="12"/>
  <c r="BS15" i="12" s="1"/>
  <c r="X16" i="83" s="1"/>
  <c r="BA25" i="12"/>
  <c r="AT25" i="12" s="1"/>
  <c r="Z26" i="41" s="1"/>
  <c r="BY25" i="12"/>
  <c r="BS25" i="12" s="1"/>
  <c r="X26" i="83" s="1"/>
  <c r="BA33" i="12"/>
  <c r="AT33" i="12" s="1"/>
  <c r="Z34" i="41" s="1"/>
  <c r="BY33" i="12"/>
  <c r="BS33" i="12" s="1"/>
  <c r="X34" i="83" s="1"/>
  <c r="BA39" i="12"/>
  <c r="AT39" i="12" s="1"/>
  <c r="Z40" i="41" s="1"/>
  <c r="BY39" i="12"/>
  <c r="BS39" i="12" s="1"/>
  <c r="X40" i="83" s="1"/>
  <c r="BA45" i="12"/>
  <c r="AT45" i="12" s="1"/>
  <c r="Z46" i="41" s="1"/>
  <c r="BY45" i="12"/>
  <c r="BS45" i="12" s="1"/>
  <c r="X46" i="83" s="1"/>
  <c r="BA51" i="12"/>
  <c r="AT51" i="12" s="1"/>
  <c r="Z52" i="41" s="1"/>
  <c r="BY51" i="12"/>
  <c r="BS51" i="12" s="1"/>
  <c r="X52" i="83" s="1"/>
  <c r="BA6" i="12"/>
  <c r="AT6" i="12" s="1"/>
  <c r="Z7" i="41" s="1"/>
  <c r="BY6" i="12"/>
  <c r="BS6" i="12" s="1"/>
  <c r="X7" i="83" s="1"/>
  <c r="BA8" i="12"/>
  <c r="AT8" i="12" s="1"/>
  <c r="Z9" i="41" s="1"/>
  <c r="BY8" i="12"/>
  <c r="BS8" i="12" s="1"/>
  <c r="X9" i="83" s="1"/>
  <c r="BA10" i="12"/>
  <c r="AT10" i="12" s="1"/>
  <c r="Z11" i="41" s="1"/>
  <c r="BY10" i="12"/>
  <c r="BS10" i="12" s="1"/>
  <c r="X11" i="83" s="1"/>
  <c r="BA12" i="12"/>
  <c r="AT12" i="12" s="1"/>
  <c r="Z13" i="41" s="1"/>
  <c r="BY12" i="12"/>
  <c r="BS12" i="12" s="1"/>
  <c r="X13" i="83" s="1"/>
  <c r="BA14" i="12"/>
  <c r="AT14" i="12" s="1"/>
  <c r="Z15" i="41" s="1"/>
  <c r="BY14" i="12"/>
  <c r="BS14" i="12" s="1"/>
  <c r="X15" i="83" s="1"/>
  <c r="BA16" i="12"/>
  <c r="AT16" i="12" s="1"/>
  <c r="Z17" i="41" s="1"/>
  <c r="BY16" i="12"/>
  <c r="BS16" i="12" s="1"/>
  <c r="X17" i="83" s="1"/>
  <c r="BA18" i="12"/>
  <c r="AT18" i="12" s="1"/>
  <c r="Z19" i="41" s="1"/>
  <c r="BY18" i="12"/>
  <c r="BS18" i="12" s="1"/>
  <c r="X19" i="83" s="1"/>
  <c r="BA20" i="12"/>
  <c r="AT20" i="12" s="1"/>
  <c r="Z21" i="41" s="1"/>
  <c r="BY20" i="12"/>
  <c r="BS20" i="12" s="1"/>
  <c r="X21" i="83" s="1"/>
  <c r="BA22" i="12"/>
  <c r="AT22" i="12" s="1"/>
  <c r="Z23" i="41" s="1"/>
  <c r="BY22" i="12"/>
  <c r="BS22" i="12" s="1"/>
  <c r="X23" i="83" s="1"/>
  <c r="BA24" i="12"/>
  <c r="AT24" i="12" s="1"/>
  <c r="Z25" i="41" s="1"/>
  <c r="BY24" i="12"/>
  <c r="BS24" i="12" s="1"/>
  <c r="X25" i="83" s="1"/>
  <c r="BA26" i="12"/>
  <c r="AT26" i="12" s="1"/>
  <c r="Z27" i="41" s="1"/>
  <c r="BY26" i="12"/>
  <c r="BS26" i="12" s="1"/>
  <c r="X27" i="83" s="1"/>
  <c r="BA28" i="12"/>
  <c r="AT28" i="12" s="1"/>
  <c r="Z29" i="41" s="1"/>
  <c r="BY28" i="12"/>
  <c r="BS28" i="12" s="1"/>
  <c r="X29" i="83" s="1"/>
  <c r="BA30" i="12"/>
  <c r="AT30" i="12" s="1"/>
  <c r="Z31" i="41" s="1"/>
  <c r="BY30" i="12"/>
  <c r="BS30" i="12" s="1"/>
  <c r="X31" i="83" s="1"/>
  <c r="BA32" i="12"/>
  <c r="AT32" i="12" s="1"/>
  <c r="Z33" i="41" s="1"/>
  <c r="BY32" i="12"/>
  <c r="BS32" i="12" s="1"/>
  <c r="X33" i="83" s="1"/>
  <c r="BA34" i="12"/>
  <c r="AT34" i="12" s="1"/>
  <c r="Z35" i="41" s="1"/>
  <c r="BY34" i="12"/>
  <c r="BS34" i="12" s="1"/>
  <c r="X35" i="83" s="1"/>
  <c r="BA36" i="12"/>
  <c r="AT36" i="12" s="1"/>
  <c r="Z37" i="41" s="1"/>
  <c r="BY36" i="12"/>
  <c r="BS36" i="12" s="1"/>
  <c r="X37" i="83" s="1"/>
  <c r="BA38" i="12"/>
  <c r="AT38" i="12" s="1"/>
  <c r="Z39" i="41" s="1"/>
  <c r="BY38" i="12"/>
  <c r="BS38" i="12" s="1"/>
  <c r="X39" i="83" s="1"/>
  <c r="BA40" i="12"/>
  <c r="AT40" i="12" s="1"/>
  <c r="Z41" i="41" s="1"/>
  <c r="BY40" i="12"/>
  <c r="BS40" i="12" s="1"/>
  <c r="X41" i="83" s="1"/>
  <c r="BA42" i="12"/>
  <c r="AT42" i="12" s="1"/>
  <c r="Z43" i="41" s="1"/>
  <c r="BY42" i="12"/>
  <c r="BS42" i="12" s="1"/>
  <c r="X43" i="83" s="1"/>
  <c r="BA44" i="12"/>
  <c r="AT44" i="12" s="1"/>
  <c r="Z45" i="41" s="1"/>
  <c r="BY44" i="12"/>
  <c r="BS44" i="12" s="1"/>
  <c r="X45" i="83" s="1"/>
  <c r="BA46" i="12"/>
  <c r="AT46" i="12" s="1"/>
  <c r="Z47" i="41" s="1"/>
  <c r="BY46" i="12"/>
  <c r="BS46" i="12" s="1"/>
  <c r="X47" i="83" s="1"/>
  <c r="BA48" i="12"/>
  <c r="AT48" i="12" s="1"/>
  <c r="Z49" i="41" s="1"/>
  <c r="BY48" i="12"/>
  <c r="BS48" i="12" s="1"/>
  <c r="X49" i="83" s="1"/>
  <c r="BA50" i="12"/>
  <c r="AT50" i="12" s="1"/>
  <c r="Z51" i="41" s="1"/>
  <c r="BY50" i="12"/>
  <c r="BS50" i="12" s="1"/>
  <c r="X51" i="83" s="1"/>
  <c r="BA52" i="12"/>
  <c r="AT52" i="12" s="1"/>
  <c r="Z53" i="41" s="1"/>
  <c r="BY52" i="12"/>
  <c r="BS52" i="12" s="1"/>
  <c r="X53" i="83" s="1"/>
  <c r="BA54" i="12"/>
  <c r="AT54" i="12" s="1"/>
  <c r="Z55" i="41" s="1"/>
  <c r="BY54" i="12"/>
  <c r="BS54" i="12" s="1"/>
  <c r="X55" i="83" s="1"/>
  <c r="BA9" i="12"/>
  <c r="AT9" i="12" s="1"/>
  <c r="Z10" i="41" s="1"/>
  <c r="BY9" i="12"/>
  <c r="BS9" i="12" s="1"/>
  <c r="X10" i="83" s="1"/>
  <c r="BA17" i="12"/>
  <c r="AT17" i="12" s="1"/>
  <c r="Z18" i="41" s="1"/>
  <c r="BY17" i="12"/>
  <c r="BS17" i="12" s="1"/>
  <c r="X18" i="83" s="1"/>
  <c r="BA21" i="12"/>
  <c r="AT21" i="12" s="1"/>
  <c r="Z22" i="41" s="1"/>
  <c r="BY21" i="12"/>
  <c r="BS21" i="12" s="1"/>
  <c r="X22" i="83" s="1"/>
  <c r="BA31" i="12"/>
  <c r="AT31" i="12" s="1"/>
  <c r="Z32" i="41" s="1"/>
  <c r="BY31" i="12"/>
  <c r="BS31" i="12" s="1"/>
  <c r="X32" i="83" s="1"/>
  <c r="BA41" i="12"/>
  <c r="AT41" i="12" s="1"/>
  <c r="Z42" i="41" s="1"/>
  <c r="BY41" i="12"/>
  <c r="BS41" i="12" s="1"/>
  <c r="X42" i="83" s="1"/>
  <c r="BA47" i="12"/>
  <c r="AT47" i="12" s="1"/>
  <c r="Z48" i="41" s="1"/>
  <c r="BY47" i="12"/>
  <c r="BS47" i="12" s="1"/>
  <c r="X48" i="83" s="1"/>
  <c r="AV5" i="7"/>
  <c r="AO5" i="7" s="1"/>
  <c r="K6" i="41" s="1"/>
  <c r="BU5" i="7"/>
  <c r="BO5" i="7" s="1"/>
  <c r="I6" i="83" s="1"/>
  <c r="J21" i="84" s="1"/>
  <c r="AV7" i="7"/>
  <c r="AO7" i="7" s="1"/>
  <c r="K8" i="41" s="1"/>
  <c r="BU7" i="7"/>
  <c r="BO7" i="7" s="1"/>
  <c r="I8" i="83" s="1"/>
  <c r="AV9" i="7"/>
  <c r="AO9" i="7" s="1"/>
  <c r="K10" i="41" s="1"/>
  <c r="BU9" i="7"/>
  <c r="BO9" i="7" s="1"/>
  <c r="I10" i="83" s="1"/>
  <c r="AV11" i="7"/>
  <c r="AO11" i="7" s="1"/>
  <c r="K12" i="41" s="1"/>
  <c r="BU11" i="7"/>
  <c r="BO11" i="7" s="1"/>
  <c r="I12" i="83" s="1"/>
  <c r="AV13" i="7"/>
  <c r="AO13" i="7" s="1"/>
  <c r="K14" i="41" s="1"/>
  <c r="BU13" i="7"/>
  <c r="BO13" i="7" s="1"/>
  <c r="I14" i="83" s="1"/>
  <c r="AV15" i="7"/>
  <c r="AO15" i="7" s="1"/>
  <c r="K16" i="41" s="1"/>
  <c r="BU15" i="7"/>
  <c r="BO15" i="7" s="1"/>
  <c r="I16" i="83" s="1"/>
  <c r="AV17" i="7"/>
  <c r="AO17" i="7" s="1"/>
  <c r="K18" i="41" s="1"/>
  <c r="BU17" i="7"/>
  <c r="BO17" i="7" s="1"/>
  <c r="I18" i="83" s="1"/>
  <c r="AV19" i="7"/>
  <c r="AO19" i="7" s="1"/>
  <c r="K20" i="41" s="1"/>
  <c r="BU19" i="7"/>
  <c r="BO19" i="7" s="1"/>
  <c r="I20" i="83" s="1"/>
  <c r="AV21" i="7"/>
  <c r="AO21" i="7" s="1"/>
  <c r="K22" i="41" s="1"/>
  <c r="BU21" i="7"/>
  <c r="BO21" i="7" s="1"/>
  <c r="I22" i="83" s="1"/>
  <c r="AV23" i="7"/>
  <c r="AO23" i="7" s="1"/>
  <c r="K24" i="41" s="1"/>
  <c r="BU23" i="7"/>
  <c r="BO23" i="7" s="1"/>
  <c r="I24" i="83" s="1"/>
  <c r="AV25" i="7"/>
  <c r="AO25" i="7" s="1"/>
  <c r="K26" i="41" s="1"/>
  <c r="BU25" i="7"/>
  <c r="BO25" i="7" s="1"/>
  <c r="I26" i="83" s="1"/>
  <c r="AV27" i="7"/>
  <c r="AO27" i="7" s="1"/>
  <c r="K28" i="41" s="1"/>
  <c r="BU27" i="7"/>
  <c r="BO27" i="7" s="1"/>
  <c r="I28" i="83" s="1"/>
  <c r="AV29" i="7"/>
  <c r="AO29" i="7" s="1"/>
  <c r="K30" i="41" s="1"/>
  <c r="BU29" i="7"/>
  <c r="BO29" i="7" s="1"/>
  <c r="I30" i="83" s="1"/>
  <c r="AV31" i="7"/>
  <c r="AO31" i="7" s="1"/>
  <c r="K32" i="41" s="1"/>
  <c r="BU31" i="7"/>
  <c r="BO31" i="7" s="1"/>
  <c r="I32" i="83" s="1"/>
  <c r="AV33" i="7"/>
  <c r="AO33" i="7" s="1"/>
  <c r="K34" i="41" s="1"/>
  <c r="BU33" i="7"/>
  <c r="BO33" i="7" s="1"/>
  <c r="I34" i="83" s="1"/>
  <c r="AV35" i="7"/>
  <c r="AO35" i="7" s="1"/>
  <c r="K36" i="41" s="1"/>
  <c r="BU35" i="7"/>
  <c r="BO35" i="7" s="1"/>
  <c r="I36" i="83" s="1"/>
  <c r="AV37" i="7"/>
  <c r="AO37" i="7" s="1"/>
  <c r="K38" i="41" s="1"/>
  <c r="BU37" i="7"/>
  <c r="BO37" i="7" s="1"/>
  <c r="I38" i="83" s="1"/>
  <c r="AV39" i="7"/>
  <c r="AO39" i="7" s="1"/>
  <c r="K40" i="41" s="1"/>
  <c r="BU39" i="7"/>
  <c r="BO39" i="7" s="1"/>
  <c r="I40" i="83" s="1"/>
  <c r="AV41" i="7"/>
  <c r="AO41" i="7" s="1"/>
  <c r="K42" i="41" s="1"/>
  <c r="BU41" i="7"/>
  <c r="BO41" i="7" s="1"/>
  <c r="I42" i="83" s="1"/>
  <c r="AV43" i="7"/>
  <c r="AO43" i="7" s="1"/>
  <c r="K44" i="41" s="1"/>
  <c r="BU43" i="7"/>
  <c r="BO43" i="7" s="1"/>
  <c r="I44" i="83" s="1"/>
  <c r="AV45" i="7"/>
  <c r="AO45" i="7" s="1"/>
  <c r="K46" i="41" s="1"/>
  <c r="BU45" i="7"/>
  <c r="BO45" i="7" s="1"/>
  <c r="I46" i="83" s="1"/>
  <c r="AV47" i="7"/>
  <c r="AO47" i="7" s="1"/>
  <c r="K48" i="41" s="1"/>
  <c r="BU47" i="7"/>
  <c r="BO47" i="7" s="1"/>
  <c r="I48" i="83" s="1"/>
  <c r="AV49" i="7"/>
  <c r="AO49" i="7" s="1"/>
  <c r="K50" i="41" s="1"/>
  <c r="BU49" i="7"/>
  <c r="BO49" i="7" s="1"/>
  <c r="I50" i="83" s="1"/>
  <c r="AV51" i="7"/>
  <c r="AO51" i="7" s="1"/>
  <c r="K52" i="41" s="1"/>
  <c r="BU51" i="7"/>
  <c r="BO51" i="7" s="1"/>
  <c r="I52" i="83" s="1"/>
  <c r="AV53" i="7"/>
  <c r="AO53" i="7" s="1"/>
  <c r="K54" i="41" s="1"/>
  <c r="BU53" i="7"/>
  <c r="BO53" i="7" s="1"/>
  <c r="I54" i="83" s="1"/>
  <c r="AV6" i="7"/>
  <c r="AO6" i="7" s="1"/>
  <c r="K7" i="41" s="1"/>
  <c r="BU6" i="7"/>
  <c r="BO6" i="7" s="1"/>
  <c r="I7" i="83" s="1"/>
  <c r="AV8" i="7"/>
  <c r="AO8" i="7" s="1"/>
  <c r="K9" i="41" s="1"/>
  <c r="BU8" i="7"/>
  <c r="BO8" i="7" s="1"/>
  <c r="I9" i="83" s="1"/>
  <c r="AV10" i="7"/>
  <c r="AO10" i="7" s="1"/>
  <c r="K11" i="41" s="1"/>
  <c r="BU10" i="7"/>
  <c r="BO10" i="7" s="1"/>
  <c r="I11" i="83" s="1"/>
  <c r="AV12" i="7"/>
  <c r="AO12" i="7" s="1"/>
  <c r="K13" i="41" s="1"/>
  <c r="BU12" i="7"/>
  <c r="BO12" i="7" s="1"/>
  <c r="I13" i="83" s="1"/>
  <c r="AV14" i="7"/>
  <c r="AO14" i="7" s="1"/>
  <c r="K15" i="41" s="1"/>
  <c r="BU14" i="7"/>
  <c r="BO14" i="7" s="1"/>
  <c r="I15" i="83" s="1"/>
  <c r="AV16" i="7"/>
  <c r="AO16" i="7" s="1"/>
  <c r="K17" i="41" s="1"/>
  <c r="BU16" i="7"/>
  <c r="BO16" i="7" s="1"/>
  <c r="I17" i="83" s="1"/>
  <c r="AV18" i="7"/>
  <c r="AO18" i="7" s="1"/>
  <c r="K19" i="41" s="1"/>
  <c r="BU18" i="7"/>
  <c r="BO18" i="7" s="1"/>
  <c r="I19" i="83" s="1"/>
  <c r="AV20" i="7"/>
  <c r="AO20" i="7" s="1"/>
  <c r="K21" i="41" s="1"/>
  <c r="BU20" i="7"/>
  <c r="BO20" i="7" s="1"/>
  <c r="I21" i="83" s="1"/>
  <c r="AV22" i="7"/>
  <c r="AO22" i="7" s="1"/>
  <c r="K23" i="41" s="1"/>
  <c r="BU22" i="7"/>
  <c r="BO22" i="7" s="1"/>
  <c r="I23" i="83" s="1"/>
  <c r="AV24" i="7"/>
  <c r="AO24" i="7" s="1"/>
  <c r="K25" i="41" s="1"/>
  <c r="BU24" i="7"/>
  <c r="BO24" i="7" s="1"/>
  <c r="I25" i="83" s="1"/>
  <c r="AV26" i="7"/>
  <c r="AO26" i="7" s="1"/>
  <c r="K27" i="41" s="1"/>
  <c r="BU26" i="7"/>
  <c r="BO26" i="7" s="1"/>
  <c r="I27" i="83" s="1"/>
  <c r="AV28" i="7"/>
  <c r="AO28" i="7" s="1"/>
  <c r="K29" i="41" s="1"/>
  <c r="BU28" i="7"/>
  <c r="BO28" i="7" s="1"/>
  <c r="I29" i="83" s="1"/>
  <c r="AV30" i="7"/>
  <c r="AO30" i="7" s="1"/>
  <c r="K31" i="41" s="1"/>
  <c r="BU30" i="7"/>
  <c r="BO30" i="7" s="1"/>
  <c r="I31" i="83" s="1"/>
  <c r="AV32" i="7"/>
  <c r="AO32" i="7" s="1"/>
  <c r="K33" i="41" s="1"/>
  <c r="BU32" i="7"/>
  <c r="BO32" i="7" s="1"/>
  <c r="I33" i="83" s="1"/>
  <c r="AV34" i="7"/>
  <c r="AO34" i="7" s="1"/>
  <c r="K35" i="41" s="1"/>
  <c r="BU34" i="7"/>
  <c r="BO34" i="7" s="1"/>
  <c r="I35" i="83" s="1"/>
  <c r="AV36" i="7"/>
  <c r="AO36" i="7" s="1"/>
  <c r="K37" i="41" s="1"/>
  <c r="BU36" i="7"/>
  <c r="BO36" i="7" s="1"/>
  <c r="I37" i="83" s="1"/>
  <c r="AV38" i="7"/>
  <c r="AO38" i="7" s="1"/>
  <c r="K39" i="41" s="1"/>
  <c r="BU38" i="7"/>
  <c r="BO38" i="7" s="1"/>
  <c r="I39" i="83" s="1"/>
  <c r="AV40" i="7"/>
  <c r="AO40" i="7" s="1"/>
  <c r="K41" i="41" s="1"/>
  <c r="BU40" i="7"/>
  <c r="BO40" i="7" s="1"/>
  <c r="I41" i="83" s="1"/>
  <c r="AV42" i="7"/>
  <c r="AO42" i="7" s="1"/>
  <c r="K43" i="41" s="1"/>
  <c r="BU42" i="7"/>
  <c r="BO42" i="7" s="1"/>
  <c r="I43" i="83" s="1"/>
  <c r="AV44" i="7"/>
  <c r="AO44" i="7" s="1"/>
  <c r="K45" i="41" s="1"/>
  <c r="BU44" i="7"/>
  <c r="BO44" i="7" s="1"/>
  <c r="I45" i="83" s="1"/>
  <c r="AV46" i="7"/>
  <c r="AO46" i="7" s="1"/>
  <c r="K47" i="41" s="1"/>
  <c r="BU46" i="7"/>
  <c r="BO46" i="7" s="1"/>
  <c r="I47" i="83" s="1"/>
  <c r="AV48" i="7"/>
  <c r="AO48" i="7" s="1"/>
  <c r="K49" i="41" s="1"/>
  <c r="BU48" i="7"/>
  <c r="BO48" i="7" s="1"/>
  <c r="I49" i="83" s="1"/>
  <c r="AV50" i="7"/>
  <c r="AO50" i="7" s="1"/>
  <c r="K51" i="41" s="1"/>
  <c r="BU50" i="7"/>
  <c r="BO50" i="7" s="1"/>
  <c r="I51" i="83" s="1"/>
  <c r="AV52" i="7"/>
  <c r="AO52" i="7" s="1"/>
  <c r="K53" i="41" s="1"/>
  <c r="BU52" i="7"/>
  <c r="BO52" i="7" s="1"/>
  <c r="I53" i="83" s="1"/>
  <c r="AV54" i="7"/>
  <c r="AO54" i="7" s="1"/>
  <c r="K55" i="41" s="1"/>
  <c r="BU54" i="7"/>
  <c r="BO54" i="7" s="1"/>
  <c r="I55" i="83" s="1"/>
  <c r="J76" i="30"/>
  <c r="E76" i="30"/>
  <c r="H76" i="30"/>
  <c r="D76" i="30"/>
  <c r="G76" i="30"/>
  <c r="C76" i="30"/>
  <c r="EA7" i="1"/>
  <c r="H7" i="41" s="1"/>
  <c r="Y8" i="5"/>
  <c r="Y10" i="5"/>
  <c r="Y14" i="5"/>
  <c r="Y20" i="5"/>
  <c r="Y24" i="5"/>
  <c r="Y26" i="5"/>
  <c r="Y28" i="5"/>
  <c r="Y32" i="5"/>
  <c r="Y34" i="5"/>
  <c r="Y36" i="5"/>
  <c r="Y40" i="5"/>
  <c r="Y42" i="5"/>
  <c r="Y46" i="5"/>
  <c r="Y48" i="5"/>
  <c r="Y50" i="5"/>
  <c r="Y54" i="5"/>
  <c r="E55" i="41"/>
  <c r="Y7" i="5"/>
  <c r="Y9" i="5"/>
  <c r="Y11" i="5"/>
  <c r="Y13" i="5"/>
  <c r="Y15" i="5"/>
  <c r="Y17" i="5"/>
  <c r="Y19" i="5"/>
  <c r="Y21" i="5"/>
  <c r="Y23" i="5"/>
  <c r="Y25" i="5"/>
  <c r="Y27" i="5"/>
  <c r="Y29" i="5"/>
  <c r="Y31" i="5"/>
  <c r="Y33" i="5"/>
  <c r="Y35" i="5"/>
  <c r="Y37" i="5"/>
  <c r="Y39" i="5"/>
  <c r="Y41" i="5"/>
  <c r="Y43" i="5"/>
  <c r="Y45" i="5"/>
  <c r="Y47" i="5"/>
  <c r="Y49" i="5"/>
  <c r="Y51" i="5"/>
  <c r="Y53" i="5"/>
  <c r="Y6" i="5"/>
  <c r="Y12" i="5"/>
  <c r="Y16" i="5"/>
  <c r="Y18" i="5"/>
  <c r="Y22" i="5"/>
  <c r="Y30" i="5"/>
  <c r="Y38" i="5"/>
  <c r="Y44" i="5"/>
  <c r="Y52" i="5"/>
  <c r="S5" i="5"/>
  <c r="Y5" i="5"/>
  <c r="S52" i="4"/>
  <c r="S36" i="4"/>
  <c r="S24" i="4"/>
  <c r="S12" i="4"/>
  <c r="S53" i="4"/>
  <c r="S49" i="4"/>
  <c r="S45" i="4"/>
  <c r="S41" i="4"/>
  <c r="S37" i="4"/>
  <c r="D38" i="25" s="1"/>
  <c r="S33" i="4"/>
  <c r="S29" i="4"/>
  <c r="S25" i="4"/>
  <c r="S21" i="4"/>
  <c r="D22" i="25" s="1"/>
  <c r="S17" i="4"/>
  <c r="S13" i="4"/>
  <c r="S9" i="4"/>
  <c r="S44" i="4"/>
  <c r="S20" i="4"/>
  <c r="D21" i="25" s="1"/>
  <c r="S8" i="4"/>
  <c r="S47" i="4"/>
  <c r="S39" i="4"/>
  <c r="S35" i="4"/>
  <c r="S31" i="4"/>
  <c r="D32" i="25" s="1"/>
  <c r="S27" i="4"/>
  <c r="S23" i="4"/>
  <c r="S19" i="4"/>
  <c r="S15" i="4"/>
  <c r="S11" i="4"/>
  <c r="S7" i="4"/>
  <c r="S48" i="4"/>
  <c r="S40" i="4"/>
  <c r="S32" i="4"/>
  <c r="S28" i="4"/>
  <c r="S16" i="4"/>
  <c r="S51" i="4"/>
  <c r="S43" i="4"/>
  <c r="S54" i="4"/>
  <c r="S50" i="4"/>
  <c r="D51" i="25" s="1"/>
  <c r="S46" i="4"/>
  <c r="S42" i="4"/>
  <c r="S38" i="4"/>
  <c r="S34" i="4"/>
  <c r="D35" i="25" s="1"/>
  <c r="S30" i="4"/>
  <c r="S26" i="4"/>
  <c r="S22" i="4"/>
  <c r="S18" i="4"/>
  <c r="D19" i="25" s="1"/>
  <c r="S14" i="4"/>
  <c r="S10" i="4"/>
  <c r="S6" i="4"/>
  <c r="M5" i="4"/>
  <c r="Q5" i="4" s="1"/>
  <c r="D48" i="25"/>
  <c r="D54" i="25"/>
  <c r="D50" i="25"/>
  <c r="D46" i="25"/>
  <c r="D42" i="25"/>
  <c r="D34" i="25"/>
  <c r="D30" i="25"/>
  <c r="D26" i="25"/>
  <c r="D18" i="25"/>
  <c r="D14" i="25"/>
  <c r="D10" i="25"/>
  <c r="D53" i="25"/>
  <c r="D49" i="25"/>
  <c r="D45" i="25"/>
  <c r="D41" i="25"/>
  <c r="D37" i="25"/>
  <c r="D33" i="25"/>
  <c r="D29" i="25"/>
  <c r="D25" i="25"/>
  <c r="D17" i="25"/>
  <c r="D13" i="25"/>
  <c r="D9" i="25"/>
  <c r="D24" i="25"/>
  <c r="D16" i="25"/>
  <c r="D8" i="25"/>
  <c r="AJ26" i="25"/>
  <c r="AJ50" i="25"/>
  <c r="AJ14" i="25"/>
  <c r="AJ27" i="25"/>
  <c r="AG36" i="25"/>
  <c r="AG24" i="25"/>
  <c r="AG55" i="25"/>
  <c r="AG32" i="25"/>
  <c r="AG23" i="25"/>
  <c r="AG51" i="25"/>
  <c r="AG31" i="25"/>
  <c r="AG19" i="25"/>
  <c r="AD37" i="25"/>
  <c r="AD9" i="25"/>
  <c r="AD34" i="25"/>
  <c r="AD47" i="25"/>
  <c r="AD26" i="25"/>
  <c r="AA34" i="25"/>
  <c r="AA14" i="25"/>
  <c r="AA50" i="25"/>
  <c r="AA42" i="25"/>
  <c r="X44" i="25"/>
  <c r="X23" i="25"/>
  <c r="X52" i="25"/>
  <c r="X28" i="25"/>
  <c r="X11" i="25"/>
  <c r="O41" i="25"/>
  <c r="O25" i="25"/>
  <c r="O34" i="25"/>
  <c r="O18" i="25"/>
  <c r="O53" i="25"/>
  <c r="O33" i="25"/>
  <c r="O46" i="25"/>
  <c r="O26" i="25"/>
  <c r="L23" i="25"/>
  <c r="L55" i="25"/>
  <c r="L15" i="25"/>
  <c r="L47" i="25"/>
  <c r="L24" i="25"/>
  <c r="F55" i="25"/>
  <c r="F43" i="25"/>
  <c r="F31" i="25"/>
  <c r="H56" i="30"/>
  <c r="H104" i="30"/>
  <c r="H40" i="30"/>
  <c r="H26" i="30"/>
  <c r="H33" i="30"/>
  <c r="H19" i="30"/>
  <c r="F44" i="25"/>
  <c r="I55" i="25"/>
  <c r="I43" i="25"/>
  <c r="I28" i="25"/>
  <c r="I16" i="25"/>
  <c r="O8" i="25"/>
  <c r="AD11" i="25"/>
  <c r="F52" i="25"/>
  <c r="I52" i="25"/>
  <c r="I40" i="25"/>
  <c r="I27" i="25"/>
  <c r="I15" i="25"/>
  <c r="L37" i="25"/>
  <c r="AA55" i="25"/>
  <c r="AA47" i="25"/>
  <c r="AA39" i="25"/>
  <c r="AA26" i="25"/>
  <c r="AA11" i="25"/>
  <c r="AD24" i="25"/>
  <c r="AD15" i="25"/>
  <c r="AJ47" i="25"/>
  <c r="AJ35" i="25"/>
  <c r="AJ11" i="25"/>
  <c r="E45" i="30"/>
  <c r="F51" i="25"/>
  <c r="F39" i="25"/>
  <c r="F16" i="25"/>
  <c r="I51" i="25"/>
  <c r="I36" i="25"/>
  <c r="I23" i="25"/>
  <c r="L30" i="25"/>
  <c r="O44" i="25"/>
  <c r="O22" i="25"/>
  <c r="O10" i="25"/>
  <c r="X48" i="25"/>
  <c r="X36" i="25"/>
  <c r="AA54" i="25"/>
  <c r="AA46" i="25"/>
  <c r="AA38" i="25"/>
  <c r="AA19" i="25"/>
  <c r="AA10" i="25"/>
  <c r="AD43" i="25"/>
  <c r="AD31" i="25"/>
  <c r="AD23" i="25"/>
  <c r="AD14" i="25"/>
  <c r="AG44" i="25"/>
  <c r="AJ55" i="25"/>
  <c r="AJ46" i="25"/>
  <c r="AJ31" i="25"/>
  <c r="AJ23" i="25"/>
  <c r="AJ10" i="25"/>
  <c r="F48" i="25"/>
  <c r="F36" i="25"/>
  <c r="F12" i="25"/>
  <c r="I44" i="25"/>
  <c r="I35" i="25"/>
  <c r="I20" i="25"/>
  <c r="L41" i="25"/>
  <c r="L26" i="25"/>
  <c r="L18" i="25"/>
  <c r="L8" i="25"/>
  <c r="O42" i="25"/>
  <c r="O30" i="25"/>
  <c r="O21" i="25"/>
  <c r="O9" i="25"/>
  <c r="X47" i="25"/>
  <c r="X35" i="25"/>
  <c r="X20" i="25"/>
  <c r="AA51" i="25"/>
  <c r="AA43" i="25"/>
  <c r="AA35" i="25"/>
  <c r="AA15" i="25"/>
  <c r="AD49" i="25"/>
  <c r="AD39" i="25"/>
  <c r="AD27" i="25"/>
  <c r="AD12" i="25"/>
  <c r="AG52" i="25"/>
  <c r="AG40" i="25"/>
  <c r="AG28" i="25"/>
  <c r="AG20" i="25"/>
  <c r="AJ51" i="25"/>
  <c r="AJ42" i="25"/>
  <c r="AJ30" i="25"/>
  <c r="AJ15" i="25"/>
  <c r="E36" i="30"/>
  <c r="E31" i="30"/>
  <c r="H36" i="30"/>
  <c r="D7" i="25"/>
  <c r="AK12" i="25"/>
  <c r="AJ12" i="25"/>
  <c r="AK18" i="25"/>
  <c r="AJ18" i="25"/>
  <c r="AK19" i="25"/>
  <c r="AJ19" i="25"/>
  <c r="AK22" i="25"/>
  <c r="AJ22" i="25"/>
  <c r="AK25" i="25"/>
  <c r="AJ25" i="25"/>
  <c r="AJ43" i="25"/>
  <c r="AJ34" i="25"/>
  <c r="AJ53" i="25"/>
  <c r="AJ49" i="25"/>
  <c r="AJ45" i="25"/>
  <c r="AJ41" i="25"/>
  <c r="AJ37" i="25"/>
  <c r="AJ33" i="25"/>
  <c r="AJ29" i="25"/>
  <c r="AJ21" i="25"/>
  <c r="AJ17" i="25"/>
  <c r="AJ13" i="25"/>
  <c r="AJ9" i="25"/>
  <c r="AJ54" i="25"/>
  <c r="AJ38" i="25"/>
  <c r="AJ52" i="25"/>
  <c r="AJ48" i="25"/>
  <c r="AJ44" i="25"/>
  <c r="AJ40" i="25"/>
  <c r="AJ36" i="25"/>
  <c r="AJ32" i="25"/>
  <c r="AJ28" i="25"/>
  <c r="AJ24" i="25"/>
  <c r="AJ20" i="25"/>
  <c r="AJ16" i="25"/>
  <c r="AG16" i="25"/>
  <c r="AG47" i="25"/>
  <c r="AG39" i="25"/>
  <c r="AG11" i="25"/>
  <c r="AG54" i="25"/>
  <c r="AG50" i="25"/>
  <c r="AG46" i="25"/>
  <c r="AG42" i="25"/>
  <c r="AG38" i="25"/>
  <c r="AG34" i="25"/>
  <c r="AG30" i="25"/>
  <c r="AG26" i="25"/>
  <c r="AG22" i="25"/>
  <c r="AG18" i="25"/>
  <c r="AG14" i="25"/>
  <c r="AG10" i="25"/>
  <c r="AG43" i="25"/>
  <c r="AG35" i="25"/>
  <c r="AG15" i="25"/>
  <c r="AG53" i="25"/>
  <c r="AG49" i="25"/>
  <c r="AG45" i="25"/>
  <c r="AG41" i="25"/>
  <c r="AG37" i="25"/>
  <c r="AG33" i="25"/>
  <c r="AG29" i="25"/>
  <c r="AG25" i="25"/>
  <c r="AG21" i="25"/>
  <c r="AG17" i="25"/>
  <c r="AG13" i="25"/>
  <c r="AG9" i="25"/>
  <c r="AD44" i="25"/>
  <c r="AD19" i="25"/>
  <c r="AD55" i="25"/>
  <c r="AD30" i="25"/>
  <c r="AD18" i="25"/>
  <c r="AD54" i="25"/>
  <c r="AD51" i="25"/>
  <c r="AD48" i="25"/>
  <c r="AD45" i="25"/>
  <c r="AD42" i="25"/>
  <c r="AD38" i="25"/>
  <c r="AD36" i="25"/>
  <c r="AD33" i="25"/>
  <c r="AD29" i="25"/>
  <c r="AD25" i="25"/>
  <c r="AD17" i="25"/>
  <c r="AD13" i="25"/>
  <c r="AD40" i="25"/>
  <c r="AD52" i="25"/>
  <c r="AD7" i="25"/>
  <c r="AD53" i="25"/>
  <c r="AD50" i="25"/>
  <c r="AD41" i="25"/>
  <c r="AD35" i="25"/>
  <c r="AD32" i="25"/>
  <c r="AD28" i="25"/>
  <c r="AD22" i="25"/>
  <c r="AD20" i="25"/>
  <c r="AD16" i="25"/>
  <c r="AD10" i="25"/>
  <c r="AA23" i="25"/>
  <c r="AA18" i="25"/>
  <c r="AA53" i="25"/>
  <c r="AA49" i="25"/>
  <c r="AA45" i="25"/>
  <c r="AA41" i="25"/>
  <c r="AA37" i="25"/>
  <c r="AA33" i="25"/>
  <c r="AA29" i="25"/>
  <c r="AA25" i="25"/>
  <c r="AA21" i="25"/>
  <c r="AA17" i="25"/>
  <c r="AA13" i="25"/>
  <c r="AA9" i="25"/>
  <c r="AA31" i="25"/>
  <c r="AA27" i="25"/>
  <c r="AA30" i="25"/>
  <c r="AA22" i="25"/>
  <c r="AA52" i="25"/>
  <c r="AA48" i="25"/>
  <c r="AA44" i="25"/>
  <c r="AA40" i="25"/>
  <c r="AA36" i="25"/>
  <c r="AA32" i="25"/>
  <c r="AA28" i="25"/>
  <c r="AA24" i="25"/>
  <c r="AA20" i="25"/>
  <c r="AA16" i="25"/>
  <c r="AA12" i="25"/>
  <c r="AA8" i="25"/>
  <c r="X55" i="25"/>
  <c r="X51" i="25"/>
  <c r="X43" i="25"/>
  <c r="X39" i="25"/>
  <c r="X31" i="25"/>
  <c r="X27" i="25"/>
  <c r="X19" i="25"/>
  <c r="X24" i="25"/>
  <c r="X12" i="25"/>
  <c r="X7" i="25"/>
  <c r="X54" i="25"/>
  <c r="X50" i="25"/>
  <c r="X46" i="25"/>
  <c r="X42" i="25"/>
  <c r="X38" i="25"/>
  <c r="X34" i="25"/>
  <c r="X30" i="25"/>
  <c r="X26" i="25"/>
  <c r="X22" i="25"/>
  <c r="X18" i="25"/>
  <c r="X14" i="25"/>
  <c r="X10" i="25"/>
  <c r="X53" i="25"/>
  <c r="X49" i="25"/>
  <c r="X45" i="25"/>
  <c r="X41" i="25"/>
  <c r="X37" i="25"/>
  <c r="X33" i="25"/>
  <c r="X29" i="25"/>
  <c r="X25" i="25"/>
  <c r="X21" i="25"/>
  <c r="X17" i="25"/>
  <c r="X13" i="25"/>
  <c r="X9" i="25"/>
  <c r="W17" i="25"/>
  <c r="O50" i="25"/>
  <c r="O54" i="25"/>
  <c r="O38" i="25"/>
  <c r="O49" i="25"/>
  <c r="O45" i="25"/>
  <c r="O37" i="25"/>
  <c r="O29" i="25"/>
  <c r="O17" i="25"/>
  <c r="O13" i="25"/>
  <c r="O52" i="25"/>
  <c r="O48" i="25"/>
  <c r="O40" i="25"/>
  <c r="O36" i="25"/>
  <c r="O32" i="25"/>
  <c r="O28" i="25"/>
  <c r="O24" i="25"/>
  <c r="O20" i="25"/>
  <c r="O16" i="25"/>
  <c r="O12" i="25"/>
  <c r="O55" i="25"/>
  <c r="O51" i="25"/>
  <c r="O47" i="25"/>
  <c r="O43" i="25"/>
  <c r="O39" i="25"/>
  <c r="O35" i="25"/>
  <c r="O31" i="25"/>
  <c r="O27" i="25"/>
  <c r="O23" i="25"/>
  <c r="O19" i="25"/>
  <c r="O15" i="25"/>
  <c r="O11" i="25"/>
  <c r="L50" i="25"/>
  <c r="L44" i="25"/>
  <c r="L34" i="25"/>
  <c r="L27" i="25"/>
  <c r="L20" i="25"/>
  <c r="L12" i="25"/>
  <c r="L52" i="25"/>
  <c r="L46" i="25"/>
  <c r="L54" i="25"/>
  <c r="L51" i="25"/>
  <c r="L49" i="25"/>
  <c r="L43" i="25"/>
  <c r="L36" i="25"/>
  <c r="L32" i="25"/>
  <c r="L29" i="25"/>
  <c r="L25" i="25"/>
  <c r="L22" i="25"/>
  <c r="L19" i="25"/>
  <c r="L17" i="25"/>
  <c r="L14" i="25"/>
  <c r="L10" i="25"/>
  <c r="L39" i="25"/>
  <c r="L33" i="25"/>
  <c r="L11" i="25"/>
  <c r="L53" i="25"/>
  <c r="L48" i="25"/>
  <c r="L45" i="25"/>
  <c r="L42" i="25"/>
  <c r="L40" i="25"/>
  <c r="L38" i="25"/>
  <c r="L35" i="25"/>
  <c r="L31" i="25"/>
  <c r="L28" i="25"/>
  <c r="L21" i="25"/>
  <c r="L16" i="25"/>
  <c r="L13" i="25"/>
  <c r="L9" i="25"/>
  <c r="I24" i="25"/>
  <c r="I53" i="25"/>
  <c r="I49" i="25"/>
  <c r="I45" i="25"/>
  <c r="I41" i="25"/>
  <c r="I37" i="25"/>
  <c r="I33" i="25"/>
  <c r="I29" i="25"/>
  <c r="I25" i="25"/>
  <c r="I21" i="25"/>
  <c r="I17" i="25"/>
  <c r="I13" i="25"/>
  <c r="I9" i="25"/>
  <c r="I48" i="25"/>
  <c r="I32" i="25"/>
  <c r="I12" i="25"/>
  <c r="I47" i="25"/>
  <c r="I39" i="25"/>
  <c r="I31" i="25"/>
  <c r="I19" i="25"/>
  <c r="I11" i="25"/>
  <c r="I54" i="25"/>
  <c r="I50" i="25"/>
  <c r="I46" i="25"/>
  <c r="I42" i="25"/>
  <c r="I38" i="25"/>
  <c r="I34" i="25"/>
  <c r="I30" i="25"/>
  <c r="I26" i="25"/>
  <c r="I22" i="25"/>
  <c r="I18" i="25"/>
  <c r="I14" i="25"/>
  <c r="I10" i="25"/>
  <c r="G8" i="25"/>
  <c r="F32" i="25"/>
  <c r="F28" i="25"/>
  <c r="F24" i="25"/>
  <c r="F20" i="25"/>
  <c r="F8" i="25"/>
  <c r="F47" i="25"/>
  <c r="F27" i="25"/>
  <c r="F23" i="25"/>
  <c r="F15" i="25"/>
  <c r="F11" i="25"/>
  <c r="F53" i="25"/>
  <c r="F49" i="25"/>
  <c r="F45" i="25"/>
  <c r="F41" i="25"/>
  <c r="F37" i="25"/>
  <c r="F33" i="25"/>
  <c r="F29" i="25"/>
  <c r="F25" i="25"/>
  <c r="F21" i="25"/>
  <c r="F17" i="25"/>
  <c r="F13" i="25"/>
  <c r="F9" i="25"/>
  <c r="F40" i="25"/>
  <c r="F35" i="25"/>
  <c r="F54" i="25"/>
  <c r="F50" i="25"/>
  <c r="F46" i="25"/>
  <c r="F42" i="25"/>
  <c r="F38" i="25"/>
  <c r="F34" i="25"/>
  <c r="F30" i="25"/>
  <c r="F26" i="25"/>
  <c r="F22" i="25"/>
  <c r="F18" i="25"/>
  <c r="F14" i="25"/>
  <c r="F10" i="25"/>
  <c r="AJ7" i="25"/>
  <c r="AJ6" i="25"/>
  <c r="G28" i="44" s="1"/>
  <c r="AK6" i="25"/>
  <c r="H28" i="44" s="1"/>
  <c r="AG6" i="25"/>
  <c r="G27" i="44" s="1"/>
  <c r="AG7" i="25"/>
  <c r="AE8" i="25"/>
  <c r="AA6" i="25"/>
  <c r="G24" i="44" s="1"/>
  <c r="L6" i="25"/>
  <c r="G19" i="44" s="1"/>
  <c r="M6" i="25"/>
  <c r="H19" i="44" s="1"/>
  <c r="M7" i="25"/>
  <c r="I7" i="25"/>
  <c r="G46" i="30"/>
  <c r="H45" i="30"/>
  <c r="G23" i="30"/>
  <c r="H23" i="30"/>
  <c r="W33" i="25"/>
  <c r="W31" i="25"/>
  <c r="W41" i="25"/>
  <c r="W51" i="25"/>
  <c r="Y8" i="25"/>
  <c r="AH8" i="25"/>
  <c r="AK8" i="25"/>
  <c r="AH7" i="25"/>
  <c r="AH12" i="25"/>
  <c r="AH16" i="25"/>
  <c r="AH20" i="25"/>
  <c r="AH24" i="25"/>
  <c r="AH28" i="25"/>
  <c r="AH32" i="25"/>
  <c r="AH36" i="25"/>
  <c r="AH40" i="25"/>
  <c r="AH44" i="25"/>
  <c r="AH48" i="25"/>
  <c r="AH52" i="25"/>
  <c r="AH9" i="25"/>
  <c r="AH10" i="25"/>
  <c r="AH14" i="25"/>
  <c r="AH18" i="25"/>
  <c r="AH22" i="25"/>
  <c r="AH26" i="25"/>
  <c r="AH30" i="25"/>
  <c r="AH34" i="25"/>
  <c r="AH38" i="25"/>
  <c r="AH42" i="25"/>
  <c r="AH46" i="25"/>
  <c r="AH50" i="25"/>
  <c r="AH54" i="25"/>
  <c r="AH25" i="25"/>
  <c r="AH19" i="25"/>
  <c r="AH35" i="25"/>
  <c r="AH51" i="25"/>
  <c r="AH21" i="25"/>
  <c r="AH37" i="25"/>
  <c r="AH53" i="25"/>
  <c r="AH15" i="25"/>
  <c r="AH23" i="25"/>
  <c r="AH31" i="25"/>
  <c r="AH39" i="25"/>
  <c r="AH47" i="25"/>
  <c r="AH55" i="25"/>
  <c r="AH6" i="25"/>
  <c r="H27" i="44" s="1"/>
  <c r="AH17" i="25"/>
  <c r="AH33" i="25"/>
  <c r="AH41" i="25"/>
  <c r="AH49" i="25"/>
  <c r="AH11" i="25"/>
  <c r="AH27" i="25"/>
  <c r="AH43" i="25"/>
  <c r="AH13" i="25"/>
  <c r="AH29" i="25"/>
  <c r="AH45" i="25"/>
  <c r="AK10" i="25"/>
  <c r="AK14" i="25"/>
  <c r="AK26" i="25"/>
  <c r="AK30" i="25"/>
  <c r="AK34" i="25"/>
  <c r="AK38" i="25"/>
  <c r="AK42" i="25"/>
  <c r="AK46" i="25"/>
  <c r="AK50" i="25"/>
  <c r="AK54" i="25"/>
  <c r="AK11" i="25"/>
  <c r="AK15" i="25"/>
  <c r="AK23" i="25"/>
  <c r="AK27" i="25"/>
  <c r="AK31" i="25"/>
  <c r="AK35" i="25"/>
  <c r="AK39" i="25"/>
  <c r="AK43" i="25"/>
  <c r="AK47" i="25"/>
  <c r="AK51" i="25"/>
  <c r="AK55" i="25"/>
  <c r="H47" i="30"/>
  <c r="AK7" i="25"/>
  <c r="AK16" i="25"/>
  <c r="AK20" i="25"/>
  <c r="AK24" i="25"/>
  <c r="AK28" i="25"/>
  <c r="AK32" i="25"/>
  <c r="AK36" i="25"/>
  <c r="AK40" i="25"/>
  <c r="AK44" i="25"/>
  <c r="AK48" i="25"/>
  <c r="AK52" i="25"/>
  <c r="AK13" i="25"/>
  <c r="AK45" i="25"/>
  <c r="AK17" i="25"/>
  <c r="AK49" i="25"/>
  <c r="AK21" i="25"/>
  <c r="AK37" i="25"/>
  <c r="AK53" i="25"/>
  <c r="AK9" i="25"/>
  <c r="AK41" i="25"/>
  <c r="AK29" i="25"/>
  <c r="AK33" i="25"/>
  <c r="J9" i="25"/>
  <c r="J13" i="25"/>
  <c r="J17" i="25"/>
  <c r="J21" i="25"/>
  <c r="J25" i="25"/>
  <c r="J29" i="25"/>
  <c r="J33" i="25"/>
  <c r="J37" i="25"/>
  <c r="J41" i="25"/>
  <c r="J45" i="25"/>
  <c r="J49" i="25"/>
  <c r="J53" i="25"/>
  <c r="J8" i="25"/>
  <c r="J12" i="25"/>
  <c r="J16" i="25"/>
  <c r="J20" i="25"/>
  <c r="J24" i="25"/>
  <c r="J28" i="25"/>
  <c r="J32" i="25"/>
  <c r="J36" i="25"/>
  <c r="J40" i="25"/>
  <c r="J44" i="25"/>
  <c r="J48" i="25"/>
  <c r="J52" i="25"/>
  <c r="J6" i="25"/>
  <c r="H18" i="44" s="1"/>
  <c r="J10" i="25"/>
  <c r="J18" i="25"/>
  <c r="J26" i="25"/>
  <c r="J34" i="25"/>
  <c r="J42" i="25"/>
  <c r="J50" i="25"/>
  <c r="J11" i="25"/>
  <c r="J19" i="25"/>
  <c r="J27" i="25"/>
  <c r="J35" i="25"/>
  <c r="J43" i="25"/>
  <c r="J51" i="25"/>
  <c r="J22" i="25"/>
  <c r="J38" i="25"/>
  <c r="J54" i="25"/>
  <c r="J14" i="25"/>
  <c r="J46" i="25"/>
  <c r="J15" i="25"/>
  <c r="J7" i="25"/>
  <c r="J23" i="25"/>
  <c r="J39" i="25"/>
  <c r="J55" i="25"/>
  <c r="J30" i="25"/>
  <c r="J31" i="25"/>
  <c r="J47" i="25"/>
  <c r="P7" i="25"/>
  <c r="H22" i="30"/>
  <c r="AB7" i="25"/>
  <c r="P8" i="25"/>
  <c r="P12" i="25"/>
  <c r="P16" i="25"/>
  <c r="P20" i="25"/>
  <c r="P24" i="25"/>
  <c r="P28" i="25"/>
  <c r="P32" i="25"/>
  <c r="P36" i="25"/>
  <c r="P40" i="25"/>
  <c r="P44" i="25"/>
  <c r="P48" i="25"/>
  <c r="P52" i="25"/>
  <c r="P10" i="25"/>
  <c r="P15" i="25"/>
  <c r="P21" i="25"/>
  <c r="P26" i="25"/>
  <c r="P31" i="25"/>
  <c r="P37" i="25"/>
  <c r="P42" i="25"/>
  <c r="P47" i="25"/>
  <c r="P53" i="25"/>
  <c r="P11" i="25"/>
  <c r="P17" i="25"/>
  <c r="P22" i="25"/>
  <c r="P27" i="25"/>
  <c r="P33" i="25"/>
  <c r="P38" i="25"/>
  <c r="P43" i="25"/>
  <c r="P49" i="25"/>
  <c r="P54" i="25"/>
  <c r="P18" i="25"/>
  <c r="P29" i="25"/>
  <c r="P39" i="25"/>
  <c r="P50" i="25"/>
  <c r="P23" i="25"/>
  <c r="P45" i="25"/>
  <c r="P25" i="25"/>
  <c r="P46" i="25"/>
  <c r="P9" i="25"/>
  <c r="P19" i="25"/>
  <c r="P30" i="25"/>
  <c r="P41" i="25"/>
  <c r="P51" i="25"/>
  <c r="P13" i="25"/>
  <c r="P34" i="25"/>
  <c r="P55" i="25"/>
  <c r="P14" i="25"/>
  <c r="P35" i="25"/>
  <c r="AB9" i="25"/>
  <c r="AB13" i="25"/>
  <c r="AB17" i="25"/>
  <c r="AB21" i="25"/>
  <c r="AB25" i="25"/>
  <c r="AB29" i="25"/>
  <c r="AB33" i="25"/>
  <c r="AB37" i="25"/>
  <c r="AB41" i="25"/>
  <c r="AB45" i="25"/>
  <c r="AB49" i="25"/>
  <c r="AB53" i="25"/>
  <c r="AB11" i="25"/>
  <c r="AB16" i="25"/>
  <c r="AB22" i="25"/>
  <c r="AB27" i="25"/>
  <c r="AB32" i="25"/>
  <c r="AB38" i="25"/>
  <c r="AB43" i="25"/>
  <c r="AB48" i="25"/>
  <c r="AB54" i="25"/>
  <c r="H38" i="30"/>
  <c r="AB12" i="25"/>
  <c r="AB18" i="25"/>
  <c r="AB23" i="25"/>
  <c r="AB28" i="25"/>
  <c r="AB34" i="25"/>
  <c r="AB39" i="25"/>
  <c r="AB44" i="25"/>
  <c r="AB50" i="25"/>
  <c r="AB55" i="25"/>
  <c r="AB14" i="25"/>
  <c r="AB24" i="25"/>
  <c r="AB35" i="25"/>
  <c r="AB46" i="25"/>
  <c r="AB6" i="25"/>
  <c r="H24" i="44" s="1"/>
  <c r="AB8" i="25"/>
  <c r="AB30" i="25"/>
  <c r="AB51" i="25"/>
  <c r="AB20" i="25"/>
  <c r="AB52" i="25"/>
  <c r="AB15" i="25"/>
  <c r="AB26" i="25"/>
  <c r="AB36" i="25"/>
  <c r="AB47" i="25"/>
  <c r="AB19" i="25"/>
  <c r="AB40" i="25"/>
  <c r="AB10" i="25"/>
  <c r="AB31" i="25"/>
  <c r="AB42" i="25"/>
  <c r="G9" i="25"/>
  <c r="G13" i="25"/>
  <c r="G17" i="25"/>
  <c r="G21" i="25"/>
  <c r="G25" i="25"/>
  <c r="G29" i="25"/>
  <c r="G33" i="25"/>
  <c r="G37" i="25"/>
  <c r="G41" i="25"/>
  <c r="G45" i="25"/>
  <c r="G49" i="25"/>
  <c r="G53" i="25"/>
  <c r="G10" i="25"/>
  <c r="G14" i="25"/>
  <c r="G18" i="25"/>
  <c r="G22" i="25"/>
  <c r="G26" i="25"/>
  <c r="G30" i="25"/>
  <c r="G34" i="25"/>
  <c r="G38" i="25"/>
  <c r="G42" i="25"/>
  <c r="G46" i="25"/>
  <c r="G50" i="25"/>
  <c r="G54" i="25"/>
  <c r="G15" i="25"/>
  <c r="G23" i="25"/>
  <c r="G31" i="25"/>
  <c r="G39" i="25"/>
  <c r="G47" i="25"/>
  <c r="G55" i="25"/>
  <c r="G11" i="25"/>
  <c r="G27" i="25"/>
  <c r="G43" i="25"/>
  <c r="G12" i="25"/>
  <c r="G28" i="25"/>
  <c r="G44" i="25"/>
  <c r="G16" i="25"/>
  <c r="G24" i="25"/>
  <c r="G32" i="25"/>
  <c r="G40" i="25"/>
  <c r="G48" i="25"/>
  <c r="G19" i="25"/>
  <c r="G35" i="25"/>
  <c r="G51" i="25"/>
  <c r="G20" i="25"/>
  <c r="G36" i="25"/>
  <c r="G52" i="25"/>
  <c r="D11" i="25"/>
  <c r="D15" i="25"/>
  <c r="D23" i="25"/>
  <c r="D27" i="25"/>
  <c r="D31" i="25"/>
  <c r="D39" i="25"/>
  <c r="D43" i="25"/>
  <c r="D47" i="25"/>
  <c r="D12" i="25"/>
  <c r="D20" i="25"/>
  <c r="D28" i="25"/>
  <c r="D36" i="25"/>
  <c r="D40" i="25"/>
  <c r="D44" i="25"/>
  <c r="D52" i="25"/>
  <c r="F7" i="25"/>
  <c r="G7" i="25"/>
  <c r="W9" i="25"/>
  <c r="W50" i="25"/>
  <c r="W22" i="25"/>
  <c r="W12" i="25"/>
  <c r="W30" i="25"/>
  <c r="W8" i="25"/>
  <c r="W43" i="25"/>
  <c r="W14" i="25"/>
  <c r="W21" i="25"/>
  <c r="W52" i="25"/>
  <c r="W19" i="25"/>
  <c r="W35" i="25"/>
  <c r="W29" i="25"/>
  <c r="W38" i="25"/>
  <c r="T31" i="25"/>
  <c r="T14" i="25"/>
  <c r="T8" i="25"/>
  <c r="T23" i="25"/>
  <c r="T40" i="25"/>
  <c r="T50" i="25"/>
  <c r="T22" i="25"/>
  <c r="T37" i="25"/>
  <c r="T42" i="25"/>
  <c r="T35" i="25"/>
  <c r="T26" i="25"/>
  <c r="T27" i="25"/>
  <c r="T36" i="25"/>
  <c r="T32" i="25"/>
  <c r="T16" i="25"/>
  <c r="T33" i="25"/>
  <c r="T24" i="25"/>
  <c r="T48" i="25"/>
  <c r="H37" i="30"/>
  <c r="Y10" i="25"/>
  <c r="Y14" i="25"/>
  <c r="Y18" i="25"/>
  <c r="Y22" i="25"/>
  <c r="Y26" i="25"/>
  <c r="Y30" i="25"/>
  <c r="Y34" i="25"/>
  <c r="Y38" i="25"/>
  <c r="Y42" i="25"/>
  <c r="Y46" i="25"/>
  <c r="Y50" i="25"/>
  <c r="Y54" i="25"/>
  <c r="Y13" i="25"/>
  <c r="Y21" i="25"/>
  <c r="Y29" i="25"/>
  <c r="Y37" i="25"/>
  <c r="Y45" i="25"/>
  <c r="Y53" i="25"/>
  <c r="Y6" i="25"/>
  <c r="H23" i="44" s="1"/>
  <c r="Y11" i="25"/>
  <c r="Y15" i="25"/>
  <c r="Y19" i="25"/>
  <c r="Y23" i="25"/>
  <c r="Y27" i="25"/>
  <c r="Y31" i="25"/>
  <c r="Y35" i="25"/>
  <c r="Y39" i="25"/>
  <c r="Y43" i="25"/>
  <c r="Y47" i="25"/>
  <c r="Y51" i="25"/>
  <c r="Y55" i="25"/>
  <c r="Y7" i="25"/>
  <c r="Y12" i="25"/>
  <c r="Y16" i="25"/>
  <c r="Y20" i="25"/>
  <c r="Y24" i="25"/>
  <c r="Y28" i="25"/>
  <c r="Y32" i="25"/>
  <c r="Y36" i="25"/>
  <c r="Y40" i="25"/>
  <c r="Y44" i="25"/>
  <c r="Y48" i="25"/>
  <c r="Y52" i="25"/>
  <c r="Y9" i="25"/>
  <c r="Y17" i="25"/>
  <c r="Y25" i="25"/>
  <c r="Y33" i="25"/>
  <c r="Y41" i="25"/>
  <c r="Y49" i="25"/>
  <c r="AJ8" i="25"/>
  <c r="AG8" i="25"/>
  <c r="AD8" i="25"/>
  <c r="AA7" i="25"/>
  <c r="X8" i="25"/>
  <c r="O7" i="25"/>
  <c r="L7" i="25"/>
  <c r="I8" i="25"/>
  <c r="G75" i="30"/>
  <c r="G68" i="30"/>
  <c r="G74" i="30"/>
  <c r="H52" i="30"/>
  <c r="H51" i="30"/>
  <c r="G69" i="30"/>
  <c r="H53" i="30"/>
  <c r="C75" i="30"/>
  <c r="D53" i="30"/>
  <c r="G70" i="30"/>
  <c r="D52" i="30"/>
  <c r="C74" i="30"/>
  <c r="J68" i="30"/>
  <c r="J69" i="30"/>
  <c r="J70" i="30"/>
  <c r="E74" i="30"/>
  <c r="J74" i="30"/>
  <c r="E75" i="30"/>
  <c r="J75" i="30"/>
  <c r="J51" i="30"/>
  <c r="E52" i="30"/>
  <c r="J52" i="30"/>
  <c r="E53" i="30"/>
  <c r="J53" i="30"/>
  <c r="H68" i="30"/>
  <c r="H69" i="30"/>
  <c r="H70" i="30"/>
  <c r="D74" i="30"/>
  <c r="H74" i="30"/>
  <c r="D75" i="30"/>
  <c r="H75" i="30"/>
  <c r="G51" i="30"/>
  <c r="C52" i="30"/>
  <c r="G52" i="30"/>
  <c r="C53" i="30"/>
  <c r="G53" i="30"/>
  <c r="G47" i="30"/>
  <c r="G37" i="30"/>
  <c r="G22" i="30"/>
  <c r="AD6" i="25"/>
  <c r="G26" i="44" s="1"/>
  <c r="X6" i="25"/>
  <c r="G23" i="44" s="1"/>
  <c r="I6" i="25"/>
  <c r="G18" i="44" s="1"/>
  <c r="H6" i="41" l="1"/>
  <c r="EY6" i="1"/>
  <c r="E6" i="83" s="1"/>
  <c r="I19" i="84" s="1"/>
  <c r="FC6" i="1"/>
  <c r="FF6" i="1" s="1"/>
  <c r="FA6" i="1"/>
  <c r="FE6" i="1" s="1"/>
  <c r="C45" i="30"/>
  <c r="E38" i="30"/>
  <c r="E23" i="30"/>
  <c r="C22" i="30"/>
  <c r="E46" i="30"/>
  <c r="D6" i="25"/>
  <c r="E8" i="44" s="1"/>
  <c r="D6" i="41"/>
  <c r="E22" i="30"/>
  <c r="C23" i="30"/>
  <c r="C46" i="30"/>
  <c r="C38" i="30"/>
  <c r="E37" i="30"/>
  <c r="C47" i="30"/>
  <c r="E47" i="30"/>
  <c r="C37" i="30"/>
  <c r="H46" i="30"/>
  <c r="G45" i="30"/>
  <c r="G38" i="30"/>
  <c r="H29" i="30"/>
  <c r="G29" i="30"/>
  <c r="G17" i="30"/>
  <c r="E55" i="25"/>
  <c r="H17" i="30"/>
  <c r="W44" i="25"/>
  <c r="W10" i="25"/>
  <c r="W25" i="25"/>
  <c r="W28" i="25"/>
  <c r="W46" i="25"/>
  <c r="W47" i="25"/>
  <c r="W13" i="25"/>
  <c r="W27" i="25"/>
  <c r="W36" i="25"/>
  <c r="W18" i="25"/>
  <c r="W34" i="25"/>
  <c r="W48" i="25"/>
  <c r="W11" i="25"/>
  <c r="W6" i="25"/>
  <c r="F36" i="30" s="1"/>
  <c r="W53" i="25"/>
  <c r="W23" i="25"/>
  <c r="W54" i="25"/>
  <c r="T13" i="25"/>
  <c r="T52" i="25"/>
  <c r="T19" i="25"/>
  <c r="T10" i="25"/>
  <c r="T41" i="25"/>
  <c r="T34" i="25"/>
  <c r="T39" i="25"/>
  <c r="T17" i="25"/>
  <c r="T44" i="25"/>
  <c r="T51" i="25"/>
  <c r="T49" i="25"/>
  <c r="T11" i="25"/>
  <c r="T43" i="25"/>
  <c r="T30" i="25"/>
  <c r="T54" i="25"/>
  <c r="T55" i="25"/>
  <c r="T25" i="25"/>
  <c r="T18" i="25"/>
  <c r="T6" i="25"/>
  <c r="T7" i="25"/>
  <c r="I31" i="30"/>
  <c r="I36" i="30"/>
  <c r="W37" i="25"/>
  <c r="W39" i="25"/>
  <c r="W7" i="25"/>
  <c r="W26" i="25"/>
  <c r="W40" i="25"/>
  <c r="W42" i="25"/>
  <c r="W32" i="25"/>
  <c r="W16" i="25"/>
  <c r="W49" i="25"/>
  <c r="W24" i="25"/>
  <c r="W45" i="25"/>
  <c r="W55" i="25"/>
  <c r="W20" i="25"/>
  <c r="W15" i="25"/>
  <c r="T20" i="25"/>
  <c r="T15" i="25"/>
  <c r="T47" i="25"/>
  <c r="T9" i="25"/>
  <c r="T12" i="25"/>
  <c r="T46" i="25"/>
  <c r="T38" i="25"/>
  <c r="T53" i="25"/>
  <c r="T29" i="25"/>
  <c r="T28" i="25"/>
  <c r="T45" i="25"/>
  <c r="T21" i="25"/>
  <c r="D55" i="25"/>
  <c r="AL14" i="25"/>
  <c r="FH6" i="1" l="1"/>
  <c r="FG6" i="1"/>
  <c r="E10" i="30"/>
  <c r="F31" i="30"/>
  <c r="AL41" i="25"/>
  <c r="AL48" i="25"/>
  <c r="AL16" i="25"/>
  <c r="AL21" i="25"/>
  <c r="AL55" i="25"/>
  <c r="AL50" i="25"/>
  <c r="AI14" i="25"/>
  <c r="AF27" i="25"/>
  <c r="Z54" i="25"/>
  <c r="Z39" i="25"/>
  <c r="Z38" i="25"/>
  <c r="Z55" i="25"/>
  <c r="AI30" i="25"/>
  <c r="AF13" i="25"/>
  <c r="AC25" i="25"/>
  <c r="Z37" i="25"/>
  <c r="Q11" i="25"/>
  <c r="Q7" i="25"/>
  <c r="Q52" i="25"/>
  <c r="Q18" i="25"/>
  <c r="Q53" i="25"/>
  <c r="Q19" i="25"/>
  <c r="N48" i="25"/>
  <c r="N41" i="25"/>
  <c r="N36" i="25"/>
  <c r="N10" i="25"/>
  <c r="N37" i="25"/>
  <c r="N44" i="25"/>
  <c r="K49" i="25"/>
  <c r="K29" i="25"/>
  <c r="K11" i="25"/>
  <c r="K21" i="25"/>
  <c r="K55" i="25"/>
  <c r="AC10" i="25"/>
  <c r="AC29" i="25"/>
  <c r="AC50" i="25"/>
  <c r="AC37" i="25"/>
  <c r="AC23" i="25"/>
  <c r="AC48" i="25"/>
  <c r="AC54" i="25"/>
  <c r="AC42" i="25"/>
  <c r="AC39" i="25"/>
  <c r="AC41" i="25"/>
  <c r="AC55" i="25"/>
  <c r="AC45" i="25"/>
  <c r="AC46" i="25"/>
  <c r="AC32" i="25"/>
  <c r="AC13" i="25"/>
  <c r="N6" i="25"/>
  <c r="AL28" i="25"/>
  <c r="AL46" i="25"/>
  <c r="AL10" i="25"/>
  <c r="AL24" i="25"/>
  <c r="AL49" i="25"/>
  <c r="AL33" i="25"/>
  <c r="AL40" i="25"/>
  <c r="AL54" i="25"/>
  <c r="AL31" i="25"/>
  <c r="AL15" i="25"/>
  <c r="AL27" i="25"/>
  <c r="AL38" i="25"/>
  <c r="AL19" i="25"/>
  <c r="AL12" i="25"/>
  <c r="AL13" i="25"/>
  <c r="AL20" i="25"/>
  <c r="AL25" i="25"/>
  <c r="AL34" i="25"/>
  <c r="AL30" i="25"/>
  <c r="AL36" i="25"/>
  <c r="AL45" i="25"/>
  <c r="AL44" i="25"/>
  <c r="AL51" i="25"/>
  <c r="AI20" i="25"/>
  <c r="AI39" i="25"/>
  <c r="AI15" i="25"/>
  <c r="AI22" i="25"/>
  <c r="AI33" i="25"/>
  <c r="AI43" i="25"/>
  <c r="AI50" i="25"/>
  <c r="AI34" i="25"/>
  <c r="AI24" i="25"/>
  <c r="AI18" i="25"/>
  <c r="AI37" i="25"/>
  <c r="AI41" i="25"/>
  <c r="AI46" i="25"/>
  <c r="AI45" i="25"/>
  <c r="AI55" i="25"/>
  <c r="AF33" i="25"/>
  <c r="AF39" i="25"/>
  <c r="AF48" i="25"/>
  <c r="AF29" i="25"/>
  <c r="AF44" i="25"/>
  <c r="AF51" i="25"/>
  <c r="AF55" i="25"/>
  <c r="AF14" i="25"/>
  <c r="AF42" i="25"/>
  <c r="AF49" i="25"/>
  <c r="AF41" i="25"/>
  <c r="AF53" i="25"/>
  <c r="AF17" i="25"/>
  <c r="AF23" i="25"/>
  <c r="Z26" i="25"/>
  <c r="Z50" i="25"/>
  <c r="Z13" i="25"/>
  <c r="Z46" i="25"/>
  <c r="Z51" i="25"/>
  <c r="Z41" i="25"/>
  <c r="Z29" i="25"/>
  <c r="Z9" i="25"/>
  <c r="Z33" i="25"/>
  <c r="Z28" i="25"/>
  <c r="Q36" i="25"/>
  <c r="Q25" i="25"/>
  <c r="Q55" i="25"/>
  <c r="Q27" i="25"/>
  <c r="Q49" i="25"/>
  <c r="Q22" i="25"/>
  <c r="Q16" i="25"/>
  <c r="Q9" i="25"/>
  <c r="Q21" i="25"/>
  <c r="Q38" i="25"/>
  <c r="Q51" i="25"/>
  <c r="Q44" i="25"/>
  <c r="Q54" i="25"/>
  <c r="N40" i="25"/>
  <c r="N24" i="25"/>
  <c r="N46" i="25"/>
  <c r="N8" i="25"/>
  <c r="N39" i="25"/>
  <c r="N15" i="25"/>
  <c r="K54" i="25"/>
  <c r="K23" i="25"/>
  <c r="K39" i="25"/>
  <c r="K42" i="25"/>
  <c r="K53" i="25"/>
  <c r="FI6" i="1" l="1"/>
  <c r="AL22" i="25"/>
  <c r="AL18" i="25"/>
  <c r="AL11" i="25"/>
  <c r="AL7" i="25"/>
  <c r="AL29" i="25"/>
  <c r="AL53" i="25"/>
  <c r="AL26" i="25"/>
  <c r="AL23" i="25"/>
  <c r="AL39" i="25"/>
  <c r="AL42" i="25"/>
  <c r="AL17" i="25"/>
  <c r="AL35" i="25"/>
  <c r="AL37" i="25"/>
  <c r="AL47" i="25"/>
  <c r="AL32" i="25"/>
  <c r="AL52" i="25"/>
  <c r="AL43" i="25"/>
  <c r="AL9" i="25"/>
  <c r="AI36" i="25"/>
  <c r="AI9" i="25"/>
  <c r="AI23" i="25"/>
  <c r="AI16" i="25"/>
  <c r="AI25" i="25"/>
  <c r="AI28" i="25"/>
  <c r="AI27" i="25"/>
  <c r="AI32" i="25"/>
  <c r="AI29" i="25"/>
  <c r="AI10" i="25"/>
  <c r="AI52" i="25"/>
  <c r="AI44" i="25"/>
  <c r="AI31" i="25"/>
  <c r="AI42" i="25"/>
  <c r="AI51" i="25"/>
  <c r="AI26" i="25"/>
  <c r="AI35" i="25"/>
  <c r="AF20" i="25"/>
  <c r="AF30" i="25"/>
  <c r="AF22" i="25"/>
  <c r="AF40" i="25"/>
  <c r="AF28" i="25"/>
  <c r="AF52" i="25"/>
  <c r="AF46" i="25"/>
  <c r="AF38" i="25"/>
  <c r="AF18" i="25"/>
  <c r="AF50" i="25"/>
  <c r="AF25" i="25"/>
  <c r="AF43" i="25"/>
  <c r="AF47" i="25"/>
  <c r="AF31" i="25"/>
  <c r="AF36" i="25"/>
  <c r="AF11" i="25"/>
  <c r="AF19" i="25"/>
  <c r="AF15" i="25"/>
  <c r="AF21" i="25"/>
  <c r="AF16" i="25"/>
  <c r="AC38" i="25"/>
  <c r="AC47" i="25"/>
  <c r="AC14" i="25"/>
  <c r="AC18" i="25"/>
  <c r="AC24" i="25"/>
  <c r="AC33" i="25"/>
  <c r="AC7" i="25"/>
  <c r="AC20" i="25"/>
  <c r="AC30" i="25"/>
  <c r="AC31" i="25"/>
  <c r="AC16" i="25"/>
  <c r="AC49" i="25"/>
  <c r="AC52" i="25"/>
  <c r="AC44" i="25"/>
  <c r="AC22" i="25"/>
  <c r="AC17" i="25"/>
  <c r="AC15" i="25"/>
  <c r="AC35" i="25"/>
  <c r="AC51" i="25"/>
  <c r="Z25" i="25"/>
  <c r="Z35" i="25"/>
  <c r="Z20" i="25"/>
  <c r="Z18" i="25"/>
  <c r="Z30" i="25"/>
  <c r="Z16" i="25"/>
  <c r="Z27" i="25"/>
  <c r="Z34" i="25"/>
  <c r="Z22" i="25"/>
  <c r="Z48" i="25"/>
  <c r="Z19" i="25"/>
  <c r="Z15" i="25"/>
  <c r="Z44" i="25"/>
  <c r="Q46" i="25"/>
  <c r="Q42" i="25"/>
  <c r="Q17" i="25"/>
  <c r="Q39" i="25"/>
  <c r="Q35" i="25"/>
  <c r="Q13" i="25"/>
  <c r="Q34" i="25"/>
  <c r="Q33" i="25"/>
  <c r="Q30" i="25"/>
  <c r="Q24" i="25"/>
  <c r="Q45" i="25"/>
  <c r="Q40" i="25"/>
  <c r="Q41" i="25"/>
  <c r="Q47" i="25"/>
  <c r="Q23" i="25"/>
  <c r="Q32" i="25"/>
  <c r="Q48" i="25"/>
  <c r="Q28" i="25"/>
  <c r="Q31" i="25"/>
  <c r="Q26" i="25"/>
  <c r="N34" i="25"/>
  <c r="N11" i="25"/>
  <c r="N19" i="25"/>
  <c r="N51" i="25"/>
  <c r="N35" i="25"/>
  <c r="N25" i="25"/>
  <c r="N31" i="25"/>
  <c r="N32" i="25"/>
  <c r="K12" i="25"/>
  <c r="K47" i="25"/>
  <c r="K50" i="25"/>
  <c r="K51" i="25"/>
  <c r="K32" i="25"/>
  <c r="AL6" i="25"/>
  <c r="AI6" i="25"/>
  <c r="AI8" i="25"/>
  <c r="AF7" i="25"/>
  <c r="AF6" i="25"/>
  <c r="F45" i="30" s="1"/>
  <c r="AC6" i="25"/>
  <c r="F38" i="30" s="1"/>
  <c r="Z8" i="25"/>
  <c r="I46" i="30"/>
  <c r="I22" i="30"/>
  <c r="AI7" i="25"/>
  <c r="AI17" i="25"/>
  <c r="AI12" i="25"/>
  <c r="AI19" i="25"/>
  <c r="AI11" i="25"/>
  <c r="AI49" i="25"/>
  <c r="AI21" i="25"/>
  <c r="AI38" i="25"/>
  <c r="AI48" i="25"/>
  <c r="AI53" i="25"/>
  <c r="AI40" i="25"/>
  <c r="AI47" i="25"/>
  <c r="AI13" i="25"/>
  <c r="AI54" i="25"/>
  <c r="AF54" i="25"/>
  <c r="AF32" i="25"/>
  <c r="AF37" i="25"/>
  <c r="AF24" i="25"/>
  <c r="AF10" i="25"/>
  <c r="AF35" i="25"/>
  <c r="AF45" i="25"/>
  <c r="AF9" i="25"/>
  <c r="AF26" i="25"/>
  <c r="AF34" i="25"/>
  <c r="AF12" i="25"/>
  <c r="AC36" i="25"/>
  <c r="AC12" i="25"/>
  <c r="AC43" i="25"/>
  <c r="AC28" i="25"/>
  <c r="AC11" i="25"/>
  <c r="AC8" i="25"/>
  <c r="AC34" i="25"/>
  <c r="AC19" i="25"/>
  <c r="AC27" i="25"/>
  <c r="AC9" i="25"/>
  <c r="AC53" i="25"/>
  <c r="AC40" i="25"/>
  <c r="AC26" i="25"/>
  <c r="AC21" i="25"/>
  <c r="Z36" i="25"/>
  <c r="Z11" i="25"/>
  <c r="Z49" i="25"/>
  <c r="Z32" i="25"/>
  <c r="Z17" i="25"/>
  <c r="Z45" i="25"/>
  <c r="Z42" i="25"/>
  <c r="Z10" i="25"/>
  <c r="Z6" i="25"/>
  <c r="Z52" i="25"/>
  <c r="Z53" i="25"/>
  <c r="Z31" i="25"/>
  <c r="Z14" i="25"/>
  <c r="Z43" i="25"/>
  <c r="Z47" i="25"/>
  <c r="Z24" i="25"/>
  <c r="Z12" i="25"/>
  <c r="Z21" i="25"/>
  <c r="Z7" i="25"/>
  <c r="Z40" i="25"/>
  <c r="Z23" i="25"/>
  <c r="Q14" i="25"/>
  <c r="Q43" i="25"/>
  <c r="Q50" i="25"/>
  <c r="Q12" i="25"/>
  <c r="Q37" i="25"/>
  <c r="Q20" i="25"/>
  <c r="Q10" i="25"/>
  <c r="Q15" i="25"/>
  <c r="Q8" i="25"/>
  <c r="Q29" i="25"/>
  <c r="N26" i="25"/>
  <c r="N23" i="25"/>
  <c r="N30" i="25"/>
  <c r="N29" i="25"/>
  <c r="N50" i="25"/>
  <c r="N13" i="25"/>
  <c r="N47" i="25"/>
  <c r="N33" i="25"/>
  <c r="N20" i="25"/>
  <c r="N54" i="25"/>
  <c r="N49" i="25"/>
  <c r="N43" i="25"/>
  <c r="N9" i="25"/>
  <c r="N42" i="25"/>
  <c r="N22" i="25"/>
  <c r="N52" i="25"/>
  <c r="N12" i="25"/>
  <c r="N21" i="25"/>
  <c r="N53" i="25"/>
  <c r="N7" i="25"/>
  <c r="F23" i="30" s="1"/>
  <c r="K14" i="25"/>
  <c r="K36" i="25"/>
  <c r="K9" i="25"/>
  <c r="K27" i="25"/>
  <c r="K40" i="25"/>
  <c r="I37" i="30"/>
  <c r="N27" i="25"/>
  <c r="N17" i="25"/>
  <c r="N14" i="25"/>
  <c r="N55" i="25"/>
  <c r="N45" i="25"/>
  <c r="N16" i="25"/>
  <c r="N38" i="25"/>
  <c r="N28" i="25"/>
  <c r="N18" i="25"/>
  <c r="K46" i="25"/>
  <c r="K10" i="25"/>
  <c r="K26" i="25"/>
  <c r="K48" i="25"/>
  <c r="K30" i="25"/>
  <c r="K35" i="25"/>
  <c r="K17" i="25"/>
  <c r="K8" i="25"/>
  <c r="K38" i="25"/>
  <c r="K6" i="25"/>
  <c r="F22" i="30" s="1"/>
  <c r="K7" i="25"/>
  <c r="K43" i="25"/>
  <c r="K18" i="25"/>
  <c r="K22" i="25"/>
  <c r="K20" i="25"/>
  <c r="K24" i="25"/>
  <c r="K25" i="25"/>
  <c r="K33" i="25"/>
  <c r="K15" i="25"/>
  <c r="K37" i="25"/>
  <c r="K16" i="25"/>
  <c r="K52" i="25"/>
  <c r="K44" i="25"/>
  <c r="K31" i="25"/>
  <c r="K34" i="25"/>
  <c r="K28" i="25"/>
  <c r="K41" i="25"/>
  <c r="K13" i="25"/>
  <c r="K19" i="25"/>
  <c r="K45" i="25"/>
  <c r="AL8" i="25"/>
  <c r="AF8" i="25"/>
  <c r="FJ6" i="1" l="1"/>
  <c r="FD6" i="1" s="1"/>
  <c r="F6" i="83" s="1"/>
  <c r="J19" i="84" s="1"/>
  <c r="F47" i="30"/>
  <c r="F46" i="30"/>
  <c r="F37" i="30"/>
  <c r="I47" i="30"/>
  <c r="I45" i="30"/>
  <c r="I38" i="30"/>
  <c r="I29" i="30"/>
  <c r="I23" i="30"/>
  <c r="I17" i="30"/>
  <c r="F6" i="25" l="1"/>
  <c r="G17" i="44" s="1"/>
  <c r="G6" i="25"/>
  <c r="H17" i="44" s="1"/>
  <c r="E17" i="30" l="1"/>
  <c r="C17" i="30"/>
  <c r="H16" i="25"/>
  <c r="H47" i="25"/>
  <c r="H23" i="25"/>
  <c r="H46" i="25"/>
  <c r="H44" i="25"/>
  <c r="H48" i="25"/>
  <c r="H31" i="25"/>
  <c r="H55" i="25"/>
  <c r="H22" i="25"/>
  <c r="H43" i="25"/>
  <c r="H51" i="25"/>
  <c r="H54" i="25"/>
  <c r="H34" i="25"/>
  <c r="H37" i="25"/>
  <c r="H25" i="25"/>
  <c r="H21" i="25"/>
  <c r="H38" i="25"/>
  <c r="H13" i="25"/>
  <c r="H20" i="25"/>
  <c r="H39" i="25"/>
  <c r="H32" i="25"/>
  <c r="H18" i="25"/>
  <c r="H9" i="25"/>
  <c r="H30" i="25"/>
  <c r="H49" i="25"/>
  <c r="H42" i="25"/>
  <c r="H12" i="25"/>
  <c r="H24" i="25"/>
  <c r="H45" i="25"/>
  <c r="H27" i="25"/>
  <c r="H19" i="25"/>
  <c r="H53" i="25"/>
  <c r="H28" i="25"/>
  <c r="H41" i="25"/>
  <c r="H17" i="25"/>
  <c r="H33" i="25"/>
  <c r="H8" i="25"/>
  <c r="H29" i="25"/>
  <c r="H52" i="25"/>
  <c r="H36" i="25"/>
  <c r="H15" i="25"/>
  <c r="H26" i="25"/>
  <c r="H10" i="25"/>
  <c r="H35" i="25"/>
  <c r="H11" i="25"/>
  <c r="H50" i="25"/>
  <c r="H14" i="25"/>
  <c r="H40" i="25"/>
  <c r="H7" i="25"/>
  <c r="H6" i="25" l="1"/>
  <c r="F17" i="30" s="1"/>
  <c r="BG5" i="11"/>
  <c r="BH5" i="11" s="1"/>
  <c r="BL5" i="11" s="1"/>
  <c r="O6" i="41"/>
  <c r="BU6" i="41" s="1"/>
  <c r="BE5" i="11"/>
  <c r="BF5" i="11" s="1"/>
  <c r="BK5" i="11" s="1"/>
  <c r="BN5" i="11" l="1"/>
  <c r="BM5" i="11"/>
  <c r="BZ5" i="11"/>
  <c r="CA5" i="11" s="1"/>
  <c r="CA3" i="11" s="1"/>
  <c r="CA6" i="11" s="1"/>
  <c r="BT6" i="41"/>
  <c r="BV6" i="41"/>
  <c r="BW36" i="41" s="1"/>
  <c r="O6" i="25"/>
  <c r="G20" i="44" s="1"/>
  <c r="BD5" i="11"/>
  <c r="CG6" i="13" l="1"/>
  <c r="O16" i="9" s="1"/>
  <c r="P5" i="9" s="1"/>
  <c r="M20" i="9" s="1"/>
  <c r="BO5" i="11"/>
  <c r="BP5" i="11" s="1"/>
  <c r="BI5" i="11" s="1"/>
  <c r="Q6" i="25" s="1"/>
  <c r="F29" i="30" s="1"/>
  <c r="BW7" i="41"/>
  <c r="BW6" i="41"/>
  <c r="BW44" i="41"/>
  <c r="BW22" i="41"/>
  <c r="BW28" i="41"/>
  <c r="BW8" i="41"/>
  <c r="BW47" i="41"/>
  <c r="BW53" i="41"/>
  <c r="BW41" i="41"/>
  <c r="BW49" i="41"/>
  <c r="BW43" i="41"/>
  <c r="BW9" i="41"/>
  <c r="BW34" i="41"/>
  <c r="BW19" i="41"/>
  <c r="BW17" i="41"/>
  <c r="BW38" i="41"/>
  <c r="BW15" i="41"/>
  <c r="BW31" i="41"/>
  <c r="BW18" i="41"/>
  <c r="BW14" i="41"/>
  <c r="BW25" i="41"/>
  <c r="BW50" i="41"/>
  <c r="BW32" i="41"/>
  <c r="BW54" i="41"/>
  <c r="BW46" i="41"/>
  <c r="BW39" i="41"/>
  <c r="BW11" i="41"/>
  <c r="BW40" i="41"/>
  <c r="BW48" i="41"/>
  <c r="BW33" i="41"/>
  <c r="BW12" i="41"/>
  <c r="BW21" i="41"/>
  <c r="BW16" i="41"/>
  <c r="BW42" i="41"/>
  <c r="BW30" i="41"/>
  <c r="BW37" i="41"/>
  <c r="BW20" i="41"/>
  <c r="BW27" i="41"/>
  <c r="BW26" i="41"/>
  <c r="BW45" i="41"/>
  <c r="BW55" i="41"/>
  <c r="BW23" i="41"/>
  <c r="BW10" i="41"/>
  <c r="BW13" i="41"/>
  <c r="BW51" i="41"/>
  <c r="BW29" i="41"/>
  <c r="BW52" i="41"/>
  <c r="BW24" i="41"/>
  <c r="BW35" i="41"/>
  <c r="C29" i="30"/>
  <c r="P6" i="41"/>
  <c r="P6" i="25"/>
  <c r="H20" i="44" s="1"/>
  <c r="Q6" i="41" l="1"/>
  <c r="E29" i="30"/>
  <c r="O10" i="96"/>
  <c r="O16" i="96"/>
  <c r="O15" i="96"/>
  <c r="O14" i="96"/>
  <c r="O13" i="96"/>
  <c r="O12" i="96"/>
  <c r="O11" i="96"/>
  <c r="G48" i="96"/>
  <c r="M48" i="96" s="1"/>
  <c r="G108" i="96"/>
  <c r="M108" i="96" s="1"/>
  <c r="G105" i="96"/>
  <c r="M105" i="96" s="1"/>
  <c r="G101" i="96"/>
  <c r="M101" i="96" s="1"/>
  <c r="G97" i="96"/>
  <c r="M97" i="96" s="1"/>
  <c r="G94" i="96"/>
  <c r="M94" i="96" s="1"/>
  <c r="G89" i="96"/>
  <c r="M89" i="96" s="1"/>
  <c r="G86" i="96"/>
  <c r="M86" i="96" s="1"/>
  <c r="G82" i="96"/>
  <c r="M82" i="96" s="1"/>
  <c r="G78" i="96"/>
  <c r="M78" i="96" s="1"/>
  <c r="G74" i="96"/>
  <c r="M74" i="96" s="1"/>
  <c r="G69" i="96"/>
  <c r="M69" i="96" s="1"/>
  <c r="G65" i="96"/>
  <c r="M65" i="96" s="1"/>
  <c r="G62" i="96"/>
  <c r="M62" i="96" s="1"/>
  <c r="G58" i="96"/>
  <c r="M58" i="96" s="1"/>
  <c r="G54" i="96"/>
  <c r="M54" i="96" s="1"/>
  <c r="G50" i="96"/>
  <c r="M50" i="96" s="1"/>
  <c r="G44" i="96"/>
  <c r="M44" i="96" s="1"/>
  <c r="G40" i="96"/>
  <c r="M40" i="96" s="1"/>
  <c r="G37" i="96"/>
  <c r="M37" i="96" s="1"/>
  <c r="G33" i="96"/>
  <c r="M33" i="96" s="1"/>
  <c r="G29" i="96"/>
  <c r="M29" i="96" s="1"/>
  <c r="G21" i="96"/>
  <c r="M21" i="96" s="1"/>
  <c r="G41" i="96"/>
  <c r="G49" i="96"/>
  <c r="G57" i="96"/>
  <c r="G73" i="96"/>
  <c r="G81" i="96"/>
  <c r="G93" i="96"/>
  <c r="G18" i="96"/>
  <c r="M18" i="96" s="1"/>
  <c r="G26" i="96"/>
  <c r="M26" i="96" s="1"/>
  <c r="G34" i="96"/>
  <c r="M34" i="96" s="1"/>
  <c r="G66" i="96"/>
  <c r="G98" i="96"/>
  <c r="G107" i="96"/>
  <c r="G92" i="96"/>
  <c r="G83" i="96"/>
  <c r="G72" i="96"/>
  <c r="G56" i="96"/>
  <c r="G47" i="96"/>
  <c r="G104" i="96"/>
  <c r="G64" i="96"/>
  <c r="G39" i="96"/>
  <c r="G19" i="96"/>
  <c r="G20" i="96"/>
  <c r="G28" i="96"/>
  <c r="G36" i="96"/>
  <c r="G103" i="96"/>
  <c r="G88" i="96"/>
  <c r="M88" i="96" s="1"/>
  <c r="G71" i="96"/>
  <c r="G55" i="96"/>
  <c r="M55" i="96" s="1"/>
  <c r="G38" i="96"/>
  <c r="G25" i="96"/>
  <c r="M25" i="96" s="1"/>
  <c r="G77" i="96"/>
  <c r="M77" i="96" s="1"/>
  <c r="G30" i="96"/>
  <c r="M30" i="96" s="1"/>
  <c r="G100" i="96"/>
  <c r="M100" i="96" s="1"/>
  <c r="G51" i="96"/>
  <c r="G96" i="96"/>
  <c r="G99" i="96"/>
  <c r="G84" i="96"/>
  <c r="M84" i="96" s="1"/>
  <c r="G67" i="96"/>
  <c r="G52" i="96"/>
  <c r="M52" i="96" s="1"/>
  <c r="G35" i="96"/>
  <c r="G45" i="96"/>
  <c r="G85" i="96"/>
  <c r="M85" i="96" s="1"/>
  <c r="G42" i="96"/>
  <c r="G87" i="96"/>
  <c r="M87" i="96" s="1"/>
  <c r="G90" i="96"/>
  <c r="G106" i="96"/>
  <c r="M106" i="96" s="1"/>
  <c r="G95" i="96"/>
  <c r="M95" i="96" s="1"/>
  <c r="G91" i="96"/>
  <c r="M91" i="96" s="1"/>
  <c r="G80" i="96"/>
  <c r="M80" i="96" s="1"/>
  <c r="G76" i="96"/>
  <c r="M76" i="96" s="1"/>
  <c r="G63" i="96"/>
  <c r="M63" i="96" s="1"/>
  <c r="G59" i="96"/>
  <c r="M59" i="96" s="1"/>
  <c r="G46" i="96"/>
  <c r="M46" i="96" s="1"/>
  <c r="G43" i="96"/>
  <c r="M43" i="96" s="1"/>
  <c r="G31" i="96"/>
  <c r="M31" i="96" s="1"/>
  <c r="G27" i="96"/>
  <c r="M27" i="96" s="1"/>
  <c r="G53" i="96"/>
  <c r="M53" i="96" s="1"/>
  <c r="G61" i="96"/>
  <c r="M61" i="96" s="1"/>
  <c r="G109" i="96"/>
  <c r="M109" i="96" s="1"/>
  <c r="G22" i="96"/>
  <c r="M22" i="96" s="1"/>
  <c r="G70" i="96"/>
  <c r="M70" i="96" s="1"/>
  <c r="G102" i="96"/>
  <c r="M102" i="96" s="1"/>
  <c r="G75" i="96"/>
  <c r="M75" i="96" s="1"/>
  <c r="G68" i="96"/>
  <c r="M68" i="96" s="1"/>
  <c r="G79" i="96"/>
  <c r="M79" i="96" s="1"/>
  <c r="G60" i="96"/>
  <c r="M60" i="96" s="1"/>
  <c r="G23" i="96"/>
  <c r="M23" i="96" s="1"/>
  <c r="G24" i="96"/>
  <c r="M24" i="96" s="1"/>
  <c r="G32" i="96"/>
  <c r="M32" i="96" s="1"/>
  <c r="G17" i="96"/>
  <c r="O35" i="96" l="1"/>
  <c r="M35" i="96"/>
  <c r="O99" i="96"/>
  <c r="M99" i="96"/>
  <c r="O36" i="96"/>
  <c r="M36" i="96"/>
  <c r="O39" i="96"/>
  <c r="M39" i="96"/>
  <c r="O56" i="96"/>
  <c r="M56" i="96"/>
  <c r="O107" i="96"/>
  <c r="M107" i="96"/>
  <c r="O73" i="96"/>
  <c r="M73" i="96"/>
  <c r="O42" i="96"/>
  <c r="M42" i="96"/>
  <c r="O96" i="96"/>
  <c r="M96" i="96"/>
  <c r="O71" i="96"/>
  <c r="M71" i="96"/>
  <c r="O28" i="96"/>
  <c r="M28" i="96"/>
  <c r="O64" i="96"/>
  <c r="M64" i="96"/>
  <c r="O72" i="96"/>
  <c r="M72" i="96"/>
  <c r="O98" i="96"/>
  <c r="M98" i="96"/>
  <c r="O57" i="96"/>
  <c r="M57" i="96"/>
  <c r="O17" i="96"/>
  <c r="M17" i="96"/>
  <c r="O67" i="96"/>
  <c r="M67" i="96"/>
  <c r="O51" i="96"/>
  <c r="M51" i="96"/>
  <c r="O20" i="96"/>
  <c r="M20" i="96"/>
  <c r="O104" i="96"/>
  <c r="M104" i="96"/>
  <c r="O83" i="96"/>
  <c r="M83" i="96"/>
  <c r="O66" i="96"/>
  <c r="M66" i="96"/>
  <c r="O93" i="96"/>
  <c r="M93" i="96"/>
  <c r="O49" i="96"/>
  <c r="M49" i="96"/>
  <c r="O90" i="96"/>
  <c r="M90" i="96"/>
  <c r="O45" i="96"/>
  <c r="M45" i="96"/>
  <c r="O38" i="96"/>
  <c r="M38" i="96"/>
  <c r="O103" i="96"/>
  <c r="M103" i="96"/>
  <c r="O19" i="96"/>
  <c r="M19" i="96"/>
  <c r="O47" i="96"/>
  <c r="M47" i="96"/>
  <c r="O92" i="96"/>
  <c r="M92" i="96"/>
  <c r="O81" i="96"/>
  <c r="M81" i="96"/>
  <c r="O41" i="96"/>
  <c r="M41" i="96"/>
  <c r="O60" i="96"/>
  <c r="O102" i="96"/>
  <c r="O61" i="96"/>
  <c r="O43" i="96"/>
  <c r="O76" i="96"/>
  <c r="O106" i="96"/>
  <c r="O32" i="96"/>
  <c r="O79" i="96"/>
  <c r="O70" i="96"/>
  <c r="O53" i="96"/>
  <c r="O46" i="96"/>
  <c r="O80" i="96"/>
  <c r="O24" i="96"/>
  <c r="O68" i="96"/>
  <c r="O22" i="96"/>
  <c r="O27" i="96"/>
  <c r="O59" i="96"/>
  <c r="O91" i="96"/>
  <c r="O23" i="96"/>
  <c r="O75" i="96"/>
  <c r="O109" i="96"/>
  <c r="O31" i="96"/>
  <c r="O63" i="96"/>
  <c r="O95" i="96"/>
  <c r="O52" i="96"/>
  <c r="O84" i="96"/>
  <c r="O100" i="96"/>
  <c r="O77" i="96"/>
  <c r="O34" i="96"/>
  <c r="O18" i="96"/>
  <c r="O29" i="96"/>
  <c r="O37" i="96"/>
  <c r="O44" i="96"/>
  <c r="O54" i="96"/>
  <c r="O62" i="96"/>
  <c r="O69" i="96"/>
  <c r="O78" i="96"/>
  <c r="O86" i="96"/>
  <c r="O94" i="96"/>
  <c r="O101" i="96"/>
  <c r="O108" i="96"/>
  <c r="O87" i="96"/>
  <c r="O85" i="96"/>
  <c r="O30" i="96"/>
  <c r="O25" i="96"/>
  <c r="O55" i="96"/>
  <c r="O88" i="96"/>
  <c r="O26" i="96"/>
  <c r="O21" i="96"/>
  <c r="O33" i="96"/>
  <c r="O40" i="96"/>
  <c r="O50" i="96"/>
  <c r="O58" i="96"/>
  <c r="O65" i="96"/>
  <c r="O74" i="96"/>
  <c r="O82" i="96"/>
  <c r="O89" i="96"/>
  <c r="O97" i="96"/>
  <c r="O105" i="96"/>
  <c r="O48" i="96"/>
  <c r="CD11" i="96" l="1"/>
  <c r="R6" i="5" s="1"/>
  <c r="BR54" i="96"/>
  <c r="F49" i="5" s="1"/>
  <c r="BR22" i="96"/>
  <c r="F17" i="5" s="1"/>
  <c r="BR50" i="96"/>
  <c r="F45" i="5" s="1"/>
  <c r="BR53" i="96"/>
  <c r="F48" i="5" s="1"/>
  <c r="BR40" i="96"/>
  <c r="F35" i="5" s="1"/>
  <c r="BX10" i="96"/>
  <c r="L5" i="5" s="1"/>
  <c r="BZ16" i="96"/>
  <c r="N11" i="5" s="1"/>
  <c r="BZ56" i="96"/>
  <c r="N51" i="5" s="1"/>
  <c r="BT58" i="96"/>
  <c r="H53" i="5" s="1"/>
  <c r="BX27" i="96"/>
  <c r="L22" i="5" s="1"/>
  <c r="BT41" i="96"/>
  <c r="H36" i="5" s="1"/>
  <c r="CC11" i="96"/>
  <c r="Q6" i="5" s="1"/>
  <c r="AG6" i="5" s="1"/>
  <c r="CC46" i="96"/>
  <c r="Q41" i="5" s="1"/>
  <c r="CC43" i="96"/>
  <c r="Q38" i="5" s="1"/>
  <c r="CC31" i="96"/>
  <c r="Q26" i="5" s="1"/>
  <c r="CC26" i="96"/>
  <c r="Q21" i="5" s="1"/>
  <c r="CC32" i="96"/>
  <c r="Q27" i="5" s="1"/>
  <c r="CC42" i="96"/>
  <c r="Q37" i="5" s="1"/>
  <c r="CC10" i="96"/>
  <c r="Q5" i="5" s="1"/>
  <c r="CC39" i="96"/>
  <c r="Q34" i="5" s="1"/>
  <c r="CC35" i="96"/>
  <c r="Q30" i="5" s="1"/>
  <c r="CC48" i="96"/>
  <c r="Q43" i="5" s="1"/>
  <c r="CC58" i="96"/>
  <c r="Q53" i="5" s="1"/>
  <c r="CC30" i="96"/>
  <c r="Q25" i="5" s="1"/>
  <c r="CC37" i="96"/>
  <c r="Q32" i="5" s="1"/>
  <c r="CC13" i="96"/>
  <c r="Q8" i="5" s="1"/>
  <c r="CC27" i="96"/>
  <c r="Q22" i="5" s="1"/>
  <c r="CC17" i="96"/>
  <c r="Q12" i="5" s="1"/>
  <c r="CC25" i="96"/>
  <c r="Q20" i="5" s="1"/>
  <c r="CC19" i="96"/>
  <c r="Q14" i="5" s="1"/>
  <c r="CC12" i="96"/>
  <c r="Q7" i="5" s="1"/>
  <c r="CC47" i="96"/>
  <c r="Q42" i="5" s="1"/>
  <c r="CC22" i="96"/>
  <c r="Q17" i="5" s="1"/>
  <c r="CC53" i="96"/>
  <c r="Q48" i="5" s="1"/>
  <c r="CC33" i="96"/>
  <c r="Q28" i="5" s="1"/>
  <c r="CC18" i="96"/>
  <c r="Q13" i="5" s="1"/>
  <c r="CC45" i="96"/>
  <c r="Q40" i="5" s="1"/>
  <c r="CC28" i="96"/>
  <c r="Q23" i="5" s="1"/>
  <c r="CC16" i="96"/>
  <c r="Q11" i="5" s="1"/>
  <c r="CC20" i="96"/>
  <c r="Q15" i="5" s="1"/>
  <c r="CC54" i="96"/>
  <c r="Q49" i="5" s="1"/>
  <c r="CC23" i="96"/>
  <c r="Q18" i="5" s="1"/>
  <c r="CC44" i="96"/>
  <c r="Q39" i="5" s="1"/>
  <c r="CC34" i="96"/>
  <c r="Q29" i="5" s="1"/>
  <c r="CC49" i="96"/>
  <c r="Q44" i="5" s="1"/>
  <c r="CC15" i="96"/>
  <c r="Q10" i="5" s="1"/>
  <c r="CC51" i="96"/>
  <c r="Q46" i="5" s="1"/>
  <c r="CC24" i="96"/>
  <c r="Q19" i="5" s="1"/>
  <c r="CC50" i="96"/>
  <c r="Q45" i="5" s="1"/>
  <c r="CC38" i="96"/>
  <c r="Q33" i="5" s="1"/>
  <c r="CC21" i="96"/>
  <c r="Q16" i="5" s="1"/>
  <c r="CC52" i="96"/>
  <c r="Q47" i="5" s="1"/>
  <c r="CC29" i="96"/>
  <c r="Q24" i="5" s="1"/>
  <c r="CC56" i="96"/>
  <c r="Q51" i="5" s="1"/>
  <c r="CC36" i="96"/>
  <c r="Q31" i="5" s="1"/>
  <c r="CC55" i="96"/>
  <c r="Q50" i="5" s="1"/>
  <c r="CC57" i="96"/>
  <c r="Q52" i="5" s="1"/>
  <c r="CC14" i="96"/>
  <c r="Q9" i="5" s="1"/>
  <c r="CC40" i="96"/>
  <c r="Q35" i="5" s="1"/>
  <c r="CC41" i="96"/>
  <c r="Q36" i="5" s="1"/>
  <c r="CA40" i="96"/>
  <c r="O35" i="5" s="1"/>
  <c r="CA57" i="96"/>
  <c r="O52" i="5" s="1"/>
  <c r="CA19" i="96"/>
  <c r="O14" i="5" s="1"/>
  <c r="BS26" i="96"/>
  <c r="G21" i="5" s="1"/>
  <c r="CA22" i="96"/>
  <c r="O17" i="5" s="1"/>
  <c r="CA26" i="96"/>
  <c r="O21" i="5" s="1"/>
  <c r="BU24" i="96"/>
  <c r="I19" i="5" s="1"/>
  <c r="BU53" i="96"/>
  <c r="I48" i="5" s="1"/>
  <c r="CA38" i="96"/>
  <c r="O33" i="5" s="1"/>
  <c r="BU35" i="96"/>
  <c r="I30" i="5" s="1"/>
  <c r="BU48" i="96"/>
  <c r="I43" i="5" s="1"/>
  <c r="BW27" i="96"/>
  <c r="BY32" i="96"/>
  <c r="M27" i="5" s="1"/>
  <c r="BY11" i="96"/>
  <c r="M6" i="5" s="1"/>
  <c r="BU47" i="96"/>
  <c r="I42" i="5" s="1"/>
  <c r="CA53" i="96"/>
  <c r="O48" i="5" s="1"/>
  <c r="BW14" i="96"/>
  <c r="K9" i="5" s="1"/>
  <c r="BS36" i="96"/>
  <c r="G31" i="5" s="1"/>
  <c r="BS11" i="96"/>
  <c r="G6" i="5" s="1"/>
  <c r="CA54" i="96"/>
  <c r="O49" i="5" s="1"/>
  <c r="BW16" i="96"/>
  <c r="K11" i="5" s="1"/>
  <c r="BW56" i="96"/>
  <c r="K51" i="5" s="1"/>
  <c r="CA44" i="96"/>
  <c r="O39" i="5" s="1"/>
  <c r="BY30" i="96"/>
  <c r="M25" i="5" s="1"/>
  <c r="BU29" i="96"/>
  <c r="I24" i="5" s="1"/>
  <c r="BW11" i="96"/>
  <c r="K6" i="5" s="1"/>
  <c r="CA25" i="96"/>
  <c r="O20" i="5" s="1"/>
  <c r="BY17" i="96"/>
  <c r="M12" i="5" s="1"/>
  <c r="CA21" i="96"/>
  <c r="O16" i="5" s="1"/>
  <c r="CA20" i="96"/>
  <c r="O15" i="5" s="1"/>
  <c r="BS47" i="96"/>
  <c r="G42" i="5" s="1"/>
  <c r="BY43" i="96"/>
  <c r="M38" i="5" s="1"/>
  <c r="CA12" i="96"/>
  <c r="O7" i="5" s="1"/>
  <c r="BS29" i="96"/>
  <c r="G24" i="5" s="1"/>
  <c r="BU33" i="96"/>
  <c r="I28" i="5" s="1"/>
  <c r="BW23" i="96"/>
  <c r="K18" i="5" s="1"/>
  <c r="CA28" i="96"/>
  <c r="O23" i="5" s="1"/>
  <c r="CA37" i="96"/>
  <c r="O32" i="5" s="1"/>
  <c r="BS28" i="96"/>
  <c r="G23" i="5" s="1"/>
  <c r="CA55" i="96"/>
  <c r="O50" i="5" s="1"/>
  <c r="BS13" i="96"/>
  <c r="G8" i="5" s="1"/>
  <c r="CA29" i="96"/>
  <c r="O24" i="5" s="1"/>
  <c r="BW35" i="96"/>
  <c r="K30" i="5" s="1"/>
  <c r="BW12" i="96"/>
  <c r="K7" i="5" s="1"/>
  <c r="BY16" i="96"/>
  <c r="M11" i="5" s="1"/>
  <c r="CA34" i="96"/>
  <c r="O29" i="5" s="1"/>
  <c r="CA51" i="96"/>
  <c r="O46" i="5" s="1"/>
  <c r="CA39" i="96"/>
  <c r="O34" i="5" s="1"/>
  <c r="CA52" i="96"/>
  <c r="O47" i="5" s="1"/>
  <c r="CA48" i="96"/>
  <c r="O43" i="5" s="1"/>
  <c r="BU12" i="96"/>
  <c r="I7" i="5" s="1"/>
  <c r="BY52" i="96"/>
  <c r="M47" i="5" s="1"/>
  <c r="BY21" i="96"/>
  <c r="M16" i="5" s="1"/>
  <c r="BU13" i="96"/>
  <c r="I8" i="5" s="1"/>
  <c r="BU45" i="96"/>
  <c r="I40" i="5" s="1"/>
  <c r="CA33" i="96"/>
  <c r="O28" i="5" s="1"/>
  <c r="CA31" i="96"/>
  <c r="O26" i="5" s="1"/>
  <c r="BS39" i="96"/>
  <c r="G34" i="5" s="1"/>
  <c r="BS20" i="96"/>
  <c r="G15" i="5" s="1"/>
  <c r="BY13" i="96"/>
  <c r="M8" i="5" s="1"/>
  <c r="BU26" i="96"/>
  <c r="I21" i="5" s="1"/>
  <c r="CA17" i="96"/>
  <c r="O12" i="5" s="1"/>
  <c r="BW10" i="96"/>
  <c r="K5" i="5" s="1"/>
  <c r="CA16" i="96"/>
  <c r="O11" i="5" s="1"/>
  <c r="BW24" i="96"/>
  <c r="K19" i="5" s="1"/>
  <c r="BY33" i="96"/>
  <c r="M28" i="5" s="1"/>
  <c r="BW39" i="96"/>
  <c r="K34" i="5" s="1"/>
  <c r="BY10" i="96"/>
  <c r="M5" i="5" s="1"/>
  <c r="CA42" i="96"/>
  <c r="O37" i="5" s="1"/>
  <c r="BU21" i="96"/>
  <c r="I16" i="5" s="1"/>
  <c r="CA47" i="96"/>
  <c r="O42" i="5" s="1"/>
  <c r="BS54" i="96"/>
  <c r="G49" i="5" s="1"/>
  <c r="BS49" i="96"/>
  <c r="G44" i="5" s="1"/>
  <c r="BU34" i="96"/>
  <c r="I29" i="5" s="1"/>
  <c r="CA35" i="96"/>
  <c r="O30" i="5" s="1"/>
  <c r="CA58" i="96"/>
  <c r="O53" i="5" s="1"/>
  <c r="CA32" i="96"/>
  <c r="O27" i="5" s="1"/>
  <c r="CA15" i="96"/>
  <c r="O10" i="5" s="1"/>
  <c r="CA11" i="96"/>
  <c r="O6" i="5" s="1"/>
  <c r="BW34" i="96"/>
  <c r="K29" i="5" s="1"/>
  <c r="CA56" i="96"/>
  <c r="O51" i="5" s="1"/>
  <c r="BW29" i="96"/>
  <c r="K24" i="5" s="1"/>
  <c r="BS45" i="96"/>
  <c r="G40" i="5" s="1"/>
  <c r="BW50" i="96"/>
  <c r="K45" i="5" s="1"/>
  <c r="BS53" i="96"/>
  <c r="G48" i="5" s="1"/>
  <c r="BU38" i="96"/>
  <c r="I33" i="5" s="1"/>
  <c r="BW31" i="96"/>
  <c r="K26" i="5" s="1"/>
  <c r="CA18" i="96"/>
  <c r="O13" i="5" s="1"/>
  <c r="CA46" i="96"/>
  <c r="O41" i="5" s="1"/>
  <c r="BY15" i="96"/>
  <c r="M10" i="5" s="1"/>
  <c r="CA49" i="96"/>
  <c r="O44" i="5" s="1"/>
  <c r="CA36" i="96"/>
  <c r="O31" i="5" s="1"/>
  <c r="CA14" i="96"/>
  <c r="O9" i="5" s="1"/>
  <c r="BU19" i="96"/>
  <c r="I14" i="5" s="1"/>
  <c r="BU22" i="96"/>
  <c r="I17" i="5" s="1"/>
  <c r="BS19" i="96"/>
  <c r="G14" i="5" s="1"/>
  <c r="BW36" i="96"/>
  <c r="K31" i="5" s="1"/>
  <c r="BS33" i="96"/>
  <c r="G28" i="5" s="1"/>
  <c r="BW58" i="96"/>
  <c r="K53" i="5" s="1"/>
  <c r="BW45" i="96"/>
  <c r="K40" i="5" s="1"/>
  <c r="CA10" i="96"/>
  <c r="O5" i="5" s="1"/>
  <c r="BS37" i="96"/>
  <c r="G32" i="5" s="1"/>
  <c r="BS48" i="96"/>
  <c r="G43" i="5" s="1"/>
  <c r="BW26" i="96"/>
  <c r="K21" i="5" s="1"/>
  <c r="BS10" i="96"/>
  <c r="G5" i="5" s="1"/>
  <c r="BY53" i="96"/>
  <c r="M48" i="5" s="1"/>
  <c r="CA27" i="96"/>
  <c r="O22" i="5" s="1"/>
  <c r="BY58" i="96"/>
  <c r="M53" i="5" s="1"/>
  <c r="BS23" i="96"/>
  <c r="G18" i="5" s="1"/>
  <c r="BW53" i="96"/>
  <c r="K48" i="5" s="1"/>
  <c r="BS14" i="96"/>
  <c r="G9" i="5" s="1"/>
  <c r="BS17" i="96"/>
  <c r="G12" i="5" s="1"/>
  <c r="CA23" i="96"/>
  <c r="O18" i="5" s="1"/>
  <c r="BS46" i="96"/>
  <c r="G41" i="5" s="1"/>
  <c r="BS42" i="96"/>
  <c r="G37" i="5" s="1"/>
  <c r="BS52" i="96"/>
  <c r="G47" i="5" s="1"/>
  <c r="CA30" i="96"/>
  <c r="O25" i="5" s="1"/>
  <c r="BS15" i="96"/>
  <c r="G10" i="5" s="1"/>
  <c r="CA50" i="96"/>
  <c r="O45" i="5" s="1"/>
  <c r="BU42" i="96"/>
  <c r="I37" i="5" s="1"/>
  <c r="BY44" i="96"/>
  <c r="M39" i="5" s="1"/>
  <c r="BY51" i="96"/>
  <c r="M46" i="5" s="1"/>
  <c r="BU54" i="96"/>
  <c r="I49" i="5" s="1"/>
  <c r="BS22" i="96"/>
  <c r="G17" i="5" s="1"/>
  <c r="BW18" i="96"/>
  <c r="K13" i="5" s="1"/>
  <c r="BU50" i="96"/>
  <c r="I45" i="5" s="1"/>
  <c r="BW25" i="96"/>
  <c r="K20" i="5" s="1"/>
  <c r="BY18" i="96"/>
  <c r="M13" i="5" s="1"/>
  <c r="BU58" i="96"/>
  <c r="I53" i="5" s="1"/>
  <c r="BU55" i="96"/>
  <c r="I50" i="5" s="1"/>
  <c r="BW46" i="96"/>
  <c r="K41" i="5" s="1"/>
  <c r="BW21" i="96"/>
  <c r="K16" i="5" s="1"/>
  <c r="BU32" i="96"/>
  <c r="I27" i="5" s="1"/>
  <c r="BU37" i="96"/>
  <c r="I32" i="5" s="1"/>
  <c r="BS58" i="96"/>
  <c r="BY48" i="96"/>
  <c r="M43" i="5" s="1"/>
  <c r="BS40" i="96"/>
  <c r="G35" i="5" s="1"/>
  <c r="BU52" i="96"/>
  <c r="I47" i="5" s="1"/>
  <c r="BY26" i="96"/>
  <c r="M21" i="5" s="1"/>
  <c r="CA43" i="96"/>
  <c r="O38" i="5" s="1"/>
  <c r="BS57" i="96"/>
  <c r="G52" i="5" s="1"/>
  <c r="BY28" i="96"/>
  <c r="M23" i="5" s="1"/>
  <c r="BU56" i="96"/>
  <c r="I51" i="5" s="1"/>
  <c r="BS16" i="96"/>
  <c r="G11" i="5" s="1"/>
  <c r="BY42" i="96"/>
  <c r="M37" i="5" s="1"/>
  <c r="BY20" i="96"/>
  <c r="M15" i="5" s="1"/>
  <c r="BS41" i="96"/>
  <c r="BY14" i="96"/>
  <c r="M9" i="5" s="1"/>
  <c r="BS25" i="96"/>
  <c r="G20" i="5" s="1"/>
  <c r="CA24" i="96"/>
  <c r="O19" i="5" s="1"/>
  <c r="CA45" i="96"/>
  <c r="O40" i="5" s="1"/>
  <c r="BU39" i="96"/>
  <c r="I34" i="5" s="1"/>
  <c r="BY31" i="96"/>
  <c r="M26" i="5" s="1"/>
  <c r="BW15" i="96"/>
  <c r="K10" i="5" s="1"/>
  <c r="CA13" i="96"/>
  <c r="O8" i="5" s="1"/>
  <c r="BY46" i="96"/>
  <c r="M41" i="5" s="1"/>
  <c r="BU41" i="96"/>
  <c r="I36" i="5" s="1"/>
  <c r="BY27" i="96"/>
  <c r="M22" i="5" s="1"/>
  <c r="BS32" i="96"/>
  <c r="G27" i="5" s="1"/>
  <c r="BU20" i="96"/>
  <c r="I15" i="5" s="1"/>
  <c r="BW40" i="96"/>
  <c r="K35" i="5" s="1"/>
  <c r="BY54" i="96"/>
  <c r="M49" i="5" s="1"/>
  <c r="BY22" i="96"/>
  <c r="M17" i="5" s="1"/>
  <c r="BW54" i="96"/>
  <c r="K49" i="5" s="1"/>
  <c r="BY35" i="96"/>
  <c r="M30" i="5" s="1"/>
  <c r="BW52" i="96"/>
  <c r="K47" i="5" s="1"/>
  <c r="BS51" i="96"/>
  <c r="G46" i="5" s="1"/>
  <c r="BW22" i="96"/>
  <c r="K17" i="5" s="1"/>
  <c r="BS44" i="96"/>
  <c r="G39" i="5" s="1"/>
  <c r="CA41" i="96"/>
  <c r="O36" i="5" s="1"/>
  <c r="BW20" i="96"/>
  <c r="K15" i="5" s="1"/>
  <c r="BS27" i="96"/>
  <c r="G22" i="5" s="1"/>
  <c r="BY55" i="96"/>
  <c r="M50" i="5" s="1"/>
  <c r="BU10" i="96"/>
  <c r="I5" i="5" s="1"/>
  <c r="BY45" i="96"/>
  <c r="M40" i="5" s="1"/>
  <c r="BU31" i="96"/>
  <c r="I26" i="5" s="1"/>
  <c r="BQ30" i="96"/>
  <c r="E25" i="5" s="1"/>
  <c r="BU15" i="96"/>
  <c r="I10" i="5" s="1"/>
  <c r="BY37" i="96"/>
  <c r="M32" i="5" s="1"/>
  <c r="BQ33" i="96"/>
  <c r="E28" i="5" s="1"/>
  <c r="BW33" i="96"/>
  <c r="K28" i="5" s="1"/>
  <c r="BW17" i="96"/>
  <c r="K12" i="5" s="1"/>
  <c r="BQ56" i="96"/>
  <c r="E51" i="5" s="1"/>
  <c r="BQ22" i="96"/>
  <c r="BY36" i="96"/>
  <c r="M31" i="5" s="1"/>
  <c r="BU46" i="96"/>
  <c r="I41" i="5" s="1"/>
  <c r="BW43" i="96"/>
  <c r="K38" i="5" s="1"/>
  <c r="BW28" i="96"/>
  <c r="K23" i="5" s="1"/>
  <c r="BW47" i="96"/>
  <c r="K42" i="5" s="1"/>
  <c r="BU25" i="96"/>
  <c r="I20" i="5" s="1"/>
  <c r="BU40" i="96"/>
  <c r="I35" i="5" s="1"/>
  <c r="BQ44" i="96"/>
  <c r="E39" i="5" s="1"/>
  <c r="BQ13" i="96"/>
  <c r="E8" i="5" s="1"/>
  <c r="BQ38" i="96"/>
  <c r="E33" i="5" s="1"/>
  <c r="BQ21" i="96"/>
  <c r="E16" i="5" s="1"/>
  <c r="BQ41" i="96"/>
  <c r="E36" i="5" s="1"/>
  <c r="BQ45" i="96"/>
  <c r="E40" i="5" s="1"/>
  <c r="BQ17" i="96"/>
  <c r="E12" i="5" s="1"/>
  <c r="BS35" i="96"/>
  <c r="G30" i="5" s="1"/>
  <c r="BY34" i="96"/>
  <c r="M29" i="5" s="1"/>
  <c r="BS31" i="96"/>
  <c r="G26" i="5" s="1"/>
  <c r="BW19" i="96"/>
  <c r="K14" i="5" s="1"/>
  <c r="BS12" i="96"/>
  <c r="G7" i="5" s="1"/>
  <c r="BU17" i="96"/>
  <c r="I12" i="5" s="1"/>
  <c r="BW49" i="96"/>
  <c r="K44" i="5" s="1"/>
  <c r="BY23" i="96"/>
  <c r="M18" i="5" s="1"/>
  <c r="BY25" i="96"/>
  <c r="M20" i="5" s="1"/>
  <c r="BU28" i="96"/>
  <c r="I23" i="5" s="1"/>
  <c r="BQ11" i="96"/>
  <c r="E6" i="5" s="1"/>
  <c r="BU44" i="96"/>
  <c r="I39" i="5" s="1"/>
  <c r="BU27" i="96"/>
  <c r="I22" i="5" s="1"/>
  <c r="BQ43" i="96"/>
  <c r="E38" i="5" s="1"/>
  <c r="BS50" i="96"/>
  <c r="G45" i="5" s="1"/>
  <c r="BU11" i="96"/>
  <c r="I6" i="5" s="1"/>
  <c r="BS30" i="96"/>
  <c r="G25" i="5" s="1"/>
  <c r="BQ16" i="96"/>
  <c r="E11" i="5" s="1"/>
  <c r="BQ24" i="96"/>
  <c r="E19" i="5" s="1"/>
  <c r="BQ32" i="96"/>
  <c r="E27" i="5" s="1"/>
  <c r="BY24" i="96"/>
  <c r="M19" i="5" s="1"/>
  <c r="BQ55" i="96"/>
  <c r="E50" i="5" s="1"/>
  <c r="BY50" i="96"/>
  <c r="M45" i="5" s="1"/>
  <c r="BU16" i="96"/>
  <c r="I11" i="5" s="1"/>
  <c r="BQ35" i="96"/>
  <c r="E30" i="5" s="1"/>
  <c r="BU43" i="96"/>
  <c r="I38" i="5" s="1"/>
  <c r="BQ18" i="96"/>
  <c r="E13" i="5" s="1"/>
  <c r="BQ46" i="96"/>
  <c r="E41" i="5" s="1"/>
  <c r="BQ14" i="96"/>
  <c r="E9" i="5" s="1"/>
  <c r="BY56" i="96"/>
  <c r="BY47" i="96"/>
  <c r="M42" i="5" s="1"/>
  <c r="BW30" i="96"/>
  <c r="K25" i="5" s="1"/>
  <c r="BW37" i="96"/>
  <c r="K32" i="5" s="1"/>
  <c r="BQ52" i="96"/>
  <c r="E47" i="5" s="1"/>
  <c r="BQ28" i="96"/>
  <c r="E23" i="5" s="1"/>
  <c r="BQ36" i="96"/>
  <c r="E31" i="5" s="1"/>
  <c r="BU30" i="96"/>
  <c r="I25" i="5" s="1"/>
  <c r="BQ37" i="96"/>
  <c r="E32" i="5" s="1"/>
  <c r="BQ19" i="96"/>
  <c r="E14" i="5" s="1"/>
  <c r="BQ26" i="96"/>
  <c r="E21" i="5" s="1"/>
  <c r="BS55" i="96"/>
  <c r="G50" i="5" s="1"/>
  <c r="BS34" i="96"/>
  <c r="G29" i="5" s="1"/>
  <c r="BS38" i="96"/>
  <c r="G33" i="5" s="1"/>
  <c r="BW32" i="96"/>
  <c r="K27" i="5" s="1"/>
  <c r="BS56" i="96"/>
  <c r="G51" i="5" s="1"/>
  <c r="BY40" i="96"/>
  <c r="M35" i="5" s="1"/>
  <c r="BS18" i="96"/>
  <c r="G13" i="5" s="1"/>
  <c r="BW48" i="96"/>
  <c r="K43" i="5" s="1"/>
  <c r="BY49" i="96"/>
  <c r="M44" i="5" s="1"/>
  <c r="BQ49" i="96"/>
  <c r="E44" i="5" s="1"/>
  <c r="BW51" i="96"/>
  <c r="K46" i="5" s="1"/>
  <c r="BW13" i="96"/>
  <c r="K8" i="5" s="1"/>
  <c r="BQ50" i="96"/>
  <c r="BQ53" i="96"/>
  <c r="BQ10" i="96"/>
  <c r="E5" i="5" s="1"/>
  <c r="BQ34" i="96"/>
  <c r="E29" i="5" s="1"/>
  <c r="BQ54" i="96"/>
  <c r="BY29" i="96"/>
  <c r="M24" i="5" s="1"/>
  <c r="BW38" i="96"/>
  <c r="K33" i="5" s="1"/>
  <c r="BS43" i="96"/>
  <c r="G38" i="5" s="1"/>
  <c r="BY38" i="96"/>
  <c r="M33" i="5" s="1"/>
  <c r="BS24" i="96"/>
  <c r="G19" i="5" s="1"/>
  <c r="BY12" i="96"/>
  <c r="M7" i="5" s="1"/>
  <c r="BQ15" i="96"/>
  <c r="E10" i="5" s="1"/>
  <c r="BU51" i="96"/>
  <c r="I46" i="5" s="1"/>
  <c r="BW44" i="96"/>
  <c r="K39" i="5" s="1"/>
  <c r="BW57" i="96"/>
  <c r="K52" i="5" s="1"/>
  <c r="BU14" i="96"/>
  <c r="I9" i="5" s="1"/>
  <c r="BU49" i="96"/>
  <c r="I44" i="5" s="1"/>
  <c r="BQ42" i="96"/>
  <c r="E37" i="5" s="1"/>
  <c r="BW42" i="96"/>
  <c r="K37" i="5" s="1"/>
  <c r="BQ51" i="96"/>
  <c r="E46" i="5" s="1"/>
  <c r="BS21" i="96"/>
  <c r="G16" i="5" s="1"/>
  <c r="BU23" i="96"/>
  <c r="I18" i="5" s="1"/>
  <c r="BY41" i="96"/>
  <c r="M36" i="5" s="1"/>
  <c r="BQ40" i="96"/>
  <c r="BQ25" i="96"/>
  <c r="E20" i="5" s="1"/>
  <c r="BY39" i="96"/>
  <c r="M34" i="5" s="1"/>
  <c r="BQ12" i="96"/>
  <c r="E7" i="5" s="1"/>
  <c r="BQ48" i="96"/>
  <c r="E43" i="5" s="1"/>
  <c r="BU57" i="96"/>
  <c r="I52" i="5" s="1"/>
  <c r="BY57" i="96"/>
  <c r="M52" i="5" s="1"/>
  <c r="BQ58" i="96"/>
  <c r="E53" i="5" s="1"/>
  <c r="BU36" i="96"/>
  <c r="I31" i="5" s="1"/>
  <c r="BQ27" i="96"/>
  <c r="E22" i="5" s="1"/>
  <c r="BQ57" i="96"/>
  <c r="E52" i="5" s="1"/>
  <c r="BQ47" i="96"/>
  <c r="E42" i="5" s="1"/>
  <c r="BY19" i="96"/>
  <c r="M14" i="5" s="1"/>
  <c r="BQ23" i="96"/>
  <c r="E18" i="5" s="1"/>
  <c r="BW41" i="96"/>
  <c r="K36" i="5" s="1"/>
  <c r="BW55" i="96"/>
  <c r="K50" i="5" s="1"/>
  <c r="BQ29" i="96"/>
  <c r="E24" i="5" s="1"/>
  <c r="BU18" i="96"/>
  <c r="I13" i="5" s="1"/>
  <c r="BQ39" i="96"/>
  <c r="E34" i="5" s="1"/>
  <c r="BQ20" i="96"/>
  <c r="E15" i="5" s="1"/>
  <c r="BQ31" i="96"/>
  <c r="E26" i="5" s="1"/>
  <c r="BR57" i="96"/>
  <c r="F52" i="5" s="1"/>
  <c r="BR31" i="96"/>
  <c r="F26" i="5" s="1"/>
  <c r="BR35" i="96"/>
  <c r="F30" i="5" s="1"/>
  <c r="BR38" i="96"/>
  <c r="BR49" i="96"/>
  <c r="BR10" i="96"/>
  <c r="BR32" i="96"/>
  <c r="BR27" i="96"/>
  <c r="F22" i="5" s="1"/>
  <c r="BR23" i="96"/>
  <c r="BR42" i="96"/>
  <c r="BR15" i="96"/>
  <c r="BX43" i="96"/>
  <c r="L38" i="5" s="1"/>
  <c r="BZ19" i="96"/>
  <c r="N14" i="5" s="1"/>
  <c r="CB50" i="96"/>
  <c r="CB32" i="96"/>
  <c r="BR39" i="96"/>
  <c r="F34" i="5" s="1"/>
  <c r="CB19" i="96"/>
  <c r="BZ42" i="96"/>
  <c r="CB21" i="96"/>
  <c r="BX49" i="96"/>
  <c r="BT16" i="96"/>
  <c r="BV16" i="96"/>
  <c r="BZ27" i="96"/>
  <c r="BT47" i="96"/>
  <c r="BT22" i="96"/>
  <c r="BT36" i="96"/>
  <c r="BZ53" i="96"/>
  <c r="BX14" i="96"/>
  <c r="BT24" i="96"/>
  <c r="BX25" i="96"/>
  <c r="BZ47" i="96"/>
  <c r="BV33" i="96"/>
  <c r="BV47" i="96"/>
  <c r="BV21" i="96"/>
  <c r="BT25" i="96"/>
  <c r="BV28" i="96"/>
  <c r="J23" i="5" s="1"/>
  <c r="BZ54" i="96"/>
  <c r="CB36" i="96"/>
  <c r="CB23" i="96"/>
  <c r="CB31" i="96"/>
  <c r="BX57" i="96"/>
  <c r="BV27" i="96"/>
  <c r="CB18" i="96"/>
  <c r="BR11" i="96"/>
  <c r="BX12" i="96"/>
  <c r="BT34" i="96"/>
  <c r="BT31" i="96"/>
  <c r="BV30" i="96"/>
  <c r="J25" i="5" s="1"/>
  <c r="CB33" i="96"/>
  <c r="BV18" i="96"/>
  <c r="BZ45" i="96"/>
  <c r="BZ15" i="96"/>
  <c r="BV55" i="96"/>
  <c r="BT26" i="96"/>
  <c r="BT46" i="96"/>
  <c r="BX35" i="96"/>
  <c r="BZ10" i="96"/>
  <c r="BZ26" i="96"/>
  <c r="BT29" i="96"/>
  <c r="BX36" i="96"/>
  <c r="CB42" i="96"/>
  <c r="BV51" i="96"/>
  <c r="CB20" i="96"/>
  <c r="BZ28" i="96"/>
  <c r="BZ51" i="96"/>
  <c r="BV29" i="96"/>
  <c r="BV22" i="96"/>
  <c r="BV26" i="96"/>
  <c r="BV12" i="96"/>
  <c r="BV56" i="96"/>
  <c r="CD28" i="96"/>
  <c r="R23" i="5" s="1"/>
  <c r="CD22" i="96"/>
  <c r="R17" i="5" s="1"/>
  <c r="AY17" i="5" s="1"/>
  <c r="CD54" i="96"/>
  <c r="R49" i="5" s="1"/>
  <c r="AY49" i="5" s="1"/>
  <c r="BX45" i="96"/>
  <c r="CD52" i="96"/>
  <c r="R47" i="5" s="1"/>
  <c r="AY47" i="5" s="1"/>
  <c r="CD12" i="96"/>
  <c r="R7" i="5" s="1"/>
  <c r="CD39" i="96"/>
  <c r="R34" i="5" s="1"/>
  <c r="AY34" i="5" s="1"/>
  <c r="CD53" i="96"/>
  <c r="R48" i="5" s="1"/>
  <c r="CD38" i="96"/>
  <c r="R33" i="5" s="1"/>
  <c r="CD17" i="96"/>
  <c r="R12" i="5" s="1"/>
  <c r="AY12" i="5" s="1"/>
  <c r="CD37" i="96"/>
  <c r="R32" i="5" s="1"/>
  <c r="AY32" i="5" s="1"/>
  <c r="CB44" i="96"/>
  <c r="CD21" i="96"/>
  <c r="R16" i="5" s="1"/>
  <c r="CD27" i="96"/>
  <c r="R22" i="5" s="1"/>
  <c r="CD15" i="96"/>
  <c r="R10" i="5" s="1"/>
  <c r="BR24" i="96"/>
  <c r="BR18" i="96"/>
  <c r="BR56" i="96"/>
  <c r="BR55" i="96"/>
  <c r="BR25" i="96"/>
  <c r="BR28" i="96"/>
  <c r="BT55" i="96"/>
  <c r="H50" i="5" s="1"/>
  <c r="BR46" i="96"/>
  <c r="BR37" i="96"/>
  <c r="CB46" i="96"/>
  <c r="BT57" i="96"/>
  <c r="CB51" i="96"/>
  <c r="BT48" i="96"/>
  <c r="BX38" i="96"/>
  <c r="CB55" i="96"/>
  <c r="CB35" i="96"/>
  <c r="BX29" i="96"/>
  <c r="BT21" i="96"/>
  <c r="H16" i="5" s="1"/>
  <c r="BT49" i="96"/>
  <c r="BV40" i="96"/>
  <c r="BT35" i="96"/>
  <c r="BZ58" i="96"/>
  <c r="BT45" i="96"/>
  <c r="BT30" i="96"/>
  <c r="BZ20" i="96"/>
  <c r="BZ46" i="96"/>
  <c r="BV42" i="96"/>
  <c r="BZ22" i="96"/>
  <c r="BT44" i="96"/>
  <c r="CB40" i="96"/>
  <c r="CB47" i="96"/>
  <c r="BX54" i="96"/>
  <c r="BV25" i="96"/>
  <c r="BV49" i="96"/>
  <c r="J44" i="5" s="1"/>
  <c r="CB16" i="96"/>
  <c r="BV19" i="96"/>
  <c r="BT54" i="96"/>
  <c r="CB12" i="96"/>
  <c r="BV20" i="96"/>
  <c r="BX21" i="96"/>
  <c r="BX44" i="96"/>
  <c r="BV41" i="96"/>
  <c r="BT12" i="96"/>
  <c r="BT39" i="96"/>
  <c r="BZ41" i="96"/>
  <c r="BT27" i="96"/>
  <c r="BT11" i="96"/>
  <c r="BZ11" i="96"/>
  <c r="CB22" i="96"/>
  <c r="CB41" i="96"/>
  <c r="BZ37" i="96"/>
  <c r="BX58" i="96"/>
  <c r="CB24" i="96"/>
  <c r="BZ40" i="96"/>
  <c r="BV32" i="96"/>
  <c r="BX33" i="96"/>
  <c r="BZ13" i="96"/>
  <c r="BX31" i="96"/>
  <c r="BV10" i="96"/>
  <c r="BZ21" i="96"/>
  <c r="CD50" i="96"/>
  <c r="R45" i="5" s="1"/>
  <c r="AY45" i="5" s="1"/>
  <c r="CD26" i="96"/>
  <c r="R21" i="5" s="1"/>
  <c r="AY21" i="5" s="1"/>
  <c r="CD45" i="96"/>
  <c r="R40" i="5" s="1"/>
  <c r="AY40" i="5" s="1"/>
  <c r="BZ32" i="96"/>
  <c r="CD36" i="96"/>
  <c r="R31" i="5" s="1"/>
  <c r="CD51" i="96"/>
  <c r="R46" i="5" s="1"/>
  <c r="AY46" i="5" s="1"/>
  <c r="CD23" i="96"/>
  <c r="R18" i="5" s="1"/>
  <c r="AY18" i="5" s="1"/>
  <c r="CB13" i="96"/>
  <c r="P8" i="5" s="1"/>
  <c r="CD48" i="96"/>
  <c r="R43" i="5" s="1"/>
  <c r="CD19" i="96"/>
  <c r="R14" i="5" s="1"/>
  <c r="CD58" i="96"/>
  <c r="R53" i="5" s="1"/>
  <c r="BX16" i="96"/>
  <c r="CD55" i="96"/>
  <c r="R50" i="5" s="1"/>
  <c r="AY50" i="5" s="1"/>
  <c r="CD40" i="96"/>
  <c r="R35" i="5" s="1"/>
  <c r="AY35" i="5" s="1"/>
  <c r="CD10" i="96"/>
  <c r="R5" i="5" s="1"/>
  <c r="BR20" i="96"/>
  <c r="BR17" i="96"/>
  <c r="BR26" i="96"/>
  <c r="BR30" i="96"/>
  <c r="BR33" i="96"/>
  <c r="BR16" i="96"/>
  <c r="BR58" i="96"/>
  <c r="BX37" i="96"/>
  <c r="BR36" i="96"/>
  <c r="BZ36" i="96"/>
  <c r="BX20" i="96"/>
  <c r="BX24" i="96"/>
  <c r="BR41" i="96"/>
  <c r="BR34" i="96"/>
  <c r="BR13" i="96"/>
  <c r="BR14" i="96"/>
  <c r="BR45" i="96"/>
  <c r="BV35" i="96"/>
  <c r="BR12" i="96"/>
  <c r="BR51" i="96"/>
  <c r="CB54" i="96"/>
  <c r="BZ43" i="96"/>
  <c r="BT13" i="96"/>
  <c r="BT19" i="96"/>
  <c r="BZ29" i="96"/>
  <c r="BR29" i="96"/>
  <c r="BX34" i="96"/>
  <c r="BR43" i="96"/>
  <c r="BR44" i="96"/>
  <c r="BV43" i="96"/>
  <c r="BT38" i="96"/>
  <c r="BZ23" i="96"/>
  <c r="CB27" i="96"/>
  <c r="BT56" i="96"/>
  <c r="BT32" i="96"/>
  <c r="BX48" i="96"/>
  <c r="BZ14" i="96"/>
  <c r="BX11" i="96"/>
  <c r="BV15" i="96"/>
  <c r="CB25" i="96"/>
  <c r="BX30" i="96"/>
  <c r="BX26" i="96"/>
  <c r="BZ31" i="96"/>
  <c r="BT15" i="96"/>
  <c r="BZ24" i="96"/>
  <c r="BZ55" i="96"/>
  <c r="BX39" i="96"/>
  <c r="BZ52" i="96"/>
  <c r="BX17" i="96"/>
  <c r="BV53" i="96"/>
  <c r="BV54" i="96"/>
  <c r="BT20" i="96"/>
  <c r="BV50" i="96"/>
  <c r="BT17" i="96"/>
  <c r="BZ12" i="96"/>
  <c r="BT23" i="96"/>
  <c r="BZ48" i="96"/>
  <c r="BV45" i="96"/>
  <c r="CB58" i="96"/>
  <c r="BV48" i="96"/>
  <c r="BX53" i="96"/>
  <c r="BV37" i="96"/>
  <c r="CB30" i="96"/>
  <c r="BX13" i="96"/>
  <c r="BX50" i="96"/>
  <c r="BT52" i="96"/>
  <c r="CB15" i="96"/>
  <c r="BZ30" i="96"/>
  <c r="BZ44" i="96"/>
  <c r="BX47" i="96"/>
  <c r="BZ50" i="96"/>
  <c r="BZ35" i="96"/>
  <c r="BX46" i="96"/>
  <c r="BV38" i="96"/>
  <c r="BX22" i="96"/>
  <c r="CB11" i="96"/>
  <c r="BZ49" i="96"/>
  <c r="BV14" i="96"/>
  <c r="BV13" i="96"/>
  <c r="CB17" i="96"/>
  <c r="CB52" i="96"/>
  <c r="BZ17" i="96"/>
  <c r="CD29" i="96"/>
  <c r="R24" i="5" s="1"/>
  <c r="AY24" i="5" s="1"/>
  <c r="CD16" i="96"/>
  <c r="R11" i="5" s="1"/>
  <c r="CD57" i="96"/>
  <c r="R52" i="5" s="1"/>
  <c r="AY52" i="5" s="1"/>
  <c r="BT37" i="96"/>
  <c r="CD20" i="96"/>
  <c r="R15" i="5" s="1"/>
  <c r="AY15" i="5" s="1"/>
  <c r="CD31" i="96"/>
  <c r="R26" i="5" s="1"/>
  <c r="CD30" i="96"/>
  <c r="R25" i="5" s="1"/>
  <c r="AY25" i="5" s="1"/>
  <c r="BV44" i="96"/>
  <c r="CD47" i="96"/>
  <c r="R42" i="5" s="1"/>
  <c r="AY42" i="5" s="1"/>
  <c r="CD46" i="96"/>
  <c r="R41" i="5" s="1"/>
  <c r="AY41" i="5" s="1"/>
  <c r="CD44" i="96"/>
  <c r="R39" i="5" s="1"/>
  <c r="AY39" i="5" s="1"/>
  <c r="BV11" i="96"/>
  <c r="CD34" i="96"/>
  <c r="R29" i="5" s="1"/>
  <c r="AY29" i="5" s="1"/>
  <c r="CD13" i="96"/>
  <c r="R8" i="5" s="1"/>
  <c r="AY8" i="5" s="1"/>
  <c r="CD56" i="96"/>
  <c r="R51" i="5" s="1"/>
  <c r="BR21" i="96"/>
  <c r="BR52" i="96"/>
  <c r="BR47" i="96"/>
  <c r="BR48" i="96"/>
  <c r="BR19" i="96"/>
  <c r="CB10" i="96"/>
  <c r="BX56" i="96"/>
  <c r="BX28" i="96"/>
  <c r="CB56" i="96"/>
  <c r="BT10" i="96"/>
  <c r="CB45" i="96"/>
  <c r="BT50" i="96"/>
  <c r="BV58" i="96"/>
  <c r="CB29" i="96"/>
  <c r="BT43" i="96"/>
  <c r="CB26" i="96"/>
  <c r="CB34" i="96"/>
  <c r="BV57" i="96"/>
  <c r="BT14" i="96"/>
  <c r="BZ38" i="96"/>
  <c r="BX15" i="96"/>
  <c r="BT28" i="96"/>
  <c r="BV34" i="96"/>
  <c r="CB53" i="96"/>
  <c r="BZ18" i="96"/>
  <c r="BZ57" i="96"/>
  <c r="BZ39" i="96"/>
  <c r="BX42" i="96"/>
  <c r="BT51" i="96"/>
  <c r="BV39" i="96"/>
  <c r="CB28" i="96"/>
  <c r="CB43" i="96"/>
  <c r="BZ33" i="96"/>
  <c r="BT18" i="96"/>
  <c r="CB49" i="96"/>
  <c r="BT42" i="96"/>
  <c r="CB48" i="96"/>
  <c r="BX41" i="96"/>
  <c r="CB39" i="96"/>
  <c r="BZ25" i="96"/>
  <c r="BX55" i="96"/>
  <c r="BX23" i="96"/>
  <c r="BV46" i="96"/>
  <c r="BX19" i="96"/>
  <c r="BV52" i="96"/>
  <c r="BZ34" i="96"/>
  <c r="BV24" i="96"/>
  <c r="BX32" i="96"/>
  <c r="BT53" i="96"/>
  <c r="CB57" i="96"/>
  <c r="BX40" i="96"/>
  <c r="CB37" i="96"/>
  <c r="BV17" i="96"/>
  <c r="BX18" i="96"/>
  <c r="CB14" i="96"/>
  <c r="BV31" i="96"/>
  <c r="BT40" i="96"/>
  <c r="BV23" i="96"/>
  <c r="CB38" i="96"/>
  <c r="BT33" i="96"/>
  <c r="CD25" i="96"/>
  <c r="R20" i="5" s="1"/>
  <c r="AY20" i="5" s="1"/>
  <c r="CD14" i="96"/>
  <c r="R9" i="5" s="1"/>
  <c r="CD33" i="96"/>
  <c r="R28" i="5" s="1"/>
  <c r="BV36" i="96"/>
  <c r="CD41" i="96"/>
  <c r="R36" i="5" s="1"/>
  <c r="AY36" i="5" s="1"/>
  <c r="CD24" i="96"/>
  <c r="R19" i="5" s="1"/>
  <c r="AY19" i="5" s="1"/>
  <c r="CD32" i="96"/>
  <c r="R27" i="5" s="1"/>
  <c r="AY27" i="5" s="1"/>
  <c r="CD42" i="96"/>
  <c r="R37" i="5" s="1"/>
  <c r="CD43" i="96"/>
  <c r="R38" i="5" s="1"/>
  <c r="CD49" i="96"/>
  <c r="R44" i="5" s="1"/>
  <c r="AY44" i="5" s="1"/>
  <c r="BX52" i="96"/>
  <c r="BX51" i="96"/>
  <c r="CD35" i="96"/>
  <c r="R30" i="5" s="1"/>
  <c r="AY30" i="5" s="1"/>
  <c r="CD18" i="96"/>
  <c r="R13" i="5" s="1"/>
  <c r="AY13" i="5" s="1"/>
  <c r="AY28" i="5" l="1"/>
  <c r="AY26" i="5"/>
  <c r="AY11" i="5"/>
  <c r="AY5" i="5"/>
  <c r="AY53" i="5"/>
  <c r="AY22" i="5"/>
  <c r="AY7" i="5"/>
  <c r="AY16" i="5"/>
  <c r="AY31" i="5"/>
  <c r="AY14" i="5"/>
  <c r="AY38" i="5"/>
  <c r="AY43" i="5"/>
  <c r="AY37" i="5"/>
  <c r="AY51" i="5"/>
  <c r="AY10" i="5"/>
  <c r="AY9" i="5"/>
  <c r="AY33" i="5"/>
  <c r="AY23" i="5"/>
  <c r="AY48" i="5"/>
  <c r="AG35" i="5"/>
  <c r="AG31" i="5"/>
  <c r="AG16" i="5"/>
  <c r="AG46" i="5"/>
  <c r="AG39" i="5"/>
  <c r="AG11" i="5"/>
  <c r="AG28" i="5"/>
  <c r="AG7" i="5"/>
  <c r="AG22" i="5"/>
  <c r="AG53" i="5"/>
  <c r="AG5" i="5"/>
  <c r="AG26" i="5"/>
  <c r="AG9" i="5"/>
  <c r="AG51" i="5"/>
  <c r="AG33" i="5"/>
  <c r="AG10" i="5"/>
  <c r="AG18" i="5"/>
  <c r="AG23" i="5"/>
  <c r="AG48" i="5"/>
  <c r="AG14" i="5"/>
  <c r="AG8" i="5"/>
  <c r="AG43" i="5"/>
  <c r="AG37" i="5"/>
  <c r="AG38" i="5"/>
  <c r="AG52" i="5"/>
  <c r="AG24" i="5"/>
  <c r="AG45" i="5"/>
  <c r="AG44" i="5"/>
  <c r="AG49" i="5"/>
  <c r="AG40" i="5"/>
  <c r="AG17" i="5"/>
  <c r="AG20" i="5"/>
  <c r="AG32" i="5"/>
  <c r="AG30" i="5"/>
  <c r="AG27" i="5"/>
  <c r="AG41" i="5"/>
  <c r="AG36" i="5"/>
  <c r="AG50" i="5"/>
  <c r="AG47" i="5"/>
  <c r="AG19" i="5"/>
  <c r="AG29" i="5"/>
  <c r="AG15" i="5"/>
  <c r="AG13" i="5"/>
  <c r="AG42" i="5"/>
  <c r="AG12" i="5"/>
  <c r="AG25" i="5"/>
  <c r="AG34" i="5"/>
  <c r="AG21" i="5"/>
  <c r="AY6" i="5"/>
  <c r="E49" i="5"/>
  <c r="AA49" i="5" s="1"/>
  <c r="E45" i="5"/>
  <c r="AA45" i="5" s="1"/>
  <c r="G36" i="5"/>
  <c r="AB36" i="5" s="1"/>
  <c r="G53" i="5"/>
  <c r="AB53" i="5" s="1"/>
  <c r="E35" i="5"/>
  <c r="AA35" i="5" s="1"/>
  <c r="E48" i="5"/>
  <c r="AA48" i="5" s="1"/>
  <c r="M51" i="5"/>
  <c r="AE51" i="5" s="1"/>
  <c r="E17" i="5"/>
  <c r="AA17" i="5" s="1"/>
  <c r="K22" i="5"/>
  <c r="AD22" i="5" s="1"/>
  <c r="AD5" i="5"/>
  <c r="L46" i="5"/>
  <c r="AV46" i="5" s="1"/>
  <c r="J31" i="5"/>
  <c r="AU31" i="5" s="1"/>
  <c r="H28" i="5"/>
  <c r="AT28" i="5" s="1"/>
  <c r="J26" i="5"/>
  <c r="AU26" i="5" s="1"/>
  <c r="P32" i="5"/>
  <c r="AX32" i="5" s="1"/>
  <c r="L27" i="5"/>
  <c r="AV27" i="5" s="1"/>
  <c r="L14" i="5"/>
  <c r="AV14" i="5" s="1"/>
  <c r="N20" i="5"/>
  <c r="AW20" i="5" s="1"/>
  <c r="H37" i="5"/>
  <c r="AT37" i="5" s="1"/>
  <c r="P38" i="5"/>
  <c r="AX38" i="5" s="1"/>
  <c r="L37" i="5"/>
  <c r="AV37" i="5" s="1"/>
  <c r="P48" i="5"/>
  <c r="AX48" i="5" s="1"/>
  <c r="N33" i="5"/>
  <c r="AW33" i="5" s="1"/>
  <c r="P21" i="5"/>
  <c r="AX21" i="5" s="1"/>
  <c r="H45" i="5"/>
  <c r="AT45" i="5" s="1"/>
  <c r="L23" i="5"/>
  <c r="AV23" i="5" s="1"/>
  <c r="F43" i="5"/>
  <c r="AS43" i="5" s="1"/>
  <c r="P47" i="5"/>
  <c r="AX47" i="5" s="1"/>
  <c r="N44" i="5"/>
  <c r="AW44" i="5" s="1"/>
  <c r="L41" i="5"/>
  <c r="AV41" i="5" s="1"/>
  <c r="N39" i="5"/>
  <c r="AW39" i="5" s="1"/>
  <c r="L45" i="5"/>
  <c r="AV45" i="5" s="1"/>
  <c r="L48" i="5"/>
  <c r="AV48" i="5" s="1"/>
  <c r="N43" i="5"/>
  <c r="AW43" i="5" s="1"/>
  <c r="J45" i="5"/>
  <c r="AU45" i="5" s="1"/>
  <c r="L12" i="5"/>
  <c r="AV12" i="5" s="1"/>
  <c r="N19" i="5"/>
  <c r="AW19" i="5" s="1"/>
  <c r="L25" i="5"/>
  <c r="AV25" i="5" s="1"/>
  <c r="N9" i="5"/>
  <c r="AW9" i="5" s="1"/>
  <c r="P22" i="5"/>
  <c r="AX22" i="5" s="1"/>
  <c r="F39" i="5"/>
  <c r="AS39" i="5" s="1"/>
  <c r="N24" i="5"/>
  <c r="AW24" i="5" s="1"/>
  <c r="P49" i="5"/>
  <c r="AX49" i="5" s="1"/>
  <c r="F40" i="5"/>
  <c r="AS40" i="5" s="1"/>
  <c r="F36" i="5"/>
  <c r="AS36" i="5" s="1"/>
  <c r="F31" i="5"/>
  <c r="AS31" i="5" s="1"/>
  <c r="F28" i="5"/>
  <c r="AS28" i="5" s="1"/>
  <c r="F15" i="5"/>
  <c r="AS15" i="5" s="1"/>
  <c r="L11" i="5"/>
  <c r="AV11" i="5" s="1"/>
  <c r="AX8" i="5"/>
  <c r="N27" i="5"/>
  <c r="AW27" i="5" s="1"/>
  <c r="N16" i="5"/>
  <c r="AW16" i="5" s="1"/>
  <c r="L28" i="5"/>
  <c r="AV28" i="5" s="1"/>
  <c r="L53" i="5"/>
  <c r="AV53" i="5" s="1"/>
  <c r="N6" i="5"/>
  <c r="AW6" i="5" s="1"/>
  <c r="H34" i="5"/>
  <c r="AT34" i="5" s="1"/>
  <c r="L16" i="5"/>
  <c r="AV16" i="5" s="1"/>
  <c r="J14" i="5"/>
  <c r="AU14" i="5" s="1"/>
  <c r="L49" i="5"/>
  <c r="AV49" i="5" s="1"/>
  <c r="N17" i="5"/>
  <c r="AW17" i="5" s="1"/>
  <c r="H25" i="5"/>
  <c r="AT25" i="5" s="1"/>
  <c r="J35" i="5"/>
  <c r="AU35" i="5" s="1"/>
  <c r="P30" i="5"/>
  <c r="AX30" i="5" s="1"/>
  <c r="P46" i="5"/>
  <c r="AX46" i="5" s="1"/>
  <c r="F41" i="5"/>
  <c r="AS41" i="5" s="1"/>
  <c r="F50" i="5"/>
  <c r="AS50" i="5" s="1"/>
  <c r="J7" i="5"/>
  <c r="AU7" i="5" s="1"/>
  <c r="N46" i="5"/>
  <c r="AW46" i="5" s="1"/>
  <c r="P37" i="5"/>
  <c r="AX37" i="5" s="1"/>
  <c r="N5" i="5"/>
  <c r="AW5" i="5" s="1"/>
  <c r="J50" i="5"/>
  <c r="AU50" i="5" s="1"/>
  <c r="P28" i="5"/>
  <c r="AX28" i="5" s="1"/>
  <c r="L7" i="5"/>
  <c r="AV7" i="5" s="1"/>
  <c r="L52" i="5"/>
  <c r="AV52" i="5" s="1"/>
  <c r="N49" i="5"/>
  <c r="AW49" i="5" s="1"/>
  <c r="J42" i="5"/>
  <c r="AU42" i="5" s="1"/>
  <c r="H19" i="5"/>
  <c r="AT19" i="5" s="1"/>
  <c r="H17" i="5"/>
  <c r="AT17" i="5" s="1"/>
  <c r="H11" i="5"/>
  <c r="AT11" i="5" s="1"/>
  <c r="P14" i="5"/>
  <c r="AX14" i="5" s="1"/>
  <c r="F18" i="5"/>
  <c r="AS18" i="5" s="1"/>
  <c r="F44" i="5"/>
  <c r="AS44" i="5" s="1"/>
  <c r="L47" i="5"/>
  <c r="AV47" i="5" s="1"/>
  <c r="P33" i="5"/>
  <c r="AX33" i="5" s="1"/>
  <c r="P9" i="5"/>
  <c r="AX9" i="5" s="1"/>
  <c r="L35" i="5"/>
  <c r="AV35" i="5" s="1"/>
  <c r="J19" i="5"/>
  <c r="AU19" i="5" s="1"/>
  <c r="J41" i="5"/>
  <c r="AU41" i="5" s="1"/>
  <c r="P34" i="5"/>
  <c r="AX34" i="5" s="1"/>
  <c r="P44" i="5"/>
  <c r="AX44" i="5" s="1"/>
  <c r="P23" i="5"/>
  <c r="AX23" i="5" s="1"/>
  <c r="N34" i="5"/>
  <c r="AW34" i="5" s="1"/>
  <c r="J29" i="5"/>
  <c r="AU29" i="5" s="1"/>
  <c r="H9" i="5"/>
  <c r="AT9" i="5" s="1"/>
  <c r="H38" i="5"/>
  <c r="AT38" i="5" s="1"/>
  <c r="P40" i="5"/>
  <c r="AX40" i="5" s="1"/>
  <c r="L51" i="5"/>
  <c r="AV51" i="5" s="1"/>
  <c r="F42" i="5"/>
  <c r="AS42" i="5" s="1"/>
  <c r="P12" i="5"/>
  <c r="AX12" i="5" s="1"/>
  <c r="P6" i="5"/>
  <c r="AX6" i="5" s="1"/>
  <c r="N30" i="5"/>
  <c r="AW30" i="5" s="1"/>
  <c r="N25" i="5"/>
  <c r="AW25" i="5" s="1"/>
  <c r="L8" i="5"/>
  <c r="AV8" i="5" s="1"/>
  <c r="J43" i="5"/>
  <c r="AU43" i="5" s="1"/>
  <c r="H18" i="5"/>
  <c r="AT18" i="5" s="1"/>
  <c r="H15" i="5"/>
  <c r="AT15" i="5" s="1"/>
  <c r="N47" i="5"/>
  <c r="AW47" i="5" s="1"/>
  <c r="H10" i="5"/>
  <c r="AT10" i="5" s="1"/>
  <c r="P20" i="5"/>
  <c r="AX20" i="5" s="1"/>
  <c r="L43" i="5"/>
  <c r="AV43" i="5" s="1"/>
  <c r="N18" i="5"/>
  <c r="AW18" i="5" s="1"/>
  <c r="F38" i="5"/>
  <c r="AS38" i="5" s="1"/>
  <c r="H14" i="5"/>
  <c r="AT14" i="5" s="1"/>
  <c r="F46" i="5"/>
  <c r="AS46" i="5" s="1"/>
  <c r="F9" i="5"/>
  <c r="AS9" i="5" s="1"/>
  <c r="L19" i="5"/>
  <c r="AV19" i="5" s="1"/>
  <c r="L32" i="5"/>
  <c r="AV32" i="5" s="1"/>
  <c r="F25" i="5"/>
  <c r="AS25" i="5" s="1"/>
  <c r="J5" i="5"/>
  <c r="AU5" i="5" s="1"/>
  <c r="J27" i="5"/>
  <c r="AU27" i="5" s="1"/>
  <c r="N32" i="5"/>
  <c r="AW32" i="5" s="1"/>
  <c r="H6" i="5"/>
  <c r="AT6" i="5" s="1"/>
  <c r="H7" i="5"/>
  <c r="AT7" i="5" s="1"/>
  <c r="J15" i="5"/>
  <c r="AU15" i="5" s="1"/>
  <c r="P11" i="5"/>
  <c r="AX11" i="5" s="1"/>
  <c r="P42" i="5"/>
  <c r="AX42" i="5" s="1"/>
  <c r="J37" i="5"/>
  <c r="AU37" i="5" s="1"/>
  <c r="H40" i="5"/>
  <c r="AT40" i="5" s="1"/>
  <c r="H44" i="5"/>
  <c r="AT44" i="5" s="1"/>
  <c r="P50" i="5"/>
  <c r="AX50" i="5" s="1"/>
  <c r="H52" i="5"/>
  <c r="AT52" i="5" s="1"/>
  <c r="F51" i="5"/>
  <c r="AS51" i="5" s="1"/>
  <c r="J21" i="5"/>
  <c r="AU21" i="5" s="1"/>
  <c r="N23" i="5"/>
  <c r="AW23" i="5" s="1"/>
  <c r="L31" i="5"/>
  <c r="AV31" i="5" s="1"/>
  <c r="L30" i="5"/>
  <c r="AV30" i="5" s="1"/>
  <c r="N10" i="5"/>
  <c r="AW10" i="5" s="1"/>
  <c r="F6" i="5"/>
  <c r="AS6" i="5" s="1"/>
  <c r="P26" i="5"/>
  <c r="AX26" i="5" s="1"/>
  <c r="J28" i="5"/>
  <c r="AU28" i="5" s="1"/>
  <c r="L9" i="5"/>
  <c r="AV9" i="5" s="1"/>
  <c r="H42" i="5"/>
  <c r="AT42" i="5" s="1"/>
  <c r="L44" i="5"/>
  <c r="AV44" i="5" s="1"/>
  <c r="F33" i="5"/>
  <c r="AS33" i="5" s="1"/>
  <c r="J18" i="5"/>
  <c r="AU18" i="5" s="1"/>
  <c r="L13" i="5"/>
  <c r="AV13" i="5" s="1"/>
  <c r="P52" i="5"/>
  <c r="AX52" i="5" s="1"/>
  <c r="N29" i="5"/>
  <c r="AW29" i="5" s="1"/>
  <c r="L18" i="5"/>
  <c r="AV18" i="5" s="1"/>
  <c r="L36" i="5"/>
  <c r="AV36" i="5" s="1"/>
  <c r="H13" i="5"/>
  <c r="AT13" i="5" s="1"/>
  <c r="J34" i="5"/>
  <c r="AU34" i="5" s="1"/>
  <c r="N52" i="5"/>
  <c r="AW52" i="5" s="1"/>
  <c r="H23" i="5"/>
  <c r="AT23" i="5" s="1"/>
  <c r="J52" i="5"/>
  <c r="AU52" i="5" s="1"/>
  <c r="P24" i="5"/>
  <c r="AX24" i="5" s="1"/>
  <c r="H5" i="5"/>
  <c r="AT5" i="5" s="1"/>
  <c r="P5" i="5"/>
  <c r="AX5" i="5" s="1"/>
  <c r="F47" i="5"/>
  <c r="AS47" i="5" s="1"/>
  <c r="J8" i="5"/>
  <c r="AU8" i="5" s="1"/>
  <c r="L17" i="5"/>
  <c r="AV17" i="5" s="1"/>
  <c r="N45" i="5"/>
  <c r="AW45" i="5" s="1"/>
  <c r="P10" i="5"/>
  <c r="AX10" i="5" s="1"/>
  <c r="P25" i="5"/>
  <c r="AX25" i="5" s="1"/>
  <c r="P53" i="5"/>
  <c r="AX53" i="5" s="1"/>
  <c r="N7" i="5"/>
  <c r="AW7" i="5" s="1"/>
  <c r="J49" i="5"/>
  <c r="AU49" i="5" s="1"/>
  <c r="L34" i="5"/>
  <c r="AV34" i="5" s="1"/>
  <c r="N26" i="5"/>
  <c r="AW26" i="5" s="1"/>
  <c r="J10" i="5"/>
  <c r="AU10" i="5" s="1"/>
  <c r="H27" i="5"/>
  <c r="AT27" i="5" s="1"/>
  <c r="H33" i="5"/>
  <c r="AT33" i="5" s="1"/>
  <c r="L29" i="5"/>
  <c r="AV29" i="5" s="1"/>
  <c r="H8" i="5"/>
  <c r="AT8" i="5" s="1"/>
  <c r="F7" i="5"/>
  <c r="AS7" i="5" s="1"/>
  <c r="F8" i="5"/>
  <c r="AS8" i="5" s="1"/>
  <c r="L15" i="5"/>
  <c r="AV15" i="5" s="1"/>
  <c r="F53" i="5"/>
  <c r="AS53" i="5" s="1"/>
  <c r="F21" i="5"/>
  <c r="AS21" i="5" s="1"/>
  <c r="L26" i="5"/>
  <c r="AV26" i="5" s="1"/>
  <c r="N35" i="5"/>
  <c r="AW35" i="5" s="1"/>
  <c r="P36" i="5"/>
  <c r="AX36" i="5" s="1"/>
  <c r="H22" i="5"/>
  <c r="AT22" i="5" s="1"/>
  <c r="J36" i="5"/>
  <c r="AU36" i="5" s="1"/>
  <c r="P7" i="5"/>
  <c r="AX7" i="5" s="1"/>
  <c r="P35" i="5"/>
  <c r="AX35" i="5" s="1"/>
  <c r="N41" i="5"/>
  <c r="AW41" i="5" s="1"/>
  <c r="N53" i="5"/>
  <c r="AW53" i="5" s="1"/>
  <c r="L33" i="5"/>
  <c r="AV33" i="5" s="1"/>
  <c r="P41" i="5"/>
  <c r="AX41" i="5" s="1"/>
  <c r="F23" i="5"/>
  <c r="AS23" i="5" s="1"/>
  <c r="F13" i="5"/>
  <c r="AS13" i="5" s="1"/>
  <c r="J17" i="5"/>
  <c r="AU17" i="5" s="1"/>
  <c r="P15" i="5"/>
  <c r="AX15" i="5" s="1"/>
  <c r="H24" i="5"/>
  <c r="AT24" i="5" s="1"/>
  <c r="H41" i="5"/>
  <c r="AT41" i="5" s="1"/>
  <c r="N40" i="5"/>
  <c r="AW40" i="5" s="1"/>
  <c r="H26" i="5"/>
  <c r="AT26" i="5" s="1"/>
  <c r="P13" i="5"/>
  <c r="AX13" i="5" s="1"/>
  <c r="P18" i="5"/>
  <c r="AX18" i="5" s="1"/>
  <c r="H20" i="5"/>
  <c r="AT20" i="5" s="1"/>
  <c r="N42" i="5"/>
  <c r="AW42" i="5" s="1"/>
  <c r="N48" i="5"/>
  <c r="AW48" i="5" s="1"/>
  <c r="N22" i="5"/>
  <c r="AW22" i="5" s="1"/>
  <c r="P16" i="5"/>
  <c r="AX16" i="5" s="1"/>
  <c r="P27" i="5"/>
  <c r="AX27" i="5" s="1"/>
  <c r="F10" i="5"/>
  <c r="AS10" i="5" s="1"/>
  <c r="F27" i="5"/>
  <c r="AS27" i="5" s="1"/>
  <c r="H35" i="5"/>
  <c r="AT35" i="5" s="1"/>
  <c r="J12" i="5"/>
  <c r="AU12" i="5" s="1"/>
  <c r="H48" i="5"/>
  <c r="AT48" i="5" s="1"/>
  <c r="J47" i="5"/>
  <c r="AU47" i="5" s="1"/>
  <c r="L50" i="5"/>
  <c r="AV50" i="5" s="1"/>
  <c r="P43" i="5"/>
  <c r="AX43" i="5" s="1"/>
  <c r="N28" i="5"/>
  <c r="AW28" i="5" s="1"/>
  <c r="H46" i="5"/>
  <c r="AT46" i="5" s="1"/>
  <c r="N13" i="5"/>
  <c r="AW13" i="5" s="1"/>
  <c r="L10" i="5"/>
  <c r="AV10" i="5" s="1"/>
  <c r="P29" i="5"/>
  <c r="AX29" i="5" s="1"/>
  <c r="J53" i="5"/>
  <c r="AU53" i="5" s="1"/>
  <c r="P51" i="5"/>
  <c r="AX51" i="5" s="1"/>
  <c r="F14" i="5"/>
  <c r="AS14" i="5" s="1"/>
  <c r="F16" i="5"/>
  <c r="AS16" i="5" s="1"/>
  <c r="J6" i="5"/>
  <c r="AU6" i="5" s="1"/>
  <c r="J39" i="5"/>
  <c r="AU39" i="5" s="1"/>
  <c r="H32" i="5"/>
  <c r="AT32" i="5" s="1"/>
  <c r="N12" i="5"/>
  <c r="AW12" i="5" s="1"/>
  <c r="J9" i="5"/>
  <c r="AU9" i="5" s="1"/>
  <c r="J33" i="5"/>
  <c r="AU33" i="5" s="1"/>
  <c r="L42" i="5"/>
  <c r="AV42" i="5" s="1"/>
  <c r="H47" i="5"/>
  <c r="AT47" i="5" s="1"/>
  <c r="J32" i="5"/>
  <c r="AU32" i="5" s="1"/>
  <c r="J40" i="5"/>
  <c r="AU40" i="5" s="1"/>
  <c r="H12" i="5"/>
  <c r="AT12" i="5" s="1"/>
  <c r="J48" i="5"/>
  <c r="AU48" i="5" s="1"/>
  <c r="N50" i="5"/>
  <c r="AW50" i="5" s="1"/>
  <c r="L21" i="5"/>
  <c r="AV21" i="5" s="1"/>
  <c r="L6" i="5"/>
  <c r="AV6" i="5" s="1"/>
  <c r="H51" i="5"/>
  <c r="AT51" i="5" s="1"/>
  <c r="J38" i="5"/>
  <c r="AU38" i="5" s="1"/>
  <c r="F24" i="5"/>
  <c r="AS24" i="5" s="1"/>
  <c r="N38" i="5"/>
  <c r="AW38" i="5" s="1"/>
  <c r="J30" i="5"/>
  <c r="AU30" i="5" s="1"/>
  <c r="F29" i="5"/>
  <c r="AS29" i="5" s="1"/>
  <c r="N31" i="5"/>
  <c r="AW31" i="5" s="1"/>
  <c r="F11" i="5"/>
  <c r="AS11" i="5" s="1"/>
  <c r="F12" i="5"/>
  <c r="AS12" i="5" s="1"/>
  <c r="N8" i="5"/>
  <c r="AW8" i="5" s="1"/>
  <c r="P19" i="5"/>
  <c r="AX19" i="5" s="1"/>
  <c r="P17" i="5"/>
  <c r="AX17" i="5" s="1"/>
  <c r="N36" i="5"/>
  <c r="AW36" i="5" s="1"/>
  <c r="L39" i="5"/>
  <c r="AV39" i="5" s="1"/>
  <c r="H49" i="5"/>
  <c r="AT49" i="5" s="1"/>
  <c r="J20" i="5"/>
  <c r="AU20" i="5" s="1"/>
  <c r="H39" i="5"/>
  <c r="AT39" i="5" s="1"/>
  <c r="N15" i="5"/>
  <c r="AW15" i="5" s="1"/>
  <c r="H30" i="5"/>
  <c r="AT30" i="5" s="1"/>
  <c r="L24" i="5"/>
  <c r="AV24" i="5" s="1"/>
  <c r="H43" i="5"/>
  <c r="AT43" i="5" s="1"/>
  <c r="F32" i="5"/>
  <c r="AS32" i="5" s="1"/>
  <c r="F20" i="5"/>
  <c r="AS20" i="5" s="1"/>
  <c r="F19" i="5"/>
  <c r="AS19" i="5" s="1"/>
  <c r="P39" i="5"/>
  <c r="AX39" i="5" s="1"/>
  <c r="L40" i="5"/>
  <c r="AV40" i="5" s="1"/>
  <c r="J51" i="5"/>
  <c r="AU51" i="5" s="1"/>
  <c r="J24" i="5"/>
  <c r="AU24" i="5" s="1"/>
  <c r="J46" i="5"/>
  <c r="AU46" i="5" s="1"/>
  <c r="N21" i="5"/>
  <c r="AW21" i="5" s="1"/>
  <c r="H21" i="5"/>
  <c r="AT21" i="5" s="1"/>
  <c r="J13" i="5"/>
  <c r="AU13" i="5" s="1"/>
  <c r="H29" i="5"/>
  <c r="AT29" i="5" s="1"/>
  <c r="J22" i="5"/>
  <c r="AU22" i="5" s="1"/>
  <c r="P31" i="5"/>
  <c r="AX31" i="5" s="1"/>
  <c r="J16" i="5"/>
  <c r="AU16" i="5" s="1"/>
  <c r="L20" i="5"/>
  <c r="AV20" i="5" s="1"/>
  <c r="H31" i="5"/>
  <c r="AT31" i="5" s="1"/>
  <c r="J11" i="5"/>
  <c r="AU11" i="5" s="1"/>
  <c r="N37" i="5"/>
  <c r="AW37" i="5" s="1"/>
  <c r="P45" i="5"/>
  <c r="AX45" i="5" s="1"/>
  <c r="F37" i="5"/>
  <c r="AS37" i="5" s="1"/>
  <c r="F5" i="5"/>
  <c r="AA5" i="5" s="1"/>
  <c r="AW14" i="5"/>
  <c r="AS52" i="5"/>
  <c r="AT50" i="5"/>
  <c r="AU25" i="5"/>
  <c r="AU23" i="5"/>
  <c r="AS34" i="5"/>
  <c r="AV38" i="5"/>
  <c r="AS22" i="5"/>
  <c r="AU44" i="5"/>
  <c r="AT16" i="5"/>
  <c r="AS30" i="5"/>
  <c r="AE11" i="5"/>
  <c r="AS26" i="5"/>
  <c r="AA34" i="5"/>
  <c r="AD36" i="5"/>
  <c r="AA52" i="5"/>
  <c r="AC18" i="5"/>
  <c r="AE35" i="5"/>
  <c r="AC23" i="5"/>
  <c r="AA36" i="5"/>
  <c r="AA28" i="5"/>
  <c r="AC26" i="5"/>
  <c r="AD49" i="5"/>
  <c r="AE9" i="5"/>
  <c r="AZ38" i="5"/>
  <c r="AD16" i="5"/>
  <c r="AD21" i="5"/>
  <c r="AZ31" i="5"/>
  <c r="AZ13" i="5"/>
  <c r="AZ53" i="5"/>
  <c r="AE5" i="5"/>
  <c r="AZ11" i="5"/>
  <c r="AZ28" i="5"/>
  <c r="AZ34" i="5"/>
  <c r="AD7" i="5"/>
  <c r="AZ50" i="5"/>
  <c r="AD18" i="5"/>
  <c r="AZ49" i="5"/>
  <c r="AZ48" i="5"/>
  <c r="AF48" i="5"/>
  <c r="AW51" i="5"/>
  <c r="AS48" i="5"/>
  <c r="AA18" i="5"/>
  <c r="AA22" i="5"/>
  <c r="AC52" i="5"/>
  <c r="AB16" i="5"/>
  <c r="AC44" i="5"/>
  <c r="AE33" i="5"/>
  <c r="AE44" i="5"/>
  <c r="AB50" i="5"/>
  <c r="AC25" i="5"/>
  <c r="AD32" i="5"/>
  <c r="AA30" i="5"/>
  <c r="AE19" i="5"/>
  <c r="AE20" i="5"/>
  <c r="AD38" i="5"/>
  <c r="AE40" i="5"/>
  <c r="AF8" i="5"/>
  <c r="AZ8" i="5"/>
  <c r="AZ40" i="5"/>
  <c r="AC49" i="5"/>
  <c r="AZ45" i="5"/>
  <c r="AB37" i="5"/>
  <c r="AZ22" i="5"/>
  <c r="AD53" i="5"/>
  <c r="AC17" i="5"/>
  <c r="AF44" i="5"/>
  <c r="AZ44" i="5"/>
  <c r="AZ6" i="5"/>
  <c r="AF30" i="5"/>
  <c r="AZ30" i="5"/>
  <c r="AZ42" i="5"/>
  <c r="AF42" i="5"/>
  <c r="AC40" i="5"/>
  <c r="AZ46" i="5"/>
  <c r="AZ20" i="5"/>
  <c r="AF20" i="5"/>
  <c r="AZ39" i="5"/>
  <c r="AZ14" i="5"/>
  <c r="AT36" i="5"/>
  <c r="AW11" i="5"/>
  <c r="AS45" i="5"/>
  <c r="AA26" i="5"/>
  <c r="AE14" i="5"/>
  <c r="AA43" i="5"/>
  <c r="AA10" i="5"/>
  <c r="AD8" i="5"/>
  <c r="AA31" i="5"/>
  <c r="AA41" i="5"/>
  <c r="AC39" i="5"/>
  <c r="AD14" i="5"/>
  <c r="AC5" i="5"/>
  <c r="AZ36" i="5"/>
  <c r="AD47" i="5"/>
  <c r="AZ19" i="5"/>
  <c r="AC50" i="5"/>
  <c r="AC45" i="5"/>
  <c r="AD48" i="5"/>
  <c r="AB28" i="5"/>
  <c r="AC33" i="5"/>
  <c r="AZ10" i="5"/>
  <c r="AF10" i="5"/>
  <c r="AZ12" i="5"/>
  <c r="AZ43" i="5"/>
  <c r="AF29" i="5"/>
  <c r="AZ29" i="5"/>
  <c r="AZ24" i="5"/>
  <c r="AF32" i="5"/>
  <c r="AZ32" i="5"/>
  <c r="AZ15" i="5"/>
  <c r="AF15" i="5"/>
  <c r="AD51" i="5"/>
  <c r="AC30" i="5"/>
  <c r="AZ21" i="5"/>
  <c r="AZ52" i="5"/>
  <c r="AV22" i="5"/>
  <c r="AV5" i="5"/>
  <c r="AD50" i="5"/>
  <c r="AA53" i="5"/>
  <c r="AA7" i="5"/>
  <c r="AD37" i="5"/>
  <c r="AD52" i="5"/>
  <c r="AD46" i="5"/>
  <c r="AA23" i="5"/>
  <c r="AB45" i="5"/>
  <c r="AD44" i="5"/>
  <c r="AD28" i="5"/>
  <c r="AE30" i="5"/>
  <c r="AD35" i="5"/>
  <c r="AE26" i="5"/>
  <c r="AB52" i="5"/>
  <c r="AD13" i="5"/>
  <c r="AE39" i="5"/>
  <c r="AZ25" i="5"/>
  <c r="AZ18" i="5"/>
  <c r="AB18" i="5"/>
  <c r="AZ5" i="5"/>
  <c r="AF9" i="5"/>
  <c r="AZ9" i="5"/>
  <c r="AZ41" i="5"/>
  <c r="AF51" i="5"/>
  <c r="AZ51" i="5"/>
  <c r="AZ27" i="5"/>
  <c r="AF27" i="5"/>
  <c r="AB44" i="5"/>
  <c r="AZ37" i="5"/>
  <c r="AF37" i="5"/>
  <c r="AZ26" i="5"/>
  <c r="AZ47" i="5"/>
  <c r="AB8" i="5"/>
  <c r="AZ23" i="5"/>
  <c r="AZ7" i="5"/>
  <c r="AF16" i="5"/>
  <c r="AZ16" i="5"/>
  <c r="AD11" i="5"/>
  <c r="AE27" i="5"/>
  <c r="AZ33" i="5"/>
  <c r="AZ17" i="5"/>
  <c r="AF35" i="5"/>
  <c r="AZ35" i="5"/>
  <c r="AT53" i="5"/>
  <c r="AS35" i="5"/>
  <c r="AS49" i="5"/>
  <c r="AF13" i="5" l="1"/>
  <c r="AB22" i="5"/>
  <c r="AE28" i="5"/>
  <c r="AB30" i="5"/>
  <c r="AC48" i="5"/>
  <c r="AD29" i="5"/>
  <c r="AF31" i="5"/>
  <c r="AD9" i="5"/>
  <c r="AF7" i="5"/>
  <c r="AC21" i="5"/>
  <c r="AB48" i="5"/>
  <c r="AD31" i="5"/>
  <c r="AB35" i="5"/>
  <c r="AE31" i="5"/>
  <c r="AB13" i="5"/>
  <c r="AC29" i="5"/>
  <c r="AE10" i="5"/>
  <c r="AE49" i="5"/>
  <c r="AA12" i="5"/>
  <c r="AC11" i="5"/>
  <c r="AB38" i="5"/>
  <c r="AA24" i="5"/>
  <c r="AF39" i="5"/>
  <c r="AC7" i="5"/>
  <c r="AC51" i="5"/>
  <c r="AD15" i="5"/>
  <c r="AA16" i="5"/>
  <c r="AB25" i="5"/>
  <c r="AB21" i="5"/>
  <c r="AF49" i="5"/>
  <c r="AB49" i="5"/>
  <c r="AB14" i="5"/>
  <c r="AD17" i="5"/>
  <c r="AA39" i="5"/>
  <c r="AB19" i="5"/>
  <c r="AF23" i="5"/>
  <c r="AF26" i="5"/>
  <c r="AB5" i="5"/>
  <c r="AB20" i="5"/>
  <c r="AB39" i="5"/>
  <c r="AD33" i="5"/>
  <c r="AF52" i="5"/>
  <c r="AE6" i="5"/>
  <c r="AB24" i="5"/>
  <c r="AF12" i="5"/>
  <c r="AE48" i="5"/>
  <c r="AF19" i="5"/>
  <c r="AE18" i="5"/>
  <c r="AC19" i="5"/>
  <c r="AE32" i="5"/>
  <c r="AB7" i="5"/>
  <c r="AA20" i="5"/>
  <c r="AE12" i="5"/>
  <c r="AF34" i="5"/>
  <c r="AF11" i="5"/>
  <c r="AF53" i="5"/>
  <c r="AE13" i="5"/>
  <c r="AE41" i="5"/>
  <c r="AE52" i="5"/>
  <c r="AB43" i="5"/>
  <c r="AD20" i="5"/>
  <c r="AC46" i="5"/>
  <c r="AB47" i="5"/>
  <c r="AA47" i="5"/>
  <c r="AC32" i="5"/>
  <c r="AE36" i="5"/>
  <c r="AA21" i="5"/>
  <c r="AF45" i="5"/>
  <c r="AB27" i="5"/>
  <c r="AA9" i="5"/>
  <c r="AB51" i="5"/>
  <c r="AE47" i="5"/>
  <c r="AC37" i="5"/>
  <c r="AB11" i="5"/>
  <c r="AD42" i="5"/>
  <c r="AC20" i="5"/>
  <c r="V45" i="5"/>
  <c r="V26" i="5"/>
  <c r="V19" i="5"/>
  <c r="AF5" i="5"/>
  <c r="T5" i="5" s="1"/>
  <c r="AE42" i="5"/>
  <c r="AD10" i="5"/>
  <c r="AA29" i="5"/>
  <c r="AB42" i="5"/>
  <c r="AB15" i="5"/>
  <c r="AE43" i="5"/>
  <c r="AA32" i="5"/>
  <c r="AD43" i="5"/>
  <c r="AD23" i="5"/>
  <c r="AA50" i="5"/>
  <c r="AA44" i="5"/>
  <c r="T44" i="5" s="1"/>
  <c r="V30" i="5"/>
  <c r="AF17" i="5"/>
  <c r="AF18" i="5"/>
  <c r="T18" i="5" s="1"/>
  <c r="AC27" i="5"/>
  <c r="AA25" i="5"/>
  <c r="AB26" i="5"/>
  <c r="AE45" i="5"/>
  <c r="AA42" i="5"/>
  <c r="AC14" i="5"/>
  <c r="AE23" i="5"/>
  <c r="AC10" i="5"/>
  <c r="AD25" i="5"/>
  <c r="AA46" i="5"/>
  <c r="AB23" i="5"/>
  <c r="T23" i="5" s="1"/>
  <c r="AD41" i="5"/>
  <c r="AE25" i="5"/>
  <c r="V34" i="5"/>
  <c r="AC24" i="5"/>
  <c r="AF41" i="5"/>
  <c r="AA6" i="5"/>
  <c r="AE7" i="5"/>
  <c r="AD6" i="5"/>
  <c r="AB32" i="5"/>
  <c r="AB6" i="5"/>
  <c r="AF46" i="5"/>
  <c r="AD34" i="5"/>
  <c r="AB9" i="5"/>
  <c r="AC35" i="5"/>
  <c r="T35" i="5" s="1"/>
  <c r="AB12" i="5"/>
  <c r="AE24" i="5"/>
  <c r="V12" i="5"/>
  <c r="AR48" i="5"/>
  <c r="V48" i="5"/>
  <c r="AR52" i="5"/>
  <c r="V52" i="5"/>
  <c r="V16" i="5"/>
  <c r="V10" i="5"/>
  <c r="V23" i="5"/>
  <c r="V21" i="5"/>
  <c r="V7" i="5"/>
  <c r="V47" i="5"/>
  <c r="V9" i="5"/>
  <c r="V28" i="5"/>
  <c r="V43" i="5"/>
  <c r="V11" i="5"/>
  <c r="V14" i="5"/>
  <c r="V53" i="5"/>
  <c r="V6" i="5"/>
  <c r="V25" i="5"/>
  <c r="V46" i="5"/>
  <c r="V42" i="5"/>
  <c r="V44" i="5"/>
  <c r="V50" i="5"/>
  <c r="V31" i="5"/>
  <c r="T52" i="5"/>
  <c r="V22" i="5"/>
  <c r="V20" i="5"/>
  <c r="V24" i="5"/>
  <c r="V18" i="5"/>
  <c r="V41" i="5"/>
  <c r="V36" i="5"/>
  <c r="V39" i="5"/>
  <c r="T49" i="5"/>
  <c r="AR35" i="5"/>
  <c r="V35" i="5"/>
  <c r="AR49" i="5"/>
  <c r="V49" i="5"/>
  <c r="V37" i="5"/>
  <c r="V32" i="5"/>
  <c r="V29" i="5"/>
  <c r="V27" i="5"/>
  <c r="V13" i="5"/>
  <c r="V8" i="5"/>
  <c r="V33" i="5"/>
  <c r="V51" i="5"/>
  <c r="V38" i="5"/>
  <c r="V15" i="5"/>
  <c r="V40" i="5"/>
  <c r="AB10" i="5"/>
  <c r="T10" i="5" s="1"/>
  <c r="AC31" i="5"/>
  <c r="AC28" i="5"/>
  <c r="AA11" i="5"/>
  <c r="AC36" i="5"/>
  <c r="AC43" i="5"/>
  <c r="AE50" i="5"/>
  <c r="AD26" i="5"/>
  <c r="AF28" i="5"/>
  <c r="AE37" i="5"/>
  <c r="AA40" i="5"/>
  <c r="AA14" i="5"/>
  <c r="AF21" i="5"/>
  <c r="AB31" i="5"/>
  <c r="AF43" i="5"/>
  <c r="AF36" i="5"/>
  <c r="AD12" i="5"/>
  <c r="AC13" i="5"/>
  <c r="AF50" i="5"/>
  <c r="AB17" i="5"/>
  <c r="AE29" i="5"/>
  <c r="AS17" i="5"/>
  <c r="AR26" i="5"/>
  <c r="AR19" i="5"/>
  <c r="AR45" i="5"/>
  <c r="AR34" i="5"/>
  <c r="AR11" i="5"/>
  <c r="AR14" i="5"/>
  <c r="AR6" i="5"/>
  <c r="AR46" i="5"/>
  <c r="AR42" i="5"/>
  <c r="AR50" i="5"/>
  <c r="AR31" i="5"/>
  <c r="AR22" i="5"/>
  <c r="AR18" i="5"/>
  <c r="AR39" i="5"/>
  <c r="AR30" i="5"/>
  <c r="AR32" i="5"/>
  <c r="AR27" i="5"/>
  <c r="AR51" i="5"/>
  <c r="AR38" i="5"/>
  <c r="AR15" i="5"/>
  <c r="AR12" i="5"/>
  <c r="AR10" i="5"/>
  <c r="AR23" i="5"/>
  <c r="AR7" i="5"/>
  <c r="AR47" i="5"/>
  <c r="AR43" i="5"/>
  <c r="AR16" i="5"/>
  <c r="AR21" i="5"/>
  <c r="AR9" i="5"/>
  <c r="AR28" i="5"/>
  <c r="AR53" i="5"/>
  <c r="AR25" i="5"/>
  <c r="AR44" i="5"/>
  <c r="AR20" i="5"/>
  <c r="AR24" i="5"/>
  <c r="AR41" i="5"/>
  <c r="AR36" i="5"/>
  <c r="AR37" i="5"/>
  <c r="AR29" i="5"/>
  <c r="AR13" i="5"/>
  <c r="AR8" i="5"/>
  <c r="AR33" i="5"/>
  <c r="AR40" i="5"/>
  <c r="AB29" i="5"/>
  <c r="AE16" i="5"/>
  <c r="AD19" i="5"/>
  <c r="AC53" i="5"/>
  <c r="AA8" i="5"/>
  <c r="AA13" i="5"/>
  <c r="AB33" i="5"/>
  <c r="AA15" i="5"/>
  <c r="AF24" i="5"/>
  <c r="AE46" i="5"/>
  <c r="AC47" i="5"/>
  <c r="AA33" i="5"/>
  <c r="AD27" i="5"/>
  <c r="AC42" i="5"/>
  <c r="AE8" i="5"/>
  <c r="AD45" i="5"/>
  <c r="AE53" i="5"/>
  <c r="AF38" i="5"/>
  <c r="AC34" i="5"/>
  <c r="AC12" i="5"/>
  <c r="AE34" i="5"/>
  <c r="AF25" i="5"/>
  <c r="AC8" i="5"/>
  <c r="AC6" i="5"/>
  <c r="AF14" i="5"/>
  <c r="AD30" i="5"/>
  <c r="Z30" i="5" s="1"/>
  <c r="AF6" i="5"/>
  <c r="AF22" i="5"/>
  <c r="AF40" i="5"/>
  <c r="AE17" i="5"/>
  <c r="AC22" i="5"/>
  <c r="AC38" i="5"/>
  <c r="AD39" i="5"/>
  <c r="T39" i="5" s="1"/>
  <c r="AF33" i="5"/>
  <c r="AF47" i="5"/>
  <c r="AA19" i="5"/>
  <c r="AB34" i="5"/>
  <c r="AC16" i="5"/>
  <c r="T16" i="5" s="1"/>
  <c r="AD24" i="5"/>
  <c r="AB41" i="5"/>
  <c r="AE15" i="5"/>
  <c r="AE22" i="5"/>
  <c r="AC41" i="5"/>
  <c r="AA27" i="5"/>
  <c r="AC9" i="5"/>
  <c r="AB40" i="5"/>
  <c r="AE21" i="5"/>
  <c r="AB46" i="5"/>
  <c r="AA51" i="5"/>
  <c r="AE38" i="5"/>
  <c r="AD40" i="5"/>
  <c r="AC15" i="5"/>
  <c r="AA38" i="5"/>
  <c r="AA37" i="5"/>
  <c r="AS5" i="5"/>
  <c r="Z48" i="5"/>
  <c r="Z49" i="5"/>
  <c r="AP49" i="5" s="1"/>
  <c r="Z35" i="5"/>
  <c r="AP35" i="5" s="1"/>
  <c r="Z23" i="5"/>
  <c r="Z10" i="5"/>
  <c r="Z31" i="5"/>
  <c r="Z18" i="5"/>
  <c r="AP18" i="5" s="1"/>
  <c r="Z20" i="5"/>
  <c r="AP20" i="5" s="1"/>
  <c r="Z44" i="5"/>
  <c r="Z52" i="5"/>
  <c r="AP52" i="5" s="1"/>
  <c r="Z5" i="5"/>
  <c r="T48" i="5" l="1"/>
  <c r="T31" i="5"/>
  <c r="T26" i="5"/>
  <c r="T11" i="5"/>
  <c r="T32" i="5"/>
  <c r="T27" i="5"/>
  <c r="Z32" i="5"/>
  <c r="T24" i="5"/>
  <c r="T13" i="5"/>
  <c r="T7" i="5"/>
  <c r="Z43" i="5"/>
  <c r="AP43" i="5" s="1"/>
  <c r="T20" i="5"/>
  <c r="Z47" i="5"/>
  <c r="AP47" i="5" s="1"/>
  <c r="Z17" i="5"/>
  <c r="Z25" i="5"/>
  <c r="AP25" i="5" s="1"/>
  <c r="Z42" i="5"/>
  <c r="AP42" i="5" s="1"/>
  <c r="Z7" i="5"/>
  <c r="AP7" i="5" s="1"/>
  <c r="Z26" i="5"/>
  <c r="AP26" i="5" s="1"/>
  <c r="AP48" i="5"/>
  <c r="T34" i="5"/>
  <c r="Z14" i="5"/>
  <c r="AP14" i="5" s="1"/>
  <c r="AP10" i="5"/>
  <c r="Z11" i="5"/>
  <c r="AP11" i="5" s="1"/>
  <c r="T46" i="5"/>
  <c r="T41" i="5"/>
  <c r="T12" i="5"/>
  <c r="Z45" i="5"/>
  <c r="AP45" i="5" s="1"/>
  <c r="Z28" i="5"/>
  <c r="AP28" i="5" s="1"/>
  <c r="AP32" i="5"/>
  <c r="Z50" i="5"/>
  <c r="AP50" i="5" s="1"/>
  <c r="Z36" i="5"/>
  <c r="AP36" i="5" s="1"/>
  <c r="AP23" i="5"/>
  <c r="T21" i="5"/>
  <c r="AP30" i="5"/>
  <c r="AP44" i="5"/>
  <c r="AP31" i="5"/>
  <c r="Z9" i="5"/>
  <c r="AM9" i="5" s="1"/>
  <c r="T6" i="5"/>
  <c r="Z29" i="5"/>
  <c r="AP29" i="5" s="1"/>
  <c r="T36" i="5"/>
  <c r="T28" i="5"/>
  <c r="T50" i="5"/>
  <c r="T43" i="5"/>
  <c r="T53" i="5"/>
  <c r="T22" i="5"/>
  <c r="T47" i="5"/>
  <c r="T17" i="5"/>
  <c r="T38" i="5"/>
  <c r="Z51" i="5"/>
  <c r="AP51" i="5" s="1"/>
  <c r="T51" i="5"/>
  <c r="T8" i="5"/>
  <c r="AR17" i="5"/>
  <c r="AP17" i="5" s="1"/>
  <c r="V17" i="5"/>
  <c r="T9" i="5"/>
  <c r="T30" i="5"/>
  <c r="Z19" i="5"/>
  <c r="AP19" i="5" s="1"/>
  <c r="T19" i="5"/>
  <c r="T33" i="5"/>
  <c r="T15" i="5"/>
  <c r="AR5" i="5"/>
  <c r="AP5" i="5" s="1"/>
  <c r="V5" i="5"/>
  <c r="T14" i="5"/>
  <c r="T45" i="5"/>
  <c r="T29" i="5"/>
  <c r="T42" i="5"/>
  <c r="Z37" i="5"/>
  <c r="AP37" i="5" s="1"/>
  <c r="T37" i="5"/>
  <c r="T40" i="5"/>
  <c r="T25" i="5"/>
  <c r="Z13" i="5"/>
  <c r="AP13" i="5" s="1"/>
  <c r="Z22" i="5"/>
  <c r="AP22" i="5" s="1"/>
  <c r="Z15" i="5"/>
  <c r="AP15" i="5" s="1"/>
  <c r="Z39" i="5"/>
  <c r="AP39" i="5" s="1"/>
  <c r="Z12" i="5"/>
  <c r="AP12" i="5" s="1"/>
  <c r="AN49" i="5"/>
  <c r="Z53" i="5"/>
  <c r="AP53" i="5" s="1"/>
  <c r="Z34" i="5"/>
  <c r="AP34" i="5" s="1"/>
  <c r="Z46" i="5"/>
  <c r="AP46" i="5" s="1"/>
  <c r="Z41" i="5"/>
  <c r="AP41" i="5" s="1"/>
  <c r="Z38" i="5"/>
  <c r="AP38" i="5" s="1"/>
  <c r="Z6" i="5"/>
  <c r="AP6" i="5" s="1"/>
  <c r="AL49" i="5"/>
  <c r="AK45" i="5"/>
  <c r="Z8" i="5"/>
  <c r="AP8" i="5" s="1"/>
  <c r="Z33" i="5"/>
  <c r="AP33" i="5" s="1"/>
  <c r="Z27" i="5"/>
  <c r="AP27" i="5" s="1"/>
  <c r="Z24" i="5"/>
  <c r="AP24" i="5" s="1"/>
  <c r="Z16" i="5"/>
  <c r="AP16" i="5" s="1"/>
  <c r="Z21" i="5"/>
  <c r="AP21" i="5" s="1"/>
  <c r="Z40" i="5"/>
  <c r="AP40" i="5" s="1"/>
  <c r="AN48" i="5"/>
  <c r="AJ49" i="5"/>
  <c r="AN35" i="5"/>
  <c r="AK49" i="5"/>
  <c r="AJ45" i="5"/>
  <c r="AM49" i="5"/>
  <c r="AO49" i="5"/>
  <c r="AN44" i="5"/>
  <c r="AL44" i="5"/>
  <c r="AO44" i="5"/>
  <c r="AM44" i="5"/>
  <c r="AK44" i="5"/>
  <c r="AJ44" i="5"/>
  <c r="AL43" i="5"/>
  <c r="AK43" i="5"/>
  <c r="AO43" i="5"/>
  <c r="AO10" i="5"/>
  <c r="AN10" i="5"/>
  <c r="AK10" i="5"/>
  <c r="AL10" i="5"/>
  <c r="AM10" i="5"/>
  <c r="AJ10" i="5"/>
  <c r="AN25" i="5"/>
  <c r="AM25" i="5"/>
  <c r="AK25" i="5"/>
  <c r="AN18" i="5"/>
  <c r="AL18" i="5"/>
  <c r="AM18" i="5"/>
  <c r="AO18" i="5"/>
  <c r="AK18" i="5"/>
  <c r="AJ18" i="5"/>
  <c r="AM17" i="5"/>
  <c r="AN9" i="5"/>
  <c r="AO9" i="5"/>
  <c r="AJ9" i="5"/>
  <c r="AJ29" i="5"/>
  <c r="AK42" i="5"/>
  <c r="AO42" i="5"/>
  <c r="AN42" i="5"/>
  <c r="AM42" i="5"/>
  <c r="AL42" i="5"/>
  <c r="AJ42" i="5"/>
  <c r="AO26" i="5"/>
  <c r="AN26" i="5"/>
  <c r="AM26" i="5"/>
  <c r="AL26" i="5"/>
  <c r="AK26" i="5"/>
  <c r="AJ26" i="5"/>
  <c r="AO53" i="5"/>
  <c r="AL53" i="5"/>
  <c r="AJ53" i="5"/>
  <c r="AJ48" i="5"/>
  <c r="AL48" i="5"/>
  <c r="AK35" i="5"/>
  <c r="AL23" i="5"/>
  <c r="AK23" i="5"/>
  <c r="AO23" i="5"/>
  <c r="AM23" i="5"/>
  <c r="AN23" i="5"/>
  <c r="AJ23" i="5"/>
  <c r="AK39" i="5"/>
  <c r="AN39" i="5"/>
  <c r="AJ39" i="5"/>
  <c r="AM20" i="5"/>
  <c r="AK20" i="5"/>
  <c r="AJ20" i="5"/>
  <c r="AL20" i="5"/>
  <c r="AN20" i="5"/>
  <c r="AO20" i="5"/>
  <c r="AK15" i="5"/>
  <c r="AO15" i="5"/>
  <c r="AJ15" i="5"/>
  <c r="AN51" i="5"/>
  <c r="AK51" i="5"/>
  <c r="AJ51" i="5"/>
  <c r="AL32" i="5"/>
  <c r="AO32" i="5"/>
  <c r="AM32" i="5"/>
  <c r="AJ32" i="5"/>
  <c r="AK32" i="5"/>
  <c r="AN32" i="5"/>
  <c r="AO46" i="5"/>
  <c r="AO14" i="5"/>
  <c r="AJ14" i="5"/>
  <c r="AK30" i="5"/>
  <c r="AM30" i="5"/>
  <c r="AL30" i="5"/>
  <c r="AN30" i="5"/>
  <c r="AO30" i="5"/>
  <c r="AJ30" i="5"/>
  <c r="AN31" i="5"/>
  <c r="AL31" i="5"/>
  <c r="AJ31" i="5"/>
  <c r="AO31" i="5"/>
  <c r="AM31" i="5"/>
  <c r="AK31" i="5"/>
  <c r="AO48" i="5"/>
  <c r="AK48" i="5"/>
  <c r="AO35" i="5"/>
  <c r="AL36" i="5"/>
  <c r="AO36" i="5"/>
  <c r="AN36" i="5"/>
  <c r="AK36" i="5"/>
  <c r="AM36" i="5"/>
  <c r="AJ36" i="5"/>
  <c r="AM27" i="5"/>
  <c r="AJ27" i="5"/>
  <c r="AO28" i="5"/>
  <c r="AM28" i="5"/>
  <c r="AN28" i="5"/>
  <c r="AL28" i="5"/>
  <c r="AK28" i="5"/>
  <c r="AJ28" i="5"/>
  <c r="AL52" i="5"/>
  <c r="AM52" i="5"/>
  <c r="AK52" i="5"/>
  <c r="AO52" i="5"/>
  <c r="AN52" i="5"/>
  <c r="AJ52" i="5"/>
  <c r="AN50" i="5"/>
  <c r="AM50" i="5"/>
  <c r="AO50" i="5"/>
  <c r="AJ50" i="5"/>
  <c r="AL50" i="5"/>
  <c r="AK50" i="5"/>
  <c r="AM41" i="5"/>
  <c r="AL41" i="5"/>
  <c r="AO41" i="5"/>
  <c r="AO11" i="5"/>
  <c r="AL11" i="5"/>
  <c r="AN11" i="5"/>
  <c r="AM11" i="5"/>
  <c r="AK11" i="5"/>
  <c r="AJ11" i="5"/>
  <c r="AO22" i="5"/>
  <c r="AJ22" i="5"/>
  <c r="AK16" i="5"/>
  <c r="AL16" i="5"/>
  <c r="AN16" i="5"/>
  <c r="AM16" i="5"/>
  <c r="AO16" i="5"/>
  <c r="AJ16" i="5"/>
  <c r="AN21" i="5"/>
  <c r="AM19" i="5"/>
  <c r="AL19" i="5"/>
  <c r="AM48" i="5"/>
  <c r="AJ35" i="5"/>
  <c r="AL35" i="5"/>
  <c r="AM34" i="5"/>
  <c r="AN34" i="5"/>
  <c r="AL47" i="5"/>
  <c r="AM47" i="5"/>
  <c r="AK47" i="5"/>
  <c r="AN47" i="5"/>
  <c r="AO47" i="5"/>
  <c r="AJ47" i="5"/>
  <c r="AL38" i="5"/>
  <c r="AM38" i="5"/>
  <c r="AO38" i="5"/>
  <c r="AN38" i="5"/>
  <c r="AK38" i="5"/>
  <c r="AJ38" i="5"/>
  <c r="AN24" i="5"/>
  <c r="AK24" i="5"/>
  <c r="AM24" i="5"/>
  <c r="AL24" i="5"/>
  <c r="AK12" i="5"/>
  <c r="AO12" i="5"/>
  <c r="AL7" i="5"/>
  <c r="AJ7" i="5"/>
  <c r="AL13" i="5"/>
  <c r="AK13" i="5"/>
  <c r="AL37" i="5"/>
  <c r="AN37" i="5"/>
  <c r="AO37" i="5"/>
  <c r="AK37" i="5"/>
  <c r="AM37" i="5"/>
  <c r="AJ37" i="5"/>
  <c r="AN33" i="5"/>
  <c r="AM33" i="5"/>
  <c r="AN5" i="5"/>
  <c r="AM35" i="5"/>
  <c r="AJ41" i="5" l="1"/>
  <c r="AO51" i="5"/>
  <c r="AM51" i="5"/>
  <c r="AL15" i="5"/>
  <c r="AK53" i="5"/>
  <c r="AN29" i="5"/>
  <c r="AL9" i="5"/>
  <c r="AO25" i="5"/>
  <c r="AM43" i="5"/>
  <c r="AN45" i="5"/>
  <c r="AL45" i="5"/>
  <c r="AP9" i="5"/>
  <c r="AJ24" i="5"/>
  <c r="AO24" i="5"/>
  <c r="AN41" i="5"/>
  <c r="AK41" i="5"/>
  <c r="AK6" i="5"/>
  <c r="AL51" i="5"/>
  <c r="AN15" i="5"/>
  <c r="AM15" i="5"/>
  <c r="AN53" i="5"/>
  <c r="AM53" i="5"/>
  <c r="AK9" i="5"/>
  <c r="AJ25" i="5"/>
  <c r="AL25" i="5"/>
  <c r="AJ43" i="5"/>
  <c r="AN43" i="5"/>
  <c r="AO45" i="5"/>
  <c r="AM45" i="5"/>
  <c r="AN17" i="5"/>
  <c r="AJ5" i="5"/>
  <c r="AK5" i="5"/>
  <c r="AN19" i="5"/>
  <c r="AL27" i="5"/>
  <c r="AO27" i="5"/>
  <c r="AK14" i="5"/>
  <c r="AL17" i="5"/>
  <c r="AL5" i="5"/>
  <c r="AO7" i="5"/>
  <c r="AK19" i="5"/>
  <c r="AL22" i="5"/>
  <c r="AK27" i="5"/>
  <c r="AM14" i="5"/>
  <c r="AM46" i="5"/>
  <c r="AK17" i="5"/>
  <c r="AO17" i="5"/>
  <c r="AK7" i="5"/>
  <c r="AM7" i="5"/>
  <c r="AM22" i="5"/>
  <c r="AK22" i="5"/>
  <c r="AJ46" i="5"/>
  <c r="AN46" i="5"/>
  <c r="AM5" i="5"/>
  <c r="AN7" i="5"/>
  <c r="AJ19" i="5"/>
  <c r="AO19" i="5"/>
  <c r="AN22" i="5"/>
  <c r="AN27" i="5"/>
  <c r="AN14" i="5"/>
  <c r="AL14" i="5"/>
  <c r="AL46" i="5"/>
  <c r="AJ17" i="5"/>
  <c r="AN40" i="5"/>
  <c r="AL33" i="5"/>
  <c r="AJ13" i="5"/>
  <c r="AL12" i="5"/>
  <c r="AK34" i="5"/>
  <c r="AK21" i="5"/>
  <c r="AL6" i="5"/>
  <c r="AO29" i="5"/>
  <c r="AL29" i="5"/>
  <c r="AM13" i="5"/>
  <c r="AJ6" i="5"/>
  <c r="AO6" i="5"/>
  <c r="AM29" i="5"/>
  <c r="AO33" i="5"/>
  <c r="AM12" i="5"/>
  <c r="AL34" i="5"/>
  <c r="AJ21" i="5"/>
  <c r="AL21" i="5"/>
  <c r="AJ33" i="5"/>
  <c r="AK33" i="5"/>
  <c r="AN13" i="5"/>
  <c r="AO13" i="5"/>
  <c r="AJ12" i="5"/>
  <c r="AN12" i="5"/>
  <c r="AJ34" i="5"/>
  <c r="AO34" i="5"/>
  <c r="AM21" i="5"/>
  <c r="AO21" i="5"/>
  <c r="AM6" i="5"/>
  <c r="AN6" i="5"/>
  <c r="AK29" i="5"/>
  <c r="U16" i="5"/>
  <c r="W16" i="5" s="1"/>
  <c r="U28" i="5"/>
  <c r="W28" i="5" s="1"/>
  <c r="U36" i="5"/>
  <c r="W36" i="5" s="1"/>
  <c r="U26" i="5"/>
  <c r="W26" i="5" s="1"/>
  <c r="AO5" i="5"/>
  <c r="AI48" i="5"/>
  <c r="AI52" i="5"/>
  <c r="AI32" i="5"/>
  <c r="U42" i="5"/>
  <c r="W42" i="5" s="1"/>
  <c r="U18" i="5"/>
  <c r="W18" i="5" s="1"/>
  <c r="U38" i="5"/>
  <c r="W38" i="5" s="1"/>
  <c r="U30" i="5"/>
  <c r="U20" i="5"/>
  <c r="W20" i="5" s="1"/>
  <c r="U10" i="5"/>
  <c r="W10" i="5" s="1"/>
  <c r="U44" i="5"/>
  <c r="W44" i="5" s="1"/>
  <c r="AI30" i="5"/>
  <c r="AI20" i="5"/>
  <c r="AI26" i="5"/>
  <c r="U11" i="5"/>
  <c r="W11" i="5" s="1"/>
  <c r="AI11" i="5"/>
  <c r="U41" i="5"/>
  <c r="W41" i="5" s="1"/>
  <c r="AI41" i="5"/>
  <c r="U31" i="5"/>
  <c r="W31" i="5" s="1"/>
  <c r="AI31" i="5"/>
  <c r="U51" i="5"/>
  <c r="W51" i="5" s="1"/>
  <c r="AI51" i="5"/>
  <c r="U25" i="5"/>
  <c r="W25" i="5" s="1"/>
  <c r="AI25" i="5"/>
  <c r="U45" i="5"/>
  <c r="W45" i="5" s="1"/>
  <c r="E46" i="41" s="1"/>
  <c r="AI45" i="5"/>
  <c r="AI49" i="5"/>
  <c r="U49" i="5"/>
  <c r="W49" i="5" s="1"/>
  <c r="AI6" i="5"/>
  <c r="AI36" i="5"/>
  <c r="W30" i="5"/>
  <c r="U19" i="5"/>
  <c r="W19" i="5" s="1"/>
  <c r="U37" i="5"/>
  <c r="W37" i="5" s="1"/>
  <c r="AI37" i="5"/>
  <c r="U7" i="5"/>
  <c r="W7" i="5" s="1"/>
  <c r="U24" i="5"/>
  <c r="W24" i="5" s="1"/>
  <c r="U47" i="5"/>
  <c r="W47" i="5" s="1"/>
  <c r="AI47" i="5"/>
  <c r="U23" i="5"/>
  <c r="W23" i="5" s="1"/>
  <c r="AI23" i="5"/>
  <c r="U48" i="5"/>
  <c r="W48" i="5" s="1"/>
  <c r="U43" i="5"/>
  <c r="W43" i="5" s="1"/>
  <c r="AI43" i="5"/>
  <c r="AI16" i="5"/>
  <c r="AI38" i="5"/>
  <c r="AI44" i="5"/>
  <c r="AI10" i="5"/>
  <c r="U35" i="5"/>
  <c r="W35" i="5" s="1"/>
  <c r="AI35" i="5"/>
  <c r="U22" i="5"/>
  <c r="W22" i="5" s="1"/>
  <c r="U50" i="5"/>
  <c r="W50" i="5" s="1"/>
  <c r="U52" i="5"/>
  <c r="W52" i="5" s="1"/>
  <c r="U27" i="5"/>
  <c r="W27" i="5" s="1"/>
  <c r="AI27" i="5"/>
  <c r="U14" i="5"/>
  <c r="W14" i="5" s="1"/>
  <c r="U32" i="5"/>
  <c r="W32" i="5" s="1"/>
  <c r="U15" i="5"/>
  <c r="W15" i="5" s="1"/>
  <c r="AI15" i="5"/>
  <c r="AI53" i="5"/>
  <c r="U53" i="5"/>
  <c r="W53" i="5" s="1"/>
  <c r="AI9" i="5"/>
  <c r="U9" i="5"/>
  <c r="W9" i="5" s="1"/>
  <c r="U17" i="5"/>
  <c r="W17" i="5" s="1"/>
  <c r="AI17" i="5"/>
  <c r="AI24" i="5"/>
  <c r="AI42" i="5"/>
  <c r="AI50" i="5"/>
  <c r="AI28" i="5"/>
  <c r="AI18" i="5"/>
  <c r="AM8" i="5"/>
  <c r="AO8" i="5"/>
  <c r="AK8" i="5"/>
  <c r="AN8" i="5"/>
  <c r="AJ8" i="5"/>
  <c r="AL8" i="5"/>
  <c r="AK46" i="5"/>
  <c r="AI46" i="5" s="1"/>
  <c r="AM39" i="5"/>
  <c r="AO39" i="5"/>
  <c r="AL39" i="5"/>
  <c r="AM40" i="5"/>
  <c r="AJ40" i="5"/>
  <c r="AL40" i="5"/>
  <c r="AK40" i="5"/>
  <c r="AO40" i="5"/>
  <c r="AI5" i="5"/>
  <c r="E50" i="25"/>
  <c r="E50" i="41"/>
  <c r="AI33" i="5" l="1"/>
  <c r="U5" i="5"/>
  <c r="W5" i="5" s="1"/>
  <c r="AI7" i="5"/>
  <c r="AI19" i="5"/>
  <c r="AI14" i="5"/>
  <c r="U33" i="5"/>
  <c r="W33" i="5" s="1"/>
  <c r="U29" i="5"/>
  <c r="W29" i="5" s="1"/>
  <c r="E30" i="25" s="1"/>
  <c r="U12" i="5"/>
  <c r="W12" i="5" s="1"/>
  <c r="AI22" i="5"/>
  <c r="AI12" i="5"/>
  <c r="U6" i="5"/>
  <c r="W6" i="5" s="1"/>
  <c r="E7" i="41" s="1"/>
  <c r="AI34" i="5"/>
  <c r="U13" i="5"/>
  <c r="W13" i="5" s="1"/>
  <c r="E14" i="25" s="1"/>
  <c r="U21" i="5"/>
  <c r="W21" i="5" s="1"/>
  <c r="AI29" i="5"/>
  <c r="AI21" i="5"/>
  <c r="AI13" i="5"/>
  <c r="U34" i="5"/>
  <c r="W34" i="5" s="1"/>
  <c r="U40" i="5"/>
  <c r="W40" i="5" s="1"/>
  <c r="E41" i="41" s="1"/>
  <c r="U39" i="5"/>
  <c r="W39" i="5" s="1"/>
  <c r="E40" i="41" s="1"/>
  <c r="AI40" i="5"/>
  <c r="U46" i="5"/>
  <c r="W46" i="5" s="1"/>
  <c r="E47" i="25" s="1"/>
  <c r="E46" i="25"/>
  <c r="AI39" i="5"/>
  <c r="U8" i="5"/>
  <c r="W8" i="5" s="1"/>
  <c r="E9" i="41" s="1"/>
  <c r="AI8" i="5"/>
  <c r="E10" i="25"/>
  <c r="E10" i="41"/>
  <c r="E28" i="41"/>
  <c r="E28" i="25"/>
  <c r="E53" i="25"/>
  <c r="E53" i="41"/>
  <c r="E36" i="41"/>
  <c r="E36" i="25"/>
  <c r="E25" i="25"/>
  <c r="E25" i="41"/>
  <c r="E33" i="25"/>
  <c r="E33" i="41"/>
  <c r="E23" i="41"/>
  <c r="E23" i="25"/>
  <c r="E19" i="41"/>
  <c r="E19" i="25"/>
  <c r="E52" i="41"/>
  <c r="E52" i="25"/>
  <c r="E16" i="41"/>
  <c r="E16" i="25"/>
  <c r="E29" i="41"/>
  <c r="E29" i="25"/>
  <c r="E27" i="41"/>
  <c r="E27" i="25"/>
  <c r="E14" i="41"/>
  <c r="E45" i="25"/>
  <c r="E45" i="41"/>
  <c r="E21" i="25"/>
  <c r="E21" i="41"/>
  <c r="E38" i="25"/>
  <c r="E38" i="41"/>
  <c r="E54" i="41"/>
  <c r="E54" i="25"/>
  <c r="E37" i="25"/>
  <c r="E37" i="41"/>
  <c r="E22" i="25"/>
  <c r="E22" i="41"/>
  <c r="E13" i="25"/>
  <c r="E13" i="41"/>
  <c r="E26" i="25"/>
  <c r="E26" i="41"/>
  <c r="E17" i="25"/>
  <c r="E17" i="41"/>
  <c r="E44" i="41"/>
  <c r="E44" i="25"/>
  <c r="E43" i="41"/>
  <c r="E43" i="25"/>
  <c r="E24" i="41"/>
  <c r="E24" i="25"/>
  <c r="E39" i="25"/>
  <c r="E39" i="41"/>
  <c r="E31" i="41"/>
  <c r="E31" i="25"/>
  <c r="E6" i="25"/>
  <c r="E6" i="41"/>
  <c r="E30" i="41"/>
  <c r="E40" i="25"/>
  <c r="E15" i="25"/>
  <c r="E15" i="41"/>
  <c r="E20" i="25"/>
  <c r="E20" i="41"/>
  <c r="E49" i="25"/>
  <c r="E49" i="41"/>
  <c r="E47" i="41"/>
  <c r="E11" i="25"/>
  <c r="E11" i="41"/>
  <c r="E18" i="41"/>
  <c r="E18" i="25"/>
  <c r="E32" i="41"/>
  <c r="E32" i="25"/>
  <c r="E51" i="25"/>
  <c r="E51" i="41"/>
  <c r="E8" i="41"/>
  <c r="E8" i="25"/>
  <c r="E34" i="41"/>
  <c r="E34" i="25"/>
  <c r="E48" i="41"/>
  <c r="E48" i="25"/>
  <c r="E42" i="41"/>
  <c r="E42" i="25"/>
  <c r="E41" i="25"/>
  <c r="E12" i="41"/>
  <c r="E12" i="25"/>
  <c r="E35" i="25"/>
  <c r="E35" i="41"/>
  <c r="E7" i="25" l="1"/>
  <c r="E9" i="25"/>
  <c r="E9" i="44"/>
  <c r="E11" i="30"/>
</calcChain>
</file>

<file path=xl/sharedStrings.xml><?xml version="1.0" encoding="utf-8"?>
<sst xmlns="http://schemas.openxmlformats.org/spreadsheetml/2006/main" count="10572" uniqueCount="1214">
  <si>
    <t xml:space="preserve">KOMPETENSI DASAR </t>
  </si>
  <si>
    <t>DESKRIPSI</t>
  </si>
  <si>
    <t>NO</t>
  </si>
  <si>
    <t>No Induk</t>
  </si>
  <si>
    <t>NAMA SISWA</t>
  </si>
  <si>
    <t>Nilai</t>
  </si>
  <si>
    <t>Predikat</t>
  </si>
  <si>
    <t>4.1</t>
  </si>
  <si>
    <t>4.2</t>
  </si>
  <si>
    <t>4.3</t>
  </si>
  <si>
    <t>4.4</t>
  </si>
  <si>
    <t>Nama Sekolah</t>
  </si>
  <si>
    <t>Lumajang</t>
  </si>
  <si>
    <t>Semester</t>
  </si>
  <si>
    <t>Jawa Timur</t>
  </si>
  <si>
    <t>DATA SISWA</t>
  </si>
  <si>
    <t>No</t>
  </si>
  <si>
    <t>Nama lengkap</t>
  </si>
  <si>
    <t>NISN</t>
  </si>
  <si>
    <t>Nama panggilan</t>
  </si>
  <si>
    <t>Jenis Kelamin</t>
  </si>
  <si>
    <t>Agama</t>
  </si>
  <si>
    <t>Tempat tanggal lahir</t>
  </si>
  <si>
    <t>Pendidikan sebelumnya</t>
  </si>
  <si>
    <t>Alamat Peserta Didik</t>
  </si>
  <si>
    <t>Alamat Orang Tua</t>
  </si>
  <si>
    <t>Wali Peserta Didik</t>
  </si>
  <si>
    <t>NIK</t>
  </si>
  <si>
    <t>Jalan</t>
  </si>
  <si>
    <t>Kelurahan/Desa</t>
  </si>
  <si>
    <t>Kecamatan</t>
  </si>
  <si>
    <t>Kota/Kabupaten</t>
  </si>
  <si>
    <t>Provisi</t>
  </si>
  <si>
    <t>Nomor Telp/HP</t>
  </si>
  <si>
    <t>Nama</t>
  </si>
  <si>
    <t>Pekerjaan</t>
  </si>
  <si>
    <t>Alamat</t>
  </si>
  <si>
    <t>Laki -laki</t>
  </si>
  <si>
    <t>Lumajang, 20 Agustus 2004</t>
  </si>
  <si>
    <t>TK Pembina</t>
  </si>
  <si>
    <t>Jl. Kapten Piere Tendean</t>
  </si>
  <si>
    <t>Khoirul Anwar</t>
  </si>
  <si>
    <t>Purwaningsih</t>
  </si>
  <si>
    <t>_</t>
  </si>
  <si>
    <t>ISIKAN DESKRIPSI YANG SESUAI DI SINI</t>
  </si>
  <si>
    <t>NIS</t>
  </si>
  <si>
    <t xml:space="preserve">NAMA PANGGILAN </t>
  </si>
  <si>
    <t>AGAMA (PENGETAHUAN)</t>
  </si>
  <si>
    <t>NAMA PANGGILAN 
SISWA</t>
  </si>
  <si>
    <t>3.10</t>
  </si>
  <si>
    <t>PKN (PENGETAHUAN)</t>
  </si>
  <si>
    <t>BAHASA INDONESIA (PENGETAHUAN)</t>
  </si>
  <si>
    <t>MATEMATIKA (PENGETAHUAN)</t>
  </si>
  <si>
    <t>SBDP (PENGETAHUAN)</t>
  </si>
  <si>
    <t>4.10</t>
  </si>
  <si>
    <t>AGAMA (KETRAMPILAN)</t>
  </si>
  <si>
    <t>PKN (KETRAMPILAN)</t>
  </si>
  <si>
    <t>BAHASA INDONESIA (KETRAMPILAN)</t>
  </si>
  <si>
    <t>MATEMATIKA (KETRAMPILAN)</t>
  </si>
  <si>
    <t>SBDP (KETRAMPILAN)</t>
  </si>
  <si>
    <t>LAINNYA</t>
  </si>
  <si>
    <t>EKSTRAKURIKULER</t>
  </si>
  <si>
    <t>Absensi</t>
  </si>
  <si>
    <t>Saran</t>
  </si>
  <si>
    <t>Ukuran badan</t>
  </si>
  <si>
    <t>Kondisi Kesehatan</t>
  </si>
  <si>
    <t>Prestasi 1</t>
  </si>
  <si>
    <t>Prestasi 2</t>
  </si>
  <si>
    <t>Pramuka</t>
  </si>
  <si>
    <t>Pilihan 1</t>
  </si>
  <si>
    <t>Pilihan 2</t>
  </si>
  <si>
    <t>Sakit</t>
  </si>
  <si>
    <t>Ijin</t>
  </si>
  <si>
    <t>Alpa</t>
  </si>
  <si>
    <t>Tinggi</t>
  </si>
  <si>
    <t>Berat</t>
  </si>
  <si>
    <t>Pendengaran</t>
  </si>
  <si>
    <t>Penglihatan</t>
  </si>
  <si>
    <t>Gigi</t>
  </si>
  <si>
    <t>Jenis</t>
  </si>
  <si>
    <t>Keterangan</t>
  </si>
  <si>
    <t>Futsal</t>
  </si>
  <si>
    <t>baik sekali</t>
  </si>
  <si>
    <t xml:space="preserve">Alhamdulillah, ananda selama satu semester ini sudah banyak peningkatan dalam prestasi belajarnya, mohon ditingkatkan lagi prestasinya. Jangan lupa sholat lima waktu dan selalu berdo'a. </t>
  </si>
  <si>
    <t>137 cm</t>
  </si>
  <si>
    <t>27 kg</t>
  </si>
  <si>
    <t>Baik, normal</t>
  </si>
  <si>
    <t>Bagus</t>
  </si>
  <si>
    <t>Juara 1 (class meeting semester 1)</t>
  </si>
  <si>
    <t xml:space="preserve">Ananda selama satu semester masih kurang dalam konsentrasi belajarnya, kurangi bicara ketika pembelajaran. Tingkatkan terus prestasi ananda. Jangan lupa sholat lima waktu dan selalu berdo'a. </t>
  </si>
  <si>
    <t>31 kg</t>
  </si>
  <si>
    <t xml:space="preserve">geraham bawah kanan dan kiri karies. </t>
  </si>
  <si>
    <t>Drumband</t>
  </si>
  <si>
    <t xml:space="preserve">Ananda selama satu semester masih kurang dalam konsentrasi belajarnya, ulangi terus pelajaran yang sudah ananda peroleh di sekolah ketika di rumah. Tingkatkan terus prestasi abelajar nanda. Jangan lupa sholat lima waktu dan selalu berdo'a. </t>
  </si>
  <si>
    <t>134 cm</t>
  </si>
  <si>
    <t>25 kg</t>
  </si>
  <si>
    <t>geraham atas kanan karies.</t>
  </si>
  <si>
    <t>126 cm</t>
  </si>
  <si>
    <t>29 kg</t>
  </si>
  <si>
    <t>Gigi atas perlu diratakan, dan geraham bawah kanan karies</t>
  </si>
  <si>
    <t>143 cm</t>
  </si>
  <si>
    <t>43 kg</t>
  </si>
  <si>
    <t xml:space="preserve">Geraham kanan bawah persistensi. </t>
  </si>
  <si>
    <t>Kaligrafi</t>
  </si>
  <si>
    <t>Baik</t>
  </si>
  <si>
    <t>131 cm</t>
  </si>
  <si>
    <t xml:space="preserve">Taring atas kiri persistensi. </t>
  </si>
  <si>
    <t>Taring atas dan bawah karies. Geraham bawah karies</t>
  </si>
  <si>
    <t xml:space="preserve">Lomba Hifdzul Qur'an Jus'amma </t>
  </si>
  <si>
    <t>Juara III pada kegiatan Pondok Romadhon SD Islam Tompokersan 1435 H</t>
  </si>
  <si>
    <t>Lomba mengarang dengan tema Ibuku Tersayang</t>
  </si>
  <si>
    <t>Juara harapan 2 pada peringatan Hari Ibu SD Islam Tompokersan, jenjang kelas 4</t>
  </si>
  <si>
    <t>Catur</t>
  </si>
  <si>
    <t>139 cm</t>
  </si>
  <si>
    <t>32 kg</t>
  </si>
  <si>
    <t>Geraham atas karies</t>
  </si>
  <si>
    <t>136 cm</t>
  </si>
  <si>
    <t>gangguan pada tonsil</t>
  </si>
  <si>
    <t>Geraham atas kanan karies, dan taring atas persistensi</t>
  </si>
  <si>
    <t>138 cm</t>
  </si>
  <si>
    <t>37 kg</t>
  </si>
  <si>
    <t>128 cm</t>
  </si>
  <si>
    <t>30 kg</t>
  </si>
  <si>
    <t>Geraham kiri bawah karies</t>
  </si>
  <si>
    <t>Lomba Bercerita Bebas</t>
  </si>
  <si>
    <t>Juara 2 (class meeting semester 1)</t>
  </si>
  <si>
    <t>148 cm</t>
  </si>
  <si>
    <t xml:space="preserve">Geraham kanan bawah karies. </t>
  </si>
  <si>
    <t xml:space="preserve">Alhamdulillah, ananda selama satu semester ini sudah banyak peningkatan dalam prestasi belajarnya, mohon ditingkatkan lagi konsentrasi dalam mengikuti pembelajaran. Jangan lupa sholat lima waktu dan selalu berdo'a. </t>
  </si>
  <si>
    <t>133 cm</t>
  </si>
  <si>
    <t xml:space="preserve">Alhamdulillah, ananda selama satu semester ini sudah banyak peningkatan dalam prestasi belajarnya, mohon ditingkatkan konsentrasi ketika pembelajaran  agar prestasi ananda lebih baik lagi.  Jangan lupa sholat lima waktu dan selalu berdo'a. </t>
  </si>
  <si>
    <t>135 cm</t>
  </si>
  <si>
    <t>39 kg</t>
  </si>
  <si>
    <t xml:space="preserve">Geraham  karies. </t>
  </si>
  <si>
    <t>130 cm</t>
  </si>
  <si>
    <t>Juara Harapan I pada kegiatan Pondok Romadhon SD Islam Tompokersan 1435 H</t>
  </si>
  <si>
    <t>23 kg</t>
  </si>
  <si>
    <t>Geraham bawah kiri karies</t>
  </si>
  <si>
    <t>152 cm</t>
  </si>
  <si>
    <t>60 kg</t>
  </si>
  <si>
    <t>21 kg</t>
  </si>
  <si>
    <t xml:space="preserve">Geraham atas kanan-kiri karies, Geraham bawah kanan-kiri karies dan sisa akar. </t>
  </si>
  <si>
    <t>140 cm</t>
  </si>
  <si>
    <t>Geraham kanan atas karies, geraham bawah kanan-kiri karies</t>
  </si>
  <si>
    <t>Lukis</t>
  </si>
  <si>
    <t>26 kg</t>
  </si>
  <si>
    <t>Geraham atas kanan karies</t>
  </si>
  <si>
    <t>Juara harapan 1 pada sekolah jenjang kelas 4</t>
  </si>
  <si>
    <t>Taring bawah kanan persistensi</t>
  </si>
  <si>
    <t>baik</t>
  </si>
  <si>
    <t>24 kg</t>
  </si>
  <si>
    <t>Geraham atas kiri karies</t>
  </si>
  <si>
    <t>33 kg</t>
  </si>
  <si>
    <t>147 cm</t>
  </si>
  <si>
    <t>38 kg</t>
  </si>
  <si>
    <t>Membatik</t>
  </si>
  <si>
    <t>146 cm</t>
  </si>
  <si>
    <t>48 kg</t>
  </si>
  <si>
    <t>Gigi geraham sisa akar</t>
  </si>
  <si>
    <t>Juara 2 pada sekolah jenjang kelas 4</t>
  </si>
  <si>
    <t xml:space="preserve">baik </t>
  </si>
  <si>
    <t>35 kg</t>
  </si>
  <si>
    <t>Geraham persistensi</t>
  </si>
  <si>
    <t xml:space="preserve">geraham atas kanan karies, dan geraham bawah kanan dan kiri karies. </t>
  </si>
  <si>
    <t>REKAP</t>
  </si>
  <si>
    <t>KI3 (Pengetahuan)</t>
  </si>
  <si>
    <t>KI4 (Ketrampilan)</t>
  </si>
  <si>
    <t>Spiritual (K1)</t>
  </si>
  <si>
    <t>Sosial (K2)</t>
  </si>
  <si>
    <t>AGAMA</t>
  </si>
  <si>
    <t>PPKn</t>
  </si>
  <si>
    <t>BIN</t>
  </si>
  <si>
    <t>Mat</t>
  </si>
  <si>
    <t>SBdP</t>
  </si>
  <si>
    <t>PJOK</t>
  </si>
  <si>
    <t>BD</t>
  </si>
  <si>
    <t>B.Ingg</t>
  </si>
  <si>
    <t>PKn</t>
  </si>
  <si>
    <t>b.ingg4</t>
  </si>
  <si>
    <t>Sosial</t>
  </si>
  <si>
    <t>Deskripsi</t>
  </si>
  <si>
    <t>PJOK (PENGETAHUAN)</t>
  </si>
  <si>
    <t>PJOK (KETRAMPILAN)</t>
  </si>
  <si>
    <t>MULOK4</t>
  </si>
  <si>
    <t>MULOK3</t>
  </si>
  <si>
    <t xml:space="preserve">LAPORAN </t>
  </si>
  <si>
    <t>HASIL CAPAIAN KOMPETENSI PESERTA DIDIK</t>
  </si>
  <si>
    <t>SEKOLAH DASAR</t>
  </si>
  <si>
    <t>:</t>
  </si>
  <si>
    <t xml:space="preserve">KEMENTRIAN PENDIDIKAN DAN KEBUDAYAAN </t>
  </si>
  <si>
    <t>REPUBLIK INDONESIA</t>
  </si>
  <si>
    <t xml:space="preserve">IDENTITAS PESERTA DIDIK </t>
  </si>
  <si>
    <t xml:space="preserve">1. Nama Peserta Didik </t>
  </si>
  <si>
    <t>2. Nomor Induk</t>
  </si>
  <si>
    <t>3. Tempat, Tanggal Lahir</t>
  </si>
  <si>
    <t>4. Jenis Kelamin</t>
  </si>
  <si>
    <t>5. Agama</t>
  </si>
  <si>
    <t>6. Pendidikan Sebelumnya</t>
  </si>
  <si>
    <t xml:space="preserve">7. Alamat Peserta Didik </t>
  </si>
  <si>
    <t>8. Nama Orang Tua</t>
  </si>
  <si>
    <t>a. Ayah</t>
  </si>
  <si>
    <t>b. Ibu</t>
  </si>
  <si>
    <t xml:space="preserve">9. Pekerjaan Orang Tua </t>
  </si>
  <si>
    <t xml:space="preserve">10. Alamat Orang Tua </t>
  </si>
  <si>
    <t>Kelurahan/ Desa</t>
  </si>
  <si>
    <t>Kecamatan/ Kota</t>
  </si>
  <si>
    <t>Kabupaten/Kota</t>
  </si>
  <si>
    <t xml:space="preserve">11. Wali Peserta Didik </t>
  </si>
  <si>
    <t>Propinsi</t>
  </si>
  <si>
    <t>Wali</t>
  </si>
  <si>
    <t xml:space="preserve">a. Nama </t>
  </si>
  <si>
    <t>b. Pekerjaan</t>
  </si>
  <si>
    <t xml:space="preserve">c. Alamat </t>
  </si>
  <si>
    <t>Foto 3 x 4</t>
  </si>
  <si>
    <t>RAPOR DAN PROFIL PESERTA DIDIK</t>
  </si>
  <si>
    <t>Nama Peserta didik</t>
  </si>
  <si>
    <t>Tahun</t>
  </si>
  <si>
    <t>Alamat Sekolah</t>
  </si>
  <si>
    <t>A. Kompetensi Sikap</t>
  </si>
  <si>
    <t>Sikap Spiritual</t>
  </si>
  <si>
    <t>Sikap Sosial</t>
  </si>
  <si>
    <t>B. Kompetensi Pengetahuan dan Ketrampilan</t>
  </si>
  <si>
    <t>Muatan Pelajaran</t>
  </si>
  <si>
    <t>Pengetahuan</t>
  </si>
  <si>
    <t>Ketrampilan</t>
  </si>
  <si>
    <t>Bahasa Indonesia</t>
  </si>
  <si>
    <t>Matematika</t>
  </si>
  <si>
    <t>Muatan Lokal</t>
  </si>
  <si>
    <t>C. Ekstra Kurikuler</t>
  </si>
  <si>
    <t xml:space="preserve">Keterangan </t>
  </si>
  <si>
    <t>Praja Muda Karana</t>
  </si>
  <si>
    <t>D. Saran - saran</t>
  </si>
  <si>
    <t>E. Tinggi dan Berat Badan</t>
  </si>
  <si>
    <t>Aspek yang dinilai</t>
  </si>
  <si>
    <t>Berat Badan</t>
  </si>
  <si>
    <t>Tinggi Badan</t>
  </si>
  <si>
    <t>F. Kondisi Kesehatan</t>
  </si>
  <si>
    <t>Aspek Fisik</t>
  </si>
  <si>
    <t>G. Prestasi</t>
  </si>
  <si>
    <t>Jenis Prestasi</t>
  </si>
  <si>
    <t>H. Ketidakhadiran</t>
  </si>
  <si>
    <t>Tanpa Keterangan</t>
  </si>
  <si>
    <t>Berenang</t>
  </si>
  <si>
    <t xml:space="preserve">Guru Kelas </t>
  </si>
  <si>
    <t>Mengetahui</t>
  </si>
  <si>
    <t>Kepala Sekolah</t>
  </si>
  <si>
    <t>TUTORIAL</t>
  </si>
  <si>
    <t>Terima kasih sudah berkenan menggunakan APLIKASI ini</t>
  </si>
  <si>
    <t>Aplikasi ini menggunakan INPUT nilai yang sudah matang</t>
  </si>
  <si>
    <t>Isikan DATA pada TABEL yang berwarna PUTIH</t>
  </si>
  <si>
    <t>untuk warna selain PUTIH sebaiknya dihindari untuk di edit (kecuali bagi yang paham FORMULA EXCEL)</t>
  </si>
  <si>
    <t xml:space="preserve">Untuk Mata pelajaran dan KD  bisa DIGANTI </t>
  </si>
  <si>
    <t>bila di RAPORT ada baris Mata Pelajaran yang tidak dipakai silakan di DELETE saja</t>
  </si>
  <si>
    <t>Bila ada kesulitan bisa hubungi kami</t>
  </si>
  <si>
    <t>www.kangmartho.com</t>
  </si>
  <si>
    <t>KRITERIA KETUNTASAN MINIMAL (KKM)</t>
  </si>
  <si>
    <t>IPA (PENGETAHUAN)</t>
  </si>
  <si>
    <t>IPS (PENGETAHUAN)</t>
  </si>
  <si>
    <t>IPA (KETRAMPILAN)</t>
  </si>
  <si>
    <t>IPS (KETRAMPILAN)</t>
  </si>
  <si>
    <t>IPA</t>
  </si>
  <si>
    <t>IPS</t>
  </si>
  <si>
    <r>
      <t xml:space="preserve">yaitu nilai rata-rata dari </t>
    </r>
    <r>
      <rPr>
        <b/>
        <sz val="14"/>
        <color rgb="FFFF0000"/>
        <rFont val="Calibri"/>
        <family val="2"/>
        <scheme val="minor"/>
      </rPr>
      <t>2 X PENILAIAN HARIAN (PH) + PTS + PAS dibagi 4</t>
    </r>
  </si>
  <si>
    <t>KKM Satuan Pendidikan</t>
  </si>
  <si>
    <t>Pendidikan Agama</t>
  </si>
  <si>
    <t>SBDP</t>
  </si>
  <si>
    <t>LAPORAN</t>
  </si>
  <si>
    <t>HASIL BELAJAR PESERTA DIDIK</t>
  </si>
  <si>
    <t>(SD)</t>
  </si>
  <si>
    <t>NPSN</t>
  </si>
  <si>
    <t xml:space="preserve">E-mail: </t>
  </si>
  <si>
    <t>Kelurahan</t>
  </si>
  <si>
    <t>Kota</t>
  </si>
  <si>
    <t>Provinsi</t>
  </si>
  <si>
    <t>4 (Empat)</t>
  </si>
  <si>
    <t>Kode Pos 67357</t>
  </si>
  <si>
    <t>Panjang Interval</t>
  </si>
  <si>
    <t>Rentang Predikat</t>
  </si>
  <si>
    <t>MATA PELAJARAN MUATAN LOKAL</t>
  </si>
  <si>
    <t>A (Sangat Baik)</t>
  </si>
  <si>
    <t>B (Baik)</t>
  </si>
  <si>
    <t>C (Cukup)</t>
  </si>
  <si>
    <t>D (Perlu Bimbingan)</t>
  </si>
  <si>
    <t>MULOK 1</t>
  </si>
  <si>
    <t>MULOK 2</t>
  </si>
  <si>
    <t>MULOK 3</t>
  </si>
  <si>
    <t>BILA TIDAK SESUAI GANTI DI SINI &gt;&gt;&gt;</t>
  </si>
  <si>
    <t>Silakan tulis KKM Satuan Pendidikan di tempat yang disediakan</t>
  </si>
  <si>
    <t>ISIKAN DENGAN NAMA MATA PELAJARAN YANG SESUAI</t>
  </si>
  <si>
    <t>Bila RENTANG PREDIKAT di atas dirasa sudah cocok biarkan saja, dan lanjutkan ke sheet lainnya</t>
  </si>
  <si>
    <t>Apabila bilangan RENTANG PREDIKAT di atas dirasa kurang pas dengan hasil penghitungan Anda</t>
  </si>
  <si>
    <t>Nama Peserta Didik</t>
  </si>
  <si>
    <t>NISN/NIS</t>
  </si>
  <si>
    <t>Beribadah</t>
  </si>
  <si>
    <t>Syukur</t>
  </si>
  <si>
    <t>Berdoa</t>
  </si>
  <si>
    <t>Toleransi</t>
  </si>
  <si>
    <t>SB</t>
  </si>
  <si>
    <t>PB</t>
  </si>
  <si>
    <t xml:space="preserve"> ketaatan beribadah</t>
  </si>
  <si>
    <t xml:space="preserve"> berperilaku syukur</t>
  </si>
  <si>
    <t xml:space="preserve"> berdoa sebelum dan sesudah melakukan kegiatan</t>
  </si>
  <si>
    <t xml:space="preserve"> toleransi dalam beribadah</t>
  </si>
  <si>
    <t>SANGAT BAIK</t>
  </si>
  <si>
    <t>BAIK</t>
  </si>
  <si>
    <t>KURANG</t>
  </si>
  <si>
    <t>jujur</t>
  </si>
  <si>
    <t>disiplin</t>
  </si>
  <si>
    <t>tanggung jawab</t>
  </si>
  <si>
    <t>santun</t>
  </si>
  <si>
    <t>peduli</t>
  </si>
  <si>
    <t>percaya diri</t>
  </si>
  <si>
    <t>sangat baik</t>
  </si>
  <si>
    <t>kurang</t>
  </si>
  <si>
    <t>HASIL</t>
  </si>
  <si>
    <t>NILAI MAKSIMAL</t>
  </si>
  <si>
    <t>NILAI MINIMAL</t>
  </si>
  <si>
    <t xml:space="preserve">NILAI </t>
  </si>
  <si>
    <t>MAX</t>
  </si>
  <si>
    <t>MIN</t>
  </si>
  <si>
    <t>TEKS</t>
  </si>
  <si>
    <t>ERROR</t>
  </si>
  <si>
    <t>Smt 1</t>
  </si>
  <si>
    <t>Smt 2</t>
  </si>
  <si>
    <t>NO KD</t>
  </si>
  <si>
    <t>KOMPETENSI DASAR</t>
  </si>
  <si>
    <t>KOMPETENSI DASAR PENDIDIKAN KEWARGANEGARAAN</t>
  </si>
  <si>
    <t>KOMPETENSI DASAR BAHASA INDONESIA</t>
  </si>
  <si>
    <t>KOMPETENSI DASAR MATEMATIKA</t>
  </si>
  <si>
    <t>KOMPETENSI DASAR SENI BUDAYA DAN PRAKARYA</t>
  </si>
  <si>
    <t>KOMPETENSI DASAR PENDIDIKAN JASMANI, OLAHRAGA, DAN KESEHATAN</t>
  </si>
  <si>
    <t>KOMPETENSI DASAR IPA</t>
  </si>
  <si>
    <t>KOMPETENSI DASAR IPS</t>
  </si>
  <si>
    <t>Bahasa Jawa</t>
  </si>
  <si>
    <t>Kelas         :</t>
  </si>
  <si>
    <t>Semester    :</t>
  </si>
  <si>
    <t>Pelajaran    :</t>
  </si>
  <si>
    <t>KOMPETENSI DASAR PENDIDIKAN AGAMA ISLAM DAN BUDI PEKERTI SD</t>
  </si>
  <si>
    <t>Silakan edit deskripsi melalui kolom di bawah ini</t>
  </si>
  <si>
    <t>DESKRIPSI RAPORT</t>
  </si>
  <si>
    <t>ISLAM</t>
  </si>
  <si>
    <t>KRISTEN</t>
  </si>
  <si>
    <t>KATOLIK</t>
  </si>
  <si>
    <t>HINDU</t>
  </si>
  <si>
    <t>BUDHA</t>
  </si>
  <si>
    <t>KHONGHUCU</t>
  </si>
  <si>
    <t>KOMPETENSI DASAR PENDIDIKAN AGAMA KRISTEN DAN BUDI PEKERTI SD</t>
  </si>
  <si>
    <t>KOMPETENSI DASAR PENDIDIKAN AGAMA KATOLIK DAN BUDI PEKERTI SD</t>
  </si>
  <si>
    <t>KOMPETENSI DASAR PENDIDIKAN AGAMA HINDU DAN BUDI PEKERTI SD</t>
  </si>
  <si>
    <t>KOMPETENSI DASAR PENDIDIKAN AGAMA BUDHA DAN BUDI PEKERTI SD</t>
  </si>
  <si>
    <t>KOMPETENSI DASAR PENDIDIKAN AGAMA KHONGHUCU DAN BUDI PEKERTI SD</t>
  </si>
  <si>
    <t>menjelaskan pecahan-pecahan senilai dengan gambar dan model konkret</t>
  </si>
  <si>
    <t>menjelaskan berbagai bentuk pecahan (biasa, campuran, desimal, dan persen) dan hubungan di antaranya</t>
  </si>
  <si>
    <t>menjelaskan dan melakukan penaksiran dari jumlah, selisih, hasil kali, dan hasil bagi dua bilangan cacah maupun pecahan dan desimal</t>
  </si>
  <si>
    <t>mengidentifikasi pecahan-pecahan senilai dengan gambar dan model konkret</t>
  </si>
  <si>
    <t>mengidentifikasi berbagai bentuk pecahan (biasa, campuran, desimal, dan persen) dan hubungan di antaranya</t>
  </si>
  <si>
    <t>menyelesaikan masalah penaksiran dari jumlah, selisih, hasil kali, dan hasil bagi dua bilangan cacah maupun pecahan dan desimal</t>
  </si>
  <si>
    <t>menyajikan hasil identifikasi mengenai keragaman sosial, ekonomi, budaya, etnis, dan agama di provinsi setempat sebagai identitas bangsa Indonesia; serta hubungannya dengan karakteristik ruang.</t>
  </si>
  <si>
    <t>menyajikan hasil identifikasi karakteristik ruang dan pemanfaatan sumber daya alam untuk kesejahteraan masyarakat dari tingkat kota/kabupaten sampai tingkat provinsi.</t>
  </si>
  <si>
    <t>menyajikan hasil identifikasi kegiatan ekonomi dan hubungannya dengan berbagai bidang pekerjaan, serta kehidupan sosial dan budaya di lingkungan sekitar sampai provinsi.</t>
  </si>
  <si>
    <t>menggambar dan membentuk tiga dimensi</t>
  </si>
  <si>
    <t>memahami kehadiran Allah dalam berbagai peristiwa kehidupan</t>
  </si>
  <si>
    <t>memahami kemahakuasaan Allah dalam berbagai peristiwa rantai kehidupan manusia di sekitarnya</t>
  </si>
  <si>
    <t>memahami keterbatasannya sebagai manusia</t>
  </si>
  <si>
    <t>mengaplikasikan keyakinannya bahwa Allah memelihara manusia</t>
  </si>
  <si>
    <t>menyajikan contoh sederhana yang berkaitan dengan perilaku bersyukur dalam berbagai peristiwa kehidupan</t>
  </si>
  <si>
    <t>membuat proyek sederhana terkait dengan sikap bersyukur dalam berbagai peristiwa rantai kehidupan manusia di sekitarnya</t>
  </si>
  <si>
    <t>membuat karya yang mengekpresikan keterbatasannya sebagai manusia</t>
  </si>
  <si>
    <t>menyajikan contoh pemeliharaan Allah dalam kehidupan manusia</t>
  </si>
  <si>
    <t>memahami keunikan diri sebagai anugerah Allah yang patut disyukuri</t>
  </si>
  <si>
    <t>memahami kemampuan dan keterbatasan diri sebagai anugerah Allah</t>
  </si>
  <si>
    <t>memahami kesetiaan Allah pada janjiNya yang memberikan Sepuluh Firman sebagai pedoman hidup</t>
  </si>
  <si>
    <t>memahami Sepuluh Perintah Allah yang menjadi landasan dalam berelasi dengan orang tua</t>
  </si>
  <si>
    <t>memahami Sepuluh Perintah Allah yang menjadi landasan dalam berelasi dengan sesama</t>
  </si>
  <si>
    <t>memahami makna perumpamaan-perumpamaan dan mukjizat-mukjizat Yesus sebagai perwujudan karya keselamatan Allah</t>
  </si>
  <si>
    <t>memahami aneka doa dalam gereja sebagai ungkapan iman kepada Allah</t>
  </si>
  <si>
    <t>memahami makna doa spontan, doa pribadi dan doa bersama sebagai ungkapan iman kepada Allah</t>
  </si>
  <si>
    <t>melakukan aktivitas (misalnya mengucapkan doa / menyanyikan lagu / dan membuat puisi) yang mengungkapkan rasa syukur atas keunikan diri sebagai anugerah Allah</t>
  </si>
  <si>
    <t>melakukan aktivitas (misalnya mengucapkan doa/ menyanyikan lagu /dan membuat puisi) yang mengungkapkan rasa syukur atas kemampuan dan keterbatasan diri sebagai anugerah Allah</t>
  </si>
  <si>
    <t>melakukan aktivitas (misalnya menggambar / mewarnai / menghias / mengucap secara runtut) yang berkaitan dengan Sepuluh Perintah Allah</t>
  </si>
  <si>
    <t>melakukan aktivitas (misalnya bernyanyi/ membuat puisi/ menyusun doa) yang berkaitan dengan Sepuluh Perintah Allah yang menjadi landasan dalam berelasi dengan orang tua</t>
  </si>
  <si>
    <t>melakukan aktivitas (misalnya bernyanyi/ membuat puisi /menyusun doa) yang berkaitan dengan Sepuluh Perintah Allah yang menjadi landasan dalam berelasi dengan sesama</t>
  </si>
  <si>
    <t>melakukan aktivitas (misalnya bernyanyi/ membuat puisi/ bermain peran/ menceritakan kembali, dsb) yang mencerminkan penghayatan atas perumpamaan dan mujizat yang dilakukan Yesus sebagai pemenuhan janji Allah</t>
  </si>
  <si>
    <t>melakukan aktivitas (misalnya berdoa/ bernyanyi/ membuat puisi/ bermain peran/ menceritakan kembali, dsb) yang mencerminkan penghayatan terhadap aneka Doa dalam gereja sebagai ungkapan iman kepada Allah</t>
  </si>
  <si>
    <t>melakukan aktivitas (misalnya berdoa/ bernyanyi/ membuat puisi  /bermain peran/ menceritakan kembali, dsb) yang mencerminkan penghayatan terhadap doa spontan, doa pribadi, dan doa bersama</t>
  </si>
  <si>
    <t>memahami ajaran Punarbhawa sebagai upaya untuk meningkatkan kualitas hidup</t>
  </si>
  <si>
    <t>mengenal orang suci agama Hindu yang patut diteladani</t>
  </si>
  <si>
    <t>memahami ajaran Catur Pramana dalam mencari pengetahuan kebenaran</t>
  </si>
  <si>
    <t>memahami Maharsi penerima wahyu Veda</t>
  </si>
  <si>
    <t>mengenal hari-hari suci agama Hindu</t>
  </si>
  <si>
    <t>memahami sejarah perkembangan agama Hindu di Indonesia secara singkat</t>
  </si>
  <si>
    <t>menceritakan secara singkat ajaran Punarbhawa sebagai upaya untuk meningkatkan kualitas hidup</t>
  </si>
  <si>
    <t>menunjukkan cara meneladani perilaku orang suci agama Hindu</t>
  </si>
  <si>
    <t>mempraktikkan ajaran Catur Pramana dalam mencari pengetahuan kebenaran</t>
  </si>
  <si>
    <t>menyajikan cerita–cerita Maharsi penerima wahyu Veda</t>
  </si>
  <si>
    <t>menyajikan cerita yang berkaitan dengan hari suci agama Hindu</t>
  </si>
  <si>
    <t>menceritakan sejarah perkembangan agama Hindu di Indonesia secara singkat</t>
  </si>
  <si>
    <t>memahami masa berumah tangga dan Pelepasan Agung Pangeran Siddharta</t>
  </si>
  <si>
    <t>memahami pertolongan tanpa pamrih dan tahu berterima kasih</t>
  </si>
  <si>
    <t>memahami brahma vihara dan puja bakti</t>
  </si>
  <si>
    <t>mendeskripsikan candi-candi agama Buddha di Indonesia dan candi yang dipergunakan perayaan Waisak</t>
  </si>
  <si>
    <t>menceritakan kembali masa berumah tangga dan Pelepasan Agung Pangeran Siddharta</t>
  </si>
  <si>
    <t>melakukan pertolongan tanpa pamrih dan tahu berterima kasih</t>
  </si>
  <si>
    <t>menyajikan pengetahuan tentang brahma vihara dan puja bakti</t>
  </si>
  <si>
    <t>menyajikan pengetahuan faktual tentang candi-candi agama Buddha di Indonesia dan candi yang dipergunakan perayaan Waisak</t>
  </si>
  <si>
    <t>memahami sikap tengah harmonis (Zhong He) dalam kehidupan</t>
  </si>
  <si>
    <t>memahami Wuchang sebagai pedoman hidup</t>
  </si>
  <si>
    <t>memahami hukum sebab akibat atau pangkal ujung di alam semesta</t>
  </si>
  <si>
    <t>memahami hukum sebab akibat atau pangkal ujung dalam hubungan dengan sesama manusia</t>
  </si>
  <si>
    <t>memahami nilai-nilai kebajikan dari kisah Tiga Ibunda Agung</t>
  </si>
  <si>
    <t>memahami kisah keteladanan Zhisheng Kongzi semasa remaja hingga dewasa</t>
  </si>
  <si>
    <t>menceritakan contoh-contoh sikap tengah harmonis</t>
  </si>
  <si>
    <t>mewawancarai orang tua/rohaniawan tentang penerapan Wuchang (Lima Kebajikan)</t>
  </si>
  <si>
    <t>melakukan percobaan sederhana terkait hukum sebab akibat atau Pangkal Ujung di alam semesta</t>
  </si>
  <si>
    <t>menceritakan pengalaman terkait simulasi memuji dan mengkritik orang lain</t>
  </si>
  <si>
    <t>menuliskan keteladanan dari tiga anak yang diasuh oleh Tiga Ibunda Agung</t>
  </si>
  <si>
    <t>membuat poster tentang keteladanan Zhisheng Kongzi semasa remaja hingga dewasa</t>
  </si>
  <si>
    <t>facebook : kang martho</t>
  </si>
  <si>
    <t xml:space="preserve">     Nama Sekolah</t>
  </si>
  <si>
    <t xml:space="preserve">     Alamat</t>
  </si>
  <si>
    <t xml:space="preserve">     Kepala Sekolah</t>
  </si>
  <si>
    <t xml:space="preserve">     NIP</t>
  </si>
  <si>
    <t xml:space="preserve">     Kelas/ Semester</t>
  </si>
  <si>
    <t xml:space="preserve">     Tahun Pelajaran</t>
  </si>
  <si>
    <t xml:space="preserve">     Guru Kelas</t>
  </si>
  <si>
    <t xml:space="preserve">     Desa</t>
  </si>
  <si>
    <t xml:space="preserve">     Kecamatan</t>
  </si>
  <si>
    <t xml:space="preserve">     Kabupaten/Kota</t>
  </si>
  <si>
    <t xml:space="preserve">     Propinsi</t>
  </si>
  <si>
    <t xml:space="preserve">     Tanggal Raport</t>
  </si>
  <si>
    <t>G</t>
  </si>
  <si>
    <t>Kementerian Pendidikan dan Kebudayaan</t>
  </si>
  <si>
    <t>Derektorat Jenderal Pendidikan Dasar Dan Menengah</t>
  </si>
  <si>
    <t xml:space="preserve">APLIKASI RAPORT K13 KELAS 4 </t>
  </si>
  <si>
    <t>Nama Guru</t>
  </si>
  <si>
    <t>UMAR THOLIB</t>
  </si>
  <si>
    <t>Nama Lembaga</t>
  </si>
  <si>
    <t>SDN PUCUK GUNUNG 01</t>
  </si>
  <si>
    <t xml:space="preserve">Jumlah </t>
  </si>
  <si>
    <t>&amp;</t>
  </si>
  <si>
    <t>Jumlah</t>
  </si>
  <si>
    <t>¿</t>
  </si>
  <si>
    <t></t>
  </si>
  <si>
    <t>Kriteria Ketuntasan</t>
  </si>
  <si>
    <t>@</t>
  </si>
  <si>
    <t>Progress</t>
  </si>
  <si>
    <t>Mata pelajaran</t>
  </si>
  <si>
    <t>Muatan lokal</t>
  </si>
  <si>
    <t>Minimal (KKM)</t>
  </si>
  <si>
    <t>LEMBAGA</t>
  </si>
  <si>
    <t>SISWA</t>
  </si>
  <si>
    <t>KKM</t>
  </si>
  <si>
    <t>KURIKULUM</t>
  </si>
  <si>
    <t>NILAI SIKAP</t>
  </si>
  <si>
    <t>NILAI PENGETAHUAN</t>
  </si>
  <si>
    <t>NILAI KETRAMPILAN</t>
  </si>
  <si>
    <r>
      <t xml:space="preserve">    </t>
    </r>
    <r>
      <rPr>
        <b/>
        <sz val="12"/>
        <color theme="0"/>
        <rFont val="Wingdings"/>
        <charset val="2"/>
      </rPr>
      <t>&amp;</t>
    </r>
    <r>
      <rPr>
        <b/>
        <sz val="12"/>
        <color theme="0"/>
        <rFont val="Calibri"/>
        <family val="2"/>
      </rPr>
      <t xml:space="preserve">    INFORMASI</t>
    </r>
  </si>
  <si>
    <t xml:space="preserve">       www.kangmartho.com</t>
  </si>
  <si>
    <t xml:space="preserve">       www.aplikasidigital.com</t>
  </si>
  <si>
    <t>LEGER</t>
  </si>
  <si>
    <t>JUMLAH</t>
  </si>
  <si>
    <t>RANK</t>
  </si>
  <si>
    <t xml:space="preserve">       Kontak</t>
  </si>
  <si>
    <t xml:space="preserve">     NPSN</t>
  </si>
  <si>
    <r>
      <rPr>
        <b/>
        <sz val="12"/>
        <color theme="0"/>
        <rFont val="Webdings"/>
        <family val="1"/>
        <charset val="2"/>
      </rPr>
      <t xml:space="preserve">  ¿</t>
    </r>
    <r>
      <rPr>
        <b/>
        <sz val="12"/>
        <color theme="0"/>
        <rFont val="Calibri"/>
        <family val="2"/>
      </rPr>
      <t xml:space="preserve">   </t>
    </r>
    <r>
      <rPr>
        <b/>
        <sz val="12"/>
        <color theme="0"/>
        <rFont val="Calibri"/>
        <family val="2"/>
        <scheme val="minor"/>
      </rPr>
      <t xml:space="preserve">IDENTITAS SEKOLAH   </t>
    </r>
    <r>
      <rPr>
        <i/>
        <sz val="11"/>
        <color theme="0"/>
        <rFont val="Calibri"/>
        <family val="2"/>
        <scheme val="minor"/>
      </rPr>
      <t>(Isi manual di bawah ini)</t>
    </r>
  </si>
  <si>
    <t xml:space="preserve">     Jumlah siswa</t>
  </si>
  <si>
    <t>Jumlah data</t>
  </si>
  <si>
    <t>siswa yang masuk</t>
  </si>
  <si>
    <t>Lumajang, 15 Desember 2018</t>
  </si>
  <si>
    <t>Tidak Kompatibel dengan Aplikasi Dapodik versi 2018 atau yang lebih mutakhir</t>
  </si>
  <si>
    <t>2018/2019</t>
  </si>
  <si>
    <t>RATA RATA</t>
  </si>
  <si>
    <t>No. Seri Buku Induk</t>
  </si>
  <si>
    <t xml:space="preserve"> : ………. s.d. ……….</t>
  </si>
  <si>
    <t>BUKU INDUK</t>
  </si>
  <si>
    <t>PESERTA DIDIK SEKOLAH DASAR</t>
  </si>
  <si>
    <t>KURIKULUM 2013</t>
  </si>
  <si>
    <t>NAMA SEKOLAH</t>
  </si>
  <si>
    <t xml:space="preserve">: </t>
  </si>
  <si>
    <t xml:space="preserve">STATUS SEKOLAH </t>
  </si>
  <si>
    <t>ALAMAT SEKOLAH</t>
  </si>
  <si>
    <t>DESA</t>
  </si>
  <si>
    <t>KECAMATAN</t>
  </si>
  <si>
    <t>KABUPATEN</t>
  </si>
  <si>
    <t>PROPINSI</t>
  </si>
  <si>
    <t xml:space="preserve">KEMENTERIAN PENDIDIKAN DAN KEBUDAYAAN </t>
  </si>
  <si>
    <t>PETUNJUK PENGISIAN BUKU INDUK PESERTA DIDIK SEKOLAH DASAR</t>
  </si>
  <si>
    <t>UMUM</t>
  </si>
  <si>
    <r>
      <t>1.</t>
    </r>
    <r>
      <rPr>
        <sz val="8"/>
        <color theme="1"/>
        <rFont val="Times New Roman"/>
        <family val="1"/>
      </rPr>
      <t xml:space="preserve">   </t>
    </r>
    <r>
      <rPr>
        <sz val="8"/>
        <color theme="1"/>
        <rFont val="Arial"/>
        <family val="2"/>
      </rPr>
      <t>Buku Induk peserta didik ini adalah buku yang berisi data tentang diri peserta didik selama mengikuti pendidikan di suatu sekolah dan berlaku sejak yang bersangkutan diterima di kelas  I ( satu ) atau sejak dia diterima di sekolah yang bersangkutan.</t>
    </r>
  </si>
  <si>
    <r>
      <t>2.</t>
    </r>
    <r>
      <rPr>
        <sz val="8"/>
        <color theme="1"/>
        <rFont val="Times New Roman"/>
        <family val="1"/>
      </rPr>
      <t xml:space="preserve">   </t>
    </r>
    <r>
      <rPr>
        <sz val="8"/>
        <color theme="1"/>
        <rFont val="Arial"/>
        <family val="2"/>
      </rPr>
      <t>Buku Induk peserta didik ini diisi pada saat diterima dan selanjutnya diikuti pendataan perkembangan peserta didik sesuai dengan butir-butir dalam lembaran buku ini.</t>
    </r>
  </si>
  <si>
    <r>
      <t>3.</t>
    </r>
    <r>
      <rPr>
        <sz val="8"/>
        <color theme="1"/>
        <rFont val="Times New Roman"/>
        <family val="1"/>
      </rPr>
      <t xml:space="preserve">   </t>
    </r>
    <r>
      <rPr>
        <sz val="8"/>
        <color theme="1"/>
        <rFont val="Arial"/>
        <family val="2"/>
      </rPr>
      <t>Pengisian dilakukan dengan menggunakan huruf balok dan tinta hitam.</t>
    </r>
  </si>
  <si>
    <r>
      <t>4.</t>
    </r>
    <r>
      <rPr>
        <sz val="8"/>
        <color theme="1"/>
        <rFont val="Times New Roman"/>
        <family val="1"/>
      </rPr>
      <t xml:space="preserve">   </t>
    </r>
    <r>
      <rPr>
        <sz val="8"/>
        <color theme="1"/>
        <rFont val="Arial"/>
        <family val="2"/>
      </rPr>
      <t>Data yang diisikan adalah data  atau informasi yang benar yang dapat dijamin kebenarannya.</t>
    </r>
  </si>
  <si>
    <r>
      <t>5.</t>
    </r>
    <r>
      <rPr>
        <sz val="8"/>
        <color theme="1"/>
        <rFont val="Times New Roman"/>
        <family val="1"/>
      </rPr>
      <t xml:space="preserve">   </t>
    </r>
    <r>
      <rPr>
        <sz val="8"/>
        <color theme="1"/>
        <rFont val="Arial"/>
        <family val="2"/>
      </rPr>
      <t>Pengelolaan buku Induk ini tanggung jawab Kepala Sekolah.</t>
    </r>
  </si>
  <si>
    <t>KHUSUS LEMBAR BUKU INDUK PESERTA DIDIK</t>
  </si>
  <si>
    <r>
      <t>A. KETERANGAN TENTANG DIRI PESERTA DIDIK</t>
    </r>
    <r>
      <rPr>
        <sz val="8"/>
        <color theme="1"/>
        <rFont val="Arial"/>
        <family val="2"/>
      </rPr>
      <t xml:space="preserve">        </t>
    </r>
  </si>
  <si>
    <t>1. Nama lengkap Peserta didik</t>
  </si>
  <si>
    <r>
      <t>Nama lengkap peserta didik diisi sesuai dengan nama peserta didik yang tercantum pada STTB / Ijazah  di bawahnya atau sesuai dengan Akta Kelahiran peserta didik</t>
    </r>
    <r>
      <rPr>
        <i/>
        <sz val="8"/>
        <color theme="1"/>
        <rFont val="Arial"/>
        <family val="2"/>
      </rPr>
      <t>.  Contoh</t>
    </r>
    <r>
      <rPr>
        <sz val="8"/>
        <color theme="1"/>
        <rFont val="Arial"/>
        <family val="2"/>
      </rPr>
      <t xml:space="preserve"> : SHOFWAH ANNISA </t>
    </r>
  </si>
  <si>
    <t xml:space="preserve">2. Coret yang tidak perlu  </t>
  </si>
  <si>
    <t xml:space="preserve">3. Diisi lengkap : Kabupaten / Kota / Kotif dan Tanggal, bulan, tahun lahir sesuai dengan STTB / Ijazah  di bawahnya atau sesuai dengan Akta Kelahiran peserta didik  </t>
  </si>
  <si>
    <t xml:space="preserve">4. Diisi dengan Agama yang diikuti  </t>
  </si>
  <si>
    <t xml:space="preserve">5. Disi dengan kewarganegaraan, misal. Indonesia, India dan lain-lain  </t>
  </si>
  <si>
    <t xml:space="preserve">6. Diisi dengan pertama, kedua dan seterusnya.   </t>
  </si>
  <si>
    <t xml:space="preserve">7. Diisi dengan angka sesuai dengan jumlah saudara kandung ( saudara seayah dan seibu ) di luar yang bersangkutan  </t>
  </si>
  <si>
    <t xml:space="preserve">8. Saudara seayah atau seibu   </t>
  </si>
  <si>
    <t xml:space="preserve">9. Cukup jelas  </t>
  </si>
  <si>
    <t>10. Cukup jelas</t>
  </si>
  <si>
    <r>
      <t>B. KETERANGAN TEMPAT TINGGAL</t>
    </r>
    <r>
      <rPr>
        <sz val="8"/>
        <color theme="1"/>
        <rFont val="Arial"/>
        <family val="2"/>
      </rPr>
      <t xml:space="preserve">  </t>
    </r>
  </si>
  <si>
    <t xml:space="preserve">11. Diisi  lengkap : Jalan, Gang, Nomor rumah, </t>
  </si>
  <si>
    <t xml:space="preserve">F. KETERANGAN TENTANG IBU KANDUNG  </t>
  </si>
  <si>
    <t xml:space="preserve">      RT, RW. Desa / Kelurahan, Kecamatan, Kabupaten /</t>
  </si>
  <si>
    <t xml:space="preserve">32. Diisi dengan menggunakan huruf balok     </t>
  </si>
  <si>
    <t xml:space="preserve">     Kota / Kotif dan Kode Pos  </t>
  </si>
  <si>
    <t xml:space="preserve">33. Cukup jelas       </t>
  </si>
  <si>
    <t xml:space="preserve">12. Cukup jelas  </t>
  </si>
  <si>
    <t xml:space="preserve">34. Cukup jelas       </t>
  </si>
  <si>
    <t xml:space="preserve">13. Diisi dengan Orang tua / saudara / kost dsb.   </t>
  </si>
  <si>
    <t xml:space="preserve">35. Cukup jelas       </t>
  </si>
  <si>
    <t xml:space="preserve">14. Cukup jelas  </t>
  </si>
  <si>
    <t xml:space="preserve">36. Disi dengan pendidikan terakhir       </t>
  </si>
  <si>
    <t xml:space="preserve">C. KETERANGAN TENTANG KESEHATAN   </t>
  </si>
  <si>
    <t xml:space="preserve">37. Cukup jelas       </t>
  </si>
  <si>
    <t xml:space="preserve">15. Cukup jelas  </t>
  </si>
  <si>
    <t xml:space="preserve">38. Cukup jelas       </t>
  </si>
  <si>
    <t xml:space="preserve">16. Tulis sesuai penyakit yang pernah diderita   </t>
  </si>
  <si>
    <t xml:space="preserve">39. Diisi  lengkap  :  Jalan, Gang, Nomor rumah, RT, RW. </t>
  </si>
  <si>
    <t xml:space="preserve">17. Cukup jelas  </t>
  </si>
  <si>
    <t xml:space="preserve">Desa / Kelurahan, Kecamatan, Kabupaten / Kota / Kotif dan Kode Pos       </t>
  </si>
  <si>
    <t>18. Cukup jelas</t>
  </si>
  <si>
    <t xml:space="preserve">40. Tulis sesuai dengan jawaban yang dipilih       </t>
  </si>
  <si>
    <t>19. Cukup jelas</t>
  </si>
  <si>
    <t xml:space="preserve">G. KETERANGAN TENTANG WALI  </t>
  </si>
  <si>
    <t xml:space="preserve">D. KETERANGAN TENTANG PENDIDIKAN  </t>
  </si>
  <si>
    <t xml:space="preserve">41. Cukup jelas  </t>
  </si>
  <si>
    <t xml:space="preserve">20. Cukup jelas        </t>
  </si>
  <si>
    <t xml:space="preserve">42. Cukup jelas   </t>
  </si>
  <si>
    <t>21. Hanya diisi peserta didik pindahan</t>
  </si>
  <si>
    <t xml:space="preserve">43. Cukup jelas  </t>
  </si>
  <si>
    <t>22. Cukup jelas</t>
  </si>
  <si>
    <t xml:space="preserve">44. Cukup jelas  </t>
  </si>
  <si>
    <t xml:space="preserve">45. Diisi dengan pendidikan terakhir  </t>
  </si>
  <si>
    <t xml:space="preserve">E. KETERANGAN TENTANG AYAH KANDUNG   </t>
  </si>
  <si>
    <t xml:space="preserve">46. Cukup jelas  </t>
  </si>
  <si>
    <t xml:space="preserve">23. Diisi dengan menggunakan huruf balok   </t>
  </si>
  <si>
    <t xml:space="preserve">47. Cukup jelas  </t>
  </si>
  <si>
    <t xml:space="preserve">24. Cukup jelas  </t>
  </si>
  <si>
    <t xml:space="preserve">48. Diisi  lengkap  :  Jalan, Gang, Nomor rumah, RT, RW. Desa / Kelurahan, Kecamatan, Kabupaten / Kota / Kotif dan Kode Pos  </t>
  </si>
  <si>
    <t>25. Cukup jelas</t>
  </si>
  <si>
    <t>49. Diisi hubungan keluarga dengan peserta didik</t>
  </si>
  <si>
    <t xml:space="preserve">26. Cukup jelas   </t>
  </si>
  <si>
    <t xml:space="preserve">H. KETERANGAN PERKEMBANGAN PESERTA DIDIK  </t>
  </si>
  <si>
    <t xml:space="preserve">27. Disi dengan pendidikan terakhir    </t>
  </si>
  <si>
    <t>50. Diisi dengan tahun, tingkat / kelas dan Lembaga / Yayasan pemberi Bea Peserta didik</t>
  </si>
  <si>
    <t xml:space="preserve">28. Cukup jelas   </t>
  </si>
  <si>
    <t>51. Diisi untuk peserta didik yang pindah atau keluar sebelum tamat.</t>
  </si>
  <si>
    <t xml:space="preserve">29. Cukup jelas   </t>
  </si>
  <si>
    <t>52. Cukup jelas</t>
  </si>
  <si>
    <t xml:space="preserve">30. Diisi  lengkap  :  Jalan, Gang, Nomor rumah, RT, RW. </t>
  </si>
  <si>
    <t>Penempatan Pas Foto diusahakan agar tidak</t>
  </si>
  <si>
    <t xml:space="preserve">Desa / Kelurahan, Kecamatan, Kabupaten / Kota / Kotif </t>
  </si>
  <si>
    <t>menumpuk pada suatu tempat.</t>
  </si>
  <si>
    <t xml:space="preserve">dan Kode Pos   </t>
  </si>
  <si>
    <t xml:space="preserve">31. Tulis sesuai dengan jawaban yang dipilih   </t>
  </si>
  <si>
    <t>Pas foto ditempatkan pada tempat yang disesuiakan</t>
  </si>
  <si>
    <t>sesuaidenganangkasatuannomorinduk.</t>
  </si>
  <si>
    <t>NEGERI</t>
  </si>
  <si>
    <t>IDENTITAS PESERTA DIDIK</t>
  </si>
  <si>
    <t xml:space="preserve">NISN </t>
  </si>
  <si>
    <t xml:space="preserve">:  </t>
  </si>
  <si>
    <t>A.  KETERANGAN TENTANG DIRI PESERTA DIDIK</t>
  </si>
  <si>
    <t>Nama lengkap peserta didik</t>
  </si>
  <si>
    <t xml:space="preserve">Nama Panggilan           </t>
  </si>
  <si>
    <t>Jenis kelamin</t>
  </si>
  <si>
    <t>Tempat dan tanggal lahir</t>
  </si>
  <si>
    <t>Kewarganegaraan</t>
  </si>
  <si>
    <t>Anak keberapa</t>
  </si>
  <si>
    <t>Jumlah Saudara  kandung</t>
  </si>
  <si>
    <t>Jumlah Saudara  tiri</t>
  </si>
  <si>
    <t>Jumlah Saudara  angkat</t>
  </si>
  <si>
    <t>Bahasa sehari-hari di keluarga</t>
  </si>
  <si>
    <t>B.  KETERANGAN TEMPAT TINGGAL</t>
  </si>
  <si>
    <t>Nomor telepon / HP</t>
  </si>
  <si>
    <t>Bertempat tinggal pada/bersama</t>
  </si>
  <si>
    <t>Jarak tempat tinggal ke sekolah</t>
  </si>
  <si>
    <t>C.  KETERANGAN TENTANG KESEHATAN</t>
  </si>
  <si>
    <t>Golongan darah</t>
  </si>
  <si>
    <t>....................................................................</t>
  </si>
  <si>
    <t>Penyakit yang pernah diderita</t>
  </si>
  <si>
    <t>Kelainan jasmani</t>
  </si>
  <si>
    <t>Tinggi dan berat badan saat diterima</t>
  </si>
  <si>
    <t>Keadaan Jasmani</t>
  </si>
  <si>
    <t>Tahun Pelajaran</t>
  </si>
  <si>
    <t>D.  KETERANGAN TENTANG PENDIDIKAN</t>
  </si>
  <si>
    <r>
      <t>a.</t>
    </r>
    <r>
      <rPr>
        <sz val="7"/>
        <color theme="1"/>
        <rFont val="Times New Roman"/>
        <family val="1"/>
      </rPr>
      <t xml:space="preserve">    </t>
    </r>
    <r>
      <rPr>
        <sz val="10"/>
        <color theme="1"/>
        <rFont val="Arial"/>
        <family val="2"/>
      </rPr>
      <t xml:space="preserve">Asal Murid    </t>
    </r>
  </si>
  <si>
    <t>:  Rumah Tangga  / Taman Kanak-Kanak  *)</t>
  </si>
  <si>
    <r>
      <t>b.</t>
    </r>
    <r>
      <rPr>
        <sz val="7"/>
        <color theme="1"/>
        <rFont val="Times New Roman"/>
        <family val="1"/>
      </rPr>
      <t xml:space="preserve">    </t>
    </r>
    <r>
      <rPr>
        <sz val="10"/>
        <color theme="1"/>
        <rFont val="Arial"/>
        <family val="2"/>
      </rPr>
      <t>Nama Taman Kanak-Kanak</t>
    </r>
  </si>
  <si>
    <r>
      <t>c.</t>
    </r>
    <r>
      <rPr>
        <sz val="7"/>
        <color theme="1"/>
        <rFont val="Times New Roman"/>
        <family val="1"/>
      </rPr>
      <t xml:space="preserve">    </t>
    </r>
    <r>
      <rPr>
        <sz val="10"/>
        <color theme="1"/>
        <rFont val="Arial"/>
        <family val="2"/>
      </rPr>
      <t>Alamat</t>
    </r>
  </si>
  <si>
    <r>
      <t>d.</t>
    </r>
    <r>
      <rPr>
        <sz val="7"/>
        <color theme="1"/>
        <rFont val="Times New Roman"/>
        <family val="1"/>
      </rPr>
      <t xml:space="preserve">    </t>
    </r>
    <r>
      <rPr>
        <sz val="10"/>
        <color theme="1"/>
        <rFont val="Arial"/>
        <family val="2"/>
      </rPr>
      <t>Tanggal dan Nomor STTB</t>
    </r>
  </si>
  <si>
    <t>Pindahan dari sekolah lain</t>
  </si>
  <si>
    <r>
      <t>a.</t>
    </r>
    <r>
      <rPr>
        <sz val="7"/>
        <color theme="1"/>
        <rFont val="Times New Roman"/>
        <family val="1"/>
      </rPr>
      <t xml:space="preserve">    </t>
    </r>
    <r>
      <rPr>
        <sz val="10"/>
        <color theme="1"/>
        <rFont val="Arial"/>
        <family val="2"/>
      </rPr>
      <t>Nama Sekolah asal</t>
    </r>
  </si>
  <si>
    <r>
      <t>b.</t>
    </r>
    <r>
      <rPr>
        <sz val="7"/>
        <color theme="1"/>
        <rFont val="Times New Roman"/>
        <family val="1"/>
      </rPr>
      <t xml:space="preserve">    </t>
    </r>
    <r>
      <rPr>
        <sz val="10"/>
        <color theme="1"/>
        <rFont val="Arial"/>
        <family val="2"/>
      </rPr>
      <t>Dari Tingkat / kelas</t>
    </r>
  </si>
  <si>
    <r>
      <t>c.</t>
    </r>
    <r>
      <rPr>
        <sz val="7"/>
        <color theme="1"/>
        <rFont val="Times New Roman"/>
        <family val="1"/>
      </rPr>
      <t xml:space="preserve">    </t>
    </r>
    <r>
      <rPr>
        <sz val="10"/>
        <color theme="1"/>
        <rFont val="Arial"/>
        <family val="2"/>
      </rPr>
      <t>NIS</t>
    </r>
  </si>
  <si>
    <r>
      <t>d.</t>
    </r>
    <r>
      <rPr>
        <sz val="7"/>
        <color theme="1"/>
        <rFont val="Times New Roman"/>
        <family val="1"/>
      </rPr>
      <t xml:space="preserve">    </t>
    </r>
    <r>
      <rPr>
        <sz val="10"/>
        <color theme="1"/>
        <rFont val="Arial"/>
        <family val="2"/>
      </rPr>
      <t>Alasan pindah</t>
    </r>
  </si>
  <si>
    <t>Diterima  di sekolah ini</t>
  </si>
  <si>
    <r>
      <t>a.</t>
    </r>
    <r>
      <rPr>
        <sz val="7"/>
        <color theme="1"/>
        <rFont val="Times New Roman"/>
        <family val="1"/>
      </rPr>
      <t xml:space="preserve">     </t>
    </r>
    <r>
      <rPr>
        <sz val="10"/>
        <color theme="1"/>
        <rFont val="Arial"/>
        <family val="2"/>
      </rPr>
      <t>Diterima tanggal</t>
    </r>
  </si>
  <si>
    <r>
      <t>b.</t>
    </r>
    <r>
      <rPr>
        <sz val="7"/>
        <color theme="1"/>
        <rFont val="Times New Roman"/>
        <family val="1"/>
      </rPr>
      <t xml:space="preserve">    </t>
    </r>
    <r>
      <rPr>
        <sz val="10"/>
        <color theme="1"/>
        <rFont val="Arial"/>
        <family val="2"/>
      </rPr>
      <t>Di kelas / tingkat</t>
    </r>
  </si>
  <si>
    <t>E.  KETERANGAN TENTANG AYAH KANDUNG</t>
  </si>
  <si>
    <t>Pendidikan</t>
  </si>
  <si>
    <t>Alamat Rumah, Nomor Telp.</t>
  </si>
  <si>
    <t>F.</t>
  </si>
  <si>
    <t>KETERANGAN TENTANG IBU KANDUNG</t>
  </si>
  <si>
    <t>G.  KETERANGAN TENTANG WALI</t>
  </si>
  <si>
    <t>Hubungan keluarga</t>
  </si>
  <si>
    <t>H.  KETERANGAN PERKEMBANGAN PESERTA DIDIK</t>
  </si>
  <si>
    <t>Menerima beasiswa</t>
  </si>
  <si>
    <t>Tahun ........... /Kelas ...... dari .................................................................................</t>
  </si>
  <si>
    <t>Meninggalkan sekolah</t>
  </si>
  <si>
    <r>
      <t>a.</t>
    </r>
    <r>
      <rPr>
        <sz val="7"/>
        <color theme="1"/>
        <rFont val="Times New Roman"/>
        <family val="1"/>
      </rPr>
      <t xml:space="preserve">  </t>
    </r>
    <r>
      <rPr>
        <sz val="10"/>
        <color theme="1"/>
        <rFont val="Arial"/>
        <family val="2"/>
      </rPr>
      <t>Tanggal meninggalkan sekolah</t>
    </r>
  </si>
  <si>
    <r>
      <t>b.</t>
    </r>
    <r>
      <rPr>
        <sz val="7"/>
        <color theme="1"/>
        <rFont val="Times New Roman"/>
        <family val="1"/>
      </rPr>
      <t xml:space="preserve">  </t>
    </r>
    <r>
      <rPr>
        <sz val="10"/>
        <color theme="1"/>
        <rFont val="Arial"/>
        <family val="2"/>
      </rPr>
      <t>Kelas yang ditinggalkan</t>
    </r>
  </si>
  <si>
    <r>
      <t>c.</t>
    </r>
    <r>
      <rPr>
        <sz val="7"/>
        <color theme="1"/>
        <rFont val="Times New Roman"/>
        <family val="1"/>
      </rPr>
      <t xml:space="preserve">  </t>
    </r>
    <r>
      <rPr>
        <sz val="10"/>
        <color theme="1"/>
        <rFont val="Arial"/>
        <family val="2"/>
      </rPr>
      <t>Alasan</t>
    </r>
  </si>
  <si>
    <r>
      <t>d.</t>
    </r>
    <r>
      <rPr>
        <sz val="7"/>
        <color theme="1"/>
        <rFont val="Times New Roman"/>
        <family val="1"/>
      </rPr>
      <t xml:space="preserve">  </t>
    </r>
    <r>
      <rPr>
        <sz val="10"/>
        <color theme="1"/>
        <rFont val="Arial"/>
        <family val="2"/>
      </rPr>
      <t>Sekolah yang dituju</t>
    </r>
  </si>
  <si>
    <r>
      <t>e.</t>
    </r>
    <r>
      <rPr>
        <sz val="7"/>
        <color theme="1"/>
        <rFont val="Times New Roman"/>
        <family val="1"/>
      </rPr>
      <t xml:space="preserve">  </t>
    </r>
    <r>
      <rPr>
        <sz val="10"/>
        <color theme="1"/>
        <rFont val="Arial"/>
        <family val="2"/>
      </rPr>
      <t>Kecamatan</t>
    </r>
  </si>
  <si>
    <r>
      <t>f.</t>
    </r>
    <r>
      <rPr>
        <sz val="7"/>
        <color theme="1"/>
        <rFont val="Times New Roman"/>
        <family val="1"/>
      </rPr>
      <t xml:space="preserve">   </t>
    </r>
    <r>
      <rPr>
        <sz val="10"/>
        <color theme="1"/>
        <rFont val="Arial"/>
        <family val="2"/>
      </rPr>
      <t>Kabupaten</t>
    </r>
  </si>
  <si>
    <r>
      <t>g.</t>
    </r>
    <r>
      <rPr>
        <sz val="7"/>
        <color theme="1"/>
        <rFont val="Times New Roman"/>
        <family val="1"/>
      </rPr>
      <t xml:space="preserve">  </t>
    </r>
    <r>
      <rPr>
        <sz val="10"/>
        <color theme="1"/>
        <rFont val="Arial"/>
        <family val="2"/>
      </rPr>
      <t>Provinsi</t>
    </r>
  </si>
  <si>
    <t>Akhir Pendidikan</t>
  </si>
  <si>
    <r>
      <t>a.</t>
    </r>
    <r>
      <rPr>
        <sz val="7"/>
        <color theme="1"/>
        <rFont val="Times New Roman"/>
        <family val="1"/>
      </rPr>
      <t xml:space="preserve">  </t>
    </r>
    <r>
      <rPr>
        <sz val="10"/>
        <color theme="1"/>
        <rFont val="Arial"/>
        <family val="2"/>
      </rPr>
      <t>Tamat belajar / lulus tahun</t>
    </r>
  </si>
  <si>
    <r>
      <t>b.</t>
    </r>
    <r>
      <rPr>
        <sz val="7"/>
        <color theme="1"/>
        <rFont val="Times New Roman"/>
        <family val="1"/>
      </rPr>
      <t xml:space="preserve">  </t>
    </r>
    <r>
      <rPr>
        <sz val="10"/>
        <color theme="1"/>
        <rFont val="Arial"/>
        <family val="2"/>
      </rPr>
      <t>Nomor Ijazah / STL</t>
    </r>
  </si>
  <si>
    <r>
      <t>c.</t>
    </r>
    <r>
      <rPr>
        <sz val="7"/>
        <color theme="1"/>
        <rFont val="Times New Roman"/>
        <family val="1"/>
      </rPr>
      <t xml:space="preserve">  </t>
    </r>
    <r>
      <rPr>
        <sz val="10"/>
        <color theme="1"/>
        <rFont val="Arial"/>
        <family val="2"/>
      </rPr>
      <t xml:space="preserve">Akan melanjutkan ke </t>
    </r>
  </si>
  <si>
    <t>LAPORAN HASIL PENCAPAIAN KOMPETENSI PESERTA DIDIK</t>
  </si>
  <si>
    <t xml:space="preserve">A. NILAI SIKAP </t>
  </si>
  <si>
    <t>Kelas</t>
  </si>
  <si>
    <t>SikapSosial</t>
  </si>
  <si>
    <t>B. NILAI PENGETAHUAN</t>
  </si>
  <si>
    <t>SM 1</t>
  </si>
  <si>
    <t>SM 2</t>
  </si>
  <si>
    <t>MuatanPelajaran</t>
  </si>
  <si>
    <t>N</t>
  </si>
  <si>
    <t>P</t>
  </si>
  <si>
    <t>Pendidikan Agama dan Budi Pekerti</t>
  </si>
  <si>
    <t>Pendidikan Pancasila dan Kewarganegaraan</t>
  </si>
  <si>
    <t>Ilmu Pengetahuan Alam</t>
  </si>
  <si>
    <t>Ilmu Pengetahuan Sosial</t>
  </si>
  <si>
    <t>Seni Budaya dan Prakarya</t>
  </si>
  <si>
    <t>Pendidikan Jasmani, Olahraga dan Kesehatan</t>
  </si>
  <si>
    <t>C. NILAI KETRAMPILAN</t>
  </si>
  <si>
    <t>SMT1</t>
  </si>
  <si>
    <t>SMT2</t>
  </si>
  <si>
    <t>WNI</t>
  </si>
  <si>
    <t>Anak ke</t>
  </si>
  <si>
    <t>Jumlah saudara</t>
  </si>
  <si>
    <t>Kandung</t>
  </si>
  <si>
    <t>Tiri</t>
  </si>
  <si>
    <t>Angkat</t>
  </si>
  <si>
    <t>Bahasa sehari hari</t>
  </si>
  <si>
    <t>Tinggal bersama</t>
  </si>
  <si>
    <t>AYAH</t>
  </si>
  <si>
    <t>Tahun lahir</t>
  </si>
  <si>
    <t>Tahun Lahir</t>
  </si>
  <si>
    <t xml:space="preserve">Pekerjaan </t>
  </si>
  <si>
    <t>IBU</t>
  </si>
  <si>
    <t>Hubungan dengan keluarga</t>
  </si>
  <si>
    <t>Islam</t>
  </si>
  <si>
    <t>-</t>
  </si>
  <si>
    <t>Madura</t>
  </si>
  <si>
    <t>082 222 333 444</t>
  </si>
  <si>
    <t>7 Km</t>
  </si>
  <si>
    <t>S3</t>
  </si>
  <si>
    <t>Pedagang</t>
  </si>
  <si>
    <t>SD</t>
  </si>
  <si>
    <t>Tidak Bekerja</t>
  </si>
  <si>
    <t>Tegalbangsri</t>
  </si>
  <si>
    <t>Ranuyoso</t>
  </si>
  <si>
    <t>Keluarga</t>
  </si>
  <si>
    <t xml:space="preserve">Kegiatan </t>
  </si>
  <si>
    <t>C. EKSTRA KURIKULER</t>
  </si>
  <si>
    <t>Cukup</t>
  </si>
  <si>
    <t>Semester 1</t>
  </si>
  <si>
    <t>Semester 2</t>
  </si>
  <si>
    <t>Izin</t>
  </si>
  <si>
    <t>D. KETIDAKHADIRAN</t>
  </si>
  <si>
    <t>E. KEPUTUSAN</t>
  </si>
  <si>
    <t>Berdasarkan hasil pencapaian kompetensi pada semester ke-1 dan ke-2, peserta didik ditetapkan :</t>
  </si>
  <si>
    <t>Naik ke kelas :...... (…….........) /
Tinggal di kelas : ....... (…...........)</t>
  </si>
  <si>
    <t>SMT 1</t>
  </si>
  <si>
    <t>SMT 2</t>
  </si>
  <si>
    <t>Nama Guru dan Tanda tangan</t>
  </si>
  <si>
    <t>H. SAMSUDIN,M.Pd</t>
  </si>
  <si>
    <t xml:space="preserve">Lumajang </t>
  </si>
  <si>
    <t>19921233 198777 1 336</t>
  </si>
  <si>
    <t>Untuk tutorialnya bisa Anda lihat VIDEOnya di sini</t>
  </si>
  <si>
    <t>https://www.youtube.com/watch?v=QnKMz6afshM&amp;t=86s</t>
  </si>
  <si>
    <t>Ada beberapa hal yang perlu diperhatikan</t>
  </si>
  <si>
    <r>
      <t xml:space="preserve">  </t>
    </r>
    <r>
      <rPr>
        <b/>
        <sz val="12"/>
        <color theme="0"/>
        <rFont val="Webdings"/>
        <family val="1"/>
        <charset val="2"/>
      </rPr>
      <t>@</t>
    </r>
    <r>
      <rPr>
        <b/>
        <sz val="12"/>
        <color theme="0"/>
        <rFont val="Calibri"/>
        <family val="2"/>
      </rPr>
      <t xml:space="preserve"> </t>
    </r>
    <r>
      <rPr>
        <b/>
        <sz val="12"/>
        <color theme="0"/>
        <rFont val="Calibri"/>
        <family val="2"/>
        <scheme val="minor"/>
      </rPr>
      <t>PROGRES PEKERJAAN</t>
    </r>
  </si>
  <si>
    <t>NILAI PTS</t>
  </si>
  <si>
    <t>NILAI PAS</t>
  </si>
  <si>
    <t>NILAI AKHIR</t>
  </si>
  <si>
    <t>PENILAIAN HARIAN</t>
  </si>
  <si>
    <t>PH</t>
  </si>
  <si>
    <t>3.2</t>
  </si>
  <si>
    <t>3.1</t>
  </si>
  <si>
    <t>NILAI HARIAN</t>
  </si>
  <si>
    <t>KOMPETENSI DASAR (KD) BAHASA INDONESIA</t>
  </si>
  <si>
    <t>Praktik</t>
  </si>
  <si>
    <t>Produk</t>
  </si>
  <si>
    <t>Proyek</t>
  </si>
  <si>
    <t>KOMPETENSI DASAR (KD) PPKn</t>
  </si>
  <si>
    <t>KOMPETENSI DASAR (KD) MATEMATIKA</t>
  </si>
  <si>
    <t>KOMPETENSI DASAR (KD) IPA</t>
  </si>
  <si>
    <t>KOMPETENSI DASAR (KD) IPS</t>
  </si>
  <si>
    <t>KOMPETENSI DASAR (KD) SBDP</t>
  </si>
  <si>
    <t>KOMPETENSI DASAR (KD) PJOK</t>
  </si>
  <si>
    <t xml:space="preserve">KOMPETENSI DASAR (KD) </t>
  </si>
  <si>
    <t>KOMPETENSI DASAR (KD)</t>
  </si>
  <si>
    <t>NISN / NIS</t>
  </si>
  <si>
    <t>A. NILAI PENGETAHUAN</t>
  </si>
  <si>
    <t>KLIK DI SINI UNTUK MERUBAH NAMA SESUAI ABSEN</t>
  </si>
  <si>
    <t>1.</t>
  </si>
  <si>
    <t>2.</t>
  </si>
  <si>
    <t>3.</t>
  </si>
  <si>
    <t>4.</t>
  </si>
  <si>
    <t>5.</t>
  </si>
  <si>
    <t>6.</t>
  </si>
  <si>
    <t>7.</t>
  </si>
  <si>
    <t>8.</t>
  </si>
  <si>
    <t>B. SARAN - SARAN</t>
  </si>
  <si>
    <t>Orang Tua / Wali</t>
  </si>
  <si>
    <t>19616566 201808 2 033</t>
  </si>
  <si>
    <t>PKN</t>
  </si>
  <si>
    <t>B.INDO</t>
  </si>
  <si>
    <t xml:space="preserve">AGAMA </t>
  </si>
  <si>
    <t>MATEMATIKA</t>
  </si>
  <si>
    <t>PTS</t>
  </si>
  <si>
    <t>NILAI KOMPETENSI DASAR</t>
  </si>
  <si>
    <t>PENILAIAN TENGAH SEMESTER</t>
  </si>
  <si>
    <t>SARAN</t>
  </si>
  <si>
    <t>Pertahankan prestasimu</t>
  </si>
  <si>
    <t>DINAS PENDIDIKAN</t>
  </si>
  <si>
    <t>PAS</t>
  </si>
  <si>
    <t>MUATAN PELAJARAN</t>
  </si>
  <si>
    <t>Anak 1</t>
  </si>
  <si>
    <t>Anak 2</t>
  </si>
  <si>
    <t>Anak 3</t>
  </si>
  <si>
    <t>Anak 4</t>
  </si>
  <si>
    <t>Anak 5</t>
  </si>
  <si>
    <t>Anak 6</t>
  </si>
  <si>
    <t>Anak 7</t>
  </si>
  <si>
    <t>Anak 8</t>
  </si>
  <si>
    <t>Anak 9</t>
  </si>
  <si>
    <t>Anak 10</t>
  </si>
  <si>
    <t>Anak 11</t>
  </si>
  <si>
    <t>Anak 12</t>
  </si>
  <si>
    <t>Anak 13</t>
  </si>
  <si>
    <t>Anak 14</t>
  </si>
  <si>
    <t>Anak 15</t>
  </si>
  <si>
    <t>Anak 16</t>
  </si>
  <si>
    <t>Anak 17</t>
  </si>
  <si>
    <t>Anak 18</t>
  </si>
  <si>
    <t>Anak 19</t>
  </si>
  <si>
    <t>Anak 20</t>
  </si>
  <si>
    <t>Anak 21</t>
  </si>
  <si>
    <t>Anak 22</t>
  </si>
  <si>
    <t>Anak 23</t>
  </si>
  <si>
    <t>Anak 24</t>
  </si>
  <si>
    <t>Anak 25</t>
  </si>
  <si>
    <t>Anak 26</t>
  </si>
  <si>
    <t>Anak 27</t>
  </si>
  <si>
    <t>Anak 28</t>
  </si>
  <si>
    <t>Anak 29</t>
  </si>
  <si>
    <t>Anak 30</t>
  </si>
  <si>
    <t>Anak 31</t>
  </si>
  <si>
    <t>Anak 32</t>
  </si>
  <si>
    <t>Anak 33</t>
  </si>
  <si>
    <t>Anak 34</t>
  </si>
  <si>
    <t>Anak 35</t>
  </si>
  <si>
    <t>Anak 36</t>
  </si>
  <si>
    <t>Anak 37</t>
  </si>
  <si>
    <t>Anak 38</t>
  </si>
  <si>
    <t>Anak 39</t>
  </si>
  <si>
    <t>Anak 40</t>
  </si>
  <si>
    <t>Anak 41</t>
  </si>
  <si>
    <t>Anak 42</t>
  </si>
  <si>
    <t>Anak 43</t>
  </si>
  <si>
    <t>Anak 44</t>
  </si>
  <si>
    <t>Anak 45</t>
  </si>
  <si>
    <t>Anak 46</t>
  </si>
  <si>
    <t>Anak 47</t>
  </si>
  <si>
    <t>Anak 48</t>
  </si>
  <si>
    <t>Anak 49</t>
  </si>
  <si>
    <t>Anak 50</t>
  </si>
  <si>
    <t xml:space="preserve">menjelaskan faktor dan kelipatan suatu bilangan </t>
  </si>
  <si>
    <t xml:space="preserve">menjelaskan bilangan prima </t>
  </si>
  <si>
    <t>menjelaskan dan menentukan faktor persekutuan, faktor persekutuan terbesar (FPB), kelipatan persekutuan, dan kelipatan persekutuan terkecil (KPK) dari dua bilangan berkaitan dengan kehidupan sehari-hari</t>
  </si>
  <si>
    <t>menjelaskan dan melakukan pembulatan hasil pengukuran panjang dan berat ke satuan terdekat</t>
  </si>
  <si>
    <t xml:space="preserve">mengidentifikasi  faktor dan kelipatan suatu bilangan </t>
  </si>
  <si>
    <t xml:space="preserve">mengidentifikasi bilangan prima </t>
  </si>
  <si>
    <t>menyelesaikan masalah yang berkaitan dengan faktor persekutuan, faktor persekutuan terbesar (FPB), kelipatan persekutuan, dan kelipatan persekutuan terkecil (KPK) dari dua bilangan berkaitan dengan kehidupan sehari-hari</t>
  </si>
  <si>
    <t xml:space="preserve">menyelesaikan masalah  pembulatan hasil pengukuran panjang dan berat ke satuan terdekat </t>
  </si>
  <si>
    <t>3.3</t>
  </si>
  <si>
    <t>3.4</t>
  </si>
  <si>
    <t>3.6</t>
  </si>
  <si>
    <t>3.7</t>
  </si>
  <si>
    <t>3.9</t>
  </si>
  <si>
    <t>3.5</t>
  </si>
  <si>
    <t>4.6</t>
  </si>
  <si>
    <t>4.7</t>
  </si>
  <si>
    <t>4.9</t>
  </si>
  <si>
    <t>4.5</t>
  </si>
  <si>
    <t>Genap</t>
  </si>
  <si>
    <t xml:space="preserve">       Versi Aplikasi . V 2019.a</t>
  </si>
  <si>
    <t>membandingkan siklus hidup beberapa jenis makhluk hidup serta mengaitkan dengan upaya pelestariannya.</t>
  </si>
  <si>
    <t>mengidentifikasi macam-macam gaya, antara lain: gaya otot, gaya listrik, gaya magnet, gaya gravitasi, dan gaya gesekan.</t>
  </si>
  <si>
    <t>menghubungkan gaya dengan gerak pada peristiwa di lingkungan sekitar.</t>
  </si>
  <si>
    <t>mengidentifikasi berbagai sumber energi, perubahan bentuk energi, dan sumber energi alternatif (angin, air, matahari, panas bumi, bahan bakar organik, dan nuklir) dalam kehidupan sehari-hari.</t>
  </si>
  <si>
    <t>membuat skema siklus hidup beberapa jenis makhluk hidup yang ada di lingkungan sekitarnya, dan slogan upaya pelestariannya.</t>
  </si>
  <si>
    <t>mendemonstrasikan manfaat gaya dalam kehidupan sehari-hari, misalnya gaya otot, gaya listrik, gaya magnet, gaya gravitasi, dan gaya gesekan.</t>
  </si>
  <si>
    <t>menyajikan hasil percobaan tentang hubungan antara gaya dan gerak.</t>
  </si>
  <si>
    <t>menyajikan laporan hasil pengamatan dan penelusuran informasi tentang berbagai perubahan bentuk energi.</t>
  </si>
  <si>
    <t>mengidentifikasi pelaksanaan kewajiban dan hak sebagai warga masyarakat dalam kehidupan sehari-hari.</t>
  </si>
  <si>
    <t>menjelaskan manfaat keberagaman karakteristik individu dalam kehidupan sehari-hari.</t>
  </si>
  <si>
    <t>mengidentifikasi berbagai bentuk keragaman suku bangsa, sosial, dan budaya di Indonesia yang terikat persatuan dan kesatuan.</t>
  </si>
  <si>
    <t>menyajikan berbagai bentuk keragaman suku bangsa, sosial, dan budaya di Indonesia yang terikat persatuan dan kesatuan.</t>
  </si>
  <si>
    <t>mengemukakan manfaat keberagaman karakteristik individu dalam kehidupan sehari-hari.</t>
  </si>
  <si>
    <t>menyajikan hasil identifikasi pelaksanaan kewajiban dan hak sebagai warga masyarakat dalam kehidupan sehari-hari.</t>
  </si>
  <si>
    <t>menggali informasi dari seorang tokoh melalui wawancara menggunakan daftar pertanyaan.</t>
  </si>
  <si>
    <t>menggali isi dan amanat puisi yang disajikan secara lisan dan tulis dengan tujuan untuk kesenangan.</t>
  </si>
  <si>
    <t>menggali pengetahuan baru yang terdapat pada teks nonfiksi.</t>
  </si>
  <si>
    <t>mencermati tokoh-tokoh yang terdapat pada teks fiksi.</t>
  </si>
  <si>
    <t>membandingkan watak setiap tokoh pada teks fiksi.</t>
  </si>
  <si>
    <t>menyajikan hasil membandingkan watak setiap tokoh pada teks fiksi secara lisan, tulis, dan visual.</t>
  </si>
  <si>
    <t>menyampaikan hasil identifikasi tokoh-tokoh yang terdapat pada teks fiksi secara lisan, tulis, dan visual.</t>
  </si>
  <si>
    <t>menyampaikan pengetahuan baru dari teks nonfiksi ke dalam tulisan dengan bahasa sendiri.</t>
  </si>
  <si>
    <t>melisankan puisi hasil karya pribadi dengan lafal, intonasi, dan ekspresi yang tepat sebagai bentuk ungkapan diri.</t>
  </si>
  <si>
    <t>melaporkan hasil wawancara menggunakan kosakata baku dan kalimat efektif dalam bentuk teks tulis.</t>
  </si>
  <si>
    <t>mengidentifikasi karakteristik ruang dan pemanfaatan sumberdaya alam untuk kesejahteraan masyarakat dari tingkatkota/kabupaten sampai tingkat provinsi.</t>
  </si>
  <si>
    <t>mengidentifikasi keragaman sosial, ekonomi, budaya, etnis, dan agama di provinsi setempat sebagai identitas bangsa Indonesia serta hubungannya dengan karakteristik ruang.</t>
  </si>
  <si>
    <t>mengidentifikasi kegiatan ekonomi dan hubungannya dengan berbagai bidang pekerjaan serta kehidupan sosial dan budaya di lingkungan sekitar sampai provinsi.</t>
  </si>
  <si>
    <t>mengetahui gambar dan bentuk tiga dimensi.</t>
  </si>
  <si>
    <t>mengetahui tanda tempo dan tinggi rendah nada.</t>
  </si>
  <si>
    <t>mengetahui gerak tari kreasi daerah.</t>
  </si>
  <si>
    <t>mengetahui karya seni rupa teknik tempel.</t>
  </si>
  <si>
    <t>menyanyikan lagu dengan memperhatikan tempo dan tinggi rendah nada.</t>
  </si>
  <si>
    <t>meragakan gerak tari kreasi daerah.</t>
  </si>
  <si>
    <t>membuat karya kolase, montase, aplikasi, dan mozaik.</t>
  </si>
  <si>
    <t>di sheet ini saja dan tidak akan mempengaruhi kinerja rumus/formula di sheet yang lainnya</t>
  </si>
  <si>
    <r>
      <t xml:space="preserve">Silakan dirubah dengan cara mengisi angka yang sesuai pada </t>
    </r>
    <r>
      <rPr>
        <b/>
        <sz val="12"/>
        <color theme="0"/>
        <rFont val="Calibri"/>
        <family val="2"/>
        <scheme val="minor"/>
      </rPr>
      <t>3 KOTAK PUTIH</t>
    </r>
    <r>
      <rPr>
        <sz val="12"/>
        <color theme="0"/>
        <rFont val="Calibri"/>
        <family val="2"/>
        <scheme val="minor"/>
      </rPr>
      <t xml:space="preserve"> yang telah disediakan</t>
    </r>
  </si>
  <si>
    <r>
      <t xml:space="preserve">Namun hal ini secara otomatis akan menghapus penghitungan </t>
    </r>
    <r>
      <rPr>
        <b/>
        <sz val="12"/>
        <color theme="0"/>
        <rFont val="Calibri"/>
        <family val="2"/>
        <scheme val="minor"/>
      </rPr>
      <t>rumus rentang KKM</t>
    </r>
    <r>
      <rPr>
        <sz val="12"/>
        <color theme="0"/>
        <rFont val="Calibri"/>
        <family val="2"/>
        <scheme val="minor"/>
      </rPr>
      <t xml:space="preserve"> versi laptop </t>
    </r>
  </si>
  <si>
    <t>Lumajang, 15 Juni 2019</t>
  </si>
  <si>
    <t>Keputusan</t>
  </si>
  <si>
    <t xml:space="preserve">Berdasarkan pencapaian </t>
  </si>
  <si>
    <t>seluruh kompetensi</t>
  </si>
  <si>
    <t>peserta didik dinyatakan :</t>
  </si>
  <si>
    <t>Naik/Tinggal*) kelas :     (              )</t>
  </si>
  <si>
    <t>*) Coret yang tidak perlu</t>
  </si>
  <si>
    <t>Prestasi 3</t>
  </si>
  <si>
    <t>Renang</t>
  </si>
  <si>
    <t>Juara 1 Tingkat Kecamatan</t>
  </si>
  <si>
    <t>Juara 2 Tingkat Kabupaten</t>
  </si>
  <si>
    <t>Bahasa Inggris</t>
  </si>
  <si>
    <t>TIK</t>
  </si>
  <si>
    <t>B. INDONESIA</t>
  </si>
  <si>
    <t>REKAP NILAI PAS</t>
  </si>
  <si>
    <t>PEMBUALATAN NILAI PAS</t>
  </si>
  <si>
    <t>KUALIFIKASI MURID SEKOLAH DASAR NEGERI / SWASTA BERDASARKAN</t>
  </si>
  <si>
    <t>PPKN</t>
  </si>
  <si>
    <t>BAHASA INDONESIA</t>
  </si>
  <si>
    <t>NILAI  PENILAIAN AKHIR SEMESTER 2 TAHUN  PELAJARAN 2018/2019</t>
  </si>
  <si>
    <t>1</t>
  </si>
  <si>
    <t>2</t>
  </si>
  <si>
    <t>3</t>
  </si>
  <si>
    <t>4</t>
  </si>
  <si>
    <t>5</t>
  </si>
  <si>
    <t>6</t>
  </si>
  <si>
    <t>7</t>
  </si>
  <si>
    <t>8</t>
  </si>
  <si>
    <t>9</t>
  </si>
  <si>
    <t>10</t>
  </si>
  <si>
    <t>11</t>
  </si>
  <si>
    <t>12</t>
  </si>
  <si>
    <t>13</t>
  </si>
  <si>
    <t>14</t>
  </si>
  <si>
    <t>15</t>
  </si>
  <si>
    <t>16</t>
  </si>
  <si>
    <t>17</t>
  </si>
  <si>
    <t>18</t>
  </si>
  <si>
    <t>19</t>
  </si>
  <si>
    <t>I</t>
  </si>
  <si>
    <t>Jumlah Peserta PAS                              Tiap Muatan Pelajaran</t>
  </si>
  <si>
    <t>II</t>
  </si>
  <si>
    <t>Jumlah seluruh Nilai  Tiap Muatan Pelajaran</t>
  </si>
  <si>
    <t>III</t>
  </si>
  <si>
    <t>KKM Muatan pelajaran</t>
  </si>
  <si>
    <t>DIATAS KKM</t>
  </si>
  <si>
    <t>PAS KKM</t>
  </si>
  <si>
    <t>JUMLAH DIATAS KKM</t>
  </si>
  <si>
    <t>JUMLAH PAS KKM</t>
  </si>
  <si>
    <t>IV</t>
  </si>
  <si>
    <t>Jumlah Peserta yang mempunyai   nilai di atas KKM</t>
  </si>
  <si>
    <t>V</t>
  </si>
  <si>
    <t>Jumlah Peserta yang mempunyai   nilai di bawah KKM</t>
  </si>
  <si>
    <t>VI</t>
  </si>
  <si>
    <t>Jumlah Peserta yang mempunyai nilai pada KKM</t>
  </si>
  <si>
    <t>VII</t>
  </si>
  <si>
    <t>Rata - rata target kurikulum                                                       tiap Mata pelajaran  %</t>
  </si>
  <si>
    <t>100 %</t>
  </si>
  <si>
    <t>REKAP NILAI PTS</t>
  </si>
  <si>
    <t>SDN UJUNG ASPAL 01</t>
  </si>
  <si>
    <t>Aplikasi ini dibagikan secara GRATIS untuk membantu meringankan pekerjaaan sekaligus pembelajaran para guru-guru di Indonesia, Anda bebas mengembangkan isi yang ada dalam aplikasi ini kecuali untuk sheet DEPAN yang merupakan conten privasi dari Admin pribadi</t>
  </si>
  <si>
    <t xml:space="preserve">          Aplikasi Raport K13 
          Revisi 2018 Smt 2</t>
  </si>
  <si>
    <t>SITI PONIMAH,M.Pd</t>
  </si>
  <si>
    <t>NSS</t>
  </si>
  <si>
    <t>REKAP NILAI PTS 2</t>
  </si>
  <si>
    <t>LAPORAN  HASIL PENILAIAN TENGAH SEMESTER 2</t>
  </si>
  <si>
    <t>Jl.Ndeso gang 33 Sidokuto</t>
  </si>
  <si>
    <t>CITA CITAKU</t>
  </si>
  <si>
    <t>memahami Q.S. al- Falaq dan Q.S. al- Fil dengan baik dan benar</t>
  </si>
  <si>
    <t>4.1.1</t>
  </si>
  <si>
    <t>membaca Q.S. al- Falaq dan Q.S.al-Fil dengan tartil</t>
  </si>
  <si>
    <t>INDAHNYA KERAGAMAN DI NEGERIKU</t>
  </si>
  <si>
    <t>memahami makna iman kepada malaikat-malaikat Allah berdasar kan pengamatan terha dap dirinya dan alam sekitar</t>
  </si>
  <si>
    <t>4.1.2</t>
  </si>
  <si>
    <t>menulis kalimat- kalimat dalam Q.S. al-Falaq dan Q.S. al-Fil dengan benar</t>
  </si>
  <si>
    <t>DAERAH TEMPAT TINGGALKU</t>
  </si>
  <si>
    <t>memahami manfaat gemar membaca</t>
  </si>
  <si>
    <t>4.1.3</t>
  </si>
  <si>
    <t>menunjuk kan hafalan Q.S. al-Falaq dan Q.S. al-Fil dengan lancar</t>
  </si>
  <si>
    <t>KAYANYA NEGERIKU</t>
  </si>
  <si>
    <t>memahami makna sikap pantang menyerah</t>
  </si>
  <si>
    <t>melakukan pengama tan diri dan alam sekitar sebagai implementasi makna iman kepada malaikat- malaikat Allah</t>
  </si>
  <si>
    <t>memahami sikap rendah hati</t>
  </si>
  <si>
    <t>menunjukkan perilaku gemar membaca</t>
  </si>
  <si>
    <t>memahami perilaku hemat</t>
  </si>
  <si>
    <t>menunjukkan sikap pantang menyerah</t>
  </si>
  <si>
    <t>memahami makna ibadah salat</t>
  </si>
  <si>
    <t>mencontohkan sikap rendah hati</t>
  </si>
  <si>
    <t>3.21</t>
  </si>
  <si>
    <t>Memahami kisah keteladanan Wali Songo</t>
  </si>
  <si>
    <t>mencontohkan perilaku hemat</t>
  </si>
  <si>
    <t>4.15.1</t>
  </si>
  <si>
    <t>menunjukkan contoh makna ibadah salat</t>
  </si>
  <si>
    <t>4.15.2</t>
  </si>
  <si>
    <t>menceritakan penga laman melaksanakan salat di rumah dan masjid lingkungan sekitar rumah</t>
  </si>
  <si>
    <t>4.21</t>
  </si>
  <si>
    <t>Menceritakan kisah keteladanan Wali Songo</t>
  </si>
  <si>
    <t>NAMA TEMA</t>
  </si>
  <si>
    <t>mengenal dan memahmi teks tembang dolanan</t>
  </si>
  <si>
    <t>melagukan dan mengapresiasi tembang dolanan.</t>
  </si>
  <si>
    <t>mengenal dan memahami sandhangan aksara Jawa.</t>
  </si>
  <si>
    <t>menulis kalimat dengan huruf latin dan huruf Jawa menggunakan sandhangan aksar Jawa.</t>
  </si>
  <si>
    <t>mengenal, memahami, dan mengidentifikasi kata berimbuhan dalam teks sesuai kaidah</t>
  </si>
  <si>
    <t>menulis kalimat menggunakan kata berimbuhan.</t>
  </si>
  <si>
    <t>mengenal, memahami dan mengidentifikasi macam-macam kalimat (order, request, and prengenal obyek-obyek wisata dan memahami penggunaan kalimat ungkapan terima kasih</t>
  </si>
  <si>
    <t>melakukan praktik menyebutkan tempat obyek wisata dan menyajikan kalimat tentang ungkapan terima kasih</t>
  </si>
  <si>
    <t>memahami penggunaan kalimat yang menunjukkan letak suatu tempat</t>
  </si>
  <si>
    <t>melakukan percakapan yang menunjukkan letak suatu tempat</t>
  </si>
  <si>
    <t>memahami penggunaan waktu, tanggal, bulan, dan tahun</t>
  </si>
  <si>
    <t>melakukan percakapan tentang penggunaan waktu, tanggal, bulan, dan tahun</t>
  </si>
  <si>
    <t>mengenal dan mengidentifikasi benda-benda di dapur dan nama-nama bunga</t>
  </si>
  <si>
    <t>menyajikan data tentang benda-benda di dapur beserta kegunaannya dan nama- nama bunga beserta ciri-cirinya</t>
  </si>
  <si>
    <t>mengenal dan memahami penggunaan microsoft  word.</t>
  </si>
  <si>
    <t>mempraktikkan membuat karangan yang berjudul" Letusan Gunung Berapi"</t>
  </si>
  <si>
    <t>memahami pembuatan dokumen di microsoft  word</t>
  </si>
  <si>
    <t>mempraktikkan membuat dokumen " Cerita Dongeng"</t>
  </si>
  <si>
    <t>memahami cara menyisipkan tabel dan gambar di microsoft  
word</t>
  </si>
  <si>
    <t>mempraktikkan menyisipkan gambar ke dalam cerita</t>
  </si>
  <si>
    <t>memahami cara membuat karya di microsoft  word.</t>
  </si>
  <si>
    <t>membuat karya Buletin Sekolah</t>
  </si>
  <si>
    <t>NAMA</t>
  </si>
  <si>
    <t>JANUARI</t>
  </si>
  <si>
    <t>S</t>
  </si>
  <si>
    <t>A</t>
  </si>
  <si>
    <t>HARI EFEKTIF</t>
  </si>
  <si>
    <t>Lumajang, 31 Januari 2019</t>
  </si>
  <si>
    <t>Guru Kelas</t>
  </si>
  <si>
    <t>ABSENSI</t>
  </si>
  <si>
    <t>SAKIT</t>
  </si>
  <si>
    <t>IJIN</t>
  </si>
  <si>
    <t>ALPA</t>
  </si>
  <si>
    <t>PEBRUARI</t>
  </si>
  <si>
    <t>Lumajang, 28 Pebruari 2019</t>
  </si>
  <si>
    <t>MARET</t>
  </si>
  <si>
    <t>Lumajang, 31 Maret 2019</t>
  </si>
  <si>
    <t>APRIL</t>
  </si>
  <si>
    <t>Lumajang, 30 April 2019</t>
  </si>
  <si>
    <t>MEI</t>
  </si>
  <si>
    <t>JUNI</t>
  </si>
  <si>
    <t>SIKAP</t>
  </si>
  <si>
    <t>KODE</t>
  </si>
  <si>
    <t>INDIKATOR</t>
  </si>
  <si>
    <t>SB (Sangat Baik)</t>
  </si>
  <si>
    <t>PB (Perlu Bimbingan)</t>
  </si>
  <si>
    <t>Ketaatan beribadah</t>
  </si>
  <si>
    <t>perilaku patuh dalam melaksanakan ajaran agama yang dianutnya</t>
  </si>
  <si>
    <t>tidak melaksanakan ajaran agama yang dianutnya</t>
  </si>
  <si>
    <t>mau mengajak teman seagamanya untuk melakukan ibadah bersama</t>
  </si>
  <si>
    <t>menolak ajakan teman untuk melakukan ibadah bersama</t>
  </si>
  <si>
    <t>mengikuti kegiatan keagamaan yang diselenggarakan sekolah</t>
  </si>
  <si>
    <t>tidak ikut serta dengan keagamaan yang diselenggarakan sekolah</t>
  </si>
  <si>
    <t>melaksanakan ibadah sesuai ajaran agama, misalnya: shalat dan puasa</t>
  </si>
  <si>
    <t>meninggalkan ajaran agama, misalnya: shalat dan puasa</t>
  </si>
  <si>
    <t>merayakan hari besar agama</t>
  </si>
  <si>
    <t>tidak menghargai terhadap hari besar agama</t>
  </si>
  <si>
    <t>melaksanakan ibadah tepat waktu</t>
  </si>
  <si>
    <t>meninggalkan kuwajiban beribadah</t>
  </si>
  <si>
    <t>Berperilaku syukur</t>
  </si>
  <si>
    <t>mengakui kebesaran Tuhan dalam menciptakan alam semesta</t>
  </si>
  <si>
    <t>mengingkari kebesaran Tuhan dalam menciptakan alam semesta</t>
  </si>
  <si>
    <t>menjaga kelestarian alam, tidak merusak tanaman</t>
  </si>
  <si>
    <t>merusak kelestarian alam, merusak tanaman</t>
  </si>
  <si>
    <t>tidak mengeluh</t>
  </si>
  <si>
    <t>mengeluh</t>
  </si>
  <si>
    <t>selalu merasa gembira dalam segala hal</t>
  </si>
  <si>
    <t>mengeluh dalam segala hal</t>
  </si>
  <si>
    <t>tidak berkecil hati dengan keadaannya</t>
  </si>
  <si>
    <t>berkecil hati dengan keadaannya</t>
  </si>
  <si>
    <t>suka memberi atau menolong sesama</t>
  </si>
  <si>
    <t>tidak suka memberi atau menolong sesama</t>
  </si>
  <si>
    <t>selalu berterima kasih bila menerima pertolongan</t>
  </si>
  <si>
    <t>tidak pernah berterima kasih bila menerima pertolongan</t>
  </si>
  <si>
    <t>menerima perbedaan karakteristik sebagai anugerah Tuhan</t>
  </si>
  <si>
    <t>menolak perbedaan karakteristik sebagai anugerah Tuhan</t>
  </si>
  <si>
    <t>selalu menerima penugasan dengan sikap terbuka</t>
  </si>
  <si>
    <t>tidak pernah menerima penugasan dengan sikap terbuka</t>
  </si>
  <si>
    <t>berterima kasih atas pemberian orang lain</t>
  </si>
  <si>
    <t>tidak bersyukur atas pemberian orang lain</t>
  </si>
  <si>
    <t>Berdoa sebelum dan sesudah melakukan kegiatan</t>
  </si>
  <si>
    <t>berdoa sebelum dan sesudah belajar</t>
  </si>
  <si>
    <t>belajar tanpa berdoa</t>
  </si>
  <si>
    <t>berdoa sebelum dan sesudah makan</t>
  </si>
  <si>
    <t>makan tanpa berdoa</t>
  </si>
  <si>
    <t>mengajak teman berdoa saat memulai kegiatan</t>
  </si>
  <si>
    <t>memulai kegiatan tanpa berdoa</t>
  </si>
  <si>
    <t>mengingatkan teman untuk selalu berdoa</t>
  </si>
  <si>
    <t>mengajak teman untuk tidak berdoa</t>
  </si>
  <si>
    <t>Toleransi dalam beribadah</t>
  </si>
  <si>
    <t>tindakan yang menghargai perbedaan dalam beribadah</t>
  </si>
  <si>
    <t>tidak menghargai perbedaan dalam beribadah</t>
  </si>
  <si>
    <t>menghormati teman yang berbeda agama</t>
  </si>
  <si>
    <t>menjauhi teman yang berbeda agama</t>
  </si>
  <si>
    <t>berteman tanpa membedakan agama</t>
  </si>
  <si>
    <t>memilih dalam berteman</t>
  </si>
  <si>
    <t>tidak mengganggu teman yang sedang beribadah</t>
  </si>
  <si>
    <t>mengganggu teman yang sedang beribadah</t>
  </si>
  <si>
    <t>menghormati hari besar keagamaan lain</t>
  </si>
  <si>
    <t>tidak menghormati hari besar keagamaan lain</t>
  </si>
  <si>
    <t>tidak menjelekkan ajaran agama lain</t>
  </si>
  <si>
    <t>menjelekkan ajaran agama lain</t>
  </si>
  <si>
    <t>Jujur</t>
  </si>
  <si>
    <t>tidak berbohong</t>
  </si>
  <si>
    <t>berbohong</t>
  </si>
  <si>
    <t>tidak mencontek</t>
  </si>
  <si>
    <t>mencontek</t>
  </si>
  <si>
    <t>mengerjakan sendiri tugas yang diberikan pendidik, tanpa menjiplak tugas orang lain</t>
  </si>
  <si>
    <t>mencontek tugas yang diberikan pendidik, menjiplak tugas orang lain</t>
  </si>
  <si>
    <t>mengerjakan soal penilaian tanpa mencontek</t>
  </si>
  <si>
    <t>mengerjakan soal penilaian dengan mencontek</t>
  </si>
  <si>
    <t>mengatakan dengan sesungguhnya apa yang terjadi atau yang dialaminya dalam kehidupan sehari-hari</t>
  </si>
  <si>
    <t>diam, tidak mau menceritakan apa yang dialaminya dalam kehidupan sehari hari</t>
  </si>
  <si>
    <t>mau mengakui kesalahan atau kekeliruan</t>
  </si>
  <si>
    <t>tidak mengakui kesalahan atau kekeliruan</t>
  </si>
  <si>
    <t>mengembalikan barang yang dipinjam atau ditemukan</t>
  </si>
  <si>
    <t>menghilangkan barang yang dipinjam atau ditemukan</t>
  </si>
  <si>
    <t>mengemukakan pendapat sesuai dengan apa yang diyakininya, walaupun berbeda dengan pendapat teman</t>
  </si>
  <si>
    <t>tidak mau menerima pendapat orang lain</t>
  </si>
  <si>
    <t>mengemukakan ketidaknyamanan belajar yang dirasakannya di sekolah</t>
  </si>
  <si>
    <t>menikmati ketidaknyamanan belajar yang dirasakannya di sekolah</t>
  </si>
  <si>
    <t>membuat laporan kegiatan kelas secara terbuka (transparan)</t>
  </si>
  <si>
    <t>membuat laporan kegiatan kelas secara tertutup</t>
  </si>
  <si>
    <t>Disiplin</t>
  </si>
  <si>
    <t>mengikuti peraturan yang ada di sekolah</t>
  </si>
  <si>
    <t>tidak menaati peraturan yang ada di sekolah</t>
  </si>
  <si>
    <t>tertib dalam melaksanakan tugas</t>
  </si>
  <si>
    <t>melanggar tata tertib dalam melaksanakan tugas</t>
  </si>
  <si>
    <t>hadir di sekolah tepat waktu</t>
  </si>
  <si>
    <t>telat berangkat ke sekolah</t>
  </si>
  <si>
    <t>masuk kelas tepat waktu</t>
  </si>
  <si>
    <t>telat masuk kelas</t>
  </si>
  <si>
    <t>memakai pakaian seragam lengkap dan rapi</t>
  </si>
  <si>
    <t>memakai pakaian seragam yang tidak lengkap dan rapi</t>
  </si>
  <si>
    <t>tertib mentaati peraturan sekolah</t>
  </si>
  <si>
    <t>tidak mentaati peraturan sekolah</t>
  </si>
  <si>
    <t>melaksanakan piket kebersihan kelas</t>
  </si>
  <si>
    <t>menolak melakukan piket kebersihan kelas</t>
  </si>
  <si>
    <t>mengumpulkan tugas/pekerjaan rumah tepat waktu</t>
  </si>
  <si>
    <t>tidak mengerjakan tugas/pekerjaan rumah</t>
  </si>
  <si>
    <t>mengerjakan tugas/pekerjaan rumah dengan baik</t>
  </si>
  <si>
    <t>lupa mengerjakan tugas/pekerjaan rumah</t>
  </si>
  <si>
    <t>membagi waktu belajar dan bermain dengan baik</t>
  </si>
  <si>
    <t>tidak bisa membagi waktu antara belajar dan bermain</t>
  </si>
  <si>
    <t>mengambil dan mengembalikan peralatan belajar pada tempatnya</t>
  </si>
  <si>
    <t>tidak pernah terlambat masuk kelas</t>
  </si>
  <si>
    <t>terlambat masuk kelas</t>
  </si>
  <si>
    <t>Tanggung jawab</t>
  </si>
  <si>
    <t>menyelesaikan tugas yang diberikan</t>
  </si>
  <si>
    <t>tidak mengerjakan tugas yang diberikan</t>
  </si>
  <si>
    <t>mengakui kesalahan</t>
  </si>
  <si>
    <t>tidak mau mengakui kesalahan</t>
  </si>
  <si>
    <t>melaksanakan tugas yang menjadi kewajibannya di kelas seperti piket kebersihan</t>
  </si>
  <si>
    <t>tidak mengerjakan tugas yang menjadi kewajibannya di kelas seperti piket kebersihan</t>
  </si>
  <si>
    <t>melaksanakan peraturan sekolah dengan baik</t>
  </si>
  <si>
    <t>melanggar peraturan sekolah</t>
  </si>
  <si>
    <t>mengerjakan tugas/pekerjaan rumah sekolah dengan baik</t>
  </si>
  <si>
    <t>tidak mengerjakan tugas/pekerjaan rumah sekolah dengan baik</t>
  </si>
  <si>
    <t>tidak mengerjakan tugas/pekerjaan rumah tepat waktu</t>
  </si>
  <si>
    <t>mengakui kesalahan, tidak melemparkan kesalahan kepada teman</t>
  </si>
  <si>
    <t>tidak mengakui kesalahan, melemparkan kesalahan kepada teman</t>
  </si>
  <si>
    <t>berpartisipasi dalam kegiatan sosial di sekolah</t>
  </si>
  <si>
    <t>tidak mengikuti kegiatan sosial di sekolah</t>
  </si>
  <si>
    <t>menunjukkan prakarsa untuk mengatasi masalah dalam kelompok di kelas/sekolah</t>
  </si>
  <si>
    <t>mengabaikan masalah yang ada di kelas atau sekolah</t>
  </si>
  <si>
    <t>membuat laporan setelah selesai melakukan kegiatan</t>
  </si>
  <si>
    <t>tidak membuat laporan setelah selesai melakukan kegiatan</t>
  </si>
  <si>
    <t>Santun</t>
  </si>
  <si>
    <t>menghormati orang lain dan menghormati cara bicara yang tepat</t>
  </si>
  <si>
    <t>tidak menghormati orang lain dan tidak menghormati cara bicara yang tepat</t>
  </si>
  <si>
    <t>menghormati pendidik, pegawai sekolah, penjaga kebun, dan orang yang lebih tua</t>
  </si>
  <si>
    <t>tidak mau menghormati orang yang lebih tua</t>
  </si>
  <si>
    <t>berbicara atau bertutur kata halus tidak kasar</t>
  </si>
  <si>
    <t>berbicara kasar</t>
  </si>
  <si>
    <t>berpakaian rapi dan pantas</t>
  </si>
  <si>
    <t>berpakaian kotor dan tidak pantas</t>
  </si>
  <si>
    <t>dapat mengendalikan emosi dalam menghadapi masalah, tidak marah-marah</t>
  </si>
  <si>
    <t>tidak dapat mengendalikan emosi dalam menghadapi masalah, marah-marah</t>
  </si>
  <si>
    <t>mengucapkan salam ketika bertemu pendidik, teman, dan orang-orang di sekolah</t>
  </si>
  <si>
    <t>acuh ketika bertemu pendidik, teman, dan orang-orang di sekolah</t>
  </si>
  <si>
    <t>menunjukkan wajah ramah, bersahabat, dan tidak cemberut</t>
  </si>
  <si>
    <t>marah dan cemberut</t>
  </si>
  <si>
    <t>mengucapkan terima kasih apabila menerima bantuan dalam bentuk jasa atau barang dari orang lain</t>
  </si>
  <si>
    <t>tidak menerima bantuan dalam bentuk jasa atau barang dari orang lain</t>
  </si>
  <si>
    <t>Peduli</t>
  </si>
  <si>
    <t>ingin tahu dan ingin membantu teman yang kesulitan dalam pembelajaran, perhatian kepada orang lain</t>
  </si>
  <si>
    <t>tidak peduli dan tidak ingin membantu teman yang kesulitan dalam pembelajaran</t>
  </si>
  <si>
    <t>berpartisipasi dalam kegiatan sosial di sekolah, misal: mengumpulkan sumbangan untuk membantu yang sakit atau kemalangan</t>
  </si>
  <si>
    <t>tidak ikut serta dalam kegiatan sosial di sekolah, misal: mengumpulkan sumbangan untuk membantu yang sakit atau kemalangan</t>
  </si>
  <si>
    <t>meminjamkan alat kepada teman yang tidak membawa/memiliki</t>
  </si>
  <si>
    <t>tidak mau meminjamkan alat kepada teman yang tidak membawa/memiliki</t>
  </si>
  <si>
    <t>menolong teman yang mengalami kesulitan</t>
  </si>
  <si>
    <t>membiarkan teman yang mengalami kesulitan</t>
  </si>
  <si>
    <t>menjaga keasrian, keindahan, dan kebersihan lingkungan sekolah</t>
  </si>
  <si>
    <t>tidak peduli terhadap keadaan lingkungan sekolah</t>
  </si>
  <si>
    <t>melerai teman yang berselisih (bertengkar)</t>
  </si>
  <si>
    <t>membiarkan teman yang berselisih (bertengkar)</t>
  </si>
  <si>
    <t>menjenguk teman atau pendidik yang sakit</t>
  </si>
  <si>
    <t>tidak mau membesuk teman yang sedang sakit</t>
  </si>
  <si>
    <t>menunjukkan perhatian terhadap kebersihan kelas dan lingkungan sekolah.</t>
  </si>
  <si>
    <t>tidak memperhatikan terhadap kebersihan kelas dan lingkungan sekolah.</t>
  </si>
  <si>
    <t>Percaya diri</t>
  </si>
  <si>
    <t>berani tampil di depan kelas</t>
  </si>
  <si>
    <t>takut untuk tampil di depan kelas</t>
  </si>
  <si>
    <t>berani mengemukakan pendapat</t>
  </si>
  <si>
    <t>takut untuk mengemukakan pendapat</t>
  </si>
  <si>
    <t>berani mencoba hal baru</t>
  </si>
  <si>
    <t>takut mencoba hal baru</t>
  </si>
  <si>
    <t>mengemukakan pendapat terhadap suatu topik atau masalah</t>
  </si>
  <si>
    <t>diam dan tidak memberikan pendapat terhadap suatu topik atau masalah</t>
  </si>
  <si>
    <t>mengajukan diri menjadi ketu kelas atau pengurus  kelas lainya</t>
  </si>
  <si>
    <t>menolak untuk menjadi ketua kelas atau pengurus kelas lainya</t>
  </si>
  <si>
    <t>mengajukan diri untuk mengerjakan tugas atau soal di papan tulis</t>
  </si>
  <si>
    <t>menolak untuk mengerjakan tugas atau soal di papan tulis</t>
  </si>
  <si>
    <t>mencoba hal hal baru yang bermanfaat</t>
  </si>
  <si>
    <t>melakukan hal hal baru yang tidak bermanfaat</t>
  </si>
  <si>
    <t>mengungkapkan kritikan membangun terhadap karya orang lain</t>
  </si>
  <si>
    <t>menghina terhadap karya orang lain</t>
  </si>
  <si>
    <t xml:space="preserve">memberikan argumen yang kuat untuk mempertahankan pendapat    </t>
  </si>
  <si>
    <t xml:space="preserve">tidak mau berusaha untuk mempertahankan pendapat    </t>
  </si>
  <si>
    <t>Kerjasama</t>
  </si>
  <si>
    <t xml:space="preserve">Terlibat aktif dalam bekerja kelompok  </t>
  </si>
  <si>
    <t xml:space="preserve">tidak ikut serta dalam kerja kelompok  </t>
  </si>
  <si>
    <t>Kesediaan melakukan tugas sesuai kesepakatan</t>
  </si>
  <si>
    <t>tidak melaksanakan tugas sesuai kesepakatan</t>
  </si>
  <si>
    <t>Bersedia membantu orang lain dalam satu kelompok yang mengalami kesulitan</t>
  </si>
  <si>
    <t>menolak untuk membantu kelompok lain yang mengalami kesulitan</t>
  </si>
  <si>
    <t>Menghargai hasil kerja anggota kelompok/team work</t>
  </si>
  <si>
    <t>mencela hasil kerja kelompok</t>
  </si>
  <si>
    <t>TANGGAL</t>
  </si>
  <si>
    <t>No. Absen</t>
  </si>
  <si>
    <t>Kode Butir</t>
  </si>
  <si>
    <t>Catatan Prilaku</t>
  </si>
  <si>
    <t>Tindak Lanjut (Disi Manual)</t>
  </si>
  <si>
    <t>Kode SB</t>
  </si>
  <si>
    <t>KD BUTIR</t>
  </si>
  <si>
    <t>Kode PB</t>
  </si>
  <si>
    <t>Lumajang, 31 Mei 2019</t>
  </si>
  <si>
    <t>KETAATAN BERIBADAH</t>
  </si>
  <si>
    <t>CATATAN HARIAN PENILAIAN SIKAP SPIRITUAL (KI 1)</t>
  </si>
  <si>
    <t>CATATAN HARIAN PENILAIAN SIKAP SOSIAL (KI 2)</t>
  </si>
  <si>
    <t>JUJUR</t>
  </si>
  <si>
    <t>DISIPLIN</t>
  </si>
  <si>
    <t>TANGGUNG JAWAB</t>
  </si>
  <si>
    <t>SANTUN</t>
  </si>
  <si>
    <t>PEDULI</t>
  </si>
  <si>
    <t>PERCAYA DIRI</t>
  </si>
  <si>
    <t>KERJASAMA</t>
  </si>
  <si>
    <t>Catatan Pendidik</t>
  </si>
  <si>
    <t>Pilih Butir Sikap</t>
  </si>
  <si>
    <t>kerja sama</t>
  </si>
  <si>
    <t>REKAP KOMPETENSI SOSIAL</t>
  </si>
  <si>
    <t>REKAP KOMPETENSI SPIRITUAL</t>
  </si>
  <si>
    <t>SILAKAN DIRUBAH BILA TIDAK SESUAI</t>
  </si>
  <si>
    <t>KOMPETENSI SPIRITUAL (KI 1)</t>
  </si>
  <si>
    <t>KOMPETENSI SOSIAL (KI 2)</t>
  </si>
  <si>
    <r>
      <t xml:space="preserve">Apabila siswa tidak memilik catatan apapun dalam jurnal sikap atau perilaku , maka anak tersebut diasumsikan baik
oleh sebab itu dalam aplikasi ini akan kosong dan sudah otomatis muncul deskripsi baik </t>
    </r>
    <r>
      <rPr>
        <b/>
        <sz val="12"/>
        <color rgb="FFFFFF00"/>
        <rFont val="Calibri"/>
        <family val="2"/>
        <scheme val="minor"/>
      </rPr>
      <t>dan untuk merubahnya silakan EDIT  di JURNAL K2</t>
    </r>
  </si>
  <si>
    <r>
      <t xml:space="preserve">Apabila siswa tidak memilik catatan apapun dalam jurnal sikap atau perilaku , maka anak tersebut diasumsikan baik
oleh sebab itu dalam aplikasi ini akan kosong dan sudah otomatis muncul deskripsi baik </t>
    </r>
    <r>
      <rPr>
        <b/>
        <sz val="12"/>
        <color rgb="FFFFFF00"/>
        <rFont val="Calibri"/>
        <family val="2"/>
        <scheme val="minor"/>
      </rPr>
      <t>dan untuk merubahnya silakan EDIT  di JURNAL K1</t>
    </r>
  </si>
  <si>
    <t>INDIKATOR SIKAP SPIRITUAL DAN SOSIAL</t>
  </si>
  <si>
    <t>Disesuaikan dengan Permendikbud RI Nomor 37 Tahun 2018</t>
  </si>
  <si>
    <t>Lumajang, 30 Juni 2019</t>
  </si>
  <si>
    <t>memahami konsep variasi dan kombinasi pola gerak dasar lokomotorr dan nonlokomotor untuk membentuk gerakan dasar atletik jalan cepat dan lari melalui permainan dan atau olahraga tradisional</t>
  </si>
  <si>
    <t>memahami konsep variasi dan kombinasi gerak dasar lokomotor,non lokomotor, dan manipulative dalam berbagai permainan dan atau olahraga tradisional bola kecii.</t>
  </si>
  <si>
    <t>memahami konsep kombinasi pola gerak dasar dominan statis dan dinamis untuk membentuk keterampilan/ teknik dasar senam (seperti: handstand, kayang, meroda, dsb)</t>
  </si>
  <si>
    <t>memahami konsep berbagai aktifitas kebugaran jasmani untuk mencapai tinggi dan berat badan ideal</t>
  </si>
  <si>
    <t>mengetahui konsep penggunaan kombinasi pola gerak dasar lokomotor, non-lokomotor dan manipulatif sesuai dengan irama (ketukan) tanpa/denganmusik dalam aktivitas gerak ritmik.</t>
  </si>
  <si>
    <t>mempraktikkan penggunaan kombinasi pola gerak dasar lokomotor, nonlokomotor dan manipulatif sesuai dengan irama (ketukan) tanpa/dengan musik dalam aktivitas gerak rimtik.</t>
  </si>
  <si>
    <t>mempraktikkan kombinasi pola gerak dasar lokomotor untuk membentuk gerakan dasar atletik jalan cepat dan lari yang dilandasi konsep gerak melalui permainan dan atau olahraga tradisional.</t>
  </si>
  <si>
    <t>mempraktikkan variasi dan kombinasi pola gerak dasar lokomotor, non lokomotor, dan manipulative yang dilandasi konsep gerak dalam berbagai permainan dan atau olahraga tradisional bola kecil</t>
  </si>
  <si>
    <t>mempraktikkan kombinasi pola gerak dasar dominan statis dan dinamis untuk membentuk keterampilan/ teknik dasar senam (seperti: handstand, kayang, meroda, dsb).</t>
  </si>
  <si>
    <t>mempraktikkan berbagai aktivitas kebugaran jasmani untuk mencapai tinggi dan berat badan ideal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</si>
</sst>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1" formatCode="_(* #,##0_);_(* \(#,##0\);_(* &quot;-&quot;_);_(@_)"/>
    <numFmt numFmtId="164" formatCode="0.0"/>
    <numFmt numFmtId="165" formatCode="\-"/>
    <numFmt numFmtId="166" formatCode="_-* #,##0.00_-;\-* #,##0.00_-;_-* &quot;-&quot;??_-;_-@_-"/>
    <numFmt numFmtId="167" formatCode="0.0%"/>
    <numFmt numFmtId="168" formatCode="[$-421]dd\ mmmm\ yyyy;@"/>
  </numFmts>
  <fonts count="184">
    <font>
      <sz val="11"/>
      <color theme="1"/>
      <name val="Calibri"/>
      <family val="2"/>
      <scheme val="minor"/>
    </font>
    <font>
      <sz val="11"/>
      <color rgb="FFFF0000"/>
      <name val="Calibri"/>
      <family val="2"/>
      <scheme val="minor"/>
    </font>
    <font>
      <b/>
      <sz val="11"/>
      <color theme="1"/>
      <name val="Calibri"/>
      <family val="2"/>
      <scheme val="minor"/>
    </font>
    <font>
      <b/>
      <sz val="20"/>
      <color theme="1"/>
      <name val="Calibri"/>
      <family val="2"/>
      <scheme val="minor"/>
    </font>
    <font>
      <sz val="18"/>
      <color theme="1"/>
      <name val="Calibri"/>
      <family val="2"/>
      <scheme val="minor"/>
    </font>
    <font>
      <sz val="20"/>
      <color theme="1"/>
      <name val="Calibri"/>
      <family val="2"/>
      <scheme val="minor"/>
    </font>
    <font>
      <b/>
      <sz val="12"/>
      <color theme="1"/>
      <name val="Calibri"/>
      <family val="2"/>
      <scheme val="minor"/>
    </font>
    <font>
      <b/>
      <sz val="10"/>
      <color theme="1"/>
      <name val="Calibri"/>
      <family val="2"/>
      <scheme val="minor"/>
    </font>
    <font>
      <sz val="7"/>
      <name val="Arial Narrow"/>
      <family val="2"/>
    </font>
    <font>
      <sz val="14"/>
      <color theme="1"/>
      <name val="Calibri"/>
      <family val="2"/>
      <scheme val="minor"/>
    </font>
    <font>
      <sz val="7"/>
      <color theme="1"/>
      <name val="Arial Narrow"/>
      <family val="2"/>
    </font>
    <font>
      <sz val="12"/>
      <name val="Arial"/>
      <family val="2"/>
    </font>
    <font>
      <sz val="10"/>
      <color theme="1"/>
      <name val="Calibri"/>
      <family val="2"/>
      <scheme val="minor"/>
    </font>
    <font>
      <sz val="12"/>
      <color theme="1"/>
      <name val="Calibri"/>
      <family val="2"/>
      <scheme val="minor"/>
    </font>
    <font>
      <sz val="11"/>
      <color theme="0"/>
      <name val="Calibri"/>
      <family val="2"/>
      <scheme val="minor"/>
    </font>
    <font>
      <b/>
      <sz val="16"/>
      <color theme="1"/>
      <name val="Calibri"/>
      <family val="2"/>
      <scheme val="minor"/>
    </font>
    <font>
      <u/>
      <sz val="11"/>
      <color theme="10"/>
      <name val="Calibri"/>
      <family val="2"/>
    </font>
    <font>
      <b/>
      <sz val="22"/>
      <color theme="1"/>
      <name val="Arial Narrow"/>
      <family val="2"/>
    </font>
    <font>
      <b/>
      <sz val="22"/>
      <color theme="1"/>
      <name val="Calibri"/>
      <family val="2"/>
      <scheme val="minor"/>
    </font>
    <font>
      <b/>
      <sz val="18"/>
      <color theme="1"/>
      <name val="Calibri"/>
      <family val="2"/>
      <scheme val="minor"/>
    </font>
    <font>
      <sz val="11"/>
      <color theme="1"/>
      <name val="Arial"/>
      <family val="2"/>
    </font>
    <font>
      <sz val="12"/>
      <color theme="1"/>
      <name val="Arial Narrow"/>
      <family val="2"/>
    </font>
    <font>
      <b/>
      <sz val="12"/>
      <color theme="1"/>
      <name val="Arial Narrow"/>
      <family val="2"/>
    </font>
    <font>
      <b/>
      <sz val="7"/>
      <color theme="1"/>
      <name val="Arial Narrow"/>
      <family val="2"/>
    </font>
    <font>
      <sz val="16"/>
      <color theme="1"/>
      <name val="Calibri"/>
      <family val="2"/>
      <scheme val="minor"/>
    </font>
    <font>
      <sz val="11"/>
      <color theme="1" tint="4.9989318521683403E-2"/>
      <name val="Calibri"/>
      <family val="2"/>
      <scheme val="minor"/>
    </font>
    <font>
      <sz val="36"/>
      <color theme="0"/>
      <name val="Calibri"/>
      <family val="2"/>
      <scheme val="minor"/>
    </font>
    <font>
      <sz val="36"/>
      <name val="Calibri"/>
      <family val="2"/>
      <scheme val="minor"/>
    </font>
    <font>
      <sz val="12"/>
      <color theme="0"/>
      <name val="Calibri"/>
      <family val="2"/>
      <scheme val="minor"/>
    </font>
    <font>
      <sz val="10"/>
      <color theme="1"/>
      <name val="Calibri"/>
      <family val="2"/>
      <charset val="1"/>
      <scheme val="minor"/>
    </font>
    <font>
      <b/>
      <sz val="48"/>
      <color theme="1"/>
      <name val="Calibri"/>
      <family val="2"/>
      <scheme val="minor"/>
    </font>
    <font>
      <sz val="12"/>
      <color theme="1"/>
      <name val="Calibri"/>
      <family val="2"/>
      <charset val="1"/>
      <scheme val="minor"/>
    </font>
    <font>
      <b/>
      <sz val="24"/>
      <color theme="1"/>
      <name val="Calibri"/>
      <family val="2"/>
      <scheme val="minor"/>
    </font>
    <font>
      <b/>
      <sz val="26"/>
      <color theme="1"/>
      <name val="Calibri"/>
      <family val="2"/>
      <scheme val="minor"/>
    </font>
    <font>
      <b/>
      <sz val="22"/>
      <color theme="1"/>
      <name val="Arial Black"/>
      <family val="2"/>
    </font>
    <font>
      <sz val="14"/>
      <color theme="1"/>
      <name val="Arial"/>
      <family val="2"/>
    </font>
    <font>
      <b/>
      <sz val="14"/>
      <color rgb="FFFF0000"/>
      <name val="Calibri"/>
      <family val="2"/>
      <scheme val="minor"/>
    </font>
    <font>
      <b/>
      <u/>
      <sz val="16"/>
      <color theme="10"/>
      <name val="Calibri"/>
      <family val="2"/>
    </font>
    <font>
      <sz val="24"/>
      <color theme="0"/>
      <name val="Britannic Bold"/>
      <family val="2"/>
    </font>
    <font>
      <b/>
      <sz val="28"/>
      <color rgb="FFFFC000"/>
      <name val="Calibri"/>
      <family val="2"/>
      <scheme val="minor"/>
    </font>
    <font>
      <b/>
      <sz val="22"/>
      <color theme="1"/>
      <name val="Arial"/>
      <family val="2"/>
    </font>
    <font>
      <b/>
      <u/>
      <sz val="14"/>
      <color indexed="10"/>
      <name val="Calibri"/>
      <family val="2"/>
    </font>
    <font>
      <sz val="11"/>
      <color theme="1"/>
      <name val="Calibri"/>
      <family val="2"/>
      <scheme val="minor"/>
    </font>
    <font>
      <sz val="18"/>
      <color theme="1"/>
      <name val="Times New Roman"/>
      <family val="1"/>
    </font>
    <font>
      <b/>
      <sz val="16"/>
      <color theme="1"/>
      <name val="Times New Roman"/>
      <family val="1"/>
    </font>
    <font>
      <b/>
      <sz val="18"/>
      <color theme="1"/>
      <name val="Times New Roman"/>
      <family val="1"/>
    </font>
    <font>
      <sz val="12"/>
      <color theme="1"/>
      <name val="Times New Roman"/>
      <family val="1"/>
    </font>
    <font>
      <sz val="14"/>
      <color theme="1"/>
      <name val="Times New Roman"/>
      <family val="1"/>
    </font>
    <font>
      <sz val="16"/>
      <color theme="1"/>
      <name val="Times New Roman"/>
      <family val="1"/>
    </font>
    <font>
      <b/>
      <u/>
      <sz val="16"/>
      <color theme="1"/>
      <name val="Times New Roman"/>
      <family val="1"/>
    </font>
    <font>
      <sz val="18"/>
      <color theme="0"/>
      <name val="Times New Roman"/>
      <family val="1"/>
    </font>
    <font>
      <sz val="18"/>
      <name val="Times New Roman"/>
      <family val="1"/>
    </font>
    <font>
      <b/>
      <u/>
      <sz val="18"/>
      <color theme="1"/>
      <name val="Times New Roman"/>
      <family val="1"/>
    </font>
    <font>
      <b/>
      <sz val="22"/>
      <color theme="1"/>
      <name val="Times New Roman"/>
      <family val="1"/>
    </font>
    <font>
      <sz val="14"/>
      <name val="Times New Roman"/>
      <family val="1"/>
    </font>
    <font>
      <sz val="16"/>
      <color rgb="FF000000"/>
      <name val="Times New Roman"/>
      <family val="1"/>
    </font>
    <font>
      <sz val="16"/>
      <color rgb="FFFF0000"/>
      <name val="Calibri"/>
      <family val="2"/>
      <scheme val="minor"/>
    </font>
    <font>
      <b/>
      <sz val="12"/>
      <name val="Cambria"/>
      <family val="1"/>
      <scheme val="major"/>
    </font>
    <font>
      <b/>
      <sz val="14"/>
      <color theme="1"/>
      <name val="Calibri"/>
      <family val="2"/>
      <scheme val="minor"/>
    </font>
    <font>
      <sz val="20"/>
      <name val="Arial"/>
      <family val="2"/>
    </font>
    <font>
      <b/>
      <sz val="14"/>
      <name val="Arial"/>
      <family val="2"/>
    </font>
    <font>
      <sz val="16"/>
      <color theme="0"/>
      <name val="Calibri"/>
      <family val="2"/>
      <scheme val="minor"/>
    </font>
    <font>
      <b/>
      <sz val="16"/>
      <color theme="0"/>
      <name val="Calibri"/>
      <family val="2"/>
      <scheme val="minor"/>
    </font>
    <font>
      <b/>
      <sz val="12"/>
      <color theme="0"/>
      <name val="Calibri"/>
      <family val="2"/>
      <scheme val="minor"/>
    </font>
    <font>
      <b/>
      <sz val="9"/>
      <color theme="1"/>
      <name val="Calibri"/>
      <family val="2"/>
      <scheme val="minor"/>
    </font>
    <font>
      <b/>
      <sz val="22"/>
      <color theme="0"/>
      <name val="Calibri"/>
      <family val="2"/>
      <scheme val="minor"/>
    </font>
    <font>
      <b/>
      <sz val="16"/>
      <name val="Calibri"/>
      <family val="2"/>
      <scheme val="minor"/>
    </font>
    <font>
      <sz val="11"/>
      <color rgb="FFC00000"/>
      <name val="Times New Roman"/>
      <family val="1"/>
    </font>
    <font>
      <b/>
      <sz val="16"/>
      <color rgb="FFC00000"/>
      <name val="Times New Roman"/>
      <family val="1"/>
    </font>
    <font>
      <b/>
      <sz val="16"/>
      <color theme="1"/>
      <name val="Arial Narrow"/>
      <family val="2"/>
    </font>
    <font>
      <sz val="10"/>
      <color theme="1"/>
      <name val="Arial Narrow"/>
      <family val="2"/>
    </font>
    <font>
      <b/>
      <sz val="14"/>
      <color indexed="10"/>
      <name val="Calibri"/>
      <family val="2"/>
    </font>
    <font>
      <sz val="24"/>
      <color theme="1"/>
      <name val="Calibri"/>
      <family val="2"/>
      <scheme val="minor"/>
    </font>
    <font>
      <sz val="12"/>
      <color theme="1"/>
      <name val="Bookman Old Style"/>
      <family val="1"/>
    </font>
    <font>
      <sz val="9"/>
      <color theme="1"/>
      <name val="Arial"/>
      <family val="2"/>
    </font>
    <font>
      <sz val="9"/>
      <color theme="1"/>
      <name val="Calibri"/>
      <family val="2"/>
      <scheme val="minor"/>
    </font>
    <font>
      <b/>
      <sz val="18"/>
      <color rgb="FFFF0000"/>
      <name val="Calibri"/>
      <family val="2"/>
      <scheme val="minor"/>
    </font>
    <font>
      <sz val="22"/>
      <color theme="1"/>
      <name val="Calibri"/>
      <family val="2"/>
      <scheme val="minor"/>
    </font>
    <font>
      <sz val="6"/>
      <color theme="1"/>
      <name val="Arial Narrow"/>
      <family val="2"/>
    </font>
    <font>
      <sz val="6"/>
      <name val="Arial Narrow"/>
      <family val="2"/>
    </font>
    <font>
      <b/>
      <sz val="6"/>
      <color theme="1"/>
      <name val="Arial Narrow"/>
      <family val="2"/>
    </font>
    <font>
      <b/>
      <sz val="8"/>
      <color theme="1"/>
      <name val="Arial Narrow"/>
      <family val="2"/>
    </font>
    <font>
      <sz val="8"/>
      <color theme="1"/>
      <name val="Arial Narrow"/>
      <family val="2"/>
    </font>
    <font>
      <b/>
      <sz val="6"/>
      <name val="Arial Narrow"/>
      <family val="2"/>
    </font>
    <font>
      <b/>
      <sz val="24"/>
      <color theme="0"/>
      <name val="Times New Roman"/>
      <family val="1"/>
    </font>
    <font>
      <b/>
      <sz val="11"/>
      <color theme="0"/>
      <name val="Calibri"/>
      <family val="2"/>
      <scheme val="minor"/>
    </font>
    <font>
      <b/>
      <sz val="10"/>
      <name val="Calibri"/>
      <family val="2"/>
      <scheme val="minor"/>
    </font>
    <font>
      <sz val="14"/>
      <color theme="0"/>
      <name val="Webdings"/>
      <family val="1"/>
      <charset val="2"/>
    </font>
    <font>
      <sz val="18"/>
      <color theme="0"/>
      <name val="Britannic Bold"/>
      <family val="2"/>
    </font>
    <font>
      <b/>
      <sz val="20"/>
      <color theme="0"/>
      <name val="Calibri"/>
      <family val="2"/>
      <scheme val="minor"/>
    </font>
    <font>
      <sz val="11"/>
      <color theme="3" tint="0.39997558519241921"/>
      <name val="Calibri"/>
      <family val="2"/>
      <scheme val="minor"/>
    </font>
    <font>
      <sz val="11"/>
      <name val="Calibri"/>
      <family val="2"/>
      <scheme val="minor"/>
    </font>
    <font>
      <sz val="12"/>
      <color rgb="FFFF0000"/>
      <name val="Calibri"/>
      <family val="2"/>
      <scheme val="minor"/>
    </font>
    <font>
      <sz val="12"/>
      <name val="Calibri"/>
      <family val="2"/>
      <scheme val="minor"/>
    </font>
    <font>
      <b/>
      <sz val="28"/>
      <color theme="0"/>
      <name val="Wingdings"/>
      <charset val="2"/>
    </font>
    <font>
      <b/>
      <sz val="28"/>
      <color theme="0"/>
      <name val="Webdings"/>
      <family val="1"/>
      <charset val="2"/>
    </font>
    <font>
      <b/>
      <sz val="36"/>
      <color theme="0"/>
      <name val="Webdings"/>
      <family val="1"/>
      <charset val="2"/>
    </font>
    <font>
      <sz val="28"/>
      <color theme="0"/>
      <name val="Calibri"/>
      <family val="2"/>
      <scheme val="minor"/>
    </font>
    <font>
      <b/>
      <sz val="28"/>
      <color theme="0"/>
      <name val="Calibri"/>
      <family val="2"/>
      <scheme val="minor"/>
    </font>
    <font>
      <b/>
      <sz val="12"/>
      <color theme="0"/>
      <name val="Webdings"/>
      <family val="1"/>
      <charset val="2"/>
    </font>
    <font>
      <b/>
      <sz val="12"/>
      <color theme="0"/>
      <name val="Calibri"/>
      <family val="2"/>
    </font>
    <font>
      <b/>
      <sz val="12"/>
      <color theme="0"/>
      <name val="Wingdings"/>
      <charset val="2"/>
    </font>
    <font>
      <sz val="11"/>
      <color theme="10"/>
      <name val="Calibri"/>
      <family val="2"/>
    </font>
    <font>
      <b/>
      <sz val="29"/>
      <color theme="0"/>
      <name val="Webdings"/>
      <family val="1"/>
      <charset val="2"/>
    </font>
    <font>
      <sz val="29"/>
      <color theme="0"/>
      <name val="Calibri"/>
      <family val="2"/>
      <scheme val="minor"/>
    </font>
    <font>
      <b/>
      <sz val="20"/>
      <color theme="1"/>
      <name val="Arial Narrow"/>
      <family val="2"/>
    </font>
    <font>
      <sz val="8"/>
      <color theme="1"/>
      <name val="Calibri"/>
      <family val="2"/>
      <scheme val="minor"/>
    </font>
    <font>
      <i/>
      <sz val="11"/>
      <color theme="0"/>
      <name val="Calibri"/>
      <family val="2"/>
      <scheme val="minor"/>
    </font>
    <font>
      <i/>
      <sz val="10"/>
      <color theme="1"/>
      <name val="Calibri"/>
      <family val="2"/>
      <scheme val="minor"/>
    </font>
    <font>
      <i/>
      <sz val="8"/>
      <color theme="0"/>
      <name val="Calibri"/>
      <family val="2"/>
      <scheme val="minor"/>
    </font>
    <font>
      <sz val="11"/>
      <color rgb="FFFFFF00"/>
      <name val="Calibri"/>
      <family val="2"/>
      <scheme val="minor"/>
    </font>
    <font>
      <b/>
      <sz val="20"/>
      <color rgb="FFFFFF00"/>
      <name val="Calibri"/>
      <family val="2"/>
      <scheme val="minor"/>
    </font>
    <font>
      <b/>
      <sz val="40"/>
      <color theme="1"/>
      <name val="Arial Rounded MT Bold"/>
      <family val="2"/>
    </font>
    <font>
      <b/>
      <sz val="14"/>
      <color theme="1"/>
      <name val="Arial Rounded MT Bold"/>
      <family val="2"/>
    </font>
    <font>
      <b/>
      <sz val="24"/>
      <color theme="1"/>
      <name val="Arial Rounded MT Bold"/>
      <family val="2"/>
    </font>
    <font>
      <b/>
      <sz val="12"/>
      <color theme="1"/>
      <name val="Arial"/>
      <family val="2"/>
    </font>
    <font>
      <b/>
      <sz val="14"/>
      <color theme="1"/>
      <name val="Arial"/>
      <family val="2"/>
    </font>
    <font>
      <b/>
      <sz val="16"/>
      <color theme="1"/>
      <name val="Arial"/>
      <family val="2"/>
    </font>
    <font>
      <b/>
      <sz val="15"/>
      <color rgb="FF000000"/>
      <name val="Arial"/>
      <family val="2"/>
    </font>
    <font>
      <b/>
      <sz val="8"/>
      <color theme="1"/>
      <name val="Arial"/>
      <family val="2"/>
    </font>
    <font>
      <sz val="8"/>
      <color theme="1"/>
      <name val="Arial"/>
      <family val="2"/>
    </font>
    <font>
      <sz val="8"/>
      <color theme="1"/>
      <name val="Times New Roman"/>
      <family val="1"/>
    </font>
    <font>
      <i/>
      <sz val="8"/>
      <color theme="1"/>
      <name val="Arial"/>
      <family val="2"/>
    </font>
    <font>
      <b/>
      <i/>
      <sz val="8"/>
      <color theme="1"/>
      <name val="Arial"/>
      <family val="2"/>
    </font>
    <font>
      <b/>
      <sz val="15"/>
      <color theme="1"/>
      <name val="Arial"/>
      <family val="2"/>
    </font>
    <font>
      <b/>
      <sz val="4"/>
      <color theme="1"/>
      <name val="Arial"/>
      <family val="2"/>
    </font>
    <font>
      <b/>
      <sz val="13"/>
      <color theme="1"/>
      <name val="Arial"/>
      <family val="2"/>
    </font>
    <font>
      <b/>
      <sz val="10"/>
      <color theme="1"/>
      <name val="Arial"/>
      <family val="2"/>
    </font>
    <font>
      <sz val="10"/>
      <color theme="1"/>
      <name val="Arial"/>
      <family val="2"/>
    </font>
    <font>
      <sz val="10"/>
      <color rgb="FF000000"/>
      <name val="Arial"/>
      <family val="2"/>
    </font>
    <font>
      <sz val="7"/>
      <color theme="1"/>
      <name val="Times New Roman"/>
      <family val="1"/>
    </font>
    <font>
      <u/>
      <sz val="14"/>
      <color theme="10"/>
      <name val="Calibri"/>
      <family val="2"/>
    </font>
    <font>
      <b/>
      <sz val="14"/>
      <color theme="1"/>
      <name val="Arial Narrow"/>
      <family val="2"/>
    </font>
    <font>
      <sz val="8"/>
      <name val="Calibri"/>
      <family val="2"/>
      <scheme val="minor"/>
    </font>
    <font>
      <b/>
      <sz val="24"/>
      <color theme="0"/>
      <name val="Calibri"/>
      <family val="2"/>
      <scheme val="minor"/>
    </font>
    <font>
      <b/>
      <sz val="12"/>
      <color theme="1"/>
      <name val="Times New Roman"/>
      <family val="1"/>
    </font>
    <font>
      <b/>
      <sz val="14"/>
      <color theme="1"/>
      <name val="Times New Roman"/>
      <family val="1"/>
    </font>
    <font>
      <b/>
      <sz val="20"/>
      <color theme="1"/>
      <name val="Times New Roman"/>
      <family val="1"/>
    </font>
    <font>
      <b/>
      <u/>
      <sz val="12"/>
      <name val="Times New Roman"/>
      <family val="1"/>
    </font>
    <font>
      <b/>
      <sz val="12"/>
      <name val="Times New Roman"/>
      <family val="1"/>
    </font>
    <font>
      <b/>
      <sz val="11"/>
      <color rgb="FFFF0000"/>
      <name val="Calibri"/>
      <family val="2"/>
      <scheme val="minor"/>
    </font>
    <font>
      <sz val="28"/>
      <color theme="0"/>
      <name val="Calibri"/>
      <family val="2"/>
      <charset val="1"/>
      <scheme val="minor"/>
    </font>
    <font>
      <b/>
      <u/>
      <sz val="12"/>
      <color theme="1"/>
      <name val="Times New Roman"/>
      <family val="1"/>
    </font>
    <font>
      <sz val="16"/>
      <color theme="1"/>
      <name val="Calibri"/>
      <family val="2"/>
      <charset val="1"/>
      <scheme val="minor"/>
    </font>
    <font>
      <i/>
      <u/>
      <sz val="11"/>
      <color theme="10"/>
      <name val="Calibri"/>
      <family val="2"/>
      <scheme val="minor"/>
    </font>
    <font>
      <sz val="22"/>
      <color theme="1"/>
      <name val="Calibri"/>
      <family val="2"/>
      <charset val="1"/>
      <scheme val="minor"/>
    </font>
    <font>
      <b/>
      <sz val="11"/>
      <color theme="1"/>
      <name val="Arial Narrow"/>
      <family val="2"/>
    </font>
    <font>
      <sz val="11"/>
      <color theme="1"/>
      <name val="Times New Roman"/>
      <family val="1"/>
    </font>
    <font>
      <i/>
      <sz val="14"/>
      <color theme="1"/>
      <name val="Calibri"/>
      <family val="2"/>
      <scheme val="minor"/>
    </font>
    <font>
      <b/>
      <sz val="18"/>
      <color theme="1"/>
      <name val="Arial Narrow"/>
      <family val="2"/>
    </font>
    <font>
      <i/>
      <sz val="12"/>
      <color theme="1"/>
      <name val="Calibri"/>
      <family val="2"/>
      <scheme val="minor"/>
    </font>
    <font>
      <i/>
      <sz val="11"/>
      <color theme="1"/>
      <name val="Calibri"/>
      <family val="2"/>
      <scheme val="minor"/>
    </font>
    <font>
      <sz val="14"/>
      <name val="Arial"/>
      <family val="2"/>
    </font>
    <font>
      <b/>
      <sz val="12"/>
      <name val="Arial"/>
      <family val="2"/>
    </font>
    <font>
      <sz val="10"/>
      <color indexed="8"/>
      <name val="Arial"/>
      <family val="2"/>
    </font>
    <font>
      <b/>
      <sz val="8"/>
      <name val="Arial Narrow"/>
      <family val="2"/>
    </font>
    <font>
      <sz val="8"/>
      <color theme="1"/>
      <name val="Angsana New"/>
      <family val="1"/>
    </font>
    <font>
      <b/>
      <u/>
      <sz val="11"/>
      <color theme="1"/>
      <name val="Calibri"/>
      <family val="2"/>
      <scheme val="minor"/>
    </font>
    <font>
      <b/>
      <sz val="28"/>
      <color theme="1"/>
      <name val="Calibri"/>
      <family val="2"/>
      <scheme val="minor"/>
    </font>
    <font>
      <i/>
      <sz val="12"/>
      <color theme="1"/>
      <name val="Times New Roman"/>
      <family val="1"/>
    </font>
    <font>
      <sz val="9"/>
      <color theme="1"/>
      <name val="Arial Narrow"/>
      <family val="2"/>
    </font>
    <font>
      <b/>
      <sz val="9"/>
      <color theme="1"/>
      <name val="Arial Narrow"/>
      <family val="2"/>
    </font>
    <font>
      <b/>
      <sz val="10"/>
      <color theme="9"/>
      <name val="Calibri"/>
      <family val="2"/>
      <scheme val="minor"/>
    </font>
    <font>
      <b/>
      <i/>
      <sz val="10"/>
      <color rgb="FF92D050"/>
      <name val="Calibri"/>
      <family val="2"/>
      <scheme val="minor"/>
    </font>
    <font>
      <sz val="9"/>
      <color theme="8" tint="0.59999389629810485"/>
      <name val="Calibri"/>
      <family val="2"/>
      <scheme val="minor"/>
    </font>
    <font>
      <i/>
      <sz val="16"/>
      <color theme="1"/>
      <name val="Times New Roman"/>
      <family val="1"/>
    </font>
    <font>
      <sz val="48"/>
      <color theme="1"/>
      <name val="Calibri"/>
      <family val="2"/>
      <scheme val="minor"/>
    </font>
    <font>
      <b/>
      <sz val="10"/>
      <name val="Times New Roman"/>
      <family val="1"/>
    </font>
    <font>
      <sz val="10"/>
      <name val="Times New Roman"/>
      <family val="1"/>
    </font>
    <font>
      <sz val="12"/>
      <name val="Times New Roman"/>
      <family val="1"/>
    </font>
    <font>
      <b/>
      <sz val="10"/>
      <name val="Arial"/>
      <family val="2"/>
    </font>
    <font>
      <sz val="10"/>
      <name val="Arial"/>
      <family val="2"/>
    </font>
    <font>
      <sz val="12"/>
      <color indexed="63"/>
      <name val="Segoe UI"/>
      <family val="2"/>
    </font>
    <font>
      <sz val="11"/>
      <color indexed="8"/>
      <name val="Times New Roman"/>
      <family val="1"/>
    </font>
    <font>
      <sz val="12"/>
      <color indexed="8"/>
      <name val="Times New Roman"/>
      <family val="1"/>
    </font>
    <font>
      <sz val="11"/>
      <color indexed="8"/>
      <name val="Arial"/>
      <family val="2"/>
    </font>
    <font>
      <sz val="11"/>
      <color indexed="8"/>
      <name val="Calibri"/>
      <family val="2"/>
    </font>
    <font>
      <sz val="12"/>
      <color indexed="8"/>
      <name val="Arial"/>
      <family val="2"/>
    </font>
    <font>
      <u/>
      <sz val="12"/>
      <color indexed="8"/>
      <name val="Arial"/>
      <family val="2"/>
    </font>
    <font>
      <sz val="8"/>
      <color indexed="63"/>
      <name val="Arial Narrow"/>
      <family val="2"/>
    </font>
    <font>
      <b/>
      <sz val="12"/>
      <color rgb="FFFFFF00"/>
      <name val="Calibri"/>
      <family val="2"/>
      <scheme val="minor"/>
    </font>
    <font>
      <b/>
      <sz val="11"/>
      <name val="Calibri"/>
      <family val="2"/>
      <scheme val="minor"/>
    </font>
    <font>
      <b/>
      <sz val="11"/>
      <name val="Arial"/>
      <family val="2"/>
    </font>
    <font>
      <i/>
      <sz val="11"/>
      <color theme="0"/>
      <name val="Arial"/>
      <family val="2"/>
    </font>
  </fonts>
  <fills count="65">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9" tint="-0.249977111117893"/>
        <bgColor indexed="64"/>
      </patternFill>
    </fill>
    <fill>
      <patternFill patternType="solid">
        <fgColor theme="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rgb="FF0070C0"/>
        <bgColor indexed="64"/>
      </patternFill>
    </fill>
    <fill>
      <patternFill patternType="solid">
        <fgColor rgb="FF00B050"/>
        <bgColor indexed="64"/>
      </patternFill>
    </fill>
    <fill>
      <patternFill patternType="solid">
        <fgColor rgb="FF92D050"/>
        <bgColor indexed="64"/>
      </patternFill>
    </fill>
    <fill>
      <patternFill patternType="solid">
        <fgColor rgb="FF00B0F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rgb="FFC0000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C000"/>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2"/>
        <bgColor indexed="64"/>
      </patternFill>
    </fill>
    <fill>
      <patternFill patternType="solid">
        <fgColor rgb="FFFFFF99"/>
        <bgColor indexed="64"/>
      </patternFill>
    </fill>
    <fill>
      <patternFill patternType="solid">
        <fgColor rgb="FFFF6699"/>
        <bgColor indexed="64"/>
      </patternFill>
    </fill>
    <fill>
      <patternFill patternType="solid">
        <fgColor rgb="FFFF0000"/>
        <bgColor indexed="64"/>
      </patternFill>
    </fill>
    <fill>
      <patternFill patternType="solid">
        <fgColor rgb="FF00E668"/>
        <bgColor indexed="64"/>
      </patternFill>
    </fill>
    <fill>
      <patternFill patternType="gray125">
        <bgColor theme="4" tint="0.79995117038483843"/>
      </patternFill>
    </fill>
    <fill>
      <patternFill patternType="solid">
        <fgColor theme="6" tint="-0.249977111117893"/>
        <bgColor indexed="64"/>
      </patternFill>
    </fill>
    <fill>
      <patternFill patternType="solid">
        <fgColor theme="1"/>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8"/>
        <bgColor indexed="64"/>
      </patternFill>
    </fill>
    <fill>
      <patternFill patternType="solid">
        <fgColor theme="6"/>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3" tint="0.39997558519241921"/>
        <bgColor indexed="64"/>
      </patternFill>
    </fill>
    <fill>
      <patternFill patternType="gray125">
        <bgColor theme="4" tint="0.79998168889431442"/>
      </patternFill>
    </fill>
    <fill>
      <patternFill patternType="solid">
        <fgColor rgb="FF339966"/>
        <bgColor indexed="64"/>
      </patternFill>
    </fill>
    <fill>
      <patternFill patternType="solid">
        <fgColor rgb="FF00CC66"/>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6" tint="-0.499984740745262"/>
        <bgColor indexed="64"/>
      </patternFill>
    </fill>
    <fill>
      <patternFill patternType="solid">
        <fgColor rgb="FF002060"/>
        <bgColor indexed="64"/>
      </patternFill>
    </fill>
    <fill>
      <patternFill patternType="solid">
        <fgColor theme="7" tint="0.39997558519241921"/>
        <bgColor indexed="64"/>
      </patternFill>
    </fill>
    <fill>
      <patternFill patternType="solid">
        <fgColor theme="9"/>
        <bgColor indexed="64"/>
      </patternFill>
    </fill>
    <fill>
      <patternFill patternType="solid">
        <fgColor theme="8" tint="0.79998168889431442"/>
        <bgColor indexed="64"/>
      </patternFill>
    </fill>
    <fill>
      <patternFill patternType="solid">
        <fgColor rgb="FF2DDBB2"/>
        <bgColor indexed="64"/>
      </patternFill>
    </fill>
    <fill>
      <patternFill patternType="solid">
        <fgColor rgb="FFFF66FF"/>
        <bgColor indexed="64"/>
      </patternFill>
    </fill>
    <fill>
      <patternFill patternType="solid">
        <fgColor rgb="FF4BD719"/>
        <bgColor indexed="64"/>
      </patternFill>
    </fill>
    <fill>
      <patternFill patternType="solid">
        <fgColor rgb="FFFE4C4C"/>
        <bgColor indexed="64"/>
      </patternFill>
    </fill>
    <fill>
      <patternFill patternType="solid">
        <fgColor rgb="FF7030A0"/>
        <bgColor indexed="64"/>
      </patternFill>
    </fill>
    <fill>
      <patternFill patternType="solid">
        <fgColor theme="0" tint="-0.249977111117893"/>
        <bgColor indexed="64"/>
      </patternFill>
    </fill>
    <fill>
      <patternFill patternType="darkTrellis">
        <bgColor theme="4" tint="0.39991454817346722"/>
      </patternFill>
    </fill>
    <fill>
      <patternFill patternType="solid">
        <fgColor theme="7" tint="0.59999389629810485"/>
        <bgColor indexed="64"/>
      </patternFill>
    </fill>
    <fill>
      <patternFill patternType="gray0625"/>
    </fill>
    <fill>
      <patternFill patternType="gray0625">
        <bgColor theme="0"/>
      </patternFill>
    </fill>
    <fill>
      <patternFill patternType="gray0625">
        <bgColor theme="1"/>
      </patternFill>
    </fill>
  </fills>
  <borders count="6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s>
  <cellStyleXfs count="7">
    <xf numFmtId="0" fontId="0" fillId="0" borderId="0"/>
    <xf numFmtId="0" fontId="16" fillId="0" borderId="0" applyNumberFormat="0" applyFill="0" applyBorder="0" applyAlignment="0" applyProtection="0">
      <alignment vertical="top"/>
      <protection locked="0"/>
    </xf>
    <xf numFmtId="166" fontId="42" fillId="0" borderId="0" applyFont="0" applyFill="0" applyBorder="0" applyAlignment="0" applyProtection="0"/>
    <xf numFmtId="166" fontId="42" fillId="0" borderId="0" applyFont="0" applyFill="0" applyBorder="0" applyAlignment="0" applyProtection="0"/>
    <xf numFmtId="0" fontId="31" fillId="0" borderId="0"/>
    <xf numFmtId="9" fontId="42" fillId="0" borderId="0" applyFont="0" applyFill="0" applyBorder="0" applyAlignment="0" applyProtection="0"/>
    <xf numFmtId="0" fontId="176" fillId="0" borderId="0"/>
  </cellStyleXfs>
  <cellXfs count="1541">
    <xf numFmtId="0" fontId="0" fillId="0" borderId="0" xfId="0"/>
    <xf numFmtId="0" fontId="0" fillId="0" borderId="0" xfId="0" applyFill="1"/>
    <xf numFmtId="0" fontId="0" fillId="0" borderId="2" xfId="0" applyFill="1" applyBorder="1" applyAlignment="1">
      <alignment horizontal="center" vertical="center"/>
    </xf>
    <xf numFmtId="0" fontId="0" fillId="0" borderId="2" xfId="0" applyFill="1" applyBorder="1" applyAlignment="1">
      <alignment horizontal="center" vertical="center" wrapText="1"/>
    </xf>
    <xf numFmtId="0" fontId="0" fillId="0" borderId="2" xfId="0" applyFill="1" applyBorder="1" applyAlignment="1">
      <alignment vertical="center" wrapText="1"/>
    </xf>
    <xf numFmtId="0" fontId="0" fillId="0" borderId="0" xfId="0" applyAlignment="1">
      <alignment vertical="center"/>
    </xf>
    <xf numFmtId="0" fontId="0" fillId="0" borderId="2" xfId="0" applyBorder="1" applyAlignment="1">
      <alignment vertical="center" wrapText="1"/>
    </xf>
    <xf numFmtId="0" fontId="0" fillId="0" borderId="2" xfId="0" quotePrefix="1" applyBorder="1" applyAlignment="1">
      <alignment horizontal="center" vertical="center" wrapText="1"/>
    </xf>
    <xf numFmtId="0" fontId="0" fillId="0" borderId="0" xfId="0" applyAlignment="1">
      <alignment horizontal="center"/>
    </xf>
    <xf numFmtId="0" fontId="0" fillId="0" borderId="2" xfId="0" applyFill="1" applyBorder="1"/>
    <xf numFmtId="0" fontId="13" fillId="10" borderId="2" xfId="0" applyFont="1" applyFill="1" applyBorder="1" applyAlignment="1" applyProtection="1">
      <alignment horizontal="center" vertical="center"/>
      <protection locked="0"/>
    </xf>
    <xf numFmtId="0" fontId="0" fillId="0" borderId="2" xfId="0" applyFill="1" applyBorder="1" applyAlignment="1">
      <alignment vertical="center"/>
    </xf>
    <xf numFmtId="0" fontId="4" fillId="0" borderId="0" xfId="0" applyFont="1"/>
    <xf numFmtId="0" fontId="13" fillId="19" borderId="2" xfId="0" applyFont="1" applyFill="1" applyBorder="1" applyAlignment="1">
      <alignment horizontal="center"/>
    </xf>
    <xf numFmtId="0" fontId="13" fillId="20" borderId="2" xfId="0" applyFont="1" applyFill="1" applyBorder="1" applyAlignment="1">
      <alignment horizontal="center"/>
    </xf>
    <xf numFmtId="0" fontId="13" fillId="24" borderId="2" xfId="0" applyFont="1" applyFill="1" applyBorder="1" applyAlignment="1">
      <alignment horizontal="center"/>
    </xf>
    <xf numFmtId="0" fontId="13" fillId="0" borderId="0" xfId="0" applyFont="1"/>
    <xf numFmtId="0" fontId="13" fillId="10" borderId="2" xfId="0" applyFont="1" applyFill="1" applyBorder="1" applyAlignment="1" applyProtection="1">
      <alignment horizontal="left" vertical="center"/>
      <protection locked="0"/>
    </xf>
    <xf numFmtId="0" fontId="0" fillId="0" borderId="0" xfId="0" applyAlignment="1">
      <alignment horizontal="center" vertical="center"/>
    </xf>
    <xf numFmtId="0" fontId="13" fillId="21" borderId="2" xfId="0" applyFont="1" applyFill="1" applyBorder="1" applyAlignment="1">
      <alignment horizontal="center" vertical="center"/>
    </xf>
    <xf numFmtId="0" fontId="13" fillId="18" borderId="2" xfId="0" applyFont="1" applyFill="1" applyBorder="1" applyAlignment="1">
      <alignment horizontal="center" vertical="center"/>
    </xf>
    <xf numFmtId="0" fontId="7" fillId="2" borderId="2" xfId="0" applyFont="1" applyFill="1" applyBorder="1" applyAlignment="1" applyProtection="1">
      <alignment horizontal="center" vertical="center"/>
      <protection locked="0"/>
    </xf>
    <xf numFmtId="0" fontId="0" fillId="0" borderId="14" xfId="0" applyFill="1" applyBorder="1" applyAlignment="1">
      <alignment horizontal="center" vertical="center" wrapText="1"/>
    </xf>
    <xf numFmtId="0" fontId="0" fillId="0" borderId="2" xfId="0" applyFill="1" applyBorder="1" applyAlignment="1">
      <alignment vertical="top" wrapText="1"/>
    </xf>
    <xf numFmtId="0" fontId="0" fillId="0" borderId="0" xfId="0" applyProtection="1">
      <protection hidden="1"/>
    </xf>
    <xf numFmtId="0" fontId="0" fillId="7" borderId="0" xfId="0" applyFill="1" applyProtection="1">
      <protection hidden="1"/>
    </xf>
    <xf numFmtId="0" fontId="0" fillId="0" borderId="0" xfId="0" applyAlignment="1" applyProtection="1">
      <alignment horizontal="left"/>
      <protection hidden="1"/>
    </xf>
    <xf numFmtId="0" fontId="27" fillId="5" borderId="0" xfId="0" applyFont="1" applyFill="1" applyBorder="1" applyAlignment="1" applyProtection="1">
      <alignment horizontal="center" vertical="center"/>
      <protection hidden="1"/>
    </xf>
    <xf numFmtId="0" fontId="27" fillId="5" borderId="0" xfId="0" applyFont="1" applyFill="1" applyBorder="1" applyAlignment="1" applyProtection="1">
      <alignment vertical="center"/>
      <protection hidden="1"/>
    </xf>
    <xf numFmtId="0" fontId="28" fillId="5" borderId="0" xfId="0" applyFont="1" applyFill="1" applyBorder="1" applyAlignment="1" applyProtection="1">
      <alignment horizontal="center" vertical="center"/>
      <protection hidden="1"/>
    </xf>
    <xf numFmtId="0" fontId="15" fillId="0" borderId="0" xfId="0" applyFont="1" applyAlignment="1" applyProtection="1">
      <alignment horizontal="left" vertical="center"/>
      <protection hidden="1"/>
    </xf>
    <xf numFmtId="0" fontId="2" fillId="0" borderId="0" xfId="0" applyFont="1" applyBorder="1" applyAlignment="1" applyProtection="1">
      <alignment horizontal="center"/>
      <protection hidden="1"/>
    </xf>
    <xf numFmtId="0" fontId="0" fillId="0" borderId="0" xfId="0" applyBorder="1" applyProtection="1">
      <protection hidden="1"/>
    </xf>
    <xf numFmtId="0" fontId="29" fillId="0" borderId="0" xfId="0" applyFont="1" applyBorder="1" applyAlignment="1" applyProtection="1">
      <alignment horizontal="left" vertical="top" wrapText="1"/>
      <protection hidden="1"/>
    </xf>
    <xf numFmtId="0" fontId="0" fillId="0" borderId="0" xfId="0" applyBorder="1" applyAlignment="1" applyProtection="1">
      <protection hidden="1"/>
    </xf>
    <xf numFmtId="0" fontId="2" fillId="0" borderId="0" xfId="0" applyFont="1" applyBorder="1" applyAlignment="1" applyProtection="1">
      <alignment horizontal="center" vertical="center"/>
      <protection hidden="1"/>
    </xf>
    <xf numFmtId="0" fontId="0" fillId="0" borderId="0" xfId="0" applyFont="1" applyBorder="1" applyAlignment="1" applyProtection="1">
      <alignment vertical="top" wrapText="1"/>
      <protection hidden="1"/>
    </xf>
    <xf numFmtId="0" fontId="29" fillId="0" borderId="0" xfId="0" applyFont="1" applyBorder="1" applyAlignment="1" applyProtection="1">
      <alignment vertical="top" wrapText="1"/>
      <protection hidden="1"/>
    </xf>
    <xf numFmtId="0" fontId="9" fillId="0" borderId="0" xfId="0" applyFont="1" applyProtection="1">
      <protection hidden="1"/>
    </xf>
    <xf numFmtId="0" fontId="0" fillId="17" borderId="0" xfId="0" applyFill="1"/>
    <xf numFmtId="0" fontId="9" fillId="17" borderId="0" xfId="0" applyFont="1" applyFill="1" applyAlignment="1">
      <alignment horizontal="center"/>
    </xf>
    <xf numFmtId="0" fontId="9" fillId="17" borderId="0" xfId="0" applyFont="1" applyFill="1"/>
    <xf numFmtId="0" fontId="37" fillId="17" borderId="0" xfId="1" applyFont="1" applyFill="1" applyAlignment="1" applyProtection="1"/>
    <xf numFmtId="0" fontId="2" fillId="17" borderId="0" xfId="0" applyFont="1" applyFill="1"/>
    <xf numFmtId="0" fontId="3" fillId="2" borderId="0" xfId="0" applyFont="1" applyFill="1" applyBorder="1" applyAlignment="1"/>
    <xf numFmtId="0" fontId="0" fillId="0" borderId="0" xfId="0" applyAlignment="1" applyProtection="1">
      <alignment vertical="center"/>
    </xf>
    <xf numFmtId="0" fontId="20" fillId="0" borderId="0" xfId="0" applyFont="1" applyAlignment="1" applyProtection="1">
      <alignment vertical="center"/>
    </xf>
    <xf numFmtId="0" fontId="35" fillId="0" borderId="0" xfId="0" applyFont="1" applyAlignment="1" applyProtection="1">
      <alignment horizontal="left" vertical="center"/>
    </xf>
    <xf numFmtId="0" fontId="35" fillId="0" borderId="0" xfId="0" applyFont="1" applyAlignment="1" applyProtection="1">
      <alignment vertical="center"/>
    </xf>
    <xf numFmtId="0" fontId="35" fillId="0" borderId="0" xfId="0" quotePrefix="1" applyFont="1" applyAlignment="1" applyProtection="1">
      <alignment horizontal="left" vertical="center"/>
    </xf>
    <xf numFmtId="0" fontId="43" fillId="0" borderId="0" xfId="0" applyFont="1" applyBorder="1" applyProtection="1">
      <protection locked="0"/>
    </xf>
    <xf numFmtId="0" fontId="43" fillId="7" borderId="0" xfId="0" applyFont="1" applyFill="1" applyProtection="1">
      <protection hidden="1"/>
    </xf>
    <xf numFmtId="0" fontId="43" fillId="0" borderId="0" xfId="0" applyFont="1" applyProtection="1">
      <protection hidden="1"/>
    </xf>
    <xf numFmtId="0" fontId="43" fillId="0" borderId="0" xfId="0" applyFont="1" applyAlignment="1" applyProtection="1">
      <alignment horizontal="left"/>
      <protection hidden="1"/>
    </xf>
    <xf numFmtId="0" fontId="50" fillId="5" borderId="17" xfId="0" applyFont="1" applyFill="1" applyBorder="1" applyAlignment="1" applyProtection="1">
      <alignment horizontal="center" vertical="center"/>
      <protection hidden="1"/>
    </xf>
    <xf numFmtId="0" fontId="51" fillId="5" borderId="0" xfId="0" applyFont="1" applyFill="1" applyBorder="1" applyAlignment="1" applyProtection="1">
      <alignment horizontal="center" vertical="center"/>
      <protection hidden="1"/>
    </xf>
    <xf numFmtId="0" fontId="50" fillId="5" borderId="0" xfId="0" applyFont="1" applyFill="1" applyBorder="1" applyAlignment="1" applyProtection="1">
      <alignment horizontal="center" vertical="center"/>
      <protection hidden="1"/>
    </xf>
    <xf numFmtId="0" fontId="45" fillId="0" borderId="0" xfId="0" applyFont="1" applyAlignment="1" applyProtection="1">
      <alignment horizontal="left" vertical="center"/>
      <protection hidden="1"/>
    </xf>
    <xf numFmtId="0" fontId="43" fillId="0" borderId="0" xfId="0" applyFont="1" applyBorder="1"/>
    <xf numFmtId="0" fontId="51" fillId="5" borderId="0" xfId="0" applyFont="1" applyFill="1" applyBorder="1" applyAlignment="1" applyProtection="1">
      <alignment vertical="center"/>
      <protection hidden="1"/>
    </xf>
    <xf numFmtId="0" fontId="43" fillId="0" borderId="0" xfId="0" applyFont="1" applyAlignment="1" applyProtection="1">
      <alignment vertical="center"/>
      <protection hidden="1"/>
    </xf>
    <xf numFmtId="0" fontId="43" fillId="0" borderId="0" xfId="0" applyFont="1" applyAlignment="1" applyProtection="1">
      <alignment horizontal="center" vertical="center"/>
      <protection hidden="1"/>
    </xf>
    <xf numFmtId="0" fontId="43" fillId="0" borderId="0" xfId="0" applyFont="1" applyAlignment="1" applyProtection="1">
      <alignment horizontal="left" vertical="center"/>
      <protection hidden="1"/>
    </xf>
    <xf numFmtId="0" fontId="43" fillId="0" borderId="0" xfId="0" applyFont="1" applyBorder="1" applyAlignment="1">
      <alignment vertical="center"/>
    </xf>
    <xf numFmtId="0" fontId="45" fillId="0" borderId="0" xfId="0" applyFont="1" applyBorder="1" applyAlignment="1" applyProtection="1">
      <alignment horizontal="center"/>
      <protection hidden="1"/>
    </xf>
    <xf numFmtId="0" fontId="43" fillId="0" borderId="0" xfId="0" applyFont="1" applyBorder="1" applyAlignment="1" applyProtection="1">
      <alignment horizontal="left" vertical="top" wrapText="1"/>
      <protection hidden="1"/>
    </xf>
    <xf numFmtId="0" fontId="43" fillId="0" borderId="0" xfId="0" applyFont="1" applyBorder="1" applyAlignment="1" applyProtection="1">
      <alignment horizontal="left" vertical="center" wrapText="1"/>
      <protection hidden="1"/>
    </xf>
    <xf numFmtId="0" fontId="43" fillId="7" borderId="0" xfId="0" applyFont="1" applyFill="1" applyAlignment="1" applyProtection="1">
      <alignment vertical="center"/>
      <protection hidden="1"/>
    </xf>
    <xf numFmtId="0" fontId="43" fillId="0" borderId="0" xfId="0" applyFont="1" applyBorder="1" applyAlignment="1" applyProtection="1">
      <alignment vertical="center"/>
      <protection hidden="1"/>
    </xf>
    <xf numFmtId="0" fontId="43" fillId="0" borderId="0" xfId="0" applyFont="1" applyBorder="1" applyAlignment="1" applyProtection="1">
      <alignment vertical="center"/>
      <protection locked="0"/>
    </xf>
    <xf numFmtId="0" fontId="43" fillId="0" borderId="0" xfId="0" applyFont="1" applyBorder="1" applyAlignment="1" applyProtection="1">
      <alignment horizontal="left" vertical="center"/>
      <protection hidden="1"/>
    </xf>
    <xf numFmtId="0" fontId="43" fillId="0" borderId="0" xfId="0" applyFont="1" applyAlignment="1" applyProtection="1">
      <alignment horizontal="center"/>
      <protection hidden="1"/>
    </xf>
    <xf numFmtId="0" fontId="43" fillId="0" borderId="0" xfId="0" applyFont="1" applyBorder="1" applyProtection="1">
      <protection hidden="1"/>
    </xf>
    <xf numFmtId="0" fontId="43" fillId="0" borderId="6" xfId="0" applyFont="1" applyBorder="1" applyProtection="1">
      <protection hidden="1"/>
    </xf>
    <xf numFmtId="0" fontId="43" fillId="0" borderId="7" xfId="0" applyFont="1" applyBorder="1" applyProtection="1">
      <protection hidden="1"/>
    </xf>
    <xf numFmtId="0" fontId="43" fillId="0" borderId="8" xfId="0" applyFont="1" applyBorder="1" applyProtection="1">
      <protection hidden="1"/>
    </xf>
    <xf numFmtId="0" fontId="43" fillId="0" borderId="20" xfId="0" applyFont="1" applyBorder="1" applyProtection="1">
      <protection hidden="1"/>
    </xf>
    <xf numFmtId="0" fontId="43" fillId="0" borderId="21" xfId="0" applyFont="1" applyBorder="1" applyProtection="1">
      <protection hidden="1"/>
    </xf>
    <xf numFmtId="0" fontId="43" fillId="0" borderId="9" xfId="0" applyFont="1" applyBorder="1" applyProtection="1">
      <protection hidden="1"/>
    </xf>
    <xf numFmtId="0" fontId="43" fillId="0" borderId="10" xfId="0" applyFont="1" applyBorder="1" applyProtection="1">
      <protection hidden="1"/>
    </xf>
    <xf numFmtId="0" fontId="43" fillId="0" borderId="11" xfId="0" applyFont="1" applyBorder="1" applyProtection="1">
      <protection hidden="1"/>
    </xf>
    <xf numFmtId="0" fontId="53" fillId="0" borderId="0" xfId="0" applyFont="1" applyAlignment="1" applyProtection="1">
      <alignment horizontal="center"/>
      <protection hidden="1"/>
    </xf>
    <xf numFmtId="0" fontId="48" fillId="0" borderId="0" xfId="0" applyFont="1"/>
    <xf numFmtId="0" fontId="47" fillId="0" borderId="0" xfId="0" applyFont="1" applyAlignment="1">
      <alignment horizontal="left" vertical="center"/>
    </xf>
    <xf numFmtId="0" fontId="47" fillId="0" borderId="0" xfId="0" applyFont="1"/>
    <xf numFmtId="1" fontId="47" fillId="0" borderId="0" xfId="0" applyNumberFormat="1" applyFont="1" applyAlignment="1">
      <alignment horizontal="left" vertical="center"/>
    </xf>
    <xf numFmtId="0" fontId="47" fillId="0" borderId="0" xfId="0" applyFont="1" applyAlignment="1">
      <alignment vertical="center"/>
    </xf>
    <xf numFmtId="0" fontId="44" fillId="0" borderId="0" xfId="0" applyFont="1" applyAlignment="1">
      <alignment vertical="center"/>
    </xf>
    <xf numFmtId="0" fontId="48" fillId="0" borderId="2" xfId="0" applyFont="1" applyBorder="1" applyAlignment="1">
      <alignment horizontal="center" vertical="center"/>
    </xf>
    <xf numFmtId="0" fontId="48" fillId="0" borderId="0" xfId="0" applyFont="1" applyBorder="1" applyAlignment="1">
      <alignment horizontal="center" vertical="center"/>
    </xf>
    <xf numFmtId="0" fontId="48" fillId="0" borderId="0" xfId="0" applyFont="1" applyBorder="1" applyAlignment="1">
      <alignment horizontal="left" vertical="center"/>
    </xf>
    <xf numFmtId="0" fontId="48" fillId="0" borderId="2" xfId="0" applyFont="1" applyBorder="1" applyAlignment="1">
      <alignment horizontal="center" vertical="center" wrapText="1"/>
    </xf>
    <xf numFmtId="0" fontId="48" fillId="0" borderId="15" xfId="0" applyFont="1" applyBorder="1" applyAlignment="1">
      <alignment horizontal="center" vertical="center" wrapText="1"/>
    </xf>
    <xf numFmtId="0" fontId="48" fillId="0" borderId="23" xfId="0" applyFont="1" applyBorder="1" applyAlignment="1">
      <alignment horizontal="center" vertical="center"/>
    </xf>
    <xf numFmtId="0" fontId="48" fillId="0" borderId="23" xfId="0" applyFont="1" applyBorder="1" applyAlignment="1">
      <alignment horizontal="center" vertical="center" wrapText="1"/>
    </xf>
    <xf numFmtId="0" fontId="48" fillId="0" borderId="23" xfId="0" applyFont="1" applyBorder="1" applyAlignment="1">
      <alignment vertical="center" wrapText="1"/>
    </xf>
    <xf numFmtId="0" fontId="44" fillId="0" borderId="0" xfId="0" applyFont="1"/>
    <xf numFmtId="0" fontId="48" fillId="0" borderId="2" xfId="0" quotePrefix="1" applyFont="1" applyBorder="1" applyAlignment="1">
      <alignment horizontal="center" vertical="center"/>
    </xf>
    <xf numFmtId="0" fontId="48" fillId="0" borderId="2" xfId="0" applyFont="1" applyBorder="1" applyAlignment="1">
      <alignment vertical="center"/>
    </xf>
    <xf numFmtId="0" fontId="55" fillId="0" borderId="0" xfId="0" applyFont="1" applyAlignment="1">
      <alignment horizontal="center"/>
    </xf>
    <xf numFmtId="0" fontId="48" fillId="0" borderId="0" xfId="0" applyFont="1" applyAlignment="1">
      <alignment horizontal="right"/>
    </xf>
    <xf numFmtId="0" fontId="48" fillId="0" borderId="0" xfId="0" applyFont="1" applyAlignment="1">
      <alignment horizontal="center"/>
    </xf>
    <xf numFmtId="0" fontId="46" fillId="30" borderId="2" xfId="0" applyFont="1" applyFill="1" applyBorder="1" applyAlignment="1">
      <alignment horizontal="center" vertical="center" wrapText="1"/>
    </xf>
    <xf numFmtId="0" fontId="46" fillId="30" borderId="2" xfId="0" applyFont="1" applyFill="1" applyBorder="1" applyAlignment="1">
      <alignment horizontal="center" vertical="center"/>
    </xf>
    <xf numFmtId="0" fontId="0" fillId="0" borderId="0" xfId="0" applyFill="1" applyProtection="1">
      <protection hidden="1"/>
    </xf>
    <xf numFmtId="0" fontId="8" fillId="5" borderId="3" xfId="0" applyFont="1" applyFill="1" applyBorder="1" applyAlignment="1" applyProtection="1">
      <alignment horizontal="left" vertical="center" wrapText="1"/>
      <protection hidden="1"/>
    </xf>
    <xf numFmtId="0" fontId="0" fillId="0" borderId="2" xfId="0" applyFill="1" applyBorder="1" applyAlignment="1" applyProtection="1">
      <alignment vertical="center"/>
      <protection hidden="1"/>
    </xf>
    <xf numFmtId="0" fontId="7" fillId="5" borderId="2" xfId="0" quotePrefix="1" applyFont="1" applyFill="1" applyBorder="1" applyAlignment="1" applyProtection="1">
      <alignment horizontal="center" vertical="center" wrapText="1"/>
      <protection hidden="1"/>
    </xf>
    <xf numFmtId="0" fontId="2" fillId="0" borderId="0" xfId="0" applyFont="1" applyFill="1" applyAlignment="1" applyProtection="1">
      <alignment horizontal="center" vertical="center"/>
      <protection hidden="1"/>
    </xf>
    <xf numFmtId="0" fontId="13" fillId="14" borderId="2" xfId="0" applyFont="1" applyFill="1" applyBorder="1" applyAlignment="1" applyProtection="1">
      <alignment horizontal="center" vertical="center"/>
      <protection hidden="1"/>
    </xf>
    <xf numFmtId="0" fontId="13" fillId="14" borderId="2" xfId="0" applyFont="1" applyFill="1" applyBorder="1" applyAlignment="1" applyProtection="1">
      <alignment vertical="center"/>
      <protection hidden="1"/>
    </xf>
    <xf numFmtId="0" fontId="13" fillId="14" borderId="2" xfId="0" applyFont="1" applyFill="1" applyBorder="1" applyAlignment="1" applyProtection="1">
      <alignment vertical="center" wrapText="1"/>
      <protection hidden="1"/>
    </xf>
    <xf numFmtId="0" fontId="0" fillId="0" borderId="2" xfId="0" applyFill="1" applyBorder="1" applyAlignment="1" applyProtection="1">
      <alignment horizontal="center" vertical="center"/>
      <protection hidden="1"/>
    </xf>
    <xf numFmtId="0" fontId="13" fillId="0" borderId="2" xfId="0" applyFont="1" applyFill="1" applyBorder="1" applyAlignment="1" applyProtection="1">
      <alignment horizontal="center" vertical="center"/>
      <protection hidden="1"/>
    </xf>
    <xf numFmtId="1" fontId="2" fillId="0" borderId="2" xfId="0" applyNumberFormat="1" applyFont="1" applyFill="1" applyBorder="1" applyAlignment="1" applyProtection="1">
      <alignment horizontal="center" vertical="center" wrapText="1"/>
      <protection hidden="1"/>
    </xf>
    <xf numFmtId="0" fontId="2" fillId="0" borderId="2" xfId="0" applyFont="1" applyFill="1" applyBorder="1" applyAlignment="1" applyProtection="1">
      <alignment horizontal="center" vertical="center" wrapText="1"/>
      <protection hidden="1"/>
    </xf>
    <xf numFmtId="0" fontId="0" fillId="0" borderId="2" xfId="0" applyFill="1" applyBorder="1" applyAlignment="1" applyProtection="1">
      <alignment horizontal="center" vertical="center" wrapText="1"/>
      <protection hidden="1"/>
    </xf>
    <xf numFmtId="0" fontId="0" fillId="25" borderId="2" xfId="0" applyFill="1" applyBorder="1" applyAlignment="1" applyProtection="1">
      <alignment vertical="center" wrapText="1"/>
      <protection hidden="1"/>
    </xf>
    <xf numFmtId="0" fontId="0" fillId="0" borderId="5" xfId="0" applyFill="1" applyBorder="1" applyProtection="1">
      <protection hidden="1"/>
    </xf>
    <xf numFmtId="0" fontId="0" fillId="2" borderId="2" xfId="0" applyFill="1" applyBorder="1" applyAlignment="1" applyProtection="1">
      <alignment vertical="center"/>
      <protection hidden="1"/>
    </xf>
    <xf numFmtId="0" fontId="0" fillId="0" borderId="0" xfId="0" applyFill="1" applyAlignment="1" applyProtection="1">
      <alignment vertical="center"/>
      <protection hidden="1"/>
    </xf>
    <xf numFmtId="0" fontId="0" fillId="14" borderId="2" xfId="0" applyFill="1" applyBorder="1" applyProtection="1">
      <protection hidden="1"/>
    </xf>
    <xf numFmtId="0" fontId="0" fillId="2" borderId="2" xfId="0" applyFill="1" applyBorder="1" applyAlignment="1" applyProtection="1">
      <alignment vertical="center" wrapText="1"/>
      <protection hidden="1"/>
    </xf>
    <xf numFmtId="0" fontId="0" fillId="0" borderId="2" xfId="0" applyFill="1" applyBorder="1" applyAlignment="1" applyProtection="1">
      <alignment vertical="center" wrapText="1"/>
      <protection hidden="1"/>
    </xf>
    <xf numFmtId="0" fontId="0" fillId="0" borderId="2" xfId="0" applyFill="1" applyBorder="1" applyAlignment="1" applyProtection="1">
      <alignment horizontal="center" vertical="center"/>
      <protection locked="0"/>
    </xf>
    <xf numFmtId="0" fontId="13" fillId="0" borderId="2" xfId="0" applyFont="1" applyFill="1" applyBorder="1" applyAlignment="1" applyProtection="1">
      <alignment horizontal="center" vertical="center"/>
      <protection locked="0"/>
    </xf>
    <xf numFmtId="0" fontId="0" fillId="0" borderId="0" xfId="0" applyFont="1" applyProtection="1">
      <protection hidden="1"/>
    </xf>
    <xf numFmtId="0" fontId="1" fillId="0" borderId="0" xfId="0" applyFont="1" applyProtection="1">
      <protection hidden="1"/>
    </xf>
    <xf numFmtId="0" fontId="22" fillId="0" borderId="0" xfId="0" applyFont="1" applyAlignment="1" applyProtection="1">
      <alignment horizontal="center" vertical="center"/>
      <protection hidden="1"/>
    </xf>
    <xf numFmtId="0" fontId="0" fillId="3" borderId="2" xfId="0" applyFont="1" applyFill="1" applyBorder="1" applyAlignment="1" applyProtection="1">
      <alignment horizontal="center" vertical="center"/>
      <protection hidden="1"/>
    </xf>
    <xf numFmtId="0" fontId="20" fillId="3" borderId="2" xfId="0" applyFont="1" applyFill="1" applyBorder="1" applyAlignment="1" applyProtection="1">
      <alignment horizontal="center" vertical="center"/>
      <protection hidden="1"/>
    </xf>
    <xf numFmtId="0" fontId="20" fillId="3" borderId="2" xfId="0" applyFont="1" applyFill="1" applyBorder="1" applyAlignment="1" applyProtection="1">
      <alignment horizontal="left" vertical="center" wrapText="1"/>
      <protection hidden="1"/>
    </xf>
    <xf numFmtId="0" fontId="0" fillId="0" borderId="0" xfId="0" applyAlignment="1" applyProtection="1">
      <alignment vertical="center"/>
      <protection hidden="1"/>
    </xf>
    <xf numFmtId="0" fontId="0" fillId="12" borderId="2" xfId="0" applyFill="1" applyBorder="1" applyAlignment="1" applyProtection="1">
      <alignment vertical="top" wrapText="1"/>
      <protection hidden="1"/>
    </xf>
    <xf numFmtId="0" fontId="12" fillId="3" borderId="2" xfId="0" applyFont="1" applyFill="1" applyBorder="1" applyAlignment="1" applyProtection="1">
      <alignment horizontal="center" vertical="center"/>
      <protection hidden="1"/>
    </xf>
    <xf numFmtId="0" fontId="0" fillId="4" borderId="0" xfId="0" applyFill="1" applyProtection="1">
      <protection hidden="1"/>
    </xf>
    <xf numFmtId="0" fontId="0" fillId="4" borderId="0" xfId="0" applyFill="1" applyAlignment="1" applyProtection="1">
      <alignment horizontal="center"/>
      <protection hidden="1"/>
    </xf>
    <xf numFmtId="0" fontId="0" fillId="19" borderId="2" xfId="0" applyFill="1" applyBorder="1" applyAlignment="1" applyProtection="1">
      <alignment horizontal="center" vertical="center"/>
      <protection hidden="1"/>
    </xf>
    <xf numFmtId="0" fontId="0" fillId="19" borderId="2" xfId="0" applyFill="1" applyBorder="1" applyAlignment="1" applyProtection="1">
      <alignment horizontal="center" wrapText="1"/>
      <protection hidden="1"/>
    </xf>
    <xf numFmtId="0" fontId="0" fillId="26" borderId="2" xfId="0" applyFill="1" applyBorder="1" applyAlignment="1" applyProtection="1">
      <alignment horizontal="center" vertical="center"/>
      <protection hidden="1"/>
    </xf>
    <xf numFmtId="0" fontId="0" fillId="26" borderId="2" xfId="0" applyFill="1" applyBorder="1" applyAlignment="1" applyProtection="1">
      <alignment horizontal="center" wrapText="1"/>
      <protection hidden="1"/>
    </xf>
    <xf numFmtId="0" fontId="0" fillId="26" borderId="4" xfId="0" applyFill="1" applyBorder="1" applyAlignment="1" applyProtection="1">
      <alignment horizontal="center" vertical="center"/>
      <protection hidden="1"/>
    </xf>
    <xf numFmtId="0" fontId="0" fillId="7" borderId="2" xfId="0" applyFill="1" applyBorder="1" applyAlignment="1" applyProtection="1">
      <alignment horizontal="center" vertical="center"/>
      <protection hidden="1"/>
    </xf>
    <xf numFmtId="0" fontId="0" fillId="7" borderId="2" xfId="0" applyFill="1" applyBorder="1" applyAlignment="1" applyProtection="1">
      <alignment horizontal="center" wrapText="1"/>
      <protection hidden="1"/>
    </xf>
    <xf numFmtId="0" fontId="0" fillId="27" borderId="2" xfId="0" applyFill="1" applyBorder="1" applyAlignment="1" applyProtection="1">
      <alignment horizontal="center" vertical="center"/>
      <protection hidden="1"/>
    </xf>
    <xf numFmtId="0" fontId="0" fillId="27" borderId="2" xfId="0" applyFill="1" applyBorder="1" applyAlignment="1" applyProtection="1">
      <alignment horizontal="center" wrapText="1"/>
      <protection hidden="1"/>
    </xf>
    <xf numFmtId="0" fontId="0" fillId="2" borderId="2" xfId="0" applyFill="1" applyBorder="1" applyAlignment="1" applyProtection="1">
      <alignment horizontal="center" vertical="center"/>
      <protection hidden="1"/>
    </xf>
    <xf numFmtId="0" fontId="0" fillId="2" borderId="2" xfId="0" applyFill="1" applyBorder="1" applyAlignment="1" applyProtection="1">
      <alignment horizontal="center" wrapText="1"/>
      <protection hidden="1"/>
    </xf>
    <xf numFmtId="0" fontId="0" fillId="31" borderId="2" xfId="0" applyFill="1" applyBorder="1" applyAlignment="1" applyProtection="1">
      <alignment horizontal="center" vertical="center"/>
      <protection hidden="1"/>
    </xf>
    <xf numFmtId="0" fontId="0" fillId="31" borderId="2" xfId="0" applyFill="1" applyBorder="1" applyAlignment="1" applyProtection="1">
      <alignment horizontal="center" wrapText="1"/>
      <protection hidden="1"/>
    </xf>
    <xf numFmtId="0" fontId="0" fillId="19" borderId="2" xfId="0" applyFill="1" applyBorder="1" applyAlignment="1" applyProtection="1">
      <alignment horizontal="center" vertical="center" wrapText="1"/>
      <protection hidden="1"/>
    </xf>
    <xf numFmtId="0" fontId="0" fillId="19" borderId="0" xfId="0" applyFill="1" applyAlignment="1" applyProtection="1">
      <alignment horizontal="center" vertical="center"/>
      <protection hidden="1"/>
    </xf>
    <xf numFmtId="0" fontId="0" fillId="24" borderId="2" xfId="0" applyFill="1" applyBorder="1" applyAlignment="1" applyProtection="1">
      <alignment horizontal="center" vertical="center"/>
      <protection hidden="1"/>
    </xf>
    <xf numFmtId="0" fontId="0" fillId="24" borderId="2" xfId="0" applyFill="1" applyBorder="1" applyAlignment="1" applyProtection="1">
      <alignment horizontal="center" vertical="center" wrapText="1"/>
      <protection hidden="1"/>
    </xf>
    <xf numFmtId="0" fontId="0" fillId="24" borderId="0" xfId="0" applyFill="1" applyAlignment="1" applyProtection="1">
      <alignment horizontal="center" vertical="center"/>
      <protection hidden="1"/>
    </xf>
    <xf numFmtId="0" fontId="0" fillId="16" borderId="2" xfId="0" applyFill="1" applyBorder="1" applyAlignment="1" applyProtection="1">
      <alignment horizontal="center" vertical="center"/>
      <protection hidden="1"/>
    </xf>
    <xf numFmtId="0" fontId="0" fillId="16" borderId="2" xfId="0" applyFill="1" applyBorder="1" applyAlignment="1" applyProtection="1">
      <alignment horizontal="center" vertical="center" wrapText="1"/>
      <protection hidden="1"/>
    </xf>
    <xf numFmtId="0" fontId="0" fillId="16" borderId="0" xfId="0" applyFill="1" applyAlignment="1" applyProtection="1">
      <alignment horizontal="center" vertical="center"/>
      <protection hidden="1"/>
    </xf>
    <xf numFmtId="0" fontId="0" fillId="4" borderId="2" xfId="0" applyFill="1" applyBorder="1" applyAlignment="1" applyProtection="1">
      <alignment horizontal="center" vertical="center"/>
      <protection hidden="1"/>
    </xf>
    <xf numFmtId="0" fontId="0" fillId="4" borderId="2" xfId="0" applyFill="1" applyBorder="1" applyAlignment="1" applyProtection="1">
      <alignment horizontal="center" vertical="center" wrapText="1"/>
      <protection hidden="1"/>
    </xf>
    <xf numFmtId="0" fontId="0" fillId="4" borderId="0" xfId="0" applyFill="1" applyAlignment="1" applyProtection="1">
      <alignment horizontal="center" vertical="center"/>
      <protection hidden="1"/>
    </xf>
    <xf numFmtId="0" fontId="0" fillId="18" borderId="2" xfId="0" applyFill="1" applyBorder="1" applyAlignment="1" applyProtection="1">
      <alignment horizontal="center" vertical="center"/>
      <protection hidden="1"/>
    </xf>
    <xf numFmtId="0" fontId="0" fillId="18" borderId="2" xfId="0" applyFill="1" applyBorder="1" applyAlignment="1" applyProtection="1">
      <alignment horizontal="center" vertical="center" wrapText="1"/>
      <protection hidden="1"/>
    </xf>
    <xf numFmtId="0" fontId="0" fillId="18" borderId="0" xfId="0" applyFill="1" applyAlignment="1" applyProtection="1">
      <alignment horizontal="center" vertical="center"/>
      <protection hidden="1"/>
    </xf>
    <xf numFmtId="0" fontId="0" fillId="10" borderId="2" xfId="0" applyFill="1" applyBorder="1" applyAlignment="1" applyProtection="1">
      <alignment horizontal="center" vertical="center"/>
      <protection hidden="1"/>
    </xf>
    <xf numFmtId="0" fontId="0" fillId="10" borderId="2" xfId="0" applyFill="1" applyBorder="1" applyAlignment="1" applyProtection="1">
      <alignment horizontal="center" vertical="center" wrapText="1"/>
      <protection hidden="1"/>
    </xf>
    <xf numFmtId="0" fontId="0" fillId="10" borderId="0" xfId="0" applyFill="1" applyAlignment="1" applyProtection="1">
      <alignment horizontal="center" vertical="center"/>
      <protection hidden="1"/>
    </xf>
    <xf numFmtId="0" fontId="0" fillId="27" borderId="2" xfId="0" applyFill="1" applyBorder="1" applyAlignment="1" applyProtection="1">
      <alignment horizontal="center" vertical="center" wrapText="1"/>
      <protection hidden="1"/>
    </xf>
    <xf numFmtId="0" fontId="0" fillId="27" borderId="0" xfId="0" applyFill="1" applyAlignment="1" applyProtection="1">
      <alignment horizontal="center" vertical="center"/>
      <protection hidden="1"/>
    </xf>
    <xf numFmtId="0" fontId="0" fillId="22" borderId="2" xfId="0" applyFill="1" applyBorder="1" applyAlignment="1" applyProtection="1">
      <alignment horizontal="center" vertical="center"/>
      <protection hidden="1"/>
    </xf>
    <xf numFmtId="0" fontId="0" fillId="22" borderId="2" xfId="0" applyFill="1" applyBorder="1" applyAlignment="1" applyProtection="1">
      <alignment horizontal="center" vertical="center" wrapText="1"/>
      <protection hidden="1"/>
    </xf>
    <xf numFmtId="0" fontId="0" fillId="22" borderId="0" xfId="0" applyFill="1" applyAlignment="1" applyProtection="1">
      <alignment horizontal="center" vertical="center"/>
      <protection hidden="1"/>
    </xf>
    <xf numFmtId="0" fontId="0" fillId="28" borderId="2" xfId="0" applyFill="1" applyBorder="1" applyAlignment="1" applyProtection="1">
      <alignment horizontal="center" vertical="center"/>
      <protection hidden="1"/>
    </xf>
    <xf numFmtId="0" fontId="0" fillId="28" borderId="2" xfId="0" applyFill="1" applyBorder="1" applyAlignment="1" applyProtection="1">
      <alignment horizontal="center" vertical="center" wrapText="1"/>
      <protection hidden="1"/>
    </xf>
    <xf numFmtId="0" fontId="0" fillId="28" borderId="0" xfId="0" applyFill="1" applyAlignment="1" applyProtection="1">
      <alignment horizontal="center" vertical="center"/>
      <protection hidden="1"/>
    </xf>
    <xf numFmtId="0" fontId="0" fillId="20" borderId="2" xfId="0" applyFill="1" applyBorder="1" applyAlignment="1" applyProtection="1">
      <alignment horizontal="center" vertical="center"/>
      <protection hidden="1"/>
    </xf>
    <xf numFmtId="0" fontId="0" fillId="20" borderId="2" xfId="0" applyFill="1" applyBorder="1" applyAlignment="1" applyProtection="1">
      <alignment horizontal="center" vertical="center" wrapText="1"/>
      <protection hidden="1"/>
    </xf>
    <xf numFmtId="0" fontId="0" fillId="20" borderId="0" xfId="0" applyFill="1" applyAlignment="1" applyProtection="1">
      <alignment horizontal="center" vertical="center"/>
      <protection hidden="1"/>
    </xf>
    <xf numFmtId="0" fontId="0" fillId="21" borderId="2" xfId="0" applyFill="1" applyBorder="1" applyAlignment="1" applyProtection="1">
      <alignment horizontal="center" vertical="center"/>
      <protection hidden="1"/>
    </xf>
    <xf numFmtId="0" fontId="0" fillId="21" borderId="2" xfId="0" applyFill="1" applyBorder="1" applyAlignment="1" applyProtection="1">
      <alignment horizontal="center" vertical="center" wrapText="1"/>
      <protection hidden="1"/>
    </xf>
    <xf numFmtId="0" fontId="0" fillId="21" borderId="0" xfId="0" applyFill="1" applyAlignment="1" applyProtection="1">
      <alignment horizontal="center" vertical="center"/>
      <protection hidden="1"/>
    </xf>
    <xf numFmtId="0" fontId="0" fillId="23" borderId="2" xfId="0" applyFill="1" applyBorder="1" applyAlignment="1" applyProtection="1">
      <alignment horizontal="center" vertical="center"/>
      <protection hidden="1"/>
    </xf>
    <xf numFmtId="0" fontId="0" fillId="23" borderId="2" xfId="0" applyFill="1" applyBorder="1" applyAlignment="1" applyProtection="1">
      <alignment horizontal="center" vertical="center" wrapText="1"/>
      <protection hidden="1"/>
    </xf>
    <xf numFmtId="0" fontId="0" fillId="23" borderId="0" xfId="0" applyFill="1" applyAlignment="1" applyProtection="1">
      <alignment horizontal="center" vertical="center"/>
      <protection hidden="1"/>
    </xf>
    <xf numFmtId="0" fontId="0" fillId="29" borderId="2" xfId="0" applyFill="1" applyBorder="1" applyAlignment="1" applyProtection="1">
      <alignment horizontal="center" vertical="center"/>
      <protection hidden="1"/>
    </xf>
    <xf numFmtId="0" fontId="0" fillId="29" borderId="2" xfId="0" applyFill="1" applyBorder="1" applyAlignment="1" applyProtection="1">
      <alignment horizontal="center" vertical="center" wrapText="1"/>
      <protection hidden="1"/>
    </xf>
    <xf numFmtId="0" fontId="0" fillId="29" borderId="0" xfId="0" applyFill="1" applyAlignment="1" applyProtection="1">
      <alignment horizontal="center" vertical="center"/>
      <protection hidden="1"/>
    </xf>
    <xf numFmtId="0" fontId="0" fillId="11" borderId="2" xfId="0" applyFill="1" applyBorder="1" applyAlignment="1" applyProtection="1">
      <alignment horizontal="center" vertical="center"/>
      <protection hidden="1"/>
    </xf>
    <xf numFmtId="0" fontId="0" fillId="11" borderId="2" xfId="0" applyFill="1" applyBorder="1" applyAlignment="1" applyProtection="1">
      <alignment horizontal="center" vertical="center" wrapText="1"/>
      <protection hidden="1"/>
    </xf>
    <xf numFmtId="0" fontId="0" fillId="11" borderId="0" xfId="0" applyFill="1" applyAlignment="1" applyProtection="1">
      <alignment horizontal="center" vertical="center"/>
      <protection hidden="1"/>
    </xf>
    <xf numFmtId="0" fontId="0" fillId="18" borderId="2" xfId="0" applyFill="1" applyBorder="1" applyAlignment="1" applyProtection="1">
      <alignment horizontal="center"/>
      <protection hidden="1"/>
    </xf>
    <xf numFmtId="0" fontId="13" fillId="10" borderId="2" xfId="0" applyFont="1" applyFill="1" applyBorder="1" applyAlignment="1" applyProtection="1">
      <alignment horizontal="center" vertical="center"/>
      <protection hidden="1"/>
    </xf>
    <xf numFmtId="0" fontId="13" fillId="10" borderId="2" xfId="0" applyFont="1" applyFill="1" applyBorder="1" applyAlignment="1" applyProtection="1">
      <alignment horizontal="left" vertical="center"/>
      <protection hidden="1"/>
    </xf>
    <xf numFmtId="0" fontId="25" fillId="18" borderId="2" xfId="0" applyFont="1" applyFill="1" applyBorder="1" applyAlignment="1" applyProtection="1">
      <alignment vertical="top" wrapText="1"/>
      <protection hidden="1"/>
    </xf>
    <xf numFmtId="1" fontId="25" fillId="18" borderId="2" xfId="0" applyNumberFormat="1" applyFont="1" applyFill="1" applyBorder="1" applyAlignment="1" applyProtection="1">
      <alignment horizontal="center" vertical="center" wrapText="1"/>
      <protection hidden="1"/>
    </xf>
    <xf numFmtId="0" fontId="0" fillId="17" borderId="2" xfId="0" applyFill="1" applyBorder="1" applyAlignment="1" applyProtection="1">
      <alignment vertical="top" wrapText="1"/>
      <protection hidden="1"/>
    </xf>
    <xf numFmtId="1" fontId="0" fillId="17" borderId="2" xfId="0" applyNumberFormat="1" applyFill="1" applyBorder="1" applyAlignment="1" applyProtection="1">
      <alignment horizontal="center" vertical="center" wrapText="1"/>
      <protection hidden="1"/>
    </xf>
    <xf numFmtId="1" fontId="0" fillId="17" borderId="2" xfId="0" applyNumberFormat="1" applyFill="1" applyBorder="1" applyAlignment="1" applyProtection="1">
      <alignment vertical="top" wrapText="1"/>
      <protection hidden="1"/>
    </xf>
    <xf numFmtId="0" fontId="0" fillId="0" borderId="0" xfId="0" applyAlignment="1" applyProtection="1">
      <alignment horizontal="center"/>
      <protection hidden="1"/>
    </xf>
    <xf numFmtId="0" fontId="46" fillId="0" borderId="0" xfId="0" applyFont="1" applyBorder="1" applyAlignment="1">
      <alignment horizontal="center" vertical="center"/>
    </xf>
    <xf numFmtId="0" fontId="46" fillId="0" borderId="0" xfId="0" applyFont="1" applyBorder="1" applyAlignment="1">
      <alignment horizontal="center" vertical="center" wrapText="1"/>
    </xf>
    <xf numFmtId="0" fontId="46" fillId="0" borderId="0" xfId="0" applyFont="1" applyBorder="1" applyAlignment="1">
      <alignment vertical="center" wrapText="1"/>
    </xf>
    <xf numFmtId="0" fontId="46" fillId="0" borderId="0" xfId="0" applyFont="1" applyBorder="1" applyAlignment="1">
      <alignment horizontal="right" vertical="center" wrapText="1"/>
    </xf>
    <xf numFmtId="0" fontId="48" fillId="0" borderId="0" xfId="0" applyFont="1" applyBorder="1" applyAlignment="1">
      <alignment horizontal="center" vertical="center" wrapText="1"/>
    </xf>
    <xf numFmtId="0" fontId="48" fillId="0" borderId="0" xfId="0" applyFont="1" applyBorder="1" applyAlignment="1">
      <alignment horizontal="left" vertical="center" wrapText="1"/>
    </xf>
    <xf numFmtId="0" fontId="48" fillId="0" borderId="13" xfId="0" applyFont="1" applyBorder="1" applyAlignment="1">
      <alignment horizontal="left" vertical="center"/>
    </xf>
    <xf numFmtId="0" fontId="48" fillId="0" borderId="2" xfId="0" applyFont="1" applyBorder="1" applyAlignment="1">
      <alignment horizontal="center" vertical="center"/>
    </xf>
    <xf numFmtId="0" fontId="0" fillId="0" borderId="2" xfId="0" applyBorder="1" applyAlignment="1">
      <alignment horizontal="center" vertical="center" wrapText="1"/>
    </xf>
    <xf numFmtId="0" fontId="48" fillId="0" borderId="0" xfId="0" applyFont="1" applyBorder="1" applyAlignment="1" applyProtection="1">
      <protection hidden="1"/>
    </xf>
    <xf numFmtId="0" fontId="66" fillId="5" borderId="2" xfId="0" applyFont="1" applyFill="1" applyBorder="1" applyAlignment="1" applyProtection="1">
      <alignment vertical="center"/>
      <protection locked="0"/>
    </xf>
    <xf numFmtId="0" fontId="23" fillId="17" borderId="2" xfId="0" applyFont="1" applyFill="1" applyBorder="1" applyAlignment="1">
      <alignment horizontal="center" vertical="center" wrapText="1"/>
    </xf>
    <xf numFmtId="0" fontId="23" fillId="16" borderId="2" xfId="0" applyFont="1" applyFill="1" applyBorder="1" applyAlignment="1">
      <alignment horizontal="center" vertical="center" wrapText="1"/>
    </xf>
    <xf numFmtId="0" fontId="23" fillId="13" borderId="2" xfId="0" applyFont="1" applyFill="1" applyBorder="1" applyAlignment="1">
      <alignment horizontal="center" vertical="center" wrapText="1"/>
    </xf>
    <xf numFmtId="0" fontId="23" fillId="19" borderId="2" xfId="0" applyFont="1" applyFill="1" applyBorder="1" applyAlignment="1">
      <alignment horizontal="center" vertical="center" wrapText="1"/>
    </xf>
    <xf numFmtId="0" fontId="0" fillId="10" borderId="2" xfId="0" applyFill="1" applyBorder="1" applyAlignment="1">
      <alignment vertical="center" wrapText="1"/>
    </xf>
    <xf numFmtId="0" fontId="0" fillId="5" borderId="0" xfId="0" applyFill="1" applyBorder="1"/>
    <xf numFmtId="0" fontId="15" fillId="37" borderId="2" xfId="0" applyFont="1" applyFill="1" applyBorder="1" applyAlignment="1">
      <alignment horizontal="center" vertical="center"/>
    </xf>
    <xf numFmtId="0" fontId="15" fillId="37" borderId="4" xfId="0" applyFont="1" applyFill="1" applyBorder="1" applyAlignment="1">
      <alignment horizontal="center" vertical="center"/>
    </xf>
    <xf numFmtId="0" fontId="0" fillId="0" borderId="5" xfId="0" applyFill="1" applyBorder="1" applyAlignment="1">
      <alignment wrapText="1"/>
    </xf>
    <xf numFmtId="0" fontId="70" fillId="37" borderId="2" xfId="0" applyFont="1" applyFill="1" applyBorder="1" applyAlignment="1" applyProtection="1">
      <alignment horizontal="left" vertical="center" wrapText="1"/>
    </xf>
    <xf numFmtId="0" fontId="70" fillId="37" borderId="4" xfId="0" applyFont="1" applyFill="1" applyBorder="1" applyAlignment="1" applyProtection="1">
      <alignment horizontal="left" vertical="center" wrapText="1"/>
    </xf>
    <xf numFmtId="0" fontId="44" fillId="0" borderId="0" xfId="0" applyFont="1" applyBorder="1" applyAlignment="1">
      <alignment horizontal="left" vertical="center"/>
    </xf>
    <xf numFmtId="0" fontId="48" fillId="0" borderId="0" xfId="0" applyFont="1" applyBorder="1"/>
    <xf numFmtId="0" fontId="48" fillId="0" borderId="2" xfId="0" applyFont="1" applyBorder="1" applyAlignment="1">
      <alignment horizontal="center" vertical="center" wrapText="1"/>
    </xf>
    <xf numFmtId="0" fontId="0" fillId="15" borderId="0" xfId="0" applyFill="1" applyProtection="1">
      <protection hidden="1"/>
    </xf>
    <xf numFmtId="0" fontId="0" fillId="5" borderId="0" xfId="0" applyFill="1" applyProtection="1">
      <protection hidden="1"/>
    </xf>
    <xf numFmtId="0" fontId="41" fillId="5" borderId="0" xfId="1" applyFont="1" applyFill="1" applyAlignment="1" applyProtection="1">
      <alignment vertical="center"/>
      <protection hidden="1"/>
    </xf>
    <xf numFmtId="0" fontId="2" fillId="5" borderId="0" xfId="0" applyFont="1" applyFill="1" applyProtection="1">
      <protection hidden="1"/>
    </xf>
    <xf numFmtId="0" fontId="0" fillId="17" borderId="0" xfId="0" applyFill="1" applyProtection="1">
      <protection hidden="1"/>
    </xf>
    <xf numFmtId="0" fontId="0" fillId="17" borderId="7" xfId="0" applyFill="1" applyBorder="1" applyProtection="1">
      <protection hidden="1"/>
    </xf>
    <xf numFmtId="0" fontId="56" fillId="32" borderId="20" xfId="0" applyFont="1" applyFill="1" applyBorder="1" applyAlignment="1" applyProtection="1">
      <alignment horizontal="center"/>
      <protection hidden="1"/>
    </xf>
    <xf numFmtId="0" fontId="1" fillId="32" borderId="0" xfId="0" applyFont="1" applyFill="1" applyBorder="1" applyAlignment="1" applyProtection="1">
      <alignment horizontal="center"/>
      <protection hidden="1"/>
    </xf>
    <xf numFmtId="0" fontId="56" fillId="32" borderId="0" xfId="0" applyFont="1" applyFill="1" applyBorder="1" applyAlignment="1" applyProtection="1">
      <alignment horizontal="center"/>
      <protection hidden="1"/>
    </xf>
    <xf numFmtId="0" fontId="0" fillId="17" borderId="0" xfId="0" applyFill="1" applyBorder="1" applyAlignment="1" applyProtection="1">
      <alignment horizontal="center"/>
      <protection hidden="1"/>
    </xf>
    <xf numFmtId="0" fontId="0" fillId="17" borderId="20" xfId="0" applyFill="1" applyBorder="1" applyProtection="1">
      <protection hidden="1"/>
    </xf>
    <xf numFmtId="0" fontId="0" fillId="17" borderId="0" xfId="0" applyFill="1" applyBorder="1" applyProtection="1">
      <protection hidden="1"/>
    </xf>
    <xf numFmtId="0" fontId="0" fillId="2" borderId="0" xfId="0" applyFill="1" applyBorder="1" applyProtection="1">
      <protection hidden="1"/>
    </xf>
    <xf numFmtId="0" fontId="0" fillId="2" borderId="0" xfId="0" applyFill="1" applyBorder="1" applyAlignment="1" applyProtection="1">
      <alignment horizontal="center"/>
      <protection hidden="1"/>
    </xf>
    <xf numFmtId="0" fontId="58" fillId="17" borderId="0" xfId="0" applyFont="1" applyFill="1" applyBorder="1" applyAlignment="1" applyProtection="1">
      <alignment vertical="center"/>
      <protection hidden="1"/>
    </xf>
    <xf numFmtId="0" fontId="60" fillId="17" borderId="4" xfId="0" applyFont="1" applyFill="1" applyBorder="1" applyAlignment="1" applyProtection="1">
      <alignment horizontal="center" vertical="center"/>
      <protection hidden="1"/>
    </xf>
    <xf numFmtId="164" fontId="60" fillId="17" borderId="13" xfId="0" applyNumberFormat="1" applyFont="1" applyFill="1" applyBorder="1" applyAlignment="1" applyProtection="1">
      <alignment horizontal="center" vertical="center"/>
      <protection hidden="1"/>
    </xf>
    <xf numFmtId="1" fontId="35" fillId="17" borderId="13" xfId="0" applyNumberFormat="1" applyFont="1" applyFill="1" applyBorder="1" applyAlignment="1" applyProtection="1">
      <alignment horizontal="center" vertical="center"/>
      <protection hidden="1"/>
    </xf>
    <xf numFmtId="1" fontId="35" fillId="17" borderId="2" xfId="0" applyNumberFormat="1" applyFont="1" applyFill="1" applyBorder="1" applyAlignment="1" applyProtection="1">
      <alignment horizontal="center" vertical="center"/>
      <protection hidden="1"/>
    </xf>
    <xf numFmtId="0" fontId="35" fillId="17" borderId="2" xfId="0" applyFont="1" applyFill="1" applyBorder="1" applyAlignment="1" applyProtection="1">
      <alignment horizontal="center" vertical="center"/>
      <protection hidden="1"/>
    </xf>
    <xf numFmtId="0" fontId="20" fillId="17" borderId="0" xfId="0" applyFont="1" applyFill="1" applyBorder="1" applyAlignment="1" applyProtection="1">
      <alignment vertical="center"/>
      <protection hidden="1"/>
    </xf>
    <xf numFmtId="0" fontId="20" fillId="17" borderId="0" xfId="0" applyFont="1" applyFill="1" applyBorder="1" applyAlignment="1" applyProtection="1">
      <alignment horizontal="center" vertical="center"/>
      <protection hidden="1"/>
    </xf>
    <xf numFmtId="2" fontId="20" fillId="17" borderId="0" xfId="0" applyNumberFormat="1" applyFont="1" applyFill="1" applyBorder="1" applyAlignment="1" applyProtection="1">
      <alignment horizontal="center" vertical="center"/>
      <protection hidden="1"/>
    </xf>
    <xf numFmtId="1" fontId="20" fillId="17" borderId="0" xfId="0" applyNumberFormat="1" applyFont="1" applyFill="1" applyBorder="1" applyAlignment="1" applyProtection="1">
      <alignment horizontal="center" vertical="center"/>
      <protection hidden="1"/>
    </xf>
    <xf numFmtId="0" fontId="0" fillId="17" borderId="0" xfId="0" applyFill="1" applyBorder="1" applyAlignment="1" applyProtection="1">
      <alignment horizontal="center" vertical="center"/>
      <protection hidden="1"/>
    </xf>
    <xf numFmtId="0" fontId="0" fillId="17" borderId="0" xfId="0" applyFill="1" applyBorder="1" applyAlignment="1" applyProtection="1">
      <alignment vertical="center"/>
      <protection hidden="1"/>
    </xf>
    <xf numFmtId="0" fontId="60" fillId="17" borderId="0" xfId="0" applyFont="1" applyFill="1" applyBorder="1" applyAlignment="1" applyProtection="1">
      <alignment horizontal="center" vertical="center"/>
      <protection hidden="1"/>
    </xf>
    <xf numFmtId="164" fontId="60" fillId="17" borderId="0" xfId="0" applyNumberFormat="1" applyFont="1" applyFill="1" applyBorder="1" applyAlignment="1" applyProtection="1">
      <alignment horizontal="center" vertical="center"/>
      <protection hidden="1"/>
    </xf>
    <xf numFmtId="1" fontId="35" fillId="17" borderId="0" xfId="0" applyNumberFormat="1" applyFont="1" applyFill="1" applyBorder="1" applyAlignment="1" applyProtection="1">
      <alignment horizontal="center" vertical="center"/>
      <protection hidden="1"/>
    </xf>
    <xf numFmtId="0" fontId="35" fillId="17" borderId="0" xfId="0" applyFont="1" applyFill="1" applyBorder="1" applyAlignment="1" applyProtection="1">
      <alignment horizontal="center" vertical="center"/>
      <protection hidden="1"/>
    </xf>
    <xf numFmtId="0" fontId="24" fillId="17" borderId="0" xfId="0" applyFont="1" applyFill="1" applyAlignment="1" applyProtection="1">
      <alignment horizontal="center"/>
      <protection hidden="1"/>
    </xf>
    <xf numFmtId="0" fontId="24" fillId="17" borderId="20" xfId="0" applyFont="1" applyFill="1" applyBorder="1" applyAlignment="1" applyProtection="1">
      <alignment horizontal="center"/>
      <protection hidden="1"/>
    </xf>
    <xf numFmtId="0" fontId="24" fillId="17" borderId="0" xfId="0" applyFont="1" applyFill="1" applyBorder="1" applyProtection="1">
      <protection hidden="1"/>
    </xf>
    <xf numFmtId="0" fontId="0" fillId="17" borderId="9" xfId="0" applyFill="1" applyBorder="1" applyProtection="1">
      <protection hidden="1"/>
    </xf>
    <xf numFmtId="0" fontId="15" fillId="17" borderId="10" xfId="0" applyFont="1" applyFill="1" applyBorder="1" applyProtection="1">
      <protection hidden="1"/>
    </xf>
    <xf numFmtId="0" fontId="0" fillId="17" borderId="10" xfId="0" applyFill="1" applyBorder="1" applyProtection="1">
      <protection hidden="1"/>
    </xf>
    <xf numFmtId="0" fontId="2" fillId="17" borderId="0" xfId="0" applyFont="1" applyFill="1" applyProtection="1">
      <protection hidden="1"/>
    </xf>
    <xf numFmtId="1" fontId="24" fillId="5" borderId="2" xfId="0" applyNumberFormat="1" applyFont="1" applyFill="1" applyBorder="1" applyAlignment="1" applyProtection="1">
      <alignment horizontal="center"/>
      <protection locked="0"/>
    </xf>
    <xf numFmtId="0" fontId="58" fillId="5" borderId="2" xfId="0" applyFont="1" applyFill="1" applyBorder="1" applyAlignment="1" applyProtection="1">
      <alignment horizontal="left" vertical="center"/>
      <protection locked="0"/>
    </xf>
    <xf numFmtId="0" fontId="59" fillId="5" borderId="4" xfId="0" applyFont="1" applyFill="1" applyBorder="1" applyAlignment="1" applyProtection="1">
      <alignment horizontal="center" vertical="center"/>
      <protection locked="0"/>
    </xf>
    <xf numFmtId="0" fontId="0" fillId="0" borderId="0" xfId="0" applyFont="1" applyAlignment="1" applyProtection="1">
      <alignment vertical="center"/>
      <protection hidden="1"/>
    </xf>
    <xf numFmtId="0" fontId="67" fillId="0" borderId="0" xfId="0" applyFont="1" applyFill="1" applyBorder="1" applyProtection="1">
      <protection hidden="1"/>
    </xf>
    <xf numFmtId="0" fontId="67" fillId="0" borderId="0" xfId="0" applyFont="1" applyFill="1" applyBorder="1" applyAlignment="1" applyProtection="1">
      <alignment vertical="top"/>
      <protection hidden="1"/>
    </xf>
    <xf numFmtId="0" fontId="22" fillId="18" borderId="2" xfId="0" quotePrefix="1" applyFont="1" applyFill="1" applyBorder="1" applyAlignment="1" applyProtection="1">
      <alignment horizontal="center" vertical="center"/>
      <protection hidden="1"/>
    </xf>
    <xf numFmtId="0" fontId="22" fillId="17" borderId="2" xfId="0" quotePrefix="1" applyFont="1" applyFill="1" applyBorder="1" applyAlignment="1" applyProtection="1">
      <alignment horizontal="center" vertical="center"/>
      <protection hidden="1"/>
    </xf>
    <xf numFmtId="0" fontId="22" fillId="11" borderId="2" xfId="0" quotePrefix="1" applyFont="1" applyFill="1" applyBorder="1" applyAlignment="1" applyProtection="1">
      <alignment horizontal="center" vertical="center"/>
      <protection hidden="1"/>
    </xf>
    <xf numFmtId="0" fontId="22" fillId="19" borderId="2" xfId="0" quotePrefix="1" applyFont="1" applyFill="1" applyBorder="1" applyAlignment="1" applyProtection="1">
      <alignment horizontal="center" vertical="center"/>
      <protection hidden="1"/>
    </xf>
    <xf numFmtId="0" fontId="21" fillId="0" borderId="0" xfId="0" applyFont="1" applyAlignment="1" applyProtection="1">
      <alignment horizontal="left" vertical="center"/>
      <protection hidden="1"/>
    </xf>
    <xf numFmtId="0" fontId="67" fillId="0" borderId="2" xfId="0" applyFont="1" applyFill="1" applyBorder="1" applyAlignment="1" applyProtection="1">
      <protection hidden="1"/>
    </xf>
    <xf numFmtId="0" fontId="67" fillId="0" borderId="2" xfId="0" applyFont="1" applyFill="1" applyBorder="1" applyAlignment="1" applyProtection="1">
      <alignment vertical="center"/>
      <protection hidden="1"/>
    </xf>
    <xf numFmtId="0" fontId="67" fillId="0" borderId="0" xfId="0" applyFont="1" applyFill="1" applyBorder="1" applyAlignment="1" applyProtection="1">
      <protection hidden="1"/>
    </xf>
    <xf numFmtId="0" fontId="12" fillId="33" borderId="2" xfId="0" applyFont="1" applyFill="1" applyBorder="1" applyAlignment="1" applyProtection="1">
      <alignment horizontal="left" vertical="top" wrapText="1"/>
      <protection hidden="1"/>
    </xf>
    <xf numFmtId="0" fontId="67" fillId="0" borderId="0" xfId="0" applyFont="1" applyFill="1" applyBorder="1" applyAlignment="1" applyProtection="1">
      <alignment horizontal="left" vertical="center" readingOrder="1"/>
      <protection hidden="1"/>
    </xf>
    <xf numFmtId="0" fontId="0" fillId="5" borderId="2" xfId="0" applyFill="1" applyBorder="1" applyAlignment="1" applyProtection="1">
      <alignment horizontal="center" vertical="center"/>
      <protection hidden="1"/>
    </xf>
    <xf numFmtId="0" fontId="68" fillId="0" borderId="2" xfId="0" applyFont="1" applyFill="1" applyBorder="1" applyAlignment="1" applyProtection="1">
      <alignment horizontal="center" vertical="center"/>
      <protection hidden="1"/>
    </xf>
    <xf numFmtId="0" fontId="62" fillId="0" borderId="0" xfId="0" applyFont="1" applyAlignment="1" applyProtection="1">
      <alignment vertical="center"/>
      <protection hidden="1"/>
    </xf>
    <xf numFmtId="0" fontId="15" fillId="0" borderId="0" xfId="0" applyFont="1" applyAlignment="1" applyProtection="1">
      <alignment vertical="center"/>
      <protection hidden="1"/>
    </xf>
    <xf numFmtId="0" fontId="22" fillId="34" borderId="2" xfId="0" quotePrefix="1" applyFont="1" applyFill="1" applyBorder="1" applyAlignment="1" applyProtection="1">
      <alignment horizontal="center" vertical="center"/>
      <protection hidden="1"/>
    </xf>
    <xf numFmtId="0" fontId="22" fillId="25" borderId="2" xfId="0" quotePrefix="1" applyFont="1" applyFill="1" applyBorder="1" applyAlignment="1" applyProtection="1">
      <alignment horizontal="center" vertical="center"/>
      <protection hidden="1"/>
    </xf>
    <xf numFmtId="0" fontId="68" fillId="0" borderId="2" xfId="0" applyFont="1" applyFill="1" applyBorder="1" applyAlignment="1" applyProtection="1">
      <alignment vertical="center"/>
      <protection hidden="1"/>
    </xf>
    <xf numFmtId="0" fontId="44" fillId="0" borderId="2" xfId="0" applyFont="1" applyBorder="1" applyAlignment="1" applyProtection="1">
      <alignment vertical="center"/>
      <protection hidden="1"/>
    </xf>
    <xf numFmtId="0" fontId="44" fillId="0" borderId="2" xfId="0" applyFont="1" applyBorder="1" applyAlignment="1" applyProtection="1">
      <alignment horizontal="center" vertical="center"/>
      <protection hidden="1"/>
    </xf>
    <xf numFmtId="0" fontId="69" fillId="0" borderId="0" xfId="0" applyFont="1" applyAlignment="1" applyProtection="1">
      <alignment horizontal="center" vertical="center"/>
      <protection hidden="1"/>
    </xf>
    <xf numFmtId="2" fontId="70" fillId="14" borderId="2" xfId="4" applyNumberFormat="1" applyFont="1" applyFill="1" applyBorder="1" applyAlignment="1" applyProtection="1">
      <alignment horizontal="left" vertical="center" wrapText="1"/>
      <protection hidden="1"/>
    </xf>
    <xf numFmtId="0" fontId="67" fillId="0" borderId="2" xfId="0" applyFont="1" applyFill="1" applyBorder="1" applyAlignment="1" applyProtection="1">
      <alignment horizontal="left" vertical="center"/>
      <protection hidden="1"/>
    </xf>
    <xf numFmtId="0" fontId="70" fillId="0" borderId="2" xfId="0" applyFont="1" applyBorder="1" applyAlignment="1" applyProtection="1">
      <alignment horizontal="left" vertical="center" wrapText="1"/>
      <protection hidden="1"/>
    </xf>
    <xf numFmtId="0" fontId="70" fillId="0" borderId="0" xfId="0" applyFont="1" applyAlignment="1" applyProtection="1">
      <alignment horizontal="left" vertical="center" wrapText="1"/>
      <protection hidden="1"/>
    </xf>
    <xf numFmtId="0" fontId="70" fillId="0" borderId="2" xfId="0" applyFont="1" applyBorder="1" applyAlignment="1" applyProtection="1">
      <alignment horizontal="left" vertical="center"/>
      <protection hidden="1"/>
    </xf>
    <xf numFmtId="0" fontId="58" fillId="5" borderId="2" xfId="0" applyFont="1" applyFill="1" applyBorder="1" applyAlignment="1" applyProtection="1">
      <alignment vertical="center" wrapText="1"/>
      <protection hidden="1"/>
    </xf>
    <xf numFmtId="0" fontId="58" fillId="5" borderId="2" xfId="0" applyFont="1" applyFill="1" applyBorder="1" applyAlignment="1" applyProtection="1">
      <alignment vertical="center"/>
      <protection hidden="1"/>
    </xf>
    <xf numFmtId="0" fontId="0" fillId="5" borderId="0" xfId="0" applyFill="1" applyBorder="1" applyProtection="1">
      <protection hidden="1"/>
    </xf>
    <xf numFmtId="0" fontId="23" fillId="17" borderId="2" xfId="0" applyFont="1" applyFill="1" applyBorder="1" applyAlignment="1" applyProtection="1">
      <alignment horizontal="center" vertical="center" wrapText="1"/>
      <protection hidden="1"/>
    </xf>
    <xf numFmtId="0" fontId="23" fillId="16" borderId="2" xfId="0" applyFont="1" applyFill="1" applyBorder="1" applyAlignment="1" applyProtection="1">
      <alignment horizontal="center" vertical="center" wrapText="1"/>
      <protection hidden="1"/>
    </xf>
    <xf numFmtId="0" fontId="23" fillId="13" borderId="2" xfId="0" applyFont="1" applyFill="1" applyBorder="1" applyAlignment="1" applyProtection="1">
      <alignment horizontal="center" vertical="center" wrapText="1"/>
      <protection hidden="1"/>
    </xf>
    <xf numFmtId="0" fontId="23" fillId="19" borderId="2" xfId="0" applyFont="1" applyFill="1" applyBorder="1" applyAlignment="1" applyProtection="1">
      <alignment horizontal="center" vertical="center" wrapText="1"/>
      <protection hidden="1"/>
    </xf>
    <xf numFmtId="0" fontId="15" fillId="37" borderId="2" xfId="0" applyFont="1" applyFill="1" applyBorder="1" applyAlignment="1" applyProtection="1">
      <alignment horizontal="center" vertical="center"/>
      <protection hidden="1"/>
    </xf>
    <xf numFmtId="0" fontId="15" fillId="37" borderId="4" xfId="0" applyFont="1" applyFill="1" applyBorder="1" applyAlignment="1" applyProtection="1">
      <alignment horizontal="center" vertical="center"/>
      <protection hidden="1"/>
    </xf>
    <xf numFmtId="0" fontId="0" fillId="10" borderId="2" xfId="0" applyFill="1" applyBorder="1" applyAlignment="1" applyProtection="1">
      <alignment vertical="center" wrapText="1"/>
      <protection hidden="1"/>
    </xf>
    <xf numFmtId="1" fontId="2" fillId="12" borderId="2" xfId="0" applyNumberFormat="1" applyFont="1" applyFill="1" applyBorder="1" applyAlignment="1" applyProtection="1">
      <alignment horizontal="center" vertical="center" wrapText="1"/>
      <protection hidden="1"/>
    </xf>
    <xf numFmtId="0" fontId="2" fillId="21" borderId="2" xfId="0" applyFont="1" applyFill="1" applyBorder="1" applyAlignment="1" applyProtection="1">
      <alignment horizontal="center" vertical="center" wrapText="1"/>
      <protection hidden="1"/>
    </xf>
    <xf numFmtId="0" fontId="2" fillId="17" borderId="2" xfId="0" applyFont="1" applyFill="1" applyBorder="1" applyAlignment="1" applyProtection="1">
      <alignment horizontal="center" vertical="center" wrapText="1"/>
      <protection hidden="1"/>
    </xf>
    <xf numFmtId="0" fontId="2" fillId="13" borderId="2" xfId="0" applyFont="1" applyFill="1" applyBorder="1" applyAlignment="1" applyProtection="1">
      <alignment horizontal="center" vertical="center" wrapText="1"/>
      <protection hidden="1"/>
    </xf>
    <xf numFmtId="0" fontId="0" fillId="0" borderId="5" xfId="0" applyFill="1" applyBorder="1" applyAlignment="1" applyProtection="1">
      <alignment wrapText="1"/>
      <protection hidden="1"/>
    </xf>
    <xf numFmtId="0" fontId="70" fillId="37" borderId="2" xfId="0" applyFont="1" applyFill="1" applyBorder="1" applyAlignment="1" applyProtection="1">
      <alignment horizontal="left" vertical="center" wrapText="1"/>
      <protection hidden="1"/>
    </xf>
    <xf numFmtId="0" fontId="70" fillId="37" borderId="4" xfId="0" applyFont="1" applyFill="1" applyBorder="1" applyAlignment="1" applyProtection="1">
      <alignment horizontal="left" vertical="center" wrapText="1"/>
      <protection hidden="1"/>
    </xf>
    <xf numFmtId="0" fontId="2" fillId="0" borderId="2" xfId="0" applyFont="1" applyFill="1" applyBorder="1" applyAlignment="1" applyProtection="1">
      <alignment horizontal="center" vertical="center" wrapText="1"/>
      <protection locked="0"/>
    </xf>
    <xf numFmtId="0" fontId="48" fillId="0" borderId="0" xfId="0" applyFont="1" applyAlignment="1">
      <alignment horizontal="center"/>
    </xf>
    <xf numFmtId="0" fontId="44" fillId="0" borderId="0" xfId="0" applyFont="1" applyAlignment="1">
      <alignment horizontal="center"/>
    </xf>
    <xf numFmtId="0" fontId="0" fillId="0" borderId="0" xfId="0" applyAlignment="1">
      <alignment vertical="center" wrapText="1"/>
    </xf>
    <xf numFmtId="0" fontId="6" fillId="0" borderId="2" xfId="0" applyFont="1" applyBorder="1" applyAlignment="1">
      <alignment horizontal="center" vertical="center" wrapText="1"/>
    </xf>
    <xf numFmtId="0" fontId="0" fillId="0" borderId="0" xfId="0" applyBorder="1" applyAlignment="1">
      <alignment vertical="center" wrapText="1"/>
    </xf>
    <xf numFmtId="0" fontId="0" fillId="0" borderId="0" xfId="0" applyFill="1" applyBorder="1" applyAlignment="1">
      <alignment horizontal="center" vertical="center" wrapText="1"/>
    </xf>
    <xf numFmtId="0" fontId="73" fillId="0" borderId="0" xfId="0" applyFont="1" applyBorder="1" applyAlignment="1">
      <alignment horizontal="left" vertical="center" wrapText="1"/>
    </xf>
    <xf numFmtId="0" fontId="0" fillId="0" borderId="0" xfId="0" applyFont="1" applyBorder="1" applyAlignment="1">
      <alignment horizontal="center" vertical="center" wrapText="1"/>
    </xf>
    <xf numFmtId="0" fontId="0"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6" fillId="0" borderId="0" xfId="0" applyFont="1" applyBorder="1" applyAlignment="1">
      <alignment horizontal="center" vertical="center" wrapText="1"/>
    </xf>
    <xf numFmtId="0" fontId="0" fillId="0" borderId="0" xfId="0" quotePrefix="1" applyBorder="1" applyAlignment="1">
      <alignment horizontal="center" vertical="center" wrapText="1"/>
    </xf>
    <xf numFmtId="0" fontId="48" fillId="0" borderId="0" xfId="0" applyFont="1" applyBorder="1" applyAlignment="1">
      <alignment vertical="center"/>
    </xf>
    <xf numFmtId="0" fontId="48" fillId="0" borderId="4" xfId="0" applyFont="1" applyBorder="1" applyAlignment="1">
      <alignment horizontal="justify" vertical="center" wrapText="1"/>
    </xf>
    <xf numFmtId="0" fontId="48" fillId="0" borderId="2" xfId="0" applyFont="1" applyBorder="1" applyAlignment="1">
      <alignment horizontal="justify" vertical="center" wrapText="1"/>
    </xf>
    <xf numFmtId="0" fontId="74" fillId="5" borderId="2" xfId="0" applyFont="1" applyFill="1" applyBorder="1" applyAlignment="1" applyProtection="1">
      <alignment horizontal="center" vertical="center" wrapText="1"/>
      <protection locked="0"/>
    </xf>
    <xf numFmtId="0" fontId="75" fillId="0" borderId="0" xfId="0" applyFont="1" applyProtection="1">
      <protection hidden="1"/>
    </xf>
    <xf numFmtId="0" fontId="18" fillId="18" borderId="24" xfId="0" applyFont="1" applyFill="1" applyBorder="1" applyAlignment="1" applyProtection="1">
      <alignment horizontal="center" vertical="center" wrapText="1"/>
      <protection hidden="1"/>
    </xf>
    <xf numFmtId="0" fontId="18" fillId="18" borderId="1" xfId="0" applyFont="1" applyFill="1" applyBorder="1" applyAlignment="1" applyProtection="1">
      <alignment horizontal="center" vertical="center" wrapText="1"/>
      <protection hidden="1"/>
    </xf>
    <xf numFmtId="0" fontId="18" fillId="22" borderId="3" xfId="0" applyFont="1" applyFill="1" applyBorder="1" applyAlignment="1" applyProtection="1">
      <alignment horizontal="center" vertical="center"/>
      <protection hidden="1"/>
    </xf>
    <xf numFmtId="0" fontId="77" fillId="0" borderId="0" xfId="0" applyFont="1" applyFill="1" applyAlignment="1" applyProtection="1">
      <alignment vertical="center"/>
      <protection hidden="1"/>
    </xf>
    <xf numFmtId="0" fontId="77" fillId="5" borderId="0" xfId="0" applyFont="1" applyFill="1" applyBorder="1" applyAlignment="1" applyProtection="1">
      <alignment vertical="center"/>
      <protection hidden="1"/>
    </xf>
    <xf numFmtId="0" fontId="0" fillId="39" borderId="2" xfId="0" applyFill="1" applyBorder="1" applyAlignment="1" applyProtection="1">
      <alignment horizontal="center" vertical="center"/>
      <protection locked="0"/>
    </xf>
    <xf numFmtId="0" fontId="4" fillId="22" borderId="3" xfId="0" applyFont="1" applyFill="1" applyBorder="1" applyAlignment="1" applyProtection="1">
      <alignment horizontal="center"/>
      <protection hidden="1"/>
    </xf>
    <xf numFmtId="0" fontId="81" fillId="0" borderId="0" xfId="0" applyFont="1" applyFill="1" applyAlignment="1" applyProtection="1">
      <alignment horizontal="center" vertical="center"/>
      <protection hidden="1"/>
    </xf>
    <xf numFmtId="0" fontId="78" fillId="10" borderId="3" xfId="0" applyFont="1" applyFill="1" applyBorder="1" applyAlignment="1" applyProtection="1">
      <alignment horizontal="left" vertical="center" wrapText="1"/>
      <protection hidden="1"/>
    </xf>
    <xf numFmtId="0" fontId="78" fillId="10" borderId="2" xfId="0" applyFont="1" applyFill="1" applyBorder="1" applyAlignment="1" applyProtection="1">
      <alignment horizontal="left" vertical="center" wrapText="1"/>
      <protection hidden="1"/>
    </xf>
    <xf numFmtId="0" fontId="79" fillId="11" borderId="3" xfId="0" applyFont="1" applyFill="1" applyBorder="1" applyAlignment="1" applyProtection="1">
      <alignment horizontal="left" vertical="center" wrapText="1"/>
      <protection hidden="1"/>
    </xf>
    <xf numFmtId="0" fontId="79" fillId="2" borderId="3" xfId="0" applyFont="1" applyFill="1" applyBorder="1" applyAlignment="1" applyProtection="1">
      <alignment horizontal="left" vertical="center" wrapText="1"/>
      <protection hidden="1"/>
    </xf>
    <xf numFmtId="0" fontId="79" fillId="41" borderId="3" xfId="0" applyFont="1" applyFill="1" applyBorder="1" applyAlignment="1" applyProtection="1">
      <alignment horizontal="left" vertical="center" wrapText="1"/>
      <protection hidden="1"/>
    </xf>
    <xf numFmtId="0" fontId="79" fillId="12" borderId="3" xfId="0" applyFont="1" applyFill="1" applyBorder="1" applyAlignment="1" applyProtection="1">
      <alignment horizontal="left" vertical="center" wrapText="1"/>
      <protection hidden="1"/>
    </xf>
    <xf numFmtId="0" fontId="79" fillId="40" borderId="3" xfId="0" applyFont="1" applyFill="1" applyBorder="1" applyAlignment="1" applyProtection="1">
      <alignment horizontal="left" vertical="center" wrapText="1"/>
      <protection hidden="1"/>
    </xf>
    <xf numFmtId="0" fontId="80" fillId="10" borderId="2" xfId="0" quotePrefix="1" applyFont="1" applyFill="1" applyBorder="1" applyAlignment="1" applyProtection="1">
      <alignment horizontal="center" vertical="center" wrapText="1"/>
      <protection hidden="1"/>
    </xf>
    <xf numFmtId="0" fontId="83" fillId="11" borderId="3" xfId="0" applyFont="1" applyFill="1" applyBorder="1" applyAlignment="1" applyProtection="1">
      <alignment horizontal="center" vertical="center" wrapText="1"/>
      <protection hidden="1"/>
    </xf>
    <xf numFmtId="0" fontId="80" fillId="2" borderId="2" xfId="0" quotePrefix="1" applyFont="1" applyFill="1" applyBorder="1" applyAlignment="1" applyProtection="1">
      <alignment horizontal="center" vertical="center" wrapText="1"/>
      <protection hidden="1"/>
    </xf>
    <xf numFmtId="0" fontId="83" fillId="41" borderId="3" xfId="0" applyFont="1" applyFill="1" applyBorder="1" applyAlignment="1" applyProtection="1">
      <alignment horizontal="center" vertical="center" wrapText="1"/>
      <protection hidden="1"/>
    </xf>
    <xf numFmtId="0" fontId="80" fillId="12" borderId="2" xfId="0" quotePrefix="1" applyFont="1" applyFill="1" applyBorder="1" applyAlignment="1" applyProtection="1">
      <alignment horizontal="center" vertical="center" wrapText="1"/>
      <protection hidden="1"/>
    </xf>
    <xf numFmtId="0" fontId="83" fillId="40" borderId="3" xfId="0" applyFont="1" applyFill="1" applyBorder="1" applyAlignment="1" applyProtection="1">
      <alignment horizontal="center" vertical="center" wrapText="1"/>
      <protection hidden="1"/>
    </xf>
    <xf numFmtId="0" fontId="58" fillId="18" borderId="24" xfId="0" applyFont="1" applyFill="1" applyBorder="1" applyAlignment="1" applyProtection="1">
      <alignment horizontal="center" vertical="center" wrapText="1"/>
      <protection hidden="1"/>
    </xf>
    <xf numFmtId="0" fontId="58" fillId="18" borderId="1" xfId="0" applyFont="1" applyFill="1" applyBorder="1" applyAlignment="1" applyProtection="1">
      <alignment horizontal="center" vertical="center" wrapText="1"/>
      <protection hidden="1"/>
    </xf>
    <xf numFmtId="0" fontId="78" fillId="10" borderId="2" xfId="0" quotePrefix="1" applyFont="1" applyFill="1" applyBorder="1" applyAlignment="1" applyProtection="1">
      <alignment horizontal="left" vertical="center" wrapText="1"/>
      <protection hidden="1"/>
    </xf>
    <xf numFmtId="0" fontId="78" fillId="0" borderId="2" xfId="0" quotePrefix="1" applyFont="1" applyFill="1" applyBorder="1" applyAlignment="1" applyProtection="1">
      <alignment horizontal="left" vertical="center" wrapText="1"/>
      <protection hidden="1"/>
    </xf>
    <xf numFmtId="0" fontId="80" fillId="0" borderId="2" xfId="0" quotePrefix="1" applyFont="1" applyFill="1" applyBorder="1" applyAlignment="1" applyProtection="1">
      <alignment horizontal="center" vertical="center" wrapText="1"/>
      <protection hidden="1"/>
    </xf>
    <xf numFmtId="0" fontId="10" fillId="0" borderId="3" xfId="0" applyFont="1" applyFill="1" applyBorder="1" applyAlignment="1" applyProtection="1">
      <alignment horizontal="left" vertical="center" wrapText="1"/>
      <protection hidden="1"/>
    </xf>
    <xf numFmtId="0" fontId="79" fillId="39" borderId="3" xfId="0" applyFont="1" applyFill="1" applyBorder="1" applyAlignment="1" applyProtection="1">
      <alignment horizontal="left" vertical="center" wrapText="1"/>
      <protection hidden="1"/>
    </xf>
    <xf numFmtId="0" fontId="79" fillId="5" borderId="3" xfId="0" applyFont="1" applyFill="1" applyBorder="1" applyAlignment="1" applyProtection="1">
      <alignment horizontal="left" vertical="center" wrapText="1"/>
      <protection hidden="1"/>
    </xf>
    <xf numFmtId="0" fontId="81" fillId="5" borderId="2" xfId="0" quotePrefix="1" applyFont="1" applyFill="1" applyBorder="1" applyAlignment="1" applyProtection="1">
      <alignment horizontal="center" vertical="center" wrapText="1"/>
      <protection hidden="1"/>
    </xf>
    <xf numFmtId="0" fontId="83" fillId="39" borderId="3" xfId="0" applyFont="1" applyFill="1" applyBorder="1" applyAlignment="1" applyProtection="1">
      <alignment horizontal="center" vertical="center" wrapText="1"/>
      <protection hidden="1"/>
    </xf>
    <xf numFmtId="0" fontId="80" fillId="5" borderId="2" xfId="0" quotePrefix="1" applyFont="1" applyFill="1" applyBorder="1" applyAlignment="1" applyProtection="1">
      <alignment horizontal="center" vertical="center" wrapText="1"/>
      <protection hidden="1"/>
    </xf>
    <xf numFmtId="0" fontId="81" fillId="17" borderId="2" xfId="0" applyFont="1" applyFill="1" applyBorder="1" applyAlignment="1" applyProtection="1">
      <alignment horizontal="center" vertical="center" wrapText="1"/>
      <protection hidden="1"/>
    </xf>
    <xf numFmtId="0" fontId="81" fillId="16" borderId="2" xfId="0" applyFont="1" applyFill="1" applyBorder="1" applyAlignment="1" applyProtection="1">
      <alignment horizontal="center" vertical="center" wrapText="1"/>
      <protection hidden="1"/>
    </xf>
    <xf numFmtId="0" fontId="81" fillId="13" borderId="2" xfId="0" applyFont="1" applyFill="1" applyBorder="1" applyAlignment="1" applyProtection="1">
      <alignment horizontal="center" vertical="center" wrapText="1"/>
      <protection hidden="1"/>
    </xf>
    <xf numFmtId="0" fontId="81" fillId="19" borderId="2" xfId="0" applyFont="1" applyFill="1" applyBorder="1" applyAlignment="1" applyProtection="1">
      <alignment horizontal="center" vertical="center" wrapText="1"/>
      <protection hidden="1"/>
    </xf>
    <xf numFmtId="0" fontId="82" fillId="0" borderId="0" xfId="0" applyFont="1" applyFill="1" applyProtection="1">
      <protection hidden="1"/>
    </xf>
    <xf numFmtId="0" fontId="81" fillId="37" borderId="2" xfId="0" applyFont="1" applyFill="1" applyBorder="1" applyAlignment="1" applyProtection="1">
      <alignment horizontal="center" vertical="center"/>
      <protection hidden="1"/>
    </xf>
    <xf numFmtId="0" fontId="81" fillId="37" borderId="4" xfId="0" applyFont="1" applyFill="1" applyBorder="1" applyAlignment="1" applyProtection="1">
      <alignment horizontal="center" vertical="center"/>
      <protection hidden="1"/>
    </xf>
    <xf numFmtId="0" fontId="82" fillId="10" borderId="2" xfId="0" applyFont="1" applyFill="1" applyBorder="1" applyAlignment="1" applyProtection="1">
      <alignment vertical="center" wrapText="1"/>
      <protection hidden="1"/>
    </xf>
    <xf numFmtId="0" fontId="0" fillId="0" borderId="2" xfId="0" applyFill="1" applyBorder="1" applyAlignment="1" applyProtection="1">
      <alignment horizontal="center" vertical="center" wrapText="1"/>
      <protection locked="0"/>
    </xf>
    <xf numFmtId="0" fontId="86" fillId="5" borderId="0" xfId="0" applyFont="1" applyFill="1" applyBorder="1" applyAlignment="1" applyProtection="1">
      <protection hidden="1"/>
    </xf>
    <xf numFmtId="0" fontId="86" fillId="5" borderId="0" xfId="0" applyFont="1" applyFill="1" applyBorder="1" applyAlignment="1" applyProtection="1">
      <alignment vertical="center"/>
      <protection hidden="1"/>
    </xf>
    <xf numFmtId="0" fontId="12" fillId="5" borderId="0" xfId="0" applyFont="1" applyFill="1" applyBorder="1" applyAlignment="1" applyProtection="1">
      <alignment horizontal="left" vertical="center"/>
      <protection locked="0"/>
    </xf>
    <xf numFmtId="0" fontId="12" fillId="5" borderId="0" xfId="0" applyFont="1" applyFill="1" applyBorder="1" applyAlignment="1" applyProtection="1">
      <alignment vertical="center"/>
      <protection locked="0"/>
    </xf>
    <xf numFmtId="0" fontId="71" fillId="5" borderId="0" xfId="1" applyFont="1" applyFill="1" applyBorder="1" applyAlignment="1" applyProtection="1">
      <alignment horizontal="center" vertical="center"/>
      <protection hidden="1"/>
    </xf>
    <xf numFmtId="0" fontId="31" fillId="5" borderId="0" xfId="0" applyFont="1" applyFill="1" applyBorder="1" applyProtection="1">
      <protection hidden="1"/>
    </xf>
    <xf numFmtId="0" fontId="87" fillId="44" borderId="0" xfId="0" quotePrefix="1" applyFont="1" applyFill="1" applyAlignment="1" applyProtection="1">
      <alignment horizontal="center" vertical="center"/>
      <protection hidden="1"/>
    </xf>
    <xf numFmtId="0" fontId="88" fillId="44" borderId="0" xfId="0" applyFont="1" applyFill="1" applyAlignment="1" applyProtection="1">
      <alignment vertical="center"/>
      <protection hidden="1"/>
    </xf>
    <xf numFmtId="0" fontId="38" fillId="5" borderId="0" xfId="0" applyFont="1" applyFill="1" applyAlignment="1" applyProtection="1">
      <alignment vertical="center"/>
      <protection hidden="1"/>
    </xf>
    <xf numFmtId="0" fontId="38" fillId="0" borderId="0" xfId="0" applyFont="1" applyFill="1" applyAlignment="1" applyProtection="1">
      <alignment vertical="center"/>
      <protection hidden="1"/>
    </xf>
    <xf numFmtId="0" fontId="0" fillId="0" borderId="0" xfId="0" applyFill="1" applyBorder="1" applyProtection="1">
      <protection hidden="1"/>
    </xf>
    <xf numFmtId="0" fontId="39" fillId="0" borderId="0" xfId="0" applyFont="1" applyFill="1" applyAlignment="1" applyProtection="1">
      <alignment vertical="center"/>
      <protection hidden="1"/>
    </xf>
    <xf numFmtId="0" fontId="41" fillId="0" borderId="0" xfId="1" applyFont="1" applyFill="1" applyAlignment="1" applyProtection="1">
      <alignment vertical="center"/>
      <protection hidden="1"/>
    </xf>
    <xf numFmtId="0" fontId="0" fillId="45" borderId="0" xfId="0" applyFill="1" applyProtection="1">
      <protection hidden="1"/>
    </xf>
    <xf numFmtId="0" fontId="14" fillId="32" borderId="0" xfId="0" applyFont="1" applyFill="1" applyAlignment="1" applyProtection="1">
      <alignment vertical="center"/>
      <protection hidden="1"/>
    </xf>
    <xf numFmtId="0" fontId="90" fillId="32" borderId="0" xfId="0" applyFont="1" applyFill="1" applyAlignment="1" applyProtection="1">
      <alignment vertical="center"/>
      <protection locked="0"/>
    </xf>
    <xf numFmtId="0" fontId="14" fillId="45" borderId="0" xfId="0" applyFont="1" applyFill="1" applyAlignment="1" applyProtection="1">
      <alignment vertical="center"/>
      <protection hidden="1"/>
    </xf>
    <xf numFmtId="0" fontId="14" fillId="45" borderId="0" xfId="0" applyFont="1" applyFill="1" applyAlignment="1" applyProtection="1">
      <alignment vertical="center"/>
      <protection locked="0"/>
    </xf>
    <xf numFmtId="0" fontId="90" fillId="45" borderId="0" xfId="0" applyFont="1" applyFill="1" applyProtection="1">
      <protection hidden="1"/>
    </xf>
    <xf numFmtId="0" fontId="91" fillId="32" borderId="0" xfId="0" applyFont="1" applyFill="1" applyBorder="1" applyProtection="1">
      <protection hidden="1"/>
    </xf>
    <xf numFmtId="0" fontId="63" fillId="32" borderId="0" xfId="0" applyFont="1" applyFill="1" applyBorder="1" applyAlignment="1" applyProtection="1">
      <alignment vertical="center"/>
      <protection hidden="1"/>
    </xf>
    <xf numFmtId="0" fontId="92" fillId="32" borderId="0" xfId="0" applyFont="1" applyFill="1" applyBorder="1" applyAlignment="1" applyProtection="1">
      <alignment vertical="top"/>
      <protection hidden="1"/>
    </xf>
    <xf numFmtId="0" fontId="91" fillId="17" borderId="0" xfId="0" applyFont="1" applyFill="1" applyBorder="1" applyProtection="1">
      <protection hidden="1"/>
    </xf>
    <xf numFmtId="0" fontId="63" fillId="11" borderId="0" xfId="0" applyFont="1" applyFill="1" applyBorder="1" applyAlignment="1" applyProtection="1">
      <alignment horizontal="right"/>
      <protection hidden="1"/>
    </xf>
    <xf numFmtId="0" fontId="63" fillId="21" borderId="0" xfId="0" applyFont="1" applyFill="1" applyBorder="1" applyAlignment="1" applyProtection="1">
      <alignment horizontal="right"/>
      <protection hidden="1"/>
    </xf>
    <xf numFmtId="0" fontId="63" fillId="47" borderId="0" xfId="0" applyFont="1" applyFill="1" applyBorder="1" applyAlignment="1" applyProtection="1">
      <alignment horizontal="right"/>
      <protection hidden="1"/>
    </xf>
    <xf numFmtId="0" fontId="85" fillId="9" borderId="0" xfId="0" applyFont="1" applyFill="1" applyBorder="1" applyAlignment="1" applyProtection="1">
      <alignment horizontal="right"/>
      <protection hidden="1"/>
    </xf>
    <xf numFmtId="0" fontId="63" fillId="15" borderId="0" xfId="0" applyFont="1" applyFill="1" applyBorder="1" applyAlignment="1" applyProtection="1">
      <alignment horizontal="right"/>
      <protection hidden="1"/>
    </xf>
    <xf numFmtId="0" fontId="93" fillId="21" borderId="0" xfId="0" applyFont="1" applyFill="1" applyBorder="1" applyProtection="1">
      <protection hidden="1"/>
    </xf>
    <xf numFmtId="0" fontId="0" fillId="47" borderId="0" xfId="0" applyFill="1" applyProtection="1">
      <protection hidden="1"/>
    </xf>
    <xf numFmtId="0" fontId="0" fillId="9" borderId="0" xfId="0" applyFill="1" applyProtection="1">
      <protection hidden="1"/>
    </xf>
    <xf numFmtId="0" fontId="0" fillId="0" borderId="0" xfId="0" applyFill="1" applyBorder="1" applyAlignment="1" applyProtection="1">
      <protection hidden="1"/>
    </xf>
    <xf numFmtId="0" fontId="0" fillId="32" borderId="0" xfId="0" applyFill="1" applyBorder="1" applyAlignment="1" applyProtection="1">
      <protection hidden="1"/>
    </xf>
    <xf numFmtId="0" fontId="12" fillId="5" borderId="0" xfId="0" applyFont="1" applyFill="1" applyProtection="1">
      <protection hidden="1"/>
    </xf>
    <xf numFmtId="0" fontId="91" fillId="5" borderId="0" xfId="0" applyFont="1" applyFill="1" applyBorder="1" applyProtection="1">
      <protection hidden="1"/>
    </xf>
    <xf numFmtId="0" fontId="102" fillId="5" borderId="0" xfId="1" applyFont="1" applyFill="1" applyAlignment="1" applyProtection="1">
      <protection hidden="1"/>
    </xf>
    <xf numFmtId="0" fontId="91" fillId="0" borderId="0" xfId="0" applyFont="1" applyFill="1" applyBorder="1" applyProtection="1">
      <protection hidden="1"/>
    </xf>
    <xf numFmtId="0" fontId="0" fillId="0" borderId="0" xfId="0" applyFill="1" applyAlignment="1" applyProtection="1">
      <alignment horizontal="center"/>
      <protection hidden="1"/>
    </xf>
    <xf numFmtId="0" fontId="0" fillId="0" borderId="2" xfId="0" applyFill="1" applyBorder="1" applyAlignment="1" applyProtection="1">
      <alignment horizontal="center" wrapText="1"/>
      <protection hidden="1"/>
    </xf>
    <xf numFmtId="0" fontId="0" fillId="0" borderId="4" xfId="0" applyFill="1" applyBorder="1" applyAlignment="1" applyProtection="1">
      <alignment horizontal="center" vertical="center"/>
      <protection hidden="1"/>
    </xf>
    <xf numFmtId="0" fontId="0" fillId="0" borderId="0" xfId="0" applyFill="1" applyAlignment="1" applyProtection="1">
      <alignment horizontal="center" vertical="center"/>
      <protection hidden="1"/>
    </xf>
    <xf numFmtId="0" fontId="0" fillId="0" borderId="2" xfId="0" applyFill="1" applyBorder="1" applyAlignment="1" applyProtection="1">
      <alignment horizontal="center"/>
      <protection hidden="1"/>
    </xf>
    <xf numFmtId="0" fontId="13" fillId="0" borderId="2" xfId="0" applyFont="1" applyFill="1" applyBorder="1" applyAlignment="1" applyProtection="1">
      <alignment horizontal="left" vertical="center"/>
      <protection hidden="1"/>
    </xf>
    <xf numFmtId="0" fontId="25" fillId="0" borderId="2" xfId="0" applyFont="1" applyFill="1" applyBorder="1" applyAlignment="1" applyProtection="1">
      <alignment vertical="top" wrapText="1"/>
      <protection hidden="1"/>
    </xf>
    <xf numFmtId="1" fontId="25" fillId="0" borderId="2" xfId="0" applyNumberFormat="1" applyFont="1" applyFill="1" applyBorder="1" applyAlignment="1" applyProtection="1">
      <alignment horizontal="center" vertical="center" wrapText="1"/>
      <protection hidden="1"/>
    </xf>
    <xf numFmtId="0" fontId="0" fillId="0" borderId="2" xfId="0" applyFill="1" applyBorder="1" applyAlignment="1" applyProtection="1">
      <alignment vertical="top" wrapText="1"/>
      <protection hidden="1"/>
    </xf>
    <xf numFmtId="1" fontId="0" fillId="0" borderId="2" xfId="0" applyNumberFormat="1" applyFill="1" applyBorder="1" applyAlignment="1" applyProtection="1">
      <alignment horizontal="center" vertical="center" wrapText="1"/>
      <protection hidden="1"/>
    </xf>
    <xf numFmtId="1" fontId="0" fillId="0" borderId="2" xfId="0" applyNumberFormat="1" applyFill="1" applyBorder="1" applyAlignment="1" applyProtection="1">
      <alignment vertical="top" wrapText="1"/>
      <protection hidden="1"/>
    </xf>
    <xf numFmtId="1" fontId="0" fillId="0" borderId="0" xfId="0" applyNumberFormat="1" applyFill="1" applyAlignment="1" applyProtection="1">
      <alignment horizontal="center" vertical="center"/>
      <protection hidden="1"/>
    </xf>
    <xf numFmtId="1" fontId="0" fillId="5" borderId="15" xfId="0" applyNumberFormat="1" applyFill="1" applyBorder="1" applyAlignment="1">
      <alignment horizontal="center" vertical="center"/>
    </xf>
    <xf numFmtId="0" fontId="58" fillId="5" borderId="0" xfId="0" applyFont="1" applyFill="1" applyBorder="1" applyAlignment="1" applyProtection="1">
      <alignment horizontal="left" vertical="center"/>
      <protection locked="0"/>
    </xf>
    <xf numFmtId="0" fontId="0" fillId="17" borderId="0" xfId="0" applyFill="1" applyBorder="1" applyAlignment="1" applyProtection="1">
      <alignment horizontal="left"/>
      <protection hidden="1"/>
    </xf>
    <xf numFmtId="10" fontId="106" fillId="0" borderId="0" xfId="0" applyNumberFormat="1" applyFont="1" applyFill="1" applyBorder="1" applyAlignment="1" applyProtection="1">
      <protection hidden="1"/>
    </xf>
    <xf numFmtId="0" fontId="71" fillId="0" borderId="0" xfId="1" applyFont="1" applyFill="1" applyAlignment="1" applyProtection="1">
      <alignment vertical="center"/>
      <protection hidden="1"/>
    </xf>
    <xf numFmtId="0" fontId="71" fillId="5" borderId="0" xfId="1" applyFont="1" applyFill="1" applyAlignment="1" applyProtection="1">
      <alignment vertical="center"/>
      <protection hidden="1"/>
    </xf>
    <xf numFmtId="10" fontId="0" fillId="17" borderId="0" xfId="0" applyNumberFormat="1" applyFill="1" applyBorder="1" applyAlignment="1" applyProtection="1">
      <alignment horizontal="left"/>
      <protection hidden="1"/>
    </xf>
    <xf numFmtId="0" fontId="0" fillId="0" borderId="5" xfId="0" applyFill="1" applyBorder="1" applyAlignment="1" applyProtection="1">
      <alignment horizontal="center" vertical="center" wrapText="1"/>
      <protection hidden="1"/>
    </xf>
    <xf numFmtId="0" fontId="86" fillId="5" borderId="0" xfId="0" applyFont="1" applyFill="1" applyBorder="1" applyAlignment="1" applyProtection="1">
      <alignment vertical="top"/>
      <protection hidden="1"/>
    </xf>
    <xf numFmtId="0" fontId="12" fillId="5" borderId="0" xfId="0" applyFont="1" applyFill="1" applyBorder="1" applyAlignment="1" applyProtection="1">
      <alignment horizontal="left" vertical="top"/>
      <protection locked="0"/>
    </xf>
    <xf numFmtId="0" fontId="0" fillId="5" borderId="0" xfId="0" applyFill="1" applyBorder="1" applyAlignment="1" applyProtection="1">
      <protection locked="0"/>
    </xf>
    <xf numFmtId="0" fontId="0" fillId="0" borderId="2" xfId="0" applyBorder="1" applyAlignment="1" applyProtection="1">
      <alignment horizontal="center" vertical="center"/>
      <protection locked="0"/>
    </xf>
    <xf numFmtId="0" fontId="0" fillId="0" borderId="2" xfId="0" applyBorder="1" applyAlignment="1" applyProtection="1">
      <alignment vertical="center" wrapText="1"/>
      <protection locked="0"/>
    </xf>
    <xf numFmtId="0" fontId="0" fillId="0" borderId="2" xfId="0" applyBorder="1" applyAlignment="1" applyProtection="1">
      <alignment horizontal="center" vertical="center" wrapText="1"/>
      <protection locked="0"/>
    </xf>
    <xf numFmtId="0" fontId="0" fillId="0" borderId="2" xfId="0" applyFill="1" applyBorder="1" applyAlignment="1" applyProtection="1">
      <alignment vertical="center" wrapText="1"/>
      <protection locked="0"/>
    </xf>
    <xf numFmtId="0" fontId="0" fillId="0" borderId="2" xfId="0" quotePrefix="1" applyBorder="1" applyAlignment="1" applyProtection="1">
      <alignment horizontal="center" vertical="center" wrapText="1"/>
      <protection locked="0"/>
    </xf>
    <xf numFmtId="0" fontId="0" fillId="2" borderId="0" xfId="0" applyFill="1" applyAlignment="1" applyProtection="1">
      <alignment vertical="center"/>
      <protection hidden="1"/>
    </xf>
    <xf numFmtId="0" fontId="0" fillId="6" borderId="0" xfId="0" applyFill="1" applyAlignment="1" applyProtection="1">
      <alignment vertical="center"/>
      <protection hidden="1"/>
    </xf>
    <xf numFmtId="0" fontId="0" fillId="0" borderId="2" xfId="0" applyBorder="1" applyAlignment="1" applyProtection="1">
      <alignment horizontal="center" vertical="center"/>
      <protection hidden="1"/>
    </xf>
    <xf numFmtId="0" fontId="0" fillId="0" borderId="2" xfId="0" applyBorder="1" applyAlignment="1" applyProtection="1">
      <alignment horizontal="center" vertical="center" wrapText="1"/>
      <protection hidden="1"/>
    </xf>
    <xf numFmtId="0" fontId="0" fillId="0" borderId="0" xfId="0" applyAlignment="1" applyProtection="1">
      <alignment horizontal="center" vertical="center"/>
      <protection hidden="1"/>
    </xf>
    <xf numFmtId="9" fontId="0" fillId="0" borderId="0" xfId="0" applyNumberFormat="1" applyAlignment="1" applyProtection="1">
      <alignment horizontal="center" vertical="center"/>
      <protection hidden="1"/>
    </xf>
    <xf numFmtId="0" fontId="100" fillId="19" borderId="0" xfId="0" applyFont="1" applyFill="1" applyAlignment="1" applyProtection="1">
      <alignment vertical="center"/>
      <protection hidden="1"/>
    </xf>
    <xf numFmtId="0" fontId="0" fillId="19" borderId="0" xfId="0" applyFill="1" applyProtection="1">
      <protection hidden="1"/>
    </xf>
    <xf numFmtId="0" fontId="13" fillId="0" borderId="0" xfId="0" applyFont="1" applyFill="1" applyAlignment="1" applyProtection="1">
      <alignment horizontal="center" vertical="center"/>
      <protection hidden="1"/>
    </xf>
    <xf numFmtId="9" fontId="0" fillId="0" borderId="0" xfId="0" applyNumberFormat="1" applyFill="1" applyAlignment="1" applyProtection="1">
      <alignment horizontal="center" vertical="center"/>
      <protection hidden="1"/>
    </xf>
    <xf numFmtId="0" fontId="0" fillId="0" borderId="0" xfId="0" applyFill="1" applyBorder="1" applyAlignment="1" applyProtection="1">
      <alignment horizontal="center"/>
      <protection hidden="1"/>
    </xf>
    <xf numFmtId="1" fontId="0" fillId="0" borderId="2" xfId="0" applyNumberFormat="1" applyFill="1" applyBorder="1" applyAlignment="1" applyProtection="1">
      <alignment horizontal="center" vertical="center"/>
      <protection hidden="1"/>
    </xf>
    <xf numFmtId="1" fontId="0" fillId="0" borderId="0" xfId="0" applyNumberFormat="1" applyFill="1" applyAlignment="1" applyProtection="1">
      <alignment horizontal="center"/>
      <protection hidden="1"/>
    </xf>
    <xf numFmtId="0" fontId="0" fillId="50" borderId="0" xfId="0" applyFill="1" applyProtection="1">
      <protection hidden="1"/>
    </xf>
    <xf numFmtId="0" fontId="77" fillId="50" borderId="0" xfId="0" applyFont="1" applyFill="1" applyAlignment="1" applyProtection="1">
      <alignment vertical="center"/>
      <protection hidden="1"/>
    </xf>
    <xf numFmtId="0" fontId="2" fillId="50" borderId="0" xfId="0" applyFont="1" applyFill="1" applyAlignment="1" applyProtection="1">
      <alignment horizontal="center" vertical="center"/>
      <protection hidden="1"/>
    </xf>
    <xf numFmtId="0" fontId="110" fillId="50" borderId="0" xfId="0" applyFont="1" applyFill="1" applyProtection="1">
      <protection hidden="1"/>
    </xf>
    <xf numFmtId="0" fontId="81" fillId="4" borderId="0" xfId="0" applyFont="1" applyFill="1" applyAlignment="1" applyProtection="1">
      <alignment horizontal="center" vertical="center"/>
      <protection hidden="1"/>
    </xf>
    <xf numFmtId="0" fontId="14" fillId="4" borderId="0" xfId="0" applyFont="1" applyFill="1" applyProtection="1">
      <protection hidden="1"/>
    </xf>
    <xf numFmtId="0" fontId="89" fillId="4" borderId="0" xfId="0" applyFont="1" applyFill="1" applyBorder="1" applyAlignment="1" applyProtection="1">
      <alignment vertical="center"/>
      <protection hidden="1"/>
    </xf>
    <xf numFmtId="0" fontId="2" fillId="4" borderId="0" xfId="0" applyFont="1" applyFill="1" applyAlignment="1" applyProtection="1">
      <alignment horizontal="center" vertical="center"/>
      <protection hidden="1"/>
    </xf>
    <xf numFmtId="0" fontId="12" fillId="5" borderId="0" xfId="0" applyFont="1" applyFill="1" applyBorder="1" applyAlignment="1" applyProtection="1">
      <alignment horizontal="left" vertical="center"/>
      <protection locked="0"/>
    </xf>
    <xf numFmtId="0" fontId="0" fillId="7" borderId="2" xfId="0" applyFill="1" applyBorder="1" applyAlignment="1" applyProtection="1">
      <alignment horizontal="center" vertical="center" wrapText="1"/>
      <protection hidden="1"/>
    </xf>
    <xf numFmtId="0" fontId="43" fillId="0" borderId="0" xfId="0" applyFont="1" applyAlignment="1" applyProtection="1">
      <alignment horizontal="left" vertical="center"/>
      <protection hidden="1"/>
    </xf>
    <xf numFmtId="0" fontId="124" fillId="0" borderId="0" xfId="0" applyFont="1" applyAlignment="1">
      <alignment horizontal="center"/>
    </xf>
    <xf numFmtId="0" fontId="125" fillId="0" borderId="0" xfId="0" applyFont="1" applyAlignment="1">
      <alignment horizontal="center"/>
    </xf>
    <xf numFmtId="0" fontId="126" fillId="0" borderId="0" xfId="0" applyFont="1" applyAlignment="1"/>
    <xf numFmtId="0" fontId="126" fillId="0" borderId="0" xfId="0" applyFont="1" applyAlignment="1">
      <alignment horizontal="left"/>
    </xf>
    <xf numFmtId="0" fontId="127" fillId="0" borderId="0" xfId="0" applyFont="1" applyAlignment="1">
      <alignment horizontal="left" indent="15"/>
    </xf>
    <xf numFmtId="0" fontId="127" fillId="0" borderId="0" xfId="0" applyFont="1"/>
    <xf numFmtId="0" fontId="128" fillId="0" borderId="0" xfId="0" applyFont="1" applyAlignment="1">
      <alignment horizontal="center"/>
    </xf>
    <xf numFmtId="0" fontId="128" fillId="0" borderId="0" xfId="0" applyFont="1" applyAlignment="1"/>
    <xf numFmtId="0" fontId="128" fillId="0" borderId="0" xfId="0" applyFont="1"/>
    <xf numFmtId="0" fontId="128" fillId="0" borderId="0" xfId="0" applyFont="1" applyAlignment="1">
      <alignment horizontal="left"/>
    </xf>
    <xf numFmtId="0" fontId="128" fillId="0" borderId="0" xfId="0" applyFont="1" applyAlignment="1">
      <alignment horizontal="left" indent="5"/>
    </xf>
    <xf numFmtId="0" fontId="127" fillId="0" borderId="0" xfId="0" applyFont="1" applyAlignment="1">
      <alignment horizontal="center"/>
    </xf>
    <xf numFmtId="0" fontId="0" fillId="0" borderId="0" xfId="0" applyAlignment="1">
      <alignment horizontal="left"/>
    </xf>
    <xf numFmtId="0" fontId="2" fillId="0" borderId="0" xfId="0" applyFont="1" applyAlignment="1">
      <alignment horizontal="center"/>
    </xf>
    <xf numFmtId="0" fontId="0" fillId="0" borderId="2" xfId="0" applyBorder="1"/>
    <xf numFmtId="0" fontId="128" fillId="0" borderId="0" xfId="0" applyFont="1" applyAlignment="1">
      <alignment horizontal="left" indent="8"/>
    </xf>
    <xf numFmtId="0" fontId="128" fillId="0" borderId="0" xfId="0" applyFont="1" applyAlignment="1">
      <alignment horizontal="left" indent="7"/>
    </xf>
    <xf numFmtId="0" fontId="2" fillId="0" borderId="0" xfId="0" applyFont="1"/>
    <xf numFmtId="0" fontId="2" fillId="0" borderId="2" xfId="0" applyFont="1" applyBorder="1" applyAlignment="1">
      <alignment vertical="center"/>
    </xf>
    <xf numFmtId="0" fontId="2" fillId="0" borderId="2" xfId="0" applyFont="1" applyBorder="1" applyAlignment="1">
      <alignment horizontal="left" vertical="center"/>
    </xf>
    <xf numFmtId="0" fontId="0" fillId="0" borderId="2" xfId="0" applyBorder="1" applyAlignment="1">
      <alignment horizontal="center" vertical="center"/>
    </xf>
    <xf numFmtId="0" fontId="93" fillId="32" borderId="0" xfId="0" applyFont="1" applyFill="1" applyBorder="1" applyProtection="1">
      <protection hidden="1"/>
    </xf>
    <xf numFmtId="0" fontId="0" fillId="0" borderId="2" xfId="0" quotePrefix="1" applyFill="1" applyBorder="1" applyAlignment="1" applyProtection="1">
      <alignment horizontal="center" vertical="center" wrapText="1"/>
      <protection locked="0"/>
    </xf>
    <xf numFmtId="0" fontId="17" fillId="2" borderId="0" xfId="0" applyFont="1" applyFill="1" applyAlignment="1" applyProtection="1">
      <alignment vertical="center"/>
      <protection hidden="1"/>
    </xf>
    <xf numFmtId="0" fontId="0" fillId="0" borderId="2" xfId="0" applyBorder="1" applyAlignment="1" applyProtection="1">
      <alignment vertical="center" wrapText="1"/>
      <protection hidden="1"/>
    </xf>
    <xf numFmtId="0" fontId="0" fillId="0" borderId="2" xfId="0" quotePrefix="1" applyBorder="1" applyAlignment="1" applyProtection="1">
      <alignment horizontal="center" vertical="center" wrapText="1"/>
      <protection hidden="1"/>
    </xf>
    <xf numFmtId="0" fontId="0" fillId="0" borderId="4" xfId="0" applyFont="1" applyBorder="1" applyAlignment="1">
      <alignment horizontal="left" vertical="center"/>
    </xf>
    <xf numFmtId="165" fontId="0" fillId="0" borderId="4" xfId="0" applyNumberFormat="1" applyFont="1" applyBorder="1" applyAlignment="1">
      <alignment vertical="center"/>
    </xf>
    <xf numFmtId="0" fontId="0" fillId="0" borderId="4" xfId="0" applyBorder="1" applyAlignment="1"/>
    <xf numFmtId="0" fontId="0" fillId="0" borderId="12" xfId="0" applyBorder="1" applyAlignment="1"/>
    <xf numFmtId="0" fontId="0" fillId="0" borderId="13" xfId="0" applyBorder="1" applyAlignment="1"/>
    <xf numFmtId="0" fontId="0" fillId="0" borderId="24" xfId="0" applyFont="1" applyBorder="1" applyAlignment="1">
      <alignment vertical="center"/>
    </xf>
    <xf numFmtId="0" fontId="2" fillId="0" borderId="33" xfId="0" applyFont="1" applyBorder="1" applyAlignment="1">
      <alignment vertical="center"/>
    </xf>
    <xf numFmtId="0" fontId="2" fillId="0" borderId="39" xfId="0" applyFont="1" applyBorder="1" applyAlignment="1">
      <alignment vertical="center"/>
    </xf>
    <xf numFmtId="0" fontId="0" fillId="0" borderId="39" xfId="0" applyBorder="1"/>
    <xf numFmtId="0" fontId="0" fillId="0" borderId="44" xfId="0" applyBorder="1" applyAlignment="1"/>
    <xf numFmtId="0" fontId="58" fillId="0" borderId="0" xfId="0" applyFont="1" applyBorder="1" applyAlignment="1" applyProtection="1">
      <alignment horizontal="left" vertical="center" wrapText="1"/>
      <protection hidden="1"/>
    </xf>
    <xf numFmtId="0" fontId="19" fillId="0" borderId="0" xfId="0" applyFont="1" applyBorder="1" applyAlignment="1" applyProtection="1">
      <alignment horizontal="left" vertical="center" wrapText="1"/>
      <protection hidden="1"/>
    </xf>
    <xf numFmtId="0" fontId="19" fillId="0" borderId="0" xfId="0" applyFont="1" applyBorder="1" applyAlignment="1" applyProtection="1">
      <alignment horizontal="center" vertical="center" wrapText="1"/>
      <protection hidden="1"/>
    </xf>
    <xf numFmtId="0" fontId="6" fillId="0" borderId="0" xfId="0" applyFont="1" applyAlignment="1" applyProtection="1">
      <alignment horizontal="center"/>
      <protection hidden="1"/>
    </xf>
    <xf numFmtId="0" fontId="113" fillId="0" borderId="0" xfId="0" applyFont="1" applyAlignment="1" applyProtection="1">
      <alignment horizontal="center"/>
      <protection hidden="1"/>
    </xf>
    <xf numFmtId="0" fontId="115" fillId="0" borderId="0" xfId="0" applyFont="1" applyAlignment="1" applyProtection="1">
      <alignment horizontal="center"/>
      <protection hidden="1"/>
    </xf>
    <xf numFmtId="0" fontId="116" fillId="0" borderId="0" xfId="0" applyFont="1" applyProtection="1">
      <protection hidden="1"/>
    </xf>
    <xf numFmtId="0" fontId="115" fillId="0" borderId="0" xfId="0" applyFont="1" applyProtection="1">
      <protection hidden="1"/>
    </xf>
    <xf numFmtId="0" fontId="13" fillId="0" borderId="0" xfId="0" applyFont="1" applyProtection="1">
      <protection hidden="1"/>
    </xf>
    <xf numFmtId="0" fontId="117" fillId="0" borderId="0" xfId="0" applyFont="1" applyProtection="1">
      <protection hidden="1"/>
    </xf>
    <xf numFmtId="0" fontId="118" fillId="0" borderId="0" xfId="0" applyFont="1" applyAlignment="1" applyProtection="1">
      <alignment horizontal="center"/>
      <protection hidden="1"/>
    </xf>
    <xf numFmtId="0" fontId="106" fillId="0" borderId="0" xfId="0" applyFont="1" applyProtection="1">
      <protection hidden="1"/>
    </xf>
    <xf numFmtId="0" fontId="120" fillId="0" borderId="0" xfId="0" applyFont="1" applyAlignment="1" applyProtection="1">
      <alignment horizontal="left" wrapText="1"/>
      <protection hidden="1"/>
    </xf>
    <xf numFmtId="0" fontId="0" fillId="0" borderId="2" xfId="0" quotePrefix="1" applyBorder="1" applyAlignment="1" applyProtection="1">
      <alignment horizontal="center" vertical="center"/>
      <protection locked="0"/>
    </xf>
    <xf numFmtId="0" fontId="131" fillId="17" borderId="0" xfId="1" applyFont="1" applyFill="1" applyAlignment="1" applyProtection="1"/>
    <xf numFmtId="0" fontId="106" fillId="5" borderId="2" xfId="0" applyFont="1" applyFill="1" applyBorder="1" applyAlignment="1" applyProtection="1">
      <alignment horizontal="center"/>
      <protection hidden="1"/>
    </xf>
    <xf numFmtId="0" fontId="106" fillId="0" borderId="0" xfId="0" applyFont="1" applyFill="1" applyAlignment="1" applyProtection="1">
      <alignment horizontal="center"/>
      <protection hidden="1"/>
    </xf>
    <xf numFmtId="0" fontId="10" fillId="17" borderId="2" xfId="0" applyFont="1" applyFill="1" applyBorder="1" applyAlignment="1" applyProtection="1">
      <alignment horizontal="left" vertical="top" wrapText="1"/>
      <protection hidden="1"/>
    </xf>
    <xf numFmtId="0" fontId="8" fillId="17" borderId="3" xfId="0" applyFont="1" applyFill="1" applyBorder="1" applyAlignment="1" applyProtection="1">
      <alignment horizontal="left" vertical="center" wrapText="1"/>
      <protection hidden="1"/>
    </xf>
    <xf numFmtId="0" fontId="7" fillId="17" borderId="2" xfId="0" quotePrefix="1" applyFont="1" applyFill="1" applyBorder="1" applyAlignment="1" applyProtection="1">
      <alignment horizontal="center" vertical="center" wrapText="1"/>
      <protection hidden="1"/>
    </xf>
    <xf numFmtId="0" fontId="0" fillId="17" borderId="2" xfId="0" applyFill="1" applyBorder="1" applyAlignment="1" applyProtection="1">
      <alignment horizontal="center" vertical="center"/>
      <protection locked="0"/>
    </xf>
    <xf numFmtId="0" fontId="13" fillId="17" borderId="2" xfId="0" applyFont="1" applyFill="1" applyBorder="1" applyAlignment="1" applyProtection="1">
      <alignment horizontal="center" vertical="center"/>
      <protection locked="0"/>
    </xf>
    <xf numFmtId="0" fontId="119" fillId="50" borderId="23" xfId="0" applyFont="1" applyFill="1" applyBorder="1" applyAlignment="1" applyProtection="1">
      <alignment horizontal="center" vertical="center" wrapText="1"/>
      <protection hidden="1"/>
    </xf>
    <xf numFmtId="0" fontId="119" fillId="50" borderId="0" xfId="0" applyFont="1" applyFill="1" applyBorder="1" applyAlignment="1" applyProtection="1">
      <alignment horizontal="center" vertical="center" wrapText="1"/>
      <protection hidden="1"/>
    </xf>
    <xf numFmtId="1" fontId="81" fillId="50" borderId="24" xfId="0" quotePrefix="1" applyNumberFormat="1" applyFont="1" applyFill="1" applyBorder="1" applyAlignment="1" applyProtection="1">
      <alignment horizontal="center" vertical="center"/>
      <protection hidden="1"/>
    </xf>
    <xf numFmtId="1" fontId="13" fillId="50" borderId="2" xfId="0" applyNumberFormat="1" applyFont="1" applyFill="1" applyBorder="1" applyAlignment="1" applyProtection="1">
      <alignment horizontal="center" vertical="center" wrapText="1"/>
      <protection hidden="1"/>
    </xf>
    <xf numFmtId="0" fontId="13" fillId="0" borderId="2" xfId="0" applyFont="1" applyFill="1" applyBorder="1" applyAlignment="1" applyProtection="1">
      <alignment vertical="center" wrapText="1"/>
      <protection hidden="1"/>
    </xf>
    <xf numFmtId="0" fontId="13" fillId="0" borderId="2" xfId="0" applyFont="1" applyFill="1" applyBorder="1" applyAlignment="1" applyProtection="1">
      <alignment horizontal="center" vertical="center" wrapText="1"/>
      <protection hidden="1"/>
    </xf>
    <xf numFmtId="0" fontId="0" fillId="14" borderId="2" xfId="0" applyFill="1" applyBorder="1" applyAlignment="1" applyProtection="1">
      <alignment horizontal="center"/>
      <protection hidden="1"/>
    </xf>
    <xf numFmtId="1" fontId="81" fillId="50" borderId="1" xfId="0" quotePrefix="1" applyNumberFormat="1" applyFont="1" applyFill="1" applyBorder="1" applyAlignment="1" applyProtection="1">
      <alignment horizontal="center" vertical="center"/>
      <protection hidden="1"/>
    </xf>
    <xf numFmtId="1" fontId="2" fillId="17" borderId="2" xfId="0" applyNumberFormat="1" applyFont="1" applyFill="1" applyBorder="1" applyAlignment="1" applyProtection="1">
      <alignment horizontal="center" vertical="center" wrapText="1"/>
      <protection hidden="1"/>
    </xf>
    <xf numFmtId="1" fontId="2" fillId="13" borderId="2" xfId="0" applyNumberFormat="1" applyFont="1" applyFill="1" applyBorder="1" applyAlignment="1" applyProtection="1">
      <alignment horizontal="center" vertical="center" wrapText="1"/>
      <protection hidden="1"/>
    </xf>
    <xf numFmtId="0" fontId="10" fillId="17" borderId="3" xfId="0" applyFont="1" applyFill="1" applyBorder="1" applyAlignment="1" applyProtection="1">
      <alignment horizontal="left" vertical="top" wrapText="1"/>
      <protection hidden="1"/>
    </xf>
    <xf numFmtId="0" fontId="8" fillId="17" borderId="3" xfId="0" applyFont="1" applyFill="1" applyBorder="1" applyAlignment="1" applyProtection="1">
      <alignment horizontal="left" vertical="center" wrapText="1"/>
      <protection locked="0"/>
    </xf>
    <xf numFmtId="0" fontId="7" fillId="17" borderId="2" xfId="0" quotePrefix="1" applyFont="1" applyFill="1" applyBorder="1" applyAlignment="1" applyProtection="1">
      <alignment horizontal="center" vertical="center" wrapText="1"/>
      <protection locked="0"/>
    </xf>
    <xf numFmtId="0" fontId="0" fillId="17" borderId="2" xfId="0" applyFill="1" applyBorder="1" applyAlignment="1" applyProtection="1">
      <alignment horizontal="center" vertical="center"/>
      <protection hidden="1"/>
    </xf>
    <xf numFmtId="0" fontId="13" fillId="17" borderId="2" xfId="0" applyFont="1" applyFill="1" applyBorder="1" applyAlignment="1" applyProtection="1">
      <alignment horizontal="center" vertical="center"/>
      <protection hidden="1"/>
    </xf>
    <xf numFmtId="0" fontId="133" fillId="55" borderId="2" xfId="0" applyFont="1" applyFill="1" applyBorder="1" applyAlignment="1" applyProtection="1">
      <alignment horizontal="center" vertical="center"/>
      <protection hidden="1"/>
    </xf>
    <xf numFmtId="0" fontId="133" fillId="2" borderId="2" xfId="0" applyFont="1" applyFill="1" applyBorder="1" applyAlignment="1" applyProtection="1">
      <alignment horizontal="center" vertical="center"/>
      <protection hidden="1"/>
    </xf>
    <xf numFmtId="0" fontId="133" fillId="21" borderId="2" xfId="0" applyFont="1" applyFill="1" applyBorder="1" applyAlignment="1" applyProtection="1">
      <alignment horizontal="center" vertical="center"/>
      <protection hidden="1"/>
    </xf>
    <xf numFmtId="1" fontId="6" fillId="17" borderId="2" xfId="0" applyNumberFormat="1" applyFont="1" applyFill="1" applyBorder="1" applyAlignment="1" applyProtection="1">
      <alignment horizontal="center" vertical="center"/>
      <protection locked="0"/>
    </xf>
    <xf numFmtId="0" fontId="10" fillId="17" borderId="2" xfId="0" applyFont="1" applyFill="1" applyBorder="1" applyAlignment="1" applyProtection="1">
      <alignment horizontal="left" vertical="top" wrapText="1"/>
      <protection locked="0"/>
    </xf>
    <xf numFmtId="0" fontId="8" fillId="17" borderId="2" xfId="0" applyFont="1" applyFill="1" applyBorder="1" applyAlignment="1" applyProtection="1">
      <alignment horizontal="left" vertical="top" wrapText="1"/>
      <protection hidden="1"/>
    </xf>
    <xf numFmtId="0" fontId="46" fillId="0" borderId="0" xfId="0" applyFont="1" applyAlignment="1" applyProtection="1">
      <alignment horizontal="center" vertical="center"/>
      <protection hidden="1"/>
    </xf>
    <xf numFmtId="0" fontId="46" fillId="0" borderId="0" xfId="0" applyFont="1" applyAlignment="1" applyProtection="1">
      <protection hidden="1"/>
    </xf>
    <xf numFmtId="0" fontId="46" fillId="0" borderId="0" xfId="0" applyFont="1" applyAlignment="1" applyProtection="1">
      <alignment horizontal="center"/>
      <protection hidden="1"/>
    </xf>
    <xf numFmtId="0" fontId="46" fillId="0" borderId="0" xfId="0" quotePrefix="1" applyFont="1" applyAlignment="1" applyProtection="1">
      <alignment horizontal="center" vertical="center"/>
      <protection hidden="1"/>
    </xf>
    <xf numFmtId="0" fontId="46" fillId="0" borderId="0" xfId="0" applyFont="1" applyProtection="1">
      <protection hidden="1"/>
    </xf>
    <xf numFmtId="0" fontId="135" fillId="0" borderId="0" xfId="0" applyFont="1" applyProtection="1">
      <protection hidden="1"/>
    </xf>
    <xf numFmtId="0" fontId="136" fillId="0" borderId="0" xfId="0" applyFont="1" applyAlignment="1" applyProtection="1">
      <alignment horizontal="center" vertical="center"/>
      <protection hidden="1"/>
    </xf>
    <xf numFmtId="0" fontId="46" fillId="0" borderId="2" xfId="0" applyFont="1" applyBorder="1" applyAlignment="1" applyProtection="1">
      <alignment horizontal="center" vertical="center"/>
      <protection hidden="1"/>
    </xf>
    <xf numFmtId="1" fontId="46" fillId="0" borderId="2" xfId="0" applyNumberFormat="1" applyFont="1" applyBorder="1" applyAlignment="1" applyProtection="1">
      <alignment horizontal="center" vertical="center" wrapText="1"/>
      <protection hidden="1"/>
    </xf>
    <xf numFmtId="0" fontId="137" fillId="0" borderId="0" xfId="0" applyFont="1" applyProtection="1">
      <protection hidden="1"/>
    </xf>
    <xf numFmtId="0" fontId="137" fillId="0" borderId="0" xfId="0" applyFont="1" applyBorder="1" applyAlignment="1" applyProtection="1">
      <alignment horizontal="center" vertical="center"/>
      <protection hidden="1"/>
    </xf>
    <xf numFmtId="0" fontId="137" fillId="0" borderId="0" xfId="0" applyFont="1" applyBorder="1" applyAlignment="1" applyProtection="1">
      <alignment vertical="center"/>
      <protection hidden="1"/>
    </xf>
    <xf numFmtId="0" fontId="46" fillId="0" borderId="0" xfId="0" applyFont="1" applyBorder="1" applyAlignment="1" applyProtection="1">
      <alignment horizontal="center" vertical="center"/>
      <protection hidden="1"/>
    </xf>
    <xf numFmtId="0" fontId="46" fillId="0" borderId="0" xfId="0" applyFont="1"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137" fillId="0" borderId="0" xfId="0" applyFont="1" applyBorder="1" applyProtection="1">
      <protection hidden="1"/>
    </xf>
    <xf numFmtId="0" fontId="135" fillId="0" borderId="0" xfId="0" applyFont="1" applyAlignment="1" applyProtection="1">
      <alignment vertical="center"/>
      <protection hidden="1"/>
    </xf>
    <xf numFmtId="0" fontId="135" fillId="0" borderId="0" xfId="0" applyFont="1" applyAlignment="1" applyProtection="1">
      <alignment vertical="top"/>
      <protection hidden="1"/>
    </xf>
    <xf numFmtId="0" fontId="135" fillId="0" borderId="0" xfId="0" applyFont="1" applyAlignment="1" applyProtection="1">
      <alignment horizontal="center" vertical="center"/>
      <protection hidden="1"/>
    </xf>
    <xf numFmtId="0" fontId="135" fillId="0" borderId="10" xfId="0" applyFont="1" applyBorder="1" applyProtection="1">
      <protection hidden="1"/>
    </xf>
    <xf numFmtId="0" fontId="135" fillId="0" borderId="10" xfId="0" applyFont="1" applyBorder="1" applyAlignment="1" applyProtection="1">
      <alignment horizontal="center" vertical="center"/>
      <protection hidden="1"/>
    </xf>
    <xf numFmtId="0" fontId="139" fillId="0" borderId="0" xfId="0" applyFont="1" applyAlignment="1" applyProtection="1">
      <alignment vertical="center"/>
      <protection hidden="1"/>
    </xf>
    <xf numFmtId="0" fontId="46" fillId="0" borderId="0" xfId="0" applyFont="1" applyAlignment="1" applyProtection="1">
      <alignment vertical="center" wrapText="1"/>
      <protection hidden="1"/>
    </xf>
    <xf numFmtId="0" fontId="46" fillId="0" borderId="0" xfId="0" applyFont="1" applyAlignment="1" applyProtection="1">
      <alignment horizontal="left" vertical="top" wrapText="1"/>
      <protection hidden="1"/>
    </xf>
    <xf numFmtId="0" fontId="46" fillId="0" borderId="0" xfId="0" applyFont="1" applyAlignment="1" applyProtection="1">
      <alignment horizontal="left" vertical="center" wrapText="1"/>
      <protection hidden="1"/>
    </xf>
    <xf numFmtId="0" fontId="46" fillId="0" borderId="0" xfId="0" applyFont="1" applyAlignment="1" applyProtection="1">
      <alignment horizontal="left" vertical="top"/>
      <protection hidden="1"/>
    </xf>
    <xf numFmtId="0" fontId="46" fillId="0" borderId="0" xfId="0" applyFont="1" applyAlignment="1" applyProtection="1">
      <alignment horizontal="center" vertical="top"/>
      <protection hidden="1"/>
    </xf>
    <xf numFmtId="0" fontId="46" fillId="0" borderId="0" xfId="0" applyFont="1" applyAlignment="1" applyProtection="1">
      <alignment vertical="top"/>
      <protection hidden="1"/>
    </xf>
    <xf numFmtId="0" fontId="46" fillId="0" borderId="0" xfId="0" applyFont="1" applyAlignment="1" applyProtection="1">
      <alignment vertical="top" wrapText="1"/>
      <protection hidden="1"/>
    </xf>
    <xf numFmtId="0" fontId="46" fillId="0" borderId="0" xfId="0" applyFont="1" applyAlignment="1" applyProtection="1">
      <alignment horizontal="right" vertical="top"/>
      <protection hidden="1"/>
    </xf>
    <xf numFmtId="0" fontId="46" fillId="0" borderId="0" xfId="0" applyFont="1" applyAlignment="1" applyProtection="1">
      <alignment vertical="center"/>
      <protection hidden="1"/>
    </xf>
    <xf numFmtId="0" fontId="46" fillId="0" borderId="0" xfId="0" applyFont="1" applyBorder="1" applyProtection="1">
      <protection hidden="1"/>
    </xf>
    <xf numFmtId="0" fontId="46" fillId="0" borderId="0" xfId="0" applyFont="1" applyBorder="1" applyAlignment="1" applyProtection="1">
      <alignment vertical="center" wrapText="1"/>
      <protection hidden="1"/>
    </xf>
    <xf numFmtId="0" fontId="46" fillId="0" borderId="0" xfId="0" applyFont="1" applyAlignment="1" applyProtection="1">
      <alignment horizontal="right" vertical="center"/>
      <protection hidden="1"/>
    </xf>
    <xf numFmtId="1" fontId="46" fillId="0" borderId="0" xfId="0" applyNumberFormat="1" applyFont="1" applyAlignment="1" applyProtection="1">
      <alignment vertical="center"/>
      <protection hidden="1"/>
    </xf>
    <xf numFmtId="0" fontId="46" fillId="0" borderId="0" xfId="0" applyFont="1"/>
    <xf numFmtId="0" fontId="13" fillId="18" borderId="2" xfId="0" applyFont="1" applyFill="1" applyBorder="1" applyAlignment="1" applyProtection="1">
      <alignment horizontal="left" vertical="center"/>
      <protection hidden="1"/>
    </xf>
    <xf numFmtId="0" fontId="46" fillId="0" borderId="2" xfId="0" applyFont="1" applyBorder="1" applyAlignment="1" applyProtection="1">
      <alignment horizontal="center" vertical="center"/>
      <protection hidden="1"/>
    </xf>
    <xf numFmtId="0" fontId="46" fillId="0" borderId="13" xfId="0" applyFont="1" applyBorder="1" applyAlignment="1" applyProtection="1">
      <alignment horizontal="left" vertical="center" wrapText="1"/>
      <protection hidden="1"/>
    </xf>
    <xf numFmtId="0" fontId="46" fillId="0" borderId="0" xfId="0" applyFont="1" applyAlignment="1" applyProtection="1">
      <alignment horizontal="center"/>
      <protection hidden="1"/>
    </xf>
    <xf numFmtId="0" fontId="135" fillId="0" borderId="0" xfId="0" applyFont="1" applyAlignment="1" applyProtection="1">
      <alignment horizontal="center" vertical="center"/>
      <protection hidden="1"/>
    </xf>
    <xf numFmtId="0" fontId="18" fillId="2" borderId="26" xfId="0" applyFont="1" applyFill="1" applyBorder="1" applyAlignment="1" applyProtection="1">
      <alignment vertical="center"/>
      <protection hidden="1"/>
    </xf>
    <xf numFmtId="0" fontId="18" fillId="2" borderId="27" xfId="0" applyFont="1" applyFill="1" applyBorder="1" applyAlignment="1" applyProtection="1">
      <alignment vertical="center"/>
      <protection hidden="1"/>
    </xf>
    <xf numFmtId="0" fontId="0" fillId="2" borderId="27" xfId="0" applyFill="1" applyBorder="1" applyProtection="1">
      <protection hidden="1"/>
    </xf>
    <xf numFmtId="0" fontId="0" fillId="2" borderId="28" xfId="0" applyFill="1" applyBorder="1" applyProtection="1">
      <protection hidden="1"/>
    </xf>
    <xf numFmtId="0" fontId="140" fillId="17" borderId="0" xfId="0" applyFont="1" applyFill="1" applyBorder="1" applyAlignment="1" applyProtection="1">
      <alignment vertical="center"/>
      <protection hidden="1"/>
    </xf>
    <xf numFmtId="0" fontId="46" fillId="0" borderId="2" xfId="0" applyFont="1" applyBorder="1" applyAlignment="1" applyProtection="1">
      <alignment horizontal="center" vertical="center"/>
      <protection hidden="1"/>
    </xf>
    <xf numFmtId="0" fontId="12" fillId="0" borderId="2" xfId="0" applyFont="1" applyBorder="1" applyAlignment="1">
      <alignment horizontal="center"/>
    </xf>
    <xf numFmtId="0" fontId="12" fillId="0" borderId="0" xfId="0" applyFont="1"/>
    <xf numFmtId="0" fontId="0" fillId="0" borderId="0" xfId="0" applyFont="1"/>
    <xf numFmtId="0" fontId="135" fillId="0" borderId="0" xfId="0" applyFont="1" applyBorder="1" applyAlignment="1" applyProtection="1">
      <alignment horizontal="center" vertical="center"/>
      <protection hidden="1"/>
    </xf>
    <xf numFmtId="0" fontId="7" fillId="0" borderId="2" xfId="0" applyFont="1" applyFill="1" applyBorder="1" applyAlignment="1" applyProtection="1">
      <alignment horizontal="center" vertical="center"/>
      <protection hidden="1"/>
    </xf>
    <xf numFmtId="0" fontId="7" fillId="0" borderId="2" xfId="0" applyFont="1" applyBorder="1" applyAlignment="1">
      <alignment horizontal="center" vertical="center"/>
    </xf>
    <xf numFmtId="1" fontId="12" fillId="0" borderId="2" xfId="0" applyNumberFormat="1" applyFont="1" applyBorder="1" applyAlignment="1">
      <alignment horizontal="center"/>
    </xf>
    <xf numFmtId="0" fontId="106" fillId="18" borderId="2" xfId="0" applyFont="1" applyFill="1" applyBorder="1" applyAlignment="1" applyProtection="1">
      <alignment horizontal="center"/>
      <protection hidden="1"/>
    </xf>
    <xf numFmtId="0" fontId="106" fillId="0" borderId="0" xfId="0" applyFont="1"/>
    <xf numFmtId="0" fontId="135" fillId="0" borderId="2" xfId="0" applyFont="1" applyBorder="1" applyAlignment="1">
      <alignment horizontal="center" vertical="center"/>
    </xf>
    <xf numFmtId="1" fontId="46" fillId="0" borderId="2" xfId="0" applyNumberFormat="1" applyFont="1" applyBorder="1" applyAlignment="1" applyProtection="1">
      <alignment horizontal="center" vertical="center"/>
      <protection hidden="1"/>
    </xf>
    <xf numFmtId="0" fontId="7" fillId="0" borderId="4" xfId="0" applyFont="1" applyBorder="1" applyAlignment="1">
      <alignment horizontal="center" vertical="center"/>
    </xf>
    <xf numFmtId="0" fontId="46" fillId="0" borderId="2" xfId="0" applyFont="1" applyBorder="1" applyAlignment="1">
      <alignment horizontal="center" vertical="center"/>
    </xf>
    <xf numFmtId="0" fontId="12" fillId="0" borderId="2" xfId="0" applyFont="1" applyFill="1" applyBorder="1" applyAlignment="1" applyProtection="1">
      <alignment horizontal="center" vertical="center"/>
      <protection hidden="1"/>
    </xf>
    <xf numFmtId="0" fontId="12" fillId="0" borderId="2" xfId="0" applyFont="1" applyFill="1" applyBorder="1" applyAlignment="1">
      <alignment horizontal="center"/>
    </xf>
    <xf numFmtId="0" fontId="46" fillId="0" borderId="4" xfId="0" applyFont="1" applyBorder="1" applyAlignment="1" applyProtection="1">
      <alignment horizontal="left" vertical="center" wrapText="1"/>
      <protection hidden="1"/>
    </xf>
    <xf numFmtId="0" fontId="2" fillId="0" borderId="0" xfId="0" applyFont="1" applyAlignment="1" applyProtection="1">
      <alignment horizontal="center"/>
      <protection hidden="1"/>
    </xf>
    <xf numFmtId="0" fontId="32" fillId="5" borderId="0" xfId="0" applyFont="1" applyFill="1" applyAlignment="1" applyProtection="1">
      <alignment horizontal="center" vertical="center"/>
      <protection hidden="1"/>
    </xf>
    <xf numFmtId="0" fontId="2" fillId="5" borderId="0" xfId="0" applyFont="1" applyFill="1" applyAlignment="1" applyProtection="1">
      <alignment horizontal="center"/>
      <protection hidden="1"/>
    </xf>
    <xf numFmtId="0" fontId="2" fillId="5" borderId="2" xfId="0" applyFont="1" applyFill="1" applyBorder="1" applyAlignment="1" applyProtection="1">
      <alignment horizontal="center"/>
      <protection hidden="1"/>
    </xf>
    <xf numFmtId="0" fontId="46" fillId="0" borderId="13" xfId="0" applyFont="1" applyBorder="1" applyAlignment="1" applyProtection="1">
      <alignment horizontal="left" vertical="center" wrapText="1"/>
      <protection locked="0"/>
    </xf>
    <xf numFmtId="0" fontId="0" fillId="39" borderId="2" xfId="0" applyFill="1" applyBorder="1" applyAlignment="1" applyProtection="1">
      <alignment horizontal="center" vertical="center"/>
      <protection hidden="1"/>
    </xf>
    <xf numFmtId="0" fontId="13" fillId="0" borderId="2" xfId="0" applyFont="1" applyFill="1" applyBorder="1" applyAlignment="1" applyProtection="1">
      <alignment horizontal="center" vertical="center" wrapText="1"/>
      <protection locked="0"/>
    </xf>
    <xf numFmtId="0" fontId="13" fillId="0" borderId="2" xfId="0" applyFont="1" applyFill="1" applyBorder="1" applyAlignment="1" applyProtection="1">
      <alignment vertical="center" wrapText="1"/>
      <protection locked="0"/>
    </xf>
    <xf numFmtId="1" fontId="0" fillId="17" borderId="2" xfId="0" applyNumberFormat="1" applyFill="1" applyBorder="1" applyAlignment="1" applyProtection="1">
      <alignment horizontal="center" vertical="center"/>
      <protection hidden="1"/>
    </xf>
    <xf numFmtId="1" fontId="13" fillId="17" borderId="2" xfId="0" applyNumberFormat="1" applyFont="1" applyFill="1" applyBorder="1" applyAlignment="1" applyProtection="1">
      <alignment horizontal="center" vertical="center"/>
      <protection hidden="1"/>
    </xf>
    <xf numFmtId="0" fontId="13" fillId="5" borderId="2" xfId="0" applyFont="1" applyFill="1" applyBorder="1" applyAlignment="1" applyProtection="1">
      <alignment horizontal="center" vertical="center" wrapText="1"/>
      <protection locked="0"/>
    </xf>
    <xf numFmtId="1" fontId="13" fillId="50" borderId="2" xfId="0" applyNumberFormat="1" applyFont="1" applyFill="1" applyBorder="1" applyAlignment="1" applyProtection="1">
      <alignment horizontal="center" vertical="center" wrapText="1"/>
      <protection locked="0"/>
    </xf>
    <xf numFmtId="0" fontId="0" fillId="53" borderId="2" xfId="0" applyFill="1" applyBorder="1" applyAlignment="1" applyProtection="1">
      <alignment horizontal="center" vertical="center"/>
      <protection hidden="1"/>
    </xf>
    <xf numFmtId="0" fontId="13" fillId="53" borderId="2" xfId="0" applyFont="1" applyFill="1" applyBorder="1" applyAlignment="1" applyProtection="1">
      <alignment horizontal="center" vertical="center"/>
      <protection hidden="1"/>
    </xf>
    <xf numFmtId="1" fontId="13" fillId="0" borderId="2" xfId="0" applyNumberFormat="1" applyFont="1" applyFill="1" applyBorder="1" applyAlignment="1" applyProtection="1">
      <alignment horizontal="center" vertical="center" wrapText="1"/>
      <protection locked="0"/>
    </xf>
    <xf numFmtId="0" fontId="0" fillId="0" borderId="0" xfId="0" applyFill="1" applyProtection="1">
      <protection locked="0"/>
    </xf>
    <xf numFmtId="1" fontId="0" fillId="0" borderId="2" xfId="0" applyNumberFormat="1" applyFill="1" applyBorder="1" applyAlignment="1" applyProtection="1">
      <alignment horizontal="center" vertical="center"/>
      <protection locked="0"/>
    </xf>
    <xf numFmtId="0" fontId="0" fillId="0" borderId="0" xfId="0" applyBorder="1" applyAlignment="1">
      <alignment horizontal="center" vertical="center" wrapText="1"/>
    </xf>
    <xf numFmtId="0" fontId="46" fillId="0" borderId="2" xfId="0" applyFont="1" applyBorder="1" applyAlignment="1" applyProtection="1">
      <alignment horizontal="center" vertical="center"/>
      <protection hidden="1"/>
    </xf>
    <xf numFmtId="0" fontId="48" fillId="0" borderId="2" xfId="0" applyFont="1" applyBorder="1" applyAlignment="1">
      <alignment horizontal="center" vertical="center"/>
    </xf>
    <xf numFmtId="0" fontId="0" fillId="0" borderId="2" xfId="0" applyBorder="1" applyAlignment="1">
      <alignment horizontal="center" vertical="center"/>
    </xf>
    <xf numFmtId="0" fontId="46" fillId="0" borderId="2" xfId="0" applyFont="1" applyFill="1" applyBorder="1" applyAlignment="1" applyProtection="1">
      <alignment horizontal="center" vertical="center"/>
      <protection locked="0"/>
    </xf>
    <xf numFmtId="0" fontId="147" fillId="0" borderId="2" xfId="0" applyFont="1" applyFill="1" applyBorder="1" applyAlignment="1" applyProtection="1">
      <alignment horizontal="center" vertical="center"/>
      <protection locked="0"/>
    </xf>
    <xf numFmtId="0" fontId="147" fillId="0" borderId="2" xfId="0" applyFont="1" applyFill="1" applyBorder="1" applyAlignment="1" applyProtection="1">
      <alignment horizontal="center" vertical="center" wrapText="1"/>
      <protection locked="0"/>
    </xf>
    <xf numFmtId="0" fontId="0" fillId="0" borderId="16" xfId="0" applyBorder="1" applyAlignment="1">
      <alignment horizontal="center" vertical="center" wrapText="1"/>
    </xf>
    <xf numFmtId="0" fontId="0" fillId="0" borderId="16" xfId="0" applyBorder="1" applyAlignment="1">
      <alignment vertical="center" wrapText="1"/>
    </xf>
    <xf numFmtId="0" fontId="119" fillId="50" borderId="2" xfId="0" applyFont="1" applyFill="1" applyBorder="1" applyAlignment="1" applyProtection="1">
      <alignment horizontal="center" vertical="center" wrapText="1"/>
      <protection hidden="1"/>
    </xf>
    <xf numFmtId="1" fontId="81" fillId="50" borderId="2" xfId="0" quotePrefix="1" applyNumberFormat="1" applyFont="1" applyFill="1" applyBorder="1" applyAlignment="1" applyProtection="1">
      <alignment horizontal="center" vertical="center"/>
      <protection hidden="1"/>
    </xf>
    <xf numFmtId="0" fontId="147" fillId="0" borderId="2" xfId="0" applyFont="1" applyFill="1" applyBorder="1" applyAlignment="1" applyProtection="1">
      <alignment vertical="center" wrapText="1"/>
      <protection locked="0"/>
    </xf>
    <xf numFmtId="0" fontId="147" fillId="0" borderId="2" xfId="0" applyFont="1" applyFill="1" applyBorder="1" applyAlignment="1" applyProtection="1">
      <alignment horizontal="left" vertical="center" wrapText="1"/>
      <protection locked="0"/>
    </xf>
    <xf numFmtId="1" fontId="150" fillId="5" borderId="2" xfId="0" applyNumberFormat="1" applyFont="1" applyFill="1" applyBorder="1" applyAlignment="1" applyProtection="1">
      <alignment horizontal="center" vertical="center" wrapText="1"/>
      <protection hidden="1"/>
    </xf>
    <xf numFmtId="1" fontId="150" fillId="0" borderId="2" xfId="0" applyNumberFormat="1" applyFont="1" applyFill="1" applyBorder="1" applyAlignment="1" applyProtection="1">
      <alignment horizontal="center" vertical="center" wrapText="1"/>
      <protection locked="0"/>
    </xf>
    <xf numFmtId="1" fontId="13" fillId="5" borderId="2" xfId="0" applyNumberFormat="1" applyFont="1" applyFill="1" applyBorder="1" applyAlignment="1" applyProtection="1">
      <alignment horizontal="center" vertical="center" wrapText="1"/>
      <protection locked="0"/>
    </xf>
    <xf numFmtId="0" fontId="28" fillId="28" borderId="0" xfId="0" applyFont="1" applyFill="1" applyBorder="1" applyAlignment="1" applyProtection="1">
      <protection hidden="1"/>
    </xf>
    <xf numFmtId="0" fontId="6" fillId="0" borderId="2" xfId="0" applyFont="1" applyFill="1" applyBorder="1" applyAlignment="1" applyProtection="1">
      <alignment horizontal="center" vertical="center"/>
      <protection hidden="1"/>
    </xf>
    <xf numFmtId="0" fontId="48" fillId="0" borderId="6" xfId="0" applyFont="1" applyBorder="1" applyAlignment="1">
      <alignment vertical="center"/>
    </xf>
    <xf numFmtId="0" fontId="48" fillId="0" borderId="7" xfId="0" applyFont="1" applyBorder="1" applyAlignment="1">
      <alignment vertical="center"/>
    </xf>
    <xf numFmtId="0" fontId="48" fillId="0" borderId="8" xfId="0" applyFont="1" applyBorder="1" applyAlignment="1">
      <alignment vertical="center"/>
    </xf>
    <xf numFmtId="0" fontId="48" fillId="0" borderId="20" xfId="0" applyFont="1" applyBorder="1" applyAlignment="1">
      <alignment vertical="center"/>
    </xf>
    <xf numFmtId="0" fontId="48" fillId="0" borderId="21" xfId="0" applyFont="1" applyBorder="1" applyAlignment="1">
      <alignment vertical="center"/>
    </xf>
    <xf numFmtId="0" fontId="48" fillId="0" borderId="21" xfId="0" applyFont="1" applyBorder="1"/>
    <xf numFmtId="0" fontId="48" fillId="0" borderId="9" xfId="0" applyFont="1" applyBorder="1"/>
    <xf numFmtId="0" fontId="48" fillId="0" borderId="10" xfId="0" applyFont="1" applyBorder="1"/>
    <xf numFmtId="0" fontId="48" fillId="0" borderId="11" xfId="0" applyFont="1" applyBorder="1"/>
    <xf numFmtId="0" fontId="61" fillId="28" borderId="0" xfId="0" applyFont="1" applyFill="1" applyBorder="1" applyAlignment="1" applyProtection="1">
      <alignment horizontal="center" vertical="center" wrapText="1"/>
      <protection hidden="1"/>
    </xf>
    <xf numFmtId="0" fontId="58" fillId="2" borderId="0" xfId="0" applyFont="1" applyFill="1" applyBorder="1" applyAlignment="1" applyProtection="1">
      <alignment horizontal="center" vertical="center"/>
      <protection hidden="1"/>
    </xf>
    <xf numFmtId="0" fontId="57" fillId="16" borderId="2" xfId="0" applyFont="1" applyFill="1" applyBorder="1" applyAlignment="1" applyProtection="1">
      <alignment horizontal="center" vertical="center" wrapText="1"/>
      <protection hidden="1"/>
    </xf>
    <xf numFmtId="0" fontId="0" fillId="0" borderId="2" xfId="0" applyBorder="1" applyAlignment="1">
      <alignment horizontal="center" vertical="center"/>
    </xf>
    <xf numFmtId="1" fontId="2" fillId="0" borderId="0" xfId="0" applyNumberFormat="1" applyFont="1" applyFill="1" applyAlignment="1" applyProtection="1">
      <alignment horizontal="center"/>
      <protection hidden="1"/>
    </xf>
    <xf numFmtId="0" fontId="2" fillId="0" borderId="0" xfId="0" applyFont="1" applyFill="1" applyProtection="1">
      <protection hidden="1"/>
    </xf>
    <xf numFmtId="0" fontId="3" fillId="0" borderId="1" xfId="0" applyFont="1" applyFill="1" applyBorder="1" applyAlignment="1" applyProtection="1">
      <alignment vertical="center"/>
      <protection hidden="1"/>
    </xf>
    <xf numFmtId="0" fontId="2" fillId="2" borderId="2" xfId="0" applyFont="1" applyFill="1" applyBorder="1" applyAlignment="1" applyProtection="1">
      <alignment horizontal="center" vertical="center"/>
      <protection hidden="1"/>
    </xf>
    <xf numFmtId="0" fontId="2" fillId="21" borderId="2" xfId="0" applyFont="1" applyFill="1" applyBorder="1" applyAlignment="1" applyProtection="1">
      <alignment horizontal="center" vertical="center"/>
      <protection hidden="1"/>
    </xf>
    <xf numFmtId="0" fontId="2" fillId="9" borderId="2" xfId="0" applyFont="1" applyFill="1" applyBorder="1" applyAlignment="1" applyProtection="1">
      <alignment horizontal="center" vertical="center"/>
      <protection hidden="1"/>
    </xf>
    <xf numFmtId="0" fontId="2" fillId="11" borderId="2" xfId="0" applyFont="1" applyFill="1" applyBorder="1" applyAlignment="1" applyProtection="1">
      <alignment horizontal="center" vertical="center"/>
      <protection hidden="1"/>
    </xf>
    <xf numFmtId="0" fontId="2" fillId="19" borderId="2" xfId="0" applyFont="1" applyFill="1" applyBorder="1" applyAlignment="1" applyProtection="1">
      <alignment horizontal="center" vertical="center"/>
      <protection hidden="1"/>
    </xf>
    <xf numFmtId="0" fontId="2" fillId="18" borderId="2" xfId="0" applyFont="1" applyFill="1" applyBorder="1" applyAlignment="1" applyProtection="1">
      <alignment horizontal="center" vertical="center"/>
      <protection hidden="1"/>
    </xf>
    <xf numFmtId="0" fontId="2" fillId="18" borderId="0" xfId="0" applyFont="1" applyFill="1" applyAlignment="1" applyProtection="1">
      <alignment horizontal="center" vertical="center"/>
      <protection hidden="1"/>
    </xf>
    <xf numFmtId="0" fontId="2" fillId="14" borderId="2" xfId="0" applyFont="1" applyFill="1" applyBorder="1" applyAlignment="1" applyProtection="1">
      <alignment horizontal="center" vertical="center"/>
      <protection hidden="1"/>
    </xf>
    <xf numFmtId="0" fontId="2" fillId="12" borderId="2" xfId="0" applyFont="1" applyFill="1" applyBorder="1" applyAlignment="1" applyProtection="1">
      <alignment horizontal="center" vertical="center"/>
      <protection hidden="1"/>
    </xf>
    <xf numFmtId="0" fontId="2" fillId="61" borderId="2" xfId="0" applyFont="1" applyFill="1" applyBorder="1" applyAlignment="1" applyProtection="1">
      <alignment horizontal="center" vertical="center"/>
      <protection hidden="1"/>
    </xf>
    <xf numFmtId="0" fontId="2" fillId="61" borderId="2" xfId="0" applyFont="1" applyFill="1" applyBorder="1" applyAlignment="1" applyProtection="1">
      <alignment horizontal="center" vertical="center" wrapText="1"/>
      <protection hidden="1"/>
    </xf>
    <xf numFmtId="0" fontId="2" fillId="61" borderId="0" xfId="0" applyFont="1" applyFill="1" applyAlignment="1" applyProtection="1">
      <alignment horizontal="center" vertical="center"/>
      <protection hidden="1"/>
    </xf>
    <xf numFmtId="0" fontId="2" fillId="23" borderId="2" xfId="0" applyFont="1" applyFill="1" applyBorder="1" applyAlignment="1" applyProtection="1">
      <alignment horizontal="center" vertical="center"/>
      <protection hidden="1"/>
    </xf>
    <xf numFmtId="0" fontId="2" fillId="20" borderId="2" xfId="0" applyFont="1" applyFill="1" applyBorder="1" applyAlignment="1" applyProtection="1">
      <alignment horizontal="center" vertical="center"/>
      <protection hidden="1"/>
    </xf>
    <xf numFmtId="0" fontId="2" fillId="20" borderId="2" xfId="0" applyFont="1" applyFill="1" applyBorder="1" applyAlignment="1" applyProtection="1">
      <alignment horizontal="center" vertical="center" wrapText="1"/>
      <protection hidden="1"/>
    </xf>
    <xf numFmtId="1" fontId="0" fillId="0" borderId="0" xfId="0" applyNumberFormat="1"/>
    <xf numFmtId="1" fontId="0" fillId="0" borderId="0" xfId="0" applyNumberFormat="1" applyAlignment="1">
      <alignment horizontal="center"/>
    </xf>
    <xf numFmtId="0" fontId="0" fillId="0" borderId="0" xfId="0" applyAlignment="1"/>
    <xf numFmtId="0" fontId="11" fillId="0" borderId="0" xfId="0" applyFont="1" applyAlignment="1"/>
    <xf numFmtId="0" fontId="9" fillId="0" borderId="0" xfId="0" applyFont="1" applyAlignment="1"/>
    <xf numFmtId="0" fontId="152" fillId="0" borderId="0" xfId="0" applyFont="1" applyAlignment="1"/>
    <xf numFmtId="0" fontId="154" fillId="0" borderId="0" xfId="0" applyFont="1" applyBorder="1" applyAlignment="1">
      <alignment horizontal="left" wrapText="1"/>
    </xf>
    <xf numFmtId="0" fontId="0" fillId="0" borderId="2" xfId="0" applyBorder="1" applyAlignment="1">
      <alignment horizontal="center" vertical="center" wrapText="1"/>
    </xf>
    <xf numFmtId="0" fontId="155" fillId="0" borderId="2" xfId="0" applyFont="1" applyBorder="1" applyAlignment="1">
      <alignment horizontal="center" vertical="center" wrapText="1"/>
    </xf>
    <xf numFmtId="0" fontId="0" fillId="0" borderId="16" xfId="0" quotePrefix="1" applyBorder="1" applyAlignment="1">
      <alignment horizontal="center" vertical="center" wrapText="1"/>
    </xf>
    <xf numFmtId="0" fontId="12" fillId="0" borderId="16" xfId="0" applyFont="1" applyBorder="1" applyAlignment="1">
      <alignment horizontal="center" vertical="center" wrapText="1"/>
    </xf>
    <xf numFmtId="0" fontId="12" fillId="0" borderId="2" xfId="0" applyFont="1" applyBorder="1" applyAlignment="1">
      <alignment horizontal="center" vertical="center" wrapText="1"/>
    </xf>
    <xf numFmtId="0" fontId="75" fillId="0" borderId="2" xfId="0" applyFont="1" applyBorder="1" applyAlignment="1">
      <alignment vertical="center" wrapText="1"/>
    </xf>
    <xf numFmtId="0" fontId="75" fillId="0" borderId="16" xfId="0" applyFont="1" applyBorder="1" applyAlignment="1">
      <alignment vertical="center" wrapText="1"/>
    </xf>
    <xf numFmtId="1" fontId="82" fillId="0" borderId="25" xfId="0" applyNumberFormat="1" applyFont="1" applyBorder="1" applyAlignment="1">
      <alignment horizontal="center" vertical="center" wrapText="1"/>
    </xf>
    <xf numFmtId="41" fontId="82" fillId="0" borderId="25" xfId="0" applyNumberFormat="1" applyFont="1" applyBorder="1" applyAlignment="1">
      <alignment horizontal="left" vertical="center" wrapText="1"/>
    </xf>
    <xf numFmtId="0" fontId="82" fillId="0" borderId="2" xfId="0" applyFont="1" applyBorder="1" applyAlignment="1">
      <alignment horizontal="center" vertical="center" wrapText="1"/>
    </xf>
    <xf numFmtId="0" fontId="0" fillId="2" borderId="2" xfId="0" applyFill="1" applyBorder="1" applyAlignment="1">
      <alignment horizontal="center" vertical="center" wrapText="1"/>
    </xf>
    <xf numFmtId="0" fontId="75" fillId="2" borderId="16" xfId="0" applyFont="1" applyFill="1" applyBorder="1" applyAlignment="1">
      <alignment vertical="center" wrapText="1"/>
    </xf>
    <xf numFmtId="0" fontId="82" fillId="2" borderId="25" xfId="0" applyFont="1" applyFill="1" applyBorder="1" applyAlignment="1">
      <alignment horizontal="center" vertical="center" wrapText="1"/>
    </xf>
    <xf numFmtId="0" fontId="12" fillId="0" borderId="16" xfId="0" applyFont="1" applyFill="1" applyBorder="1" applyAlignment="1">
      <alignment horizontal="center" vertical="center" wrapText="1"/>
    </xf>
    <xf numFmtId="41" fontId="82" fillId="0" borderId="25" xfId="0" applyNumberFormat="1" applyFont="1" applyFill="1" applyBorder="1" applyAlignment="1">
      <alignment horizontal="left" vertical="center" wrapText="1"/>
    </xf>
    <xf numFmtId="41" fontId="156" fillId="0" borderId="16" xfId="0" applyNumberFormat="1" applyFont="1" applyBorder="1" applyAlignment="1">
      <alignment horizontal="center" vertical="center" wrapText="1"/>
    </xf>
    <xf numFmtId="3" fontId="82" fillId="0" borderId="16" xfId="0" applyNumberFormat="1" applyFont="1" applyBorder="1" applyAlignment="1">
      <alignment horizontal="center" vertical="center" wrapText="1"/>
    </xf>
    <xf numFmtId="1" fontId="82" fillId="0" borderId="2" xfId="0" applyNumberFormat="1" applyFont="1" applyBorder="1" applyAlignment="1">
      <alignment horizontal="center" vertical="center" wrapText="1"/>
    </xf>
    <xf numFmtId="41" fontId="82" fillId="0" borderId="2" xfId="0" applyNumberFormat="1" applyFont="1" applyBorder="1" applyAlignment="1">
      <alignment horizontal="center" vertical="center" wrapText="1"/>
    </xf>
    <xf numFmtId="41" fontId="160" fillId="0" borderId="2" xfId="0" applyNumberFormat="1" applyFont="1" applyBorder="1" applyAlignment="1"/>
    <xf numFmtId="41" fontId="160" fillId="0" borderId="2" xfId="0" applyNumberFormat="1" applyFont="1" applyBorder="1" applyAlignment="1">
      <alignment horizontal="center" vertical="center"/>
    </xf>
    <xf numFmtId="41" fontId="160" fillId="0" borderId="2" xfId="0" applyNumberFormat="1" applyFont="1" applyBorder="1" applyAlignment="1">
      <alignment horizontal="center"/>
    </xf>
    <xf numFmtId="41" fontId="161" fillId="0" borderId="13" xfId="0" applyNumberFormat="1" applyFont="1" applyBorder="1" applyAlignment="1">
      <alignment horizontal="center" vertical="center" wrapText="1"/>
    </xf>
    <xf numFmtId="0" fontId="162" fillId="32" borderId="0" xfId="0" applyFont="1" applyFill="1" applyBorder="1" applyAlignment="1" applyProtection="1">
      <alignment vertical="center"/>
      <protection hidden="1"/>
    </xf>
    <xf numFmtId="0" fontId="163" fillId="32" borderId="0" xfId="0" applyFont="1" applyFill="1" applyBorder="1" applyAlignment="1" applyProtection="1">
      <alignment vertical="center"/>
      <protection hidden="1"/>
    </xf>
    <xf numFmtId="0" fontId="12" fillId="5" borderId="0" xfId="0" applyFont="1" applyFill="1" applyBorder="1" applyAlignment="1" applyProtection="1">
      <alignment horizontal="right" vertical="center"/>
      <protection locked="0"/>
    </xf>
    <xf numFmtId="0" fontId="164" fillId="32" borderId="0" xfId="0" applyFont="1" applyFill="1" applyBorder="1" applyAlignment="1" applyProtection="1">
      <alignment vertical="top"/>
      <protection hidden="1"/>
    </xf>
    <xf numFmtId="0" fontId="47" fillId="0" borderId="0" xfId="0" applyFont="1" applyAlignment="1">
      <alignment horizontal="left" vertical="top"/>
    </xf>
    <xf numFmtId="0" fontId="47" fillId="0" borderId="0" xfId="0" applyFont="1" applyAlignment="1">
      <alignment vertical="top"/>
    </xf>
    <xf numFmtId="1" fontId="47" fillId="0" borderId="0" xfId="0" applyNumberFormat="1" applyFont="1" applyAlignment="1">
      <alignment horizontal="left" vertical="top"/>
    </xf>
    <xf numFmtId="0" fontId="165" fillId="0" borderId="20" xfId="0" applyFont="1" applyBorder="1" applyAlignment="1">
      <alignment vertical="center"/>
    </xf>
    <xf numFmtId="0" fontId="1" fillId="32" borderId="21" xfId="0" applyFont="1" applyFill="1" applyBorder="1" applyAlignment="1" applyProtection="1">
      <alignment horizontal="center"/>
      <protection hidden="1"/>
    </xf>
    <xf numFmtId="0" fontId="0" fillId="17" borderId="21" xfId="0" applyFill="1" applyBorder="1" applyProtection="1">
      <protection hidden="1"/>
    </xf>
    <xf numFmtId="0" fontId="0" fillId="17" borderId="21" xfId="0" applyFill="1" applyBorder="1" applyAlignment="1" applyProtection="1">
      <alignment horizontal="left"/>
      <protection hidden="1"/>
    </xf>
    <xf numFmtId="10" fontId="0" fillId="17" borderId="21" xfId="0" applyNumberFormat="1" applyFill="1" applyBorder="1" applyAlignment="1" applyProtection="1">
      <alignment horizontal="left"/>
      <protection hidden="1"/>
    </xf>
    <xf numFmtId="0" fontId="0" fillId="17" borderId="11" xfId="0" applyFill="1" applyBorder="1" applyProtection="1">
      <protection hidden="1"/>
    </xf>
    <xf numFmtId="0" fontId="135" fillId="0" borderId="0" xfId="0" applyFont="1" applyAlignment="1" applyProtection="1">
      <alignment horizontal="center" vertical="center"/>
      <protection hidden="1"/>
    </xf>
    <xf numFmtId="0" fontId="46" fillId="0" borderId="0" xfId="0" applyFont="1" applyAlignment="1" applyProtection="1">
      <alignment horizontal="center" vertical="center"/>
      <protection hidden="1"/>
    </xf>
    <xf numFmtId="0" fontId="46" fillId="0" borderId="2" xfId="0" applyFont="1" applyBorder="1" applyAlignment="1" applyProtection="1">
      <alignment horizontal="center" vertical="center"/>
      <protection hidden="1"/>
    </xf>
    <xf numFmtId="0" fontId="2" fillId="0" borderId="2" xfId="0" applyFont="1" applyBorder="1" applyAlignment="1">
      <alignment horizontal="center" vertical="center"/>
    </xf>
    <xf numFmtId="0" fontId="46" fillId="0" borderId="13" xfId="0" applyFont="1" applyBorder="1" applyAlignment="1" applyProtection="1">
      <alignment horizontal="left" vertical="center" wrapText="1"/>
      <protection hidden="1"/>
    </xf>
    <xf numFmtId="0" fontId="46" fillId="0" borderId="0" xfId="0" applyFont="1" applyAlignment="1" applyProtection="1">
      <alignment horizontal="center"/>
      <protection hidden="1"/>
    </xf>
    <xf numFmtId="0" fontId="2" fillId="0" borderId="0" xfId="0" applyFont="1" applyAlignment="1">
      <alignment horizontal="center"/>
    </xf>
    <xf numFmtId="0" fontId="0" fillId="19" borderId="2" xfId="0" applyFill="1" applyBorder="1" applyAlignment="1" applyProtection="1">
      <alignment horizontal="center" textRotation="90" wrapText="1"/>
      <protection hidden="1"/>
    </xf>
    <xf numFmtId="0" fontId="0" fillId="17" borderId="2" xfId="0" applyFill="1" applyBorder="1" applyAlignment="1" applyProtection="1">
      <alignment horizontal="center" vertical="center" textRotation="90"/>
      <protection hidden="1"/>
    </xf>
    <xf numFmtId="0" fontId="0" fillId="12" borderId="2" xfId="0" applyFill="1" applyBorder="1" applyAlignment="1" applyProtection="1">
      <alignment horizontal="center" vertical="center" textRotation="90"/>
      <protection hidden="1"/>
    </xf>
    <xf numFmtId="1" fontId="12" fillId="0" borderId="2" xfId="0" applyNumberFormat="1" applyFont="1" applyFill="1" applyBorder="1" applyAlignment="1" applyProtection="1">
      <alignment horizontal="center" vertical="center"/>
      <protection hidden="1"/>
    </xf>
    <xf numFmtId="0" fontId="135" fillId="0" borderId="2" xfId="0" applyFont="1" applyBorder="1" applyAlignment="1" applyProtection="1">
      <alignment horizontal="center" vertical="center"/>
      <protection hidden="1"/>
    </xf>
    <xf numFmtId="0" fontId="135" fillId="0" borderId="2" xfId="0" applyFont="1" applyBorder="1" applyAlignment="1" applyProtection="1">
      <alignment horizontal="center" vertical="center" wrapText="1"/>
      <protection hidden="1"/>
    </xf>
    <xf numFmtId="0" fontId="72" fillId="2" borderId="0" xfId="0" applyFont="1" applyFill="1" applyAlignment="1">
      <alignment horizontal="center" vertical="center" wrapText="1"/>
    </xf>
    <xf numFmtId="0" fontId="0" fillId="0" borderId="2" xfId="0" applyFill="1" applyBorder="1" applyAlignment="1" applyProtection="1">
      <alignment horizontal="center" vertical="center"/>
      <protection hidden="1"/>
    </xf>
    <xf numFmtId="0" fontId="0" fillId="0" borderId="2" xfId="0" applyBorder="1" applyAlignment="1">
      <alignment horizontal="center" vertical="center" wrapText="1"/>
    </xf>
    <xf numFmtId="0" fontId="0" fillId="0" borderId="2" xfId="0" applyBorder="1" applyAlignment="1">
      <alignment horizontal="center"/>
    </xf>
    <xf numFmtId="0" fontId="6" fillId="0" borderId="2" xfId="0" applyFont="1" applyBorder="1" applyAlignment="1">
      <alignment horizontal="left" vertical="center" wrapText="1"/>
    </xf>
    <xf numFmtId="0" fontId="72" fillId="2" borderId="0" xfId="0" applyFont="1" applyFill="1" applyAlignment="1">
      <alignment horizontal="left" vertical="center" wrapText="1"/>
    </xf>
    <xf numFmtId="0" fontId="0" fillId="0" borderId="2" xfId="0" applyFill="1" applyBorder="1" applyProtection="1">
      <protection hidden="1"/>
    </xf>
    <xf numFmtId="1" fontId="0" fillId="17" borderId="2" xfId="0" applyNumberFormat="1" applyFill="1" applyBorder="1" applyAlignment="1" applyProtection="1">
      <alignment horizontal="center" vertical="center"/>
      <protection locked="0"/>
    </xf>
    <xf numFmtId="1" fontId="148" fillId="5" borderId="2" xfId="0" applyNumberFormat="1" applyFont="1" applyFill="1" applyBorder="1" applyAlignment="1" applyProtection="1">
      <alignment horizontal="center" vertical="center" wrapText="1"/>
      <protection locked="0"/>
    </xf>
    <xf numFmtId="1" fontId="106" fillId="5" borderId="2" xfId="0" applyNumberFormat="1" applyFont="1" applyFill="1" applyBorder="1" applyAlignment="1" applyProtection="1">
      <alignment horizontal="center" vertical="center" wrapText="1"/>
      <protection locked="0"/>
    </xf>
    <xf numFmtId="1" fontId="150" fillId="5" borderId="2" xfId="0" applyNumberFormat="1" applyFont="1" applyFill="1" applyBorder="1" applyAlignment="1" applyProtection="1">
      <alignment horizontal="center" vertical="center" wrapText="1"/>
      <protection locked="0"/>
    </xf>
    <xf numFmtId="1" fontId="151" fillId="5" borderId="2" xfId="0" applyNumberFormat="1" applyFont="1" applyFill="1" applyBorder="1" applyAlignment="1" applyProtection="1">
      <alignment horizontal="center" vertical="center" wrapText="1"/>
      <protection locked="0"/>
    </xf>
    <xf numFmtId="0" fontId="2" fillId="62" borderId="2" xfId="0" applyFont="1" applyFill="1" applyBorder="1" applyAlignment="1">
      <alignment horizontal="center" vertical="center"/>
    </xf>
    <xf numFmtId="0" fontId="0" fillId="0" borderId="2" xfId="0" applyBorder="1" applyAlignment="1">
      <alignment horizontal="left"/>
    </xf>
    <xf numFmtId="0" fontId="0" fillId="28" borderId="2" xfId="0" quotePrefix="1" applyFill="1" applyBorder="1" applyAlignment="1">
      <alignment horizontal="center"/>
    </xf>
    <xf numFmtId="0" fontId="0" fillId="0" borderId="2" xfId="0" quotePrefix="1" applyBorder="1" applyAlignment="1">
      <alignment horizontal="center"/>
    </xf>
    <xf numFmtId="0" fontId="0" fillId="63" borderId="6" xfId="0" applyFill="1" applyBorder="1"/>
    <xf numFmtId="0" fontId="0" fillId="63" borderId="7" xfId="0" applyFill="1" applyBorder="1"/>
    <xf numFmtId="0" fontId="0" fillId="63" borderId="8" xfId="0" applyFill="1" applyBorder="1"/>
    <xf numFmtId="0" fontId="0" fillId="63" borderId="20" xfId="0" applyFill="1" applyBorder="1"/>
    <xf numFmtId="0" fontId="0" fillId="63" borderId="0" xfId="0" applyFill="1" applyBorder="1"/>
    <xf numFmtId="0" fontId="13" fillId="63" borderId="59" xfId="0" applyFont="1" applyFill="1" applyBorder="1" applyAlignment="1">
      <alignment horizontal="center"/>
    </xf>
    <xf numFmtId="0" fontId="13" fillId="63" borderId="0" xfId="0" applyFont="1" applyFill="1" applyBorder="1" applyAlignment="1">
      <alignment horizontal="center"/>
    </xf>
    <xf numFmtId="0" fontId="0" fillId="63" borderId="21" xfId="0" applyFill="1" applyBorder="1"/>
    <xf numFmtId="0" fontId="6" fillId="63" borderId="0" xfId="0" applyFont="1" applyFill="1" applyBorder="1"/>
    <xf numFmtId="0" fontId="0" fillId="63" borderId="9" xfId="0" applyFill="1" applyBorder="1"/>
    <xf numFmtId="0" fontId="0" fillId="63" borderId="10" xfId="0" applyFill="1" applyBorder="1"/>
    <xf numFmtId="0" fontId="0" fillId="63" borderId="11" xfId="0" applyFill="1" applyBorder="1"/>
    <xf numFmtId="41" fontId="0" fillId="0" borderId="2" xfId="0" applyNumberFormat="1" applyBorder="1" applyAlignment="1">
      <alignment horizontal="center"/>
    </xf>
    <xf numFmtId="0" fontId="0" fillId="32" borderId="0" xfId="0" applyFill="1"/>
    <xf numFmtId="41" fontId="0" fillId="0" borderId="2" xfId="0" applyNumberFormat="1" applyFill="1" applyBorder="1" applyAlignment="1">
      <alignment horizontal="center" vertical="center"/>
    </xf>
    <xf numFmtId="0" fontId="169" fillId="0" borderId="2" xfId="0" applyFont="1" applyFill="1" applyBorder="1" applyAlignment="1" applyProtection="1">
      <alignment vertical="center"/>
      <protection locked="0"/>
    </xf>
    <xf numFmtId="0" fontId="168" fillId="0" borderId="2" xfId="0" applyFont="1" applyFill="1" applyBorder="1" applyAlignment="1" applyProtection="1">
      <alignment horizontal="center" vertical="center"/>
      <protection locked="0"/>
    </xf>
    <xf numFmtId="0" fontId="171"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protection locked="0"/>
    </xf>
    <xf numFmtId="168" fontId="171" fillId="0" borderId="2" xfId="0" applyNumberFormat="1" applyFont="1" applyFill="1" applyBorder="1" applyAlignment="1" applyProtection="1">
      <alignment horizontal="center" vertical="center"/>
      <protection locked="0"/>
    </xf>
    <xf numFmtId="0" fontId="171" fillId="0" borderId="2" xfId="0" applyNumberFormat="1" applyFont="1" applyFill="1" applyBorder="1" applyAlignment="1" applyProtection="1">
      <alignment horizontal="center" vertical="center"/>
      <protection locked="0"/>
    </xf>
    <xf numFmtId="0" fontId="0" fillId="32" borderId="0" xfId="0" applyFill="1" applyProtection="1">
      <protection hidden="1"/>
    </xf>
    <xf numFmtId="0" fontId="22" fillId="32" borderId="0" xfId="0" applyFont="1" applyFill="1" applyAlignment="1" applyProtection="1">
      <alignment horizontal="center" vertical="center"/>
      <protection hidden="1"/>
    </xf>
    <xf numFmtId="0" fontId="82" fillId="0" borderId="2" xfId="0" applyNumberFormat="1" applyFont="1" applyFill="1" applyBorder="1" applyAlignment="1" applyProtection="1">
      <alignment horizontal="left" vertical="center" wrapText="1"/>
      <protection locked="0"/>
    </xf>
    <xf numFmtId="0" fontId="67" fillId="0" borderId="2" xfId="0" applyFont="1" applyFill="1" applyBorder="1" applyAlignment="1" applyProtection="1">
      <alignment horizontal="center" vertical="center"/>
      <protection hidden="1"/>
    </xf>
    <xf numFmtId="0" fontId="0" fillId="0" borderId="2" xfId="0" applyFill="1" applyBorder="1" applyAlignment="1" applyProtection="1">
      <alignment horizontal="center" vertical="center"/>
      <protection hidden="1"/>
    </xf>
    <xf numFmtId="0" fontId="2" fillId="0" borderId="0" xfId="0" applyFont="1" applyAlignment="1" applyProtection="1">
      <alignment horizontal="center"/>
      <protection hidden="1"/>
    </xf>
    <xf numFmtId="41" fontId="20" fillId="5" borderId="2" xfId="0" applyNumberFormat="1" applyFont="1" applyFill="1" applyBorder="1" applyAlignment="1" applyProtection="1">
      <alignment horizontal="center" vertical="center" wrapText="1"/>
      <protection hidden="1"/>
    </xf>
    <xf numFmtId="0" fontId="70" fillId="5" borderId="2" xfId="0" applyFont="1" applyFill="1" applyBorder="1" applyAlignment="1" applyProtection="1">
      <alignment vertical="center" wrapText="1"/>
      <protection hidden="1"/>
    </xf>
    <xf numFmtId="0" fontId="0" fillId="0" borderId="33" xfId="0" applyFill="1" applyBorder="1" applyAlignment="1" applyProtection="1">
      <alignment horizontal="center" vertical="center"/>
      <protection locked="0"/>
    </xf>
    <xf numFmtId="0" fontId="169" fillId="0" borderId="33" xfId="0" applyFont="1" applyFill="1" applyBorder="1" applyAlignment="1" applyProtection="1">
      <alignment vertical="center"/>
      <protection locked="0"/>
    </xf>
    <xf numFmtId="0" fontId="169" fillId="0" borderId="51" xfId="0" applyFont="1" applyFill="1" applyBorder="1" applyAlignment="1" applyProtection="1">
      <alignment vertical="center"/>
      <protection locked="0"/>
    </xf>
    <xf numFmtId="0" fontId="169" fillId="0" borderId="42" xfId="0" applyFont="1" applyFill="1" applyBorder="1" applyAlignment="1" applyProtection="1">
      <alignment vertical="center"/>
      <protection locked="0"/>
    </xf>
    <xf numFmtId="0" fontId="0" fillId="0" borderId="0" xfId="0" applyFill="1" applyBorder="1"/>
    <xf numFmtId="0" fontId="0" fillId="0" borderId="21" xfId="0" applyFill="1" applyBorder="1"/>
    <xf numFmtId="0" fontId="171" fillId="0" borderId="39" xfId="0" applyFont="1" applyFill="1" applyBorder="1" applyAlignment="1" applyProtection="1">
      <alignment horizontal="center" vertical="center"/>
      <protection locked="0"/>
    </xf>
    <xf numFmtId="0" fontId="0" fillId="0" borderId="39" xfId="0" applyFill="1" applyBorder="1"/>
    <xf numFmtId="0" fontId="0" fillId="0" borderId="40" xfId="0" applyFill="1" applyBorder="1"/>
    <xf numFmtId="0" fontId="182" fillId="16" borderId="15" xfId="0" applyFont="1" applyFill="1" applyBorder="1" applyAlignment="1">
      <alignment horizontal="center" vertical="center"/>
    </xf>
    <xf numFmtId="0" fontId="167" fillId="0" borderId="33" xfId="0" applyFont="1" applyFill="1" applyBorder="1" applyAlignment="1" applyProtection="1">
      <alignment horizontal="center" vertical="center"/>
      <protection locked="0"/>
    </xf>
    <xf numFmtId="0" fontId="0" fillId="0" borderId="42" xfId="0" applyFill="1" applyBorder="1"/>
    <xf numFmtId="0" fontId="168" fillId="0" borderId="39" xfId="0" applyFont="1" applyFill="1" applyBorder="1" applyAlignment="1" applyProtection="1">
      <alignment horizontal="center" vertical="center"/>
      <protection locked="0"/>
    </xf>
    <xf numFmtId="0" fontId="0" fillId="0" borderId="2" xfId="0" applyBorder="1" applyAlignment="1">
      <alignment horizontal="center" vertical="center" wrapText="1"/>
    </xf>
    <xf numFmtId="0" fontId="168" fillId="0" borderId="0" xfId="0" applyFont="1" applyFill="1" applyProtection="1">
      <protection hidden="1"/>
    </xf>
    <xf numFmtId="0" fontId="168" fillId="0" borderId="0" xfId="0" applyNumberFormat="1" applyFont="1" applyFill="1" applyProtection="1">
      <protection hidden="1"/>
    </xf>
    <xf numFmtId="0" fontId="168" fillId="0" borderId="0" xfId="0" applyFont="1" applyFill="1" applyAlignment="1" applyProtection="1">
      <alignment horizontal="center"/>
      <protection hidden="1"/>
    </xf>
    <xf numFmtId="1" fontId="172" fillId="0" borderId="0" xfId="0" applyNumberFormat="1" applyFont="1" applyFill="1" applyProtection="1">
      <protection hidden="1"/>
    </xf>
    <xf numFmtId="1" fontId="0" fillId="0" borderId="0" xfId="0" applyNumberFormat="1" applyFill="1" applyProtection="1">
      <protection hidden="1"/>
    </xf>
    <xf numFmtId="0" fontId="173" fillId="0" borderId="0" xfId="0" applyFont="1" applyFill="1" applyAlignment="1" applyProtection="1">
      <alignment vertical="center"/>
      <protection hidden="1"/>
    </xf>
    <xf numFmtId="0" fontId="168" fillId="0" borderId="0" xfId="0" applyFont="1" applyFill="1" applyAlignment="1" applyProtection="1">
      <alignment vertical="center"/>
      <protection hidden="1"/>
    </xf>
    <xf numFmtId="0" fontId="173" fillId="0" borderId="0" xfId="0" applyFont="1" applyFill="1" applyAlignment="1" applyProtection="1">
      <alignment horizontal="right" vertical="center" wrapText="1"/>
      <protection hidden="1"/>
    </xf>
    <xf numFmtId="0" fontId="169" fillId="0" borderId="0" xfId="0" applyNumberFormat="1" applyFont="1" applyFill="1" applyAlignment="1" applyProtection="1">
      <alignment horizontal="left" vertical="center"/>
      <protection hidden="1"/>
    </xf>
    <xf numFmtId="0" fontId="174" fillId="0" borderId="0" xfId="0" applyNumberFormat="1" applyFont="1" applyFill="1" applyAlignment="1" applyProtection="1">
      <alignment horizontal="left" vertical="center"/>
      <protection hidden="1"/>
    </xf>
    <xf numFmtId="0" fontId="173" fillId="0" borderId="0" xfId="0" applyFont="1" applyFill="1" applyAlignment="1" applyProtection="1">
      <alignment horizontal="left" vertical="center"/>
      <protection hidden="1"/>
    </xf>
    <xf numFmtId="49" fontId="173" fillId="0" borderId="0" xfId="0" applyNumberFormat="1" applyFont="1" applyFill="1" applyAlignment="1" applyProtection="1">
      <alignment horizontal="left" vertical="center"/>
      <protection hidden="1"/>
    </xf>
    <xf numFmtId="0" fontId="170" fillId="0" borderId="12" xfId="0" applyFont="1" applyFill="1" applyBorder="1" applyAlignment="1" applyProtection="1">
      <alignment vertical="center"/>
      <protection hidden="1"/>
    </xf>
    <xf numFmtId="0" fontId="170" fillId="0" borderId="2" xfId="0" applyFont="1" applyFill="1" applyBorder="1" applyAlignment="1" applyProtection="1">
      <alignment horizontal="center" vertical="center"/>
      <protection hidden="1"/>
    </xf>
    <xf numFmtId="0" fontId="170" fillId="0" borderId="2" xfId="0" applyFont="1" applyFill="1" applyBorder="1" applyAlignment="1" applyProtection="1">
      <alignment horizontal="center" vertical="center" wrapText="1"/>
      <protection hidden="1"/>
    </xf>
    <xf numFmtId="0" fontId="171" fillId="0" borderId="2" xfId="0" applyFont="1" applyFill="1" applyBorder="1" applyAlignment="1" applyProtection="1">
      <alignment horizontal="center" vertical="center"/>
      <protection hidden="1"/>
    </xf>
    <xf numFmtId="0" fontId="0" fillId="0" borderId="2" xfId="0" applyFill="1" applyBorder="1" applyAlignment="1" applyProtection="1">
      <alignment horizontal="left" vertical="center"/>
      <protection hidden="1"/>
    </xf>
    <xf numFmtId="0" fontId="0" fillId="0" borderId="2" xfId="0" applyNumberFormat="1" applyFill="1" applyBorder="1" applyAlignment="1" applyProtection="1">
      <alignment horizontal="center" vertical="center"/>
      <protection hidden="1"/>
    </xf>
    <xf numFmtId="1" fontId="179" fillId="0" borderId="2" xfId="0" applyNumberFormat="1" applyFont="1" applyFill="1" applyBorder="1" applyAlignment="1" applyProtection="1">
      <alignment horizontal="left" vertical="center" wrapText="1"/>
      <protection hidden="1"/>
    </xf>
    <xf numFmtId="0" fontId="0" fillId="0" borderId="0" xfId="0" applyFill="1" applyAlignment="1" applyProtection="1">
      <alignment horizontal="left" vertical="center"/>
      <protection hidden="1"/>
    </xf>
    <xf numFmtId="0" fontId="175" fillId="0" borderId="0" xfId="0" applyFont="1" applyFill="1" applyAlignment="1" applyProtection="1">
      <alignment vertical="center" wrapText="1"/>
      <protection hidden="1"/>
    </xf>
    <xf numFmtId="0" fontId="176" fillId="0" borderId="0" xfId="6" applyFill="1" applyProtection="1">
      <protection hidden="1"/>
    </xf>
    <xf numFmtId="0" fontId="177" fillId="0" borderId="0" xfId="0" applyFont="1" applyFill="1" applyProtection="1">
      <protection hidden="1"/>
    </xf>
    <xf numFmtId="0" fontId="177" fillId="0" borderId="0" xfId="0" applyFont="1" applyFill="1" applyAlignment="1" applyProtection="1">
      <alignment vertical="center" wrapText="1"/>
      <protection hidden="1"/>
    </xf>
    <xf numFmtId="0" fontId="177" fillId="0" borderId="0" xfId="0" applyFont="1" applyFill="1" applyAlignment="1" applyProtection="1">
      <alignment horizontal="center"/>
      <protection hidden="1"/>
    </xf>
    <xf numFmtId="49" fontId="178" fillId="0" borderId="0" xfId="0" applyNumberFormat="1" applyFont="1" applyFill="1" applyAlignment="1" applyProtection="1">
      <alignment horizontal="center" vertical="center"/>
      <protection hidden="1"/>
    </xf>
    <xf numFmtId="0" fontId="178" fillId="0" borderId="0" xfId="0" applyNumberFormat="1" applyFont="1" applyFill="1" applyAlignment="1" applyProtection="1">
      <alignment horizontal="center" vertical="center"/>
      <protection hidden="1"/>
    </xf>
    <xf numFmtId="0" fontId="178" fillId="0" borderId="0" xfId="0" applyNumberFormat="1" applyFont="1" applyFill="1" applyAlignment="1" applyProtection="1">
      <alignment vertical="center"/>
      <protection hidden="1"/>
    </xf>
    <xf numFmtId="0" fontId="157" fillId="0" borderId="0" xfId="0" applyFont="1" applyAlignment="1" applyProtection="1">
      <alignment horizontal="center"/>
      <protection hidden="1"/>
    </xf>
    <xf numFmtId="0" fontId="177" fillId="0" borderId="0" xfId="0" applyNumberFormat="1" applyFont="1" applyFill="1" applyAlignment="1" applyProtection="1">
      <alignment vertical="center" wrapText="1"/>
      <protection hidden="1"/>
    </xf>
    <xf numFmtId="0" fontId="0" fillId="0" borderId="0" xfId="0" applyNumberFormat="1" applyFill="1" applyProtection="1">
      <protection hidden="1"/>
    </xf>
    <xf numFmtId="0" fontId="16" fillId="0" borderId="0" xfId="1" applyFill="1" applyAlignment="1" applyProtection="1">
      <protection hidden="1"/>
    </xf>
    <xf numFmtId="0" fontId="0" fillId="0" borderId="2" xfId="0" applyFill="1" applyBorder="1" applyProtection="1">
      <protection locked="0"/>
    </xf>
    <xf numFmtId="0" fontId="0" fillId="0" borderId="2" xfId="0" applyFill="1" applyBorder="1" applyAlignment="1" applyProtection="1">
      <alignment horizontal="left" vertical="center" wrapText="1"/>
      <protection locked="0"/>
    </xf>
    <xf numFmtId="0" fontId="51" fillId="0" borderId="0" xfId="0" applyFont="1" applyFill="1" applyAlignment="1" applyProtection="1">
      <alignment horizontal="center" vertical="center"/>
      <protection hidden="1"/>
    </xf>
    <xf numFmtId="0" fontId="0" fillId="0" borderId="0" xfId="0" applyFill="1" applyAlignment="1" applyProtection="1">
      <alignment wrapText="1"/>
      <protection hidden="1"/>
    </xf>
    <xf numFmtId="0" fontId="14" fillId="0" borderId="0" xfId="0" applyFont="1" applyFill="1" applyProtection="1">
      <protection hidden="1"/>
    </xf>
    <xf numFmtId="0" fontId="91" fillId="0" borderId="0" xfId="0" applyFont="1" applyFill="1" applyProtection="1">
      <protection hidden="1"/>
    </xf>
    <xf numFmtId="0" fontId="173" fillId="0" borderId="0" xfId="0" applyNumberFormat="1" applyFont="1" applyFill="1" applyAlignment="1" applyProtection="1">
      <alignment horizontal="left" vertical="center"/>
      <protection hidden="1"/>
    </xf>
    <xf numFmtId="0" fontId="171" fillId="0" borderId="0" xfId="0" applyFont="1" applyFill="1" applyProtection="1">
      <protection hidden="1"/>
    </xf>
    <xf numFmtId="0" fontId="170" fillId="0" borderId="12" xfId="0" applyFont="1" applyFill="1" applyBorder="1" applyAlignment="1" applyProtection="1">
      <alignment vertical="center" wrapText="1"/>
      <protection hidden="1"/>
    </xf>
    <xf numFmtId="0" fontId="170" fillId="0" borderId="0" xfId="0" applyFont="1" applyFill="1" applyBorder="1" applyAlignment="1" applyProtection="1">
      <alignment horizontal="center" vertical="center"/>
      <protection hidden="1"/>
    </xf>
    <xf numFmtId="1" fontId="172" fillId="0" borderId="2" xfId="0" applyNumberFormat="1" applyFont="1"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82" fillId="0" borderId="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74" fillId="5" borderId="2" xfId="0" applyFont="1" applyFill="1" applyBorder="1" applyAlignment="1" applyProtection="1">
      <alignment horizontal="left" vertical="center" wrapText="1"/>
      <protection hidden="1"/>
    </xf>
    <xf numFmtId="0" fontId="70" fillId="5" borderId="2" xfId="0" applyFont="1" applyFill="1" applyBorder="1" applyAlignment="1" applyProtection="1">
      <alignment vertical="center" wrapText="1"/>
      <protection locked="0"/>
    </xf>
    <xf numFmtId="0" fontId="58" fillId="5" borderId="2" xfId="0" applyFont="1" applyFill="1" applyBorder="1" applyAlignment="1" applyProtection="1">
      <alignment vertical="center" wrapText="1"/>
      <protection locked="0"/>
    </xf>
    <xf numFmtId="0" fontId="58" fillId="5" borderId="2" xfId="0" applyFont="1" applyFill="1" applyBorder="1" applyAlignment="1" applyProtection="1">
      <alignment vertical="center"/>
      <protection locked="0"/>
    </xf>
    <xf numFmtId="0" fontId="0" fillId="0" borderId="2" xfId="0" applyBorder="1" applyAlignment="1">
      <alignment horizontal="center" vertical="center" wrapText="1"/>
    </xf>
    <xf numFmtId="0" fontId="2" fillId="64" borderId="2" xfId="0" applyFont="1" applyFill="1" applyBorder="1" applyAlignment="1" applyProtection="1">
      <alignment horizontal="center" vertical="center"/>
      <protection hidden="1"/>
    </xf>
    <xf numFmtId="0" fontId="2" fillId="62" borderId="2" xfId="0" applyFont="1" applyFill="1" applyBorder="1" applyAlignment="1" applyProtection="1">
      <alignment horizontal="center" vertical="center"/>
      <protection hidden="1"/>
    </xf>
    <xf numFmtId="0" fontId="0" fillId="0" borderId="2" xfId="0" applyBorder="1" applyAlignment="1" applyProtection="1">
      <alignment horizontal="center"/>
      <protection hidden="1"/>
    </xf>
    <xf numFmtId="0" fontId="0" fillId="0" borderId="2" xfId="0" applyBorder="1" applyAlignment="1" applyProtection="1">
      <alignment horizontal="left"/>
      <protection hidden="1"/>
    </xf>
    <xf numFmtId="41" fontId="0" fillId="0" borderId="2" xfId="0" quotePrefix="1" applyNumberFormat="1" applyBorder="1" applyAlignment="1" applyProtection="1">
      <alignment horizontal="center"/>
      <protection hidden="1"/>
    </xf>
    <xf numFmtId="41" fontId="0" fillId="32" borderId="2" xfId="0" quotePrefix="1" applyNumberFormat="1" applyFill="1" applyBorder="1" applyAlignment="1" applyProtection="1">
      <alignment horizontal="center"/>
      <protection hidden="1"/>
    </xf>
    <xf numFmtId="41" fontId="0" fillId="0" borderId="2" xfId="0" applyNumberFormat="1" applyBorder="1" applyAlignment="1" applyProtection="1">
      <alignment horizontal="center"/>
      <protection hidden="1"/>
    </xf>
    <xf numFmtId="0" fontId="2" fillId="0" borderId="0" xfId="0" applyFont="1" applyProtection="1">
      <protection hidden="1"/>
    </xf>
    <xf numFmtId="0" fontId="2" fillId="0" borderId="0" xfId="0" applyFont="1" applyAlignment="1" applyProtection="1">
      <protection hidden="1"/>
    </xf>
    <xf numFmtId="0" fontId="0" fillId="2" borderId="2" xfId="0" applyFill="1" applyBorder="1" applyAlignment="1">
      <alignment vertical="center" wrapText="1"/>
    </xf>
    <xf numFmtId="0" fontId="0" fillId="2" borderId="0" xfId="0" applyFill="1" applyAlignment="1">
      <alignment vertical="center" wrapText="1"/>
    </xf>
    <xf numFmtId="0" fontId="62" fillId="45" borderId="0" xfId="0" applyFont="1" applyFill="1" applyAlignment="1" applyProtection="1">
      <alignment horizontal="center"/>
      <protection hidden="1"/>
    </xf>
    <xf numFmtId="0" fontId="14" fillId="45" borderId="0" xfId="0" applyFont="1" applyFill="1" applyAlignment="1" applyProtection="1">
      <alignment horizontal="center"/>
      <protection hidden="1"/>
    </xf>
    <xf numFmtId="0" fontId="89" fillId="46" borderId="0" xfId="0" applyFont="1" applyFill="1" applyAlignment="1" applyProtection="1">
      <alignment horizontal="center" vertical="center"/>
      <protection hidden="1"/>
    </xf>
    <xf numFmtId="0" fontId="109" fillId="45" borderId="0" xfId="0" applyFont="1" applyFill="1" applyAlignment="1" applyProtection="1">
      <alignment horizontal="center" vertical="center" wrapText="1"/>
      <protection hidden="1"/>
    </xf>
    <xf numFmtId="0" fontId="12" fillId="5" borderId="0" xfId="0" applyFont="1" applyFill="1" applyBorder="1" applyAlignment="1" applyProtection="1">
      <alignment horizontal="left" vertical="center"/>
      <protection locked="0"/>
    </xf>
    <xf numFmtId="0" fontId="63" fillId="43" borderId="0" xfId="0" applyFont="1" applyFill="1" applyAlignment="1" applyProtection="1">
      <alignment horizontal="left" vertical="center" wrapText="1"/>
      <protection hidden="1"/>
    </xf>
    <xf numFmtId="0" fontId="94" fillId="21" borderId="0" xfId="0" applyFont="1" applyFill="1" applyBorder="1" applyAlignment="1" applyProtection="1">
      <alignment horizontal="left" vertical="top"/>
      <protection hidden="1"/>
    </xf>
    <xf numFmtId="0" fontId="96" fillId="21" borderId="0" xfId="0" applyFont="1" applyFill="1" applyBorder="1" applyAlignment="1" applyProtection="1">
      <alignment horizontal="left" vertical="top"/>
      <protection hidden="1"/>
    </xf>
    <xf numFmtId="0" fontId="95" fillId="47" borderId="0" xfId="0" applyFont="1" applyFill="1" applyAlignment="1" applyProtection="1">
      <alignment horizontal="center" vertical="top"/>
      <protection hidden="1"/>
    </xf>
    <xf numFmtId="0" fontId="97" fillId="47" borderId="0" xfId="0" applyFont="1" applyFill="1" applyAlignment="1" applyProtection="1">
      <alignment horizontal="center" vertical="top"/>
      <protection hidden="1"/>
    </xf>
    <xf numFmtId="0" fontId="103" fillId="9" borderId="0" xfId="0" applyFont="1" applyFill="1" applyAlignment="1" applyProtection="1">
      <alignment horizontal="center" vertical="top"/>
      <protection hidden="1"/>
    </xf>
    <xf numFmtId="0" fontId="104" fillId="9" borderId="0" xfId="0" applyFont="1" applyFill="1" applyAlignment="1" applyProtection="1">
      <alignment horizontal="center" vertical="top"/>
      <protection hidden="1"/>
    </xf>
    <xf numFmtId="0" fontId="95" fillId="15" borderId="0" xfId="0" applyFont="1" applyFill="1" applyAlignment="1" applyProtection="1">
      <alignment horizontal="center" vertical="top"/>
      <protection hidden="1"/>
    </xf>
    <xf numFmtId="0" fontId="97" fillId="15" borderId="0" xfId="0" applyFont="1" applyFill="1" applyAlignment="1" applyProtection="1">
      <alignment horizontal="center" vertical="top"/>
      <protection hidden="1"/>
    </xf>
    <xf numFmtId="0" fontId="98" fillId="11" borderId="0" xfId="0" applyFont="1" applyFill="1" applyBorder="1" applyAlignment="1" applyProtection="1">
      <alignment horizontal="right"/>
      <protection hidden="1"/>
    </xf>
    <xf numFmtId="0" fontId="98" fillId="21" borderId="0" xfId="0" applyFont="1" applyFill="1" applyBorder="1" applyAlignment="1" applyProtection="1">
      <alignment horizontal="right"/>
      <protection hidden="1"/>
    </xf>
    <xf numFmtId="1" fontId="98" fillId="47" borderId="0" xfId="0" applyNumberFormat="1" applyFont="1" applyFill="1" applyBorder="1" applyAlignment="1" applyProtection="1">
      <alignment horizontal="right"/>
      <protection hidden="1"/>
    </xf>
    <xf numFmtId="1" fontId="98" fillId="9" borderId="0" xfId="0" applyNumberFormat="1" applyFont="1" applyFill="1" applyBorder="1" applyAlignment="1" applyProtection="1">
      <alignment horizontal="right"/>
      <protection hidden="1"/>
    </xf>
    <xf numFmtId="0" fontId="183" fillId="44" borderId="0" xfId="0" applyFont="1" applyFill="1" applyAlignment="1" applyProtection="1">
      <alignment horizontal="right" vertical="center"/>
      <protection hidden="1"/>
    </xf>
    <xf numFmtId="0" fontId="91" fillId="5" borderId="0" xfId="0" applyFont="1" applyFill="1" applyBorder="1" applyAlignment="1" applyProtection="1">
      <alignment horizontal="left" vertical="top" wrapText="1"/>
      <protection hidden="1"/>
    </xf>
    <xf numFmtId="9" fontId="98" fillId="15" borderId="0" xfId="0" applyNumberFormat="1" applyFont="1" applyFill="1" applyBorder="1" applyAlignment="1" applyProtection="1">
      <alignment horizontal="right"/>
      <protection hidden="1"/>
    </xf>
    <xf numFmtId="0" fontId="98" fillId="15" borderId="0" xfId="0" applyFont="1" applyFill="1" applyBorder="1" applyAlignment="1" applyProtection="1">
      <alignment horizontal="right"/>
      <protection hidden="1"/>
    </xf>
    <xf numFmtId="0" fontId="63" fillId="48" borderId="0" xfId="0" applyFont="1" applyFill="1" applyBorder="1" applyAlignment="1" applyProtection="1">
      <alignment horizontal="left" vertical="center"/>
      <protection hidden="1"/>
    </xf>
    <xf numFmtId="0" fontId="63" fillId="49" borderId="0" xfId="0" applyFont="1" applyFill="1" applyAlignment="1" applyProtection="1">
      <alignment horizontal="left" vertical="center"/>
      <protection hidden="1"/>
    </xf>
    <xf numFmtId="9" fontId="12" fillId="5" borderId="0" xfId="0" applyNumberFormat="1" applyFont="1" applyFill="1" applyAlignment="1" applyProtection="1">
      <alignment horizontal="right" vertical="center"/>
      <protection hidden="1"/>
    </xf>
    <xf numFmtId="0" fontId="108" fillId="5" borderId="0" xfId="0" applyFont="1" applyFill="1" applyAlignment="1" applyProtection="1">
      <alignment horizontal="left" vertical="top" wrapText="1"/>
      <protection hidden="1"/>
    </xf>
    <xf numFmtId="0" fontId="12" fillId="5" borderId="0" xfId="0" applyFont="1" applyFill="1" applyBorder="1" applyAlignment="1" applyProtection="1">
      <alignment horizontal="left" vertical="center" wrapText="1"/>
      <protection locked="0"/>
    </xf>
    <xf numFmtId="0" fontId="18" fillId="2" borderId="27" xfId="0" applyFont="1" applyFill="1" applyBorder="1" applyAlignment="1" applyProtection="1">
      <alignment horizontal="center" vertical="center"/>
      <protection hidden="1"/>
    </xf>
    <xf numFmtId="0" fontId="61" fillId="28" borderId="0" xfId="0" applyFont="1" applyFill="1" applyBorder="1" applyAlignment="1" applyProtection="1">
      <alignment horizontal="center" vertical="center" wrapText="1"/>
      <protection hidden="1"/>
    </xf>
    <xf numFmtId="0" fontId="58" fillId="2" borderId="0" xfId="0" applyFont="1" applyFill="1" applyBorder="1" applyAlignment="1" applyProtection="1">
      <alignment horizontal="center" vertical="center"/>
      <protection hidden="1"/>
    </xf>
    <xf numFmtId="0" fontId="57" fillId="16" borderId="2" xfId="0" applyFont="1" applyFill="1" applyBorder="1" applyAlignment="1" applyProtection="1">
      <alignment horizontal="center" vertical="center" wrapText="1"/>
      <protection hidden="1"/>
    </xf>
    <xf numFmtId="0" fontId="57" fillId="16" borderId="15" xfId="0" applyFont="1" applyFill="1" applyBorder="1" applyAlignment="1" applyProtection="1">
      <alignment horizontal="center" vertical="center" wrapText="1"/>
      <protection hidden="1"/>
    </xf>
    <xf numFmtId="0" fontId="57" fillId="16" borderId="2" xfId="0" applyFont="1" applyFill="1" applyBorder="1" applyAlignment="1" applyProtection="1">
      <alignment horizontal="center" vertical="center"/>
      <protection hidden="1"/>
    </xf>
    <xf numFmtId="0" fontId="0" fillId="7" borderId="0" xfId="0" applyFill="1" applyAlignment="1">
      <alignment horizontal="center" vertical="center" wrapText="1"/>
    </xf>
    <xf numFmtId="0" fontId="72" fillId="2" borderId="0" xfId="0" applyFont="1" applyFill="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105" fillId="2" borderId="0" xfId="0" applyFont="1" applyFill="1" applyAlignment="1" applyProtection="1">
      <alignment horizontal="center" vertical="center"/>
      <protection hidden="1"/>
    </xf>
    <xf numFmtId="0" fontId="0" fillId="7" borderId="2" xfId="0" applyFill="1" applyBorder="1" applyAlignment="1" applyProtection="1">
      <alignment horizontal="center" vertical="center" wrapText="1"/>
      <protection hidden="1"/>
    </xf>
    <xf numFmtId="0" fontId="58" fillId="21" borderId="2" xfId="0" applyFont="1" applyFill="1" applyBorder="1" applyAlignment="1" applyProtection="1">
      <alignment horizontal="center" vertical="center" wrapText="1"/>
      <protection hidden="1"/>
    </xf>
    <xf numFmtId="0" fontId="58" fillId="51" borderId="4" xfId="0" applyFont="1" applyFill="1" applyBorder="1" applyAlignment="1" applyProtection="1">
      <alignment horizontal="center" vertical="center" wrapText="1"/>
      <protection hidden="1"/>
    </xf>
    <xf numFmtId="0" fontId="58" fillId="51" borderId="12" xfId="0" applyFont="1" applyFill="1" applyBorder="1" applyAlignment="1" applyProtection="1">
      <alignment horizontal="center" vertical="center" wrapText="1"/>
      <protection hidden="1"/>
    </xf>
    <xf numFmtId="0" fontId="58" fillId="51" borderId="13" xfId="0" applyFont="1" applyFill="1" applyBorder="1" applyAlignment="1" applyProtection="1">
      <alignment horizontal="center" vertical="center" wrapText="1"/>
      <protection hidden="1"/>
    </xf>
    <xf numFmtId="0" fontId="58" fillId="23" borderId="2" xfId="0" applyFont="1" applyFill="1" applyBorder="1" applyAlignment="1" applyProtection="1">
      <alignment horizontal="center" vertical="center" wrapText="1"/>
      <protection hidden="1"/>
    </xf>
    <xf numFmtId="0" fontId="0" fillId="7" borderId="15" xfId="0" applyFill="1" applyBorder="1" applyAlignment="1" applyProtection="1">
      <alignment horizontal="center" vertical="center" wrapText="1"/>
      <protection hidden="1"/>
    </xf>
    <xf numFmtId="0" fontId="0" fillId="7" borderId="16" xfId="0" applyFill="1" applyBorder="1" applyAlignment="1" applyProtection="1">
      <alignment horizontal="center" vertical="center" wrapText="1"/>
      <protection hidden="1"/>
    </xf>
    <xf numFmtId="0" fontId="58" fillId="8" borderId="2" xfId="0" applyFont="1" applyFill="1" applyBorder="1" applyAlignment="1" applyProtection="1">
      <alignment horizontal="center" vertical="center" wrapText="1"/>
      <protection hidden="1"/>
    </xf>
    <xf numFmtId="0" fontId="0" fillId="7" borderId="3" xfId="0" applyFill="1" applyBorder="1" applyAlignment="1" applyProtection="1">
      <alignment horizontal="center" vertical="center" wrapText="1"/>
      <protection hidden="1"/>
    </xf>
    <xf numFmtId="0" fontId="0" fillId="7" borderId="23" xfId="0" applyFill="1" applyBorder="1" applyAlignment="1" applyProtection="1">
      <alignment horizontal="center" vertical="center" wrapText="1"/>
      <protection hidden="1"/>
    </xf>
    <xf numFmtId="0" fontId="0" fillId="7" borderId="22" xfId="0" applyFill="1" applyBorder="1" applyAlignment="1" applyProtection="1">
      <alignment horizontal="center" vertical="center" wrapText="1"/>
      <protection hidden="1"/>
    </xf>
    <xf numFmtId="0" fontId="32" fillId="21" borderId="0" xfId="0" applyFont="1" applyFill="1" applyAlignment="1">
      <alignment horizontal="center"/>
    </xf>
    <xf numFmtId="0" fontId="181" fillId="33" borderId="1" xfId="0" applyFont="1" applyFill="1" applyBorder="1" applyAlignment="1">
      <alignment horizontal="center"/>
    </xf>
    <xf numFmtId="0" fontId="0" fillId="16" borderId="15" xfId="0" applyFill="1" applyBorder="1" applyAlignment="1">
      <alignment horizontal="center"/>
    </xf>
    <xf numFmtId="0" fontId="0" fillId="16" borderId="14" xfId="0" applyFill="1" applyBorder="1" applyAlignment="1">
      <alignment horizontal="center"/>
    </xf>
    <xf numFmtId="0" fontId="0" fillId="32" borderId="0" xfId="0" applyFill="1" applyAlignment="1">
      <alignment horizontal="center"/>
    </xf>
    <xf numFmtId="0" fontId="18" fillId="2" borderId="56" xfId="0" applyFont="1" applyFill="1" applyBorder="1" applyAlignment="1">
      <alignment horizontal="center" vertical="center" textRotation="90"/>
    </xf>
    <xf numFmtId="0" fontId="18" fillId="2" borderId="60" xfId="0" applyFont="1" applyFill="1" applyBorder="1" applyAlignment="1">
      <alignment horizontal="center" vertical="center" textRotation="90"/>
    </xf>
    <xf numFmtId="0" fontId="18" fillId="2" borderId="61" xfId="0" applyFont="1" applyFill="1" applyBorder="1" applyAlignment="1">
      <alignment horizontal="center" vertical="center" textRotation="90"/>
    </xf>
    <xf numFmtId="0" fontId="182" fillId="16" borderId="2" xfId="0" applyFont="1" applyFill="1" applyBorder="1" applyAlignment="1">
      <alignment horizontal="center" vertical="center"/>
    </xf>
    <xf numFmtId="0" fontId="182" fillId="16" borderId="15" xfId="0" applyFont="1" applyFill="1" applyBorder="1" applyAlignment="1">
      <alignment horizontal="center" vertical="center"/>
    </xf>
    <xf numFmtId="0" fontId="167" fillId="10" borderId="33" xfId="0" applyFont="1" applyFill="1" applyBorder="1" applyAlignment="1">
      <alignment horizontal="center" vertical="center"/>
    </xf>
    <xf numFmtId="0" fontId="167" fillId="10" borderId="2" xfId="0" applyFont="1" applyFill="1" applyBorder="1" applyAlignment="1">
      <alignment horizontal="center" vertical="center"/>
    </xf>
    <xf numFmtId="0" fontId="167" fillId="10" borderId="33" xfId="0" applyFont="1" applyFill="1" applyBorder="1" applyAlignment="1" applyProtection="1">
      <alignment horizontal="left" vertical="center" wrapText="1"/>
      <protection locked="0"/>
    </xf>
    <xf numFmtId="0" fontId="167" fillId="10" borderId="2" xfId="0" applyFont="1" applyFill="1" applyBorder="1" applyAlignment="1" applyProtection="1">
      <alignment horizontal="left" vertical="center" wrapText="1"/>
      <protection locked="0"/>
    </xf>
    <xf numFmtId="0" fontId="167" fillId="9" borderId="2" xfId="0" applyFont="1" applyFill="1" applyBorder="1" applyAlignment="1">
      <alignment horizontal="center" vertical="center"/>
    </xf>
    <xf numFmtId="0" fontId="167" fillId="9" borderId="2" xfId="0" applyFont="1" applyFill="1" applyBorder="1" applyAlignment="1" applyProtection="1">
      <alignment horizontal="left" vertical="center" wrapText="1"/>
      <protection locked="0"/>
    </xf>
    <xf numFmtId="0" fontId="167" fillId="11" borderId="2" xfId="0" applyFont="1" applyFill="1" applyBorder="1" applyAlignment="1">
      <alignment horizontal="center" vertical="center"/>
    </xf>
    <xf numFmtId="0" fontId="167" fillId="11" borderId="2" xfId="0" applyFont="1" applyFill="1" applyBorder="1" applyAlignment="1" applyProtection="1">
      <alignment horizontal="left" vertical="center" wrapText="1"/>
      <protection locked="0"/>
    </xf>
    <xf numFmtId="0" fontId="167" fillId="8" borderId="2" xfId="0" applyFont="1" applyFill="1" applyBorder="1" applyAlignment="1">
      <alignment horizontal="center" vertical="center"/>
    </xf>
    <xf numFmtId="0" fontId="167" fillId="8" borderId="39" xfId="0" applyFont="1" applyFill="1" applyBorder="1" applyAlignment="1">
      <alignment horizontal="center" vertical="center"/>
    </xf>
    <xf numFmtId="0" fontId="167" fillId="8" borderId="2" xfId="0" applyFont="1" applyFill="1" applyBorder="1" applyAlignment="1" applyProtection="1">
      <alignment horizontal="left" vertical="center" wrapText="1"/>
      <protection locked="0"/>
    </xf>
    <xf numFmtId="0" fontId="167" fillId="8" borderId="39" xfId="0" applyFont="1" applyFill="1" applyBorder="1" applyAlignment="1" applyProtection="1">
      <alignment horizontal="left" vertical="center" wrapText="1"/>
      <protection locked="0"/>
    </xf>
    <xf numFmtId="0" fontId="18" fillId="11" borderId="56" xfId="0" applyFont="1" applyFill="1" applyBorder="1" applyAlignment="1">
      <alignment horizontal="center" vertical="center" textRotation="90"/>
    </xf>
    <xf numFmtId="0" fontId="18" fillId="11" borderId="60" xfId="0" applyFont="1" applyFill="1" applyBorder="1" applyAlignment="1">
      <alignment horizontal="center" vertical="center" textRotation="90"/>
    </xf>
    <xf numFmtId="0" fontId="18" fillId="11" borderId="61" xfId="0" applyFont="1" applyFill="1" applyBorder="1" applyAlignment="1">
      <alignment horizontal="center" vertical="center" textRotation="90"/>
    </xf>
    <xf numFmtId="0" fontId="2" fillId="13" borderId="15" xfId="0" applyFont="1" applyFill="1" applyBorder="1" applyAlignment="1">
      <alignment horizontal="center" vertical="center"/>
    </xf>
    <xf numFmtId="0" fontId="2" fillId="13" borderId="14" xfId="0" applyFont="1" applyFill="1" applyBorder="1" applyAlignment="1">
      <alignment horizontal="center" vertical="center"/>
    </xf>
    <xf numFmtId="0" fontId="2" fillId="13" borderId="16" xfId="0" applyFont="1" applyFill="1" applyBorder="1" applyAlignment="1">
      <alignment horizontal="center" vertical="center"/>
    </xf>
    <xf numFmtId="0" fontId="2" fillId="13" borderId="15" xfId="0" applyFont="1" applyFill="1" applyBorder="1" applyAlignment="1" applyProtection="1">
      <alignment horizontal="left" vertical="center"/>
      <protection locked="0"/>
    </xf>
    <xf numFmtId="0" fontId="2" fillId="13" borderId="14" xfId="0" applyFont="1" applyFill="1" applyBorder="1" applyAlignment="1" applyProtection="1">
      <alignment horizontal="left" vertical="center"/>
      <protection locked="0"/>
    </xf>
    <xf numFmtId="0" fontId="2" fillId="13" borderId="16" xfId="0" applyFont="1" applyFill="1" applyBorder="1" applyAlignment="1" applyProtection="1">
      <alignment horizontal="left" vertical="center"/>
      <protection locked="0"/>
    </xf>
    <xf numFmtId="0" fontId="2" fillId="61" borderId="15" xfId="0" applyFont="1" applyFill="1" applyBorder="1" applyAlignment="1">
      <alignment horizontal="center" vertical="center"/>
    </xf>
    <xf numFmtId="0" fontId="2" fillId="61" borderId="14" xfId="0" applyFont="1" applyFill="1" applyBorder="1" applyAlignment="1">
      <alignment horizontal="center" vertical="center"/>
    </xf>
    <xf numFmtId="0" fontId="2" fillId="61" borderId="16" xfId="0" applyFont="1" applyFill="1" applyBorder="1" applyAlignment="1">
      <alignment horizontal="center" vertical="center"/>
    </xf>
    <xf numFmtId="0" fontId="2" fillId="61" borderId="15" xfId="0" applyFont="1" applyFill="1" applyBorder="1" applyAlignment="1" applyProtection="1">
      <alignment horizontal="left" vertical="center"/>
      <protection locked="0"/>
    </xf>
    <xf numFmtId="0" fontId="2" fillId="61" borderId="14" xfId="0" applyFont="1" applyFill="1" applyBorder="1" applyAlignment="1" applyProtection="1">
      <alignment horizontal="left" vertical="center"/>
      <protection locked="0"/>
    </xf>
    <xf numFmtId="0" fontId="2" fillId="61" borderId="16" xfId="0" applyFont="1" applyFill="1" applyBorder="1" applyAlignment="1" applyProtection="1">
      <alignment horizontal="left" vertical="center"/>
      <protection locked="0"/>
    </xf>
    <xf numFmtId="0" fontId="2" fillId="22" borderId="15" xfId="0" applyFont="1" applyFill="1" applyBorder="1" applyAlignment="1">
      <alignment horizontal="center" vertical="center"/>
    </xf>
    <xf numFmtId="0" fontId="2" fillId="22" borderId="14" xfId="0" applyFont="1" applyFill="1" applyBorder="1" applyAlignment="1">
      <alignment horizontal="center" vertical="center"/>
    </xf>
    <xf numFmtId="0" fontId="2" fillId="22" borderId="62" xfId="0" applyFont="1" applyFill="1" applyBorder="1" applyAlignment="1">
      <alignment horizontal="center" vertical="center"/>
    </xf>
    <xf numFmtId="0" fontId="2" fillId="22" borderId="15" xfId="0" applyFont="1" applyFill="1" applyBorder="1" applyAlignment="1" applyProtection="1">
      <alignment horizontal="left" vertical="center"/>
      <protection locked="0"/>
    </xf>
    <xf numFmtId="0" fontId="2" fillId="22" borderId="14" xfId="0" applyFont="1" applyFill="1" applyBorder="1" applyAlignment="1" applyProtection="1">
      <alignment horizontal="left" vertical="center"/>
      <protection locked="0"/>
    </xf>
    <xf numFmtId="0" fontId="2" fillId="22" borderId="62" xfId="0" applyFont="1" applyFill="1" applyBorder="1" applyAlignment="1" applyProtection="1">
      <alignment horizontal="left" vertical="center"/>
      <protection locked="0"/>
    </xf>
    <xf numFmtId="0" fontId="2" fillId="7" borderId="15" xfId="0" applyFont="1" applyFill="1" applyBorder="1" applyAlignment="1">
      <alignment horizontal="center" vertical="center"/>
    </xf>
    <xf numFmtId="0" fontId="2" fillId="7" borderId="14" xfId="0" applyFont="1" applyFill="1" applyBorder="1" applyAlignment="1">
      <alignment horizontal="center" vertical="center"/>
    </xf>
    <xf numFmtId="0" fontId="2" fillId="7" borderId="16" xfId="0" applyFont="1" applyFill="1" applyBorder="1" applyAlignment="1">
      <alignment horizontal="center" vertical="center"/>
    </xf>
    <xf numFmtId="0" fontId="2" fillId="7" borderId="15" xfId="0" applyFont="1" applyFill="1" applyBorder="1" applyAlignment="1" applyProtection="1">
      <alignment horizontal="left" vertical="center"/>
      <protection locked="0"/>
    </xf>
    <xf numFmtId="0" fontId="2" fillId="7" borderId="14" xfId="0" applyFont="1" applyFill="1" applyBorder="1" applyAlignment="1" applyProtection="1">
      <alignment horizontal="left" vertical="center"/>
      <protection locked="0"/>
    </xf>
    <xf numFmtId="0" fontId="2" fillId="7" borderId="16" xfId="0" applyFont="1" applyFill="1" applyBorder="1" applyAlignment="1" applyProtection="1">
      <alignment horizontal="left" vertical="center"/>
      <protection locked="0"/>
    </xf>
    <xf numFmtId="0" fontId="2" fillId="16" borderId="15" xfId="0" applyFont="1" applyFill="1" applyBorder="1" applyAlignment="1">
      <alignment horizontal="center" vertical="center"/>
    </xf>
    <xf numFmtId="0" fontId="2" fillId="16" borderId="14" xfId="0" applyFont="1" applyFill="1" applyBorder="1" applyAlignment="1">
      <alignment horizontal="center" vertical="center"/>
    </xf>
    <xf numFmtId="0" fontId="2" fillId="16" borderId="16" xfId="0" applyFont="1" applyFill="1" applyBorder="1" applyAlignment="1">
      <alignment horizontal="center" vertical="center"/>
    </xf>
    <xf numFmtId="0" fontId="2" fillId="16" borderId="15" xfId="0" applyFont="1" applyFill="1" applyBorder="1" applyAlignment="1" applyProtection="1">
      <alignment horizontal="left" vertical="center"/>
      <protection locked="0"/>
    </xf>
    <xf numFmtId="0" fontId="2" fillId="16" borderId="14" xfId="0" applyFont="1" applyFill="1" applyBorder="1" applyAlignment="1" applyProtection="1">
      <alignment horizontal="left" vertical="center"/>
      <protection locked="0"/>
    </xf>
    <xf numFmtId="0" fontId="2" fillId="16" borderId="16" xfId="0" applyFont="1" applyFill="1" applyBorder="1" applyAlignment="1" applyProtection="1">
      <alignment horizontal="left" vertical="center"/>
      <protection locked="0"/>
    </xf>
    <xf numFmtId="0" fontId="2" fillId="34" borderId="15" xfId="0" applyFont="1" applyFill="1" applyBorder="1" applyAlignment="1">
      <alignment horizontal="center" vertical="center"/>
    </xf>
    <xf numFmtId="0" fontId="2" fillId="34" borderId="14" xfId="0" applyFont="1" applyFill="1" applyBorder="1" applyAlignment="1">
      <alignment horizontal="center" vertical="center"/>
    </xf>
    <xf numFmtId="0" fontId="2" fillId="34" borderId="16" xfId="0" applyFont="1" applyFill="1" applyBorder="1" applyAlignment="1">
      <alignment horizontal="center" vertical="center"/>
    </xf>
    <xf numFmtId="0" fontId="2" fillId="34" borderId="15" xfId="0" applyFont="1" applyFill="1" applyBorder="1" applyAlignment="1" applyProtection="1">
      <alignment horizontal="left" vertical="center"/>
      <protection locked="0"/>
    </xf>
    <xf numFmtId="0" fontId="2" fillId="34" borderId="14" xfId="0" applyFont="1" applyFill="1" applyBorder="1" applyAlignment="1" applyProtection="1">
      <alignment horizontal="left" vertical="center"/>
      <protection locked="0"/>
    </xf>
    <xf numFmtId="0" fontId="2" fillId="34" borderId="16" xfId="0" applyFont="1" applyFill="1" applyBorder="1" applyAlignment="1" applyProtection="1">
      <alignment horizontal="left" vertical="center"/>
      <protection locked="0"/>
    </xf>
    <xf numFmtId="0" fontId="2" fillId="20" borderId="57" xfId="0" applyFont="1" applyFill="1" applyBorder="1" applyAlignment="1">
      <alignment horizontal="center" vertical="center"/>
    </xf>
    <xf numFmtId="0" fontId="2" fillId="20" borderId="14" xfId="0" applyFont="1" applyFill="1" applyBorder="1" applyAlignment="1">
      <alignment horizontal="center" vertical="center"/>
    </xf>
    <xf numFmtId="0" fontId="2" fillId="20" borderId="16" xfId="0" applyFont="1" applyFill="1" applyBorder="1" applyAlignment="1">
      <alignment horizontal="center" vertical="center"/>
    </xf>
    <xf numFmtId="0" fontId="2" fillId="20" borderId="57" xfId="0" applyFont="1" applyFill="1" applyBorder="1" applyAlignment="1" applyProtection="1">
      <alignment horizontal="left" vertical="center"/>
      <protection locked="0"/>
    </xf>
    <xf numFmtId="0" fontId="2" fillId="20" borderId="14" xfId="0" applyFont="1" applyFill="1" applyBorder="1" applyAlignment="1" applyProtection="1">
      <alignment horizontal="left" vertical="center"/>
      <protection locked="0"/>
    </xf>
    <xf numFmtId="0" fontId="2" fillId="20" borderId="16" xfId="0" applyFont="1" applyFill="1" applyBorder="1" applyAlignment="1" applyProtection="1">
      <alignment horizontal="left" vertical="center"/>
      <protection locked="0"/>
    </xf>
    <xf numFmtId="0" fontId="177" fillId="0" borderId="0" xfId="0" applyFont="1" applyFill="1" applyAlignment="1" applyProtection="1">
      <alignment horizontal="center" vertical="center" wrapText="1"/>
      <protection hidden="1"/>
    </xf>
    <xf numFmtId="0" fontId="51" fillId="0" borderId="0" xfId="0" applyFont="1" applyFill="1" applyAlignment="1" applyProtection="1">
      <alignment horizontal="center" vertical="center"/>
      <protection hidden="1"/>
    </xf>
    <xf numFmtId="0" fontId="0" fillId="0" borderId="0" xfId="0" applyFill="1" applyAlignment="1" applyProtection="1">
      <alignment horizontal="center"/>
      <protection hidden="1"/>
    </xf>
    <xf numFmtId="0" fontId="170" fillId="0" borderId="4" xfId="0" applyFont="1" applyFill="1" applyBorder="1" applyAlignment="1" applyProtection="1">
      <alignment horizontal="center" vertical="center"/>
      <protection hidden="1"/>
    </xf>
    <xf numFmtId="0" fontId="170" fillId="0" borderId="12" xfId="0" applyFont="1" applyFill="1" applyBorder="1" applyAlignment="1" applyProtection="1">
      <alignment horizontal="center" vertical="center"/>
      <protection hidden="1"/>
    </xf>
    <xf numFmtId="0" fontId="170" fillId="0" borderId="2" xfId="0" applyFont="1" applyFill="1" applyBorder="1" applyAlignment="1" applyProtection="1">
      <alignment horizontal="center" vertical="center"/>
      <protection hidden="1"/>
    </xf>
    <xf numFmtId="0" fontId="171" fillId="0" borderId="0" xfId="0" applyFont="1" applyFill="1" applyAlignment="1" applyProtection="1">
      <alignment horizontal="center"/>
      <protection hidden="1"/>
    </xf>
    <xf numFmtId="0" fontId="171" fillId="0" borderId="0" xfId="0" applyFont="1" applyFill="1" applyAlignment="1" applyProtection="1">
      <alignment horizontal="center" vertical="center" wrapText="1"/>
      <protection hidden="1"/>
    </xf>
    <xf numFmtId="0" fontId="0" fillId="0" borderId="0" xfId="0" applyFill="1" applyAlignment="1" applyProtection="1">
      <alignment horizontal="center" vertical="center" wrapText="1"/>
      <protection hidden="1"/>
    </xf>
    <xf numFmtId="0" fontId="171" fillId="0" borderId="0" xfId="0" applyFont="1" applyFill="1" applyAlignment="1" applyProtection="1">
      <alignment horizontal="center" vertical="center"/>
      <protection hidden="1"/>
    </xf>
    <xf numFmtId="0" fontId="170" fillId="0" borderId="2" xfId="0" applyFont="1" applyFill="1" applyBorder="1" applyAlignment="1" applyProtection="1">
      <alignment horizontal="center" vertical="center" wrapText="1"/>
      <protection hidden="1"/>
    </xf>
    <xf numFmtId="0" fontId="170" fillId="0" borderId="4" xfId="0" applyFont="1" applyFill="1" applyBorder="1" applyAlignment="1" applyProtection="1">
      <alignment horizontal="center" vertical="center" wrapText="1"/>
      <protection hidden="1"/>
    </xf>
    <xf numFmtId="0" fontId="170" fillId="0" borderId="12" xfId="0" applyFont="1" applyFill="1" applyBorder="1" applyAlignment="1" applyProtection="1">
      <alignment horizontal="center" vertical="center" wrapText="1"/>
      <protection hidden="1"/>
    </xf>
    <xf numFmtId="0" fontId="170" fillId="0" borderId="15" xfId="0" applyFont="1" applyFill="1" applyBorder="1" applyAlignment="1" applyProtection="1">
      <alignment horizontal="center" vertical="center"/>
      <protection hidden="1"/>
    </xf>
    <xf numFmtId="0" fontId="170" fillId="0" borderId="16" xfId="0" applyFont="1" applyFill="1" applyBorder="1" applyAlignment="1" applyProtection="1">
      <alignment horizontal="center" vertical="center"/>
      <protection hidden="1"/>
    </xf>
    <xf numFmtId="0" fontId="0" fillId="0" borderId="0" xfId="0" applyFill="1" applyAlignment="1" applyProtection="1">
      <alignment horizontal="center" vertical="center"/>
      <protection hidden="1"/>
    </xf>
    <xf numFmtId="0" fontId="67" fillId="0" borderId="2" xfId="0" applyFont="1" applyFill="1" applyBorder="1" applyAlignment="1" applyProtection="1">
      <alignment horizontal="center" vertical="center"/>
      <protection hidden="1"/>
    </xf>
    <xf numFmtId="0" fontId="65" fillId="8" borderId="0" xfId="0" applyFont="1" applyFill="1" applyBorder="1" applyAlignment="1" applyProtection="1">
      <alignment horizontal="left" vertical="center"/>
      <protection hidden="1"/>
    </xf>
    <xf numFmtId="0" fontId="19" fillId="9" borderId="0" xfId="0" applyFont="1" applyFill="1" applyAlignment="1" applyProtection="1">
      <alignment horizontal="center" vertical="center" wrapText="1"/>
      <protection hidden="1"/>
    </xf>
    <xf numFmtId="0" fontId="19" fillId="9" borderId="1" xfId="0" applyFont="1" applyFill="1" applyBorder="1" applyAlignment="1" applyProtection="1">
      <alignment horizontal="center" vertical="center" wrapText="1"/>
      <protection hidden="1"/>
    </xf>
    <xf numFmtId="0" fontId="63" fillId="15" borderId="26" xfId="0" applyFont="1" applyFill="1" applyBorder="1" applyAlignment="1" applyProtection="1">
      <alignment horizontal="left" vertical="center" wrapText="1"/>
      <protection hidden="1"/>
    </xf>
    <xf numFmtId="0" fontId="63" fillId="15" borderId="27" xfId="0" applyFont="1" applyFill="1" applyBorder="1" applyAlignment="1" applyProtection="1">
      <alignment horizontal="left" vertical="center" wrapText="1"/>
      <protection hidden="1"/>
    </xf>
    <xf numFmtId="0" fontId="63" fillId="15" borderId="28" xfId="0" applyFont="1" applyFill="1" applyBorder="1" applyAlignment="1" applyProtection="1">
      <alignment horizontal="left" vertical="center" wrapText="1"/>
      <protection hidden="1"/>
    </xf>
    <xf numFmtId="0" fontId="22" fillId="2" borderId="16" xfId="0" applyFont="1" applyFill="1" applyBorder="1" applyAlignment="1" applyProtection="1">
      <alignment horizontal="center" vertical="center"/>
      <protection hidden="1"/>
    </xf>
    <xf numFmtId="0" fontId="22" fillId="2" borderId="2" xfId="0" applyFont="1" applyFill="1" applyBorder="1" applyAlignment="1" applyProtection="1">
      <alignment horizontal="center" vertical="center"/>
      <protection hidden="1"/>
    </xf>
    <xf numFmtId="0" fontId="64" fillId="13" borderId="16" xfId="0" applyFont="1" applyFill="1" applyBorder="1" applyAlignment="1" applyProtection="1">
      <alignment horizontal="center" vertical="center" wrapText="1"/>
      <protection hidden="1"/>
    </xf>
    <xf numFmtId="0" fontId="64" fillId="17" borderId="16" xfId="0" applyFont="1" applyFill="1" applyBorder="1" applyAlignment="1" applyProtection="1">
      <alignment horizontal="center" vertical="center" wrapText="1"/>
      <protection hidden="1"/>
    </xf>
    <xf numFmtId="0" fontId="64" fillId="11" borderId="16" xfId="0" applyFont="1" applyFill="1" applyBorder="1" applyAlignment="1" applyProtection="1">
      <alignment horizontal="center" vertical="center" wrapText="1"/>
      <protection hidden="1"/>
    </xf>
    <xf numFmtId="0" fontId="64" fillId="19" borderId="16" xfId="0" applyFont="1" applyFill="1" applyBorder="1" applyAlignment="1" applyProtection="1">
      <alignment horizontal="center" vertical="center" wrapText="1"/>
      <protection hidden="1"/>
    </xf>
    <xf numFmtId="0" fontId="22" fillId="12" borderId="29" xfId="0" applyFont="1" applyFill="1" applyBorder="1" applyAlignment="1" applyProtection="1">
      <alignment horizontal="center" vertical="center"/>
      <protection hidden="1"/>
    </xf>
    <xf numFmtId="0" fontId="22" fillId="12" borderId="24" xfId="0" applyFont="1" applyFill="1" applyBorder="1" applyAlignment="1" applyProtection="1">
      <alignment horizontal="center" vertical="center"/>
      <protection hidden="1"/>
    </xf>
    <xf numFmtId="0" fontId="76" fillId="21" borderId="29" xfId="0" applyFont="1" applyFill="1" applyBorder="1" applyAlignment="1" applyProtection="1">
      <alignment horizontal="center" vertical="center" wrapText="1"/>
      <protection hidden="1"/>
    </xf>
    <xf numFmtId="0" fontId="76" fillId="21" borderId="7" xfId="0" applyFont="1" applyFill="1" applyBorder="1" applyAlignment="1" applyProtection="1">
      <alignment horizontal="center" vertical="center" wrapText="1"/>
      <protection hidden="1"/>
    </xf>
    <xf numFmtId="0" fontId="76" fillId="21" borderId="31" xfId="0" applyFont="1" applyFill="1" applyBorder="1" applyAlignment="1" applyProtection="1">
      <alignment horizontal="center" vertical="center" wrapText="1"/>
      <protection hidden="1"/>
    </xf>
    <xf numFmtId="0" fontId="76" fillId="21" borderId="24" xfId="0" applyFont="1" applyFill="1" applyBorder="1" applyAlignment="1" applyProtection="1">
      <alignment horizontal="center" vertical="center" wrapText="1"/>
      <protection hidden="1"/>
    </xf>
    <xf numFmtId="0" fontId="76" fillId="21" borderId="1" xfId="0" applyFont="1" applyFill="1" applyBorder="1" applyAlignment="1" applyProtection="1">
      <alignment horizontal="center" vertical="center" wrapText="1"/>
      <protection hidden="1"/>
    </xf>
    <xf numFmtId="0" fontId="76" fillId="21" borderId="25" xfId="0" applyFont="1" applyFill="1" applyBorder="1" applyAlignment="1" applyProtection="1">
      <alignment horizontal="center" vertical="center" wrapText="1"/>
      <protection hidden="1"/>
    </xf>
    <xf numFmtId="0" fontId="64" fillId="25" borderId="16" xfId="0" applyFont="1" applyFill="1" applyBorder="1" applyAlignment="1" applyProtection="1">
      <alignment horizontal="center" vertical="center" wrapText="1"/>
      <protection hidden="1"/>
    </xf>
    <xf numFmtId="0" fontId="44" fillId="35" borderId="5" xfId="0" applyFont="1" applyFill="1" applyBorder="1" applyAlignment="1" applyProtection="1">
      <alignment horizontal="center" vertical="center"/>
      <protection hidden="1"/>
    </xf>
    <xf numFmtId="0" fontId="44" fillId="35" borderId="0" xfId="0" applyFont="1" applyFill="1" applyBorder="1" applyAlignment="1" applyProtection="1">
      <alignment horizontal="center" vertical="center"/>
      <protection hidden="1"/>
    </xf>
    <xf numFmtId="0" fontId="63" fillId="15" borderId="20" xfId="0" applyFont="1" applyFill="1" applyBorder="1" applyAlignment="1" applyProtection="1">
      <alignment horizontal="left" vertical="center" wrapText="1"/>
      <protection hidden="1"/>
    </xf>
    <xf numFmtId="0" fontId="63" fillId="15" borderId="0" xfId="0" applyFont="1" applyFill="1" applyBorder="1" applyAlignment="1" applyProtection="1">
      <alignment horizontal="left" vertical="center" wrapText="1"/>
      <protection hidden="1"/>
    </xf>
    <xf numFmtId="0" fontId="64" fillId="34" borderId="16" xfId="0" applyFont="1" applyFill="1" applyBorder="1" applyAlignment="1" applyProtection="1">
      <alignment horizontal="center" vertical="center" wrapText="1"/>
      <protection hidden="1"/>
    </xf>
    <xf numFmtId="0" fontId="22" fillId="14" borderId="29" xfId="0" applyFont="1" applyFill="1" applyBorder="1" applyAlignment="1" applyProtection="1">
      <alignment horizontal="center" vertical="center"/>
      <protection hidden="1"/>
    </xf>
    <xf numFmtId="0" fontId="22" fillId="14" borderId="24" xfId="0" applyFont="1" applyFill="1" applyBorder="1" applyAlignment="1" applyProtection="1">
      <alignment horizontal="center" vertical="center"/>
      <protection hidden="1"/>
    </xf>
    <xf numFmtId="0" fontId="18" fillId="25" borderId="0" xfId="0" applyFont="1" applyFill="1" applyBorder="1" applyAlignment="1" applyProtection="1">
      <alignment horizontal="left" vertical="center"/>
      <protection hidden="1"/>
    </xf>
    <xf numFmtId="167" fontId="6" fillId="63" borderId="0" xfId="0" applyNumberFormat="1" applyFont="1" applyFill="1" applyBorder="1" applyAlignment="1">
      <alignment horizontal="center"/>
    </xf>
    <xf numFmtId="0" fontId="2" fillId="62" borderId="2" xfId="0" applyFont="1" applyFill="1" applyBorder="1" applyAlignment="1">
      <alignment horizontal="center" vertical="center"/>
    </xf>
    <xf numFmtId="0" fontId="15" fillId="62" borderId="2" xfId="0" applyFont="1" applyFill="1" applyBorder="1" applyAlignment="1">
      <alignment horizontal="center" vertical="center"/>
    </xf>
    <xf numFmtId="0" fontId="0" fillId="0" borderId="4"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63" borderId="0" xfId="0" applyFill="1" applyBorder="1" applyAlignment="1">
      <alignment horizontal="center" vertical="center"/>
    </xf>
    <xf numFmtId="0" fontId="0" fillId="63" borderId="21" xfId="0" applyFill="1" applyBorder="1" applyAlignment="1">
      <alignment horizontal="center" vertical="center"/>
    </xf>
    <xf numFmtId="0" fontId="0" fillId="0" borderId="0" xfId="0" applyAlignment="1">
      <alignment horizontal="center"/>
    </xf>
    <xf numFmtId="167" fontId="6" fillId="63" borderId="0" xfId="5" applyNumberFormat="1" applyFont="1" applyFill="1" applyBorder="1" applyAlignment="1">
      <alignment horizontal="center"/>
    </xf>
    <xf numFmtId="0" fontId="157" fillId="0" borderId="0" xfId="0" applyFont="1" applyAlignment="1">
      <alignment horizontal="center"/>
    </xf>
    <xf numFmtId="0" fontId="2" fillId="0" borderId="0" xfId="0" applyFont="1" applyAlignment="1">
      <alignment horizontal="center"/>
    </xf>
    <xf numFmtId="0" fontId="2" fillId="62" borderId="2" xfId="0" applyFont="1" applyFill="1" applyBorder="1" applyAlignment="1" applyProtection="1">
      <alignment horizontal="center" vertical="center"/>
      <protection hidden="1"/>
    </xf>
    <xf numFmtId="0" fontId="15" fillId="62" borderId="2" xfId="0" applyFont="1" applyFill="1" applyBorder="1"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center"/>
      <protection locked="0"/>
    </xf>
    <xf numFmtId="0" fontId="2" fillId="0" borderId="0" xfId="0" applyFont="1" applyAlignment="1" applyProtection="1">
      <alignment horizontal="center"/>
      <protection hidden="1"/>
    </xf>
    <xf numFmtId="0" fontId="2" fillId="62" borderId="4" xfId="0" applyFont="1" applyFill="1" applyBorder="1" applyAlignment="1" applyProtection="1">
      <alignment horizontal="center" vertical="center"/>
      <protection hidden="1"/>
    </xf>
    <xf numFmtId="0" fontId="2" fillId="62" borderId="12" xfId="0" applyFont="1" applyFill="1" applyBorder="1" applyAlignment="1" applyProtection="1">
      <alignment horizontal="center" vertical="center"/>
      <protection hidden="1"/>
    </xf>
    <xf numFmtId="0" fontId="2" fillId="62" borderId="13" xfId="0" applyFont="1" applyFill="1" applyBorder="1" applyAlignment="1" applyProtection="1">
      <alignment horizontal="center" vertical="center"/>
      <protection hidden="1"/>
    </xf>
    <xf numFmtId="0" fontId="157" fillId="0" borderId="0" xfId="0" applyFont="1" applyAlignment="1" applyProtection="1">
      <alignment horizontal="center"/>
      <protection hidden="1"/>
    </xf>
    <xf numFmtId="164" fontId="146" fillId="2" borderId="2" xfId="0" applyNumberFormat="1" applyFont="1" applyFill="1" applyBorder="1" applyAlignment="1" applyProtection="1">
      <alignment horizontal="center" vertical="center"/>
      <protection hidden="1"/>
    </xf>
    <xf numFmtId="0" fontId="5" fillId="10" borderId="22" xfId="0" applyFont="1" applyFill="1" applyBorder="1" applyAlignment="1" applyProtection="1">
      <alignment horizontal="center" vertical="center"/>
      <protection hidden="1"/>
    </xf>
    <xf numFmtId="0" fontId="5" fillId="10" borderId="30" xfId="0" applyFont="1" applyFill="1" applyBorder="1" applyAlignment="1" applyProtection="1">
      <alignment horizontal="center" vertical="center"/>
      <protection hidden="1"/>
    </xf>
    <xf numFmtId="0" fontId="5" fillId="10" borderId="25" xfId="0" applyFont="1" applyFill="1" applyBorder="1" applyAlignment="1" applyProtection="1">
      <alignment horizontal="center" vertical="center"/>
      <protection hidden="1"/>
    </xf>
    <xf numFmtId="0" fontId="58" fillId="36" borderId="4" xfId="0" applyFont="1" applyFill="1" applyBorder="1" applyAlignment="1" applyProtection="1">
      <alignment horizontal="center" vertical="center" wrapText="1"/>
      <protection hidden="1"/>
    </xf>
    <xf numFmtId="0" fontId="58" fillId="36" borderId="13" xfId="0" applyFont="1" applyFill="1" applyBorder="1" applyAlignment="1" applyProtection="1">
      <alignment horizontal="center" vertical="center" wrapText="1"/>
      <protection hidden="1"/>
    </xf>
    <xf numFmtId="0" fontId="58" fillId="12" borderId="4" xfId="0" applyFont="1" applyFill="1" applyBorder="1" applyAlignment="1" applyProtection="1">
      <alignment horizontal="center" vertical="center" wrapText="1"/>
      <protection hidden="1"/>
    </xf>
    <xf numFmtId="0" fontId="58" fillId="12" borderId="13" xfId="0" applyFont="1" applyFill="1" applyBorder="1" applyAlignment="1" applyProtection="1">
      <alignment horizontal="center" vertical="center" wrapText="1"/>
      <protection hidden="1"/>
    </xf>
    <xf numFmtId="0" fontId="117" fillId="19" borderId="2" xfId="0" applyFont="1" applyFill="1" applyBorder="1" applyAlignment="1" applyProtection="1">
      <alignment horizontal="center" vertical="center" wrapText="1"/>
      <protection hidden="1"/>
    </xf>
    <xf numFmtId="0" fontId="117" fillId="19" borderId="3" xfId="0" applyFont="1" applyFill="1" applyBorder="1" applyAlignment="1" applyProtection="1">
      <alignment horizontal="center" vertical="center" wrapText="1"/>
      <protection hidden="1"/>
    </xf>
    <xf numFmtId="0" fontId="117" fillId="19" borderId="23" xfId="0" applyFont="1" applyFill="1" applyBorder="1" applyAlignment="1" applyProtection="1">
      <alignment horizontal="center" vertical="center" wrapText="1"/>
      <protection hidden="1"/>
    </xf>
    <xf numFmtId="0" fontId="117" fillId="19" borderId="4" xfId="0" applyFont="1" applyFill="1" applyBorder="1" applyAlignment="1" applyProtection="1">
      <alignment horizontal="center" vertical="center" wrapText="1"/>
      <protection hidden="1"/>
    </xf>
    <xf numFmtId="0" fontId="117" fillId="19" borderId="12" xfId="0" applyFont="1" applyFill="1" applyBorder="1" applyAlignment="1" applyProtection="1">
      <alignment horizontal="center" vertical="center" wrapText="1"/>
      <protection hidden="1"/>
    </xf>
    <xf numFmtId="2" fontId="146" fillId="2" borderId="2" xfId="0" applyNumberFormat="1" applyFont="1" applyFill="1" applyBorder="1" applyAlignment="1" applyProtection="1">
      <alignment horizontal="center" vertical="center"/>
      <protection hidden="1"/>
    </xf>
    <xf numFmtId="0" fontId="111" fillId="50" borderId="0" xfId="0" applyFont="1" applyFill="1" applyBorder="1" applyAlignment="1" applyProtection="1">
      <alignment horizontal="left" vertical="center"/>
      <protection hidden="1"/>
    </xf>
    <xf numFmtId="0" fontId="6" fillId="38" borderId="2" xfId="0" applyFont="1" applyFill="1" applyBorder="1" applyAlignment="1" applyProtection="1">
      <alignment horizontal="center" vertical="center"/>
      <protection hidden="1"/>
    </xf>
    <xf numFmtId="0" fontId="7" fillId="38" borderId="2" xfId="0" applyFont="1" applyFill="1" applyBorder="1" applyAlignment="1" applyProtection="1">
      <alignment horizontal="center" vertical="center" wrapText="1"/>
      <protection hidden="1"/>
    </xf>
    <xf numFmtId="0" fontId="6" fillId="38" borderId="2" xfId="0" applyFont="1" applyFill="1" applyBorder="1" applyAlignment="1" applyProtection="1">
      <alignment horizontal="center" vertical="center" wrapText="1"/>
      <protection hidden="1"/>
    </xf>
    <xf numFmtId="0" fontId="32" fillId="22" borderId="2" xfId="0" applyFont="1" applyFill="1" applyBorder="1" applyAlignment="1" applyProtection="1">
      <alignment horizontal="center"/>
      <protection hidden="1"/>
    </xf>
    <xf numFmtId="0" fontId="58" fillId="12" borderId="2" xfId="0" applyFont="1" applyFill="1" applyBorder="1" applyAlignment="1" applyProtection="1">
      <alignment horizontal="center" vertical="center" textRotation="90" wrapText="1"/>
      <protection hidden="1"/>
    </xf>
    <xf numFmtId="0" fontId="58" fillId="21" borderId="2" xfId="0" applyFont="1" applyFill="1" applyBorder="1" applyAlignment="1" applyProtection="1">
      <alignment horizontal="center" vertical="center" textRotation="90" wrapText="1"/>
      <protection hidden="1"/>
    </xf>
    <xf numFmtId="0" fontId="58" fillId="18" borderId="24" xfId="0" applyFont="1" applyFill="1" applyBorder="1" applyAlignment="1" applyProtection="1">
      <alignment horizontal="center" vertical="center" wrapText="1"/>
      <protection hidden="1"/>
    </xf>
    <xf numFmtId="0" fontId="58" fillId="18" borderId="1" xfId="0" applyFont="1" applyFill="1" applyBorder="1" applyAlignment="1" applyProtection="1">
      <alignment horizontal="center" vertical="center" wrapText="1"/>
      <protection hidden="1"/>
    </xf>
    <xf numFmtId="0" fontId="18" fillId="10" borderId="4" xfId="0" applyFont="1" applyFill="1" applyBorder="1" applyAlignment="1" applyProtection="1">
      <alignment horizontal="center" vertical="center"/>
      <protection hidden="1"/>
    </xf>
    <xf numFmtId="0" fontId="18" fillId="10" borderId="12" xfId="0" applyFont="1" applyFill="1" applyBorder="1" applyAlignment="1" applyProtection="1">
      <alignment horizontal="center" vertical="center"/>
      <protection hidden="1"/>
    </xf>
    <xf numFmtId="0" fontId="18" fillId="10" borderId="13" xfId="0" applyFont="1" applyFill="1" applyBorder="1" applyAlignment="1" applyProtection="1">
      <alignment horizontal="center" vertical="center"/>
      <protection hidden="1"/>
    </xf>
    <xf numFmtId="0" fontId="18" fillId="11" borderId="4" xfId="0" applyFont="1" applyFill="1" applyBorder="1" applyAlignment="1" applyProtection="1">
      <alignment horizontal="center" vertical="center"/>
      <protection hidden="1"/>
    </xf>
    <xf numFmtId="0" fontId="18" fillId="11" borderId="12" xfId="0" applyFont="1" applyFill="1" applyBorder="1" applyAlignment="1" applyProtection="1">
      <alignment horizontal="center" vertical="center"/>
      <protection hidden="1"/>
    </xf>
    <xf numFmtId="0" fontId="18" fillId="11" borderId="13" xfId="0" applyFont="1" applyFill="1" applyBorder="1" applyAlignment="1" applyProtection="1">
      <alignment horizontal="center" vertical="center"/>
      <protection hidden="1"/>
    </xf>
    <xf numFmtId="0" fontId="18" fillId="2" borderId="4" xfId="0" applyFont="1" applyFill="1" applyBorder="1" applyAlignment="1" applyProtection="1">
      <alignment horizontal="center" vertical="center"/>
      <protection hidden="1"/>
    </xf>
    <xf numFmtId="0" fontId="18" fillId="2" borderId="12" xfId="0" applyFont="1" applyFill="1" applyBorder="1" applyAlignment="1" applyProtection="1">
      <alignment horizontal="center" vertical="center"/>
      <protection hidden="1"/>
    </xf>
    <xf numFmtId="0" fontId="18" fillId="2" borderId="13" xfId="0" applyFont="1" applyFill="1" applyBorder="1" applyAlignment="1" applyProtection="1">
      <alignment horizontal="center" vertical="center"/>
      <protection hidden="1"/>
    </xf>
    <xf numFmtId="0" fontId="18" fillId="41" borderId="4" xfId="0" applyFont="1" applyFill="1" applyBorder="1" applyAlignment="1" applyProtection="1">
      <alignment horizontal="center" vertical="center"/>
      <protection hidden="1"/>
    </xf>
    <xf numFmtId="0" fontId="18" fillId="41" borderId="12" xfId="0" applyFont="1" applyFill="1" applyBorder="1" applyAlignment="1" applyProtection="1">
      <alignment horizontal="center" vertical="center"/>
      <protection hidden="1"/>
    </xf>
    <xf numFmtId="0" fontId="18" fillId="41" borderId="13" xfId="0" applyFont="1" applyFill="1" applyBorder="1" applyAlignment="1" applyProtection="1">
      <alignment horizontal="center" vertical="center"/>
      <protection hidden="1"/>
    </xf>
    <xf numFmtId="0" fontId="18" fillId="12" borderId="4" xfId="0" applyFont="1" applyFill="1" applyBorder="1" applyAlignment="1" applyProtection="1">
      <alignment horizontal="center" vertical="center"/>
      <protection hidden="1"/>
    </xf>
    <xf numFmtId="0" fontId="18" fillId="12" borderId="12" xfId="0" applyFont="1" applyFill="1" applyBorder="1" applyAlignment="1" applyProtection="1">
      <alignment horizontal="center" vertical="center"/>
      <protection hidden="1"/>
    </xf>
    <xf numFmtId="0" fontId="18" fillId="12" borderId="13" xfId="0" applyFont="1" applyFill="1" applyBorder="1" applyAlignment="1" applyProtection="1">
      <alignment horizontal="center" vertical="center"/>
      <protection hidden="1"/>
    </xf>
    <xf numFmtId="0" fontId="18" fillId="40" borderId="4" xfId="0" applyFont="1" applyFill="1" applyBorder="1" applyAlignment="1" applyProtection="1">
      <alignment horizontal="center" vertical="center"/>
      <protection hidden="1"/>
    </xf>
    <xf numFmtId="0" fontId="18" fillId="40" borderId="12" xfId="0" applyFont="1" applyFill="1" applyBorder="1" applyAlignment="1" applyProtection="1">
      <alignment horizontal="center" vertical="center"/>
      <protection hidden="1"/>
    </xf>
    <xf numFmtId="0" fontId="18" fillId="40" borderId="13" xfId="0" applyFont="1" applyFill="1" applyBorder="1" applyAlignment="1" applyProtection="1">
      <alignment horizontal="center" vertical="center"/>
      <protection hidden="1"/>
    </xf>
    <xf numFmtId="0" fontId="2" fillId="36" borderId="4" xfId="0" applyFont="1" applyFill="1" applyBorder="1" applyAlignment="1" applyProtection="1">
      <alignment horizontal="center" vertical="center" wrapText="1"/>
      <protection hidden="1"/>
    </xf>
    <xf numFmtId="0" fontId="2" fillId="36" borderId="13" xfId="0" applyFont="1" applyFill="1" applyBorder="1" applyAlignment="1" applyProtection="1">
      <alignment horizontal="center" vertical="center" wrapText="1"/>
      <protection hidden="1"/>
    </xf>
    <xf numFmtId="0" fontId="7" fillId="12" borderId="4" xfId="0" applyFont="1" applyFill="1" applyBorder="1" applyAlignment="1" applyProtection="1">
      <alignment horizontal="center" vertical="center" wrapText="1"/>
      <protection hidden="1"/>
    </xf>
    <xf numFmtId="0" fontId="7" fillId="12" borderId="13" xfId="0" applyFont="1" applyFill="1" applyBorder="1" applyAlignment="1" applyProtection="1">
      <alignment horizontal="center" vertical="center" wrapText="1"/>
      <protection hidden="1"/>
    </xf>
    <xf numFmtId="0" fontId="6" fillId="14" borderId="2" xfId="0" applyFont="1" applyFill="1" applyBorder="1" applyAlignment="1" applyProtection="1">
      <alignment horizontal="center" vertical="center"/>
      <protection hidden="1"/>
    </xf>
    <xf numFmtId="0" fontId="7" fillId="14" borderId="2" xfId="0" applyFont="1" applyFill="1" applyBorder="1" applyAlignment="1" applyProtection="1">
      <alignment horizontal="center" vertical="center" wrapText="1"/>
      <protection hidden="1"/>
    </xf>
    <xf numFmtId="0" fontId="6" fillId="14" borderId="2" xfId="0" applyFont="1" applyFill="1" applyBorder="1" applyAlignment="1" applyProtection="1">
      <alignment horizontal="center" vertical="center" wrapText="1"/>
      <protection hidden="1"/>
    </xf>
    <xf numFmtId="0" fontId="24" fillId="17" borderId="4" xfId="0" applyFont="1" applyFill="1" applyBorder="1" applyAlignment="1" applyProtection="1">
      <alignment horizontal="center" vertical="center"/>
      <protection hidden="1"/>
    </xf>
    <xf numFmtId="0" fontId="24" fillId="17" borderId="12" xfId="0" applyFont="1" applyFill="1" applyBorder="1" applyAlignment="1" applyProtection="1">
      <alignment horizontal="center" vertical="center"/>
      <protection hidden="1"/>
    </xf>
    <xf numFmtId="0" fontId="24" fillId="17" borderId="13" xfId="0" applyFont="1" applyFill="1" applyBorder="1" applyAlignment="1" applyProtection="1">
      <alignment horizontal="center" vertical="center"/>
      <protection hidden="1"/>
    </xf>
    <xf numFmtId="0" fontId="69" fillId="36" borderId="15" xfId="0" applyFont="1" applyFill="1" applyBorder="1" applyAlignment="1" applyProtection="1">
      <alignment horizontal="center" vertical="center"/>
      <protection hidden="1"/>
    </xf>
    <xf numFmtId="0" fontId="69" fillId="36" borderId="16" xfId="0" applyFont="1" applyFill="1" applyBorder="1" applyAlignment="1" applyProtection="1">
      <alignment horizontal="center" vertical="center"/>
      <protection hidden="1"/>
    </xf>
    <xf numFmtId="0" fontId="69" fillId="2" borderId="15" xfId="0" applyFont="1" applyFill="1" applyBorder="1" applyAlignment="1" applyProtection="1">
      <alignment horizontal="center" vertical="center"/>
      <protection hidden="1"/>
    </xf>
    <xf numFmtId="0" fontId="69" fillId="2" borderId="16" xfId="0" applyFont="1" applyFill="1" applyBorder="1" applyAlignment="1" applyProtection="1">
      <alignment horizontal="center" vertical="center"/>
      <protection hidden="1"/>
    </xf>
    <xf numFmtId="0" fontId="69" fillId="60" borderId="15" xfId="0" applyFont="1" applyFill="1" applyBorder="1" applyAlignment="1" applyProtection="1">
      <alignment horizontal="center" vertical="center"/>
      <protection hidden="1"/>
    </xf>
    <xf numFmtId="0" fontId="69" fillId="60" borderId="16" xfId="0" applyFont="1" applyFill="1" applyBorder="1" applyAlignment="1" applyProtection="1">
      <alignment horizontal="center" vertical="center"/>
      <protection hidden="1"/>
    </xf>
    <xf numFmtId="0" fontId="117" fillId="2" borderId="2" xfId="0" applyFont="1" applyFill="1" applyBorder="1" applyAlignment="1" applyProtection="1">
      <alignment horizontal="center" vertical="center" wrapText="1"/>
      <protection hidden="1"/>
    </xf>
    <xf numFmtId="0" fontId="117" fillId="36" borderId="2" xfId="0" applyFont="1" applyFill="1" applyBorder="1" applyAlignment="1" applyProtection="1">
      <alignment horizontal="center" vertical="center" wrapText="1"/>
      <protection hidden="1"/>
    </xf>
    <xf numFmtId="0" fontId="117" fillId="52" borderId="4" xfId="0" applyFont="1" applyFill="1" applyBorder="1" applyAlignment="1" applyProtection="1">
      <alignment horizontal="center" vertical="center"/>
      <protection hidden="1"/>
    </xf>
    <xf numFmtId="0" fontId="117" fillId="52" borderId="12" xfId="0" applyFont="1" applyFill="1" applyBorder="1" applyAlignment="1" applyProtection="1">
      <alignment horizontal="center" vertical="center"/>
      <protection hidden="1"/>
    </xf>
    <xf numFmtId="0" fontId="117" fillId="52" borderId="13" xfId="0" applyFont="1" applyFill="1" applyBorder="1" applyAlignment="1" applyProtection="1">
      <alignment horizontal="center" vertical="center"/>
      <protection hidden="1"/>
    </xf>
    <xf numFmtId="0" fontId="69" fillId="52" borderId="15" xfId="0" applyFont="1" applyFill="1" applyBorder="1" applyAlignment="1" applyProtection="1">
      <alignment horizontal="center" vertical="center"/>
      <protection hidden="1"/>
    </xf>
    <xf numFmtId="0" fontId="69" fillId="52" borderId="16" xfId="0" applyFont="1" applyFill="1" applyBorder="1" applyAlignment="1" applyProtection="1">
      <alignment horizontal="center" vertical="center"/>
      <protection hidden="1"/>
    </xf>
    <xf numFmtId="0" fontId="166" fillId="0" borderId="2" xfId="0" applyFont="1" applyFill="1" applyBorder="1" applyAlignment="1" applyProtection="1">
      <alignment horizontal="center" vertical="center"/>
      <protection hidden="1"/>
    </xf>
    <xf numFmtId="0" fontId="58" fillId="12" borderId="15" xfId="0" applyFont="1" applyFill="1" applyBorder="1" applyAlignment="1" applyProtection="1">
      <alignment horizontal="center" vertical="center" textRotation="90" wrapText="1"/>
      <protection hidden="1"/>
    </xf>
    <xf numFmtId="0" fontId="58" fillId="12" borderId="14" xfId="0" applyFont="1" applyFill="1" applyBorder="1" applyAlignment="1" applyProtection="1">
      <alignment horizontal="center" vertical="center" textRotation="90" wrapText="1"/>
      <protection hidden="1"/>
    </xf>
    <xf numFmtId="0" fontId="58" fillId="21" borderId="15" xfId="0" applyFont="1" applyFill="1" applyBorder="1" applyAlignment="1" applyProtection="1">
      <alignment horizontal="center" vertical="center" textRotation="90" wrapText="1"/>
      <protection hidden="1"/>
    </xf>
    <xf numFmtId="0" fontId="58" fillId="21" borderId="14" xfId="0" applyFont="1" applyFill="1" applyBorder="1" applyAlignment="1" applyProtection="1">
      <alignment horizontal="center" vertical="center" textRotation="90" wrapText="1"/>
      <protection hidden="1"/>
    </xf>
    <xf numFmtId="0" fontId="117" fillId="2" borderId="4" xfId="0" applyFont="1" applyFill="1" applyBorder="1" applyAlignment="1" applyProtection="1">
      <alignment horizontal="center" vertical="center" wrapText="1"/>
      <protection hidden="1"/>
    </xf>
    <xf numFmtId="0" fontId="117" fillId="2" borderId="12" xfId="0" applyFont="1" applyFill="1" applyBorder="1" applyAlignment="1" applyProtection="1">
      <alignment horizontal="center" vertical="center" wrapText="1"/>
      <protection hidden="1"/>
    </xf>
    <xf numFmtId="0" fontId="117" fillId="2" borderId="13" xfId="0" applyFont="1" applyFill="1" applyBorder="1" applyAlignment="1" applyProtection="1">
      <alignment horizontal="center" vertical="center" wrapText="1"/>
      <protection hidden="1"/>
    </xf>
    <xf numFmtId="0" fontId="19" fillId="17" borderId="2" xfId="0" applyFont="1" applyFill="1" applyBorder="1" applyAlignment="1" applyProtection="1">
      <alignment horizontal="center"/>
      <protection hidden="1"/>
    </xf>
    <xf numFmtId="0" fontId="69" fillId="2" borderId="2" xfId="0" applyFont="1" applyFill="1" applyBorder="1" applyAlignment="1" applyProtection="1">
      <alignment horizontal="center" vertical="center"/>
      <protection hidden="1"/>
    </xf>
    <xf numFmtId="0" fontId="117" fillId="36" borderId="2" xfId="0" applyFont="1" applyFill="1" applyBorder="1" applyAlignment="1" applyProtection="1">
      <alignment horizontal="center" vertical="center"/>
      <protection hidden="1"/>
    </xf>
    <xf numFmtId="164" fontId="69" fillId="36" borderId="2" xfId="0" applyNumberFormat="1" applyFont="1" applyFill="1" applyBorder="1" applyAlignment="1" applyProtection="1">
      <alignment horizontal="center" vertical="center"/>
      <protection hidden="1"/>
    </xf>
    <xf numFmtId="0" fontId="69" fillId="36" borderId="2" xfId="0" applyFont="1" applyFill="1" applyBorder="1" applyAlignment="1" applyProtection="1">
      <alignment horizontal="center" vertical="center"/>
      <protection hidden="1"/>
    </xf>
    <xf numFmtId="0" fontId="149" fillId="9" borderId="2" xfId="0" applyFont="1" applyFill="1" applyBorder="1" applyAlignment="1" applyProtection="1">
      <alignment horizontal="center" vertical="center"/>
      <protection hidden="1"/>
    </xf>
    <xf numFmtId="164" fontId="69" fillId="9" borderId="2" xfId="0" applyNumberFormat="1" applyFont="1" applyFill="1" applyBorder="1" applyAlignment="1" applyProtection="1">
      <alignment horizontal="center" vertical="center"/>
      <protection hidden="1"/>
    </xf>
    <xf numFmtId="0" fontId="69" fillId="9" borderId="2" xfId="0" applyFont="1" applyFill="1" applyBorder="1" applyAlignment="1" applyProtection="1">
      <alignment horizontal="center" vertical="center"/>
      <protection hidden="1"/>
    </xf>
    <xf numFmtId="0" fontId="15" fillId="22" borderId="2" xfId="0" applyFont="1" applyFill="1" applyBorder="1" applyAlignment="1" applyProtection="1">
      <alignment horizontal="center"/>
      <protection hidden="1"/>
    </xf>
    <xf numFmtId="0" fontId="4" fillId="22" borderId="2" xfId="0" applyFont="1" applyFill="1" applyBorder="1" applyAlignment="1" applyProtection="1">
      <alignment horizontal="center"/>
      <protection hidden="1"/>
    </xf>
    <xf numFmtId="0" fontId="15" fillId="17" borderId="2" xfId="0" applyFont="1" applyFill="1" applyBorder="1" applyAlignment="1" applyProtection="1">
      <alignment horizontal="center"/>
      <protection hidden="1"/>
    </xf>
    <xf numFmtId="164" fontId="132" fillId="2" borderId="3" xfId="0" applyNumberFormat="1" applyFont="1" applyFill="1" applyBorder="1" applyAlignment="1" applyProtection="1">
      <alignment horizontal="center" vertical="center"/>
      <protection hidden="1"/>
    </xf>
    <xf numFmtId="0" fontId="132" fillId="2" borderId="24" xfId="0" applyFont="1" applyFill="1" applyBorder="1" applyAlignment="1" applyProtection="1">
      <alignment horizontal="center" vertical="center"/>
      <protection hidden="1"/>
    </xf>
    <xf numFmtId="0" fontId="4" fillId="17" borderId="2" xfId="0" applyFont="1" applyFill="1" applyBorder="1" applyAlignment="1" applyProtection="1">
      <alignment horizontal="center"/>
      <protection hidden="1"/>
    </xf>
    <xf numFmtId="0" fontId="18" fillId="8" borderId="4" xfId="0" applyFont="1" applyFill="1" applyBorder="1" applyAlignment="1" applyProtection="1">
      <alignment horizontal="center" vertical="center"/>
      <protection hidden="1"/>
    </xf>
    <xf numFmtId="0" fontId="18" fillId="8" borderId="12" xfId="0" applyFont="1" applyFill="1" applyBorder="1" applyAlignment="1" applyProtection="1">
      <alignment horizontal="center" vertical="center"/>
      <protection hidden="1"/>
    </xf>
    <xf numFmtId="0" fontId="18" fillId="8" borderId="13" xfId="0" applyFont="1" applyFill="1" applyBorder="1" applyAlignment="1" applyProtection="1">
      <alignment horizontal="center" vertical="center"/>
      <protection hidden="1"/>
    </xf>
    <xf numFmtId="0" fontId="18" fillId="19" borderId="4" xfId="0" applyFont="1" applyFill="1" applyBorder="1" applyAlignment="1" applyProtection="1">
      <alignment horizontal="center" vertical="center"/>
      <protection hidden="1"/>
    </xf>
    <xf numFmtId="0" fontId="18" fillId="19" borderId="12" xfId="0" applyFont="1" applyFill="1" applyBorder="1" applyAlignment="1" applyProtection="1">
      <alignment horizontal="center" vertical="center"/>
      <protection hidden="1"/>
    </xf>
    <xf numFmtId="0" fontId="18" fillId="19" borderId="13" xfId="0" applyFont="1" applyFill="1" applyBorder="1" applyAlignment="1" applyProtection="1">
      <alignment horizontal="center" vertical="center"/>
      <protection hidden="1"/>
    </xf>
    <xf numFmtId="0" fontId="18" fillId="38" borderId="4" xfId="0" applyFont="1" applyFill="1" applyBorder="1" applyAlignment="1" applyProtection="1">
      <alignment horizontal="center" vertical="center"/>
      <protection hidden="1"/>
    </xf>
    <xf numFmtId="0" fontId="18" fillId="38" borderId="12" xfId="0" applyFont="1" applyFill="1" applyBorder="1" applyAlignment="1" applyProtection="1">
      <alignment horizontal="center" vertical="center"/>
      <protection hidden="1"/>
    </xf>
    <xf numFmtId="0" fontId="18" fillId="38" borderId="13" xfId="0" applyFont="1" applyFill="1" applyBorder="1" applyAlignment="1" applyProtection="1">
      <alignment horizontal="center" vertical="center"/>
      <protection hidden="1"/>
    </xf>
    <xf numFmtId="0" fontId="19" fillId="54" borderId="23" xfId="0" applyFont="1" applyFill="1" applyBorder="1" applyAlignment="1" applyProtection="1">
      <alignment horizontal="center" vertical="center"/>
      <protection hidden="1"/>
    </xf>
    <xf numFmtId="0" fontId="19" fillId="54" borderId="22" xfId="0" applyFont="1" applyFill="1" applyBorder="1" applyAlignment="1" applyProtection="1">
      <alignment horizontal="center" vertical="center"/>
      <protection hidden="1"/>
    </xf>
    <xf numFmtId="0" fontId="58" fillId="21" borderId="2" xfId="0" applyFont="1" applyFill="1" applyBorder="1" applyAlignment="1">
      <alignment horizontal="center" vertical="center" textRotation="90" wrapText="1"/>
    </xf>
    <xf numFmtId="0" fontId="58" fillId="18" borderId="24" xfId="0" applyFont="1" applyFill="1" applyBorder="1" applyAlignment="1">
      <alignment horizontal="center" vertical="center" wrapText="1"/>
    </xf>
    <xf numFmtId="0" fontId="58" fillId="18" borderId="1" xfId="0" applyFont="1" applyFill="1" applyBorder="1" applyAlignment="1">
      <alignment horizontal="center" vertical="center" wrapText="1"/>
    </xf>
    <xf numFmtId="0" fontId="134" fillId="50" borderId="4" xfId="0" applyFont="1" applyFill="1" applyBorder="1" applyAlignment="1" applyProtection="1">
      <alignment horizontal="center" vertical="center"/>
      <protection hidden="1"/>
    </xf>
    <xf numFmtId="0" fontId="134" fillId="50" borderId="12" xfId="0" applyFont="1" applyFill="1" applyBorder="1" applyAlignment="1" applyProtection="1">
      <alignment horizontal="center" vertical="center"/>
      <protection hidden="1"/>
    </xf>
    <xf numFmtId="0" fontId="134" fillId="50" borderId="13" xfId="0" applyFont="1" applyFill="1" applyBorder="1" applyAlignment="1" applyProtection="1">
      <alignment horizontal="center" vertical="center"/>
      <protection hidden="1"/>
    </xf>
    <xf numFmtId="0" fontId="134" fillId="58" borderId="4" xfId="0" applyFont="1" applyFill="1" applyBorder="1" applyAlignment="1" applyProtection="1">
      <alignment horizontal="center" vertical="center"/>
      <protection hidden="1"/>
    </xf>
    <xf numFmtId="0" fontId="134" fillId="58" borderId="12" xfId="0" applyFont="1" applyFill="1" applyBorder="1" applyAlignment="1" applyProtection="1">
      <alignment horizontal="center" vertical="center"/>
      <protection hidden="1"/>
    </xf>
    <xf numFmtId="0" fontId="134" fillId="58" borderId="13" xfId="0" applyFont="1" applyFill="1" applyBorder="1" applyAlignment="1" applyProtection="1">
      <alignment horizontal="center" vertical="center"/>
      <protection hidden="1"/>
    </xf>
    <xf numFmtId="0" fontId="134" fillId="24" borderId="4" xfId="0" applyFont="1" applyFill="1" applyBorder="1" applyAlignment="1" applyProtection="1">
      <alignment horizontal="center" vertical="center"/>
      <protection hidden="1"/>
    </xf>
    <xf numFmtId="0" fontId="134" fillId="24" borderId="12" xfId="0" applyFont="1" applyFill="1" applyBorder="1" applyAlignment="1" applyProtection="1">
      <alignment horizontal="center" vertical="center"/>
      <protection hidden="1"/>
    </xf>
    <xf numFmtId="0" fontId="134" fillId="24" borderId="13" xfId="0" applyFont="1" applyFill="1" applyBorder="1" applyAlignment="1" applyProtection="1">
      <alignment horizontal="center" vertical="center"/>
      <protection hidden="1"/>
    </xf>
    <xf numFmtId="0" fontId="58" fillId="36" borderId="4" xfId="0" applyFont="1" applyFill="1" applyBorder="1" applyAlignment="1">
      <alignment horizontal="center" vertical="center" wrapText="1"/>
    </xf>
    <xf numFmtId="0" fontId="58" fillId="36" borderId="13" xfId="0" applyFont="1" applyFill="1" applyBorder="1" applyAlignment="1">
      <alignment horizontal="center" vertical="center" wrapText="1"/>
    </xf>
    <xf numFmtId="0" fontId="58" fillId="12" borderId="4" xfId="0" applyFont="1" applyFill="1" applyBorder="1" applyAlignment="1">
      <alignment horizontal="center" vertical="center" wrapText="1"/>
    </xf>
    <xf numFmtId="0" fontId="58" fillId="12" borderId="13" xfId="0" applyFont="1" applyFill="1" applyBorder="1" applyAlignment="1">
      <alignment horizontal="center" vertical="center" wrapText="1"/>
    </xf>
    <xf numFmtId="0" fontId="58" fillId="12" borderId="2" xfId="0" applyFont="1" applyFill="1" applyBorder="1" applyAlignment="1">
      <alignment horizontal="center" vertical="center" textRotation="90" wrapText="1"/>
    </xf>
    <xf numFmtId="0" fontId="134" fillId="55" borderId="4" xfId="0" applyFont="1" applyFill="1" applyBorder="1" applyAlignment="1" applyProtection="1">
      <alignment horizontal="center" vertical="center"/>
      <protection hidden="1"/>
    </xf>
    <xf numFmtId="0" fontId="134" fillId="55" borderId="12" xfId="0" applyFont="1" applyFill="1" applyBorder="1" applyAlignment="1" applyProtection="1">
      <alignment horizontal="center" vertical="center"/>
      <protection hidden="1"/>
    </xf>
    <xf numFmtId="0" fontId="134" fillId="55" borderId="13" xfId="0" applyFont="1" applyFill="1" applyBorder="1" applyAlignment="1" applyProtection="1">
      <alignment horizontal="center" vertical="center"/>
      <protection hidden="1"/>
    </xf>
    <xf numFmtId="0" fontId="134" fillId="56" borderId="4" xfId="0" applyFont="1" applyFill="1" applyBorder="1" applyAlignment="1" applyProtection="1">
      <alignment horizontal="center" vertical="center"/>
      <protection hidden="1"/>
    </xf>
    <xf numFmtId="0" fontId="134" fillId="56" borderId="12" xfId="0" applyFont="1" applyFill="1" applyBorder="1" applyAlignment="1" applyProtection="1">
      <alignment horizontal="center" vertical="center"/>
      <protection hidden="1"/>
    </xf>
    <xf numFmtId="0" fontId="134" fillId="56" borderId="13" xfId="0" applyFont="1" applyFill="1" applyBorder="1" applyAlignment="1" applyProtection="1">
      <alignment horizontal="center" vertical="center"/>
      <protection hidden="1"/>
    </xf>
    <xf numFmtId="0" fontId="134" fillId="21" borderId="4" xfId="0" applyFont="1" applyFill="1" applyBorder="1" applyAlignment="1" applyProtection="1">
      <alignment horizontal="center" vertical="center"/>
      <protection hidden="1"/>
    </xf>
    <xf numFmtId="0" fontId="134" fillId="21" borderId="12" xfId="0" applyFont="1" applyFill="1" applyBorder="1" applyAlignment="1" applyProtection="1">
      <alignment horizontal="center" vertical="center"/>
      <protection hidden="1"/>
    </xf>
    <xf numFmtId="0" fontId="134" fillId="21" borderId="13" xfId="0" applyFont="1" applyFill="1" applyBorder="1" applyAlignment="1" applyProtection="1">
      <alignment horizontal="center" vertical="center"/>
      <protection hidden="1"/>
    </xf>
    <xf numFmtId="0" fontId="134" fillId="57" borderId="4" xfId="0" applyFont="1" applyFill="1" applyBorder="1" applyAlignment="1" applyProtection="1">
      <alignment horizontal="center" vertical="center"/>
      <protection hidden="1"/>
    </xf>
    <xf numFmtId="0" fontId="134" fillId="57" borderId="12" xfId="0" applyFont="1" applyFill="1" applyBorder="1" applyAlignment="1" applyProtection="1">
      <alignment horizontal="center" vertical="center"/>
      <protection hidden="1"/>
    </xf>
    <xf numFmtId="0" fontId="134" fillId="57" borderId="13" xfId="0" applyFont="1" applyFill="1" applyBorder="1" applyAlignment="1" applyProtection="1">
      <alignment horizontal="center" vertical="center"/>
      <protection hidden="1"/>
    </xf>
    <xf numFmtId="0" fontId="15" fillId="54" borderId="4" xfId="0" applyFont="1" applyFill="1" applyBorder="1" applyAlignment="1" applyProtection="1">
      <alignment horizontal="center" vertical="center"/>
      <protection hidden="1"/>
    </xf>
    <xf numFmtId="0" fontId="15" fillId="54" borderId="12" xfId="0" applyFont="1" applyFill="1" applyBorder="1" applyAlignment="1" applyProtection="1">
      <alignment horizontal="center" vertical="center"/>
      <protection hidden="1"/>
    </xf>
    <xf numFmtId="0" fontId="15" fillId="54" borderId="13" xfId="0" applyFont="1" applyFill="1" applyBorder="1" applyAlignment="1" applyProtection="1">
      <alignment horizontal="center" vertical="center"/>
      <protection hidden="1"/>
    </xf>
    <xf numFmtId="0" fontId="134" fillId="17" borderId="4" xfId="0" applyFont="1" applyFill="1" applyBorder="1" applyAlignment="1" applyProtection="1">
      <alignment horizontal="center" vertical="center"/>
      <protection hidden="1"/>
    </xf>
    <xf numFmtId="0" fontId="134" fillId="17" borderId="12" xfId="0" applyFont="1" applyFill="1" applyBorder="1" applyAlignment="1" applyProtection="1">
      <alignment horizontal="center" vertical="center"/>
      <protection hidden="1"/>
    </xf>
    <xf numFmtId="0" fontId="134" fillId="17" borderId="13" xfId="0" applyFont="1" applyFill="1" applyBorder="1" applyAlignment="1" applyProtection="1">
      <alignment horizontal="center" vertical="center"/>
      <protection hidden="1"/>
    </xf>
    <xf numFmtId="0" fontId="0" fillId="31" borderId="12" xfId="0" applyFill="1" applyBorder="1" applyAlignment="1" applyProtection="1">
      <alignment horizontal="center"/>
      <protection hidden="1"/>
    </xf>
    <xf numFmtId="0" fontId="0" fillId="31" borderId="13" xfId="0" applyFill="1" applyBorder="1" applyAlignment="1" applyProtection="1">
      <alignment horizontal="center"/>
      <protection hidden="1"/>
    </xf>
    <xf numFmtId="0" fontId="0" fillId="2" borderId="4" xfId="0" applyFill="1" applyBorder="1" applyAlignment="1" applyProtection="1">
      <alignment horizontal="center"/>
      <protection hidden="1"/>
    </xf>
    <xf numFmtId="0" fontId="0" fillId="2" borderId="12" xfId="0" applyFill="1" applyBorder="1" applyAlignment="1" applyProtection="1">
      <alignment horizontal="center"/>
      <protection hidden="1"/>
    </xf>
    <xf numFmtId="0" fontId="0" fillId="11" borderId="4" xfId="0" applyFill="1" applyBorder="1" applyAlignment="1" applyProtection="1">
      <alignment horizontal="center"/>
      <protection hidden="1"/>
    </xf>
    <xf numFmtId="0" fontId="0" fillId="11" borderId="12" xfId="0" applyFill="1" applyBorder="1" applyAlignment="1" applyProtection="1">
      <alignment horizontal="center"/>
      <protection hidden="1"/>
    </xf>
    <xf numFmtId="0" fontId="0" fillId="11" borderId="13" xfId="0" applyFill="1" applyBorder="1" applyAlignment="1" applyProtection="1">
      <alignment horizontal="center"/>
      <protection hidden="1"/>
    </xf>
    <xf numFmtId="0" fontId="0" fillId="18" borderId="4" xfId="0" applyFill="1" applyBorder="1" applyAlignment="1" applyProtection="1">
      <alignment horizontal="center"/>
      <protection hidden="1"/>
    </xf>
    <xf numFmtId="0" fontId="0" fillId="18" borderId="12" xfId="0" applyFill="1" applyBorder="1" applyAlignment="1" applyProtection="1">
      <alignment horizontal="center"/>
      <protection hidden="1"/>
    </xf>
    <xf numFmtId="0" fontId="0" fillId="18" borderId="13" xfId="0" applyFill="1" applyBorder="1" applyAlignment="1" applyProtection="1">
      <alignment horizontal="center"/>
      <protection hidden="1"/>
    </xf>
    <xf numFmtId="0" fontId="0" fillId="10" borderId="4" xfId="0" applyFill="1" applyBorder="1" applyAlignment="1" applyProtection="1">
      <alignment horizontal="center"/>
      <protection hidden="1"/>
    </xf>
    <xf numFmtId="0" fontId="0" fillId="10" borderId="12" xfId="0" applyFill="1" applyBorder="1" applyAlignment="1" applyProtection="1">
      <alignment horizontal="center"/>
      <protection hidden="1"/>
    </xf>
    <xf numFmtId="0" fontId="0" fillId="10" borderId="13" xfId="0" applyFill="1" applyBorder="1" applyAlignment="1" applyProtection="1">
      <alignment horizontal="center"/>
      <protection hidden="1"/>
    </xf>
    <xf numFmtId="0" fontId="0" fillId="27" borderId="4" xfId="0" applyFill="1" applyBorder="1" applyAlignment="1" applyProtection="1">
      <alignment horizontal="center"/>
      <protection hidden="1"/>
    </xf>
    <xf numFmtId="0" fontId="0" fillId="27" borderId="12" xfId="0" applyFill="1" applyBorder="1" applyAlignment="1" applyProtection="1">
      <alignment horizontal="center"/>
      <protection hidden="1"/>
    </xf>
    <xf numFmtId="0" fontId="0" fillId="27" borderId="13" xfId="0" applyFill="1" applyBorder="1" applyAlignment="1" applyProtection="1">
      <alignment horizontal="center"/>
      <protection hidden="1"/>
    </xf>
    <xf numFmtId="0" fontId="0" fillId="22" borderId="4" xfId="0" applyFill="1" applyBorder="1" applyAlignment="1" applyProtection="1">
      <alignment horizontal="center"/>
      <protection hidden="1"/>
    </xf>
    <xf numFmtId="0" fontId="0" fillId="22" borderId="12" xfId="0" applyFill="1" applyBorder="1" applyAlignment="1" applyProtection="1">
      <alignment horizontal="center"/>
      <protection hidden="1"/>
    </xf>
    <xf numFmtId="0" fontId="0" fillId="22" borderId="13" xfId="0" applyFill="1" applyBorder="1" applyAlignment="1" applyProtection="1">
      <alignment horizontal="center"/>
      <protection hidden="1"/>
    </xf>
    <xf numFmtId="0" fontId="0" fillId="28" borderId="4" xfId="0" applyFill="1" applyBorder="1" applyAlignment="1" applyProtection="1">
      <alignment horizontal="center"/>
      <protection hidden="1"/>
    </xf>
    <xf numFmtId="0" fontId="0" fillId="28" borderId="12" xfId="0" applyFill="1" applyBorder="1" applyAlignment="1" applyProtection="1">
      <alignment horizontal="center"/>
      <protection hidden="1"/>
    </xf>
    <xf numFmtId="0" fontId="0" fillId="28" borderId="13" xfId="0" applyFill="1" applyBorder="1" applyAlignment="1" applyProtection="1">
      <alignment horizontal="center"/>
      <protection hidden="1"/>
    </xf>
    <xf numFmtId="0" fontId="0" fillId="20" borderId="4" xfId="0" applyFill="1" applyBorder="1" applyAlignment="1" applyProtection="1">
      <alignment horizontal="center"/>
      <protection hidden="1"/>
    </xf>
    <xf numFmtId="0" fontId="0" fillId="20" borderId="12" xfId="0" applyFill="1" applyBorder="1" applyAlignment="1" applyProtection="1">
      <alignment horizontal="center"/>
      <protection hidden="1"/>
    </xf>
    <xf numFmtId="0" fontId="0" fillId="20" borderId="13" xfId="0" applyFill="1" applyBorder="1" applyAlignment="1" applyProtection="1">
      <alignment horizontal="center"/>
      <protection hidden="1"/>
    </xf>
    <xf numFmtId="0" fontId="0" fillId="21" borderId="4" xfId="0" applyFill="1" applyBorder="1" applyAlignment="1" applyProtection="1">
      <alignment horizontal="center"/>
      <protection hidden="1"/>
    </xf>
    <xf numFmtId="0" fontId="0" fillId="21" borderId="12" xfId="0" applyFill="1" applyBorder="1" applyAlignment="1" applyProtection="1">
      <alignment horizontal="center"/>
      <protection hidden="1"/>
    </xf>
    <xf numFmtId="0" fontId="0" fillId="21" borderId="13" xfId="0" applyFill="1" applyBorder="1" applyAlignment="1" applyProtection="1">
      <alignment horizontal="center"/>
      <protection hidden="1"/>
    </xf>
    <xf numFmtId="0" fontId="0" fillId="23" borderId="4" xfId="0" applyFill="1" applyBorder="1" applyAlignment="1" applyProtection="1">
      <alignment horizontal="center"/>
      <protection hidden="1"/>
    </xf>
    <xf numFmtId="0" fontId="0" fillId="23" borderId="12" xfId="0" applyFill="1" applyBorder="1" applyAlignment="1" applyProtection="1">
      <alignment horizontal="center"/>
      <protection hidden="1"/>
    </xf>
    <xf numFmtId="0" fontId="0" fillId="23" borderId="13" xfId="0" applyFill="1" applyBorder="1" applyAlignment="1" applyProtection="1">
      <alignment horizontal="center"/>
      <protection hidden="1"/>
    </xf>
    <xf numFmtId="0" fontId="0" fillId="29" borderId="4" xfId="0" applyFill="1" applyBorder="1" applyAlignment="1" applyProtection="1">
      <alignment horizontal="center"/>
      <protection hidden="1"/>
    </xf>
    <xf numFmtId="0" fontId="0" fillId="29" borderId="12" xfId="0" applyFill="1" applyBorder="1" applyAlignment="1" applyProtection="1">
      <alignment horizontal="center"/>
      <protection hidden="1"/>
    </xf>
    <xf numFmtId="0" fontId="0" fillId="29" borderId="13" xfId="0" applyFill="1" applyBorder="1" applyAlignment="1" applyProtection="1">
      <alignment horizontal="center"/>
      <protection hidden="1"/>
    </xf>
    <xf numFmtId="0" fontId="0" fillId="4" borderId="4" xfId="0" applyFill="1" applyBorder="1" applyAlignment="1" applyProtection="1">
      <alignment horizontal="center"/>
      <protection hidden="1"/>
    </xf>
    <xf numFmtId="0" fontId="0" fillId="4" borderId="12" xfId="0" applyFill="1" applyBorder="1" applyAlignment="1" applyProtection="1">
      <alignment horizontal="center"/>
      <protection hidden="1"/>
    </xf>
    <xf numFmtId="0" fontId="0" fillId="4" borderId="13" xfId="0" applyFill="1" applyBorder="1" applyAlignment="1" applyProtection="1">
      <alignment horizontal="center"/>
      <protection hidden="1"/>
    </xf>
    <xf numFmtId="0" fontId="3" fillId="2" borderId="0" xfId="0" applyFont="1" applyFill="1" applyBorder="1" applyAlignment="1" applyProtection="1">
      <alignment horizontal="left" vertical="center"/>
      <protection hidden="1"/>
    </xf>
    <xf numFmtId="0" fontId="24" fillId="4" borderId="2" xfId="0" applyFont="1" applyFill="1" applyBorder="1" applyAlignment="1" applyProtection="1">
      <alignment horizontal="center"/>
      <protection hidden="1"/>
    </xf>
    <xf numFmtId="0" fontId="4" fillId="4" borderId="2" xfId="0" applyFont="1" applyFill="1" applyBorder="1" applyAlignment="1" applyProtection="1">
      <alignment horizontal="center"/>
      <protection hidden="1"/>
    </xf>
    <xf numFmtId="0" fontId="6" fillId="2" borderId="2" xfId="0" applyFont="1" applyFill="1" applyBorder="1" applyAlignment="1" applyProtection="1">
      <alignment horizontal="center" vertical="center"/>
      <protection hidden="1"/>
    </xf>
    <xf numFmtId="0" fontId="7" fillId="2" borderId="2" xfId="0" applyFont="1" applyFill="1" applyBorder="1" applyAlignment="1" applyProtection="1">
      <alignment horizontal="center" vertical="center" wrapText="1"/>
      <protection hidden="1"/>
    </xf>
    <xf numFmtId="0" fontId="0" fillId="18" borderId="2" xfId="0" applyFill="1" applyBorder="1" applyAlignment="1" applyProtection="1">
      <alignment horizontal="center" vertical="center"/>
      <protection hidden="1"/>
    </xf>
    <xf numFmtId="0" fontId="0" fillId="19" borderId="4" xfId="0" applyFill="1" applyBorder="1" applyAlignment="1" applyProtection="1">
      <alignment horizontal="center" vertical="center"/>
      <protection hidden="1"/>
    </xf>
    <xf numFmtId="0" fontId="0" fillId="19" borderId="12" xfId="0" applyFill="1" applyBorder="1" applyAlignment="1" applyProtection="1">
      <alignment horizontal="center" vertical="center"/>
      <protection hidden="1"/>
    </xf>
    <xf numFmtId="0" fontId="0" fillId="19" borderId="13" xfId="0" applyFill="1" applyBorder="1" applyAlignment="1" applyProtection="1">
      <alignment horizontal="center" vertical="center"/>
      <protection hidden="1"/>
    </xf>
    <xf numFmtId="0" fontId="0" fillId="26" borderId="4" xfId="0" applyFill="1" applyBorder="1" applyAlignment="1" applyProtection="1">
      <alignment horizontal="center"/>
      <protection hidden="1"/>
    </xf>
    <xf numFmtId="0" fontId="0" fillId="26" borderId="12" xfId="0" applyFill="1" applyBorder="1" applyAlignment="1" applyProtection="1">
      <alignment horizontal="center"/>
      <protection hidden="1"/>
    </xf>
    <xf numFmtId="0" fontId="0" fillId="7" borderId="2" xfId="0" applyFill="1" applyBorder="1" applyAlignment="1" applyProtection="1">
      <alignment horizontal="center"/>
      <protection hidden="1"/>
    </xf>
    <xf numFmtId="0" fontId="0" fillId="19" borderId="4" xfId="0" applyFill="1" applyBorder="1" applyAlignment="1" applyProtection="1">
      <alignment horizontal="center"/>
      <protection hidden="1"/>
    </xf>
    <xf numFmtId="0" fontId="0" fillId="19" borderId="12" xfId="0" applyFill="1" applyBorder="1" applyAlignment="1" applyProtection="1">
      <alignment horizontal="center"/>
      <protection hidden="1"/>
    </xf>
    <xf numFmtId="0" fontId="0" fillId="19" borderId="13" xfId="0" applyFill="1" applyBorder="1" applyAlignment="1" applyProtection="1">
      <alignment horizontal="center"/>
      <protection hidden="1"/>
    </xf>
    <xf numFmtId="0" fontId="0" fillId="24" borderId="4" xfId="0" applyFill="1" applyBorder="1" applyAlignment="1" applyProtection="1">
      <alignment horizontal="center"/>
      <protection hidden="1"/>
    </xf>
    <xf numFmtId="0" fontId="0" fillId="24" borderId="12" xfId="0" applyFill="1" applyBorder="1" applyAlignment="1" applyProtection="1">
      <alignment horizontal="center"/>
      <protection hidden="1"/>
    </xf>
    <xf numFmtId="0" fontId="0" fillId="24" borderId="13" xfId="0" applyFill="1" applyBorder="1" applyAlignment="1" applyProtection="1">
      <alignment horizontal="center"/>
      <protection hidden="1"/>
    </xf>
    <xf numFmtId="0" fontId="0" fillId="16" borderId="4" xfId="0" applyFill="1" applyBorder="1" applyAlignment="1" applyProtection="1">
      <alignment horizontal="center"/>
      <protection hidden="1"/>
    </xf>
    <xf numFmtId="0" fontId="0" fillId="16" borderId="12" xfId="0" applyFill="1" applyBorder="1" applyAlignment="1" applyProtection="1">
      <alignment horizontal="center"/>
      <protection hidden="1"/>
    </xf>
    <xf numFmtId="0" fontId="0" fillId="16" borderId="13" xfId="0" applyFill="1" applyBorder="1" applyAlignment="1" applyProtection="1">
      <alignment horizontal="center"/>
      <protection hidden="1"/>
    </xf>
    <xf numFmtId="0" fontId="3" fillId="0" borderId="0" xfId="0" applyFont="1" applyFill="1" applyBorder="1" applyAlignment="1" applyProtection="1">
      <alignment horizontal="left" vertical="center"/>
      <protection hidden="1"/>
    </xf>
    <xf numFmtId="0" fontId="24" fillId="0" borderId="2" xfId="0" applyFont="1" applyFill="1" applyBorder="1" applyAlignment="1" applyProtection="1">
      <alignment horizontal="center"/>
      <protection hidden="1"/>
    </xf>
    <xf numFmtId="0" fontId="4" fillId="0" borderId="2" xfId="0" applyFont="1" applyFill="1" applyBorder="1" applyAlignment="1" applyProtection="1">
      <alignment horizontal="center"/>
      <protection hidden="1"/>
    </xf>
    <xf numFmtId="0" fontId="4" fillId="0" borderId="4" xfId="0" applyFont="1" applyFill="1" applyBorder="1" applyAlignment="1" applyProtection="1">
      <alignment horizontal="center"/>
      <protection hidden="1"/>
    </xf>
    <xf numFmtId="0" fontId="6" fillId="0" borderId="2" xfId="0" applyFont="1" applyFill="1" applyBorder="1" applyAlignment="1" applyProtection="1">
      <alignment horizontal="center" vertical="center"/>
      <protection hidden="1"/>
    </xf>
    <xf numFmtId="0" fontId="7" fillId="0" borderId="2" xfId="0" applyFont="1" applyFill="1" applyBorder="1" applyAlignment="1" applyProtection="1">
      <alignment horizontal="center" vertical="center" wrapText="1"/>
      <protection hidden="1"/>
    </xf>
    <xf numFmtId="0" fontId="0" fillId="0" borderId="2"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12" xfId="0" applyFill="1" applyBorder="1" applyAlignment="1" applyProtection="1">
      <alignment horizontal="center" vertical="center"/>
      <protection hidden="1"/>
    </xf>
    <xf numFmtId="0" fontId="0" fillId="0" borderId="13" xfId="0" applyFill="1" applyBorder="1" applyAlignment="1" applyProtection="1">
      <alignment horizontal="center" vertical="center"/>
      <protection hidden="1"/>
    </xf>
    <xf numFmtId="0" fontId="0" fillId="0" borderId="4" xfId="0" applyFill="1" applyBorder="1" applyAlignment="1" applyProtection="1">
      <alignment horizontal="center"/>
      <protection hidden="1"/>
    </xf>
    <xf numFmtId="0" fontId="0" fillId="0" borderId="12" xfId="0" applyFill="1" applyBorder="1" applyAlignment="1" applyProtection="1">
      <alignment horizontal="center"/>
      <protection hidden="1"/>
    </xf>
    <xf numFmtId="0" fontId="0" fillId="0" borderId="13" xfId="0" applyFill="1" applyBorder="1" applyAlignment="1" applyProtection="1">
      <alignment horizontal="center"/>
      <protection hidden="1"/>
    </xf>
    <xf numFmtId="0" fontId="0" fillId="0" borderId="2" xfId="0" applyFill="1" applyBorder="1" applyAlignment="1" applyProtection="1">
      <alignment horizontal="center"/>
      <protection hidden="1"/>
    </xf>
    <xf numFmtId="0" fontId="75" fillId="0" borderId="2" xfId="0" applyFont="1" applyFill="1" applyBorder="1" applyAlignment="1" applyProtection="1">
      <alignment horizontal="center" vertical="center" wrapText="1"/>
      <protection hidden="1"/>
    </xf>
    <xf numFmtId="0" fontId="3" fillId="2" borderId="0" xfId="0" applyFont="1" applyFill="1" applyBorder="1" applyAlignment="1">
      <alignment horizontal="left"/>
    </xf>
    <xf numFmtId="0" fontId="19" fillId="2" borderId="2" xfId="0" applyFont="1" applyFill="1" applyBorder="1" applyAlignment="1" applyProtection="1">
      <alignment horizontal="center" vertical="center"/>
      <protection locked="0"/>
    </xf>
    <xf numFmtId="0" fontId="19" fillId="2" borderId="2" xfId="0" applyFont="1" applyFill="1" applyBorder="1" applyAlignment="1">
      <alignment horizontal="center" vertical="center" wrapText="1"/>
    </xf>
    <xf numFmtId="0" fontId="4" fillId="11" borderId="15" xfId="0" applyFont="1" applyFill="1" applyBorder="1" applyAlignment="1">
      <alignment horizontal="center" vertical="center"/>
    </xf>
    <xf numFmtId="0" fontId="4" fillId="11" borderId="14" xfId="0" applyFont="1" applyFill="1" applyBorder="1" applyAlignment="1">
      <alignment horizontal="center" vertical="center"/>
    </xf>
    <xf numFmtId="0" fontId="4" fillId="11" borderId="16" xfId="0" applyFont="1" applyFill="1" applyBorder="1" applyAlignment="1">
      <alignment horizontal="center" vertical="center"/>
    </xf>
    <xf numFmtId="0" fontId="4" fillId="19" borderId="4" xfId="0" applyFont="1" applyFill="1" applyBorder="1" applyAlignment="1">
      <alignment horizontal="center"/>
    </xf>
    <xf numFmtId="0" fontId="4" fillId="19" borderId="12" xfId="0" applyFont="1" applyFill="1" applyBorder="1" applyAlignment="1">
      <alignment horizontal="center"/>
    </xf>
    <xf numFmtId="0" fontId="4" fillId="19" borderId="13" xfId="0" applyFont="1" applyFill="1" applyBorder="1" applyAlignment="1">
      <alignment horizontal="center"/>
    </xf>
    <xf numFmtId="0" fontId="4" fillId="19" borderId="2" xfId="0" applyFont="1" applyFill="1" applyBorder="1" applyAlignment="1">
      <alignment horizontal="center"/>
    </xf>
    <xf numFmtId="0" fontId="4" fillId="18" borderId="3" xfId="0" applyFont="1" applyFill="1" applyBorder="1" applyAlignment="1">
      <alignment horizontal="center" vertical="center"/>
    </xf>
    <xf numFmtId="0" fontId="4" fillId="18" borderId="23" xfId="0" applyFont="1" applyFill="1" applyBorder="1" applyAlignment="1">
      <alignment horizontal="center" vertical="center"/>
    </xf>
    <xf numFmtId="0" fontId="4" fillId="18" borderId="22" xfId="0" applyFont="1" applyFill="1" applyBorder="1" applyAlignment="1">
      <alignment horizontal="center" vertical="center"/>
    </xf>
    <xf numFmtId="0" fontId="4" fillId="18" borderId="24" xfId="0" applyFont="1" applyFill="1" applyBorder="1" applyAlignment="1">
      <alignment horizontal="center" vertical="center"/>
    </xf>
    <xf numFmtId="0" fontId="4" fillId="18" borderId="1" xfId="0" applyFont="1" applyFill="1" applyBorder="1" applyAlignment="1">
      <alignment horizontal="center" vertical="center"/>
    </xf>
    <xf numFmtId="0" fontId="4" fillId="18" borderId="25" xfId="0" applyFont="1" applyFill="1" applyBorder="1" applyAlignment="1">
      <alignment horizontal="center" vertical="center"/>
    </xf>
    <xf numFmtId="0" fontId="4" fillId="21" borderId="3" xfId="0" applyFont="1" applyFill="1" applyBorder="1" applyAlignment="1">
      <alignment horizontal="center" vertical="center"/>
    </xf>
    <xf numFmtId="0" fontId="4" fillId="21" borderId="23" xfId="0" applyFont="1" applyFill="1" applyBorder="1" applyAlignment="1">
      <alignment horizontal="center" vertical="center"/>
    </xf>
    <xf numFmtId="0" fontId="4" fillId="21" borderId="22" xfId="0" applyFont="1" applyFill="1" applyBorder="1" applyAlignment="1">
      <alignment horizontal="center" vertical="center"/>
    </xf>
    <xf numFmtId="0" fontId="4" fillId="21" borderId="24" xfId="0" applyFont="1" applyFill="1" applyBorder="1" applyAlignment="1">
      <alignment horizontal="center" vertical="center"/>
    </xf>
    <xf numFmtId="0" fontId="4" fillId="21" borderId="1" xfId="0" applyFont="1" applyFill="1" applyBorder="1" applyAlignment="1">
      <alignment horizontal="center" vertical="center"/>
    </xf>
    <xf numFmtId="0" fontId="4" fillId="21" borderId="25" xfId="0" applyFont="1" applyFill="1" applyBorder="1" applyAlignment="1">
      <alignment horizontal="center" vertical="center"/>
    </xf>
    <xf numFmtId="0" fontId="4" fillId="20" borderId="3" xfId="0" applyFont="1" applyFill="1" applyBorder="1" applyAlignment="1">
      <alignment horizontal="center" vertical="center"/>
    </xf>
    <xf numFmtId="0" fontId="4" fillId="20" borderId="23" xfId="0" applyFont="1" applyFill="1" applyBorder="1" applyAlignment="1">
      <alignment horizontal="center" vertical="center"/>
    </xf>
    <xf numFmtId="0" fontId="4" fillId="20" borderId="22" xfId="0" applyFont="1" applyFill="1" applyBorder="1" applyAlignment="1">
      <alignment horizontal="center" vertical="center"/>
    </xf>
    <xf numFmtId="0" fontId="4" fillId="20" borderId="24" xfId="0" applyFont="1" applyFill="1" applyBorder="1" applyAlignment="1">
      <alignment horizontal="center" vertical="center"/>
    </xf>
    <xf numFmtId="0" fontId="4" fillId="20" borderId="1" xfId="0" applyFont="1" applyFill="1" applyBorder="1" applyAlignment="1">
      <alignment horizontal="center" vertical="center"/>
    </xf>
    <xf numFmtId="0" fontId="4" fillId="20" borderId="25" xfId="0" applyFont="1" applyFill="1" applyBorder="1" applyAlignment="1">
      <alignment horizontal="center" vertical="center"/>
    </xf>
    <xf numFmtId="0" fontId="4" fillId="24" borderId="3" xfId="0" applyFont="1" applyFill="1" applyBorder="1" applyAlignment="1">
      <alignment horizontal="center" vertical="center"/>
    </xf>
    <xf numFmtId="0" fontId="4" fillId="24" borderId="22" xfId="0" applyFont="1" applyFill="1" applyBorder="1" applyAlignment="1">
      <alignment horizontal="center" vertical="center"/>
    </xf>
    <xf numFmtId="0" fontId="4" fillId="24" borderId="24" xfId="0" applyFont="1" applyFill="1" applyBorder="1" applyAlignment="1">
      <alignment horizontal="center" vertical="center"/>
    </xf>
    <xf numFmtId="0" fontId="4" fillId="24" borderId="25" xfId="0" applyFont="1" applyFill="1" applyBorder="1" applyAlignment="1">
      <alignment horizontal="center" vertical="center"/>
    </xf>
    <xf numFmtId="0" fontId="13" fillId="21" borderId="4" xfId="0" applyFont="1" applyFill="1" applyBorder="1" applyAlignment="1">
      <alignment horizontal="center" vertical="center"/>
    </xf>
    <xf numFmtId="0" fontId="13" fillId="21" borderId="13" xfId="0" applyFont="1" applyFill="1" applyBorder="1" applyAlignment="1">
      <alignment horizontal="center" vertical="center"/>
    </xf>
    <xf numFmtId="0" fontId="40" fillId="0" borderId="0" xfId="0" applyFont="1" applyAlignment="1" applyProtection="1">
      <alignment horizontal="center" vertical="center"/>
    </xf>
    <xf numFmtId="0" fontId="32" fillId="0" borderId="0" xfId="0" applyFont="1" applyBorder="1" applyAlignment="1" applyProtection="1">
      <alignment horizontal="center"/>
      <protection hidden="1"/>
    </xf>
    <xf numFmtId="0" fontId="26" fillId="5" borderId="17" xfId="0" applyFont="1" applyFill="1" applyBorder="1" applyAlignment="1" applyProtection="1">
      <alignment horizontal="center" vertical="center"/>
      <protection hidden="1"/>
    </xf>
    <xf numFmtId="0" fontId="26" fillId="5" borderId="18" xfId="0" applyFont="1" applyFill="1" applyBorder="1" applyAlignment="1" applyProtection="1">
      <alignment horizontal="center" vertical="center"/>
      <protection hidden="1"/>
    </xf>
    <xf numFmtId="0" fontId="26" fillId="5" borderId="19" xfId="0" applyFont="1" applyFill="1" applyBorder="1" applyAlignment="1" applyProtection="1">
      <alignment horizontal="center" vertical="center"/>
      <protection hidden="1"/>
    </xf>
    <xf numFmtId="0" fontId="30" fillId="0" borderId="0" xfId="0" applyFont="1" applyBorder="1" applyAlignment="1" applyProtection="1">
      <alignment horizontal="center" vertical="center"/>
      <protection hidden="1"/>
    </xf>
    <xf numFmtId="0" fontId="33" fillId="0" borderId="0" xfId="0" applyFont="1" applyBorder="1" applyAlignment="1" applyProtection="1">
      <alignment horizontal="center"/>
      <protection hidden="1"/>
    </xf>
    <xf numFmtId="0" fontId="34" fillId="0" borderId="0" xfId="0" applyFont="1" applyBorder="1" applyAlignment="1" applyProtection="1">
      <alignment horizontal="center" vertical="center"/>
      <protection hidden="1"/>
    </xf>
    <xf numFmtId="0" fontId="44" fillId="0" borderId="26" xfId="0" applyFont="1" applyBorder="1" applyAlignment="1" applyProtection="1">
      <alignment horizontal="center" vertical="center"/>
      <protection hidden="1"/>
    </xf>
    <xf numFmtId="0" fontId="44" fillId="0" borderId="27" xfId="0" applyFont="1" applyBorder="1" applyAlignment="1" applyProtection="1">
      <alignment horizontal="center" vertical="center"/>
      <protection hidden="1"/>
    </xf>
    <xf numFmtId="0" fontId="44" fillId="0" borderId="28" xfId="0" applyFont="1" applyBorder="1" applyAlignment="1" applyProtection="1">
      <alignment horizontal="center" vertical="center"/>
      <protection hidden="1"/>
    </xf>
    <xf numFmtId="0" fontId="48" fillId="0" borderId="0" xfId="0" applyFont="1" applyBorder="1" applyAlignment="1" applyProtection="1">
      <alignment horizontal="center"/>
      <protection hidden="1"/>
    </xf>
    <xf numFmtId="0" fontId="48" fillId="0" borderId="7" xfId="0" applyFont="1" applyBorder="1" applyAlignment="1" applyProtection="1">
      <alignment horizontal="center"/>
      <protection hidden="1"/>
    </xf>
    <xf numFmtId="0" fontId="3" fillId="0" borderId="0" xfId="0" applyFont="1" applyBorder="1" applyAlignment="1" applyProtection="1">
      <alignment horizontal="center"/>
      <protection hidden="1"/>
    </xf>
    <xf numFmtId="0" fontId="43" fillId="0" borderId="0" xfId="0" applyFont="1" applyAlignment="1" applyProtection="1">
      <alignment horizontal="left" vertical="center"/>
      <protection hidden="1"/>
    </xf>
    <xf numFmtId="0" fontId="52" fillId="0" borderId="0" xfId="0" applyFont="1" applyAlignment="1" applyProtection="1">
      <alignment horizontal="center"/>
      <protection hidden="1"/>
    </xf>
    <xf numFmtId="0" fontId="45" fillId="0" borderId="0" xfId="0" applyFont="1" applyAlignment="1" applyProtection="1">
      <alignment horizontal="center"/>
      <protection hidden="1"/>
    </xf>
    <xf numFmtId="0" fontId="43" fillId="0" borderId="0" xfId="0" applyFont="1" applyAlignment="1" applyProtection="1">
      <alignment horizontal="center"/>
      <protection hidden="1"/>
    </xf>
    <xf numFmtId="0" fontId="53" fillId="0" borderId="0" xfId="0" applyFont="1" applyAlignment="1" applyProtection="1">
      <alignment horizontal="center"/>
      <protection hidden="1"/>
    </xf>
    <xf numFmtId="0" fontId="159" fillId="0" borderId="0" xfId="0" applyFont="1" applyBorder="1" applyAlignment="1">
      <alignment horizontal="right" vertical="center" wrapText="1"/>
    </xf>
    <xf numFmtId="0" fontId="159" fillId="0" borderId="1" xfId="0" applyFont="1" applyBorder="1" applyAlignment="1">
      <alignment horizontal="right" vertical="center" wrapText="1"/>
    </xf>
    <xf numFmtId="0" fontId="55" fillId="0" borderId="0" xfId="0" applyFont="1" applyAlignment="1">
      <alignment horizontal="center"/>
    </xf>
    <xf numFmtId="0" fontId="49" fillId="0" borderId="0" xfId="0" applyFont="1" applyBorder="1" applyAlignment="1">
      <alignment horizontal="center"/>
    </xf>
    <xf numFmtId="0" fontId="48" fillId="0" borderId="0" xfId="0" applyFont="1" applyAlignment="1">
      <alignment horizontal="center"/>
    </xf>
    <xf numFmtId="0" fontId="48" fillId="0" borderId="4" xfId="0" applyFont="1" applyBorder="1" applyAlignment="1">
      <alignment horizontal="justify" vertical="center" wrapText="1"/>
    </xf>
    <xf numFmtId="0" fontId="48" fillId="0" borderId="13" xfId="0" applyFont="1" applyBorder="1" applyAlignment="1">
      <alignment horizontal="justify" vertical="center" wrapText="1"/>
    </xf>
    <xf numFmtId="0" fontId="46" fillId="30" borderId="2" xfId="0" applyFont="1" applyFill="1" applyBorder="1" applyAlignment="1">
      <alignment horizontal="center" vertical="center" wrapText="1"/>
    </xf>
    <xf numFmtId="0" fontId="44" fillId="0" borderId="1" xfId="0" applyFont="1" applyBorder="1" applyAlignment="1">
      <alignment horizontal="left" vertical="center" wrapText="1"/>
    </xf>
    <xf numFmtId="0" fontId="46" fillId="30" borderId="4" xfId="0" applyFont="1" applyFill="1" applyBorder="1" applyAlignment="1">
      <alignment horizontal="center" vertical="center" wrapText="1"/>
    </xf>
    <xf numFmtId="0" fontId="46" fillId="30" borderId="12" xfId="0" applyFont="1" applyFill="1" applyBorder="1" applyAlignment="1">
      <alignment horizontal="center" vertical="center" wrapText="1"/>
    </xf>
    <xf numFmtId="0" fontId="46" fillId="30" borderId="13" xfId="0" applyFont="1" applyFill="1" applyBorder="1" applyAlignment="1">
      <alignment horizontal="center" vertical="center" wrapText="1"/>
    </xf>
    <xf numFmtId="0" fontId="46" fillId="30" borderId="4" xfId="0" applyFont="1" applyFill="1" applyBorder="1" applyAlignment="1">
      <alignment horizontal="center" vertical="center"/>
    </xf>
    <xf numFmtId="0" fontId="46" fillId="30" borderId="13" xfId="0" applyFont="1" applyFill="1" applyBorder="1" applyAlignment="1">
      <alignment horizontal="center" vertical="center"/>
    </xf>
    <xf numFmtId="0" fontId="48" fillId="0" borderId="2" xfId="0" applyFont="1" applyBorder="1" applyAlignment="1">
      <alignment horizontal="center" vertical="center" wrapText="1"/>
    </xf>
    <xf numFmtId="0" fontId="48" fillId="0" borderId="2" xfId="0" applyFont="1" applyBorder="1" applyAlignment="1">
      <alignment horizontal="center" vertical="center"/>
    </xf>
    <xf numFmtId="0" fontId="48" fillId="0" borderId="4" xfId="0" applyFont="1" applyBorder="1" applyAlignment="1">
      <alignment horizontal="center" vertical="center"/>
    </xf>
    <xf numFmtId="0" fontId="48" fillId="0" borderId="12" xfId="0" applyFont="1" applyBorder="1" applyAlignment="1">
      <alignment horizontal="center" vertical="center"/>
    </xf>
    <xf numFmtId="0" fontId="48" fillId="0" borderId="13" xfId="0" applyFont="1" applyBorder="1" applyAlignment="1">
      <alignment horizontal="center" vertical="center"/>
    </xf>
    <xf numFmtId="0" fontId="44" fillId="0" borderId="4" xfId="0" applyFont="1" applyBorder="1" applyAlignment="1">
      <alignment horizontal="left" vertical="center"/>
    </xf>
    <xf numFmtId="0" fontId="44" fillId="0" borderId="12" xfId="0" applyFont="1" applyBorder="1" applyAlignment="1">
      <alignment horizontal="left" vertical="center"/>
    </xf>
    <xf numFmtId="0" fontId="44" fillId="0" borderId="2" xfId="0" applyFont="1" applyBorder="1" applyAlignment="1">
      <alignment horizontal="center" vertical="center"/>
    </xf>
    <xf numFmtId="0" fontId="48" fillId="0" borderId="2" xfId="0" applyFont="1" applyBorder="1" applyAlignment="1">
      <alignment horizontal="left" vertical="center"/>
    </xf>
    <xf numFmtId="0" fontId="44" fillId="0" borderId="2" xfId="0" applyFont="1" applyBorder="1" applyAlignment="1">
      <alignment horizontal="left" vertical="center"/>
    </xf>
    <xf numFmtId="0" fontId="48" fillId="0" borderId="2" xfId="0" applyFont="1" applyBorder="1" applyAlignment="1">
      <alignment horizontal="center"/>
    </xf>
    <xf numFmtId="165" fontId="48" fillId="0" borderId="2" xfId="0" applyNumberFormat="1" applyFont="1" applyBorder="1" applyAlignment="1">
      <alignment horizontal="center" vertical="center"/>
    </xf>
    <xf numFmtId="165" fontId="44" fillId="0" borderId="2" xfId="0" applyNumberFormat="1" applyFont="1" applyBorder="1" applyAlignment="1">
      <alignment horizontal="center" vertical="center"/>
    </xf>
    <xf numFmtId="0" fontId="84" fillId="0" borderId="17" xfId="0" applyFont="1" applyBorder="1" applyAlignment="1">
      <alignment horizontal="center" vertical="center"/>
    </xf>
    <xf numFmtId="0" fontId="84" fillId="0" borderId="19" xfId="0" applyFont="1" applyBorder="1" applyAlignment="1">
      <alignment horizontal="center" vertical="center"/>
    </xf>
    <xf numFmtId="0" fontId="54" fillId="0" borderId="0" xfId="0" applyFont="1" applyAlignment="1">
      <alignment horizontal="left" vertical="center"/>
    </xf>
    <xf numFmtId="0" fontId="44" fillId="30" borderId="2" xfId="0" applyFont="1" applyFill="1" applyBorder="1" applyAlignment="1">
      <alignment horizontal="center" vertical="center"/>
    </xf>
    <xf numFmtId="0" fontId="48" fillId="0" borderId="4" xfId="0" applyFont="1" applyBorder="1" applyAlignment="1">
      <alignment horizontal="left" vertical="center" wrapText="1"/>
    </xf>
    <xf numFmtId="0" fontId="48" fillId="0" borderId="12" xfId="0" applyFont="1" applyBorder="1" applyAlignment="1">
      <alignment horizontal="left" vertical="center" wrapText="1"/>
    </xf>
    <xf numFmtId="0" fontId="48" fillId="0" borderId="13" xfId="0" applyFont="1" applyBorder="1" applyAlignment="1">
      <alignment horizontal="left" vertical="center" wrapText="1"/>
    </xf>
    <xf numFmtId="0" fontId="47" fillId="0" borderId="0" xfId="0" applyFont="1" applyAlignment="1">
      <alignment horizontal="left" vertical="top" wrapText="1"/>
    </xf>
    <xf numFmtId="0" fontId="48" fillId="0" borderId="15" xfId="0" applyFont="1" applyBorder="1" applyAlignment="1">
      <alignment horizontal="center" vertical="center" wrapText="1"/>
    </xf>
    <xf numFmtId="0" fontId="48" fillId="0" borderId="16" xfId="0" applyFont="1" applyBorder="1" applyAlignment="1">
      <alignment horizontal="center" vertical="center" wrapText="1"/>
    </xf>
    <xf numFmtId="0" fontId="48" fillId="0" borderId="3" xfId="0" applyFont="1" applyBorder="1" applyAlignment="1">
      <alignment horizontal="center" vertical="center" wrapText="1"/>
    </xf>
    <xf numFmtId="0" fontId="48" fillId="0" borderId="22" xfId="0" applyFont="1" applyBorder="1" applyAlignment="1">
      <alignment horizontal="center" vertical="center" wrapText="1"/>
    </xf>
    <xf numFmtId="0" fontId="48" fillId="0" borderId="24"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5" xfId="0" applyFont="1" applyBorder="1" applyAlignment="1">
      <alignment horizontal="center" vertical="center"/>
    </xf>
    <xf numFmtId="0" fontId="48" fillId="0" borderId="16" xfId="0" applyFont="1" applyBorder="1" applyAlignment="1">
      <alignment horizontal="center" vertical="center"/>
    </xf>
    <xf numFmtId="0" fontId="44" fillId="0" borderId="0" xfId="0" applyFont="1" applyAlignment="1">
      <alignment horizontal="center"/>
    </xf>
    <xf numFmtId="0" fontId="46" fillId="30" borderId="16" xfId="0" applyFont="1" applyFill="1" applyBorder="1" applyAlignment="1">
      <alignment horizontal="center" vertical="center" wrapText="1"/>
    </xf>
    <xf numFmtId="165" fontId="48" fillId="0" borderId="2" xfId="0" applyNumberFormat="1" applyFont="1" applyBorder="1" applyAlignment="1">
      <alignment horizontal="left" vertical="center"/>
    </xf>
    <xf numFmtId="0" fontId="46" fillId="42" borderId="2" xfId="0" applyFont="1" applyFill="1" applyBorder="1" applyAlignment="1">
      <alignment horizontal="center" vertical="center" wrapText="1"/>
    </xf>
    <xf numFmtId="0" fontId="48" fillId="0" borderId="3" xfId="0" applyFont="1" applyBorder="1" applyAlignment="1">
      <alignment horizontal="justify" vertical="center" wrapText="1"/>
    </xf>
    <xf numFmtId="0" fontId="48" fillId="0" borderId="22" xfId="0" applyFont="1" applyBorder="1" applyAlignment="1">
      <alignment horizontal="justify" vertical="center" wrapText="1"/>
    </xf>
    <xf numFmtId="0" fontId="48" fillId="0" borderId="24" xfId="0" applyFont="1" applyBorder="1" applyAlignment="1">
      <alignment horizontal="justify" vertical="center" wrapText="1"/>
    </xf>
    <xf numFmtId="0" fontId="48" fillId="0" borderId="25" xfId="0" applyFont="1" applyBorder="1" applyAlignment="1">
      <alignment horizontal="justify" vertical="center" wrapText="1"/>
    </xf>
    <xf numFmtId="0" fontId="48" fillId="0" borderId="15" xfId="0" applyFont="1" applyBorder="1" applyAlignment="1">
      <alignment horizontal="justify" vertical="center" wrapText="1"/>
    </xf>
    <xf numFmtId="0" fontId="48" fillId="0" borderId="16" xfId="0" applyFont="1" applyBorder="1" applyAlignment="1">
      <alignment horizontal="justify" vertical="center" wrapText="1"/>
    </xf>
    <xf numFmtId="0" fontId="158" fillId="0" borderId="0" xfId="0" applyFont="1" applyAlignment="1">
      <alignment horizontal="left" vertical="center"/>
    </xf>
    <xf numFmtId="0" fontId="7" fillId="0" borderId="4"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12" fillId="0" borderId="4" xfId="0" applyFont="1" applyBorder="1" applyAlignment="1">
      <alignment horizontal="center" vertical="center"/>
    </xf>
    <xf numFmtId="0" fontId="12" fillId="0" borderId="13" xfId="0" applyFont="1" applyBorder="1" applyAlignment="1">
      <alignment horizontal="center" vertical="center"/>
    </xf>
    <xf numFmtId="0" fontId="12" fillId="0" borderId="12" xfId="0" applyFont="1" applyBorder="1" applyAlignment="1">
      <alignment horizontal="center" vertical="center"/>
    </xf>
    <xf numFmtId="0" fontId="7" fillId="0" borderId="4"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2" fillId="0" borderId="15" xfId="0" applyFont="1" applyBorder="1" applyAlignment="1">
      <alignment horizontal="center" vertical="center"/>
    </xf>
    <xf numFmtId="0" fontId="2" fillId="0" borderId="14" xfId="0" applyFont="1" applyBorder="1" applyAlignment="1">
      <alignment horizontal="center" vertical="center"/>
    </xf>
    <xf numFmtId="0" fontId="2" fillId="0" borderId="16" xfId="0" applyFont="1" applyBorder="1" applyAlignment="1">
      <alignment horizontal="center" vertical="center"/>
    </xf>
    <xf numFmtId="0" fontId="144" fillId="0" borderId="0" xfId="1" applyFont="1" applyAlignment="1" applyProtection="1">
      <alignment horizontal="center" vertical="center"/>
    </xf>
    <xf numFmtId="0" fontId="143" fillId="0" borderId="0" xfId="0" applyFont="1" applyAlignment="1">
      <alignment horizontal="center" vertical="center"/>
    </xf>
    <xf numFmtId="0" fontId="145" fillId="0" borderId="0" xfId="0" applyFont="1" applyAlignment="1">
      <alignment horizontal="center" vertical="center"/>
    </xf>
    <xf numFmtId="0" fontId="48" fillId="0" borderId="0" xfId="0" applyFont="1" applyAlignment="1">
      <alignment horizontal="center" vertical="center"/>
    </xf>
    <xf numFmtId="0" fontId="135" fillId="0" borderId="0" xfId="0" applyFont="1" applyAlignment="1" applyProtection="1">
      <alignment horizontal="center"/>
      <protection hidden="1"/>
    </xf>
    <xf numFmtId="0" fontId="46" fillId="0" borderId="3" xfId="0" applyFont="1" applyBorder="1" applyAlignment="1" applyProtection="1">
      <alignment horizontal="left" vertical="center" wrapText="1"/>
      <protection hidden="1"/>
    </xf>
    <xf numFmtId="0" fontId="46" fillId="0" borderId="23" xfId="0" applyFont="1" applyBorder="1" applyAlignment="1" applyProtection="1">
      <alignment horizontal="left" vertical="center" wrapText="1"/>
      <protection hidden="1"/>
    </xf>
    <xf numFmtId="0" fontId="46" fillId="0" borderId="22" xfId="0" applyFont="1" applyBorder="1" applyAlignment="1" applyProtection="1">
      <alignment horizontal="left" vertical="center" wrapText="1"/>
      <protection hidden="1"/>
    </xf>
    <xf numFmtId="0" fontId="46" fillId="0" borderId="24" xfId="0" applyFont="1" applyBorder="1" applyAlignment="1" applyProtection="1">
      <alignment horizontal="left" vertical="center" wrapText="1"/>
      <protection hidden="1"/>
    </xf>
    <xf numFmtId="0" fontId="46" fillId="0" borderId="1" xfId="0" applyFont="1" applyBorder="1" applyAlignment="1" applyProtection="1">
      <alignment horizontal="left" vertical="center" wrapText="1"/>
      <protection hidden="1"/>
    </xf>
    <xf numFmtId="0" fontId="46" fillId="0" borderId="25" xfId="0" applyFont="1" applyBorder="1" applyAlignment="1" applyProtection="1">
      <alignment horizontal="left" vertical="center" wrapText="1"/>
      <protection hidden="1"/>
    </xf>
    <xf numFmtId="0" fontId="46" fillId="0" borderId="4" xfId="0" applyFont="1" applyBorder="1" applyAlignment="1" applyProtection="1">
      <alignment horizontal="left" vertical="center" wrapText="1"/>
      <protection hidden="1"/>
    </xf>
    <xf numFmtId="0" fontId="46" fillId="0" borderId="12" xfId="0" applyFont="1" applyBorder="1" applyAlignment="1" applyProtection="1">
      <alignment horizontal="left" vertical="center" wrapText="1"/>
      <protection hidden="1"/>
    </xf>
    <xf numFmtId="0" fontId="46" fillId="0" borderId="13" xfId="0" applyFont="1" applyBorder="1" applyAlignment="1" applyProtection="1">
      <alignment horizontal="left" vertical="center" wrapText="1"/>
      <protection hidden="1"/>
    </xf>
    <xf numFmtId="0" fontId="138" fillId="0" borderId="0" xfId="0" applyFont="1" applyBorder="1" applyAlignment="1" applyProtection="1">
      <alignment horizontal="center" vertical="center"/>
      <protection hidden="1"/>
    </xf>
    <xf numFmtId="0" fontId="46" fillId="0" borderId="0" xfId="0" applyFont="1" applyAlignment="1" applyProtection="1">
      <alignment horizontal="center"/>
      <protection hidden="1"/>
    </xf>
    <xf numFmtId="0" fontId="46" fillId="0" borderId="0" xfId="0" applyFont="1" applyAlignment="1" applyProtection="1">
      <alignment horizontal="center" vertical="center"/>
      <protection hidden="1"/>
    </xf>
    <xf numFmtId="0" fontId="46" fillId="0" borderId="15" xfId="0" applyFont="1" applyBorder="1" applyAlignment="1" applyProtection="1">
      <alignment horizontal="center" vertical="center"/>
      <protection hidden="1"/>
    </xf>
    <xf numFmtId="0" fontId="46" fillId="0" borderId="16" xfId="0" applyFont="1" applyBorder="1" applyAlignment="1" applyProtection="1">
      <alignment horizontal="center" vertical="center"/>
      <protection hidden="1"/>
    </xf>
    <xf numFmtId="0" fontId="46" fillId="0" borderId="15" xfId="0" applyFont="1" applyBorder="1" applyAlignment="1" applyProtection="1">
      <alignment horizontal="center" vertical="center" wrapText="1"/>
      <protection hidden="1"/>
    </xf>
    <xf numFmtId="0" fontId="46" fillId="0" borderId="16" xfId="0" applyFont="1" applyBorder="1" applyAlignment="1" applyProtection="1">
      <alignment horizontal="center" vertical="center" wrapText="1"/>
      <protection hidden="1"/>
    </xf>
    <xf numFmtId="0" fontId="141" fillId="0" borderId="2" xfId="0" applyFont="1" applyBorder="1" applyAlignment="1">
      <alignment horizontal="center" vertical="center"/>
    </xf>
    <xf numFmtId="0" fontId="46" fillId="0" borderId="0" xfId="0" applyFont="1" applyAlignment="1" applyProtection="1">
      <alignment horizontal="left" vertical="center"/>
      <protection hidden="1"/>
    </xf>
    <xf numFmtId="0" fontId="46" fillId="0" borderId="2" xfId="0" applyFont="1" applyBorder="1" applyAlignment="1" applyProtection="1">
      <alignment horizontal="center" vertical="center"/>
      <protection hidden="1"/>
    </xf>
    <xf numFmtId="0" fontId="46" fillId="0" borderId="3" xfId="0" applyFont="1" applyBorder="1" applyAlignment="1" applyProtection="1">
      <alignment horizontal="center" vertical="center" wrapText="1"/>
      <protection hidden="1"/>
    </xf>
    <xf numFmtId="0" fontId="46" fillId="0" borderId="23" xfId="0" applyFont="1" applyBorder="1" applyAlignment="1" applyProtection="1">
      <alignment horizontal="center" vertical="center" wrapText="1"/>
      <protection hidden="1"/>
    </xf>
    <xf numFmtId="0" fontId="46" fillId="0" borderId="22" xfId="0" applyFont="1" applyBorder="1" applyAlignment="1" applyProtection="1">
      <alignment horizontal="center" vertical="center" wrapText="1"/>
      <protection hidden="1"/>
    </xf>
    <xf numFmtId="0" fontId="46" fillId="0" borderId="24" xfId="0" applyFont="1" applyBorder="1" applyAlignment="1" applyProtection="1">
      <alignment horizontal="center" vertical="center" wrapText="1"/>
      <protection hidden="1"/>
    </xf>
    <xf numFmtId="0" fontId="46" fillId="0" borderId="1" xfId="0" applyFont="1" applyBorder="1" applyAlignment="1" applyProtection="1">
      <alignment horizontal="center" vertical="center" wrapText="1"/>
      <protection hidden="1"/>
    </xf>
    <xf numFmtId="0" fontId="46" fillId="0" borderId="25" xfId="0" applyFont="1" applyBorder="1" applyAlignment="1" applyProtection="1">
      <alignment horizontal="center" vertical="center" wrapText="1"/>
      <protection hidden="1"/>
    </xf>
    <xf numFmtId="0" fontId="6" fillId="0" borderId="2" xfId="0" applyFont="1" applyBorder="1" applyAlignment="1">
      <alignment horizontal="center" vertical="center"/>
    </xf>
    <xf numFmtId="0" fontId="2" fillId="0" borderId="2" xfId="0" applyFont="1" applyBorder="1" applyAlignment="1">
      <alignment horizontal="center" vertical="center"/>
    </xf>
    <xf numFmtId="0" fontId="44" fillId="0" borderId="0" xfId="0" applyFont="1" applyAlignment="1" applyProtection="1">
      <alignment horizontal="center" vertical="center"/>
      <protection hidden="1"/>
    </xf>
    <xf numFmtId="0" fontId="142" fillId="0" borderId="0" xfId="0" applyFont="1" applyBorder="1" applyAlignment="1" applyProtection="1">
      <alignment horizontal="center" vertical="center"/>
      <protection hidden="1"/>
    </xf>
    <xf numFmtId="0" fontId="135" fillId="0" borderId="0" xfId="0" applyFont="1" applyAlignment="1" applyProtection="1">
      <alignment horizontal="center" vertical="center"/>
      <protection hidden="1"/>
    </xf>
    <xf numFmtId="0" fontId="7" fillId="2" borderId="15" xfId="0" applyFont="1" applyFill="1" applyBorder="1" applyAlignment="1" applyProtection="1">
      <alignment horizontal="center" vertical="center" wrapText="1"/>
      <protection hidden="1"/>
    </xf>
    <xf numFmtId="0" fontId="7" fillId="2" borderId="16" xfId="0" applyFont="1" applyFill="1" applyBorder="1" applyAlignment="1" applyProtection="1">
      <alignment horizontal="center" vertical="center" wrapText="1"/>
      <protection hidden="1"/>
    </xf>
    <xf numFmtId="0" fontId="135" fillId="0" borderId="2" xfId="0" applyFont="1" applyBorder="1" applyAlignment="1" applyProtection="1">
      <alignment horizontal="center" vertical="center" wrapText="1"/>
      <protection hidden="1"/>
    </xf>
    <xf numFmtId="0" fontId="46" fillId="0" borderId="4" xfId="0" applyFont="1" applyBorder="1" applyAlignment="1" applyProtection="1">
      <alignment horizontal="center" vertical="center"/>
      <protection hidden="1"/>
    </xf>
    <xf numFmtId="0" fontId="46" fillId="0" borderId="12" xfId="0" applyFont="1" applyBorder="1" applyAlignment="1" applyProtection="1">
      <alignment horizontal="center" vertical="center"/>
      <protection hidden="1"/>
    </xf>
    <xf numFmtId="0" fontId="46" fillId="0" borderId="13" xfId="0" applyFont="1" applyBorder="1" applyAlignment="1" applyProtection="1">
      <alignment horizontal="center" vertical="center"/>
      <protection hidden="1"/>
    </xf>
    <xf numFmtId="0" fontId="114" fillId="0" borderId="0" xfId="0" applyFont="1" applyAlignment="1" applyProtection="1">
      <alignment horizontal="center"/>
      <protection hidden="1"/>
    </xf>
    <xf numFmtId="0" fontId="58" fillId="0" borderId="2" xfId="0" applyFont="1" applyBorder="1" applyAlignment="1" applyProtection="1">
      <alignment horizontal="left" vertical="center" wrapText="1"/>
      <protection hidden="1"/>
    </xf>
    <xf numFmtId="0" fontId="112" fillId="0" borderId="0" xfId="0" applyFont="1" applyAlignment="1" applyProtection="1">
      <alignment horizontal="center"/>
      <protection hidden="1"/>
    </xf>
    <xf numFmtId="0" fontId="118" fillId="0" borderId="0" xfId="0" applyFont="1" applyAlignment="1" applyProtection="1">
      <alignment horizontal="center"/>
      <protection hidden="1"/>
    </xf>
    <xf numFmtId="0" fontId="115" fillId="0" borderId="0" xfId="0" applyFont="1" applyAlignment="1" applyProtection="1">
      <alignment horizontal="left"/>
      <protection hidden="1"/>
    </xf>
    <xf numFmtId="0" fontId="120" fillId="0" borderId="0" xfId="0" applyFont="1" applyAlignment="1" applyProtection="1">
      <alignment horizontal="left" wrapText="1"/>
      <protection hidden="1"/>
    </xf>
    <xf numFmtId="0" fontId="119" fillId="0" borderId="0" xfId="0" applyFont="1" applyAlignment="1" applyProtection="1">
      <alignment horizontal="left"/>
      <protection hidden="1"/>
    </xf>
    <xf numFmtId="0" fontId="120" fillId="0" borderId="0" xfId="0" applyFont="1" applyAlignment="1" applyProtection="1">
      <alignment horizontal="left"/>
      <protection hidden="1"/>
    </xf>
    <xf numFmtId="0" fontId="119" fillId="0" borderId="0" xfId="0" applyFont="1" applyAlignment="1" applyProtection="1">
      <alignment horizontal="left" vertical="top" wrapText="1"/>
      <protection hidden="1"/>
    </xf>
    <xf numFmtId="0" fontId="120" fillId="0" borderId="0" xfId="0" applyFont="1" applyAlignment="1" applyProtection="1">
      <alignment horizontal="left" vertical="top" wrapText="1"/>
      <protection hidden="1"/>
    </xf>
    <xf numFmtId="0" fontId="120" fillId="0" borderId="0" xfId="0" applyFont="1" applyAlignment="1" applyProtection="1">
      <alignment horizontal="left" vertical="center" wrapText="1"/>
      <protection hidden="1"/>
    </xf>
    <xf numFmtId="0" fontId="119" fillId="0" borderId="0" xfId="0" applyFont="1" applyAlignment="1" applyProtection="1">
      <alignment horizontal="left" wrapText="1"/>
      <protection hidden="1"/>
    </xf>
    <xf numFmtId="0" fontId="123" fillId="0" borderId="0" xfId="0" applyFont="1" applyAlignment="1" applyProtection="1">
      <alignment horizontal="left" vertical="top" wrapText="1"/>
      <protection hidden="1"/>
    </xf>
    <xf numFmtId="0" fontId="124" fillId="0" borderId="0" xfId="0" applyFont="1" applyAlignment="1">
      <alignment horizontal="center"/>
    </xf>
    <xf numFmtId="0" fontId="129" fillId="0" borderId="0" xfId="0" applyFont="1" applyAlignment="1">
      <alignment horizontal="left"/>
    </xf>
    <xf numFmtId="0" fontId="18" fillId="0" borderId="17" xfId="0" applyFont="1" applyBorder="1" applyAlignment="1">
      <alignment horizontal="center" vertical="center"/>
    </xf>
    <xf numFmtId="0" fontId="18" fillId="0" borderId="18" xfId="0" applyFont="1" applyBorder="1" applyAlignment="1">
      <alignment horizontal="center" vertical="center"/>
    </xf>
    <xf numFmtId="0" fontId="18" fillId="0" borderId="19" xfId="0" applyFont="1" applyBorder="1" applyAlignment="1">
      <alignment horizontal="center" vertical="center"/>
    </xf>
    <xf numFmtId="0" fontId="0" fillId="0" borderId="2" xfId="0" applyBorder="1" applyAlignment="1">
      <alignment horizontal="center"/>
    </xf>
    <xf numFmtId="0" fontId="106" fillId="0" borderId="4" xfId="0" applyFont="1" applyBorder="1" applyAlignment="1">
      <alignment horizontal="center"/>
    </xf>
    <xf numFmtId="0" fontId="106" fillId="0" borderId="13" xfId="0" applyFont="1" applyBorder="1" applyAlignment="1">
      <alignment horizontal="center"/>
    </xf>
    <xf numFmtId="0" fontId="126" fillId="0" borderId="0" xfId="0" applyFont="1" applyAlignment="1">
      <alignment horizontal="left"/>
    </xf>
    <xf numFmtId="0" fontId="0" fillId="0" borderId="3" xfId="0" applyBorder="1" applyAlignment="1">
      <alignment horizontal="left" vertical="center"/>
    </xf>
    <xf numFmtId="0" fontId="0" fillId="0" borderId="23" xfId="0" applyBorder="1" applyAlignment="1">
      <alignment horizontal="left" vertical="center"/>
    </xf>
    <xf numFmtId="0" fontId="0" fillId="0" borderId="22"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xf>
    <xf numFmtId="0" fontId="0" fillId="0" borderId="25" xfId="0" applyBorder="1" applyAlignment="1">
      <alignment horizontal="left" vertical="center"/>
    </xf>
    <xf numFmtId="0" fontId="0" fillId="0" borderId="3" xfId="0" applyBorder="1" applyAlignment="1">
      <alignment horizontal="center" wrapText="1"/>
    </xf>
    <xf numFmtId="0" fontId="0" fillId="0" borderId="23" xfId="0" applyBorder="1" applyAlignment="1">
      <alignment horizontal="center"/>
    </xf>
    <xf numFmtId="0" fontId="0" fillId="0" borderId="22" xfId="0" applyBorder="1" applyAlignment="1">
      <alignment horizontal="center"/>
    </xf>
    <xf numFmtId="0" fontId="0" fillId="0" borderId="24" xfId="0" applyBorder="1" applyAlignment="1">
      <alignment horizontal="center" wrapText="1"/>
    </xf>
    <xf numFmtId="0" fontId="0" fillId="0" borderId="1" xfId="0" applyBorder="1" applyAlignment="1">
      <alignment horizontal="center"/>
    </xf>
    <xf numFmtId="0" fontId="0" fillId="0" borderId="25" xfId="0" applyBorder="1" applyAlignment="1">
      <alignment horizontal="center"/>
    </xf>
    <xf numFmtId="0" fontId="64" fillId="0" borderId="56" xfId="0" applyFont="1" applyBorder="1" applyAlignment="1">
      <alignment horizontal="left" vertical="center" wrapText="1"/>
    </xf>
    <xf numFmtId="0" fontId="64" fillId="0" borderId="57" xfId="0" applyFont="1" applyBorder="1" applyAlignment="1">
      <alignment horizontal="left" vertical="center" wrapText="1"/>
    </xf>
    <xf numFmtId="0" fontId="0" fillId="0" borderId="29" xfId="0" applyBorder="1" applyAlignment="1">
      <alignment horizontal="center" vertical="center" wrapText="1"/>
    </xf>
    <xf numFmtId="0" fontId="0" fillId="0" borderId="7" xfId="0" applyBorder="1" applyAlignment="1">
      <alignment horizontal="center" vertical="center"/>
    </xf>
    <xf numFmtId="0" fontId="0" fillId="0" borderId="31" xfId="0" applyBorder="1" applyAlignment="1">
      <alignment horizontal="center" vertical="center"/>
    </xf>
    <xf numFmtId="0" fontId="0" fillId="0" borderId="8" xfId="0" applyBorder="1" applyAlignment="1">
      <alignment horizontal="center" vertical="center"/>
    </xf>
    <xf numFmtId="0" fontId="0" fillId="0" borderId="24"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0" fillId="0" borderId="42"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0" fontId="0" fillId="0" borderId="33" xfId="0" applyBorder="1" applyAlignment="1">
      <alignment horizontal="center"/>
    </xf>
    <xf numFmtId="0" fontId="0" fillId="0" borderId="51" xfId="0" applyBorder="1" applyAlignment="1">
      <alignment horizontal="center"/>
    </xf>
    <xf numFmtId="0" fontId="0" fillId="0" borderId="16" xfId="0" applyBorder="1" applyAlignment="1">
      <alignment horizontal="center"/>
    </xf>
    <xf numFmtId="0" fontId="0" fillId="0" borderId="55" xfId="0" applyBorder="1" applyAlignment="1">
      <alignment horizontal="center"/>
    </xf>
    <xf numFmtId="0" fontId="0" fillId="0" borderId="50" xfId="0" applyBorder="1" applyAlignment="1">
      <alignment horizontal="center"/>
    </xf>
    <xf numFmtId="0" fontId="2" fillId="0" borderId="32" xfId="0" applyFont="1" applyBorder="1" applyAlignment="1">
      <alignment horizontal="left" vertical="center"/>
    </xf>
    <xf numFmtId="0" fontId="2" fillId="0" borderId="33" xfId="0" applyFont="1" applyBorder="1" applyAlignment="1">
      <alignment horizontal="left" vertical="center"/>
    </xf>
    <xf numFmtId="0" fontId="2" fillId="0" borderId="52" xfId="0" applyFont="1" applyBorder="1" applyAlignment="1">
      <alignment horizontal="left" vertical="center"/>
    </xf>
    <xf numFmtId="0" fontId="2" fillId="0" borderId="2" xfId="0" applyFont="1" applyBorder="1" applyAlignment="1">
      <alignment horizontal="left" vertical="center"/>
    </xf>
    <xf numFmtId="0" fontId="2" fillId="0" borderId="38" xfId="0" applyFont="1" applyBorder="1" applyAlignment="1">
      <alignment horizontal="left" vertical="center"/>
    </xf>
    <xf numFmtId="0" fontId="2" fillId="0" borderId="39" xfId="0" applyFont="1" applyBorder="1" applyAlignment="1">
      <alignment horizontal="left" vertical="center"/>
    </xf>
    <xf numFmtId="0" fontId="0" fillId="0" borderId="43" xfId="0" applyBorder="1" applyAlignment="1">
      <alignment horizontal="left" vertical="center"/>
    </xf>
    <xf numFmtId="0" fontId="0" fillId="0" borderId="53" xfId="0"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54" xfId="0" applyBorder="1" applyAlignment="1">
      <alignment horizontal="left" vertical="center"/>
    </xf>
    <xf numFmtId="0" fontId="0" fillId="0" borderId="48" xfId="0" applyBorder="1" applyAlignment="1">
      <alignment horizontal="left" vertical="center"/>
    </xf>
    <xf numFmtId="0" fontId="0" fillId="0" borderId="49" xfId="0" applyBorder="1" applyAlignment="1">
      <alignment horizontal="left"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44" xfId="0" applyBorder="1" applyAlignment="1">
      <alignment horizontal="center" vertical="center"/>
    </xf>
    <xf numFmtId="0" fontId="0" fillId="0" borderId="24" xfId="0" applyBorder="1" applyAlignment="1">
      <alignment horizontal="center" vertical="center"/>
    </xf>
    <xf numFmtId="0" fontId="0" fillId="0" borderId="1" xfId="0" applyBorder="1" applyAlignment="1">
      <alignment horizontal="center" vertical="center"/>
    </xf>
    <xf numFmtId="0" fontId="0" fillId="0" borderId="25" xfId="0" applyBorder="1" applyAlignment="1">
      <alignment horizontal="center" vertical="center"/>
    </xf>
    <xf numFmtId="0" fontId="0" fillId="0" borderId="41" xfId="0" applyBorder="1" applyAlignment="1">
      <alignment horizontal="center" vertical="center"/>
    </xf>
    <xf numFmtId="0" fontId="0" fillId="0" borderId="37" xfId="0" applyBorder="1" applyAlignment="1">
      <alignment horizontal="center" vertical="center"/>
    </xf>
    <xf numFmtId="0" fontId="0" fillId="0" borderId="20" xfId="0" applyBorder="1" applyAlignment="1">
      <alignment horizontal="center" vertical="center"/>
    </xf>
    <xf numFmtId="0" fontId="0" fillId="0" borderId="30" xfId="0" applyBorder="1" applyAlignment="1">
      <alignment horizontal="center" vertical="center"/>
    </xf>
    <xf numFmtId="0" fontId="0" fillId="0" borderId="43" xfId="0" applyBorder="1" applyAlignment="1">
      <alignment horizontal="center" vertical="center"/>
    </xf>
    <xf numFmtId="0" fontId="0" fillId="0" borderId="45" xfId="0" applyBorder="1" applyAlignment="1">
      <alignment horizontal="center" vertical="center"/>
    </xf>
    <xf numFmtId="0" fontId="0" fillId="0" borderId="22" xfId="0" applyBorder="1" applyAlignment="1">
      <alignment horizontal="center" vertical="center"/>
    </xf>
    <xf numFmtId="0" fontId="0" fillId="0" borderId="9" xfId="0" applyBorder="1" applyAlignment="1">
      <alignment horizontal="center" vertical="center"/>
    </xf>
    <xf numFmtId="0" fontId="0" fillId="0" borderId="46" xfId="0" applyBorder="1" applyAlignment="1">
      <alignment horizontal="center" vertical="center"/>
    </xf>
    <xf numFmtId="0" fontId="2" fillId="0" borderId="32" xfId="0" applyFont="1" applyBorder="1" applyAlignment="1">
      <alignment horizontal="center" vertical="center" wrapText="1"/>
    </xf>
    <xf numFmtId="0" fontId="2" fillId="0" borderId="33" xfId="0" applyFont="1" applyBorder="1" applyAlignment="1">
      <alignment horizontal="center" vertical="center" wrapText="1"/>
    </xf>
    <xf numFmtId="0" fontId="2" fillId="0" borderId="38" xfId="0" applyFont="1" applyBorder="1" applyAlignment="1">
      <alignment horizontal="center" vertical="center" wrapText="1"/>
    </xf>
    <xf numFmtId="0" fontId="2" fillId="0" borderId="39" xfId="0" applyFont="1" applyBorder="1" applyAlignment="1">
      <alignment horizontal="center" vertical="center" wrapText="1"/>
    </xf>
    <xf numFmtId="0" fontId="0" fillId="0" borderId="16" xfId="0" applyFont="1" applyBorder="1" applyAlignment="1">
      <alignment horizontal="center" vertical="center"/>
    </xf>
    <xf numFmtId="0" fontId="0" fillId="0" borderId="2" xfId="0" applyFont="1" applyBorder="1" applyAlignment="1">
      <alignment horizontal="center" vertical="center"/>
    </xf>
    <xf numFmtId="0" fontId="0" fillId="0" borderId="2" xfId="0" applyBorder="1" applyAlignment="1">
      <alignment horizontal="center" vertical="center"/>
    </xf>
    <xf numFmtId="0" fontId="2" fillId="0" borderId="2" xfId="0" applyFont="1" applyBorder="1" applyAlignment="1">
      <alignment horizontal="center" vertical="center" wrapText="1"/>
    </xf>
    <xf numFmtId="0" fontId="0" fillId="0" borderId="4" xfId="0" applyBorder="1" applyAlignment="1">
      <alignment horizontal="left" vertical="center" wrapText="1"/>
    </xf>
    <xf numFmtId="0" fontId="0" fillId="0" borderId="12" xfId="0" applyBorder="1" applyAlignment="1">
      <alignment horizontal="left" vertical="center" wrapText="1"/>
    </xf>
    <xf numFmtId="0" fontId="0" fillId="0" borderId="13" xfId="0" applyBorder="1" applyAlignment="1">
      <alignment horizontal="left" vertical="center" wrapText="1"/>
    </xf>
    <xf numFmtId="0" fontId="6" fillId="0" borderId="2" xfId="0" applyFont="1" applyBorder="1" applyAlignment="1">
      <alignment horizontal="left" vertical="center"/>
    </xf>
    <xf numFmtId="0" fontId="0" fillId="0" borderId="2" xfId="0" applyBorder="1" applyAlignment="1">
      <alignment horizontal="left" vertical="center" wrapText="1"/>
    </xf>
    <xf numFmtId="0" fontId="0" fillId="0" borderId="4" xfId="0" applyBorder="1" applyAlignment="1">
      <alignment horizontal="left"/>
    </xf>
    <xf numFmtId="0" fontId="0" fillId="0" borderId="13" xfId="0" applyBorder="1" applyAlignment="1">
      <alignment horizontal="left"/>
    </xf>
    <xf numFmtId="0" fontId="3" fillId="0" borderId="6"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horizontal="center" vertical="center"/>
    </xf>
    <xf numFmtId="0" fontId="15" fillId="0" borderId="0" xfId="0" applyFont="1" applyAlignment="1">
      <alignment horizontal="center"/>
    </xf>
    <xf numFmtId="0" fontId="2" fillId="12" borderId="2" xfId="0"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0" fontId="2" fillId="21" borderId="2" xfId="0" applyFont="1" applyFill="1" applyBorder="1" applyAlignment="1" applyProtection="1">
      <alignment horizontal="center"/>
      <protection hidden="1"/>
    </xf>
    <xf numFmtId="0" fontId="2" fillId="9" borderId="2" xfId="0" applyFont="1" applyFill="1" applyBorder="1" applyAlignment="1" applyProtection="1">
      <alignment horizontal="center"/>
      <protection hidden="1"/>
    </xf>
    <xf numFmtId="0" fontId="2" fillId="11" borderId="2" xfId="0" applyFont="1" applyFill="1" applyBorder="1" applyAlignment="1" applyProtection="1">
      <alignment horizontal="center"/>
      <protection hidden="1"/>
    </xf>
    <xf numFmtId="0" fontId="2" fillId="19" borderId="2" xfId="0" applyFont="1" applyFill="1" applyBorder="1" applyAlignment="1" applyProtection="1">
      <alignment horizontal="center"/>
      <protection hidden="1"/>
    </xf>
    <xf numFmtId="0" fontId="2" fillId="18" borderId="2" xfId="0" applyFont="1" applyFill="1" applyBorder="1" applyAlignment="1" applyProtection="1">
      <alignment horizontal="center"/>
      <protection hidden="1"/>
    </xf>
    <xf numFmtId="0" fontId="2" fillId="14" borderId="2" xfId="0" applyFont="1" applyFill="1" applyBorder="1" applyAlignment="1" applyProtection="1">
      <alignment horizontal="center"/>
      <protection hidden="1"/>
    </xf>
    <xf numFmtId="0" fontId="2" fillId="61" borderId="2" xfId="0" applyFont="1" applyFill="1" applyBorder="1" applyAlignment="1" applyProtection="1">
      <alignment horizontal="center"/>
      <protection hidden="1"/>
    </xf>
    <xf numFmtId="0" fontId="2" fillId="23" borderId="2" xfId="0" applyFont="1" applyFill="1" applyBorder="1" applyAlignment="1" applyProtection="1">
      <alignment horizontal="center"/>
      <protection hidden="1"/>
    </xf>
    <xf numFmtId="0" fontId="2" fillId="20" borderId="2" xfId="0" applyFont="1" applyFill="1" applyBorder="1" applyAlignment="1" applyProtection="1">
      <alignment horizontal="center"/>
      <protection hidden="1"/>
    </xf>
    <xf numFmtId="0" fontId="32" fillId="0" borderId="1" xfId="0" applyFont="1" applyFill="1" applyBorder="1" applyAlignment="1" applyProtection="1">
      <alignment horizontal="left" vertical="center"/>
      <protection hidden="1"/>
    </xf>
    <xf numFmtId="0" fontId="154" fillId="0" borderId="1" xfId="0" applyFont="1" applyBorder="1" applyAlignment="1">
      <alignment horizontal="left" wrapText="1"/>
    </xf>
    <xf numFmtId="0" fontId="0" fillId="0" borderId="2" xfId="0" applyBorder="1" applyAlignment="1">
      <alignment horizontal="center" vertical="center" wrapText="1"/>
    </xf>
    <xf numFmtId="0" fontId="0" fillId="0" borderId="58" xfId="0" applyBorder="1" applyAlignment="1">
      <alignment horizontal="center"/>
    </xf>
    <xf numFmtId="0" fontId="2" fillId="0" borderId="4"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60" fillId="0" borderId="0" xfId="0" applyFont="1" applyAlignment="1">
      <alignment horizontal="center"/>
    </xf>
    <xf numFmtId="0" fontId="153" fillId="0" borderId="0" xfId="0" applyFont="1" applyAlignment="1">
      <alignment horizontal="center"/>
    </xf>
    <xf numFmtId="0" fontId="46" fillId="33" borderId="3" xfId="0" applyFont="1" applyFill="1" applyBorder="1" applyAlignment="1" applyProtection="1">
      <alignment horizontal="left" vertical="center" wrapText="1"/>
      <protection hidden="1"/>
    </xf>
    <xf numFmtId="0" fontId="46" fillId="33" borderId="24" xfId="0" applyFont="1" applyFill="1" applyBorder="1" applyAlignment="1" applyProtection="1">
      <alignment horizontal="left" vertical="center" wrapText="1"/>
      <protection hidden="1"/>
    </xf>
    <xf numFmtId="0" fontId="46" fillId="0" borderId="15" xfId="0" applyFont="1" applyBorder="1" applyAlignment="1" applyProtection="1">
      <alignment horizontal="center" vertical="center" wrapText="1"/>
      <protection locked="0"/>
    </xf>
    <xf numFmtId="0" fontId="46" fillId="0" borderId="16" xfId="0" applyFont="1" applyBorder="1" applyAlignment="1" applyProtection="1">
      <alignment horizontal="center" vertical="center" wrapText="1"/>
      <protection locked="0"/>
    </xf>
    <xf numFmtId="0" fontId="46" fillId="53" borderId="3" xfId="0" applyFont="1" applyFill="1" applyBorder="1" applyAlignment="1" applyProtection="1">
      <alignment horizontal="left" vertical="center" wrapText="1"/>
      <protection hidden="1"/>
    </xf>
    <xf numFmtId="0" fontId="46" fillId="53" borderId="24" xfId="0" applyFont="1" applyFill="1" applyBorder="1" applyAlignment="1" applyProtection="1">
      <alignment horizontal="left" vertical="center" wrapText="1"/>
      <protection hidden="1"/>
    </xf>
    <xf numFmtId="0" fontId="46" fillId="3" borderId="3" xfId="0" applyFont="1" applyFill="1" applyBorder="1" applyAlignment="1" applyProtection="1">
      <alignment horizontal="left" vertical="center" wrapText="1"/>
      <protection hidden="1"/>
    </xf>
    <xf numFmtId="0" fontId="46" fillId="3" borderId="24" xfId="0" applyFont="1" applyFill="1" applyBorder="1" applyAlignment="1" applyProtection="1">
      <alignment horizontal="left" vertical="center" wrapText="1"/>
      <protection hidden="1"/>
    </xf>
    <xf numFmtId="0" fontId="46" fillId="59" borderId="3" xfId="0" applyFont="1" applyFill="1" applyBorder="1" applyAlignment="1" applyProtection="1">
      <alignment horizontal="left" vertical="center" wrapText="1"/>
      <protection hidden="1"/>
    </xf>
    <xf numFmtId="0" fontId="46" fillId="59" borderId="24" xfId="0" applyFont="1" applyFill="1" applyBorder="1" applyAlignment="1" applyProtection="1">
      <alignment horizontal="left" vertical="center" wrapText="1"/>
      <protection hidden="1"/>
    </xf>
    <xf numFmtId="0" fontId="3" fillId="5" borderId="0" xfId="0" applyFont="1" applyFill="1" applyAlignment="1" applyProtection="1">
      <alignment horizontal="center" vertical="center"/>
      <protection hidden="1"/>
    </xf>
    <xf numFmtId="0" fontId="46" fillId="10" borderId="3" xfId="0" applyFont="1" applyFill="1" applyBorder="1" applyAlignment="1" applyProtection="1">
      <alignment horizontal="left" vertical="center" wrapText="1"/>
      <protection hidden="1"/>
    </xf>
    <xf numFmtId="0" fontId="46" fillId="10" borderId="24" xfId="0" applyFont="1" applyFill="1" applyBorder="1" applyAlignment="1" applyProtection="1">
      <alignment horizontal="left" vertical="center" wrapText="1"/>
      <protection hidden="1"/>
    </xf>
    <xf numFmtId="0" fontId="46" fillId="2" borderId="3" xfId="0" applyFont="1" applyFill="1" applyBorder="1" applyAlignment="1" applyProtection="1">
      <alignment horizontal="left" vertical="center" wrapText="1"/>
      <protection hidden="1"/>
    </xf>
    <xf numFmtId="0" fontId="46" fillId="2" borderId="24" xfId="0" applyFont="1" applyFill="1" applyBorder="1" applyAlignment="1" applyProtection="1">
      <alignment horizontal="left" vertical="center" wrapText="1"/>
      <protection hidden="1"/>
    </xf>
    <xf numFmtId="0" fontId="46" fillId="11" borderId="3" xfId="0" applyFont="1" applyFill="1" applyBorder="1" applyAlignment="1" applyProtection="1">
      <alignment horizontal="left" vertical="center" wrapText="1"/>
      <protection hidden="1"/>
    </xf>
    <xf numFmtId="0" fontId="46" fillId="11" borderId="24" xfId="0" applyFont="1" applyFill="1" applyBorder="1" applyAlignment="1" applyProtection="1">
      <alignment horizontal="left" vertical="center" wrapText="1"/>
      <protection hidden="1"/>
    </xf>
    <xf numFmtId="0" fontId="46" fillId="8" borderId="3" xfId="0" applyFont="1" applyFill="1" applyBorder="1" applyAlignment="1" applyProtection="1">
      <alignment horizontal="left" vertical="center" wrapText="1"/>
      <protection hidden="1"/>
    </xf>
    <xf numFmtId="0" fontId="46" fillId="8" borderId="24" xfId="0" applyFont="1" applyFill="1" applyBorder="1" applyAlignment="1" applyProtection="1">
      <alignment horizontal="left" vertical="center" wrapText="1"/>
      <protection hidden="1"/>
    </xf>
    <xf numFmtId="0" fontId="46" fillId="51" borderId="3" xfId="0" applyFont="1" applyFill="1" applyBorder="1" applyAlignment="1" applyProtection="1">
      <alignment horizontal="left" vertical="center" wrapText="1"/>
      <protection hidden="1"/>
    </xf>
    <xf numFmtId="0" fontId="46" fillId="51" borderId="24" xfId="0" applyFont="1" applyFill="1" applyBorder="1" applyAlignment="1" applyProtection="1">
      <alignment horizontal="left" vertical="center" wrapText="1"/>
      <protection hidden="1"/>
    </xf>
    <xf numFmtId="0" fontId="46" fillId="12" borderId="3" xfId="0" applyFont="1" applyFill="1" applyBorder="1" applyAlignment="1" applyProtection="1">
      <alignment horizontal="left" vertical="center" wrapText="1"/>
      <protection hidden="1"/>
    </xf>
    <xf numFmtId="0" fontId="46" fillId="12" borderId="24" xfId="0" applyFont="1" applyFill="1" applyBorder="1" applyAlignment="1" applyProtection="1">
      <alignment horizontal="left" vertical="center" wrapText="1"/>
      <protection hidden="1"/>
    </xf>
  </cellXfs>
  <cellStyles count="7">
    <cellStyle name="Comma 2" xfId="3"/>
    <cellStyle name="Comma 3" xfId="2"/>
    <cellStyle name="Hyperlink" xfId="1" builtinId="8"/>
    <cellStyle name="Normal" xfId="0" builtinId="0"/>
    <cellStyle name="Normal 2" xfId="6"/>
    <cellStyle name="Normal 2 2" xfId="4"/>
    <cellStyle name="Percent" xfId="5" builtinId="5"/>
  </cellStyles>
  <dxfs count="2">
    <dxf>
      <font>
        <condense val="0"/>
        <extend val="0"/>
        <color rgb="FF9C6500"/>
      </font>
      <fill>
        <patternFill>
          <bgColor rgb="FFFFFF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s>
</file>

<file path=xl/ctrlProps/ctrlProp1.xml><?xml version="1.0" encoding="utf-8"?>
<formControlPr xmlns="http://schemas.microsoft.com/office/spreadsheetml/2009/9/main" objectType="Spin" dx="22" fmlaLink="$N$8" max="30000" min="1" page="10" val="87"/>
</file>

<file path=xl/ctrlProps/ctrlProp2.xml><?xml version="1.0" encoding="utf-8"?>
<formControlPr xmlns="http://schemas.microsoft.com/office/spreadsheetml/2009/9/main" objectType="Spin" dx="16" fmlaLink="$J$2" max="50" min="1" page="10"/>
</file>

<file path=xl/ctrlProps/ctrlProp3.xml><?xml version="1.0" encoding="utf-8"?>
<formControlPr xmlns="http://schemas.microsoft.com/office/spreadsheetml/2009/9/main" objectType="Spin" dx="16" fmlaLink="$R$2" max="50" min="1" page="10"/>
</file>

<file path=xl/ctrlProps/ctrlProp4.xml><?xml version="1.0" encoding="utf-8"?>
<formControlPr xmlns="http://schemas.microsoft.com/office/spreadsheetml/2009/9/main" objectType="Spin" dx="16" fmlaLink="$M$3" max="50" min="1" page="10"/>
</file>

<file path=xl/ctrlProps/ctrlProp5.xml><?xml version="1.0" encoding="utf-8"?>
<formControlPr xmlns="http://schemas.microsoft.com/office/spreadsheetml/2009/9/main" objectType="Spin" dx="22" fmlaLink="$T$13" max="60" min="1" page="10"/>
</file>

<file path=xl/ctrlProps/ctrlProp6.xml><?xml version="1.0" encoding="utf-8"?>
<formControlPr xmlns="http://schemas.microsoft.com/office/spreadsheetml/2009/9/main" objectType="Spin" dx="22" fmlaLink="$T$13" max="60" min="1" page="10"/>
</file>

<file path=xl/ctrlProps/ctrlProp7.xml><?xml version="1.0" encoding="utf-8"?>
<formControlPr xmlns="http://schemas.microsoft.com/office/spreadsheetml/2009/9/main" objectType="Spin" dx="16" fmlaLink="$U$5" max="100" min="1" page="10"/>
</file>

<file path=xl/ctrlProps/ctrlProp8.xml><?xml version="1.0" encoding="utf-8"?>
<formControlPr xmlns="http://schemas.microsoft.com/office/spreadsheetml/2009/9/main" objectType="Spin" dx="16" fmlaLink="$AI$4" max="100" min="1" page="10"/>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EPAN!A1"/><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hyperlink" Target="#REKAP!A1"/><Relationship Id="rId13" Type="http://schemas.openxmlformats.org/officeDocument/2006/relationships/image" Target="../media/image5.jpeg"/><Relationship Id="rId18" Type="http://schemas.openxmlformats.org/officeDocument/2006/relationships/hyperlink" Target="#KUALF1!A1"/><Relationship Id="rId3" Type="http://schemas.openxmlformats.org/officeDocument/2006/relationships/hyperlink" Target="#KKM!A1"/><Relationship Id="rId7" Type="http://schemas.openxmlformats.org/officeDocument/2006/relationships/hyperlink" Target="#'PAI4'!A1"/><Relationship Id="rId12" Type="http://schemas.openxmlformats.org/officeDocument/2006/relationships/hyperlink" Target="#'RAPORT PTS'!A1"/><Relationship Id="rId17" Type="http://schemas.openxmlformats.org/officeDocument/2006/relationships/hyperlink" Target="#'KI3'!A1"/><Relationship Id="rId2" Type="http://schemas.openxmlformats.org/officeDocument/2006/relationships/hyperlink" Target="#SISWA!A1"/><Relationship Id="rId16" Type="http://schemas.openxmlformats.org/officeDocument/2006/relationships/hyperlink" Target="#RAPORT!A1"/><Relationship Id="rId20" Type="http://schemas.openxmlformats.org/officeDocument/2006/relationships/hyperlink" Target="#ABSEN!A1"/><Relationship Id="rId1" Type="http://schemas.openxmlformats.org/officeDocument/2006/relationships/image" Target="../media/image4.png"/><Relationship Id="rId6" Type="http://schemas.openxmlformats.org/officeDocument/2006/relationships/hyperlink" Target="#'PAI3'!A1"/><Relationship Id="rId11" Type="http://schemas.openxmlformats.org/officeDocument/2006/relationships/hyperlink" Target="#LEGER!A1"/><Relationship Id="rId5" Type="http://schemas.openxmlformats.org/officeDocument/2006/relationships/hyperlink" Target="#'KI1'!A1"/><Relationship Id="rId15" Type="http://schemas.openxmlformats.org/officeDocument/2006/relationships/image" Target="../media/image6.png"/><Relationship Id="rId10" Type="http://schemas.openxmlformats.org/officeDocument/2006/relationships/hyperlink" Target="#TUTOR!A1"/><Relationship Id="rId19" Type="http://schemas.openxmlformats.org/officeDocument/2006/relationships/hyperlink" Target="#KUALF2!A1"/><Relationship Id="rId4" Type="http://schemas.openxmlformats.org/officeDocument/2006/relationships/hyperlink" Target="#'KI-KD'!A1"/><Relationship Id="rId9" Type="http://schemas.openxmlformats.org/officeDocument/2006/relationships/hyperlink" Target="#JAN!A1"/><Relationship Id="rId14" Type="http://schemas.openxmlformats.org/officeDocument/2006/relationships/hyperlink" Target="#INDUK1!A1"/></Relationships>
</file>

<file path=xl/drawings/_rels/drawing3.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hyperlink" Target="#DEPAN!A1"/></Relationships>
</file>

<file path=xl/drawings/_rels/drawing4.xml.rels><?xml version="1.0" encoding="UTF-8" standalone="yes"?>
<Relationships xmlns="http://schemas.openxmlformats.org/package/2006/relationships"><Relationship Id="rId8" Type="http://schemas.openxmlformats.org/officeDocument/2006/relationships/hyperlink" Target="#'KI-KD'!A53"/><Relationship Id="rId13" Type="http://schemas.openxmlformats.org/officeDocument/2006/relationships/hyperlink" Target="#'KI-KD'!A107"/><Relationship Id="rId18" Type="http://schemas.openxmlformats.org/officeDocument/2006/relationships/image" Target="../media/image7.gif"/><Relationship Id="rId3" Type="http://schemas.openxmlformats.org/officeDocument/2006/relationships/hyperlink" Target="#'KI-KD'!A152"/><Relationship Id="rId7" Type="http://schemas.openxmlformats.org/officeDocument/2006/relationships/hyperlink" Target="#'KI-KD'!A27"/><Relationship Id="rId12" Type="http://schemas.openxmlformats.org/officeDocument/2006/relationships/hyperlink" Target="#'KI-KD'!A82"/><Relationship Id="rId17" Type="http://schemas.openxmlformats.org/officeDocument/2006/relationships/hyperlink" Target="#DEPAN!A1"/><Relationship Id="rId2" Type="http://schemas.openxmlformats.org/officeDocument/2006/relationships/hyperlink" Target="#'KI-KD'!A167"/><Relationship Id="rId16" Type="http://schemas.openxmlformats.org/officeDocument/2006/relationships/hyperlink" Target="#'KI-KD'!A132"/><Relationship Id="rId1" Type="http://schemas.openxmlformats.org/officeDocument/2006/relationships/hyperlink" Target="#'KI-KD'!A2"/><Relationship Id="rId6" Type="http://schemas.openxmlformats.org/officeDocument/2006/relationships/hyperlink" Target="#'KI-KD'!A197"/><Relationship Id="rId11" Type="http://schemas.openxmlformats.org/officeDocument/2006/relationships/hyperlink" Target="#'KI-KD'!A92"/><Relationship Id="rId5" Type="http://schemas.openxmlformats.org/officeDocument/2006/relationships/hyperlink" Target="#'KI-KD'!A212"/><Relationship Id="rId15" Type="http://schemas.openxmlformats.org/officeDocument/2006/relationships/hyperlink" Target="#'KI-KD'!A142"/><Relationship Id="rId10" Type="http://schemas.openxmlformats.org/officeDocument/2006/relationships/hyperlink" Target="#'KI-KD'!A68"/><Relationship Id="rId4" Type="http://schemas.openxmlformats.org/officeDocument/2006/relationships/hyperlink" Target="#'KI-KD'!A182"/><Relationship Id="rId9" Type="http://schemas.openxmlformats.org/officeDocument/2006/relationships/hyperlink" Target="#'KI-KD'!A38"/><Relationship Id="rId14" Type="http://schemas.openxmlformats.org/officeDocument/2006/relationships/hyperlink" Target="#'KI-KD'!A121"/></Relationships>
</file>

<file path=xl/drawings/_rels/drawing5.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DEPAN!A1"/></Relationships>
</file>

<file path=xl/drawings/_rels/drawing6.xml.rels><?xml version="1.0" encoding="UTF-8" standalone="yes"?>
<Relationships xmlns="http://schemas.openxmlformats.org/package/2006/relationships"><Relationship Id="rId3" Type="http://schemas.openxmlformats.org/officeDocument/2006/relationships/hyperlink" Target="#IND!A1"/><Relationship Id="rId7" Type="http://schemas.openxmlformats.org/officeDocument/2006/relationships/hyperlink" Target="#SOSIAL!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SPIRIT!A1"/><Relationship Id="rId5" Type="http://schemas.openxmlformats.org/officeDocument/2006/relationships/hyperlink" Target="#'KI2'!A1"/><Relationship Id="rId4" Type="http://schemas.openxmlformats.org/officeDocument/2006/relationships/hyperlink" Target="#'KI1'!A1"/></Relationships>
</file>

<file path=xl/drawings/_rels/drawing7.xml.rels><?xml version="1.0" encoding="UTF-8" standalone="yes"?>
<Relationships xmlns="http://schemas.openxmlformats.org/package/2006/relationships"><Relationship Id="rId3" Type="http://schemas.openxmlformats.org/officeDocument/2006/relationships/hyperlink" Target="#IND!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SOSIAL!A1"/><Relationship Id="rId5" Type="http://schemas.openxmlformats.org/officeDocument/2006/relationships/hyperlink" Target="#SPIRIT!A1"/><Relationship Id="rId4" Type="http://schemas.openxmlformats.org/officeDocument/2006/relationships/hyperlink" Target="#'KI2'!A1"/></Relationships>
</file>

<file path=xl/drawings/_rels/drawing8.xml.rels><?xml version="1.0" encoding="UTF-8" standalone="yes"?>
<Relationships xmlns="http://schemas.openxmlformats.org/package/2006/relationships"><Relationship Id="rId3" Type="http://schemas.openxmlformats.org/officeDocument/2006/relationships/hyperlink" Target="#IND!A1"/><Relationship Id="rId7" Type="http://schemas.openxmlformats.org/officeDocument/2006/relationships/hyperlink" Target="#SOSIAL!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SPIRIT!A1"/><Relationship Id="rId5" Type="http://schemas.openxmlformats.org/officeDocument/2006/relationships/hyperlink" Target="#'KI2'!A1"/><Relationship Id="rId4" Type="http://schemas.openxmlformats.org/officeDocument/2006/relationships/hyperlink" Target="#'KI1'!A1"/></Relationships>
</file>

<file path=xl/drawings/_rels/drawing9.xml.rels><?xml version="1.0" encoding="UTF-8" standalone="yes"?>
<Relationships xmlns="http://schemas.openxmlformats.org/package/2006/relationships"><Relationship Id="rId3" Type="http://schemas.openxmlformats.org/officeDocument/2006/relationships/hyperlink" Target="#IND!A1"/><Relationship Id="rId7" Type="http://schemas.openxmlformats.org/officeDocument/2006/relationships/image" Target="../media/image7.gif"/><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SOSIAL!A1"/><Relationship Id="rId5" Type="http://schemas.openxmlformats.org/officeDocument/2006/relationships/hyperlink" Target="#SPIRIT!A1"/><Relationship Id="rId4" Type="http://schemas.openxmlformats.org/officeDocument/2006/relationships/hyperlink" Target="#'KI2'!A1"/></Relationships>
</file>

<file path=xl/drawings/_rels/drawing10.xml.rels><?xml version="1.0" encoding="UTF-8" standalone="yes"?>
<Relationships xmlns="http://schemas.openxmlformats.org/package/2006/relationships"><Relationship Id="rId3" Type="http://schemas.openxmlformats.org/officeDocument/2006/relationships/hyperlink" Target="#IND!A1"/><Relationship Id="rId7" Type="http://schemas.openxmlformats.org/officeDocument/2006/relationships/image" Target="../media/image7.gif"/><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SOSIAL!A1"/><Relationship Id="rId5" Type="http://schemas.openxmlformats.org/officeDocument/2006/relationships/hyperlink" Target="#SPIRIT!A1"/><Relationship Id="rId4" Type="http://schemas.openxmlformats.org/officeDocument/2006/relationships/hyperlink" Target="#'KI2'!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3" Type="http://schemas.openxmlformats.org/officeDocument/2006/relationships/hyperlink" Target="#JAN!A1"/><Relationship Id="rId7" Type="http://schemas.openxmlformats.org/officeDocument/2006/relationships/hyperlink" Target="#MEI!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APR!A1"/><Relationship Id="rId5" Type="http://schemas.openxmlformats.org/officeDocument/2006/relationships/hyperlink" Target="#MART!A1"/><Relationship Id="rId4" Type="http://schemas.openxmlformats.org/officeDocument/2006/relationships/hyperlink" Target="#PEB!A1"/><Relationship Id="rId9" Type="http://schemas.openxmlformats.org/officeDocument/2006/relationships/hyperlink" Target="#AB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3" Type="http://schemas.openxmlformats.org/officeDocument/2006/relationships/hyperlink" Target="#JAN!A1"/><Relationship Id="rId7" Type="http://schemas.openxmlformats.org/officeDocument/2006/relationships/hyperlink" Target="#MEI!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APR!A1"/><Relationship Id="rId5" Type="http://schemas.openxmlformats.org/officeDocument/2006/relationships/hyperlink" Target="#MART!A1"/><Relationship Id="rId4" Type="http://schemas.openxmlformats.org/officeDocument/2006/relationships/hyperlink" Target="#PEB!A1"/><Relationship Id="rId9" Type="http://schemas.openxmlformats.org/officeDocument/2006/relationships/hyperlink" Target="#AB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3" Type="http://schemas.openxmlformats.org/officeDocument/2006/relationships/hyperlink" Target="#JAN!A1"/><Relationship Id="rId7" Type="http://schemas.openxmlformats.org/officeDocument/2006/relationships/hyperlink" Target="#MEI!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APR!A1"/><Relationship Id="rId5" Type="http://schemas.openxmlformats.org/officeDocument/2006/relationships/hyperlink" Target="#MART!A1"/><Relationship Id="rId4" Type="http://schemas.openxmlformats.org/officeDocument/2006/relationships/hyperlink" Target="#PEB!A1"/><Relationship Id="rId9" Type="http://schemas.openxmlformats.org/officeDocument/2006/relationships/hyperlink" Target="#AB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3" Type="http://schemas.openxmlformats.org/officeDocument/2006/relationships/hyperlink" Target="#JAN!A1"/><Relationship Id="rId7" Type="http://schemas.openxmlformats.org/officeDocument/2006/relationships/hyperlink" Target="#MEI!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APR!A1"/><Relationship Id="rId5" Type="http://schemas.openxmlformats.org/officeDocument/2006/relationships/hyperlink" Target="#MART!A1"/><Relationship Id="rId4" Type="http://schemas.openxmlformats.org/officeDocument/2006/relationships/hyperlink" Target="#PEB!A1"/><Relationship Id="rId9" Type="http://schemas.openxmlformats.org/officeDocument/2006/relationships/hyperlink" Target="#AB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3" Type="http://schemas.openxmlformats.org/officeDocument/2006/relationships/hyperlink" Target="#JAN!A1"/><Relationship Id="rId7" Type="http://schemas.openxmlformats.org/officeDocument/2006/relationships/hyperlink" Target="#MEI!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APR!A1"/><Relationship Id="rId5" Type="http://schemas.openxmlformats.org/officeDocument/2006/relationships/hyperlink" Target="#MART!A1"/><Relationship Id="rId4" Type="http://schemas.openxmlformats.org/officeDocument/2006/relationships/hyperlink" Target="#PEB!A1"/><Relationship Id="rId9" Type="http://schemas.openxmlformats.org/officeDocument/2006/relationships/hyperlink" Target="#ABS!A1"/></Relationships>
</file>

<file path=xl/drawings/_rels/drawing16.xml.rels><?xml version="1.0" encoding="UTF-8" standalone="yes"?>
<Relationships xmlns="http://schemas.openxmlformats.org/package/2006/relationships"><Relationship Id="rId8" Type="http://schemas.openxmlformats.org/officeDocument/2006/relationships/hyperlink" Target="#ABS!A1"/><Relationship Id="rId3" Type="http://schemas.openxmlformats.org/officeDocument/2006/relationships/hyperlink" Target="#JAN!A1"/><Relationship Id="rId7" Type="http://schemas.openxmlformats.org/officeDocument/2006/relationships/hyperlink" Target="#MEI!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APR!A1"/><Relationship Id="rId5" Type="http://schemas.openxmlformats.org/officeDocument/2006/relationships/hyperlink" Target="#MART!A1"/><Relationship Id="rId4" Type="http://schemas.openxmlformats.org/officeDocument/2006/relationships/hyperlink" Target="#PEB!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3" Type="http://schemas.openxmlformats.org/officeDocument/2006/relationships/hyperlink" Target="#JAN!A1"/><Relationship Id="rId7" Type="http://schemas.openxmlformats.org/officeDocument/2006/relationships/hyperlink" Target="#MEI!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hyperlink" Target="#APR!A1"/><Relationship Id="rId5" Type="http://schemas.openxmlformats.org/officeDocument/2006/relationships/hyperlink" Target="#MART!A1"/><Relationship Id="rId4" Type="http://schemas.openxmlformats.org/officeDocument/2006/relationships/hyperlink" Target="#PEB!A1"/><Relationship Id="rId9" Type="http://schemas.openxmlformats.org/officeDocument/2006/relationships/hyperlink" Target="#ABS!A1"/></Relationships>
</file>

<file path=xl/drawings/_rels/drawing18.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9.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0.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1.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2.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3.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4.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5.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6.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7.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8.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29.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0.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1.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2.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3.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4.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5.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6.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7.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8.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9.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40.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hyperlink" Target="#DEPAN!A1"/></Relationships>
</file>

<file path=xl/drawings/_rels/drawing4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DEPAN!A1"/></Relationships>
</file>

<file path=xl/drawings/_rels/drawing42.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hyperlink" Target="#DEPAN!A1"/></Relationships>
</file>

<file path=xl/drawings/_rels/drawing43.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DEPAN!A1"/></Relationships>
</file>

<file path=xl/drawings/_rels/drawing44.xml.rels><?xml version="1.0" encoding="UTF-8" standalone="yes"?>
<Relationships xmlns="http://schemas.openxmlformats.org/package/2006/relationships"><Relationship Id="rId8" Type="http://schemas.openxmlformats.org/officeDocument/2006/relationships/image" Target="../media/image7.gif"/><Relationship Id="rId3" Type="http://schemas.openxmlformats.org/officeDocument/2006/relationships/image" Target="../media/image11.jpeg"/><Relationship Id="rId7" Type="http://schemas.openxmlformats.org/officeDocument/2006/relationships/hyperlink" Target="#DEPAN!A1"/><Relationship Id="rId2" Type="http://schemas.openxmlformats.org/officeDocument/2006/relationships/hyperlink" Target="#'DATA RAPORT'!A1"/><Relationship Id="rId1" Type="http://schemas.openxmlformats.org/officeDocument/2006/relationships/image" Target="../media/image10.jpeg"/><Relationship Id="rId6" Type="http://schemas.openxmlformats.org/officeDocument/2006/relationships/image" Target="../media/image12.png"/><Relationship Id="rId5" Type="http://schemas.openxmlformats.org/officeDocument/2006/relationships/hyperlink" Target="#HOME!A1"/><Relationship Id="rId4" Type="http://schemas.openxmlformats.org/officeDocument/2006/relationships/hyperlink" Target="#'DES RAPORT'!A1"/><Relationship Id="rId9" Type="http://schemas.openxmlformats.org/officeDocument/2006/relationships/image" Target="../media/image13.jpeg"/></Relationships>
</file>

<file path=xl/drawings/_rels/drawing45.xml.rels><?xml version="1.0" encoding="UTF-8" standalone="yes"?>
<Relationships xmlns="http://schemas.openxmlformats.org/package/2006/relationships"><Relationship Id="rId3" Type="http://schemas.openxmlformats.org/officeDocument/2006/relationships/hyperlink" Target="#'DES RAPORT'!A1"/><Relationship Id="rId7" Type="http://schemas.openxmlformats.org/officeDocument/2006/relationships/image" Target="../media/image7.gif"/><Relationship Id="rId2" Type="http://schemas.openxmlformats.org/officeDocument/2006/relationships/image" Target="../media/image11.jpeg"/><Relationship Id="rId1" Type="http://schemas.openxmlformats.org/officeDocument/2006/relationships/hyperlink" Target="#RAPORT!A1"/><Relationship Id="rId6" Type="http://schemas.openxmlformats.org/officeDocument/2006/relationships/hyperlink" Target="#DEPAN!A1"/><Relationship Id="rId5" Type="http://schemas.openxmlformats.org/officeDocument/2006/relationships/image" Target="../media/image14.png"/><Relationship Id="rId4" Type="http://schemas.openxmlformats.org/officeDocument/2006/relationships/hyperlink" Target="#HOME!A1"/></Relationships>
</file>

<file path=xl/drawings/_rels/drawing46.xml.rels><?xml version="1.0" encoding="UTF-8" standalone="yes"?>
<Relationships xmlns="http://schemas.openxmlformats.org/package/2006/relationships"><Relationship Id="rId3" Type="http://schemas.openxmlformats.org/officeDocument/2006/relationships/hyperlink" Target="#'DATA RAPORT'!A1"/><Relationship Id="rId2" Type="http://schemas.openxmlformats.org/officeDocument/2006/relationships/image" Target="../media/image11.jpeg"/><Relationship Id="rId1" Type="http://schemas.openxmlformats.org/officeDocument/2006/relationships/hyperlink" Target="#RAPORT!A1"/><Relationship Id="rId5" Type="http://schemas.openxmlformats.org/officeDocument/2006/relationships/image" Target="../media/image7.gif"/><Relationship Id="rId4" Type="http://schemas.openxmlformats.org/officeDocument/2006/relationships/hyperlink" Target="#DEPAN!A1"/></Relationships>
</file>

<file path=xl/drawings/_rels/drawing47.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hyperlink" Target="#DEPAN!A1"/></Relationships>
</file>

<file path=xl/drawings/_rels/drawing48.xml.rels><?xml version="1.0" encoding="UTF-8" standalone="yes"?>
<Relationships xmlns="http://schemas.openxmlformats.org/package/2006/relationships"><Relationship Id="rId3" Type="http://schemas.openxmlformats.org/officeDocument/2006/relationships/hyperlink" Target="#DEPAN!A1"/><Relationship Id="rId2" Type="http://schemas.openxmlformats.org/officeDocument/2006/relationships/image" Target="../media/image16.jpeg"/><Relationship Id="rId1" Type="http://schemas.openxmlformats.org/officeDocument/2006/relationships/image" Target="../media/image15.png"/><Relationship Id="rId5" Type="http://schemas.openxmlformats.org/officeDocument/2006/relationships/hyperlink" Target="#'RAPORT PTS2'!A1"/><Relationship Id="rId4" Type="http://schemas.openxmlformats.org/officeDocument/2006/relationships/image" Target="../media/image7.gif"/></Relationships>
</file>

<file path=xl/drawings/_rels/drawing49.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hyperlink" Target="#DEPAN!A1"/></Relationships>
</file>

<file path=xl/drawings/_rels/drawing50.xml.rels><?xml version="1.0" encoding="UTF-8" standalone="yes"?>
<Relationships xmlns="http://schemas.openxmlformats.org/package/2006/relationships"><Relationship Id="rId3" Type="http://schemas.openxmlformats.org/officeDocument/2006/relationships/hyperlink" Target="#DEPAN!A1"/><Relationship Id="rId2" Type="http://schemas.openxmlformats.org/officeDocument/2006/relationships/image" Target="../media/image16.jpeg"/><Relationship Id="rId1" Type="http://schemas.openxmlformats.org/officeDocument/2006/relationships/image" Target="../media/image15.png"/><Relationship Id="rId5" Type="http://schemas.openxmlformats.org/officeDocument/2006/relationships/hyperlink" Target="#'RAPORT PTS'!A1"/><Relationship Id="rId4" Type="http://schemas.openxmlformats.org/officeDocument/2006/relationships/image" Target="../media/image7.gif"/></Relationships>
</file>

<file path=xl/drawings/_rels/drawing51.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hyperlink" Target="#DEPAN!A1"/><Relationship Id="rId1" Type="http://schemas.openxmlformats.org/officeDocument/2006/relationships/image" Target="../media/image17.png"/><Relationship Id="rId6" Type="http://schemas.openxmlformats.org/officeDocument/2006/relationships/hyperlink" Target="#INDUK3!A1"/><Relationship Id="rId5" Type="http://schemas.openxmlformats.org/officeDocument/2006/relationships/image" Target="../media/image11.jpeg"/><Relationship Id="rId4" Type="http://schemas.openxmlformats.org/officeDocument/2006/relationships/hyperlink" Target="#INDUK2!A1"/></Relationships>
</file>

<file path=xl/drawings/_rels/drawing52.xml.rels><?xml version="1.0" encoding="UTF-8" standalone="yes"?>
<Relationships xmlns="http://schemas.openxmlformats.org/package/2006/relationships"><Relationship Id="rId3" Type="http://schemas.openxmlformats.org/officeDocument/2006/relationships/hyperlink" Target="#INDUK1!A1"/><Relationship Id="rId2" Type="http://schemas.openxmlformats.org/officeDocument/2006/relationships/image" Target="../media/image7.gif"/><Relationship Id="rId1" Type="http://schemas.openxmlformats.org/officeDocument/2006/relationships/hyperlink" Target="#DEPAN!A1"/><Relationship Id="rId5" Type="http://schemas.openxmlformats.org/officeDocument/2006/relationships/hyperlink" Target="#INDUK3!A1"/><Relationship Id="rId4" Type="http://schemas.openxmlformats.org/officeDocument/2006/relationships/image" Target="../media/image11.jpeg"/></Relationships>
</file>

<file path=xl/drawings/_rels/drawing53.xml.rels><?xml version="1.0" encoding="UTF-8" standalone="yes"?>
<Relationships xmlns="http://schemas.openxmlformats.org/package/2006/relationships"><Relationship Id="rId3" Type="http://schemas.openxmlformats.org/officeDocument/2006/relationships/hyperlink" Target="#INDUK1!A1"/><Relationship Id="rId2" Type="http://schemas.openxmlformats.org/officeDocument/2006/relationships/image" Target="../media/image7.gif"/><Relationship Id="rId1" Type="http://schemas.openxmlformats.org/officeDocument/2006/relationships/hyperlink" Target="#DEPAN!A1"/><Relationship Id="rId5" Type="http://schemas.openxmlformats.org/officeDocument/2006/relationships/hyperlink" Target="#INDUK2!A1"/><Relationship Id="rId4" Type="http://schemas.openxmlformats.org/officeDocument/2006/relationships/image" Target="../media/image11.jpeg"/></Relationships>
</file>

<file path=xl/drawings/_rels/drawing54.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8.gif"/><Relationship Id="rId1" Type="http://schemas.openxmlformats.org/officeDocument/2006/relationships/hyperlink" Target="#DEPAN!A1"/></Relationships>
</file>

<file path=xl/drawings/_rels/drawing55.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hyperlink" Target="#DEPAN!A1"/></Relationships>
</file>

<file path=xl/drawings/_rels/drawing56.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hyperlink" Target="#DEPAN!A1"/><Relationship Id="rId1" Type="http://schemas.openxmlformats.org/officeDocument/2006/relationships/image" Target="../media/image18.png"/></Relationships>
</file>

<file path=xl/drawings/_rels/drawing57.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hyperlink" Target="#DEPAN!A1"/><Relationship Id="rId1" Type="http://schemas.openxmlformats.org/officeDocument/2006/relationships/image" Target="../media/image18.png"/></Relationships>
</file>

<file path=xl/drawings/_rels/drawing58.xml.rels><?xml version="1.0" encoding="UTF-8" standalone="yes"?>
<Relationships xmlns="http://schemas.openxmlformats.org/package/2006/relationships"><Relationship Id="rId8" Type="http://schemas.openxmlformats.org/officeDocument/2006/relationships/hyperlink" Target="#'MLK1-3'!A1"/><Relationship Id="rId3" Type="http://schemas.openxmlformats.org/officeDocument/2006/relationships/hyperlink" Target="#'PKN3'!A1"/><Relationship Id="rId7" Type="http://schemas.openxmlformats.org/officeDocument/2006/relationships/hyperlink" Target="#PJOK3!A1"/><Relationship Id="rId12" Type="http://schemas.openxmlformats.org/officeDocument/2006/relationships/image" Target="../media/image7.gif"/><Relationship Id="rId2" Type="http://schemas.openxmlformats.org/officeDocument/2006/relationships/hyperlink" Target="#'PAI3'!A1"/><Relationship Id="rId1" Type="http://schemas.openxmlformats.org/officeDocument/2006/relationships/hyperlink" Target="#'MTK3'!A1"/><Relationship Id="rId6" Type="http://schemas.openxmlformats.org/officeDocument/2006/relationships/hyperlink" Target="#SBDP3!A1"/><Relationship Id="rId11" Type="http://schemas.openxmlformats.org/officeDocument/2006/relationships/hyperlink" Target="#DEPAN!A1"/><Relationship Id="rId5" Type="http://schemas.openxmlformats.org/officeDocument/2006/relationships/hyperlink" Target="#'IPS3'!A1"/><Relationship Id="rId10" Type="http://schemas.openxmlformats.org/officeDocument/2006/relationships/hyperlink" Target="#'MLK3-3'!A1"/><Relationship Id="rId4" Type="http://schemas.openxmlformats.org/officeDocument/2006/relationships/hyperlink" Target="#'IPA3'!A1"/><Relationship Id="rId9" Type="http://schemas.openxmlformats.org/officeDocument/2006/relationships/hyperlink" Target="#'MLK2-3'!A1"/></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12</xdr:row>
      <xdr:rowOff>0</xdr:rowOff>
    </xdr:from>
    <xdr:to>
      <xdr:col>12</xdr:col>
      <xdr:colOff>19050</xdr:colOff>
      <xdr:row>20</xdr:row>
      <xdr:rowOff>161925</xdr:rowOff>
    </xdr:to>
    <xdr:pic>
      <xdr:nvPicPr>
        <xdr:cNvPr id="17" name="Picture 16"/>
        <xdr:cNvPicPr>
          <a:picLocks noChangeAspect="1"/>
        </xdr:cNvPicPr>
      </xdr:nvPicPr>
      <xdr:blipFill rotWithShape="1">
        <a:blip xmlns:r="http://schemas.openxmlformats.org/officeDocument/2006/relationships" r:embed="rId1"/>
        <a:srcRect t="38366" r="93633" b="27157"/>
        <a:stretch/>
      </xdr:blipFill>
      <xdr:spPr>
        <a:xfrm>
          <a:off x="7981950" y="2505075"/>
          <a:ext cx="228600" cy="1685925"/>
        </a:xfrm>
        <a:prstGeom prst="rect">
          <a:avLst/>
        </a:prstGeom>
      </xdr:spPr>
    </xdr:pic>
    <xdr:clientData/>
  </xdr:twoCellAnchor>
  <xdr:twoCellAnchor editAs="oneCell">
    <xdr:from>
      <xdr:col>6</xdr:col>
      <xdr:colOff>0</xdr:colOff>
      <xdr:row>12</xdr:row>
      <xdr:rowOff>0</xdr:rowOff>
    </xdr:from>
    <xdr:to>
      <xdr:col>7</xdr:col>
      <xdr:colOff>9525</xdr:colOff>
      <xdr:row>20</xdr:row>
      <xdr:rowOff>161925</xdr:rowOff>
    </xdr:to>
    <xdr:pic>
      <xdr:nvPicPr>
        <xdr:cNvPr id="16" name="Picture 15"/>
        <xdr:cNvPicPr>
          <a:picLocks noChangeAspect="1"/>
        </xdr:cNvPicPr>
      </xdr:nvPicPr>
      <xdr:blipFill rotWithShape="1">
        <a:blip xmlns:r="http://schemas.openxmlformats.org/officeDocument/2006/relationships" r:embed="rId1"/>
        <a:srcRect t="38366" r="93633" b="27157"/>
        <a:stretch/>
      </xdr:blipFill>
      <xdr:spPr>
        <a:xfrm>
          <a:off x="3752850" y="2505075"/>
          <a:ext cx="228600" cy="1685925"/>
        </a:xfrm>
        <a:prstGeom prst="rect">
          <a:avLst/>
        </a:prstGeom>
      </xdr:spPr>
    </xdr:pic>
    <xdr:clientData/>
  </xdr:twoCellAnchor>
  <xdr:twoCellAnchor>
    <xdr:from>
      <xdr:col>11</xdr:col>
      <xdr:colOff>17746</xdr:colOff>
      <xdr:row>12</xdr:row>
      <xdr:rowOff>14094</xdr:rowOff>
    </xdr:from>
    <xdr:to>
      <xdr:col>11</xdr:col>
      <xdr:colOff>186147</xdr:colOff>
      <xdr:row>13</xdr:row>
      <xdr:rowOff>4263</xdr:rowOff>
    </xdr:to>
    <xdr:sp macro="" textlink="">
      <xdr:nvSpPr>
        <xdr:cNvPr id="2" name="Right Triangle 1"/>
        <xdr:cNvSpPr/>
      </xdr:nvSpPr>
      <xdr:spPr>
        <a:xfrm rot="10630347" flipH="1">
          <a:off x="7999696" y="2576319"/>
          <a:ext cx="168401" cy="180669"/>
        </a:xfrm>
        <a:prstGeom prst="rtTriangle">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23769</xdr:colOff>
      <xdr:row>11</xdr:row>
      <xdr:rowOff>380686</xdr:rowOff>
    </xdr:from>
    <xdr:to>
      <xdr:col>7</xdr:col>
      <xdr:colOff>41590</xdr:colOff>
      <xdr:row>13</xdr:row>
      <xdr:rowOff>4610</xdr:rowOff>
    </xdr:to>
    <xdr:sp macro="" textlink="">
      <xdr:nvSpPr>
        <xdr:cNvPr id="3" name="Right Triangle 2"/>
        <xdr:cNvSpPr/>
      </xdr:nvSpPr>
      <xdr:spPr>
        <a:xfrm rot="11023586">
          <a:off x="3776619" y="2552386"/>
          <a:ext cx="236896" cy="204949"/>
        </a:xfrm>
        <a:prstGeom prst="rtTriangle">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8</xdr:col>
      <xdr:colOff>1276350</xdr:colOff>
      <xdr:row>18</xdr:row>
      <xdr:rowOff>19050</xdr:rowOff>
    </xdr:from>
    <xdr:to>
      <xdr:col>9</xdr:col>
      <xdr:colOff>923925</xdr:colOff>
      <xdr:row>19</xdr:row>
      <xdr:rowOff>76200</xdr:rowOff>
    </xdr:to>
    <xdr:sp macro="" textlink="">
      <xdr:nvSpPr>
        <xdr:cNvPr id="4" name="Rectangle 3">
          <a:hlinkClick xmlns:r="http://schemas.openxmlformats.org/officeDocument/2006/relationships" r:id="rId2"/>
        </xdr:cNvPr>
        <xdr:cNvSpPr/>
      </xdr:nvSpPr>
      <xdr:spPr>
        <a:xfrm>
          <a:off x="5915025" y="3667125"/>
          <a:ext cx="1028700" cy="247650"/>
        </a:xfrm>
        <a:prstGeom prst="rect">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MASUK</a:t>
          </a:r>
        </a:p>
      </xdr:txBody>
    </xdr:sp>
    <xdr:clientData/>
  </xdr:twoCellAnchor>
  <xdr:twoCellAnchor editAs="oneCell">
    <xdr:from>
      <xdr:col>8</xdr:col>
      <xdr:colOff>1285876</xdr:colOff>
      <xdr:row>1</xdr:row>
      <xdr:rowOff>26202</xdr:rowOff>
    </xdr:from>
    <xdr:to>
      <xdr:col>8</xdr:col>
      <xdr:colOff>1285876</xdr:colOff>
      <xdr:row>6</xdr:row>
      <xdr:rowOff>19050</xdr:rowOff>
    </xdr:to>
    <xdr:pic>
      <xdr:nvPicPr>
        <xdr:cNvPr id="5" name="Picture 4" descr="Hasil gambar untuk tut wuri handayani"/>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57826" y="216702"/>
          <a:ext cx="923924" cy="945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304801</xdr:colOff>
      <xdr:row>0</xdr:row>
      <xdr:rowOff>0</xdr:rowOff>
    </xdr:from>
    <xdr:to>
      <xdr:col>13</xdr:col>
      <xdr:colOff>304801</xdr:colOff>
      <xdr:row>27</xdr:row>
      <xdr:rowOff>0</xdr:rowOff>
    </xdr:to>
    <xdr:pic>
      <xdr:nvPicPr>
        <xdr:cNvPr id="6" name="Picture 5"/>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r="69965"/>
        <a:stretch/>
      </xdr:blipFill>
      <xdr:spPr>
        <a:xfrm>
          <a:off x="9105901" y="0"/>
          <a:ext cx="3840955" cy="5638800"/>
        </a:xfrm>
        <a:prstGeom prst="rect">
          <a:avLst/>
        </a:prstGeom>
      </xdr:spPr>
    </xdr:pic>
    <xdr:clientData/>
  </xdr:twoCellAnchor>
  <xdr:twoCellAnchor editAs="oneCell">
    <xdr:from>
      <xdr:col>0</xdr:col>
      <xdr:colOff>0</xdr:colOff>
      <xdr:row>0</xdr:row>
      <xdr:rowOff>0</xdr:rowOff>
    </xdr:from>
    <xdr:to>
      <xdr:col>5</xdr:col>
      <xdr:colOff>228599</xdr:colOff>
      <xdr:row>27</xdr:row>
      <xdr:rowOff>0</xdr:rowOff>
    </xdr:to>
    <xdr:pic>
      <xdr:nvPicPr>
        <xdr:cNvPr id="7" name="Picture 6"/>
        <xdr:cNvPicPr>
          <a:picLocks noChangeAspect="1"/>
        </xdr:cNvPicPr>
      </xdr:nvPicPr>
      <xdr:blipFill>
        <a:blip xmlns:r="http://schemas.openxmlformats.org/officeDocument/2006/relationships" r:embed="rId1"/>
        <a:stretch>
          <a:fillRect/>
        </a:stretch>
      </xdr:blipFill>
      <xdr:spPr>
        <a:xfrm>
          <a:off x="0" y="0"/>
          <a:ext cx="3743324" cy="5362575"/>
        </a:xfrm>
        <a:prstGeom prst="rect">
          <a:avLst/>
        </a:prstGeom>
      </xdr:spPr>
    </xdr:pic>
    <xdr:clientData/>
  </xdr:twoCellAnchor>
  <xdr:twoCellAnchor editAs="oneCell">
    <xdr:from>
      <xdr:col>12</xdr:col>
      <xdr:colOff>0</xdr:colOff>
      <xdr:row>0</xdr:row>
      <xdr:rowOff>0</xdr:rowOff>
    </xdr:from>
    <xdr:to>
      <xdr:col>17</xdr:col>
      <xdr:colOff>180974</xdr:colOff>
      <xdr:row>27</xdr:row>
      <xdr:rowOff>0</xdr:rowOff>
    </xdr:to>
    <xdr:pic>
      <xdr:nvPicPr>
        <xdr:cNvPr id="8" name="Picture 7"/>
        <xdr:cNvPicPr>
          <a:picLocks noChangeAspect="1"/>
        </xdr:cNvPicPr>
      </xdr:nvPicPr>
      <xdr:blipFill>
        <a:blip xmlns:r="http://schemas.openxmlformats.org/officeDocument/2006/relationships" r:embed="rId1"/>
        <a:stretch>
          <a:fillRect/>
        </a:stretch>
      </xdr:blipFill>
      <xdr:spPr>
        <a:xfrm>
          <a:off x="8191500" y="0"/>
          <a:ext cx="3743324" cy="5362575"/>
        </a:xfrm>
        <a:prstGeom prst="rect">
          <a:avLst/>
        </a:prstGeom>
      </xdr:spPr>
    </xdr:pic>
    <xdr:clientData/>
  </xdr:twoCellAnchor>
  <xdr:twoCellAnchor editAs="oneCell">
    <xdr:from>
      <xdr:col>13</xdr:col>
      <xdr:colOff>438151</xdr:colOff>
      <xdr:row>0</xdr:row>
      <xdr:rowOff>0</xdr:rowOff>
    </xdr:from>
    <xdr:to>
      <xdr:col>16383</xdr:col>
      <xdr:colOff>523875</xdr:colOff>
      <xdr:row>27</xdr:row>
      <xdr:rowOff>0</xdr:rowOff>
    </xdr:to>
    <xdr:pic>
      <xdr:nvPicPr>
        <xdr:cNvPr id="9" name="Picture 8"/>
        <xdr:cNvPicPr>
          <a:picLocks noChangeAspect="1"/>
        </xdr:cNvPicPr>
      </xdr:nvPicPr>
      <xdr:blipFill>
        <a:blip xmlns:r="http://schemas.openxmlformats.org/officeDocument/2006/relationships" r:embed="rId1"/>
        <a:stretch>
          <a:fillRect/>
        </a:stretch>
      </xdr:blipFill>
      <xdr:spPr>
        <a:xfrm>
          <a:off x="9239251" y="0"/>
          <a:ext cx="3743324" cy="5362575"/>
        </a:xfrm>
        <a:prstGeom prst="rect">
          <a:avLst/>
        </a:prstGeom>
      </xdr:spPr>
    </xdr:pic>
    <xdr:clientData/>
  </xdr:twoCellAnchor>
  <xdr:twoCellAnchor editAs="oneCell">
    <xdr:from>
      <xdr:col>5</xdr:col>
      <xdr:colOff>657225</xdr:colOff>
      <xdr:row>21</xdr:row>
      <xdr:rowOff>0</xdr:rowOff>
    </xdr:from>
    <xdr:to>
      <xdr:col>9</xdr:col>
      <xdr:colOff>1895474</xdr:colOff>
      <xdr:row>27</xdr:row>
      <xdr:rowOff>0</xdr:rowOff>
    </xdr:to>
    <xdr:pic>
      <xdr:nvPicPr>
        <xdr:cNvPr id="10" name="Picture 9"/>
        <xdr:cNvPicPr>
          <a:picLocks noChangeAspect="1"/>
        </xdr:cNvPicPr>
      </xdr:nvPicPr>
      <xdr:blipFill rotWithShape="1">
        <a:blip xmlns:r="http://schemas.openxmlformats.org/officeDocument/2006/relationships" r:embed="rId1"/>
        <a:srcRect t="76350"/>
        <a:stretch/>
      </xdr:blipFill>
      <xdr:spPr>
        <a:xfrm>
          <a:off x="3705225" y="4219575"/>
          <a:ext cx="3743324" cy="1143000"/>
        </a:xfrm>
        <a:prstGeom prst="rect">
          <a:avLst/>
        </a:prstGeom>
      </xdr:spPr>
    </xdr:pic>
    <xdr:clientData/>
  </xdr:twoCellAnchor>
  <xdr:twoCellAnchor editAs="oneCell">
    <xdr:from>
      <xdr:col>9</xdr:col>
      <xdr:colOff>0</xdr:colOff>
      <xdr:row>21</xdr:row>
      <xdr:rowOff>0</xdr:rowOff>
    </xdr:from>
    <xdr:to>
      <xdr:col>13</xdr:col>
      <xdr:colOff>495299</xdr:colOff>
      <xdr:row>27</xdr:row>
      <xdr:rowOff>0</xdr:rowOff>
    </xdr:to>
    <xdr:pic>
      <xdr:nvPicPr>
        <xdr:cNvPr id="11" name="Picture 10"/>
        <xdr:cNvPicPr>
          <a:picLocks noChangeAspect="1"/>
        </xdr:cNvPicPr>
      </xdr:nvPicPr>
      <xdr:blipFill rotWithShape="1">
        <a:blip xmlns:r="http://schemas.openxmlformats.org/officeDocument/2006/relationships" r:embed="rId1"/>
        <a:srcRect t="76350"/>
        <a:stretch/>
      </xdr:blipFill>
      <xdr:spPr>
        <a:xfrm>
          <a:off x="5553075" y="4219575"/>
          <a:ext cx="3743324" cy="1143000"/>
        </a:xfrm>
        <a:prstGeom prst="rect">
          <a:avLst/>
        </a:prstGeom>
      </xdr:spPr>
    </xdr:pic>
    <xdr:clientData/>
  </xdr:twoCellAnchor>
  <xdr:twoCellAnchor editAs="oneCell">
    <xdr:from>
      <xdr:col>5</xdr:col>
      <xdr:colOff>676275</xdr:colOff>
      <xdr:row>0</xdr:row>
      <xdr:rowOff>0</xdr:rowOff>
    </xdr:from>
    <xdr:to>
      <xdr:col>9</xdr:col>
      <xdr:colOff>1914524</xdr:colOff>
      <xdr:row>4</xdr:row>
      <xdr:rowOff>0</xdr:rowOff>
    </xdr:to>
    <xdr:pic>
      <xdr:nvPicPr>
        <xdr:cNvPr id="12" name="Picture 11"/>
        <xdr:cNvPicPr>
          <a:picLocks noChangeAspect="1"/>
        </xdr:cNvPicPr>
      </xdr:nvPicPr>
      <xdr:blipFill rotWithShape="1">
        <a:blip xmlns:r="http://schemas.openxmlformats.org/officeDocument/2006/relationships" r:embed="rId1"/>
        <a:srcRect t="76350" b="7883"/>
        <a:stretch/>
      </xdr:blipFill>
      <xdr:spPr>
        <a:xfrm>
          <a:off x="3724275" y="0"/>
          <a:ext cx="3743324" cy="762000"/>
        </a:xfrm>
        <a:prstGeom prst="rect">
          <a:avLst/>
        </a:prstGeom>
      </xdr:spPr>
    </xdr:pic>
    <xdr:clientData/>
  </xdr:twoCellAnchor>
  <xdr:twoCellAnchor editAs="oneCell">
    <xdr:from>
      <xdr:col>8</xdr:col>
      <xdr:colOff>361950</xdr:colOff>
      <xdr:row>0</xdr:row>
      <xdr:rowOff>0</xdr:rowOff>
    </xdr:from>
    <xdr:to>
      <xdr:col>12</xdr:col>
      <xdr:colOff>85724</xdr:colOff>
      <xdr:row>4</xdr:row>
      <xdr:rowOff>0</xdr:rowOff>
    </xdr:to>
    <xdr:pic>
      <xdr:nvPicPr>
        <xdr:cNvPr id="13" name="Picture 12"/>
        <xdr:cNvPicPr>
          <a:picLocks noChangeAspect="1"/>
        </xdr:cNvPicPr>
      </xdr:nvPicPr>
      <xdr:blipFill rotWithShape="1">
        <a:blip xmlns:r="http://schemas.openxmlformats.org/officeDocument/2006/relationships" r:embed="rId1"/>
        <a:srcRect t="76350" b="7883"/>
        <a:stretch/>
      </xdr:blipFill>
      <xdr:spPr>
        <a:xfrm>
          <a:off x="4533900" y="0"/>
          <a:ext cx="3743324" cy="762000"/>
        </a:xfrm>
        <a:prstGeom prst="rect">
          <a:avLst/>
        </a:prstGeom>
      </xdr:spPr>
    </xdr:pic>
    <xdr:clientData/>
  </xdr:twoCellAnchor>
  <xdr:twoCellAnchor editAs="oneCell">
    <xdr:from>
      <xdr:col>11</xdr:col>
      <xdr:colOff>2</xdr:colOff>
      <xdr:row>0</xdr:row>
      <xdr:rowOff>0</xdr:rowOff>
    </xdr:from>
    <xdr:to>
      <xdr:col>12</xdr:col>
      <xdr:colOff>9526</xdr:colOff>
      <xdr:row>10</xdr:row>
      <xdr:rowOff>180975</xdr:rowOff>
    </xdr:to>
    <xdr:pic>
      <xdr:nvPicPr>
        <xdr:cNvPr id="14" name="Picture 13"/>
        <xdr:cNvPicPr>
          <a:picLocks noChangeAspect="1"/>
        </xdr:cNvPicPr>
      </xdr:nvPicPr>
      <xdr:blipFill rotWithShape="1">
        <a:blip xmlns:r="http://schemas.openxmlformats.org/officeDocument/2006/relationships" r:embed="rId1"/>
        <a:srcRect t="38366" r="93899" b="19366"/>
        <a:stretch/>
      </xdr:blipFill>
      <xdr:spPr>
        <a:xfrm>
          <a:off x="7981952" y="0"/>
          <a:ext cx="219074" cy="2162175"/>
        </a:xfrm>
        <a:prstGeom prst="rect">
          <a:avLst/>
        </a:prstGeom>
      </xdr:spPr>
    </xdr:pic>
    <xdr:clientData/>
  </xdr:twoCellAnchor>
  <xdr:twoCellAnchor editAs="oneCell">
    <xdr:from>
      <xdr:col>5</xdr:col>
      <xdr:colOff>695325</xdr:colOff>
      <xdr:row>0</xdr:row>
      <xdr:rowOff>0</xdr:rowOff>
    </xdr:from>
    <xdr:to>
      <xdr:col>6</xdr:col>
      <xdr:colOff>209549</xdr:colOff>
      <xdr:row>10</xdr:row>
      <xdr:rowOff>180975</xdr:rowOff>
    </xdr:to>
    <xdr:pic>
      <xdr:nvPicPr>
        <xdr:cNvPr id="15" name="Picture 14"/>
        <xdr:cNvPicPr>
          <a:picLocks noChangeAspect="1"/>
        </xdr:cNvPicPr>
      </xdr:nvPicPr>
      <xdr:blipFill rotWithShape="1">
        <a:blip xmlns:r="http://schemas.openxmlformats.org/officeDocument/2006/relationships" r:embed="rId1"/>
        <a:srcRect t="38366" r="93899" b="19366"/>
        <a:stretch/>
      </xdr:blipFill>
      <xdr:spPr>
        <a:xfrm>
          <a:off x="3743325" y="0"/>
          <a:ext cx="219074" cy="2162175"/>
        </a:xfrm>
        <a:prstGeom prst="rect">
          <a:avLst/>
        </a:prstGeom>
      </xdr:spPr>
    </xdr:pic>
    <xdr:clientData/>
  </xdr:twoCellAnchor>
  <xdr:twoCellAnchor editAs="oneCell">
    <xdr:from>
      <xdr:col>8</xdr:col>
      <xdr:colOff>1276350</xdr:colOff>
      <xdr:row>1</xdr:row>
      <xdr:rowOff>47625</xdr:rowOff>
    </xdr:from>
    <xdr:to>
      <xdr:col>9</xdr:col>
      <xdr:colOff>825953</xdr:colOff>
      <xdr:row>6</xdr:row>
      <xdr:rowOff>40473</xdr:rowOff>
    </xdr:to>
    <xdr:pic>
      <xdr:nvPicPr>
        <xdr:cNvPr id="18" name="Picture 17" descr="Hasil gambar untuk tut wuri handayani"/>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0" y="238125"/>
          <a:ext cx="930728" cy="945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476250</xdr:colOff>
      <xdr:row>0</xdr:row>
      <xdr:rowOff>0</xdr:rowOff>
    </xdr:from>
    <xdr:to>
      <xdr:col>5</xdr:col>
      <xdr:colOff>704849</xdr:colOff>
      <xdr:row>26</xdr:row>
      <xdr:rowOff>161925</xdr:rowOff>
    </xdr:to>
    <xdr:pic>
      <xdr:nvPicPr>
        <xdr:cNvPr id="19" name="Picture 18"/>
        <xdr:cNvPicPr>
          <a:picLocks noChangeAspect="1"/>
        </xdr:cNvPicPr>
      </xdr:nvPicPr>
      <xdr:blipFill>
        <a:blip xmlns:r="http://schemas.openxmlformats.org/officeDocument/2006/relationships" r:embed="rId1"/>
        <a:stretch>
          <a:fillRect/>
        </a:stretch>
      </xdr:blipFill>
      <xdr:spPr>
        <a:xfrm>
          <a:off x="476250" y="0"/>
          <a:ext cx="3743324" cy="533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52668</xdr:colOff>
      <xdr:row>1</xdr:row>
      <xdr:rowOff>60512</xdr:rowOff>
    </xdr:from>
    <xdr:to>
      <xdr:col>0</xdr:col>
      <xdr:colOff>702609</xdr:colOff>
      <xdr:row>5</xdr:row>
      <xdr:rowOff>143234</xdr:rowOff>
    </xdr:to>
    <xdr:pic>
      <xdr:nvPicPr>
        <xdr:cNvPr id="52" name="Picture 51"/>
        <xdr:cNvPicPr>
          <a:picLocks noChangeAspect="1"/>
        </xdr:cNvPicPr>
      </xdr:nvPicPr>
      <xdr:blipFill>
        <a:blip xmlns:r="http://schemas.openxmlformats.org/officeDocument/2006/relationships" r:embed="rId1"/>
        <a:stretch>
          <a:fillRect/>
        </a:stretch>
      </xdr:blipFill>
      <xdr:spPr>
        <a:xfrm>
          <a:off x="52668" y="498662"/>
          <a:ext cx="649941" cy="663747"/>
        </a:xfrm>
        <a:prstGeom prst="rect">
          <a:avLst/>
        </a:prstGeom>
      </xdr:spPr>
    </xdr:pic>
    <xdr:clientData/>
  </xdr:twoCellAnchor>
  <xdr:twoCellAnchor>
    <xdr:from>
      <xdr:col>0</xdr:col>
      <xdr:colOff>180975</xdr:colOff>
      <xdr:row>7</xdr:row>
      <xdr:rowOff>0</xdr:rowOff>
    </xdr:from>
    <xdr:to>
      <xdr:col>1</xdr:col>
      <xdr:colOff>466725</xdr:colOff>
      <xdr:row>7</xdr:row>
      <xdr:rowOff>171450</xdr:rowOff>
    </xdr:to>
    <xdr:sp macro="" textlink="">
      <xdr:nvSpPr>
        <xdr:cNvPr id="53" name="Rectangle 52">
          <a:hlinkClick xmlns:r="http://schemas.openxmlformats.org/officeDocument/2006/relationships" r:id="rId2"/>
        </xdr:cNvPr>
        <xdr:cNvSpPr/>
      </xdr:nvSpPr>
      <xdr:spPr>
        <a:xfrm>
          <a:off x="180975" y="1228725"/>
          <a:ext cx="1038225" cy="171450"/>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ym typeface="Wingdings"/>
            </a:rPr>
            <a:t></a:t>
          </a:r>
          <a:r>
            <a:rPr lang="en-US" sz="1000">
              <a:sym typeface="Wingdings"/>
            </a:rPr>
            <a:t>  </a:t>
          </a:r>
          <a:r>
            <a:rPr lang="en-US" sz="1000"/>
            <a:t>Siswa</a:t>
          </a:r>
        </a:p>
      </xdr:txBody>
    </xdr:sp>
    <xdr:clientData/>
  </xdr:twoCellAnchor>
  <xdr:twoCellAnchor>
    <xdr:from>
      <xdr:col>0</xdr:col>
      <xdr:colOff>171450</xdr:colOff>
      <xdr:row>8</xdr:row>
      <xdr:rowOff>9527</xdr:rowOff>
    </xdr:from>
    <xdr:to>
      <xdr:col>1</xdr:col>
      <xdr:colOff>457200</xdr:colOff>
      <xdr:row>8</xdr:row>
      <xdr:rowOff>228601</xdr:rowOff>
    </xdr:to>
    <xdr:sp macro="" textlink="">
      <xdr:nvSpPr>
        <xdr:cNvPr id="54" name="Rectangle 53">
          <a:hlinkClick xmlns:r="http://schemas.openxmlformats.org/officeDocument/2006/relationships" r:id="rId3"/>
        </xdr:cNvPr>
        <xdr:cNvSpPr/>
      </xdr:nvSpPr>
      <xdr:spPr>
        <a:xfrm>
          <a:off x="171450" y="1685927"/>
          <a:ext cx="1038225" cy="219074"/>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200">
              <a:sym typeface="Wingdings"/>
            </a:rPr>
            <a:t></a:t>
          </a:r>
          <a:r>
            <a:rPr lang="en-US" sz="1000"/>
            <a:t> </a:t>
          </a:r>
          <a:r>
            <a:rPr lang="en-US" sz="1000" b="0"/>
            <a:t>KKM</a:t>
          </a:r>
        </a:p>
      </xdr:txBody>
    </xdr:sp>
    <xdr:clientData/>
  </xdr:twoCellAnchor>
  <xdr:twoCellAnchor>
    <xdr:from>
      <xdr:col>0</xdr:col>
      <xdr:colOff>161925</xdr:colOff>
      <xdr:row>9</xdr:row>
      <xdr:rowOff>48768</xdr:rowOff>
    </xdr:from>
    <xdr:to>
      <xdr:col>1</xdr:col>
      <xdr:colOff>447675</xdr:colOff>
      <xdr:row>10</xdr:row>
      <xdr:rowOff>57150</xdr:rowOff>
    </xdr:to>
    <xdr:sp macro="" textlink="">
      <xdr:nvSpPr>
        <xdr:cNvPr id="55" name="Rectangle 54">
          <a:hlinkClick xmlns:r="http://schemas.openxmlformats.org/officeDocument/2006/relationships" r:id="rId4"/>
        </xdr:cNvPr>
        <xdr:cNvSpPr/>
      </xdr:nvSpPr>
      <xdr:spPr>
        <a:xfrm>
          <a:off x="161925" y="1672159"/>
          <a:ext cx="1039467" cy="190600"/>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a:t>
          </a:r>
          <a:r>
            <a:rPr lang="en-US" sz="1000"/>
            <a:t>  Kurikulum</a:t>
          </a:r>
        </a:p>
      </xdr:txBody>
    </xdr:sp>
    <xdr:clientData/>
  </xdr:twoCellAnchor>
  <xdr:twoCellAnchor>
    <xdr:from>
      <xdr:col>0</xdr:col>
      <xdr:colOff>161925</xdr:colOff>
      <xdr:row>10</xdr:row>
      <xdr:rowOff>104775</xdr:rowOff>
    </xdr:from>
    <xdr:to>
      <xdr:col>1</xdr:col>
      <xdr:colOff>447675</xdr:colOff>
      <xdr:row>11</xdr:row>
      <xdr:rowOff>133350</xdr:rowOff>
    </xdr:to>
    <xdr:sp macro="" textlink="">
      <xdr:nvSpPr>
        <xdr:cNvPr id="56" name="Rectangle 55">
          <a:hlinkClick xmlns:r="http://schemas.openxmlformats.org/officeDocument/2006/relationships" r:id="rId5"/>
        </xdr:cNvPr>
        <xdr:cNvSpPr/>
      </xdr:nvSpPr>
      <xdr:spPr>
        <a:xfrm>
          <a:off x="161925" y="1905000"/>
          <a:ext cx="1038225" cy="209550"/>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 </a:t>
          </a:r>
          <a:r>
            <a:rPr lang="en-US" sz="1000"/>
            <a:t> Nilai Sikap</a:t>
          </a:r>
        </a:p>
      </xdr:txBody>
    </xdr:sp>
    <xdr:clientData/>
  </xdr:twoCellAnchor>
  <xdr:twoCellAnchor>
    <xdr:from>
      <xdr:col>0</xdr:col>
      <xdr:colOff>161925</xdr:colOff>
      <xdr:row>12</xdr:row>
      <xdr:rowOff>1143</xdr:rowOff>
    </xdr:from>
    <xdr:to>
      <xdr:col>1</xdr:col>
      <xdr:colOff>857250</xdr:colOff>
      <xdr:row>13</xdr:row>
      <xdr:rowOff>9525</xdr:rowOff>
    </xdr:to>
    <xdr:sp macro="" textlink="">
      <xdr:nvSpPr>
        <xdr:cNvPr id="57" name="Rectangle 56">
          <a:hlinkClick xmlns:r="http://schemas.openxmlformats.org/officeDocument/2006/relationships" r:id="rId6"/>
        </xdr:cNvPr>
        <xdr:cNvSpPr/>
      </xdr:nvSpPr>
      <xdr:spPr>
        <a:xfrm>
          <a:off x="161925" y="2163318"/>
          <a:ext cx="1447800" cy="189357"/>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 </a:t>
          </a:r>
          <a:r>
            <a:rPr lang="en-US" sz="1000"/>
            <a:t> Nilai</a:t>
          </a:r>
          <a:r>
            <a:rPr lang="en-US" sz="1000" baseline="0"/>
            <a:t> Pengetahuan</a:t>
          </a:r>
          <a:endParaRPr lang="en-US" sz="1000"/>
        </a:p>
      </xdr:txBody>
    </xdr:sp>
    <xdr:clientData/>
  </xdr:twoCellAnchor>
  <xdr:twoCellAnchor>
    <xdr:from>
      <xdr:col>0</xdr:col>
      <xdr:colOff>171450</xdr:colOff>
      <xdr:row>13</xdr:row>
      <xdr:rowOff>57150</xdr:rowOff>
    </xdr:from>
    <xdr:to>
      <xdr:col>1</xdr:col>
      <xdr:colOff>742950</xdr:colOff>
      <xdr:row>14</xdr:row>
      <xdr:rowOff>76200</xdr:rowOff>
    </xdr:to>
    <xdr:sp macro="" textlink="">
      <xdr:nvSpPr>
        <xdr:cNvPr id="58" name="Rectangle 57">
          <a:hlinkClick xmlns:r="http://schemas.openxmlformats.org/officeDocument/2006/relationships" r:id="rId7"/>
        </xdr:cNvPr>
        <xdr:cNvSpPr/>
      </xdr:nvSpPr>
      <xdr:spPr>
        <a:xfrm>
          <a:off x="171450" y="2400300"/>
          <a:ext cx="1323975" cy="200025"/>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200">
              <a:sym typeface="Wingdings"/>
            </a:rPr>
            <a:t></a:t>
          </a:r>
          <a:r>
            <a:rPr lang="en-US" sz="1000">
              <a:sym typeface="Wingdings"/>
            </a:rPr>
            <a:t> </a:t>
          </a:r>
          <a:r>
            <a:rPr lang="en-US" sz="1000"/>
            <a:t> Nilai</a:t>
          </a:r>
          <a:r>
            <a:rPr lang="en-US" sz="1000" baseline="0"/>
            <a:t> Ketrampilan</a:t>
          </a:r>
          <a:endParaRPr lang="en-US" sz="1000"/>
        </a:p>
      </xdr:txBody>
    </xdr:sp>
    <xdr:clientData/>
  </xdr:twoCellAnchor>
  <xdr:twoCellAnchor>
    <xdr:from>
      <xdr:col>0</xdr:col>
      <xdr:colOff>161925</xdr:colOff>
      <xdr:row>14</xdr:row>
      <xdr:rowOff>124968</xdr:rowOff>
    </xdr:from>
    <xdr:to>
      <xdr:col>1</xdr:col>
      <xdr:colOff>628650</xdr:colOff>
      <xdr:row>15</xdr:row>
      <xdr:rowOff>142875</xdr:rowOff>
    </xdr:to>
    <xdr:sp macro="" textlink="">
      <xdr:nvSpPr>
        <xdr:cNvPr id="59" name="Rectangle 58">
          <a:hlinkClick xmlns:r="http://schemas.openxmlformats.org/officeDocument/2006/relationships" r:id="rId8"/>
        </xdr:cNvPr>
        <xdr:cNvSpPr/>
      </xdr:nvSpPr>
      <xdr:spPr>
        <a:xfrm>
          <a:off x="161925" y="2649093"/>
          <a:ext cx="1219200" cy="19888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a:t>
          </a:r>
          <a:r>
            <a:rPr lang="en-US" sz="1000"/>
            <a:t> Rekap nilai</a:t>
          </a:r>
        </a:p>
      </xdr:txBody>
    </xdr:sp>
    <xdr:clientData/>
  </xdr:twoCellAnchor>
  <xdr:twoCellAnchor>
    <xdr:from>
      <xdr:col>0</xdr:col>
      <xdr:colOff>171450</xdr:colOff>
      <xdr:row>16</xdr:row>
      <xdr:rowOff>10668</xdr:rowOff>
    </xdr:from>
    <xdr:to>
      <xdr:col>1</xdr:col>
      <xdr:colOff>552450</xdr:colOff>
      <xdr:row>17</xdr:row>
      <xdr:rowOff>9525</xdr:rowOff>
    </xdr:to>
    <xdr:sp macro="" textlink="">
      <xdr:nvSpPr>
        <xdr:cNvPr id="60" name="Rectangle 59">
          <a:hlinkClick xmlns:r="http://schemas.openxmlformats.org/officeDocument/2006/relationships" r:id="rId9"/>
        </xdr:cNvPr>
        <xdr:cNvSpPr/>
      </xdr:nvSpPr>
      <xdr:spPr>
        <a:xfrm>
          <a:off x="171450" y="2896743"/>
          <a:ext cx="1133475"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200">
              <a:sym typeface="Wingdings"/>
            </a:rPr>
            <a:t></a:t>
          </a:r>
          <a:r>
            <a:rPr lang="en-US" sz="1000"/>
            <a:t>  Absen</a:t>
          </a:r>
        </a:p>
      </xdr:txBody>
    </xdr:sp>
    <xdr:clientData/>
  </xdr:twoCellAnchor>
  <xdr:twoCellAnchor>
    <xdr:from>
      <xdr:col>0</xdr:col>
      <xdr:colOff>171450</xdr:colOff>
      <xdr:row>27</xdr:row>
      <xdr:rowOff>10668</xdr:rowOff>
    </xdr:from>
    <xdr:to>
      <xdr:col>1</xdr:col>
      <xdr:colOff>981075</xdr:colOff>
      <xdr:row>28</xdr:row>
      <xdr:rowOff>28575</xdr:rowOff>
    </xdr:to>
    <xdr:sp macro="" textlink="">
      <xdr:nvSpPr>
        <xdr:cNvPr id="61" name="Rectangle 60">
          <a:hlinkClick xmlns:r="http://schemas.openxmlformats.org/officeDocument/2006/relationships" r:id="rId10"/>
        </xdr:cNvPr>
        <xdr:cNvSpPr/>
      </xdr:nvSpPr>
      <xdr:spPr>
        <a:xfrm>
          <a:off x="171450" y="4839843"/>
          <a:ext cx="1562100"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olidFill>
                <a:srgbClr val="00B050"/>
              </a:solidFill>
              <a:sym typeface="Wingdings"/>
            </a:rPr>
            <a:t></a:t>
          </a:r>
          <a:r>
            <a:rPr lang="en-US" sz="1000">
              <a:solidFill>
                <a:srgbClr val="00B050"/>
              </a:solidFill>
              <a:sym typeface="Wingdings"/>
            </a:rPr>
            <a:t> </a:t>
          </a:r>
          <a:r>
            <a:rPr lang="en-US" sz="1000">
              <a:solidFill>
                <a:srgbClr val="00B050"/>
              </a:solidFill>
            </a:rPr>
            <a:t>Tutorial</a:t>
          </a:r>
        </a:p>
      </xdr:txBody>
    </xdr:sp>
    <xdr:clientData/>
  </xdr:twoCellAnchor>
  <xdr:twoCellAnchor>
    <xdr:from>
      <xdr:col>0</xdr:col>
      <xdr:colOff>171450</xdr:colOff>
      <xdr:row>18</xdr:row>
      <xdr:rowOff>153543</xdr:rowOff>
    </xdr:from>
    <xdr:to>
      <xdr:col>1</xdr:col>
      <xdr:colOff>552450</xdr:colOff>
      <xdr:row>19</xdr:row>
      <xdr:rowOff>152400</xdr:rowOff>
    </xdr:to>
    <xdr:sp macro="" textlink="">
      <xdr:nvSpPr>
        <xdr:cNvPr id="62" name="Rectangle 61">
          <a:hlinkClick xmlns:r="http://schemas.openxmlformats.org/officeDocument/2006/relationships" r:id="rId11"/>
        </xdr:cNvPr>
        <xdr:cNvSpPr/>
      </xdr:nvSpPr>
      <xdr:spPr>
        <a:xfrm>
          <a:off x="171450" y="3401568"/>
          <a:ext cx="1133475"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olidFill>
                <a:schemeClr val="tx2">
                  <a:lumMod val="40000"/>
                  <a:lumOff val="60000"/>
                </a:schemeClr>
              </a:solidFill>
              <a:sym typeface="Wingdings"/>
            </a:rPr>
            <a:t> </a:t>
          </a:r>
          <a:r>
            <a:rPr lang="en-US" sz="1000">
              <a:solidFill>
                <a:schemeClr val="tx2">
                  <a:lumMod val="40000"/>
                  <a:lumOff val="60000"/>
                </a:schemeClr>
              </a:solidFill>
            </a:rPr>
            <a:t> LEGER</a:t>
          </a:r>
        </a:p>
      </xdr:txBody>
    </xdr:sp>
    <xdr:clientData/>
  </xdr:twoCellAnchor>
  <xdr:twoCellAnchor>
    <xdr:from>
      <xdr:col>0</xdr:col>
      <xdr:colOff>180975</xdr:colOff>
      <xdr:row>21</xdr:row>
      <xdr:rowOff>58293</xdr:rowOff>
    </xdr:from>
    <xdr:to>
      <xdr:col>1</xdr:col>
      <xdr:colOff>990600</xdr:colOff>
      <xdr:row>22</xdr:row>
      <xdr:rowOff>66675</xdr:rowOff>
    </xdr:to>
    <xdr:sp macro="" textlink="">
      <xdr:nvSpPr>
        <xdr:cNvPr id="64" name="Rectangle 63">
          <a:hlinkClick xmlns:r="http://schemas.openxmlformats.org/officeDocument/2006/relationships" r:id="rId12"/>
        </xdr:cNvPr>
        <xdr:cNvSpPr/>
      </xdr:nvSpPr>
      <xdr:spPr>
        <a:xfrm>
          <a:off x="180975" y="3868293"/>
          <a:ext cx="1562100"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olidFill>
                <a:schemeClr val="tx2">
                  <a:lumMod val="40000"/>
                  <a:lumOff val="60000"/>
                </a:schemeClr>
              </a:solidFill>
              <a:sym typeface="Wingdings 2"/>
            </a:rPr>
            <a:t></a:t>
          </a:r>
          <a:r>
            <a:rPr lang="en-US" sz="1100">
              <a:solidFill>
                <a:schemeClr val="tx2">
                  <a:lumMod val="40000"/>
                  <a:lumOff val="60000"/>
                </a:schemeClr>
              </a:solidFill>
            </a:rPr>
            <a:t> </a:t>
          </a:r>
          <a:r>
            <a:rPr lang="en-US" sz="1000">
              <a:solidFill>
                <a:schemeClr val="tx2">
                  <a:lumMod val="40000"/>
                  <a:lumOff val="60000"/>
                </a:schemeClr>
              </a:solidFill>
            </a:rPr>
            <a:t>Cetak</a:t>
          </a:r>
          <a:r>
            <a:rPr lang="en-US" sz="1000" baseline="0">
              <a:solidFill>
                <a:schemeClr val="tx2">
                  <a:lumMod val="40000"/>
                  <a:lumOff val="60000"/>
                </a:schemeClr>
              </a:solidFill>
            </a:rPr>
            <a:t> Raport PTS</a:t>
          </a:r>
          <a:endParaRPr lang="en-US" sz="1000">
            <a:solidFill>
              <a:schemeClr val="tx2">
                <a:lumMod val="40000"/>
                <a:lumOff val="60000"/>
              </a:schemeClr>
            </a:solidFill>
          </a:endParaRPr>
        </a:p>
      </xdr:txBody>
    </xdr:sp>
    <xdr:clientData/>
  </xdr:twoCellAnchor>
  <xdr:twoCellAnchor>
    <xdr:from>
      <xdr:col>3</xdr:col>
      <xdr:colOff>66675</xdr:colOff>
      <xdr:row>2</xdr:row>
      <xdr:rowOff>57149</xdr:rowOff>
    </xdr:from>
    <xdr:to>
      <xdr:col>3</xdr:col>
      <xdr:colOff>466725</xdr:colOff>
      <xdr:row>3</xdr:row>
      <xdr:rowOff>190499</xdr:rowOff>
    </xdr:to>
    <xdr:sp macro="" textlink="">
      <xdr:nvSpPr>
        <xdr:cNvPr id="65" name="Smiley Face 64"/>
        <xdr:cNvSpPr/>
      </xdr:nvSpPr>
      <xdr:spPr>
        <a:xfrm>
          <a:off x="2314575" y="600074"/>
          <a:ext cx="400050" cy="342900"/>
        </a:xfrm>
        <a:prstGeom prst="smileyFace">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7</xdr:col>
      <xdr:colOff>114744</xdr:colOff>
      <xdr:row>10</xdr:row>
      <xdr:rowOff>60511</xdr:rowOff>
    </xdr:from>
    <xdr:to>
      <xdr:col>9</xdr:col>
      <xdr:colOff>1047750</xdr:colOff>
      <xdr:row>21</xdr:row>
      <xdr:rowOff>9525</xdr:rowOff>
    </xdr:to>
    <xdr:pic>
      <xdr:nvPicPr>
        <xdr:cNvPr id="17" name="Picture 16" descr="IMAGE DAPO.jpg"/>
        <xdr:cNvPicPr>
          <a:picLocks noChangeAspect="1"/>
        </xdr:cNvPicPr>
      </xdr:nvPicPr>
      <xdr:blipFill>
        <a:blip xmlns:r="http://schemas.openxmlformats.org/officeDocument/2006/relationships" r:embed="rId13"/>
        <a:stretch>
          <a:fillRect/>
        </a:stretch>
      </xdr:blipFill>
      <xdr:spPr>
        <a:xfrm>
          <a:off x="6144069" y="1860736"/>
          <a:ext cx="1685481" cy="1958789"/>
        </a:xfrm>
        <a:prstGeom prst="rect">
          <a:avLst/>
        </a:prstGeom>
      </xdr:spPr>
    </xdr:pic>
    <xdr:clientData/>
  </xdr:twoCellAnchor>
  <xdr:twoCellAnchor>
    <xdr:from>
      <xdr:col>0</xdr:col>
      <xdr:colOff>161925</xdr:colOff>
      <xdr:row>20</xdr:row>
      <xdr:rowOff>28575</xdr:rowOff>
    </xdr:from>
    <xdr:to>
      <xdr:col>1</xdr:col>
      <xdr:colOff>542925</xdr:colOff>
      <xdr:row>21</xdr:row>
      <xdr:rowOff>8382</xdr:rowOff>
    </xdr:to>
    <xdr:sp macro="" textlink="">
      <xdr:nvSpPr>
        <xdr:cNvPr id="18" name="Rectangle 17">
          <a:hlinkClick xmlns:r="http://schemas.openxmlformats.org/officeDocument/2006/relationships" r:id="rId14"/>
        </xdr:cNvPr>
        <xdr:cNvSpPr/>
      </xdr:nvSpPr>
      <xdr:spPr>
        <a:xfrm>
          <a:off x="161925" y="3638550"/>
          <a:ext cx="1133475"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olidFill>
                <a:schemeClr val="tx2">
                  <a:lumMod val="40000"/>
                  <a:lumOff val="60000"/>
                </a:schemeClr>
              </a:solidFill>
              <a:sym typeface="Wingdings"/>
            </a:rPr>
            <a:t> </a:t>
          </a:r>
          <a:r>
            <a:rPr lang="en-US" sz="1000">
              <a:solidFill>
                <a:schemeClr val="tx2">
                  <a:lumMod val="40000"/>
                  <a:lumOff val="60000"/>
                </a:schemeClr>
              </a:solidFill>
            </a:rPr>
            <a:t>Buku</a:t>
          </a:r>
          <a:r>
            <a:rPr lang="en-US" sz="1000" baseline="0">
              <a:solidFill>
                <a:schemeClr val="tx2">
                  <a:lumMod val="40000"/>
                  <a:lumOff val="60000"/>
                </a:schemeClr>
              </a:solidFill>
            </a:rPr>
            <a:t> Induk</a:t>
          </a:r>
          <a:endParaRPr lang="en-US" sz="1000">
            <a:solidFill>
              <a:schemeClr val="tx2">
                <a:lumMod val="40000"/>
                <a:lumOff val="60000"/>
              </a:schemeClr>
            </a:solidFill>
          </a:endParaRPr>
        </a:p>
      </xdr:txBody>
    </xdr:sp>
    <xdr:clientData/>
  </xdr:twoCellAnchor>
  <xdr:twoCellAnchor editAs="oneCell">
    <xdr:from>
      <xdr:col>0</xdr:col>
      <xdr:colOff>38101</xdr:colOff>
      <xdr:row>0</xdr:row>
      <xdr:rowOff>6361</xdr:rowOff>
    </xdr:from>
    <xdr:to>
      <xdr:col>0</xdr:col>
      <xdr:colOff>325597</xdr:colOff>
      <xdr:row>0</xdr:row>
      <xdr:rowOff>304800</xdr:rowOff>
    </xdr:to>
    <xdr:pic>
      <xdr:nvPicPr>
        <xdr:cNvPr id="34817" name="Picture 1" descr="Hasil gambar untuk TUT WURI"/>
        <xdr:cNvPicPr>
          <a:picLocks noChangeAspect="1" noChangeArrowheads="1"/>
        </xdr:cNvPicPr>
      </xdr:nvPicPr>
      <xdr:blipFill>
        <a:blip xmlns:r="http://schemas.openxmlformats.org/officeDocument/2006/relationships" r:embed="rId15" cstate="print"/>
        <a:srcRect/>
        <a:stretch>
          <a:fillRect/>
        </a:stretch>
      </xdr:blipFill>
      <xdr:spPr bwMode="auto">
        <a:xfrm>
          <a:off x="38101" y="6361"/>
          <a:ext cx="287496" cy="298439"/>
        </a:xfrm>
        <a:prstGeom prst="rect">
          <a:avLst/>
        </a:prstGeom>
        <a:noFill/>
      </xdr:spPr>
    </xdr:pic>
    <xdr:clientData/>
  </xdr:twoCellAnchor>
  <xdr:twoCellAnchor>
    <xdr:from>
      <xdr:col>0</xdr:col>
      <xdr:colOff>171450</xdr:colOff>
      <xdr:row>22</xdr:row>
      <xdr:rowOff>124968</xdr:rowOff>
    </xdr:from>
    <xdr:to>
      <xdr:col>1</xdr:col>
      <xdr:colOff>981075</xdr:colOff>
      <xdr:row>24</xdr:row>
      <xdr:rowOff>0</xdr:rowOff>
    </xdr:to>
    <xdr:sp macro="" textlink="">
      <xdr:nvSpPr>
        <xdr:cNvPr id="19" name="Rectangle 18">
          <a:hlinkClick xmlns:r="http://schemas.openxmlformats.org/officeDocument/2006/relationships" r:id="rId16"/>
        </xdr:cNvPr>
        <xdr:cNvSpPr/>
      </xdr:nvSpPr>
      <xdr:spPr>
        <a:xfrm>
          <a:off x="171450" y="4106418"/>
          <a:ext cx="1562100"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olidFill>
                <a:schemeClr val="tx2">
                  <a:lumMod val="40000"/>
                  <a:lumOff val="60000"/>
                </a:schemeClr>
              </a:solidFill>
              <a:sym typeface="Wingdings 2"/>
            </a:rPr>
            <a:t></a:t>
          </a:r>
          <a:r>
            <a:rPr lang="en-US" sz="1100">
              <a:solidFill>
                <a:schemeClr val="tx2">
                  <a:lumMod val="40000"/>
                  <a:lumOff val="60000"/>
                </a:schemeClr>
              </a:solidFill>
            </a:rPr>
            <a:t> </a:t>
          </a:r>
          <a:r>
            <a:rPr lang="en-US" sz="1000">
              <a:solidFill>
                <a:schemeClr val="tx2">
                  <a:lumMod val="40000"/>
                  <a:lumOff val="60000"/>
                </a:schemeClr>
              </a:solidFill>
            </a:rPr>
            <a:t>Cetak</a:t>
          </a:r>
          <a:r>
            <a:rPr lang="en-US" sz="1000" baseline="0">
              <a:solidFill>
                <a:schemeClr val="tx2">
                  <a:lumMod val="40000"/>
                  <a:lumOff val="60000"/>
                </a:schemeClr>
              </a:solidFill>
            </a:rPr>
            <a:t> Raport</a:t>
          </a:r>
          <a:endParaRPr lang="en-US" sz="1000">
            <a:solidFill>
              <a:schemeClr val="tx2">
                <a:lumMod val="40000"/>
                <a:lumOff val="60000"/>
              </a:schemeClr>
            </a:solidFill>
          </a:endParaRPr>
        </a:p>
      </xdr:txBody>
    </xdr:sp>
    <xdr:clientData/>
  </xdr:twoCellAnchor>
  <xdr:twoCellAnchor>
    <xdr:from>
      <xdr:col>2</xdr:col>
      <xdr:colOff>247650</xdr:colOff>
      <xdr:row>1</xdr:row>
      <xdr:rowOff>47625</xdr:rowOff>
    </xdr:from>
    <xdr:to>
      <xdr:col>3</xdr:col>
      <xdr:colOff>1657350</xdr:colOff>
      <xdr:row>6</xdr:row>
      <xdr:rowOff>9524</xdr:rowOff>
    </xdr:to>
    <xdr:sp macro="" textlink="">
      <xdr:nvSpPr>
        <xdr:cNvPr id="2" name="Rectangle 1">
          <a:hlinkClick xmlns:r="http://schemas.openxmlformats.org/officeDocument/2006/relationships" r:id="rId2"/>
        </xdr:cNvPr>
        <xdr:cNvSpPr/>
      </xdr:nvSpPr>
      <xdr:spPr>
        <a:xfrm>
          <a:off x="2228850" y="438150"/>
          <a:ext cx="1676400" cy="723899"/>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314324</xdr:colOff>
      <xdr:row>2</xdr:row>
      <xdr:rowOff>1</xdr:rowOff>
    </xdr:from>
    <xdr:to>
      <xdr:col>6</xdr:col>
      <xdr:colOff>1276349</xdr:colOff>
      <xdr:row>5</xdr:row>
      <xdr:rowOff>171450</xdr:rowOff>
    </xdr:to>
    <xdr:sp macro="" textlink="">
      <xdr:nvSpPr>
        <xdr:cNvPr id="20" name="Rectangle 19">
          <a:hlinkClick xmlns:r="http://schemas.openxmlformats.org/officeDocument/2006/relationships" r:id="rId17"/>
        </xdr:cNvPr>
        <xdr:cNvSpPr/>
      </xdr:nvSpPr>
      <xdr:spPr>
        <a:xfrm>
          <a:off x="4248149" y="447676"/>
          <a:ext cx="1781175" cy="695324"/>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2</xdr:row>
      <xdr:rowOff>19050</xdr:rowOff>
    </xdr:from>
    <xdr:to>
      <xdr:col>10</xdr:col>
      <xdr:colOff>9525</xdr:colOff>
      <xdr:row>5</xdr:row>
      <xdr:rowOff>171450</xdr:rowOff>
    </xdr:to>
    <xdr:sp macro="" textlink="">
      <xdr:nvSpPr>
        <xdr:cNvPr id="21" name="Rectangle 20">
          <a:hlinkClick xmlns:r="http://schemas.openxmlformats.org/officeDocument/2006/relationships" r:id="rId3"/>
        </xdr:cNvPr>
        <xdr:cNvSpPr/>
      </xdr:nvSpPr>
      <xdr:spPr>
        <a:xfrm>
          <a:off x="6324600" y="466725"/>
          <a:ext cx="1752600" cy="67627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2</xdr:row>
      <xdr:rowOff>0</xdr:rowOff>
    </xdr:from>
    <xdr:to>
      <xdr:col>13</xdr:col>
      <xdr:colOff>0</xdr:colOff>
      <xdr:row>5</xdr:row>
      <xdr:rowOff>171450</xdr:rowOff>
    </xdr:to>
    <xdr:sp macro="" textlink="">
      <xdr:nvSpPr>
        <xdr:cNvPr id="22" name="Rectangle 21">
          <a:hlinkClick xmlns:r="http://schemas.openxmlformats.org/officeDocument/2006/relationships" r:id="rId3"/>
        </xdr:cNvPr>
        <xdr:cNvSpPr/>
      </xdr:nvSpPr>
      <xdr:spPr>
        <a:xfrm>
          <a:off x="8315325" y="447675"/>
          <a:ext cx="1628775" cy="69532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161925</xdr:colOff>
      <xdr:row>24</xdr:row>
      <xdr:rowOff>66675</xdr:rowOff>
    </xdr:from>
    <xdr:to>
      <xdr:col>1</xdr:col>
      <xdr:colOff>971550</xdr:colOff>
      <xdr:row>25</xdr:row>
      <xdr:rowOff>56007</xdr:rowOff>
    </xdr:to>
    <xdr:sp macro="" textlink="">
      <xdr:nvSpPr>
        <xdr:cNvPr id="23" name="Rectangle 22">
          <a:hlinkClick xmlns:r="http://schemas.openxmlformats.org/officeDocument/2006/relationships" r:id="rId18"/>
        </xdr:cNvPr>
        <xdr:cNvSpPr/>
      </xdr:nvSpPr>
      <xdr:spPr>
        <a:xfrm>
          <a:off x="161925" y="4352925"/>
          <a:ext cx="1562100"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olidFill>
                <a:schemeClr val="tx2">
                  <a:lumMod val="40000"/>
                  <a:lumOff val="60000"/>
                </a:schemeClr>
              </a:solidFill>
              <a:sym typeface="Wingdings"/>
            </a:rPr>
            <a:t></a:t>
          </a:r>
          <a:r>
            <a:rPr lang="en-US" sz="1100">
              <a:solidFill>
                <a:schemeClr val="tx2">
                  <a:lumMod val="40000"/>
                  <a:lumOff val="60000"/>
                </a:schemeClr>
              </a:solidFill>
            </a:rPr>
            <a:t> </a:t>
          </a:r>
          <a:r>
            <a:rPr lang="en-US" sz="1000">
              <a:solidFill>
                <a:schemeClr val="tx2">
                  <a:lumMod val="40000"/>
                  <a:lumOff val="60000"/>
                </a:schemeClr>
              </a:solidFill>
            </a:rPr>
            <a:t>KUALIFIKASI 1</a:t>
          </a:r>
        </a:p>
      </xdr:txBody>
    </xdr:sp>
    <xdr:clientData/>
  </xdr:twoCellAnchor>
  <xdr:twoCellAnchor>
    <xdr:from>
      <xdr:col>0</xdr:col>
      <xdr:colOff>161925</xdr:colOff>
      <xdr:row>25</xdr:row>
      <xdr:rowOff>114300</xdr:rowOff>
    </xdr:from>
    <xdr:to>
      <xdr:col>1</xdr:col>
      <xdr:colOff>971550</xdr:colOff>
      <xdr:row>26</xdr:row>
      <xdr:rowOff>103632</xdr:rowOff>
    </xdr:to>
    <xdr:sp macro="" textlink="">
      <xdr:nvSpPr>
        <xdr:cNvPr id="24" name="Rectangle 23">
          <a:hlinkClick xmlns:r="http://schemas.openxmlformats.org/officeDocument/2006/relationships" r:id="rId19"/>
        </xdr:cNvPr>
        <xdr:cNvSpPr/>
      </xdr:nvSpPr>
      <xdr:spPr>
        <a:xfrm>
          <a:off x="161925" y="4591050"/>
          <a:ext cx="1562100"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olidFill>
                <a:schemeClr val="tx2">
                  <a:lumMod val="40000"/>
                  <a:lumOff val="60000"/>
                </a:schemeClr>
              </a:solidFill>
              <a:sym typeface="Wingdings"/>
            </a:rPr>
            <a:t></a:t>
          </a:r>
          <a:r>
            <a:rPr lang="en-US" sz="1100">
              <a:solidFill>
                <a:schemeClr val="tx2">
                  <a:lumMod val="40000"/>
                  <a:lumOff val="60000"/>
                </a:schemeClr>
              </a:solidFill>
            </a:rPr>
            <a:t> </a:t>
          </a:r>
          <a:r>
            <a:rPr lang="en-US" sz="1000">
              <a:solidFill>
                <a:schemeClr val="tx2">
                  <a:lumMod val="40000"/>
                  <a:lumOff val="60000"/>
                </a:schemeClr>
              </a:solidFill>
            </a:rPr>
            <a:t>KUALIFIKASI 2</a:t>
          </a:r>
        </a:p>
      </xdr:txBody>
    </xdr:sp>
    <xdr:clientData/>
  </xdr:twoCellAnchor>
  <xdr:twoCellAnchor>
    <xdr:from>
      <xdr:col>0</xdr:col>
      <xdr:colOff>171450</xdr:colOff>
      <xdr:row>17</xdr:row>
      <xdr:rowOff>57149</xdr:rowOff>
    </xdr:from>
    <xdr:to>
      <xdr:col>1</xdr:col>
      <xdr:colOff>1066800</xdr:colOff>
      <xdr:row>18</xdr:row>
      <xdr:rowOff>95249</xdr:rowOff>
    </xdr:to>
    <xdr:sp macro="" textlink="">
      <xdr:nvSpPr>
        <xdr:cNvPr id="25" name="Rectangle 24">
          <a:hlinkClick xmlns:r="http://schemas.openxmlformats.org/officeDocument/2006/relationships" r:id="rId20"/>
        </xdr:cNvPr>
        <xdr:cNvSpPr/>
      </xdr:nvSpPr>
      <xdr:spPr>
        <a:xfrm>
          <a:off x="171450" y="3124199"/>
          <a:ext cx="1647825" cy="219075"/>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200">
              <a:sym typeface="Wingdings"/>
            </a:rPr>
            <a:t></a:t>
          </a:r>
          <a:r>
            <a:rPr lang="en-US" sz="1000"/>
            <a:t>  Eskul dan prestasi</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391584</xdr:colOff>
      <xdr:row>7</xdr:row>
      <xdr:rowOff>381000</xdr:rowOff>
    </xdr:from>
    <xdr:to>
      <xdr:col>6</xdr:col>
      <xdr:colOff>666750</xdr:colOff>
      <xdr:row>8</xdr:row>
      <xdr:rowOff>370416</xdr:rowOff>
    </xdr:to>
    <xdr:cxnSp macro="">
      <xdr:nvCxnSpPr>
        <xdr:cNvPr id="6" name="Straight Arrow Connector 5"/>
        <xdr:cNvCxnSpPr/>
      </xdr:nvCxnSpPr>
      <xdr:spPr>
        <a:xfrm flipH="1" flipV="1">
          <a:off x="4353984" y="1924050"/>
          <a:ext cx="275166" cy="437091"/>
        </a:xfrm>
        <a:prstGeom prst="straightConnector1">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112057</xdr:colOff>
      <xdr:row>0</xdr:row>
      <xdr:rowOff>33618</xdr:rowOff>
    </xdr:from>
    <xdr:to>
      <xdr:col>3</xdr:col>
      <xdr:colOff>423394</xdr:colOff>
      <xdr:row>0</xdr:row>
      <xdr:rowOff>638736</xdr:rowOff>
    </xdr:to>
    <xdr:pic>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40439" y="33618"/>
          <a:ext cx="569072" cy="605118"/>
        </a:xfrm>
        <a:prstGeom prst="rect">
          <a:avLst/>
        </a:prstGeom>
      </xdr:spPr>
    </xdr:pic>
    <xdr:clientData/>
  </xdr:twoCellAnchor>
  <xdr:twoCellAnchor>
    <xdr:from>
      <xdr:col>7</xdr:col>
      <xdr:colOff>317500</xdr:colOff>
      <xdr:row>7</xdr:row>
      <xdr:rowOff>402167</xdr:rowOff>
    </xdr:from>
    <xdr:to>
      <xdr:col>7</xdr:col>
      <xdr:colOff>603250</xdr:colOff>
      <xdr:row>8</xdr:row>
      <xdr:rowOff>391583</xdr:rowOff>
    </xdr:to>
    <xdr:cxnSp macro="">
      <xdr:nvCxnSpPr>
        <xdr:cNvPr id="8" name="Straight Arrow Connector 7"/>
        <xdr:cNvCxnSpPr/>
      </xdr:nvCxnSpPr>
      <xdr:spPr>
        <a:xfrm flipH="1" flipV="1">
          <a:off x="5661025" y="1945217"/>
          <a:ext cx="285750" cy="437091"/>
        </a:xfrm>
        <a:prstGeom prst="straightConnector1">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296333</xdr:colOff>
      <xdr:row>7</xdr:row>
      <xdr:rowOff>402168</xdr:rowOff>
    </xdr:from>
    <xdr:to>
      <xdr:col>8</xdr:col>
      <xdr:colOff>613834</xdr:colOff>
      <xdr:row>8</xdr:row>
      <xdr:rowOff>402166</xdr:rowOff>
    </xdr:to>
    <xdr:cxnSp macro="">
      <xdr:nvCxnSpPr>
        <xdr:cNvPr id="9" name="Straight Arrow Connector 8"/>
        <xdr:cNvCxnSpPr/>
      </xdr:nvCxnSpPr>
      <xdr:spPr>
        <a:xfrm flipH="1" flipV="1">
          <a:off x="6811433" y="1945218"/>
          <a:ext cx="317501" cy="447673"/>
        </a:xfrm>
        <a:prstGeom prst="straightConnector1">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11</xdr:col>
          <xdr:colOff>0</xdr:colOff>
          <xdr:row>9</xdr:row>
          <xdr:rowOff>95250</xdr:rowOff>
        </xdr:from>
        <xdr:to>
          <xdr:col>11</xdr:col>
          <xdr:colOff>0</xdr:colOff>
          <xdr:row>14</xdr:row>
          <xdr:rowOff>0</xdr:rowOff>
        </xdr:to>
        <xdr:sp macro="" textlink="">
          <xdr:nvSpPr>
            <xdr:cNvPr id="3073" name="Spinner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twoCellAnchor>
    <xdr:from>
      <xdr:col>23</xdr:col>
      <xdr:colOff>515471</xdr:colOff>
      <xdr:row>9</xdr:row>
      <xdr:rowOff>89647</xdr:rowOff>
    </xdr:from>
    <xdr:to>
      <xdr:col>23</xdr:col>
      <xdr:colOff>1019736</xdr:colOff>
      <xdr:row>10</xdr:row>
      <xdr:rowOff>212911</xdr:rowOff>
    </xdr:to>
    <xdr:sp macro="" textlink="">
      <xdr:nvSpPr>
        <xdr:cNvPr id="2" name="Up Arrow 1"/>
        <xdr:cNvSpPr/>
      </xdr:nvSpPr>
      <xdr:spPr>
        <a:xfrm>
          <a:off x="10275795" y="2723029"/>
          <a:ext cx="504265" cy="392206"/>
        </a:xfrm>
        <a:prstGeom prst="up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xdr:colOff>
      <xdr:row>0</xdr:row>
      <xdr:rowOff>381000</xdr:rowOff>
    </xdr:from>
    <xdr:to>
      <xdr:col>2</xdr:col>
      <xdr:colOff>1262064</xdr:colOff>
      <xdr:row>0</xdr:row>
      <xdr:rowOff>583406</xdr:rowOff>
    </xdr:to>
    <xdr:sp macro="" textlink="">
      <xdr:nvSpPr>
        <xdr:cNvPr id="3" name="Rounded Rectangle 2">
          <a:hlinkClick xmlns:r="http://schemas.openxmlformats.org/officeDocument/2006/relationships" r:id="rId1"/>
        </xdr:cNvPr>
        <xdr:cNvSpPr/>
      </xdr:nvSpPr>
      <xdr:spPr>
        <a:xfrm>
          <a:off x="1381127" y="381000"/>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ISLAM</a:t>
          </a:r>
        </a:p>
      </xdr:txBody>
    </xdr:sp>
    <xdr:clientData/>
  </xdr:twoCellAnchor>
  <xdr:twoCellAnchor>
    <xdr:from>
      <xdr:col>1</xdr:col>
      <xdr:colOff>487870</xdr:colOff>
      <xdr:row>0</xdr:row>
      <xdr:rowOff>828791</xdr:rowOff>
    </xdr:from>
    <xdr:to>
      <xdr:col>2</xdr:col>
      <xdr:colOff>1252773</xdr:colOff>
      <xdr:row>0</xdr:row>
      <xdr:rowOff>1031197</xdr:rowOff>
    </xdr:to>
    <xdr:sp macro="" textlink="">
      <xdr:nvSpPr>
        <xdr:cNvPr id="4" name="Rounded Rectangle 3">
          <a:hlinkClick xmlns:r="http://schemas.openxmlformats.org/officeDocument/2006/relationships" r:id="rId2"/>
        </xdr:cNvPr>
        <xdr:cNvSpPr/>
      </xdr:nvSpPr>
      <xdr:spPr>
        <a:xfrm>
          <a:off x="1375321" y="828791"/>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KATOLIK</a:t>
          </a:r>
        </a:p>
      </xdr:txBody>
    </xdr:sp>
    <xdr:clientData/>
  </xdr:twoCellAnchor>
  <xdr:twoCellAnchor>
    <xdr:from>
      <xdr:col>1</xdr:col>
      <xdr:colOff>488157</xdr:colOff>
      <xdr:row>0</xdr:row>
      <xdr:rowOff>630565</xdr:rowOff>
    </xdr:from>
    <xdr:to>
      <xdr:col>2</xdr:col>
      <xdr:colOff>1250157</xdr:colOff>
      <xdr:row>0</xdr:row>
      <xdr:rowOff>832971</xdr:rowOff>
    </xdr:to>
    <xdr:sp macro="" textlink="">
      <xdr:nvSpPr>
        <xdr:cNvPr id="5" name="Rounded Rectangle 4">
          <a:hlinkClick xmlns:r="http://schemas.openxmlformats.org/officeDocument/2006/relationships" r:id="rId3"/>
        </xdr:cNvPr>
        <xdr:cNvSpPr/>
      </xdr:nvSpPr>
      <xdr:spPr>
        <a:xfrm>
          <a:off x="1373982" y="630565"/>
          <a:ext cx="1257300"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KRISTEN</a:t>
          </a:r>
        </a:p>
      </xdr:txBody>
    </xdr:sp>
    <xdr:clientData/>
  </xdr:twoCellAnchor>
  <xdr:twoCellAnchor>
    <xdr:from>
      <xdr:col>2</xdr:col>
      <xdr:colOff>1357316</xdr:colOff>
      <xdr:row>0</xdr:row>
      <xdr:rowOff>381001</xdr:rowOff>
    </xdr:from>
    <xdr:to>
      <xdr:col>2</xdr:col>
      <xdr:colOff>2619378</xdr:colOff>
      <xdr:row>0</xdr:row>
      <xdr:rowOff>583407</xdr:rowOff>
    </xdr:to>
    <xdr:sp macro="" textlink="">
      <xdr:nvSpPr>
        <xdr:cNvPr id="6" name="Rounded Rectangle 5">
          <a:hlinkClick xmlns:r="http://schemas.openxmlformats.org/officeDocument/2006/relationships" r:id="rId4"/>
        </xdr:cNvPr>
        <xdr:cNvSpPr/>
      </xdr:nvSpPr>
      <xdr:spPr>
        <a:xfrm>
          <a:off x="2738441" y="381001"/>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HINDU</a:t>
          </a:r>
        </a:p>
      </xdr:txBody>
    </xdr:sp>
    <xdr:clientData/>
  </xdr:twoCellAnchor>
  <xdr:twoCellAnchor>
    <xdr:from>
      <xdr:col>2</xdr:col>
      <xdr:colOff>1352671</xdr:colOff>
      <xdr:row>0</xdr:row>
      <xdr:rowOff>828792</xdr:rowOff>
    </xdr:from>
    <xdr:to>
      <xdr:col>2</xdr:col>
      <xdr:colOff>2614733</xdr:colOff>
      <xdr:row>0</xdr:row>
      <xdr:rowOff>1031198</xdr:rowOff>
    </xdr:to>
    <xdr:sp macro="" textlink="">
      <xdr:nvSpPr>
        <xdr:cNvPr id="7" name="Rounded Rectangle 6">
          <a:hlinkClick xmlns:r="http://schemas.openxmlformats.org/officeDocument/2006/relationships" r:id="rId5"/>
        </xdr:cNvPr>
        <xdr:cNvSpPr/>
      </xdr:nvSpPr>
      <xdr:spPr>
        <a:xfrm>
          <a:off x="2737281" y="828792"/>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KHONGHUCU</a:t>
          </a:r>
        </a:p>
      </xdr:txBody>
    </xdr:sp>
    <xdr:clientData/>
  </xdr:twoCellAnchor>
  <xdr:twoCellAnchor>
    <xdr:from>
      <xdr:col>2</xdr:col>
      <xdr:colOff>1354701</xdr:colOff>
      <xdr:row>0</xdr:row>
      <xdr:rowOff>606637</xdr:rowOff>
    </xdr:from>
    <xdr:to>
      <xdr:col>2</xdr:col>
      <xdr:colOff>2616763</xdr:colOff>
      <xdr:row>0</xdr:row>
      <xdr:rowOff>809043</xdr:rowOff>
    </xdr:to>
    <xdr:sp macro="" textlink="">
      <xdr:nvSpPr>
        <xdr:cNvPr id="8" name="Rounded Rectangle 7">
          <a:hlinkClick xmlns:r="http://schemas.openxmlformats.org/officeDocument/2006/relationships" r:id="rId6"/>
        </xdr:cNvPr>
        <xdr:cNvSpPr/>
      </xdr:nvSpPr>
      <xdr:spPr>
        <a:xfrm>
          <a:off x="2739311" y="606637"/>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BUDHA</a:t>
          </a:r>
        </a:p>
      </xdr:txBody>
    </xdr:sp>
    <xdr:clientData/>
  </xdr:twoCellAnchor>
  <xdr:twoCellAnchor>
    <xdr:from>
      <xdr:col>2</xdr:col>
      <xdr:colOff>2715385</xdr:colOff>
      <xdr:row>0</xdr:row>
      <xdr:rowOff>385647</xdr:rowOff>
    </xdr:from>
    <xdr:to>
      <xdr:col>2</xdr:col>
      <xdr:colOff>3977447</xdr:colOff>
      <xdr:row>0</xdr:row>
      <xdr:rowOff>588053</xdr:rowOff>
    </xdr:to>
    <xdr:sp macro="" textlink="">
      <xdr:nvSpPr>
        <xdr:cNvPr id="9" name="Rounded Rectangle 8">
          <a:hlinkClick xmlns:r="http://schemas.openxmlformats.org/officeDocument/2006/relationships" r:id="rId7"/>
        </xdr:cNvPr>
        <xdr:cNvSpPr/>
      </xdr:nvSpPr>
      <xdr:spPr>
        <a:xfrm>
          <a:off x="4094868" y="385647"/>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PKn</a:t>
          </a:r>
        </a:p>
      </xdr:txBody>
    </xdr:sp>
    <xdr:clientData/>
  </xdr:twoCellAnchor>
  <xdr:twoCellAnchor>
    <xdr:from>
      <xdr:col>2</xdr:col>
      <xdr:colOff>2715385</xdr:colOff>
      <xdr:row>0</xdr:row>
      <xdr:rowOff>822403</xdr:rowOff>
    </xdr:from>
    <xdr:to>
      <xdr:col>2</xdr:col>
      <xdr:colOff>3977447</xdr:colOff>
      <xdr:row>0</xdr:row>
      <xdr:rowOff>1024809</xdr:rowOff>
    </xdr:to>
    <xdr:sp macro="" textlink="">
      <xdr:nvSpPr>
        <xdr:cNvPr id="10" name="Rounded Rectangle 9">
          <a:hlinkClick xmlns:r="http://schemas.openxmlformats.org/officeDocument/2006/relationships" r:id="rId8"/>
        </xdr:cNvPr>
        <xdr:cNvSpPr/>
      </xdr:nvSpPr>
      <xdr:spPr>
        <a:xfrm>
          <a:off x="4094868" y="822403"/>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MTK</a:t>
          </a:r>
        </a:p>
      </xdr:txBody>
    </xdr:sp>
    <xdr:clientData/>
  </xdr:twoCellAnchor>
  <xdr:twoCellAnchor>
    <xdr:from>
      <xdr:col>2</xdr:col>
      <xdr:colOff>2706093</xdr:colOff>
      <xdr:row>0</xdr:row>
      <xdr:rowOff>604025</xdr:rowOff>
    </xdr:from>
    <xdr:to>
      <xdr:col>2</xdr:col>
      <xdr:colOff>3968155</xdr:colOff>
      <xdr:row>0</xdr:row>
      <xdr:rowOff>806431</xdr:rowOff>
    </xdr:to>
    <xdr:sp macro="" textlink="">
      <xdr:nvSpPr>
        <xdr:cNvPr id="11" name="Rounded Rectangle 10">
          <a:hlinkClick xmlns:r="http://schemas.openxmlformats.org/officeDocument/2006/relationships" r:id="rId9"/>
        </xdr:cNvPr>
        <xdr:cNvSpPr/>
      </xdr:nvSpPr>
      <xdr:spPr>
        <a:xfrm>
          <a:off x="4085576" y="604025"/>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B.INDO</a:t>
          </a:r>
        </a:p>
      </xdr:txBody>
    </xdr:sp>
    <xdr:clientData/>
  </xdr:twoCellAnchor>
  <xdr:twoCellAnchor>
    <xdr:from>
      <xdr:col>2</xdr:col>
      <xdr:colOff>4042316</xdr:colOff>
      <xdr:row>0</xdr:row>
      <xdr:rowOff>372509</xdr:rowOff>
    </xdr:from>
    <xdr:to>
      <xdr:col>2</xdr:col>
      <xdr:colOff>5304378</xdr:colOff>
      <xdr:row>0</xdr:row>
      <xdr:rowOff>574915</xdr:rowOff>
    </xdr:to>
    <xdr:sp macro="" textlink="">
      <xdr:nvSpPr>
        <xdr:cNvPr id="12" name="Rounded Rectangle 11">
          <a:hlinkClick xmlns:r="http://schemas.openxmlformats.org/officeDocument/2006/relationships" r:id="rId10"/>
        </xdr:cNvPr>
        <xdr:cNvSpPr/>
      </xdr:nvSpPr>
      <xdr:spPr>
        <a:xfrm>
          <a:off x="5421799" y="372509"/>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IPA</a:t>
          </a:r>
        </a:p>
      </xdr:txBody>
    </xdr:sp>
    <xdr:clientData/>
  </xdr:twoCellAnchor>
  <xdr:twoCellAnchor>
    <xdr:from>
      <xdr:col>2</xdr:col>
      <xdr:colOff>4042316</xdr:colOff>
      <xdr:row>0</xdr:row>
      <xdr:rowOff>809265</xdr:rowOff>
    </xdr:from>
    <xdr:to>
      <xdr:col>2</xdr:col>
      <xdr:colOff>5304378</xdr:colOff>
      <xdr:row>0</xdr:row>
      <xdr:rowOff>1011671</xdr:rowOff>
    </xdr:to>
    <xdr:sp macro="" textlink="">
      <xdr:nvSpPr>
        <xdr:cNvPr id="13" name="Rounded Rectangle 12">
          <a:hlinkClick xmlns:r="http://schemas.openxmlformats.org/officeDocument/2006/relationships" r:id="rId11"/>
        </xdr:cNvPr>
        <xdr:cNvSpPr/>
      </xdr:nvSpPr>
      <xdr:spPr>
        <a:xfrm>
          <a:off x="5421799" y="809265"/>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SBdP</a:t>
          </a:r>
        </a:p>
      </xdr:txBody>
    </xdr:sp>
    <xdr:clientData/>
  </xdr:twoCellAnchor>
  <xdr:twoCellAnchor>
    <xdr:from>
      <xdr:col>2</xdr:col>
      <xdr:colOff>4033024</xdr:colOff>
      <xdr:row>0</xdr:row>
      <xdr:rowOff>590887</xdr:rowOff>
    </xdr:from>
    <xdr:to>
      <xdr:col>2</xdr:col>
      <xdr:colOff>5295086</xdr:colOff>
      <xdr:row>0</xdr:row>
      <xdr:rowOff>793293</xdr:rowOff>
    </xdr:to>
    <xdr:sp macro="" textlink="">
      <xdr:nvSpPr>
        <xdr:cNvPr id="14" name="Rounded Rectangle 13">
          <a:hlinkClick xmlns:r="http://schemas.openxmlformats.org/officeDocument/2006/relationships" r:id="rId12"/>
        </xdr:cNvPr>
        <xdr:cNvSpPr/>
      </xdr:nvSpPr>
      <xdr:spPr>
        <a:xfrm>
          <a:off x="5412507" y="590887"/>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IPS</a:t>
          </a:r>
        </a:p>
      </xdr:txBody>
    </xdr:sp>
    <xdr:clientData/>
  </xdr:twoCellAnchor>
  <xdr:twoCellAnchor>
    <xdr:from>
      <xdr:col>3</xdr:col>
      <xdr:colOff>20046</xdr:colOff>
      <xdr:row>0</xdr:row>
      <xdr:rowOff>367066</xdr:rowOff>
    </xdr:from>
    <xdr:to>
      <xdr:col>5</xdr:col>
      <xdr:colOff>661622</xdr:colOff>
      <xdr:row>0</xdr:row>
      <xdr:rowOff>569472</xdr:rowOff>
    </xdr:to>
    <xdr:sp macro="" textlink="">
      <xdr:nvSpPr>
        <xdr:cNvPr id="15" name="Rounded Rectangle 14">
          <a:hlinkClick xmlns:r="http://schemas.openxmlformats.org/officeDocument/2006/relationships" r:id="rId13"/>
        </xdr:cNvPr>
        <xdr:cNvSpPr/>
      </xdr:nvSpPr>
      <xdr:spPr>
        <a:xfrm>
          <a:off x="6747417" y="367066"/>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PJOK</a:t>
          </a:r>
        </a:p>
      </xdr:txBody>
    </xdr:sp>
    <xdr:clientData/>
  </xdr:twoCellAnchor>
  <xdr:twoCellAnchor>
    <xdr:from>
      <xdr:col>5</xdr:col>
      <xdr:colOff>786572</xdr:colOff>
      <xdr:row>0</xdr:row>
      <xdr:rowOff>361834</xdr:rowOff>
    </xdr:from>
    <xdr:to>
      <xdr:col>5</xdr:col>
      <xdr:colOff>2048634</xdr:colOff>
      <xdr:row>0</xdr:row>
      <xdr:rowOff>564240</xdr:rowOff>
    </xdr:to>
    <xdr:sp macro="" textlink="">
      <xdr:nvSpPr>
        <xdr:cNvPr id="16" name="Rounded Rectangle 15">
          <a:hlinkClick xmlns:r="http://schemas.openxmlformats.org/officeDocument/2006/relationships" r:id="rId14"/>
        </xdr:cNvPr>
        <xdr:cNvSpPr/>
      </xdr:nvSpPr>
      <xdr:spPr>
        <a:xfrm>
          <a:off x="8132728" y="361834"/>
          <a:ext cx="1262062" cy="202406"/>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MULOK 1</a:t>
          </a:r>
        </a:p>
      </xdr:txBody>
    </xdr:sp>
    <xdr:clientData/>
  </xdr:twoCellAnchor>
  <xdr:twoCellAnchor>
    <xdr:from>
      <xdr:col>5</xdr:col>
      <xdr:colOff>786572</xdr:colOff>
      <xdr:row>0</xdr:row>
      <xdr:rowOff>798590</xdr:rowOff>
    </xdr:from>
    <xdr:to>
      <xdr:col>5</xdr:col>
      <xdr:colOff>2048634</xdr:colOff>
      <xdr:row>0</xdr:row>
      <xdr:rowOff>1000996</xdr:rowOff>
    </xdr:to>
    <xdr:sp macro="" textlink="">
      <xdr:nvSpPr>
        <xdr:cNvPr id="17" name="Rounded Rectangle 16">
          <a:hlinkClick xmlns:r="http://schemas.openxmlformats.org/officeDocument/2006/relationships" r:id="rId15"/>
        </xdr:cNvPr>
        <xdr:cNvSpPr/>
      </xdr:nvSpPr>
      <xdr:spPr>
        <a:xfrm>
          <a:off x="8132728" y="798590"/>
          <a:ext cx="1262062" cy="202406"/>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MULOK 3</a:t>
          </a:r>
        </a:p>
      </xdr:txBody>
    </xdr:sp>
    <xdr:clientData/>
  </xdr:twoCellAnchor>
  <xdr:twoCellAnchor>
    <xdr:from>
      <xdr:col>5</xdr:col>
      <xdr:colOff>777280</xdr:colOff>
      <xdr:row>0</xdr:row>
      <xdr:rowOff>580212</xdr:rowOff>
    </xdr:from>
    <xdr:to>
      <xdr:col>5</xdr:col>
      <xdr:colOff>2039342</xdr:colOff>
      <xdr:row>0</xdr:row>
      <xdr:rowOff>782618</xdr:rowOff>
    </xdr:to>
    <xdr:sp macro="" textlink="">
      <xdr:nvSpPr>
        <xdr:cNvPr id="18" name="Rounded Rectangle 17">
          <a:hlinkClick xmlns:r="http://schemas.openxmlformats.org/officeDocument/2006/relationships" r:id="rId16"/>
        </xdr:cNvPr>
        <xdr:cNvSpPr/>
      </xdr:nvSpPr>
      <xdr:spPr>
        <a:xfrm>
          <a:off x="8123436" y="580212"/>
          <a:ext cx="1262062" cy="202406"/>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MULOK 2</a:t>
          </a:r>
        </a:p>
      </xdr:txBody>
    </xdr:sp>
    <xdr:clientData/>
  </xdr:twoCellAnchor>
  <xdr:twoCellAnchor editAs="oneCell">
    <xdr:from>
      <xdr:col>0</xdr:col>
      <xdr:colOff>74084</xdr:colOff>
      <xdr:row>0</xdr:row>
      <xdr:rowOff>289097</xdr:rowOff>
    </xdr:from>
    <xdr:to>
      <xdr:col>1</xdr:col>
      <xdr:colOff>370417</xdr:colOff>
      <xdr:row>0</xdr:row>
      <xdr:rowOff>985377</xdr:rowOff>
    </xdr:to>
    <xdr:pic>
      <xdr:nvPicPr>
        <xdr:cNvPr id="20" name="Picture 19">
          <a:hlinkClick xmlns:r="http://schemas.openxmlformats.org/officeDocument/2006/relationships" r:id="rId17"/>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4084" y="289097"/>
          <a:ext cx="635000" cy="6962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438150</xdr:colOff>
      <xdr:row>0</xdr:row>
      <xdr:rowOff>57150</xdr:rowOff>
    </xdr:from>
    <xdr:to>
      <xdr:col>8</xdr:col>
      <xdr:colOff>1528763</xdr:colOff>
      <xdr:row>0</xdr:row>
      <xdr:rowOff>540017</xdr:rowOff>
    </xdr:to>
    <xdr:pic>
      <xdr:nvPicPr>
        <xdr:cNvPr id="3" name="Picture 2"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7286625" y="57150"/>
          <a:ext cx="1090613" cy="482867"/>
        </a:xfrm>
        <a:prstGeom prst="rect">
          <a:avLst/>
        </a:prstGeom>
        <a:noFill/>
        <a:ln w="9525">
          <a:noFill/>
          <a:miter lim="800000"/>
          <a:headEnd/>
          <a:tailEnd/>
        </a:ln>
      </xdr:spPr>
    </xdr:pic>
    <xdr:clientData/>
  </xdr:twoCellAnchor>
  <xdr:twoCellAnchor editAs="oneCell">
    <xdr:from>
      <xdr:col>33</xdr:col>
      <xdr:colOff>0</xdr:colOff>
      <xdr:row>0</xdr:row>
      <xdr:rowOff>38100</xdr:rowOff>
    </xdr:from>
    <xdr:to>
      <xdr:col>34</xdr:col>
      <xdr:colOff>261938</xdr:colOff>
      <xdr:row>0</xdr:row>
      <xdr:rowOff>520967</xdr:rowOff>
    </xdr:to>
    <xdr:pic>
      <xdr:nvPicPr>
        <xdr:cNvPr id="4" name="Picture 3"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593175" y="38100"/>
          <a:ext cx="1090613" cy="482867"/>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171450</xdr:colOff>
      <xdr:row>0</xdr:row>
      <xdr:rowOff>152400</xdr:rowOff>
    </xdr:from>
    <xdr:to>
      <xdr:col>0</xdr:col>
      <xdr:colOff>647700</xdr:colOff>
      <xdr:row>2</xdr:row>
      <xdr:rowOff>95826</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152400"/>
          <a:ext cx="476250" cy="524451"/>
        </a:xfrm>
        <a:prstGeom prst="rect">
          <a:avLst/>
        </a:prstGeom>
      </xdr:spPr>
    </xdr:pic>
    <xdr:clientData/>
  </xdr:twoCellAnchor>
  <xdr:twoCellAnchor>
    <xdr:from>
      <xdr:col>0</xdr:col>
      <xdr:colOff>0</xdr:colOff>
      <xdr:row>4</xdr:row>
      <xdr:rowOff>0</xdr:rowOff>
    </xdr:from>
    <xdr:to>
      <xdr:col>1</xdr:col>
      <xdr:colOff>9524</xdr:colOff>
      <xdr:row>5</xdr:row>
      <xdr:rowOff>69302</xdr:rowOff>
    </xdr:to>
    <xdr:sp macro="" textlink="">
      <xdr:nvSpPr>
        <xdr:cNvPr id="3" name="Rectangle 2">
          <a:hlinkClick xmlns:r="http://schemas.openxmlformats.org/officeDocument/2006/relationships" r:id="rId3"/>
        </xdr:cNvPr>
        <xdr:cNvSpPr/>
      </xdr:nvSpPr>
      <xdr:spPr>
        <a:xfrm>
          <a:off x="0" y="762000"/>
          <a:ext cx="80962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rgbClr val="FFFF00"/>
              </a:solidFill>
            </a:rPr>
            <a:t>INDIKATOR</a:t>
          </a:r>
        </a:p>
      </xdr:txBody>
    </xdr:sp>
    <xdr:clientData/>
  </xdr:twoCellAnchor>
  <xdr:twoCellAnchor>
    <xdr:from>
      <xdr:col>0</xdr:col>
      <xdr:colOff>9525</xdr:colOff>
      <xdr:row>5</xdr:row>
      <xdr:rowOff>114300</xdr:rowOff>
    </xdr:from>
    <xdr:to>
      <xdr:col>1</xdr:col>
      <xdr:colOff>0</xdr:colOff>
      <xdr:row>6</xdr:row>
      <xdr:rowOff>183602</xdr:rowOff>
    </xdr:to>
    <xdr:sp macro="" textlink="">
      <xdr:nvSpPr>
        <xdr:cNvPr id="4" name="Rectangle 3">
          <a:hlinkClick xmlns:r="http://schemas.openxmlformats.org/officeDocument/2006/relationships" r:id="rId4"/>
        </xdr:cNvPr>
        <xdr:cNvSpPr/>
      </xdr:nvSpPr>
      <xdr:spPr>
        <a:xfrm>
          <a:off x="9525" y="1076325"/>
          <a:ext cx="828675"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JURNAL</a:t>
          </a:r>
          <a:r>
            <a:rPr lang="en-US" sz="1050" b="0" baseline="0">
              <a:solidFill>
                <a:schemeClr val="bg1"/>
              </a:solidFill>
            </a:rPr>
            <a:t> K1</a:t>
          </a:r>
          <a:endParaRPr lang="en-US" sz="1050" b="0">
            <a:solidFill>
              <a:schemeClr val="bg1"/>
            </a:solidFill>
          </a:endParaRPr>
        </a:p>
      </xdr:txBody>
    </xdr:sp>
    <xdr:clientData/>
  </xdr:twoCellAnchor>
  <xdr:twoCellAnchor>
    <xdr:from>
      <xdr:col>0</xdr:col>
      <xdr:colOff>0</xdr:colOff>
      <xdr:row>7</xdr:row>
      <xdr:rowOff>38100</xdr:rowOff>
    </xdr:from>
    <xdr:to>
      <xdr:col>1</xdr:col>
      <xdr:colOff>9524</xdr:colOff>
      <xdr:row>8</xdr:row>
      <xdr:rowOff>107402</xdr:rowOff>
    </xdr:to>
    <xdr:sp macro="" textlink="">
      <xdr:nvSpPr>
        <xdr:cNvPr id="5" name="Rectangle 4">
          <a:hlinkClick xmlns:r="http://schemas.openxmlformats.org/officeDocument/2006/relationships" r:id="rId5"/>
        </xdr:cNvPr>
        <xdr:cNvSpPr/>
      </xdr:nvSpPr>
      <xdr:spPr>
        <a:xfrm>
          <a:off x="0" y="1400175"/>
          <a:ext cx="80962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JURNAL</a:t>
          </a:r>
          <a:r>
            <a:rPr lang="en-US" sz="1050" b="0" baseline="0">
              <a:solidFill>
                <a:schemeClr val="bg1"/>
              </a:solidFill>
            </a:rPr>
            <a:t> K2</a:t>
          </a:r>
          <a:endParaRPr lang="en-US" sz="1050" b="0">
            <a:solidFill>
              <a:schemeClr val="bg1"/>
            </a:solidFill>
          </a:endParaRPr>
        </a:p>
      </xdr:txBody>
    </xdr:sp>
    <xdr:clientData/>
  </xdr:twoCellAnchor>
  <xdr:twoCellAnchor>
    <xdr:from>
      <xdr:col>0</xdr:col>
      <xdr:colOff>9525</xdr:colOff>
      <xdr:row>8</xdr:row>
      <xdr:rowOff>152400</xdr:rowOff>
    </xdr:from>
    <xdr:to>
      <xdr:col>0</xdr:col>
      <xdr:colOff>800100</xdr:colOff>
      <xdr:row>10</xdr:row>
      <xdr:rowOff>21677</xdr:rowOff>
    </xdr:to>
    <xdr:sp macro="" textlink="">
      <xdr:nvSpPr>
        <xdr:cNvPr id="6" name="Rectangle 5">
          <a:hlinkClick xmlns:r="http://schemas.openxmlformats.org/officeDocument/2006/relationships" r:id="rId6"/>
        </xdr:cNvPr>
        <xdr:cNvSpPr/>
      </xdr:nvSpPr>
      <xdr:spPr>
        <a:xfrm>
          <a:off x="9525" y="1924050"/>
          <a:ext cx="790575"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REKAP</a:t>
          </a:r>
          <a:r>
            <a:rPr lang="en-US" sz="1050" b="0" baseline="0">
              <a:solidFill>
                <a:schemeClr val="bg1"/>
              </a:solidFill>
            </a:rPr>
            <a:t> K1</a:t>
          </a:r>
          <a:endParaRPr lang="en-US" sz="1050" b="0">
            <a:solidFill>
              <a:schemeClr val="bg1"/>
            </a:solidFill>
          </a:endParaRPr>
        </a:p>
      </xdr:txBody>
    </xdr:sp>
    <xdr:clientData/>
  </xdr:twoCellAnchor>
  <xdr:twoCellAnchor>
    <xdr:from>
      <xdr:col>0</xdr:col>
      <xdr:colOff>0</xdr:colOff>
      <xdr:row>10</xdr:row>
      <xdr:rowOff>76200</xdr:rowOff>
    </xdr:from>
    <xdr:to>
      <xdr:col>1</xdr:col>
      <xdr:colOff>9524</xdr:colOff>
      <xdr:row>11</xdr:row>
      <xdr:rowOff>145502</xdr:rowOff>
    </xdr:to>
    <xdr:sp macro="" textlink="">
      <xdr:nvSpPr>
        <xdr:cNvPr id="7" name="Rectangle 6">
          <a:hlinkClick xmlns:r="http://schemas.openxmlformats.org/officeDocument/2006/relationships" r:id="rId7"/>
        </xdr:cNvPr>
        <xdr:cNvSpPr/>
      </xdr:nvSpPr>
      <xdr:spPr>
        <a:xfrm>
          <a:off x="0" y="2038350"/>
          <a:ext cx="80962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REKAP</a:t>
          </a:r>
          <a:r>
            <a:rPr lang="en-US" sz="1050" b="0" baseline="0">
              <a:solidFill>
                <a:schemeClr val="bg1"/>
              </a:solidFill>
            </a:rPr>
            <a:t> K2</a:t>
          </a:r>
          <a:endParaRPr lang="en-US" sz="1050" b="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171450</xdr:colOff>
      <xdr:row>6</xdr:row>
      <xdr:rowOff>152400</xdr:rowOff>
    </xdr:from>
    <xdr:to>
      <xdr:col>1</xdr:col>
      <xdr:colOff>171450</xdr:colOff>
      <xdr:row>9</xdr:row>
      <xdr:rowOff>133926</xdr:rowOff>
    </xdr:to>
    <xdr:pic>
      <xdr:nvPicPr>
        <xdr:cNvPr id="14" name="Picture 1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152400"/>
          <a:ext cx="476250" cy="524451"/>
        </a:xfrm>
        <a:prstGeom prst="rect">
          <a:avLst/>
        </a:prstGeom>
      </xdr:spPr>
    </xdr:pic>
    <xdr:clientData/>
  </xdr:twoCellAnchor>
  <xdr:twoCellAnchor>
    <xdr:from>
      <xdr:col>0</xdr:col>
      <xdr:colOff>0</xdr:colOff>
      <xdr:row>7</xdr:row>
      <xdr:rowOff>28575</xdr:rowOff>
    </xdr:from>
    <xdr:to>
      <xdr:col>2</xdr:col>
      <xdr:colOff>9524</xdr:colOff>
      <xdr:row>7</xdr:row>
      <xdr:rowOff>323850</xdr:rowOff>
    </xdr:to>
    <xdr:sp macro="" textlink="">
      <xdr:nvSpPr>
        <xdr:cNvPr id="15" name="Rectangle 14">
          <a:hlinkClick xmlns:r="http://schemas.openxmlformats.org/officeDocument/2006/relationships" r:id="rId3"/>
        </xdr:cNvPr>
        <xdr:cNvSpPr/>
      </xdr:nvSpPr>
      <xdr:spPr>
        <a:xfrm>
          <a:off x="0" y="1533525"/>
          <a:ext cx="942974" cy="29527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INDIKATOR</a:t>
          </a:r>
        </a:p>
      </xdr:txBody>
    </xdr:sp>
    <xdr:clientData/>
  </xdr:twoCellAnchor>
  <xdr:twoCellAnchor>
    <xdr:from>
      <xdr:col>0</xdr:col>
      <xdr:colOff>0</xdr:colOff>
      <xdr:row>8</xdr:row>
      <xdr:rowOff>0</xdr:rowOff>
    </xdr:from>
    <xdr:to>
      <xdr:col>2</xdr:col>
      <xdr:colOff>9524</xdr:colOff>
      <xdr:row>9</xdr:row>
      <xdr:rowOff>104775</xdr:rowOff>
    </xdr:to>
    <xdr:sp macro="" textlink="">
      <xdr:nvSpPr>
        <xdr:cNvPr id="16" name="Rectangle 15">
          <a:hlinkClick xmlns:r="http://schemas.openxmlformats.org/officeDocument/2006/relationships" r:id="rId3"/>
        </xdr:cNvPr>
        <xdr:cNvSpPr/>
      </xdr:nvSpPr>
      <xdr:spPr>
        <a:xfrm>
          <a:off x="0" y="1905000"/>
          <a:ext cx="942974" cy="29527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rgbClr val="FFFF00"/>
              </a:solidFill>
            </a:rPr>
            <a:t>JURNAL</a:t>
          </a:r>
          <a:r>
            <a:rPr lang="en-US" sz="1050" b="0" baseline="0">
              <a:solidFill>
                <a:srgbClr val="FFFF00"/>
              </a:solidFill>
            </a:rPr>
            <a:t> K1</a:t>
          </a:r>
          <a:endParaRPr lang="en-US" sz="1050" b="0">
            <a:solidFill>
              <a:srgbClr val="FFFF00"/>
            </a:solidFill>
          </a:endParaRPr>
        </a:p>
      </xdr:txBody>
    </xdr:sp>
    <xdr:clientData/>
  </xdr:twoCellAnchor>
  <xdr:twoCellAnchor>
    <xdr:from>
      <xdr:col>0</xdr:col>
      <xdr:colOff>0</xdr:colOff>
      <xdr:row>9</xdr:row>
      <xdr:rowOff>161926</xdr:rowOff>
    </xdr:from>
    <xdr:to>
      <xdr:col>2</xdr:col>
      <xdr:colOff>9524</xdr:colOff>
      <xdr:row>9</xdr:row>
      <xdr:rowOff>428626</xdr:rowOff>
    </xdr:to>
    <xdr:sp macro="" textlink="">
      <xdr:nvSpPr>
        <xdr:cNvPr id="17" name="Rectangle 16">
          <a:hlinkClick xmlns:r="http://schemas.openxmlformats.org/officeDocument/2006/relationships" r:id="rId4"/>
        </xdr:cNvPr>
        <xdr:cNvSpPr/>
      </xdr:nvSpPr>
      <xdr:spPr>
        <a:xfrm>
          <a:off x="0" y="2257426"/>
          <a:ext cx="942974" cy="2667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JURNAL</a:t>
          </a:r>
          <a:r>
            <a:rPr lang="en-US" sz="1050" b="0" baseline="0">
              <a:solidFill>
                <a:schemeClr val="bg1"/>
              </a:solidFill>
            </a:rPr>
            <a:t> K2</a:t>
          </a:r>
          <a:endParaRPr lang="en-US" sz="1050" b="0">
            <a:solidFill>
              <a:schemeClr val="bg1"/>
            </a:solidFill>
          </a:endParaRPr>
        </a:p>
      </xdr:txBody>
    </xdr:sp>
    <xdr:clientData/>
  </xdr:twoCellAnchor>
  <xdr:twoCellAnchor>
    <xdr:from>
      <xdr:col>0</xdr:col>
      <xdr:colOff>0</xdr:colOff>
      <xdr:row>9</xdr:row>
      <xdr:rowOff>476250</xdr:rowOff>
    </xdr:from>
    <xdr:to>
      <xdr:col>2</xdr:col>
      <xdr:colOff>9524</xdr:colOff>
      <xdr:row>10</xdr:row>
      <xdr:rowOff>285750</xdr:rowOff>
    </xdr:to>
    <xdr:sp macro="" textlink="">
      <xdr:nvSpPr>
        <xdr:cNvPr id="18" name="Rectangle 17">
          <a:hlinkClick xmlns:r="http://schemas.openxmlformats.org/officeDocument/2006/relationships" r:id="rId5"/>
        </xdr:cNvPr>
        <xdr:cNvSpPr/>
      </xdr:nvSpPr>
      <xdr:spPr>
        <a:xfrm>
          <a:off x="0" y="2571750"/>
          <a:ext cx="942974" cy="31432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REKAP</a:t>
          </a:r>
          <a:r>
            <a:rPr lang="en-US" sz="1050" b="0" baseline="0">
              <a:solidFill>
                <a:schemeClr val="bg1"/>
              </a:solidFill>
            </a:rPr>
            <a:t> K1</a:t>
          </a:r>
          <a:endParaRPr lang="en-US" sz="1050" b="0">
            <a:solidFill>
              <a:schemeClr val="bg1"/>
            </a:solidFill>
          </a:endParaRPr>
        </a:p>
      </xdr:txBody>
    </xdr:sp>
    <xdr:clientData/>
  </xdr:twoCellAnchor>
  <xdr:twoCellAnchor>
    <xdr:from>
      <xdr:col>0</xdr:col>
      <xdr:colOff>0</xdr:colOff>
      <xdr:row>10</xdr:row>
      <xdr:rowOff>333375</xdr:rowOff>
    </xdr:from>
    <xdr:to>
      <xdr:col>2</xdr:col>
      <xdr:colOff>9524</xdr:colOff>
      <xdr:row>11</xdr:row>
      <xdr:rowOff>104775</xdr:rowOff>
    </xdr:to>
    <xdr:sp macro="" textlink="">
      <xdr:nvSpPr>
        <xdr:cNvPr id="19" name="Rectangle 18">
          <a:hlinkClick xmlns:r="http://schemas.openxmlformats.org/officeDocument/2006/relationships" r:id="rId6"/>
        </xdr:cNvPr>
        <xdr:cNvSpPr/>
      </xdr:nvSpPr>
      <xdr:spPr>
        <a:xfrm>
          <a:off x="0" y="2933700"/>
          <a:ext cx="942974" cy="27622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REKAP</a:t>
          </a:r>
          <a:r>
            <a:rPr lang="en-US" sz="1050" b="0" baseline="0">
              <a:solidFill>
                <a:schemeClr val="bg1"/>
              </a:solidFill>
            </a:rPr>
            <a:t> K2</a:t>
          </a:r>
          <a:endParaRPr lang="en-US" sz="1050" b="0">
            <a:solidFill>
              <a:schemeClr val="bg1"/>
            </a:solidFill>
          </a:endParaRPr>
        </a:p>
      </xdr:txBody>
    </xdr:sp>
    <xdr:clientData/>
  </xdr:twoCellAnchor>
  <xdr:twoCellAnchor editAs="oneCell">
    <xdr:from>
      <xdr:col>1</xdr:col>
      <xdr:colOff>209550</xdr:colOff>
      <xdr:row>3</xdr:row>
      <xdr:rowOff>104775</xdr:rowOff>
    </xdr:from>
    <xdr:to>
      <xdr:col>1</xdr:col>
      <xdr:colOff>685800</xdr:colOff>
      <xdr:row>6</xdr:row>
      <xdr:rowOff>29151</xdr:rowOff>
    </xdr:to>
    <xdr:pic>
      <xdr:nvPicPr>
        <xdr:cNvPr id="20" name="Picture 1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9550" y="819150"/>
          <a:ext cx="476250" cy="5244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171450</xdr:colOff>
      <xdr:row>6</xdr:row>
      <xdr:rowOff>152400</xdr:rowOff>
    </xdr:from>
    <xdr:to>
      <xdr:col>1</xdr:col>
      <xdr:colOff>171450</xdr:colOff>
      <xdr:row>8</xdr:row>
      <xdr:rowOff>191076</xdr:rowOff>
    </xdr:to>
    <xdr:pic>
      <xdr:nvPicPr>
        <xdr:cNvPr id="12" name="Picture 1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1428750"/>
          <a:ext cx="0" cy="629226"/>
        </a:xfrm>
        <a:prstGeom prst="rect">
          <a:avLst/>
        </a:prstGeom>
      </xdr:spPr>
    </xdr:pic>
    <xdr:clientData/>
  </xdr:twoCellAnchor>
  <xdr:twoCellAnchor>
    <xdr:from>
      <xdr:col>0</xdr:col>
      <xdr:colOff>0</xdr:colOff>
      <xdr:row>9</xdr:row>
      <xdr:rowOff>257175</xdr:rowOff>
    </xdr:from>
    <xdr:to>
      <xdr:col>2</xdr:col>
      <xdr:colOff>9524</xdr:colOff>
      <xdr:row>10</xdr:row>
      <xdr:rowOff>95250</xdr:rowOff>
    </xdr:to>
    <xdr:sp macro="" textlink="">
      <xdr:nvSpPr>
        <xdr:cNvPr id="13" name="Rectangle 12">
          <a:hlinkClick xmlns:r="http://schemas.openxmlformats.org/officeDocument/2006/relationships" r:id="rId3"/>
        </xdr:cNvPr>
        <xdr:cNvSpPr/>
      </xdr:nvSpPr>
      <xdr:spPr>
        <a:xfrm>
          <a:off x="0" y="2114550"/>
          <a:ext cx="942974" cy="16192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INDIKATOR</a:t>
          </a:r>
        </a:p>
      </xdr:txBody>
    </xdr:sp>
    <xdr:clientData/>
  </xdr:twoCellAnchor>
  <xdr:twoCellAnchor>
    <xdr:from>
      <xdr:col>0</xdr:col>
      <xdr:colOff>0</xdr:colOff>
      <xdr:row>10</xdr:row>
      <xdr:rowOff>161925</xdr:rowOff>
    </xdr:from>
    <xdr:to>
      <xdr:col>2</xdr:col>
      <xdr:colOff>9524</xdr:colOff>
      <xdr:row>11</xdr:row>
      <xdr:rowOff>133350</xdr:rowOff>
    </xdr:to>
    <xdr:sp macro="" textlink="">
      <xdr:nvSpPr>
        <xdr:cNvPr id="14" name="Rectangle 13">
          <a:hlinkClick xmlns:r="http://schemas.openxmlformats.org/officeDocument/2006/relationships" r:id="rId4"/>
        </xdr:cNvPr>
        <xdr:cNvSpPr/>
      </xdr:nvSpPr>
      <xdr:spPr>
        <a:xfrm>
          <a:off x="0" y="2343150"/>
          <a:ext cx="942974" cy="29527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JURNAL</a:t>
          </a:r>
          <a:r>
            <a:rPr lang="en-US" sz="1050" b="0" baseline="0">
              <a:solidFill>
                <a:schemeClr val="bg1"/>
              </a:solidFill>
            </a:rPr>
            <a:t> K1</a:t>
          </a:r>
          <a:endParaRPr lang="en-US" sz="1050" b="0">
            <a:solidFill>
              <a:schemeClr val="bg1"/>
            </a:solidFill>
          </a:endParaRPr>
        </a:p>
      </xdr:txBody>
    </xdr:sp>
    <xdr:clientData/>
  </xdr:twoCellAnchor>
  <xdr:twoCellAnchor>
    <xdr:from>
      <xdr:col>0</xdr:col>
      <xdr:colOff>0</xdr:colOff>
      <xdr:row>11</xdr:row>
      <xdr:rowOff>180976</xdr:rowOff>
    </xdr:from>
    <xdr:to>
      <xdr:col>2</xdr:col>
      <xdr:colOff>9524</xdr:colOff>
      <xdr:row>12</xdr:row>
      <xdr:rowOff>19051</xdr:rowOff>
    </xdr:to>
    <xdr:sp macro="" textlink="">
      <xdr:nvSpPr>
        <xdr:cNvPr id="15" name="Rectangle 14">
          <a:hlinkClick xmlns:r="http://schemas.openxmlformats.org/officeDocument/2006/relationships" r:id="rId5"/>
        </xdr:cNvPr>
        <xdr:cNvSpPr/>
      </xdr:nvSpPr>
      <xdr:spPr>
        <a:xfrm>
          <a:off x="0" y="2686051"/>
          <a:ext cx="942974" cy="16192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rgbClr val="FFFF00"/>
              </a:solidFill>
            </a:rPr>
            <a:t>JURNAL</a:t>
          </a:r>
          <a:r>
            <a:rPr lang="en-US" sz="1050" b="0" baseline="0">
              <a:solidFill>
                <a:srgbClr val="FFFF00"/>
              </a:solidFill>
            </a:rPr>
            <a:t> K2</a:t>
          </a:r>
          <a:endParaRPr lang="en-US" sz="1050" b="0">
            <a:solidFill>
              <a:srgbClr val="FFFF00"/>
            </a:solidFill>
          </a:endParaRPr>
        </a:p>
      </xdr:txBody>
    </xdr:sp>
    <xdr:clientData/>
  </xdr:twoCellAnchor>
  <xdr:twoCellAnchor>
    <xdr:from>
      <xdr:col>0</xdr:col>
      <xdr:colOff>0</xdr:colOff>
      <xdr:row>12</xdr:row>
      <xdr:rowOff>76200</xdr:rowOff>
    </xdr:from>
    <xdr:to>
      <xdr:col>2</xdr:col>
      <xdr:colOff>9524</xdr:colOff>
      <xdr:row>13</xdr:row>
      <xdr:rowOff>142875</xdr:rowOff>
    </xdr:to>
    <xdr:sp macro="" textlink="">
      <xdr:nvSpPr>
        <xdr:cNvPr id="16" name="Rectangle 15">
          <a:hlinkClick xmlns:r="http://schemas.openxmlformats.org/officeDocument/2006/relationships" r:id="rId6"/>
        </xdr:cNvPr>
        <xdr:cNvSpPr/>
      </xdr:nvSpPr>
      <xdr:spPr>
        <a:xfrm>
          <a:off x="0" y="2905125"/>
          <a:ext cx="942974" cy="28575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REKAP</a:t>
          </a:r>
          <a:r>
            <a:rPr lang="en-US" sz="1050" b="0" baseline="0">
              <a:solidFill>
                <a:schemeClr val="bg1"/>
              </a:solidFill>
            </a:rPr>
            <a:t> K1</a:t>
          </a:r>
          <a:endParaRPr lang="en-US" sz="1050" b="0">
            <a:solidFill>
              <a:schemeClr val="bg1"/>
            </a:solidFill>
          </a:endParaRPr>
        </a:p>
      </xdr:txBody>
    </xdr:sp>
    <xdr:clientData/>
  </xdr:twoCellAnchor>
  <xdr:twoCellAnchor>
    <xdr:from>
      <xdr:col>0</xdr:col>
      <xdr:colOff>0</xdr:colOff>
      <xdr:row>13</xdr:row>
      <xdr:rowOff>180975</xdr:rowOff>
    </xdr:from>
    <xdr:to>
      <xdr:col>2</xdr:col>
      <xdr:colOff>9524</xdr:colOff>
      <xdr:row>14</xdr:row>
      <xdr:rowOff>171450</xdr:rowOff>
    </xdr:to>
    <xdr:sp macro="" textlink="">
      <xdr:nvSpPr>
        <xdr:cNvPr id="17" name="Rectangle 16">
          <a:hlinkClick xmlns:r="http://schemas.openxmlformats.org/officeDocument/2006/relationships" r:id="rId7"/>
        </xdr:cNvPr>
        <xdr:cNvSpPr/>
      </xdr:nvSpPr>
      <xdr:spPr>
        <a:xfrm>
          <a:off x="0" y="3228975"/>
          <a:ext cx="942974" cy="20955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REKAP</a:t>
          </a:r>
          <a:r>
            <a:rPr lang="en-US" sz="1050" b="0" baseline="0">
              <a:solidFill>
                <a:schemeClr val="bg1"/>
              </a:solidFill>
            </a:rPr>
            <a:t> K2</a:t>
          </a:r>
          <a:endParaRPr lang="en-US" sz="1050" b="0">
            <a:solidFill>
              <a:schemeClr val="bg1"/>
            </a:solidFill>
          </a:endParaRPr>
        </a:p>
      </xdr:txBody>
    </xdr:sp>
    <xdr:clientData/>
  </xdr:twoCellAnchor>
  <xdr:twoCellAnchor editAs="oneCell">
    <xdr:from>
      <xdr:col>1</xdr:col>
      <xdr:colOff>209550</xdr:colOff>
      <xdr:row>7</xdr:row>
      <xdr:rowOff>38100</xdr:rowOff>
    </xdr:from>
    <xdr:to>
      <xdr:col>1</xdr:col>
      <xdr:colOff>685800</xdr:colOff>
      <xdr:row>9</xdr:row>
      <xdr:rowOff>48201</xdr:rowOff>
    </xdr:to>
    <xdr:pic>
      <xdr:nvPicPr>
        <xdr:cNvPr id="18" name="Picture 1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9550" y="1514475"/>
          <a:ext cx="476250" cy="52445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38</xdr:col>
      <xdr:colOff>1485900</xdr:colOff>
      <xdr:row>0</xdr:row>
      <xdr:rowOff>200025</xdr:rowOff>
    </xdr:from>
    <xdr:to>
      <xdr:col>38</xdr:col>
      <xdr:colOff>2576513</xdr:colOff>
      <xdr:row>1</xdr:row>
      <xdr:rowOff>130442</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5249525" y="200025"/>
          <a:ext cx="1090613" cy="482867"/>
        </a:xfrm>
        <a:prstGeom prst="rect">
          <a:avLst/>
        </a:prstGeom>
        <a:noFill/>
        <a:ln w="9525">
          <a:noFill/>
          <a:miter lim="800000"/>
          <a:headEnd/>
          <a:tailEnd/>
        </a:ln>
      </xdr:spPr>
    </xdr:pic>
    <xdr:clientData/>
  </xdr:twoCellAnchor>
  <xdr:twoCellAnchor>
    <xdr:from>
      <xdr:col>0</xdr:col>
      <xdr:colOff>0</xdr:colOff>
      <xdr:row>1</xdr:row>
      <xdr:rowOff>277341</xdr:rowOff>
    </xdr:from>
    <xdr:to>
      <xdr:col>0</xdr:col>
      <xdr:colOff>942974</xdr:colOff>
      <xdr:row>2</xdr:row>
      <xdr:rowOff>23528</xdr:rowOff>
    </xdr:to>
    <xdr:sp macro="" textlink="">
      <xdr:nvSpPr>
        <xdr:cNvPr id="7" name="Rectangle 6">
          <a:hlinkClick xmlns:r="http://schemas.openxmlformats.org/officeDocument/2006/relationships" r:id="rId3"/>
        </xdr:cNvPr>
        <xdr:cNvSpPr/>
      </xdr:nvSpPr>
      <xdr:spPr>
        <a:xfrm>
          <a:off x="0" y="826429"/>
          <a:ext cx="942974" cy="29527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INDIKATOR</a:t>
          </a:r>
        </a:p>
      </xdr:txBody>
    </xdr:sp>
    <xdr:clientData/>
  </xdr:twoCellAnchor>
  <xdr:twoCellAnchor>
    <xdr:from>
      <xdr:col>0</xdr:col>
      <xdr:colOff>0</xdr:colOff>
      <xdr:row>2</xdr:row>
      <xdr:rowOff>99728</xdr:rowOff>
    </xdr:from>
    <xdr:to>
      <xdr:col>0</xdr:col>
      <xdr:colOff>942974</xdr:colOff>
      <xdr:row>3</xdr:row>
      <xdr:rowOff>70032</xdr:rowOff>
    </xdr:to>
    <xdr:sp macro="" textlink="">
      <xdr:nvSpPr>
        <xdr:cNvPr id="8" name="Rectangle 7">
          <a:hlinkClick xmlns:r="http://schemas.openxmlformats.org/officeDocument/2006/relationships" r:id="rId3"/>
        </xdr:cNvPr>
        <xdr:cNvSpPr/>
      </xdr:nvSpPr>
      <xdr:spPr>
        <a:xfrm>
          <a:off x="0" y="1197904"/>
          <a:ext cx="942974" cy="29527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JURNAL</a:t>
          </a:r>
          <a:r>
            <a:rPr lang="en-US" sz="1050" b="0" baseline="0">
              <a:solidFill>
                <a:schemeClr val="bg1"/>
              </a:solidFill>
            </a:rPr>
            <a:t> K1</a:t>
          </a:r>
          <a:endParaRPr lang="en-US" sz="1050" b="0">
            <a:solidFill>
              <a:schemeClr val="bg1"/>
            </a:solidFill>
          </a:endParaRPr>
        </a:p>
      </xdr:txBody>
    </xdr:sp>
    <xdr:clientData/>
  </xdr:twoCellAnchor>
  <xdr:twoCellAnchor>
    <xdr:from>
      <xdr:col>0</xdr:col>
      <xdr:colOff>0</xdr:colOff>
      <xdr:row>3</xdr:row>
      <xdr:rowOff>127183</xdr:rowOff>
    </xdr:from>
    <xdr:to>
      <xdr:col>0</xdr:col>
      <xdr:colOff>942974</xdr:colOff>
      <xdr:row>4</xdr:row>
      <xdr:rowOff>24089</xdr:rowOff>
    </xdr:to>
    <xdr:sp macro="" textlink="">
      <xdr:nvSpPr>
        <xdr:cNvPr id="9" name="Rectangle 8">
          <a:hlinkClick xmlns:r="http://schemas.openxmlformats.org/officeDocument/2006/relationships" r:id="rId4"/>
        </xdr:cNvPr>
        <xdr:cNvSpPr/>
      </xdr:nvSpPr>
      <xdr:spPr>
        <a:xfrm>
          <a:off x="0" y="1550330"/>
          <a:ext cx="942974" cy="2667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JURNAL</a:t>
          </a:r>
          <a:r>
            <a:rPr lang="en-US" sz="1050" b="0" baseline="0">
              <a:solidFill>
                <a:schemeClr val="bg1"/>
              </a:solidFill>
            </a:rPr>
            <a:t> K2</a:t>
          </a:r>
          <a:endParaRPr lang="en-US" sz="1050" b="0">
            <a:solidFill>
              <a:schemeClr val="bg1"/>
            </a:solidFill>
          </a:endParaRPr>
        </a:p>
      </xdr:txBody>
    </xdr:sp>
    <xdr:clientData/>
  </xdr:twoCellAnchor>
  <xdr:twoCellAnchor>
    <xdr:from>
      <xdr:col>0</xdr:col>
      <xdr:colOff>0</xdr:colOff>
      <xdr:row>4</xdr:row>
      <xdr:rowOff>71713</xdr:rowOff>
    </xdr:from>
    <xdr:to>
      <xdr:col>0</xdr:col>
      <xdr:colOff>942974</xdr:colOff>
      <xdr:row>4</xdr:row>
      <xdr:rowOff>386038</xdr:rowOff>
    </xdr:to>
    <xdr:sp macro="" textlink="">
      <xdr:nvSpPr>
        <xdr:cNvPr id="10" name="Rectangle 9">
          <a:hlinkClick xmlns:r="http://schemas.openxmlformats.org/officeDocument/2006/relationships" r:id="rId5"/>
        </xdr:cNvPr>
        <xdr:cNvSpPr/>
      </xdr:nvSpPr>
      <xdr:spPr>
        <a:xfrm>
          <a:off x="0" y="1864654"/>
          <a:ext cx="942974" cy="31432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rgbClr val="FFFF00"/>
              </a:solidFill>
            </a:rPr>
            <a:t>REKAP</a:t>
          </a:r>
          <a:r>
            <a:rPr lang="en-US" sz="1050" b="0" baseline="0">
              <a:solidFill>
                <a:srgbClr val="FFFF00"/>
              </a:solidFill>
            </a:rPr>
            <a:t> K1</a:t>
          </a:r>
          <a:endParaRPr lang="en-US" sz="1050" b="0">
            <a:solidFill>
              <a:srgbClr val="FFFF00"/>
            </a:solidFill>
          </a:endParaRPr>
        </a:p>
      </xdr:txBody>
    </xdr:sp>
    <xdr:clientData/>
  </xdr:twoCellAnchor>
  <xdr:twoCellAnchor>
    <xdr:from>
      <xdr:col>0</xdr:col>
      <xdr:colOff>0</xdr:colOff>
      <xdr:row>4</xdr:row>
      <xdr:rowOff>433663</xdr:rowOff>
    </xdr:from>
    <xdr:to>
      <xdr:col>0</xdr:col>
      <xdr:colOff>942974</xdr:colOff>
      <xdr:row>5</xdr:row>
      <xdr:rowOff>228035</xdr:rowOff>
    </xdr:to>
    <xdr:sp macro="" textlink="">
      <xdr:nvSpPr>
        <xdr:cNvPr id="11" name="Rectangle 10">
          <a:hlinkClick xmlns:r="http://schemas.openxmlformats.org/officeDocument/2006/relationships" r:id="rId6"/>
        </xdr:cNvPr>
        <xdr:cNvSpPr/>
      </xdr:nvSpPr>
      <xdr:spPr>
        <a:xfrm>
          <a:off x="0" y="2226604"/>
          <a:ext cx="942974" cy="27622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REKAP</a:t>
          </a:r>
          <a:r>
            <a:rPr lang="en-US" sz="1050" b="0" baseline="0">
              <a:solidFill>
                <a:schemeClr val="bg1"/>
              </a:solidFill>
            </a:rPr>
            <a:t> K2</a:t>
          </a:r>
          <a:endParaRPr lang="en-US" sz="1050" b="0">
            <a:solidFill>
              <a:schemeClr val="bg1"/>
            </a:solidFill>
          </a:endParaRPr>
        </a:p>
      </xdr:txBody>
    </xdr:sp>
    <xdr:clientData/>
  </xdr:twoCellAnchor>
  <xdr:twoCellAnchor editAs="oneCell">
    <xdr:from>
      <xdr:col>0</xdr:col>
      <xdr:colOff>209550</xdr:colOff>
      <xdr:row>0</xdr:row>
      <xdr:rowOff>112054</xdr:rowOff>
    </xdr:from>
    <xdr:to>
      <xdr:col>0</xdr:col>
      <xdr:colOff>685800</xdr:colOff>
      <xdr:row>1</xdr:row>
      <xdr:rowOff>87417</xdr:rowOff>
    </xdr:to>
    <xdr:pic>
      <xdr:nvPicPr>
        <xdr:cNvPr id="12" name="Picture 11">
          <a:hlinkClick xmlns:r="http://schemas.openxmlformats.org/officeDocument/2006/relationships" r:id="rId1"/>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09550" y="112054"/>
          <a:ext cx="476250" cy="5244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52</xdr:col>
      <xdr:colOff>1098177</xdr:colOff>
      <xdr:row>0</xdr:row>
      <xdr:rowOff>123265</xdr:rowOff>
    </xdr:from>
    <xdr:to>
      <xdr:col>52</xdr:col>
      <xdr:colOff>2188790</xdr:colOff>
      <xdr:row>1</xdr:row>
      <xdr:rowOff>57044</xdr:rowOff>
    </xdr:to>
    <xdr:pic>
      <xdr:nvPicPr>
        <xdr:cNvPr id="4" name="Picture 3"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5408089" y="123265"/>
          <a:ext cx="1090613" cy="482867"/>
        </a:xfrm>
        <a:prstGeom prst="rect">
          <a:avLst/>
        </a:prstGeom>
        <a:noFill/>
        <a:ln w="9525">
          <a:noFill/>
          <a:miter lim="800000"/>
          <a:headEnd/>
          <a:tailEnd/>
        </a:ln>
      </xdr:spPr>
    </xdr:pic>
    <xdr:clientData/>
  </xdr:twoCellAnchor>
  <xdr:twoCellAnchor>
    <xdr:from>
      <xdr:col>0</xdr:col>
      <xdr:colOff>1</xdr:colOff>
      <xdr:row>1</xdr:row>
      <xdr:rowOff>165275</xdr:rowOff>
    </xdr:from>
    <xdr:to>
      <xdr:col>0</xdr:col>
      <xdr:colOff>974913</xdr:colOff>
      <xdr:row>1</xdr:row>
      <xdr:rowOff>460550</xdr:rowOff>
    </xdr:to>
    <xdr:sp macro="" textlink="">
      <xdr:nvSpPr>
        <xdr:cNvPr id="5" name="Rectangle 4">
          <a:hlinkClick xmlns:r="http://schemas.openxmlformats.org/officeDocument/2006/relationships" r:id="rId3"/>
        </xdr:cNvPr>
        <xdr:cNvSpPr/>
      </xdr:nvSpPr>
      <xdr:spPr>
        <a:xfrm>
          <a:off x="1" y="714363"/>
          <a:ext cx="974912" cy="29527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INDIKATOR</a:t>
          </a:r>
        </a:p>
      </xdr:txBody>
    </xdr:sp>
    <xdr:clientData/>
  </xdr:twoCellAnchor>
  <xdr:twoCellAnchor>
    <xdr:from>
      <xdr:col>0</xdr:col>
      <xdr:colOff>1</xdr:colOff>
      <xdr:row>1</xdr:row>
      <xdr:rowOff>536750</xdr:rowOff>
    </xdr:from>
    <xdr:to>
      <xdr:col>0</xdr:col>
      <xdr:colOff>974913</xdr:colOff>
      <xdr:row>2</xdr:row>
      <xdr:rowOff>282937</xdr:rowOff>
    </xdr:to>
    <xdr:sp macro="" textlink="">
      <xdr:nvSpPr>
        <xdr:cNvPr id="7" name="Rectangle 6">
          <a:hlinkClick xmlns:r="http://schemas.openxmlformats.org/officeDocument/2006/relationships" r:id="rId3"/>
        </xdr:cNvPr>
        <xdr:cNvSpPr/>
      </xdr:nvSpPr>
      <xdr:spPr>
        <a:xfrm>
          <a:off x="1" y="1085838"/>
          <a:ext cx="974912" cy="29527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JURNAL</a:t>
          </a:r>
          <a:r>
            <a:rPr lang="en-US" sz="1050" b="0" baseline="0">
              <a:solidFill>
                <a:schemeClr val="bg1"/>
              </a:solidFill>
            </a:rPr>
            <a:t> K1</a:t>
          </a:r>
          <a:endParaRPr lang="en-US" sz="1050" b="0">
            <a:solidFill>
              <a:schemeClr val="bg1"/>
            </a:solidFill>
          </a:endParaRPr>
        </a:p>
      </xdr:txBody>
    </xdr:sp>
    <xdr:clientData/>
  </xdr:twoCellAnchor>
  <xdr:twoCellAnchor>
    <xdr:from>
      <xdr:col>0</xdr:col>
      <xdr:colOff>1</xdr:colOff>
      <xdr:row>2</xdr:row>
      <xdr:rowOff>340088</xdr:rowOff>
    </xdr:from>
    <xdr:to>
      <xdr:col>0</xdr:col>
      <xdr:colOff>974913</xdr:colOff>
      <xdr:row>3</xdr:row>
      <xdr:rowOff>180964</xdr:rowOff>
    </xdr:to>
    <xdr:sp macro="" textlink="">
      <xdr:nvSpPr>
        <xdr:cNvPr id="8" name="Rectangle 7">
          <a:hlinkClick xmlns:r="http://schemas.openxmlformats.org/officeDocument/2006/relationships" r:id="rId4"/>
        </xdr:cNvPr>
        <xdr:cNvSpPr/>
      </xdr:nvSpPr>
      <xdr:spPr>
        <a:xfrm>
          <a:off x="1" y="1438264"/>
          <a:ext cx="974912" cy="2667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JURNAL</a:t>
          </a:r>
          <a:r>
            <a:rPr lang="en-US" sz="1050" b="0" baseline="0">
              <a:solidFill>
                <a:schemeClr val="bg1"/>
              </a:solidFill>
            </a:rPr>
            <a:t> K2</a:t>
          </a:r>
          <a:endParaRPr lang="en-US" sz="1050" b="0">
            <a:solidFill>
              <a:schemeClr val="bg1"/>
            </a:solidFill>
          </a:endParaRPr>
        </a:p>
      </xdr:txBody>
    </xdr:sp>
    <xdr:clientData/>
  </xdr:twoCellAnchor>
  <xdr:twoCellAnchor>
    <xdr:from>
      <xdr:col>0</xdr:col>
      <xdr:colOff>1</xdr:colOff>
      <xdr:row>3</xdr:row>
      <xdr:rowOff>228588</xdr:rowOff>
    </xdr:from>
    <xdr:to>
      <xdr:col>0</xdr:col>
      <xdr:colOff>974913</xdr:colOff>
      <xdr:row>4</xdr:row>
      <xdr:rowOff>173119</xdr:rowOff>
    </xdr:to>
    <xdr:sp macro="" textlink="">
      <xdr:nvSpPr>
        <xdr:cNvPr id="9" name="Rectangle 8">
          <a:hlinkClick xmlns:r="http://schemas.openxmlformats.org/officeDocument/2006/relationships" r:id="rId5"/>
        </xdr:cNvPr>
        <xdr:cNvSpPr/>
      </xdr:nvSpPr>
      <xdr:spPr>
        <a:xfrm>
          <a:off x="1" y="1752588"/>
          <a:ext cx="974912" cy="31432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chemeClr val="bg1"/>
              </a:solidFill>
            </a:rPr>
            <a:t>REKAP</a:t>
          </a:r>
          <a:r>
            <a:rPr lang="en-US" sz="1050" b="0" baseline="0">
              <a:solidFill>
                <a:schemeClr val="bg1"/>
              </a:solidFill>
            </a:rPr>
            <a:t> K1</a:t>
          </a:r>
          <a:endParaRPr lang="en-US" sz="1050" b="0">
            <a:solidFill>
              <a:schemeClr val="bg1"/>
            </a:solidFill>
          </a:endParaRPr>
        </a:p>
      </xdr:txBody>
    </xdr:sp>
    <xdr:clientData/>
  </xdr:twoCellAnchor>
  <xdr:twoCellAnchor>
    <xdr:from>
      <xdr:col>0</xdr:col>
      <xdr:colOff>1</xdr:colOff>
      <xdr:row>4</xdr:row>
      <xdr:rowOff>220744</xdr:rowOff>
    </xdr:from>
    <xdr:to>
      <xdr:col>0</xdr:col>
      <xdr:colOff>974913</xdr:colOff>
      <xdr:row>5</xdr:row>
      <xdr:rowOff>15116</xdr:rowOff>
    </xdr:to>
    <xdr:sp macro="" textlink="">
      <xdr:nvSpPr>
        <xdr:cNvPr id="10" name="Rectangle 9">
          <a:hlinkClick xmlns:r="http://schemas.openxmlformats.org/officeDocument/2006/relationships" r:id="rId6"/>
        </xdr:cNvPr>
        <xdr:cNvSpPr/>
      </xdr:nvSpPr>
      <xdr:spPr>
        <a:xfrm>
          <a:off x="1" y="2114538"/>
          <a:ext cx="974912" cy="276225"/>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rgbClr val="FFFF00"/>
              </a:solidFill>
            </a:rPr>
            <a:t>REKAP</a:t>
          </a:r>
          <a:r>
            <a:rPr lang="en-US" sz="1050" b="0" baseline="0">
              <a:solidFill>
                <a:srgbClr val="FFFF00"/>
              </a:solidFill>
            </a:rPr>
            <a:t> K2</a:t>
          </a:r>
          <a:endParaRPr lang="en-US" sz="1050" b="0">
            <a:solidFill>
              <a:srgbClr val="FFFF00"/>
            </a:solidFill>
          </a:endParaRPr>
        </a:p>
      </xdr:txBody>
    </xdr:sp>
    <xdr:clientData/>
  </xdr:twoCellAnchor>
  <xdr:twoCellAnchor editAs="oneCell">
    <xdr:from>
      <xdr:col>0</xdr:col>
      <xdr:colOff>187138</xdr:colOff>
      <xdr:row>0</xdr:row>
      <xdr:rowOff>33618</xdr:rowOff>
    </xdr:from>
    <xdr:to>
      <xdr:col>0</xdr:col>
      <xdr:colOff>773206</xdr:colOff>
      <xdr:row>1</xdr:row>
      <xdr:rowOff>8981</xdr:rowOff>
    </xdr:to>
    <xdr:pic>
      <xdr:nvPicPr>
        <xdr:cNvPr id="11" name="Picture 10">
          <a:hlinkClick xmlns:r="http://schemas.openxmlformats.org/officeDocument/2006/relationships" r:id="rId1"/>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87138" y="33618"/>
          <a:ext cx="586068" cy="5244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xdr:colOff>
      <xdr:row>0</xdr:row>
      <xdr:rowOff>142875</xdr:rowOff>
    </xdr:from>
    <xdr:to>
      <xdr:col>0</xdr:col>
      <xdr:colOff>57150</xdr:colOff>
      <xdr:row>3</xdr:row>
      <xdr:rowOff>17385</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150" y="142875"/>
          <a:ext cx="476250" cy="522210"/>
        </a:xfrm>
        <a:prstGeom prst="rect">
          <a:avLst/>
        </a:prstGeom>
      </xdr:spPr>
    </xdr:pic>
    <xdr:clientData/>
  </xdr:twoCellAnchor>
  <xdr:twoCellAnchor>
    <xdr:from>
      <xdr:col>0</xdr:col>
      <xdr:colOff>65690</xdr:colOff>
      <xdr:row>3</xdr:row>
      <xdr:rowOff>183931</xdr:rowOff>
    </xdr:from>
    <xdr:to>
      <xdr:col>0</xdr:col>
      <xdr:colOff>545224</xdr:colOff>
      <xdr:row>5</xdr:row>
      <xdr:rowOff>72258</xdr:rowOff>
    </xdr:to>
    <xdr:sp macro="" textlink="">
      <xdr:nvSpPr>
        <xdr:cNvPr id="3" name="Rectangle 2">
          <a:hlinkClick xmlns:r="http://schemas.openxmlformats.org/officeDocument/2006/relationships" r:id="rId3"/>
        </xdr:cNvPr>
        <xdr:cNvSpPr/>
      </xdr:nvSpPr>
      <xdr:spPr>
        <a:xfrm>
          <a:off x="65690" y="831631"/>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00"/>
              </a:solidFill>
            </a:rPr>
            <a:t>JAN</a:t>
          </a:r>
        </a:p>
      </xdr:txBody>
    </xdr:sp>
    <xdr:clientData/>
  </xdr:twoCellAnchor>
  <xdr:twoCellAnchor>
    <xdr:from>
      <xdr:col>0</xdr:col>
      <xdr:colOff>66264</xdr:colOff>
      <xdr:row>5</xdr:row>
      <xdr:rowOff>149085</xdr:rowOff>
    </xdr:from>
    <xdr:to>
      <xdr:col>0</xdr:col>
      <xdr:colOff>545798</xdr:colOff>
      <xdr:row>7</xdr:row>
      <xdr:rowOff>37412</xdr:rowOff>
    </xdr:to>
    <xdr:sp macro="" textlink="">
      <xdr:nvSpPr>
        <xdr:cNvPr id="4" name="Rectangle 3">
          <a:hlinkClick xmlns:r="http://schemas.openxmlformats.org/officeDocument/2006/relationships" r:id="rId4"/>
        </xdr:cNvPr>
        <xdr:cNvSpPr/>
      </xdr:nvSpPr>
      <xdr:spPr>
        <a:xfrm>
          <a:off x="66264" y="1177785"/>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PEB</a:t>
          </a:r>
        </a:p>
      </xdr:txBody>
    </xdr:sp>
    <xdr:clientData/>
  </xdr:twoCellAnchor>
  <xdr:twoCellAnchor>
    <xdr:from>
      <xdr:col>0</xdr:col>
      <xdr:colOff>57978</xdr:colOff>
      <xdr:row>7</xdr:row>
      <xdr:rowOff>91109</xdr:rowOff>
    </xdr:from>
    <xdr:to>
      <xdr:col>0</xdr:col>
      <xdr:colOff>537512</xdr:colOff>
      <xdr:row>8</xdr:row>
      <xdr:rowOff>169936</xdr:rowOff>
    </xdr:to>
    <xdr:sp macro="" textlink="">
      <xdr:nvSpPr>
        <xdr:cNvPr id="5" name="Rectangle 4">
          <a:hlinkClick xmlns:r="http://schemas.openxmlformats.org/officeDocument/2006/relationships" r:id="rId5"/>
        </xdr:cNvPr>
        <xdr:cNvSpPr/>
      </xdr:nvSpPr>
      <xdr:spPr>
        <a:xfrm>
          <a:off x="57978" y="1500809"/>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MRT</a:t>
          </a:r>
        </a:p>
      </xdr:txBody>
    </xdr:sp>
    <xdr:clientData/>
  </xdr:twoCellAnchor>
  <xdr:twoCellAnchor>
    <xdr:from>
      <xdr:col>0</xdr:col>
      <xdr:colOff>58552</xdr:colOff>
      <xdr:row>9</xdr:row>
      <xdr:rowOff>56263</xdr:rowOff>
    </xdr:from>
    <xdr:to>
      <xdr:col>0</xdr:col>
      <xdr:colOff>538086</xdr:colOff>
      <xdr:row>10</xdr:row>
      <xdr:rowOff>135090</xdr:rowOff>
    </xdr:to>
    <xdr:sp macro="" textlink="">
      <xdr:nvSpPr>
        <xdr:cNvPr id="6" name="Rectangle 5">
          <a:hlinkClick xmlns:r="http://schemas.openxmlformats.org/officeDocument/2006/relationships" r:id="rId6"/>
        </xdr:cNvPr>
        <xdr:cNvSpPr/>
      </xdr:nvSpPr>
      <xdr:spPr>
        <a:xfrm>
          <a:off x="58552" y="1846963"/>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APR</a:t>
          </a:r>
        </a:p>
      </xdr:txBody>
    </xdr:sp>
    <xdr:clientData/>
  </xdr:twoCellAnchor>
  <xdr:twoCellAnchor>
    <xdr:from>
      <xdr:col>0</xdr:col>
      <xdr:colOff>66264</xdr:colOff>
      <xdr:row>10</xdr:row>
      <xdr:rowOff>190500</xdr:rowOff>
    </xdr:from>
    <xdr:to>
      <xdr:col>0</xdr:col>
      <xdr:colOff>545798</xdr:colOff>
      <xdr:row>12</xdr:row>
      <xdr:rowOff>78827</xdr:rowOff>
    </xdr:to>
    <xdr:sp macro="" textlink="">
      <xdr:nvSpPr>
        <xdr:cNvPr id="7" name="Rectangle 6">
          <a:hlinkClick xmlns:r="http://schemas.openxmlformats.org/officeDocument/2006/relationships" r:id="rId7"/>
        </xdr:cNvPr>
        <xdr:cNvSpPr/>
      </xdr:nvSpPr>
      <xdr:spPr>
        <a:xfrm>
          <a:off x="66264" y="2171700"/>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MEI</a:t>
          </a:r>
        </a:p>
      </xdr:txBody>
    </xdr:sp>
    <xdr:clientData/>
  </xdr:twoCellAnchor>
  <xdr:twoCellAnchor>
    <xdr:from>
      <xdr:col>0</xdr:col>
      <xdr:colOff>66838</xdr:colOff>
      <xdr:row>12</xdr:row>
      <xdr:rowOff>155654</xdr:rowOff>
    </xdr:from>
    <xdr:to>
      <xdr:col>0</xdr:col>
      <xdr:colOff>546372</xdr:colOff>
      <xdr:row>14</xdr:row>
      <xdr:rowOff>43981</xdr:rowOff>
    </xdr:to>
    <xdr:sp macro="" textlink="">
      <xdr:nvSpPr>
        <xdr:cNvPr id="8" name="Rectangle 7">
          <a:hlinkClick xmlns:r="http://schemas.openxmlformats.org/officeDocument/2006/relationships" r:id="rId8"/>
        </xdr:cNvPr>
        <xdr:cNvSpPr/>
      </xdr:nvSpPr>
      <xdr:spPr>
        <a:xfrm>
          <a:off x="66838" y="2517854"/>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JUN</a:t>
          </a:r>
        </a:p>
      </xdr:txBody>
    </xdr:sp>
    <xdr:clientData/>
  </xdr:twoCellAnchor>
  <xdr:twoCellAnchor>
    <xdr:from>
      <xdr:col>0</xdr:col>
      <xdr:colOff>66261</xdr:colOff>
      <xdr:row>14</xdr:row>
      <xdr:rowOff>115956</xdr:rowOff>
    </xdr:from>
    <xdr:to>
      <xdr:col>0</xdr:col>
      <xdr:colOff>545795</xdr:colOff>
      <xdr:row>16</xdr:row>
      <xdr:rowOff>4283</xdr:rowOff>
    </xdr:to>
    <xdr:sp macro="" textlink="">
      <xdr:nvSpPr>
        <xdr:cNvPr id="9" name="Rectangle 8">
          <a:hlinkClick xmlns:r="http://schemas.openxmlformats.org/officeDocument/2006/relationships" r:id="rId9"/>
        </xdr:cNvPr>
        <xdr:cNvSpPr/>
      </xdr:nvSpPr>
      <xdr:spPr>
        <a:xfrm>
          <a:off x="66261" y="2859156"/>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t>REKAP</a:t>
          </a:r>
        </a:p>
      </xdr:txBody>
    </xdr:sp>
    <xdr:clientData/>
  </xdr:twoCellAnchor>
  <xdr:twoCellAnchor editAs="oneCell">
    <xdr:from>
      <xdr:col>0</xdr:col>
      <xdr:colOff>66675</xdr:colOff>
      <xdr:row>0</xdr:row>
      <xdr:rowOff>142875</xdr:rowOff>
    </xdr:from>
    <xdr:to>
      <xdr:col>0</xdr:col>
      <xdr:colOff>542925</xdr:colOff>
      <xdr:row>3</xdr:row>
      <xdr:rowOff>19626</xdr:rowOff>
    </xdr:to>
    <xdr:pic>
      <xdr:nvPicPr>
        <xdr:cNvPr id="10" name="Picture 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142875"/>
          <a:ext cx="476250" cy="52445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57150</xdr:colOff>
      <xdr:row>0</xdr:row>
      <xdr:rowOff>142875</xdr:rowOff>
    </xdr:from>
    <xdr:to>
      <xdr:col>0</xdr:col>
      <xdr:colOff>57150</xdr:colOff>
      <xdr:row>3</xdr:row>
      <xdr:rowOff>17385</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150" y="142875"/>
          <a:ext cx="0" cy="522210"/>
        </a:xfrm>
        <a:prstGeom prst="rect">
          <a:avLst/>
        </a:prstGeom>
      </xdr:spPr>
    </xdr:pic>
    <xdr:clientData/>
  </xdr:twoCellAnchor>
  <xdr:twoCellAnchor>
    <xdr:from>
      <xdr:col>0</xdr:col>
      <xdr:colOff>65690</xdr:colOff>
      <xdr:row>3</xdr:row>
      <xdr:rowOff>183931</xdr:rowOff>
    </xdr:from>
    <xdr:to>
      <xdr:col>0</xdr:col>
      <xdr:colOff>545224</xdr:colOff>
      <xdr:row>5</xdr:row>
      <xdr:rowOff>72258</xdr:rowOff>
    </xdr:to>
    <xdr:sp macro="" textlink="">
      <xdr:nvSpPr>
        <xdr:cNvPr id="3" name="Rectangle 2">
          <a:hlinkClick xmlns:r="http://schemas.openxmlformats.org/officeDocument/2006/relationships" r:id="rId3"/>
        </xdr:cNvPr>
        <xdr:cNvSpPr/>
      </xdr:nvSpPr>
      <xdr:spPr>
        <a:xfrm>
          <a:off x="65690" y="831631"/>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JAN</a:t>
          </a:r>
        </a:p>
      </xdr:txBody>
    </xdr:sp>
    <xdr:clientData/>
  </xdr:twoCellAnchor>
  <xdr:twoCellAnchor>
    <xdr:from>
      <xdr:col>0</xdr:col>
      <xdr:colOff>66264</xdr:colOff>
      <xdr:row>5</xdr:row>
      <xdr:rowOff>149085</xdr:rowOff>
    </xdr:from>
    <xdr:to>
      <xdr:col>0</xdr:col>
      <xdr:colOff>545798</xdr:colOff>
      <xdr:row>7</xdr:row>
      <xdr:rowOff>37412</xdr:rowOff>
    </xdr:to>
    <xdr:sp macro="" textlink="">
      <xdr:nvSpPr>
        <xdr:cNvPr id="4" name="Rectangle 3">
          <a:hlinkClick xmlns:r="http://schemas.openxmlformats.org/officeDocument/2006/relationships" r:id="rId4"/>
        </xdr:cNvPr>
        <xdr:cNvSpPr/>
      </xdr:nvSpPr>
      <xdr:spPr>
        <a:xfrm>
          <a:off x="66264" y="1177785"/>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00"/>
              </a:solidFill>
            </a:rPr>
            <a:t>PEB</a:t>
          </a:r>
        </a:p>
      </xdr:txBody>
    </xdr:sp>
    <xdr:clientData/>
  </xdr:twoCellAnchor>
  <xdr:twoCellAnchor>
    <xdr:from>
      <xdr:col>0</xdr:col>
      <xdr:colOff>57978</xdr:colOff>
      <xdr:row>7</xdr:row>
      <xdr:rowOff>91109</xdr:rowOff>
    </xdr:from>
    <xdr:to>
      <xdr:col>0</xdr:col>
      <xdr:colOff>537512</xdr:colOff>
      <xdr:row>8</xdr:row>
      <xdr:rowOff>169936</xdr:rowOff>
    </xdr:to>
    <xdr:sp macro="" textlink="">
      <xdr:nvSpPr>
        <xdr:cNvPr id="5" name="Rectangle 4">
          <a:hlinkClick xmlns:r="http://schemas.openxmlformats.org/officeDocument/2006/relationships" r:id="rId5"/>
        </xdr:cNvPr>
        <xdr:cNvSpPr/>
      </xdr:nvSpPr>
      <xdr:spPr>
        <a:xfrm>
          <a:off x="57978" y="1500809"/>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MRT</a:t>
          </a:r>
        </a:p>
      </xdr:txBody>
    </xdr:sp>
    <xdr:clientData/>
  </xdr:twoCellAnchor>
  <xdr:twoCellAnchor>
    <xdr:from>
      <xdr:col>0</xdr:col>
      <xdr:colOff>58552</xdr:colOff>
      <xdr:row>9</xdr:row>
      <xdr:rowOff>56263</xdr:rowOff>
    </xdr:from>
    <xdr:to>
      <xdr:col>0</xdr:col>
      <xdr:colOff>538086</xdr:colOff>
      <xdr:row>10</xdr:row>
      <xdr:rowOff>135090</xdr:rowOff>
    </xdr:to>
    <xdr:sp macro="" textlink="">
      <xdr:nvSpPr>
        <xdr:cNvPr id="6" name="Rectangle 5">
          <a:hlinkClick xmlns:r="http://schemas.openxmlformats.org/officeDocument/2006/relationships" r:id="rId6"/>
        </xdr:cNvPr>
        <xdr:cNvSpPr/>
      </xdr:nvSpPr>
      <xdr:spPr>
        <a:xfrm>
          <a:off x="58552" y="1846963"/>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APR</a:t>
          </a:r>
        </a:p>
      </xdr:txBody>
    </xdr:sp>
    <xdr:clientData/>
  </xdr:twoCellAnchor>
  <xdr:twoCellAnchor>
    <xdr:from>
      <xdr:col>0</xdr:col>
      <xdr:colOff>66264</xdr:colOff>
      <xdr:row>10</xdr:row>
      <xdr:rowOff>190500</xdr:rowOff>
    </xdr:from>
    <xdr:to>
      <xdr:col>0</xdr:col>
      <xdr:colOff>545798</xdr:colOff>
      <xdr:row>12</xdr:row>
      <xdr:rowOff>78827</xdr:rowOff>
    </xdr:to>
    <xdr:sp macro="" textlink="">
      <xdr:nvSpPr>
        <xdr:cNvPr id="7" name="Rectangle 6">
          <a:hlinkClick xmlns:r="http://schemas.openxmlformats.org/officeDocument/2006/relationships" r:id="rId7"/>
        </xdr:cNvPr>
        <xdr:cNvSpPr/>
      </xdr:nvSpPr>
      <xdr:spPr>
        <a:xfrm>
          <a:off x="66264" y="2171700"/>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MEI</a:t>
          </a:r>
        </a:p>
      </xdr:txBody>
    </xdr:sp>
    <xdr:clientData/>
  </xdr:twoCellAnchor>
  <xdr:twoCellAnchor>
    <xdr:from>
      <xdr:col>0</xdr:col>
      <xdr:colOff>66838</xdr:colOff>
      <xdr:row>12</xdr:row>
      <xdr:rowOff>155654</xdr:rowOff>
    </xdr:from>
    <xdr:to>
      <xdr:col>0</xdr:col>
      <xdr:colOff>546372</xdr:colOff>
      <xdr:row>14</xdr:row>
      <xdr:rowOff>43981</xdr:rowOff>
    </xdr:to>
    <xdr:sp macro="" textlink="">
      <xdr:nvSpPr>
        <xdr:cNvPr id="8" name="Rectangle 7">
          <a:hlinkClick xmlns:r="http://schemas.openxmlformats.org/officeDocument/2006/relationships" r:id="rId8"/>
        </xdr:cNvPr>
        <xdr:cNvSpPr/>
      </xdr:nvSpPr>
      <xdr:spPr>
        <a:xfrm>
          <a:off x="66838" y="2517854"/>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JUN</a:t>
          </a:r>
        </a:p>
      </xdr:txBody>
    </xdr:sp>
    <xdr:clientData/>
  </xdr:twoCellAnchor>
  <xdr:twoCellAnchor>
    <xdr:from>
      <xdr:col>0</xdr:col>
      <xdr:colOff>66261</xdr:colOff>
      <xdr:row>14</xdr:row>
      <xdr:rowOff>115956</xdr:rowOff>
    </xdr:from>
    <xdr:to>
      <xdr:col>0</xdr:col>
      <xdr:colOff>545795</xdr:colOff>
      <xdr:row>16</xdr:row>
      <xdr:rowOff>4283</xdr:rowOff>
    </xdr:to>
    <xdr:sp macro="" textlink="">
      <xdr:nvSpPr>
        <xdr:cNvPr id="9" name="Rectangle 8">
          <a:hlinkClick xmlns:r="http://schemas.openxmlformats.org/officeDocument/2006/relationships" r:id="rId9"/>
        </xdr:cNvPr>
        <xdr:cNvSpPr/>
      </xdr:nvSpPr>
      <xdr:spPr>
        <a:xfrm>
          <a:off x="66261" y="2859156"/>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t>REKAP</a:t>
          </a:r>
        </a:p>
      </xdr:txBody>
    </xdr:sp>
    <xdr:clientData/>
  </xdr:twoCellAnchor>
  <xdr:twoCellAnchor editAs="oneCell">
    <xdr:from>
      <xdr:col>0</xdr:col>
      <xdr:colOff>76200</xdr:colOff>
      <xdr:row>0</xdr:row>
      <xdr:rowOff>161925</xdr:rowOff>
    </xdr:from>
    <xdr:to>
      <xdr:col>0</xdr:col>
      <xdr:colOff>552450</xdr:colOff>
      <xdr:row>3</xdr:row>
      <xdr:rowOff>38676</xdr:rowOff>
    </xdr:to>
    <xdr:pic>
      <xdr:nvPicPr>
        <xdr:cNvPr id="10" name="Picture 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 y="161925"/>
          <a:ext cx="476250" cy="52445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57150</xdr:colOff>
      <xdr:row>0</xdr:row>
      <xdr:rowOff>142875</xdr:rowOff>
    </xdr:from>
    <xdr:to>
      <xdr:col>0</xdr:col>
      <xdr:colOff>57150</xdr:colOff>
      <xdr:row>3</xdr:row>
      <xdr:rowOff>17385</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150" y="142875"/>
          <a:ext cx="0" cy="522210"/>
        </a:xfrm>
        <a:prstGeom prst="rect">
          <a:avLst/>
        </a:prstGeom>
      </xdr:spPr>
    </xdr:pic>
    <xdr:clientData/>
  </xdr:twoCellAnchor>
  <xdr:twoCellAnchor>
    <xdr:from>
      <xdr:col>0</xdr:col>
      <xdr:colOff>65690</xdr:colOff>
      <xdr:row>3</xdr:row>
      <xdr:rowOff>183931</xdr:rowOff>
    </xdr:from>
    <xdr:to>
      <xdr:col>0</xdr:col>
      <xdr:colOff>545224</xdr:colOff>
      <xdr:row>5</xdr:row>
      <xdr:rowOff>72258</xdr:rowOff>
    </xdr:to>
    <xdr:sp macro="" textlink="">
      <xdr:nvSpPr>
        <xdr:cNvPr id="3" name="Rectangle 2">
          <a:hlinkClick xmlns:r="http://schemas.openxmlformats.org/officeDocument/2006/relationships" r:id="rId3"/>
        </xdr:cNvPr>
        <xdr:cNvSpPr/>
      </xdr:nvSpPr>
      <xdr:spPr>
        <a:xfrm>
          <a:off x="65690" y="831631"/>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JAN</a:t>
          </a:r>
        </a:p>
      </xdr:txBody>
    </xdr:sp>
    <xdr:clientData/>
  </xdr:twoCellAnchor>
  <xdr:twoCellAnchor>
    <xdr:from>
      <xdr:col>0</xdr:col>
      <xdr:colOff>66264</xdr:colOff>
      <xdr:row>5</xdr:row>
      <xdr:rowOff>149085</xdr:rowOff>
    </xdr:from>
    <xdr:to>
      <xdr:col>0</xdr:col>
      <xdr:colOff>545798</xdr:colOff>
      <xdr:row>7</xdr:row>
      <xdr:rowOff>37412</xdr:rowOff>
    </xdr:to>
    <xdr:sp macro="" textlink="">
      <xdr:nvSpPr>
        <xdr:cNvPr id="4" name="Rectangle 3">
          <a:hlinkClick xmlns:r="http://schemas.openxmlformats.org/officeDocument/2006/relationships" r:id="rId4"/>
        </xdr:cNvPr>
        <xdr:cNvSpPr/>
      </xdr:nvSpPr>
      <xdr:spPr>
        <a:xfrm>
          <a:off x="66264" y="1177785"/>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PEB</a:t>
          </a:r>
        </a:p>
      </xdr:txBody>
    </xdr:sp>
    <xdr:clientData/>
  </xdr:twoCellAnchor>
  <xdr:twoCellAnchor>
    <xdr:from>
      <xdr:col>0</xdr:col>
      <xdr:colOff>57978</xdr:colOff>
      <xdr:row>7</xdr:row>
      <xdr:rowOff>91109</xdr:rowOff>
    </xdr:from>
    <xdr:to>
      <xdr:col>0</xdr:col>
      <xdr:colOff>537512</xdr:colOff>
      <xdr:row>8</xdr:row>
      <xdr:rowOff>169936</xdr:rowOff>
    </xdr:to>
    <xdr:sp macro="" textlink="">
      <xdr:nvSpPr>
        <xdr:cNvPr id="5" name="Rectangle 4">
          <a:hlinkClick xmlns:r="http://schemas.openxmlformats.org/officeDocument/2006/relationships" r:id="rId5"/>
        </xdr:cNvPr>
        <xdr:cNvSpPr/>
      </xdr:nvSpPr>
      <xdr:spPr>
        <a:xfrm>
          <a:off x="57978" y="1500809"/>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00"/>
              </a:solidFill>
            </a:rPr>
            <a:t>MRT</a:t>
          </a:r>
        </a:p>
      </xdr:txBody>
    </xdr:sp>
    <xdr:clientData/>
  </xdr:twoCellAnchor>
  <xdr:twoCellAnchor>
    <xdr:from>
      <xdr:col>0</xdr:col>
      <xdr:colOff>58552</xdr:colOff>
      <xdr:row>9</xdr:row>
      <xdr:rowOff>56263</xdr:rowOff>
    </xdr:from>
    <xdr:to>
      <xdr:col>0</xdr:col>
      <xdr:colOff>538086</xdr:colOff>
      <xdr:row>10</xdr:row>
      <xdr:rowOff>135090</xdr:rowOff>
    </xdr:to>
    <xdr:sp macro="" textlink="">
      <xdr:nvSpPr>
        <xdr:cNvPr id="6" name="Rectangle 5">
          <a:hlinkClick xmlns:r="http://schemas.openxmlformats.org/officeDocument/2006/relationships" r:id="rId6"/>
        </xdr:cNvPr>
        <xdr:cNvSpPr/>
      </xdr:nvSpPr>
      <xdr:spPr>
        <a:xfrm>
          <a:off x="58552" y="1846963"/>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APR</a:t>
          </a:r>
        </a:p>
      </xdr:txBody>
    </xdr:sp>
    <xdr:clientData/>
  </xdr:twoCellAnchor>
  <xdr:twoCellAnchor>
    <xdr:from>
      <xdr:col>0</xdr:col>
      <xdr:colOff>66264</xdr:colOff>
      <xdr:row>10</xdr:row>
      <xdr:rowOff>190500</xdr:rowOff>
    </xdr:from>
    <xdr:to>
      <xdr:col>0</xdr:col>
      <xdr:colOff>545798</xdr:colOff>
      <xdr:row>12</xdr:row>
      <xdr:rowOff>78827</xdr:rowOff>
    </xdr:to>
    <xdr:sp macro="" textlink="">
      <xdr:nvSpPr>
        <xdr:cNvPr id="7" name="Rectangle 6">
          <a:hlinkClick xmlns:r="http://schemas.openxmlformats.org/officeDocument/2006/relationships" r:id="rId7"/>
        </xdr:cNvPr>
        <xdr:cNvSpPr/>
      </xdr:nvSpPr>
      <xdr:spPr>
        <a:xfrm>
          <a:off x="66264" y="2171700"/>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MEI</a:t>
          </a:r>
        </a:p>
      </xdr:txBody>
    </xdr:sp>
    <xdr:clientData/>
  </xdr:twoCellAnchor>
  <xdr:twoCellAnchor>
    <xdr:from>
      <xdr:col>0</xdr:col>
      <xdr:colOff>66838</xdr:colOff>
      <xdr:row>12</xdr:row>
      <xdr:rowOff>155654</xdr:rowOff>
    </xdr:from>
    <xdr:to>
      <xdr:col>0</xdr:col>
      <xdr:colOff>546372</xdr:colOff>
      <xdr:row>14</xdr:row>
      <xdr:rowOff>43981</xdr:rowOff>
    </xdr:to>
    <xdr:sp macro="" textlink="">
      <xdr:nvSpPr>
        <xdr:cNvPr id="8" name="Rectangle 7">
          <a:hlinkClick xmlns:r="http://schemas.openxmlformats.org/officeDocument/2006/relationships" r:id="rId8"/>
        </xdr:cNvPr>
        <xdr:cNvSpPr/>
      </xdr:nvSpPr>
      <xdr:spPr>
        <a:xfrm>
          <a:off x="66838" y="2517854"/>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JUN</a:t>
          </a:r>
        </a:p>
      </xdr:txBody>
    </xdr:sp>
    <xdr:clientData/>
  </xdr:twoCellAnchor>
  <xdr:twoCellAnchor>
    <xdr:from>
      <xdr:col>0</xdr:col>
      <xdr:colOff>66261</xdr:colOff>
      <xdr:row>14</xdr:row>
      <xdr:rowOff>115956</xdr:rowOff>
    </xdr:from>
    <xdr:to>
      <xdr:col>0</xdr:col>
      <xdr:colOff>545795</xdr:colOff>
      <xdr:row>16</xdr:row>
      <xdr:rowOff>4283</xdr:rowOff>
    </xdr:to>
    <xdr:sp macro="" textlink="">
      <xdr:nvSpPr>
        <xdr:cNvPr id="9" name="Rectangle 8">
          <a:hlinkClick xmlns:r="http://schemas.openxmlformats.org/officeDocument/2006/relationships" r:id="rId9"/>
        </xdr:cNvPr>
        <xdr:cNvSpPr/>
      </xdr:nvSpPr>
      <xdr:spPr>
        <a:xfrm>
          <a:off x="66261" y="2859156"/>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t>REKAP</a:t>
          </a:r>
        </a:p>
      </xdr:txBody>
    </xdr:sp>
    <xdr:clientData/>
  </xdr:twoCellAnchor>
  <xdr:twoCellAnchor editAs="oneCell">
    <xdr:from>
      <xdr:col>0</xdr:col>
      <xdr:colOff>76200</xdr:colOff>
      <xdr:row>1</xdr:row>
      <xdr:rowOff>0</xdr:rowOff>
    </xdr:from>
    <xdr:to>
      <xdr:col>0</xdr:col>
      <xdr:colOff>552450</xdr:colOff>
      <xdr:row>3</xdr:row>
      <xdr:rowOff>67251</xdr:rowOff>
    </xdr:to>
    <xdr:pic>
      <xdr:nvPicPr>
        <xdr:cNvPr id="10" name="Picture 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 y="190500"/>
          <a:ext cx="476250" cy="5244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142875</xdr:rowOff>
    </xdr:from>
    <xdr:to>
      <xdr:col>0</xdr:col>
      <xdr:colOff>533400</xdr:colOff>
      <xdr:row>3</xdr:row>
      <xdr:rowOff>17385</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150" y="142875"/>
          <a:ext cx="476250" cy="522210"/>
        </a:xfrm>
        <a:prstGeom prst="rect">
          <a:avLst/>
        </a:prstGeom>
      </xdr:spPr>
    </xdr:pic>
    <xdr:clientData/>
  </xdr:twoCellAnchor>
  <xdr:twoCellAnchor>
    <xdr:from>
      <xdr:col>0</xdr:col>
      <xdr:colOff>65690</xdr:colOff>
      <xdr:row>3</xdr:row>
      <xdr:rowOff>183931</xdr:rowOff>
    </xdr:from>
    <xdr:to>
      <xdr:col>0</xdr:col>
      <xdr:colOff>545224</xdr:colOff>
      <xdr:row>5</xdr:row>
      <xdr:rowOff>72258</xdr:rowOff>
    </xdr:to>
    <xdr:sp macro="" textlink="">
      <xdr:nvSpPr>
        <xdr:cNvPr id="3" name="Rectangle 2">
          <a:hlinkClick xmlns:r="http://schemas.openxmlformats.org/officeDocument/2006/relationships" r:id="rId3"/>
        </xdr:cNvPr>
        <xdr:cNvSpPr/>
      </xdr:nvSpPr>
      <xdr:spPr>
        <a:xfrm>
          <a:off x="65690" y="829974"/>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JAN</a:t>
          </a:r>
        </a:p>
      </xdr:txBody>
    </xdr:sp>
    <xdr:clientData/>
  </xdr:twoCellAnchor>
  <xdr:twoCellAnchor>
    <xdr:from>
      <xdr:col>0</xdr:col>
      <xdr:colOff>66264</xdr:colOff>
      <xdr:row>5</xdr:row>
      <xdr:rowOff>149085</xdr:rowOff>
    </xdr:from>
    <xdr:to>
      <xdr:col>0</xdr:col>
      <xdr:colOff>545798</xdr:colOff>
      <xdr:row>7</xdr:row>
      <xdr:rowOff>37412</xdr:rowOff>
    </xdr:to>
    <xdr:sp macro="" textlink="">
      <xdr:nvSpPr>
        <xdr:cNvPr id="4" name="Rectangle 3">
          <a:hlinkClick xmlns:r="http://schemas.openxmlformats.org/officeDocument/2006/relationships" r:id="rId4"/>
        </xdr:cNvPr>
        <xdr:cNvSpPr/>
      </xdr:nvSpPr>
      <xdr:spPr>
        <a:xfrm>
          <a:off x="66264" y="1176128"/>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PEB</a:t>
          </a:r>
        </a:p>
      </xdr:txBody>
    </xdr:sp>
    <xdr:clientData/>
  </xdr:twoCellAnchor>
  <xdr:twoCellAnchor>
    <xdr:from>
      <xdr:col>0</xdr:col>
      <xdr:colOff>57978</xdr:colOff>
      <xdr:row>7</xdr:row>
      <xdr:rowOff>91109</xdr:rowOff>
    </xdr:from>
    <xdr:to>
      <xdr:col>0</xdr:col>
      <xdr:colOff>537512</xdr:colOff>
      <xdr:row>8</xdr:row>
      <xdr:rowOff>169936</xdr:rowOff>
    </xdr:to>
    <xdr:sp macro="" textlink="">
      <xdr:nvSpPr>
        <xdr:cNvPr id="5" name="Rectangle 4">
          <a:hlinkClick xmlns:r="http://schemas.openxmlformats.org/officeDocument/2006/relationships" r:id="rId5"/>
        </xdr:cNvPr>
        <xdr:cNvSpPr/>
      </xdr:nvSpPr>
      <xdr:spPr>
        <a:xfrm>
          <a:off x="57978" y="1499152"/>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MRT</a:t>
          </a:r>
        </a:p>
      </xdr:txBody>
    </xdr:sp>
    <xdr:clientData/>
  </xdr:twoCellAnchor>
  <xdr:twoCellAnchor>
    <xdr:from>
      <xdr:col>0</xdr:col>
      <xdr:colOff>58552</xdr:colOff>
      <xdr:row>9</xdr:row>
      <xdr:rowOff>56263</xdr:rowOff>
    </xdr:from>
    <xdr:to>
      <xdr:col>0</xdr:col>
      <xdr:colOff>538086</xdr:colOff>
      <xdr:row>10</xdr:row>
      <xdr:rowOff>135090</xdr:rowOff>
    </xdr:to>
    <xdr:sp macro="" textlink="">
      <xdr:nvSpPr>
        <xdr:cNvPr id="6" name="Rectangle 5">
          <a:hlinkClick xmlns:r="http://schemas.openxmlformats.org/officeDocument/2006/relationships" r:id="rId6"/>
        </xdr:cNvPr>
        <xdr:cNvSpPr/>
      </xdr:nvSpPr>
      <xdr:spPr>
        <a:xfrm>
          <a:off x="58552" y="1845306"/>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00"/>
              </a:solidFill>
            </a:rPr>
            <a:t>APR</a:t>
          </a:r>
        </a:p>
      </xdr:txBody>
    </xdr:sp>
    <xdr:clientData/>
  </xdr:twoCellAnchor>
  <xdr:twoCellAnchor>
    <xdr:from>
      <xdr:col>0</xdr:col>
      <xdr:colOff>66264</xdr:colOff>
      <xdr:row>10</xdr:row>
      <xdr:rowOff>190500</xdr:rowOff>
    </xdr:from>
    <xdr:to>
      <xdr:col>0</xdr:col>
      <xdr:colOff>545798</xdr:colOff>
      <xdr:row>12</xdr:row>
      <xdr:rowOff>78827</xdr:rowOff>
    </xdr:to>
    <xdr:sp macro="" textlink="">
      <xdr:nvSpPr>
        <xdr:cNvPr id="7" name="Rectangle 6">
          <a:hlinkClick xmlns:r="http://schemas.openxmlformats.org/officeDocument/2006/relationships" r:id="rId7"/>
        </xdr:cNvPr>
        <xdr:cNvSpPr/>
      </xdr:nvSpPr>
      <xdr:spPr>
        <a:xfrm>
          <a:off x="66264" y="2170043"/>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MEI</a:t>
          </a:r>
        </a:p>
      </xdr:txBody>
    </xdr:sp>
    <xdr:clientData/>
  </xdr:twoCellAnchor>
  <xdr:twoCellAnchor>
    <xdr:from>
      <xdr:col>0</xdr:col>
      <xdr:colOff>66838</xdr:colOff>
      <xdr:row>12</xdr:row>
      <xdr:rowOff>155654</xdr:rowOff>
    </xdr:from>
    <xdr:to>
      <xdr:col>0</xdr:col>
      <xdr:colOff>546372</xdr:colOff>
      <xdr:row>14</xdr:row>
      <xdr:rowOff>43981</xdr:rowOff>
    </xdr:to>
    <xdr:sp macro="" textlink="">
      <xdr:nvSpPr>
        <xdr:cNvPr id="8" name="Rectangle 7">
          <a:hlinkClick xmlns:r="http://schemas.openxmlformats.org/officeDocument/2006/relationships" r:id="rId8"/>
        </xdr:cNvPr>
        <xdr:cNvSpPr/>
      </xdr:nvSpPr>
      <xdr:spPr>
        <a:xfrm>
          <a:off x="66838" y="2516197"/>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JUN</a:t>
          </a:r>
        </a:p>
      </xdr:txBody>
    </xdr:sp>
    <xdr:clientData/>
  </xdr:twoCellAnchor>
  <xdr:twoCellAnchor>
    <xdr:from>
      <xdr:col>0</xdr:col>
      <xdr:colOff>66261</xdr:colOff>
      <xdr:row>14</xdr:row>
      <xdr:rowOff>115956</xdr:rowOff>
    </xdr:from>
    <xdr:to>
      <xdr:col>0</xdr:col>
      <xdr:colOff>545795</xdr:colOff>
      <xdr:row>16</xdr:row>
      <xdr:rowOff>4283</xdr:rowOff>
    </xdr:to>
    <xdr:sp macro="" textlink="">
      <xdr:nvSpPr>
        <xdr:cNvPr id="9" name="Rectangle 8">
          <a:hlinkClick xmlns:r="http://schemas.openxmlformats.org/officeDocument/2006/relationships" r:id="rId9"/>
        </xdr:cNvPr>
        <xdr:cNvSpPr/>
      </xdr:nvSpPr>
      <xdr:spPr>
        <a:xfrm>
          <a:off x="66261" y="2857499"/>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t>REKAP</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57150</xdr:colOff>
      <xdr:row>0</xdr:row>
      <xdr:rowOff>142875</xdr:rowOff>
    </xdr:from>
    <xdr:to>
      <xdr:col>0</xdr:col>
      <xdr:colOff>533400</xdr:colOff>
      <xdr:row>3</xdr:row>
      <xdr:rowOff>17385</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150" y="142875"/>
          <a:ext cx="476250" cy="522210"/>
        </a:xfrm>
        <a:prstGeom prst="rect">
          <a:avLst/>
        </a:prstGeom>
      </xdr:spPr>
    </xdr:pic>
    <xdr:clientData/>
  </xdr:twoCellAnchor>
  <xdr:twoCellAnchor>
    <xdr:from>
      <xdr:col>0</xdr:col>
      <xdr:colOff>65690</xdr:colOff>
      <xdr:row>3</xdr:row>
      <xdr:rowOff>183931</xdr:rowOff>
    </xdr:from>
    <xdr:to>
      <xdr:col>0</xdr:col>
      <xdr:colOff>545224</xdr:colOff>
      <xdr:row>5</xdr:row>
      <xdr:rowOff>72258</xdr:rowOff>
    </xdr:to>
    <xdr:sp macro="" textlink="">
      <xdr:nvSpPr>
        <xdr:cNvPr id="3" name="Rectangle 2">
          <a:hlinkClick xmlns:r="http://schemas.openxmlformats.org/officeDocument/2006/relationships" r:id="rId3"/>
        </xdr:cNvPr>
        <xdr:cNvSpPr/>
      </xdr:nvSpPr>
      <xdr:spPr>
        <a:xfrm>
          <a:off x="65690" y="831631"/>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JAN</a:t>
          </a:r>
        </a:p>
      </xdr:txBody>
    </xdr:sp>
    <xdr:clientData/>
  </xdr:twoCellAnchor>
  <xdr:twoCellAnchor>
    <xdr:from>
      <xdr:col>0</xdr:col>
      <xdr:colOff>66264</xdr:colOff>
      <xdr:row>5</xdr:row>
      <xdr:rowOff>149085</xdr:rowOff>
    </xdr:from>
    <xdr:to>
      <xdr:col>0</xdr:col>
      <xdr:colOff>545798</xdr:colOff>
      <xdr:row>7</xdr:row>
      <xdr:rowOff>37412</xdr:rowOff>
    </xdr:to>
    <xdr:sp macro="" textlink="">
      <xdr:nvSpPr>
        <xdr:cNvPr id="4" name="Rectangle 3">
          <a:hlinkClick xmlns:r="http://schemas.openxmlformats.org/officeDocument/2006/relationships" r:id="rId4"/>
        </xdr:cNvPr>
        <xdr:cNvSpPr/>
      </xdr:nvSpPr>
      <xdr:spPr>
        <a:xfrm>
          <a:off x="66264" y="1177785"/>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PEB</a:t>
          </a:r>
        </a:p>
      </xdr:txBody>
    </xdr:sp>
    <xdr:clientData/>
  </xdr:twoCellAnchor>
  <xdr:twoCellAnchor>
    <xdr:from>
      <xdr:col>0</xdr:col>
      <xdr:colOff>57978</xdr:colOff>
      <xdr:row>7</xdr:row>
      <xdr:rowOff>91109</xdr:rowOff>
    </xdr:from>
    <xdr:to>
      <xdr:col>0</xdr:col>
      <xdr:colOff>537512</xdr:colOff>
      <xdr:row>8</xdr:row>
      <xdr:rowOff>169936</xdr:rowOff>
    </xdr:to>
    <xdr:sp macro="" textlink="">
      <xdr:nvSpPr>
        <xdr:cNvPr id="5" name="Rectangle 4">
          <a:hlinkClick xmlns:r="http://schemas.openxmlformats.org/officeDocument/2006/relationships" r:id="rId5"/>
        </xdr:cNvPr>
        <xdr:cNvSpPr/>
      </xdr:nvSpPr>
      <xdr:spPr>
        <a:xfrm>
          <a:off x="57978" y="1500809"/>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MRT</a:t>
          </a:r>
        </a:p>
      </xdr:txBody>
    </xdr:sp>
    <xdr:clientData/>
  </xdr:twoCellAnchor>
  <xdr:twoCellAnchor>
    <xdr:from>
      <xdr:col>0</xdr:col>
      <xdr:colOff>58552</xdr:colOff>
      <xdr:row>9</xdr:row>
      <xdr:rowOff>56263</xdr:rowOff>
    </xdr:from>
    <xdr:to>
      <xdr:col>0</xdr:col>
      <xdr:colOff>538086</xdr:colOff>
      <xdr:row>10</xdr:row>
      <xdr:rowOff>135090</xdr:rowOff>
    </xdr:to>
    <xdr:sp macro="" textlink="">
      <xdr:nvSpPr>
        <xdr:cNvPr id="6" name="Rectangle 5">
          <a:hlinkClick xmlns:r="http://schemas.openxmlformats.org/officeDocument/2006/relationships" r:id="rId6"/>
        </xdr:cNvPr>
        <xdr:cNvSpPr/>
      </xdr:nvSpPr>
      <xdr:spPr>
        <a:xfrm>
          <a:off x="58552" y="1846963"/>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APR</a:t>
          </a:r>
        </a:p>
      </xdr:txBody>
    </xdr:sp>
    <xdr:clientData/>
  </xdr:twoCellAnchor>
  <xdr:twoCellAnchor>
    <xdr:from>
      <xdr:col>0</xdr:col>
      <xdr:colOff>66264</xdr:colOff>
      <xdr:row>10</xdr:row>
      <xdr:rowOff>190500</xdr:rowOff>
    </xdr:from>
    <xdr:to>
      <xdr:col>0</xdr:col>
      <xdr:colOff>545798</xdr:colOff>
      <xdr:row>12</xdr:row>
      <xdr:rowOff>78827</xdr:rowOff>
    </xdr:to>
    <xdr:sp macro="" textlink="">
      <xdr:nvSpPr>
        <xdr:cNvPr id="7" name="Rectangle 6">
          <a:hlinkClick xmlns:r="http://schemas.openxmlformats.org/officeDocument/2006/relationships" r:id="rId7"/>
        </xdr:cNvPr>
        <xdr:cNvSpPr/>
      </xdr:nvSpPr>
      <xdr:spPr>
        <a:xfrm>
          <a:off x="66264" y="2171700"/>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00"/>
              </a:solidFill>
            </a:rPr>
            <a:t>MEI</a:t>
          </a:r>
        </a:p>
      </xdr:txBody>
    </xdr:sp>
    <xdr:clientData/>
  </xdr:twoCellAnchor>
  <xdr:twoCellAnchor>
    <xdr:from>
      <xdr:col>0</xdr:col>
      <xdr:colOff>66838</xdr:colOff>
      <xdr:row>12</xdr:row>
      <xdr:rowOff>155654</xdr:rowOff>
    </xdr:from>
    <xdr:to>
      <xdr:col>0</xdr:col>
      <xdr:colOff>546372</xdr:colOff>
      <xdr:row>14</xdr:row>
      <xdr:rowOff>43981</xdr:rowOff>
    </xdr:to>
    <xdr:sp macro="" textlink="">
      <xdr:nvSpPr>
        <xdr:cNvPr id="8" name="Rectangle 7">
          <a:hlinkClick xmlns:r="http://schemas.openxmlformats.org/officeDocument/2006/relationships" r:id="rId8"/>
        </xdr:cNvPr>
        <xdr:cNvSpPr/>
      </xdr:nvSpPr>
      <xdr:spPr>
        <a:xfrm>
          <a:off x="66838" y="2517854"/>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JUN</a:t>
          </a:r>
        </a:p>
      </xdr:txBody>
    </xdr:sp>
    <xdr:clientData/>
  </xdr:twoCellAnchor>
  <xdr:twoCellAnchor>
    <xdr:from>
      <xdr:col>0</xdr:col>
      <xdr:colOff>66261</xdr:colOff>
      <xdr:row>14</xdr:row>
      <xdr:rowOff>115956</xdr:rowOff>
    </xdr:from>
    <xdr:to>
      <xdr:col>0</xdr:col>
      <xdr:colOff>545795</xdr:colOff>
      <xdr:row>16</xdr:row>
      <xdr:rowOff>4283</xdr:rowOff>
    </xdr:to>
    <xdr:sp macro="" textlink="">
      <xdr:nvSpPr>
        <xdr:cNvPr id="9" name="Rectangle 8">
          <a:hlinkClick xmlns:r="http://schemas.openxmlformats.org/officeDocument/2006/relationships" r:id="rId9"/>
        </xdr:cNvPr>
        <xdr:cNvSpPr/>
      </xdr:nvSpPr>
      <xdr:spPr>
        <a:xfrm>
          <a:off x="66261" y="2859156"/>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t>REKAP</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57150</xdr:colOff>
      <xdr:row>0</xdr:row>
      <xdr:rowOff>142875</xdr:rowOff>
    </xdr:from>
    <xdr:to>
      <xdr:col>0</xdr:col>
      <xdr:colOff>533400</xdr:colOff>
      <xdr:row>3</xdr:row>
      <xdr:rowOff>17385</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150" y="142875"/>
          <a:ext cx="476250" cy="522210"/>
        </a:xfrm>
        <a:prstGeom prst="rect">
          <a:avLst/>
        </a:prstGeom>
      </xdr:spPr>
    </xdr:pic>
    <xdr:clientData/>
  </xdr:twoCellAnchor>
  <xdr:twoCellAnchor>
    <xdr:from>
      <xdr:col>0</xdr:col>
      <xdr:colOff>65690</xdr:colOff>
      <xdr:row>3</xdr:row>
      <xdr:rowOff>183931</xdr:rowOff>
    </xdr:from>
    <xdr:to>
      <xdr:col>0</xdr:col>
      <xdr:colOff>545224</xdr:colOff>
      <xdr:row>5</xdr:row>
      <xdr:rowOff>72258</xdr:rowOff>
    </xdr:to>
    <xdr:sp macro="" textlink="">
      <xdr:nvSpPr>
        <xdr:cNvPr id="3" name="Rectangle 2">
          <a:hlinkClick xmlns:r="http://schemas.openxmlformats.org/officeDocument/2006/relationships" r:id="rId3"/>
        </xdr:cNvPr>
        <xdr:cNvSpPr/>
      </xdr:nvSpPr>
      <xdr:spPr>
        <a:xfrm>
          <a:off x="65690" y="831631"/>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JAN</a:t>
          </a:r>
        </a:p>
      </xdr:txBody>
    </xdr:sp>
    <xdr:clientData/>
  </xdr:twoCellAnchor>
  <xdr:twoCellAnchor>
    <xdr:from>
      <xdr:col>0</xdr:col>
      <xdr:colOff>66264</xdr:colOff>
      <xdr:row>5</xdr:row>
      <xdr:rowOff>149085</xdr:rowOff>
    </xdr:from>
    <xdr:to>
      <xdr:col>0</xdr:col>
      <xdr:colOff>545798</xdr:colOff>
      <xdr:row>7</xdr:row>
      <xdr:rowOff>37412</xdr:rowOff>
    </xdr:to>
    <xdr:sp macro="" textlink="">
      <xdr:nvSpPr>
        <xdr:cNvPr id="4" name="Rectangle 3">
          <a:hlinkClick xmlns:r="http://schemas.openxmlformats.org/officeDocument/2006/relationships" r:id="rId4"/>
        </xdr:cNvPr>
        <xdr:cNvSpPr/>
      </xdr:nvSpPr>
      <xdr:spPr>
        <a:xfrm>
          <a:off x="66264" y="1177785"/>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PEB</a:t>
          </a:r>
        </a:p>
      </xdr:txBody>
    </xdr:sp>
    <xdr:clientData/>
  </xdr:twoCellAnchor>
  <xdr:twoCellAnchor>
    <xdr:from>
      <xdr:col>0</xdr:col>
      <xdr:colOff>57978</xdr:colOff>
      <xdr:row>7</xdr:row>
      <xdr:rowOff>91109</xdr:rowOff>
    </xdr:from>
    <xdr:to>
      <xdr:col>0</xdr:col>
      <xdr:colOff>537512</xdr:colOff>
      <xdr:row>8</xdr:row>
      <xdr:rowOff>169936</xdr:rowOff>
    </xdr:to>
    <xdr:sp macro="" textlink="">
      <xdr:nvSpPr>
        <xdr:cNvPr id="5" name="Rectangle 4">
          <a:hlinkClick xmlns:r="http://schemas.openxmlformats.org/officeDocument/2006/relationships" r:id="rId5"/>
        </xdr:cNvPr>
        <xdr:cNvSpPr/>
      </xdr:nvSpPr>
      <xdr:spPr>
        <a:xfrm>
          <a:off x="57978" y="1500809"/>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MRT</a:t>
          </a:r>
        </a:p>
      </xdr:txBody>
    </xdr:sp>
    <xdr:clientData/>
  </xdr:twoCellAnchor>
  <xdr:twoCellAnchor>
    <xdr:from>
      <xdr:col>0</xdr:col>
      <xdr:colOff>58552</xdr:colOff>
      <xdr:row>9</xdr:row>
      <xdr:rowOff>56263</xdr:rowOff>
    </xdr:from>
    <xdr:to>
      <xdr:col>0</xdr:col>
      <xdr:colOff>538086</xdr:colOff>
      <xdr:row>10</xdr:row>
      <xdr:rowOff>135090</xdr:rowOff>
    </xdr:to>
    <xdr:sp macro="" textlink="">
      <xdr:nvSpPr>
        <xdr:cNvPr id="6" name="Rectangle 5">
          <a:hlinkClick xmlns:r="http://schemas.openxmlformats.org/officeDocument/2006/relationships" r:id="rId6"/>
        </xdr:cNvPr>
        <xdr:cNvSpPr/>
      </xdr:nvSpPr>
      <xdr:spPr>
        <a:xfrm>
          <a:off x="58552" y="1846963"/>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APR</a:t>
          </a:r>
        </a:p>
      </xdr:txBody>
    </xdr:sp>
    <xdr:clientData/>
  </xdr:twoCellAnchor>
  <xdr:twoCellAnchor>
    <xdr:from>
      <xdr:col>0</xdr:col>
      <xdr:colOff>66264</xdr:colOff>
      <xdr:row>10</xdr:row>
      <xdr:rowOff>190500</xdr:rowOff>
    </xdr:from>
    <xdr:to>
      <xdr:col>0</xdr:col>
      <xdr:colOff>545798</xdr:colOff>
      <xdr:row>12</xdr:row>
      <xdr:rowOff>78827</xdr:rowOff>
    </xdr:to>
    <xdr:sp macro="" textlink="">
      <xdr:nvSpPr>
        <xdr:cNvPr id="7" name="Rectangle 6">
          <a:hlinkClick xmlns:r="http://schemas.openxmlformats.org/officeDocument/2006/relationships" r:id="rId7"/>
        </xdr:cNvPr>
        <xdr:cNvSpPr/>
      </xdr:nvSpPr>
      <xdr:spPr>
        <a:xfrm>
          <a:off x="66264" y="2171700"/>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MEI</a:t>
          </a:r>
        </a:p>
      </xdr:txBody>
    </xdr:sp>
    <xdr:clientData/>
  </xdr:twoCellAnchor>
  <xdr:twoCellAnchor>
    <xdr:from>
      <xdr:col>0</xdr:col>
      <xdr:colOff>66838</xdr:colOff>
      <xdr:row>12</xdr:row>
      <xdr:rowOff>155654</xdr:rowOff>
    </xdr:from>
    <xdr:to>
      <xdr:col>0</xdr:col>
      <xdr:colOff>546372</xdr:colOff>
      <xdr:row>14</xdr:row>
      <xdr:rowOff>43981</xdr:rowOff>
    </xdr:to>
    <xdr:sp macro="" textlink="">
      <xdr:nvSpPr>
        <xdr:cNvPr id="8" name="Rectangle 7"/>
        <xdr:cNvSpPr/>
      </xdr:nvSpPr>
      <xdr:spPr>
        <a:xfrm>
          <a:off x="66838" y="2517854"/>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00"/>
              </a:solidFill>
            </a:rPr>
            <a:t>JUN</a:t>
          </a:r>
        </a:p>
      </xdr:txBody>
    </xdr:sp>
    <xdr:clientData/>
  </xdr:twoCellAnchor>
  <xdr:twoCellAnchor>
    <xdr:from>
      <xdr:col>0</xdr:col>
      <xdr:colOff>66261</xdr:colOff>
      <xdr:row>14</xdr:row>
      <xdr:rowOff>115956</xdr:rowOff>
    </xdr:from>
    <xdr:to>
      <xdr:col>0</xdr:col>
      <xdr:colOff>545795</xdr:colOff>
      <xdr:row>16</xdr:row>
      <xdr:rowOff>4283</xdr:rowOff>
    </xdr:to>
    <xdr:sp macro="" textlink="">
      <xdr:nvSpPr>
        <xdr:cNvPr id="9" name="Rectangle 8">
          <a:hlinkClick xmlns:r="http://schemas.openxmlformats.org/officeDocument/2006/relationships" r:id="rId8"/>
        </xdr:cNvPr>
        <xdr:cNvSpPr/>
      </xdr:nvSpPr>
      <xdr:spPr>
        <a:xfrm>
          <a:off x="66261" y="2859156"/>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t>REKAP</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57150</xdr:colOff>
      <xdr:row>0</xdr:row>
      <xdr:rowOff>142875</xdr:rowOff>
    </xdr:from>
    <xdr:to>
      <xdr:col>0</xdr:col>
      <xdr:colOff>57150</xdr:colOff>
      <xdr:row>3</xdr:row>
      <xdr:rowOff>17385</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150" y="142875"/>
          <a:ext cx="0" cy="522210"/>
        </a:xfrm>
        <a:prstGeom prst="rect">
          <a:avLst/>
        </a:prstGeom>
      </xdr:spPr>
    </xdr:pic>
    <xdr:clientData/>
  </xdr:twoCellAnchor>
  <xdr:twoCellAnchor>
    <xdr:from>
      <xdr:col>0</xdr:col>
      <xdr:colOff>65690</xdr:colOff>
      <xdr:row>4</xdr:row>
      <xdr:rowOff>183931</xdr:rowOff>
    </xdr:from>
    <xdr:to>
      <xdr:col>0</xdr:col>
      <xdr:colOff>545224</xdr:colOff>
      <xdr:row>6</xdr:row>
      <xdr:rowOff>72258</xdr:rowOff>
    </xdr:to>
    <xdr:sp macro="" textlink="">
      <xdr:nvSpPr>
        <xdr:cNvPr id="3" name="Rectangle 2">
          <a:hlinkClick xmlns:r="http://schemas.openxmlformats.org/officeDocument/2006/relationships" r:id="rId3"/>
        </xdr:cNvPr>
        <xdr:cNvSpPr/>
      </xdr:nvSpPr>
      <xdr:spPr>
        <a:xfrm>
          <a:off x="65690" y="831631"/>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JAN</a:t>
          </a:r>
        </a:p>
      </xdr:txBody>
    </xdr:sp>
    <xdr:clientData/>
  </xdr:twoCellAnchor>
  <xdr:twoCellAnchor>
    <xdr:from>
      <xdr:col>0</xdr:col>
      <xdr:colOff>66264</xdr:colOff>
      <xdr:row>6</xdr:row>
      <xdr:rowOff>149085</xdr:rowOff>
    </xdr:from>
    <xdr:to>
      <xdr:col>0</xdr:col>
      <xdr:colOff>545798</xdr:colOff>
      <xdr:row>8</xdr:row>
      <xdr:rowOff>37412</xdr:rowOff>
    </xdr:to>
    <xdr:sp macro="" textlink="">
      <xdr:nvSpPr>
        <xdr:cNvPr id="4" name="Rectangle 3">
          <a:hlinkClick xmlns:r="http://schemas.openxmlformats.org/officeDocument/2006/relationships" r:id="rId4"/>
        </xdr:cNvPr>
        <xdr:cNvSpPr/>
      </xdr:nvSpPr>
      <xdr:spPr>
        <a:xfrm>
          <a:off x="66264" y="1177785"/>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PEB</a:t>
          </a:r>
        </a:p>
      </xdr:txBody>
    </xdr:sp>
    <xdr:clientData/>
  </xdr:twoCellAnchor>
  <xdr:twoCellAnchor>
    <xdr:from>
      <xdr:col>0</xdr:col>
      <xdr:colOff>57978</xdr:colOff>
      <xdr:row>8</xdr:row>
      <xdr:rowOff>91109</xdr:rowOff>
    </xdr:from>
    <xdr:to>
      <xdr:col>0</xdr:col>
      <xdr:colOff>537512</xdr:colOff>
      <xdr:row>9</xdr:row>
      <xdr:rowOff>169936</xdr:rowOff>
    </xdr:to>
    <xdr:sp macro="" textlink="">
      <xdr:nvSpPr>
        <xdr:cNvPr id="5" name="Rectangle 4">
          <a:hlinkClick xmlns:r="http://schemas.openxmlformats.org/officeDocument/2006/relationships" r:id="rId5"/>
        </xdr:cNvPr>
        <xdr:cNvSpPr/>
      </xdr:nvSpPr>
      <xdr:spPr>
        <a:xfrm>
          <a:off x="57978" y="1500809"/>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MRT</a:t>
          </a:r>
        </a:p>
      </xdr:txBody>
    </xdr:sp>
    <xdr:clientData/>
  </xdr:twoCellAnchor>
  <xdr:twoCellAnchor>
    <xdr:from>
      <xdr:col>0</xdr:col>
      <xdr:colOff>58552</xdr:colOff>
      <xdr:row>10</xdr:row>
      <xdr:rowOff>56263</xdr:rowOff>
    </xdr:from>
    <xdr:to>
      <xdr:col>0</xdr:col>
      <xdr:colOff>538086</xdr:colOff>
      <xdr:row>11</xdr:row>
      <xdr:rowOff>135090</xdr:rowOff>
    </xdr:to>
    <xdr:sp macro="" textlink="">
      <xdr:nvSpPr>
        <xdr:cNvPr id="6" name="Rectangle 5">
          <a:hlinkClick xmlns:r="http://schemas.openxmlformats.org/officeDocument/2006/relationships" r:id="rId6"/>
        </xdr:cNvPr>
        <xdr:cNvSpPr/>
      </xdr:nvSpPr>
      <xdr:spPr>
        <a:xfrm>
          <a:off x="58552" y="1846963"/>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APR</a:t>
          </a:r>
        </a:p>
      </xdr:txBody>
    </xdr:sp>
    <xdr:clientData/>
  </xdr:twoCellAnchor>
  <xdr:twoCellAnchor>
    <xdr:from>
      <xdr:col>0</xdr:col>
      <xdr:colOff>66264</xdr:colOff>
      <xdr:row>11</xdr:row>
      <xdr:rowOff>190500</xdr:rowOff>
    </xdr:from>
    <xdr:to>
      <xdr:col>0</xdr:col>
      <xdr:colOff>545798</xdr:colOff>
      <xdr:row>13</xdr:row>
      <xdr:rowOff>78827</xdr:rowOff>
    </xdr:to>
    <xdr:sp macro="" textlink="">
      <xdr:nvSpPr>
        <xdr:cNvPr id="7" name="Rectangle 6">
          <a:hlinkClick xmlns:r="http://schemas.openxmlformats.org/officeDocument/2006/relationships" r:id="rId7"/>
        </xdr:cNvPr>
        <xdr:cNvSpPr/>
      </xdr:nvSpPr>
      <xdr:spPr>
        <a:xfrm>
          <a:off x="66264" y="2171700"/>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MEI</a:t>
          </a:r>
        </a:p>
      </xdr:txBody>
    </xdr:sp>
    <xdr:clientData/>
  </xdr:twoCellAnchor>
  <xdr:twoCellAnchor>
    <xdr:from>
      <xdr:col>0</xdr:col>
      <xdr:colOff>66838</xdr:colOff>
      <xdr:row>13</xdr:row>
      <xdr:rowOff>155654</xdr:rowOff>
    </xdr:from>
    <xdr:to>
      <xdr:col>0</xdr:col>
      <xdr:colOff>546372</xdr:colOff>
      <xdr:row>15</xdr:row>
      <xdr:rowOff>43981</xdr:rowOff>
    </xdr:to>
    <xdr:sp macro="" textlink="">
      <xdr:nvSpPr>
        <xdr:cNvPr id="8" name="Rectangle 7">
          <a:hlinkClick xmlns:r="http://schemas.openxmlformats.org/officeDocument/2006/relationships" r:id="rId8"/>
        </xdr:cNvPr>
        <xdr:cNvSpPr/>
      </xdr:nvSpPr>
      <xdr:spPr>
        <a:xfrm>
          <a:off x="66838" y="2517854"/>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JUN</a:t>
          </a:r>
        </a:p>
      </xdr:txBody>
    </xdr:sp>
    <xdr:clientData/>
  </xdr:twoCellAnchor>
  <xdr:twoCellAnchor>
    <xdr:from>
      <xdr:col>0</xdr:col>
      <xdr:colOff>66261</xdr:colOff>
      <xdr:row>15</xdr:row>
      <xdr:rowOff>115956</xdr:rowOff>
    </xdr:from>
    <xdr:to>
      <xdr:col>0</xdr:col>
      <xdr:colOff>545795</xdr:colOff>
      <xdr:row>17</xdr:row>
      <xdr:rowOff>4283</xdr:rowOff>
    </xdr:to>
    <xdr:sp macro="" textlink="">
      <xdr:nvSpPr>
        <xdr:cNvPr id="9" name="Rectangle 8">
          <a:hlinkClick xmlns:r="http://schemas.openxmlformats.org/officeDocument/2006/relationships" r:id="rId9"/>
        </xdr:cNvPr>
        <xdr:cNvSpPr/>
      </xdr:nvSpPr>
      <xdr:spPr>
        <a:xfrm>
          <a:off x="66261" y="2859156"/>
          <a:ext cx="479534" cy="2693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FFFF00"/>
              </a:solidFill>
            </a:rPr>
            <a:t>REKAP</a:t>
          </a:r>
        </a:p>
      </xdr:txBody>
    </xdr:sp>
    <xdr:clientData/>
  </xdr:twoCellAnchor>
  <xdr:twoCellAnchor editAs="oneCell">
    <xdr:from>
      <xdr:col>0</xdr:col>
      <xdr:colOff>76200</xdr:colOff>
      <xdr:row>1</xdr:row>
      <xdr:rowOff>0</xdr:rowOff>
    </xdr:from>
    <xdr:to>
      <xdr:col>0</xdr:col>
      <xdr:colOff>552450</xdr:colOff>
      <xdr:row>3</xdr:row>
      <xdr:rowOff>67251</xdr:rowOff>
    </xdr:to>
    <xdr:pic>
      <xdr:nvPicPr>
        <xdr:cNvPr id="10" name="Picture 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 y="190500"/>
          <a:ext cx="476250" cy="5244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224120</xdr:colOff>
      <xdr:row>0</xdr:row>
      <xdr:rowOff>44823</xdr:rowOff>
    </xdr:from>
    <xdr:to>
      <xdr:col>0</xdr:col>
      <xdr:colOff>1314733</xdr:colOff>
      <xdr:row>0</xdr:row>
      <xdr:rowOff>527690</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24120" y="44823"/>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130</xdr:col>
      <xdr:colOff>2286000</xdr:colOff>
      <xdr:row>0</xdr:row>
      <xdr:rowOff>67236</xdr:rowOff>
    </xdr:from>
    <xdr:to>
      <xdr:col>130</xdr:col>
      <xdr:colOff>3376613</xdr:colOff>
      <xdr:row>0</xdr:row>
      <xdr:rowOff>550103</xdr:rowOff>
    </xdr:to>
    <xdr:pic>
      <xdr:nvPicPr>
        <xdr:cNvPr id="7" name="Picture 6"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2799618" y="67236"/>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112057</xdr:colOff>
      <xdr:row>1</xdr:row>
      <xdr:rowOff>56025</xdr:rowOff>
    </xdr:from>
    <xdr:to>
      <xdr:col>0</xdr:col>
      <xdr:colOff>1423146</xdr:colOff>
      <xdr:row>1</xdr:row>
      <xdr:rowOff>358584</xdr:rowOff>
    </xdr:to>
    <xdr:sp macro="" textlink="">
      <xdr:nvSpPr>
        <xdr:cNvPr id="8" name="Rectangle 7">
          <a:hlinkClick xmlns:r="http://schemas.openxmlformats.org/officeDocument/2006/relationships" r:id="rId3"/>
        </xdr:cNvPr>
        <xdr:cNvSpPr/>
      </xdr:nvSpPr>
      <xdr:spPr>
        <a:xfrm>
          <a:off x="112057" y="638731"/>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AGAMA  </a:t>
          </a:r>
        </a:p>
      </xdr:txBody>
    </xdr:sp>
    <xdr:clientData/>
  </xdr:twoCellAnchor>
  <xdr:twoCellAnchor>
    <xdr:from>
      <xdr:col>0</xdr:col>
      <xdr:colOff>100852</xdr:colOff>
      <xdr:row>2</xdr:row>
      <xdr:rowOff>11205</xdr:rowOff>
    </xdr:from>
    <xdr:to>
      <xdr:col>0</xdr:col>
      <xdr:colOff>1411941</xdr:colOff>
      <xdr:row>2</xdr:row>
      <xdr:rowOff>313764</xdr:rowOff>
    </xdr:to>
    <xdr:sp macro="" textlink="">
      <xdr:nvSpPr>
        <xdr:cNvPr id="9" name="Rectangle 8">
          <a:hlinkClick xmlns:r="http://schemas.openxmlformats.org/officeDocument/2006/relationships" r:id="rId4"/>
        </xdr:cNvPr>
        <xdr:cNvSpPr/>
      </xdr:nvSpPr>
      <xdr:spPr>
        <a:xfrm>
          <a:off x="100852" y="986117"/>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112061</xdr:colOff>
      <xdr:row>2</xdr:row>
      <xdr:rowOff>358591</xdr:rowOff>
    </xdr:from>
    <xdr:to>
      <xdr:col>0</xdr:col>
      <xdr:colOff>1423150</xdr:colOff>
      <xdr:row>3</xdr:row>
      <xdr:rowOff>235327</xdr:rowOff>
    </xdr:to>
    <xdr:sp macro="" textlink="">
      <xdr:nvSpPr>
        <xdr:cNvPr id="10" name="Rectangle 9">
          <a:hlinkClick xmlns:r="http://schemas.openxmlformats.org/officeDocument/2006/relationships" r:id="rId5"/>
        </xdr:cNvPr>
        <xdr:cNvSpPr/>
      </xdr:nvSpPr>
      <xdr:spPr>
        <a:xfrm>
          <a:off x="112061" y="1333503"/>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112060</xdr:colOff>
      <xdr:row>3</xdr:row>
      <xdr:rowOff>280150</xdr:rowOff>
    </xdr:from>
    <xdr:to>
      <xdr:col>0</xdr:col>
      <xdr:colOff>1423149</xdr:colOff>
      <xdr:row>3</xdr:row>
      <xdr:rowOff>582709</xdr:rowOff>
    </xdr:to>
    <xdr:sp macro="" textlink="">
      <xdr:nvSpPr>
        <xdr:cNvPr id="11" name="Rectangle 10">
          <a:hlinkClick xmlns:r="http://schemas.openxmlformats.org/officeDocument/2006/relationships" r:id="rId6"/>
        </xdr:cNvPr>
        <xdr:cNvSpPr/>
      </xdr:nvSpPr>
      <xdr:spPr>
        <a:xfrm>
          <a:off x="112060" y="168088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100854</xdr:colOff>
      <xdr:row>3</xdr:row>
      <xdr:rowOff>638735</xdr:rowOff>
    </xdr:from>
    <xdr:to>
      <xdr:col>0</xdr:col>
      <xdr:colOff>1411943</xdr:colOff>
      <xdr:row>4</xdr:row>
      <xdr:rowOff>212911</xdr:rowOff>
    </xdr:to>
    <xdr:sp macro="" textlink="">
      <xdr:nvSpPr>
        <xdr:cNvPr id="12" name="Rectangle 11">
          <a:hlinkClick xmlns:r="http://schemas.openxmlformats.org/officeDocument/2006/relationships" r:id="rId7"/>
        </xdr:cNvPr>
        <xdr:cNvSpPr/>
      </xdr:nvSpPr>
      <xdr:spPr>
        <a:xfrm>
          <a:off x="100854" y="203947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100854</xdr:colOff>
      <xdr:row>5</xdr:row>
      <xdr:rowOff>44824</xdr:rowOff>
    </xdr:from>
    <xdr:to>
      <xdr:col>0</xdr:col>
      <xdr:colOff>1411943</xdr:colOff>
      <xdr:row>5</xdr:row>
      <xdr:rowOff>347383</xdr:rowOff>
    </xdr:to>
    <xdr:sp macro="" textlink="">
      <xdr:nvSpPr>
        <xdr:cNvPr id="13" name="Rectangle 12">
          <a:hlinkClick xmlns:r="http://schemas.openxmlformats.org/officeDocument/2006/relationships" r:id="rId8"/>
        </xdr:cNvPr>
        <xdr:cNvSpPr/>
      </xdr:nvSpPr>
      <xdr:spPr>
        <a:xfrm>
          <a:off x="100854" y="2398059"/>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112060</xdr:colOff>
      <xdr:row>5</xdr:row>
      <xdr:rowOff>392210</xdr:rowOff>
    </xdr:from>
    <xdr:to>
      <xdr:col>0</xdr:col>
      <xdr:colOff>1423149</xdr:colOff>
      <xdr:row>5</xdr:row>
      <xdr:rowOff>694769</xdr:rowOff>
    </xdr:to>
    <xdr:sp macro="" textlink="">
      <xdr:nvSpPr>
        <xdr:cNvPr id="14" name="Rectangle 13">
          <a:hlinkClick xmlns:r="http://schemas.openxmlformats.org/officeDocument/2006/relationships" r:id="rId9"/>
        </xdr:cNvPr>
        <xdr:cNvSpPr/>
      </xdr:nvSpPr>
      <xdr:spPr>
        <a:xfrm>
          <a:off x="112060" y="2745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112059</xdr:colOff>
      <xdr:row>5</xdr:row>
      <xdr:rowOff>739588</xdr:rowOff>
    </xdr:from>
    <xdr:to>
      <xdr:col>0</xdr:col>
      <xdr:colOff>1423148</xdr:colOff>
      <xdr:row>6</xdr:row>
      <xdr:rowOff>246529</xdr:rowOff>
    </xdr:to>
    <xdr:sp macro="" textlink="">
      <xdr:nvSpPr>
        <xdr:cNvPr id="15" name="Rectangle 14">
          <a:hlinkClick xmlns:r="http://schemas.openxmlformats.org/officeDocument/2006/relationships" r:id="rId10"/>
        </xdr:cNvPr>
        <xdr:cNvSpPr/>
      </xdr:nvSpPr>
      <xdr:spPr>
        <a:xfrm>
          <a:off x="112059" y="3092823"/>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112059</xdr:colOff>
      <xdr:row>6</xdr:row>
      <xdr:rowOff>291352</xdr:rowOff>
    </xdr:from>
    <xdr:to>
      <xdr:col>0</xdr:col>
      <xdr:colOff>1423148</xdr:colOff>
      <xdr:row>6</xdr:row>
      <xdr:rowOff>593911</xdr:rowOff>
    </xdr:to>
    <xdr:sp macro="" textlink="">
      <xdr:nvSpPr>
        <xdr:cNvPr id="16" name="Rectangle 15">
          <a:hlinkClick xmlns:r="http://schemas.openxmlformats.org/officeDocument/2006/relationships" r:id="rId11"/>
        </xdr:cNvPr>
        <xdr:cNvSpPr/>
      </xdr:nvSpPr>
      <xdr:spPr>
        <a:xfrm>
          <a:off x="112059" y="344020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112059</xdr:colOff>
      <xdr:row>6</xdr:row>
      <xdr:rowOff>616324</xdr:rowOff>
    </xdr:from>
    <xdr:to>
      <xdr:col>0</xdr:col>
      <xdr:colOff>1423148</xdr:colOff>
      <xdr:row>7</xdr:row>
      <xdr:rowOff>123265</xdr:rowOff>
    </xdr:to>
    <xdr:sp macro="" textlink="">
      <xdr:nvSpPr>
        <xdr:cNvPr id="17" name="Rectangle 16">
          <a:hlinkClick xmlns:r="http://schemas.openxmlformats.org/officeDocument/2006/relationships" r:id="rId12"/>
        </xdr:cNvPr>
        <xdr:cNvSpPr/>
      </xdr:nvSpPr>
      <xdr:spPr>
        <a:xfrm>
          <a:off x="112059" y="3765177"/>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100854</xdr:colOff>
      <xdr:row>7</xdr:row>
      <xdr:rowOff>168090</xdr:rowOff>
    </xdr:from>
    <xdr:to>
      <xdr:col>0</xdr:col>
      <xdr:colOff>1411943</xdr:colOff>
      <xdr:row>7</xdr:row>
      <xdr:rowOff>470649</xdr:rowOff>
    </xdr:to>
    <xdr:sp macro="" textlink="">
      <xdr:nvSpPr>
        <xdr:cNvPr id="18" name="Rectangle 17">
          <a:hlinkClick xmlns:r="http://schemas.openxmlformats.org/officeDocument/2006/relationships" r:id="rId13"/>
        </xdr:cNvPr>
        <xdr:cNvSpPr/>
      </xdr:nvSpPr>
      <xdr:spPr>
        <a:xfrm>
          <a:off x="100854" y="4112561"/>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235323</xdr:colOff>
      <xdr:row>0</xdr:row>
      <xdr:rowOff>56029</xdr:rowOff>
    </xdr:from>
    <xdr:to>
      <xdr:col>0</xdr:col>
      <xdr:colOff>1325936</xdr:colOff>
      <xdr:row>0</xdr:row>
      <xdr:rowOff>538896</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5323" y="56029"/>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100853</xdr:colOff>
      <xdr:row>1</xdr:row>
      <xdr:rowOff>0</xdr:rowOff>
    </xdr:from>
    <xdr:to>
      <xdr:col>0</xdr:col>
      <xdr:colOff>1411942</xdr:colOff>
      <xdr:row>2</xdr:row>
      <xdr:rowOff>11206</xdr:rowOff>
    </xdr:to>
    <xdr:sp macro="" textlink="">
      <xdr:nvSpPr>
        <xdr:cNvPr id="6" name="Rectangle 5">
          <a:hlinkClick xmlns:r="http://schemas.openxmlformats.org/officeDocument/2006/relationships" r:id="rId3"/>
        </xdr:cNvPr>
        <xdr:cNvSpPr/>
      </xdr:nvSpPr>
      <xdr:spPr>
        <a:xfrm>
          <a:off x="100853"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89648</xdr:colOff>
      <xdr:row>2</xdr:row>
      <xdr:rowOff>56033</xdr:rowOff>
    </xdr:from>
    <xdr:to>
      <xdr:col>0</xdr:col>
      <xdr:colOff>1400737</xdr:colOff>
      <xdr:row>2</xdr:row>
      <xdr:rowOff>358592</xdr:rowOff>
    </xdr:to>
    <xdr:sp macro="" textlink="">
      <xdr:nvSpPr>
        <xdr:cNvPr id="7" name="Rectangle 6">
          <a:hlinkClick xmlns:r="http://schemas.openxmlformats.org/officeDocument/2006/relationships" r:id="rId4"/>
        </xdr:cNvPr>
        <xdr:cNvSpPr/>
      </xdr:nvSpPr>
      <xdr:spPr>
        <a:xfrm>
          <a:off x="89648"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PKN  </a:t>
          </a:r>
        </a:p>
      </xdr:txBody>
    </xdr:sp>
    <xdr:clientData/>
  </xdr:twoCellAnchor>
  <xdr:twoCellAnchor>
    <xdr:from>
      <xdr:col>0</xdr:col>
      <xdr:colOff>100857</xdr:colOff>
      <xdr:row>2</xdr:row>
      <xdr:rowOff>403419</xdr:rowOff>
    </xdr:from>
    <xdr:to>
      <xdr:col>0</xdr:col>
      <xdr:colOff>1411946</xdr:colOff>
      <xdr:row>2</xdr:row>
      <xdr:rowOff>705978</xdr:rowOff>
    </xdr:to>
    <xdr:sp macro="" textlink="">
      <xdr:nvSpPr>
        <xdr:cNvPr id="8" name="Rectangle 7">
          <a:hlinkClick xmlns:r="http://schemas.openxmlformats.org/officeDocument/2006/relationships" r:id="rId5"/>
        </xdr:cNvPr>
        <xdr:cNvSpPr/>
      </xdr:nvSpPr>
      <xdr:spPr>
        <a:xfrm>
          <a:off x="100857"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100856</xdr:colOff>
      <xdr:row>2</xdr:row>
      <xdr:rowOff>750801</xdr:rowOff>
    </xdr:from>
    <xdr:to>
      <xdr:col>0</xdr:col>
      <xdr:colOff>1411945</xdr:colOff>
      <xdr:row>2</xdr:row>
      <xdr:rowOff>1053360</xdr:rowOff>
    </xdr:to>
    <xdr:sp macro="" textlink="">
      <xdr:nvSpPr>
        <xdr:cNvPr id="9" name="Rectangle 8">
          <a:hlinkClick xmlns:r="http://schemas.openxmlformats.org/officeDocument/2006/relationships" r:id="rId6"/>
        </xdr:cNvPr>
        <xdr:cNvSpPr/>
      </xdr:nvSpPr>
      <xdr:spPr>
        <a:xfrm>
          <a:off x="100856"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89650</xdr:colOff>
      <xdr:row>2</xdr:row>
      <xdr:rowOff>1109386</xdr:rowOff>
    </xdr:from>
    <xdr:to>
      <xdr:col>0</xdr:col>
      <xdr:colOff>1400739</xdr:colOff>
      <xdr:row>3</xdr:row>
      <xdr:rowOff>212916</xdr:rowOff>
    </xdr:to>
    <xdr:sp macro="" textlink="">
      <xdr:nvSpPr>
        <xdr:cNvPr id="10" name="Rectangle 9">
          <a:hlinkClick xmlns:r="http://schemas.openxmlformats.org/officeDocument/2006/relationships" r:id="rId7"/>
        </xdr:cNvPr>
        <xdr:cNvSpPr/>
      </xdr:nvSpPr>
      <xdr:spPr>
        <a:xfrm>
          <a:off x="89650"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89650</xdr:colOff>
      <xdr:row>3</xdr:row>
      <xdr:rowOff>268946</xdr:rowOff>
    </xdr:from>
    <xdr:to>
      <xdr:col>0</xdr:col>
      <xdr:colOff>1400739</xdr:colOff>
      <xdr:row>4</xdr:row>
      <xdr:rowOff>246534</xdr:rowOff>
    </xdr:to>
    <xdr:sp macro="" textlink="">
      <xdr:nvSpPr>
        <xdr:cNvPr id="11" name="Rectangle 10">
          <a:hlinkClick xmlns:r="http://schemas.openxmlformats.org/officeDocument/2006/relationships" r:id="rId8"/>
        </xdr:cNvPr>
        <xdr:cNvSpPr/>
      </xdr:nvSpPr>
      <xdr:spPr>
        <a:xfrm>
          <a:off x="89650"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100856</xdr:colOff>
      <xdr:row>4</xdr:row>
      <xdr:rowOff>291361</xdr:rowOff>
    </xdr:from>
    <xdr:to>
      <xdr:col>0</xdr:col>
      <xdr:colOff>1411945</xdr:colOff>
      <xdr:row>4</xdr:row>
      <xdr:rowOff>593920</xdr:rowOff>
    </xdr:to>
    <xdr:sp macro="" textlink="">
      <xdr:nvSpPr>
        <xdr:cNvPr id="12" name="Rectangle 11">
          <a:hlinkClick xmlns:r="http://schemas.openxmlformats.org/officeDocument/2006/relationships" r:id="rId9"/>
        </xdr:cNvPr>
        <xdr:cNvSpPr/>
      </xdr:nvSpPr>
      <xdr:spPr>
        <a:xfrm>
          <a:off x="100856"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100855</xdr:colOff>
      <xdr:row>4</xdr:row>
      <xdr:rowOff>638739</xdr:rowOff>
    </xdr:from>
    <xdr:to>
      <xdr:col>0</xdr:col>
      <xdr:colOff>1411944</xdr:colOff>
      <xdr:row>5</xdr:row>
      <xdr:rowOff>190504</xdr:rowOff>
    </xdr:to>
    <xdr:sp macro="" textlink="">
      <xdr:nvSpPr>
        <xdr:cNvPr id="13" name="Rectangle 12">
          <a:hlinkClick xmlns:r="http://schemas.openxmlformats.org/officeDocument/2006/relationships" r:id="rId10"/>
        </xdr:cNvPr>
        <xdr:cNvSpPr/>
      </xdr:nvSpPr>
      <xdr:spPr>
        <a:xfrm>
          <a:off x="100855"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100855</xdr:colOff>
      <xdr:row>5</xdr:row>
      <xdr:rowOff>235327</xdr:rowOff>
    </xdr:from>
    <xdr:to>
      <xdr:col>0</xdr:col>
      <xdr:colOff>1411944</xdr:colOff>
      <xdr:row>5</xdr:row>
      <xdr:rowOff>537886</xdr:rowOff>
    </xdr:to>
    <xdr:sp macro="" textlink="">
      <xdr:nvSpPr>
        <xdr:cNvPr id="14" name="Rectangle 13">
          <a:hlinkClick xmlns:r="http://schemas.openxmlformats.org/officeDocument/2006/relationships" r:id="rId11"/>
        </xdr:cNvPr>
        <xdr:cNvSpPr/>
      </xdr:nvSpPr>
      <xdr:spPr>
        <a:xfrm>
          <a:off x="100855"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100855</xdr:colOff>
      <xdr:row>5</xdr:row>
      <xdr:rowOff>560299</xdr:rowOff>
    </xdr:from>
    <xdr:to>
      <xdr:col>0</xdr:col>
      <xdr:colOff>1411944</xdr:colOff>
      <xdr:row>6</xdr:row>
      <xdr:rowOff>112064</xdr:rowOff>
    </xdr:to>
    <xdr:sp macro="" textlink="">
      <xdr:nvSpPr>
        <xdr:cNvPr id="15" name="Rectangle 14">
          <a:hlinkClick xmlns:r="http://schemas.openxmlformats.org/officeDocument/2006/relationships" r:id="rId12"/>
        </xdr:cNvPr>
        <xdr:cNvSpPr/>
      </xdr:nvSpPr>
      <xdr:spPr>
        <a:xfrm>
          <a:off x="100855"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89650</xdr:colOff>
      <xdr:row>6</xdr:row>
      <xdr:rowOff>156889</xdr:rowOff>
    </xdr:from>
    <xdr:to>
      <xdr:col>0</xdr:col>
      <xdr:colOff>1400739</xdr:colOff>
      <xdr:row>6</xdr:row>
      <xdr:rowOff>459448</xdr:rowOff>
    </xdr:to>
    <xdr:sp macro="" textlink="">
      <xdr:nvSpPr>
        <xdr:cNvPr id="16" name="Rectangle 15">
          <a:hlinkClick xmlns:r="http://schemas.openxmlformats.org/officeDocument/2006/relationships" r:id="rId13"/>
        </xdr:cNvPr>
        <xdr:cNvSpPr/>
      </xdr:nvSpPr>
      <xdr:spPr>
        <a:xfrm>
          <a:off x="89650"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201706</xdr:colOff>
      <xdr:row>0</xdr:row>
      <xdr:rowOff>56029</xdr:rowOff>
    </xdr:from>
    <xdr:to>
      <xdr:col>0</xdr:col>
      <xdr:colOff>1292319</xdr:colOff>
      <xdr:row>0</xdr:row>
      <xdr:rowOff>538896</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01706" y="56029"/>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0</xdr:rowOff>
    </xdr:from>
    <xdr:to>
      <xdr:col>0</xdr:col>
      <xdr:colOff>1434354</xdr:colOff>
      <xdr:row>2</xdr:row>
      <xdr:rowOff>11206</xdr:rowOff>
    </xdr:to>
    <xdr:sp macro="" textlink="">
      <xdr:nvSpPr>
        <xdr:cNvPr id="6" name="Rectangle 5">
          <a:hlinkClick xmlns:r="http://schemas.openxmlformats.org/officeDocument/2006/relationships" r:id="rId3"/>
        </xdr:cNvPr>
        <xdr:cNvSpPr/>
      </xdr:nvSpPr>
      <xdr:spPr>
        <a:xfrm>
          <a:off x="123265"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56033</xdr:rowOff>
    </xdr:from>
    <xdr:to>
      <xdr:col>0</xdr:col>
      <xdr:colOff>1423149</xdr:colOff>
      <xdr:row>2</xdr:row>
      <xdr:rowOff>358592</xdr:rowOff>
    </xdr:to>
    <xdr:sp macro="" textlink="">
      <xdr:nvSpPr>
        <xdr:cNvPr id="7" name="Rectangle 6">
          <a:hlinkClick xmlns:r="http://schemas.openxmlformats.org/officeDocument/2006/relationships" r:id="rId4"/>
        </xdr:cNvPr>
        <xdr:cNvSpPr/>
      </xdr:nvSpPr>
      <xdr:spPr>
        <a:xfrm>
          <a:off x="112060"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403419</xdr:rowOff>
    </xdr:from>
    <xdr:to>
      <xdr:col>0</xdr:col>
      <xdr:colOff>1434358</xdr:colOff>
      <xdr:row>2</xdr:row>
      <xdr:rowOff>705978</xdr:rowOff>
    </xdr:to>
    <xdr:sp macro="" textlink="">
      <xdr:nvSpPr>
        <xdr:cNvPr id="8" name="Rectangle 7">
          <a:hlinkClick xmlns:r="http://schemas.openxmlformats.org/officeDocument/2006/relationships" r:id="rId5"/>
        </xdr:cNvPr>
        <xdr:cNvSpPr/>
      </xdr:nvSpPr>
      <xdr:spPr>
        <a:xfrm>
          <a:off x="123269"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B.IND  </a:t>
          </a:r>
        </a:p>
      </xdr:txBody>
    </xdr:sp>
    <xdr:clientData/>
  </xdr:twoCellAnchor>
  <xdr:twoCellAnchor>
    <xdr:from>
      <xdr:col>0</xdr:col>
      <xdr:colOff>123268</xdr:colOff>
      <xdr:row>2</xdr:row>
      <xdr:rowOff>750801</xdr:rowOff>
    </xdr:from>
    <xdr:to>
      <xdr:col>0</xdr:col>
      <xdr:colOff>1434357</xdr:colOff>
      <xdr:row>2</xdr:row>
      <xdr:rowOff>1053360</xdr:rowOff>
    </xdr:to>
    <xdr:sp macro="" textlink="">
      <xdr:nvSpPr>
        <xdr:cNvPr id="9" name="Rectangle 8">
          <a:hlinkClick xmlns:r="http://schemas.openxmlformats.org/officeDocument/2006/relationships" r:id="rId6"/>
        </xdr:cNvPr>
        <xdr:cNvSpPr/>
      </xdr:nvSpPr>
      <xdr:spPr>
        <a:xfrm>
          <a:off x="123268"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1109386</xdr:rowOff>
    </xdr:from>
    <xdr:to>
      <xdr:col>0</xdr:col>
      <xdr:colOff>1423151</xdr:colOff>
      <xdr:row>3</xdr:row>
      <xdr:rowOff>212916</xdr:rowOff>
    </xdr:to>
    <xdr:sp macro="" textlink="">
      <xdr:nvSpPr>
        <xdr:cNvPr id="10" name="Rectangle 9">
          <a:hlinkClick xmlns:r="http://schemas.openxmlformats.org/officeDocument/2006/relationships" r:id="rId7"/>
        </xdr:cNvPr>
        <xdr:cNvSpPr/>
      </xdr:nvSpPr>
      <xdr:spPr>
        <a:xfrm>
          <a:off x="112062"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268946</xdr:rowOff>
    </xdr:from>
    <xdr:to>
      <xdr:col>0</xdr:col>
      <xdr:colOff>1423151</xdr:colOff>
      <xdr:row>4</xdr:row>
      <xdr:rowOff>246534</xdr:rowOff>
    </xdr:to>
    <xdr:sp macro="" textlink="">
      <xdr:nvSpPr>
        <xdr:cNvPr id="11" name="Rectangle 10">
          <a:hlinkClick xmlns:r="http://schemas.openxmlformats.org/officeDocument/2006/relationships" r:id="rId8"/>
        </xdr:cNvPr>
        <xdr:cNvSpPr/>
      </xdr:nvSpPr>
      <xdr:spPr>
        <a:xfrm>
          <a:off x="112062"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291361</xdr:rowOff>
    </xdr:from>
    <xdr:to>
      <xdr:col>0</xdr:col>
      <xdr:colOff>1434357</xdr:colOff>
      <xdr:row>4</xdr:row>
      <xdr:rowOff>593920</xdr:rowOff>
    </xdr:to>
    <xdr:sp macro="" textlink="">
      <xdr:nvSpPr>
        <xdr:cNvPr id="12" name="Rectangle 11">
          <a:hlinkClick xmlns:r="http://schemas.openxmlformats.org/officeDocument/2006/relationships" r:id="rId9"/>
        </xdr:cNvPr>
        <xdr:cNvSpPr/>
      </xdr:nvSpPr>
      <xdr:spPr>
        <a:xfrm>
          <a:off x="123268"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4</xdr:row>
      <xdr:rowOff>638739</xdr:rowOff>
    </xdr:from>
    <xdr:to>
      <xdr:col>0</xdr:col>
      <xdr:colOff>1434356</xdr:colOff>
      <xdr:row>5</xdr:row>
      <xdr:rowOff>280151</xdr:rowOff>
    </xdr:to>
    <xdr:sp macro="" textlink="">
      <xdr:nvSpPr>
        <xdr:cNvPr id="13" name="Rectangle 12">
          <a:hlinkClick xmlns:r="http://schemas.openxmlformats.org/officeDocument/2006/relationships" r:id="rId10"/>
        </xdr:cNvPr>
        <xdr:cNvSpPr/>
      </xdr:nvSpPr>
      <xdr:spPr>
        <a:xfrm>
          <a:off x="123267"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324974</xdr:rowOff>
    </xdr:from>
    <xdr:to>
      <xdr:col>0</xdr:col>
      <xdr:colOff>1434356</xdr:colOff>
      <xdr:row>5</xdr:row>
      <xdr:rowOff>627533</xdr:rowOff>
    </xdr:to>
    <xdr:sp macro="" textlink="">
      <xdr:nvSpPr>
        <xdr:cNvPr id="14" name="Rectangle 13">
          <a:hlinkClick xmlns:r="http://schemas.openxmlformats.org/officeDocument/2006/relationships" r:id="rId11"/>
        </xdr:cNvPr>
        <xdr:cNvSpPr/>
      </xdr:nvSpPr>
      <xdr:spPr>
        <a:xfrm>
          <a:off x="123267"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649946</xdr:rowOff>
    </xdr:from>
    <xdr:to>
      <xdr:col>0</xdr:col>
      <xdr:colOff>1434356</xdr:colOff>
      <xdr:row>6</xdr:row>
      <xdr:rowOff>291358</xdr:rowOff>
    </xdr:to>
    <xdr:sp macro="" textlink="">
      <xdr:nvSpPr>
        <xdr:cNvPr id="15" name="Rectangle 14">
          <a:hlinkClick xmlns:r="http://schemas.openxmlformats.org/officeDocument/2006/relationships" r:id="rId12"/>
        </xdr:cNvPr>
        <xdr:cNvSpPr/>
      </xdr:nvSpPr>
      <xdr:spPr>
        <a:xfrm>
          <a:off x="123267"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336183</xdr:rowOff>
    </xdr:from>
    <xdr:to>
      <xdr:col>0</xdr:col>
      <xdr:colOff>1423151</xdr:colOff>
      <xdr:row>6</xdr:row>
      <xdr:rowOff>638742</xdr:rowOff>
    </xdr:to>
    <xdr:sp macro="" textlink="">
      <xdr:nvSpPr>
        <xdr:cNvPr id="16" name="Rectangle 15">
          <a:hlinkClick xmlns:r="http://schemas.openxmlformats.org/officeDocument/2006/relationships" r:id="rId13"/>
        </xdr:cNvPr>
        <xdr:cNvSpPr/>
      </xdr:nvSpPr>
      <xdr:spPr>
        <a:xfrm>
          <a:off x="112062"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212912</xdr:colOff>
      <xdr:row>0</xdr:row>
      <xdr:rowOff>78442</xdr:rowOff>
    </xdr:from>
    <xdr:to>
      <xdr:col>0</xdr:col>
      <xdr:colOff>1303525</xdr:colOff>
      <xdr:row>0</xdr:row>
      <xdr:rowOff>561309</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2" y="78442"/>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22412</xdr:rowOff>
    </xdr:from>
    <xdr:to>
      <xdr:col>0</xdr:col>
      <xdr:colOff>1423148</xdr:colOff>
      <xdr:row>2</xdr:row>
      <xdr:rowOff>33618</xdr:rowOff>
    </xdr:to>
    <xdr:sp macro="" textlink="">
      <xdr:nvSpPr>
        <xdr:cNvPr id="6" name="Rectangle 5">
          <a:hlinkClick xmlns:r="http://schemas.openxmlformats.org/officeDocument/2006/relationships" r:id="rId3"/>
        </xdr:cNvPr>
        <xdr:cNvSpPr/>
      </xdr:nvSpPr>
      <xdr:spPr>
        <a:xfrm>
          <a:off x="112059" y="60511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78445</xdr:rowOff>
    </xdr:from>
    <xdr:to>
      <xdr:col>0</xdr:col>
      <xdr:colOff>1411943</xdr:colOff>
      <xdr:row>2</xdr:row>
      <xdr:rowOff>381004</xdr:rowOff>
    </xdr:to>
    <xdr:sp macro="" textlink="">
      <xdr:nvSpPr>
        <xdr:cNvPr id="7" name="Rectangle 6">
          <a:hlinkClick xmlns:r="http://schemas.openxmlformats.org/officeDocument/2006/relationships" r:id="rId4"/>
        </xdr:cNvPr>
        <xdr:cNvSpPr/>
      </xdr:nvSpPr>
      <xdr:spPr>
        <a:xfrm>
          <a:off x="100854" y="95250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425831</xdr:rowOff>
    </xdr:from>
    <xdr:to>
      <xdr:col>0</xdr:col>
      <xdr:colOff>1423152</xdr:colOff>
      <xdr:row>2</xdr:row>
      <xdr:rowOff>728390</xdr:rowOff>
    </xdr:to>
    <xdr:sp macro="" textlink="">
      <xdr:nvSpPr>
        <xdr:cNvPr id="8" name="Rectangle 7">
          <a:hlinkClick xmlns:r="http://schemas.openxmlformats.org/officeDocument/2006/relationships" r:id="rId5"/>
        </xdr:cNvPr>
        <xdr:cNvSpPr/>
      </xdr:nvSpPr>
      <xdr:spPr>
        <a:xfrm>
          <a:off x="112063" y="129989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773213</xdr:rowOff>
    </xdr:from>
    <xdr:to>
      <xdr:col>0</xdr:col>
      <xdr:colOff>1423151</xdr:colOff>
      <xdr:row>2</xdr:row>
      <xdr:rowOff>1075772</xdr:rowOff>
    </xdr:to>
    <xdr:sp macro="" textlink="">
      <xdr:nvSpPr>
        <xdr:cNvPr id="9" name="Rectangle 8">
          <a:hlinkClick xmlns:r="http://schemas.openxmlformats.org/officeDocument/2006/relationships" r:id="rId6"/>
        </xdr:cNvPr>
        <xdr:cNvSpPr/>
      </xdr:nvSpPr>
      <xdr:spPr>
        <a:xfrm>
          <a:off x="112062" y="164727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MTK  </a:t>
          </a:r>
        </a:p>
      </xdr:txBody>
    </xdr:sp>
    <xdr:clientData/>
  </xdr:twoCellAnchor>
  <xdr:twoCellAnchor>
    <xdr:from>
      <xdr:col>0</xdr:col>
      <xdr:colOff>100856</xdr:colOff>
      <xdr:row>2</xdr:row>
      <xdr:rowOff>1131798</xdr:rowOff>
    </xdr:from>
    <xdr:to>
      <xdr:col>0</xdr:col>
      <xdr:colOff>1411945</xdr:colOff>
      <xdr:row>3</xdr:row>
      <xdr:rowOff>235328</xdr:rowOff>
    </xdr:to>
    <xdr:sp macro="" textlink="">
      <xdr:nvSpPr>
        <xdr:cNvPr id="10" name="Rectangle 9">
          <a:hlinkClick xmlns:r="http://schemas.openxmlformats.org/officeDocument/2006/relationships" r:id="rId7"/>
        </xdr:cNvPr>
        <xdr:cNvSpPr/>
      </xdr:nvSpPr>
      <xdr:spPr>
        <a:xfrm>
          <a:off x="100856" y="2005857"/>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291358</xdr:rowOff>
    </xdr:from>
    <xdr:to>
      <xdr:col>0</xdr:col>
      <xdr:colOff>1411945</xdr:colOff>
      <xdr:row>4</xdr:row>
      <xdr:rowOff>268946</xdr:rowOff>
    </xdr:to>
    <xdr:sp macro="" textlink="">
      <xdr:nvSpPr>
        <xdr:cNvPr id="11" name="Rectangle 10">
          <a:hlinkClick xmlns:r="http://schemas.openxmlformats.org/officeDocument/2006/relationships" r:id="rId8"/>
        </xdr:cNvPr>
        <xdr:cNvSpPr/>
      </xdr:nvSpPr>
      <xdr:spPr>
        <a:xfrm>
          <a:off x="100856" y="236444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313773</xdr:rowOff>
    </xdr:from>
    <xdr:to>
      <xdr:col>0</xdr:col>
      <xdr:colOff>1423151</xdr:colOff>
      <xdr:row>5</xdr:row>
      <xdr:rowOff>190509</xdr:rowOff>
    </xdr:to>
    <xdr:sp macro="" textlink="">
      <xdr:nvSpPr>
        <xdr:cNvPr id="12" name="Rectangle 11">
          <a:hlinkClick xmlns:r="http://schemas.openxmlformats.org/officeDocument/2006/relationships" r:id="rId9"/>
        </xdr:cNvPr>
        <xdr:cNvSpPr/>
      </xdr:nvSpPr>
      <xdr:spPr>
        <a:xfrm>
          <a:off x="112062" y="271183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5</xdr:row>
      <xdr:rowOff>235328</xdr:rowOff>
    </xdr:from>
    <xdr:to>
      <xdr:col>0</xdr:col>
      <xdr:colOff>1423150</xdr:colOff>
      <xdr:row>6</xdr:row>
      <xdr:rowOff>112063</xdr:rowOff>
    </xdr:to>
    <xdr:sp macro="" textlink="">
      <xdr:nvSpPr>
        <xdr:cNvPr id="13" name="Rectangle 12">
          <a:hlinkClick xmlns:r="http://schemas.openxmlformats.org/officeDocument/2006/relationships" r:id="rId10"/>
        </xdr:cNvPr>
        <xdr:cNvSpPr/>
      </xdr:nvSpPr>
      <xdr:spPr>
        <a:xfrm>
          <a:off x="112061" y="305921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6</xdr:row>
      <xdr:rowOff>156886</xdr:rowOff>
    </xdr:from>
    <xdr:to>
      <xdr:col>0</xdr:col>
      <xdr:colOff>1423150</xdr:colOff>
      <xdr:row>7</xdr:row>
      <xdr:rowOff>33622</xdr:rowOff>
    </xdr:to>
    <xdr:sp macro="" textlink="">
      <xdr:nvSpPr>
        <xdr:cNvPr id="14" name="Rectangle 13">
          <a:hlinkClick xmlns:r="http://schemas.openxmlformats.org/officeDocument/2006/relationships" r:id="rId11"/>
        </xdr:cNvPr>
        <xdr:cNvSpPr/>
      </xdr:nvSpPr>
      <xdr:spPr>
        <a:xfrm>
          <a:off x="112061" y="34065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7</xdr:row>
      <xdr:rowOff>56035</xdr:rowOff>
    </xdr:from>
    <xdr:to>
      <xdr:col>0</xdr:col>
      <xdr:colOff>1423150</xdr:colOff>
      <xdr:row>7</xdr:row>
      <xdr:rowOff>358594</xdr:rowOff>
    </xdr:to>
    <xdr:sp macro="" textlink="">
      <xdr:nvSpPr>
        <xdr:cNvPr id="15" name="Rectangle 14">
          <a:hlinkClick xmlns:r="http://schemas.openxmlformats.org/officeDocument/2006/relationships" r:id="rId12"/>
        </xdr:cNvPr>
        <xdr:cNvSpPr/>
      </xdr:nvSpPr>
      <xdr:spPr>
        <a:xfrm>
          <a:off x="112061" y="373156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7</xdr:row>
      <xdr:rowOff>403419</xdr:rowOff>
    </xdr:from>
    <xdr:to>
      <xdr:col>0</xdr:col>
      <xdr:colOff>1411945</xdr:colOff>
      <xdr:row>8</xdr:row>
      <xdr:rowOff>280154</xdr:rowOff>
    </xdr:to>
    <xdr:sp macro="" textlink="">
      <xdr:nvSpPr>
        <xdr:cNvPr id="16" name="Rectangle 15">
          <a:hlinkClick xmlns:r="http://schemas.openxmlformats.org/officeDocument/2006/relationships" r:id="rId13"/>
        </xdr:cNvPr>
        <xdr:cNvSpPr/>
      </xdr:nvSpPr>
      <xdr:spPr>
        <a:xfrm>
          <a:off x="100856" y="407894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235322</xdr:colOff>
      <xdr:row>0</xdr:row>
      <xdr:rowOff>56030</xdr:rowOff>
    </xdr:from>
    <xdr:to>
      <xdr:col>0</xdr:col>
      <xdr:colOff>1325935</xdr:colOff>
      <xdr:row>0</xdr:row>
      <xdr:rowOff>538897</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5322" y="5603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0</xdr:rowOff>
    </xdr:from>
    <xdr:to>
      <xdr:col>0</xdr:col>
      <xdr:colOff>1434354</xdr:colOff>
      <xdr:row>2</xdr:row>
      <xdr:rowOff>11206</xdr:rowOff>
    </xdr:to>
    <xdr:sp macro="" textlink="">
      <xdr:nvSpPr>
        <xdr:cNvPr id="6" name="Rectangle 5">
          <a:hlinkClick xmlns:r="http://schemas.openxmlformats.org/officeDocument/2006/relationships" r:id="rId3"/>
        </xdr:cNvPr>
        <xdr:cNvSpPr/>
      </xdr:nvSpPr>
      <xdr:spPr>
        <a:xfrm>
          <a:off x="123265"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56033</xdr:rowOff>
    </xdr:from>
    <xdr:to>
      <xdr:col>0</xdr:col>
      <xdr:colOff>1423149</xdr:colOff>
      <xdr:row>2</xdr:row>
      <xdr:rowOff>358592</xdr:rowOff>
    </xdr:to>
    <xdr:sp macro="" textlink="">
      <xdr:nvSpPr>
        <xdr:cNvPr id="7" name="Rectangle 6">
          <a:hlinkClick xmlns:r="http://schemas.openxmlformats.org/officeDocument/2006/relationships" r:id="rId4"/>
        </xdr:cNvPr>
        <xdr:cNvSpPr/>
      </xdr:nvSpPr>
      <xdr:spPr>
        <a:xfrm>
          <a:off x="112060"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403419</xdr:rowOff>
    </xdr:from>
    <xdr:to>
      <xdr:col>0</xdr:col>
      <xdr:colOff>1434358</xdr:colOff>
      <xdr:row>2</xdr:row>
      <xdr:rowOff>705978</xdr:rowOff>
    </xdr:to>
    <xdr:sp macro="" textlink="">
      <xdr:nvSpPr>
        <xdr:cNvPr id="8" name="Rectangle 7">
          <a:hlinkClick xmlns:r="http://schemas.openxmlformats.org/officeDocument/2006/relationships" r:id="rId5"/>
        </xdr:cNvPr>
        <xdr:cNvSpPr/>
      </xdr:nvSpPr>
      <xdr:spPr>
        <a:xfrm>
          <a:off x="123269"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2</xdr:row>
      <xdr:rowOff>750801</xdr:rowOff>
    </xdr:from>
    <xdr:to>
      <xdr:col>0</xdr:col>
      <xdr:colOff>1434357</xdr:colOff>
      <xdr:row>2</xdr:row>
      <xdr:rowOff>1053360</xdr:rowOff>
    </xdr:to>
    <xdr:sp macro="" textlink="">
      <xdr:nvSpPr>
        <xdr:cNvPr id="9" name="Rectangle 8">
          <a:hlinkClick xmlns:r="http://schemas.openxmlformats.org/officeDocument/2006/relationships" r:id="rId6"/>
        </xdr:cNvPr>
        <xdr:cNvSpPr/>
      </xdr:nvSpPr>
      <xdr:spPr>
        <a:xfrm>
          <a:off x="123268"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1109386</xdr:rowOff>
    </xdr:from>
    <xdr:to>
      <xdr:col>0</xdr:col>
      <xdr:colOff>1423151</xdr:colOff>
      <xdr:row>3</xdr:row>
      <xdr:rowOff>212916</xdr:rowOff>
    </xdr:to>
    <xdr:sp macro="" textlink="">
      <xdr:nvSpPr>
        <xdr:cNvPr id="10" name="Rectangle 9">
          <a:hlinkClick xmlns:r="http://schemas.openxmlformats.org/officeDocument/2006/relationships" r:id="rId7"/>
        </xdr:cNvPr>
        <xdr:cNvSpPr/>
      </xdr:nvSpPr>
      <xdr:spPr>
        <a:xfrm>
          <a:off x="112062"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IPA  </a:t>
          </a:r>
        </a:p>
      </xdr:txBody>
    </xdr:sp>
    <xdr:clientData/>
  </xdr:twoCellAnchor>
  <xdr:twoCellAnchor>
    <xdr:from>
      <xdr:col>0</xdr:col>
      <xdr:colOff>112062</xdr:colOff>
      <xdr:row>3</xdr:row>
      <xdr:rowOff>268946</xdr:rowOff>
    </xdr:from>
    <xdr:to>
      <xdr:col>0</xdr:col>
      <xdr:colOff>1423151</xdr:colOff>
      <xdr:row>4</xdr:row>
      <xdr:rowOff>246534</xdr:rowOff>
    </xdr:to>
    <xdr:sp macro="" textlink="">
      <xdr:nvSpPr>
        <xdr:cNvPr id="11" name="Rectangle 10">
          <a:hlinkClick xmlns:r="http://schemas.openxmlformats.org/officeDocument/2006/relationships" r:id="rId8"/>
        </xdr:cNvPr>
        <xdr:cNvSpPr/>
      </xdr:nvSpPr>
      <xdr:spPr>
        <a:xfrm>
          <a:off x="112062"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291361</xdr:rowOff>
    </xdr:from>
    <xdr:to>
      <xdr:col>0</xdr:col>
      <xdr:colOff>1434357</xdr:colOff>
      <xdr:row>5</xdr:row>
      <xdr:rowOff>67244</xdr:rowOff>
    </xdr:to>
    <xdr:sp macro="" textlink="">
      <xdr:nvSpPr>
        <xdr:cNvPr id="12" name="Rectangle 11">
          <a:hlinkClick xmlns:r="http://schemas.openxmlformats.org/officeDocument/2006/relationships" r:id="rId9"/>
        </xdr:cNvPr>
        <xdr:cNvSpPr/>
      </xdr:nvSpPr>
      <xdr:spPr>
        <a:xfrm>
          <a:off x="123268"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5</xdr:row>
      <xdr:rowOff>112063</xdr:rowOff>
    </xdr:from>
    <xdr:to>
      <xdr:col>0</xdr:col>
      <xdr:colOff>1434356</xdr:colOff>
      <xdr:row>5</xdr:row>
      <xdr:rowOff>414622</xdr:rowOff>
    </xdr:to>
    <xdr:sp macro="" textlink="">
      <xdr:nvSpPr>
        <xdr:cNvPr id="13" name="Rectangle 12">
          <a:hlinkClick xmlns:r="http://schemas.openxmlformats.org/officeDocument/2006/relationships" r:id="rId10"/>
        </xdr:cNvPr>
        <xdr:cNvSpPr/>
      </xdr:nvSpPr>
      <xdr:spPr>
        <a:xfrm>
          <a:off x="123267"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459445</xdr:rowOff>
    </xdr:from>
    <xdr:to>
      <xdr:col>0</xdr:col>
      <xdr:colOff>1434356</xdr:colOff>
      <xdr:row>6</xdr:row>
      <xdr:rowOff>235327</xdr:rowOff>
    </xdr:to>
    <xdr:sp macro="" textlink="">
      <xdr:nvSpPr>
        <xdr:cNvPr id="14" name="Rectangle 13">
          <a:hlinkClick xmlns:r="http://schemas.openxmlformats.org/officeDocument/2006/relationships" r:id="rId11"/>
        </xdr:cNvPr>
        <xdr:cNvSpPr/>
      </xdr:nvSpPr>
      <xdr:spPr>
        <a:xfrm>
          <a:off x="123267"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6</xdr:row>
      <xdr:rowOff>257740</xdr:rowOff>
    </xdr:from>
    <xdr:to>
      <xdr:col>0</xdr:col>
      <xdr:colOff>1434356</xdr:colOff>
      <xdr:row>7</xdr:row>
      <xdr:rowOff>33623</xdr:rowOff>
    </xdr:to>
    <xdr:sp macro="" textlink="">
      <xdr:nvSpPr>
        <xdr:cNvPr id="15" name="Rectangle 14">
          <a:hlinkClick xmlns:r="http://schemas.openxmlformats.org/officeDocument/2006/relationships" r:id="rId12"/>
        </xdr:cNvPr>
        <xdr:cNvSpPr/>
      </xdr:nvSpPr>
      <xdr:spPr>
        <a:xfrm>
          <a:off x="123267"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7</xdr:row>
      <xdr:rowOff>78448</xdr:rowOff>
    </xdr:from>
    <xdr:to>
      <xdr:col>0</xdr:col>
      <xdr:colOff>1423151</xdr:colOff>
      <xdr:row>7</xdr:row>
      <xdr:rowOff>381007</xdr:rowOff>
    </xdr:to>
    <xdr:sp macro="" textlink="">
      <xdr:nvSpPr>
        <xdr:cNvPr id="16" name="Rectangle 15">
          <a:hlinkClick xmlns:r="http://schemas.openxmlformats.org/officeDocument/2006/relationships" r:id="rId13"/>
        </xdr:cNvPr>
        <xdr:cNvSpPr/>
      </xdr:nvSpPr>
      <xdr:spPr>
        <a:xfrm>
          <a:off x="112062"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190501</xdr:colOff>
      <xdr:row>0</xdr:row>
      <xdr:rowOff>56029</xdr:rowOff>
    </xdr:from>
    <xdr:to>
      <xdr:col>0</xdr:col>
      <xdr:colOff>1281114</xdr:colOff>
      <xdr:row>0</xdr:row>
      <xdr:rowOff>538896</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90501" y="56029"/>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0</xdr:rowOff>
    </xdr:from>
    <xdr:to>
      <xdr:col>0</xdr:col>
      <xdr:colOff>1423148</xdr:colOff>
      <xdr:row>2</xdr:row>
      <xdr:rowOff>11206</xdr:rowOff>
    </xdr:to>
    <xdr:sp macro="" textlink="">
      <xdr:nvSpPr>
        <xdr:cNvPr id="6" name="Rectangle 5">
          <a:hlinkClick xmlns:r="http://schemas.openxmlformats.org/officeDocument/2006/relationships" r:id="rId3"/>
        </xdr:cNvPr>
        <xdr:cNvSpPr/>
      </xdr:nvSpPr>
      <xdr:spPr>
        <a:xfrm>
          <a:off x="112059"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56033</xdr:rowOff>
    </xdr:from>
    <xdr:to>
      <xdr:col>0</xdr:col>
      <xdr:colOff>1411943</xdr:colOff>
      <xdr:row>2</xdr:row>
      <xdr:rowOff>358592</xdr:rowOff>
    </xdr:to>
    <xdr:sp macro="" textlink="">
      <xdr:nvSpPr>
        <xdr:cNvPr id="7" name="Rectangle 6">
          <a:hlinkClick xmlns:r="http://schemas.openxmlformats.org/officeDocument/2006/relationships" r:id="rId4"/>
        </xdr:cNvPr>
        <xdr:cNvSpPr/>
      </xdr:nvSpPr>
      <xdr:spPr>
        <a:xfrm>
          <a:off x="100854"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403419</xdr:rowOff>
    </xdr:from>
    <xdr:to>
      <xdr:col>0</xdr:col>
      <xdr:colOff>1423152</xdr:colOff>
      <xdr:row>2</xdr:row>
      <xdr:rowOff>705978</xdr:rowOff>
    </xdr:to>
    <xdr:sp macro="" textlink="">
      <xdr:nvSpPr>
        <xdr:cNvPr id="8" name="Rectangle 7">
          <a:hlinkClick xmlns:r="http://schemas.openxmlformats.org/officeDocument/2006/relationships" r:id="rId5"/>
        </xdr:cNvPr>
        <xdr:cNvSpPr/>
      </xdr:nvSpPr>
      <xdr:spPr>
        <a:xfrm>
          <a:off x="112063"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750801</xdr:rowOff>
    </xdr:from>
    <xdr:to>
      <xdr:col>0</xdr:col>
      <xdr:colOff>1423151</xdr:colOff>
      <xdr:row>2</xdr:row>
      <xdr:rowOff>1053360</xdr:rowOff>
    </xdr:to>
    <xdr:sp macro="" textlink="">
      <xdr:nvSpPr>
        <xdr:cNvPr id="9" name="Rectangle 8">
          <a:hlinkClick xmlns:r="http://schemas.openxmlformats.org/officeDocument/2006/relationships" r:id="rId6"/>
        </xdr:cNvPr>
        <xdr:cNvSpPr/>
      </xdr:nvSpPr>
      <xdr:spPr>
        <a:xfrm>
          <a:off x="112062"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1109386</xdr:rowOff>
    </xdr:from>
    <xdr:to>
      <xdr:col>0</xdr:col>
      <xdr:colOff>1411945</xdr:colOff>
      <xdr:row>3</xdr:row>
      <xdr:rowOff>212916</xdr:rowOff>
    </xdr:to>
    <xdr:sp macro="" textlink="">
      <xdr:nvSpPr>
        <xdr:cNvPr id="10" name="Rectangle 9">
          <a:hlinkClick xmlns:r="http://schemas.openxmlformats.org/officeDocument/2006/relationships" r:id="rId7"/>
        </xdr:cNvPr>
        <xdr:cNvSpPr/>
      </xdr:nvSpPr>
      <xdr:spPr>
        <a:xfrm>
          <a:off x="100856"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268946</xdr:rowOff>
    </xdr:from>
    <xdr:to>
      <xdr:col>0</xdr:col>
      <xdr:colOff>1411945</xdr:colOff>
      <xdr:row>4</xdr:row>
      <xdr:rowOff>246534</xdr:rowOff>
    </xdr:to>
    <xdr:sp macro="" textlink="">
      <xdr:nvSpPr>
        <xdr:cNvPr id="11" name="Rectangle 10">
          <a:hlinkClick xmlns:r="http://schemas.openxmlformats.org/officeDocument/2006/relationships" r:id="rId8"/>
        </xdr:cNvPr>
        <xdr:cNvSpPr/>
      </xdr:nvSpPr>
      <xdr:spPr>
        <a:xfrm>
          <a:off x="100856"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IPS  </a:t>
          </a:r>
        </a:p>
      </xdr:txBody>
    </xdr:sp>
    <xdr:clientData/>
  </xdr:twoCellAnchor>
  <xdr:twoCellAnchor>
    <xdr:from>
      <xdr:col>0</xdr:col>
      <xdr:colOff>112062</xdr:colOff>
      <xdr:row>4</xdr:row>
      <xdr:rowOff>291361</xdr:rowOff>
    </xdr:from>
    <xdr:to>
      <xdr:col>0</xdr:col>
      <xdr:colOff>1423151</xdr:colOff>
      <xdr:row>5</xdr:row>
      <xdr:rowOff>112067</xdr:rowOff>
    </xdr:to>
    <xdr:sp macro="" textlink="">
      <xdr:nvSpPr>
        <xdr:cNvPr id="12" name="Rectangle 11">
          <a:hlinkClick xmlns:r="http://schemas.openxmlformats.org/officeDocument/2006/relationships" r:id="rId9"/>
        </xdr:cNvPr>
        <xdr:cNvSpPr/>
      </xdr:nvSpPr>
      <xdr:spPr>
        <a:xfrm>
          <a:off x="112062"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5</xdr:row>
      <xdr:rowOff>156886</xdr:rowOff>
    </xdr:from>
    <xdr:to>
      <xdr:col>0</xdr:col>
      <xdr:colOff>1423150</xdr:colOff>
      <xdr:row>5</xdr:row>
      <xdr:rowOff>459445</xdr:rowOff>
    </xdr:to>
    <xdr:sp macro="" textlink="">
      <xdr:nvSpPr>
        <xdr:cNvPr id="13" name="Rectangle 12">
          <a:hlinkClick xmlns:r="http://schemas.openxmlformats.org/officeDocument/2006/relationships" r:id="rId10"/>
        </xdr:cNvPr>
        <xdr:cNvSpPr/>
      </xdr:nvSpPr>
      <xdr:spPr>
        <a:xfrm>
          <a:off x="112061"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6</xdr:row>
      <xdr:rowOff>22415</xdr:rowOff>
    </xdr:from>
    <xdr:to>
      <xdr:col>0</xdr:col>
      <xdr:colOff>1423150</xdr:colOff>
      <xdr:row>6</xdr:row>
      <xdr:rowOff>324974</xdr:rowOff>
    </xdr:to>
    <xdr:sp macro="" textlink="">
      <xdr:nvSpPr>
        <xdr:cNvPr id="14" name="Rectangle 13">
          <a:hlinkClick xmlns:r="http://schemas.openxmlformats.org/officeDocument/2006/relationships" r:id="rId11"/>
        </xdr:cNvPr>
        <xdr:cNvSpPr/>
      </xdr:nvSpPr>
      <xdr:spPr>
        <a:xfrm>
          <a:off x="112061"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6</xdr:row>
      <xdr:rowOff>347387</xdr:rowOff>
    </xdr:from>
    <xdr:to>
      <xdr:col>0</xdr:col>
      <xdr:colOff>1423150</xdr:colOff>
      <xdr:row>7</xdr:row>
      <xdr:rowOff>168093</xdr:rowOff>
    </xdr:to>
    <xdr:sp macro="" textlink="">
      <xdr:nvSpPr>
        <xdr:cNvPr id="15" name="Rectangle 14">
          <a:hlinkClick xmlns:r="http://schemas.openxmlformats.org/officeDocument/2006/relationships" r:id="rId12"/>
        </xdr:cNvPr>
        <xdr:cNvSpPr/>
      </xdr:nvSpPr>
      <xdr:spPr>
        <a:xfrm>
          <a:off x="112061"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7</xdr:row>
      <xdr:rowOff>212918</xdr:rowOff>
    </xdr:from>
    <xdr:to>
      <xdr:col>0</xdr:col>
      <xdr:colOff>1411945</xdr:colOff>
      <xdr:row>8</xdr:row>
      <xdr:rowOff>33624</xdr:rowOff>
    </xdr:to>
    <xdr:sp macro="" textlink="">
      <xdr:nvSpPr>
        <xdr:cNvPr id="16" name="Rectangle 15">
          <a:hlinkClick xmlns:r="http://schemas.openxmlformats.org/officeDocument/2006/relationships" r:id="rId13"/>
        </xdr:cNvPr>
        <xdr:cNvSpPr/>
      </xdr:nvSpPr>
      <xdr:spPr>
        <a:xfrm>
          <a:off x="100856"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212911</xdr:colOff>
      <xdr:row>0</xdr:row>
      <xdr:rowOff>78442</xdr:rowOff>
    </xdr:from>
    <xdr:to>
      <xdr:col>0</xdr:col>
      <xdr:colOff>1303524</xdr:colOff>
      <xdr:row>0</xdr:row>
      <xdr:rowOff>561309</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1" y="78442"/>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33618</xdr:rowOff>
    </xdr:from>
    <xdr:to>
      <xdr:col>0</xdr:col>
      <xdr:colOff>1434354</xdr:colOff>
      <xdr:row>2</xdr:row>
      <xdr:rowOff>44824</xdr:rowOff>
    </xdr:to>
    <xdr:sp macro="" textlink="">
      <xdr:nvSpPr>
        <xdr:cNvPr id="6" name="Rectangle 5">
          <a:hlinkClick xmlns:r="http://schemas.openxmlformats.org/officeDocument/2006/relationships" r:id="rId3"/>
        </xdr:cNvPr>
        <xdr:cNvSpPr/>
      </xdr:nvSpPr>
      <xdr:spPr>
        <a:xfrm>
          <a:off x="123265" y="61632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89651</xdr:rowOff>
    </xdr:from>
    <xdr:to>
      <xdr:col>0</xdr:col>
      <xdr:colOff>1423149</xdr:colOff>
      <xdr:row>2</xdr:row>
      <xdr:rowOff>392210</xdr:rowOff>
    </xdr:to>
    <xdr:sp macro="" textlink="">
      <xdr:nvSpPr>
        <xdr:cNvPr id="7" name="Rectangle 6">
          <a:hlinkClick xmlns:r="http://schemas.openxmlformats.org/officeDocument/2006/relationships" r:id="rId4"/>
        </xdr:cNvPr>
        <xdr:cNvSpPr/>
      </xdr:nvSpPr>
      <xdr:spPr>
        <a:xfrm>
          <a:off x="112060" y="96371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437037</xdr:rowOff>
    </xdr:from>
    <xdr:to>
      <xdr:col>0</xdr:col>
      <xdr:colOff>1434358</xdr:colOff>
      <xdr:row>2</xdr:row>
      <xdr:rowOff>739596</xdr:rowOff>
    </xdr:to>
    <xdr:sp macro="" textlink="">
      <xdr:nvSpPr>
        <xdr:cNvPr id="8" name="Rectangle 7">
          <a:hlinkClick xmlns:r="http://schemas.openxmlformats.org/officeDocument/2006/relationships" r:id="rId5"/>
        </xdr:cNvPr>
        <xdr:cNvSpPr/>
      </xdr:nvSpPr>
      <xdr:spPr>
        <a:xfrm>
          <a:off x="123269" y="131109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2</xdr:row>
      <xdr:rowOff>784419</xdr:rowOff>
    </xdr:from>
    <xdr:to>
      <xdr:col>0</xdr:col>
      <xdr:colOff>1434357</xdr:colOff>
      <xdr:row>2</xdr:row>
      <xdr:rowOff>1086978</xdr:rowOff>
    </xdr:to>
    <xdr:sp macro="" textlink="">
      <xdr:nvSpPr>
        <xdr:cNvPr id="9" name="Rectangle 8">
          <a:hlinkClick xmlns:r="http://schemas.openxmlformats.org/officeDocument/2006/relationships" r:id="rId6"/>
        </xdr:cNvPr>
        <xdr:cNvSpPr/>
      </xdr:nvSpPr>
      <xdr:spPr>
        <a:xfrm>
          <a:off x="123268" y="1658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1143004</xdr:rowOff>
    </xdr:from>
    <xdr:to>
      <xdr:col>0</xdr:col>
      <xdr:colOff>1423151</xdr:colOff>
      <xdr:row>3</xdr:row>
      <xdr:rowOff>246534</xdr:rowOff>
    </xdr:to>
    <xdr:sp macro="" textlink="">
      <xdr:nvSpPr>
        <xdr:cNvPr id="10" name="Rectangle 9">
          <a:hlinkClick xmlns:r="http://schemas.openxmlformats.org/officeDocument/2006/relationships" r:id="rId7"/>
        </xdr:cNvPr>
        <xdr:cNvSpPr/>
      </xdr:nvSpPr>
      <xdr:spPr>
        <a:xfrm>
          <a:off x="112062" y="2017063"/>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302564</xdr:rowOff>
    </xdr:from>
    <xdr:to>
      <xdr:col>0</xdr:col>
      <xdr:colOff>1423151</xdr:colOff>
      <xdr:row>4</xdr:row>
      <xdr:rowOff>280152</xdr:rowOff>
    </xdr:to>
    <xdr:sp macro="" textlink="">
      <xdr:nvSpPr>
        <xdr:cNvPr id="11" name="Rectangle 10">
          <a:hlinkClick xmlns:r="http://schemas.openxmlformats.org/officeDocument/2006/relationships" r:id="rId8"/>
        </xdr:cNvPr>
        <xdr:cNvSpPr/>
      </xdr:nvSpPr>
      <xdr:spPr>
        <a:xfrm>
          <a:off x="112062" y="23756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324979</xdr:rowOff>
    </xdr:from>
    <xdr:to>
      <xdr:col>0</xdr:col>
      <xdr:colOff>1434357</xdr:colOff>
      <xdr:row>4</xdr:row>
      <xdr:rowOff>627538</xdr:rowOff>
    </xdr:to>
    <xdr:sp macro="" textlink="">
      <xdr:nvSpPr>
        <xdr:cNvPr id="12" name="Rectangle 11">
          <a:hlinkClick xmlns:r="http://schemas.openxmlformats.org/officeDocument/2006/relationships" r:id="rId9"/>
        </xdr:cNvPr>
        <xdr:cNvSpPr/>
      </xdr:nvSpPr>
      <xdr:spPr>
        <a:xfrm>
          <a:off x="123268" y="272303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SBDP  </a:t>
          </a:r>
        </a:p>
      </xdr:txBody>
    </xdr:sp>
    <xdr:clientData/>
  </xdr:twoCellAnchor>
  <xdr:twoCellAnchor>
    <xdr:from>
      <xdr:col>0</xdr:col>
      <xdr:colOff>123267</xdr:colOff>
      <xdr:row>4</xdr:row>
      <xdr:rowOff>672357</xdr:rowOff>
    </xdr:from>
    <xdr:to>
      <xdr:col>0</xdr:col>
      <xdr:colOff>1434356</xdr:colOff>
      <xdr:row>5</xdr:row>
      <xdr:rowOff>168093</xdr:rowOff>
    </xdr:to>
    <xdr:sp macro="" textlink="">
      <xdr:nvSpPr>
        <xdr:cNvPr id="13" name="Rectangle 12">
          <a:hlinkClick xmlns:r="http://schemas.openxmlformats.org/officeDocument/2006/relationships" r:id="rId10"/>
        </xdr:cNvPr>
        <xdr:cNvSpPr/>
      </xdr:nvSpPr>
      <xdr:spPr>
        <a:xfrm>
          <a:off x="123267" y="307041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212916</xdr:rowOff>
    </xdr:from>
    <xdr:to>
      <xdr:col>0</xdr:col>
      <xdr:colOff>1434356</xdr:colOff>
      <xdr:row>5</xdr:row>
      <xdr:rowOff>515475</xdr:rowOff>
    </xdr:to>
    <xdr:sp macro="" textlink="">
      <xdr:nvSpPr>
        <xdr:cNvPr id="14" name="Rectangle 13">
          <a:hlinkClick xmlns:r="http://schemas.openxmlformats.org/officeDocument/2006/relationships" r:id="rId11"/>
        </xdr:cNvPr>
        <xdr:cNvSpPr/>
      </xdr:nvSpPr>
      <xdr:spPr>
        <a:xfrm>
          <a:off x="123267" y="3417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537888</xdr:rowOff>
    </xdr:from>
    <xdr:to>
      <xdr:col>0</xdr:col>
      <xdr:colOff>1434356</xdr:colOff>
      <xdr:row>6</xdr:row>
      <xdr:rowOff>33623</xdr:rowOff>
    </xdr:to>
    <xdr:sp macro="" textlink="">
      <xdr:nvSpPr>
        <xdr:cNvPr id="15" name="Rectangle 14">
          <a:hlinkClick xmlns:r="http://schemas.openxmlformats.org/officeDocument/2006/relationships" r:id="rId12"/>
        </xdr:cNvPr>
        <xdr:cNvSpPr/>
      </xdr:nvSpPr>
      <xdr:spPr>
        <a:xfrm>
          <a:off x="123267" y="374277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78448</xdr:rowOff>
    </xdr:from>
    <xdr:to>
      <xdr:col>0</xdr:col>
      <xdr:colOff>1423151</xdr:colOff>
      <xdr:row>6</xdr:row>
      <xdr:rowOff>381007</xdr:rowOff>
    </xdr:to>
    <xdr:sp macro="" textlink="">
      <xdr:nvSpPr>
        <xdr:cNvPr id="16" name="Rectangle 15">
          <a:hlinkClick xmlns:r="http://schemas.openxmlformats.org/officeDocument/2006/relationships" r:id="rId13"/>
        </xdr:cNvPr>
        <xdr:cNvSpPr/>
      </xdr:nvSpPr>
      <xdr:spPr>
        <a:xfrm>
          <a:off x="112062" y="409015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212913</xdr:colOff>
      <xdr:row>0</xdr:row>
      <xdr:rowOff>44824</xdr:rowOff>
    </xdr:from>
    <xdr:to>
      <xdr:col>0</xdr:col>
      <xdr:colOff>1303526</xdr:colOff>
      <xdr:row>0</xdr:row>
      <xdr:rowOff>527691</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3"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0</xdr:rowOff>
    </xdr:from>
    <xdr:to>
      <xdr:col>0</xdr:col>
      <xdr:colOff>1423148</xdr:colOff>
      <xdr:row>2</xdr:row>
      <xdr:rowOff>11206</xdr:rowOff>
    </xdr:to>
    <xdr:sp macro="" textlink="">
      <xdr:nvSpPr>
        <xdr:cNvPr id="6" name="Rectangle 5">
          <a:hlinkClick xmlns:r="http://schemas.openxmlformats.org/officeDocument/2006/relationships" r:id="rId3"/>
        </xdr:cNvPr>
        <xdr:cNvSpPr/>
      </xdr:nvSpPr>
      <xdr:spPr>
        <a:xfrm>
          <a:off x="112059"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56033</xdr:rowOff>
    </xdr:from>
    <xdr:to>
      <xdr:col>0</xdr:col>
      <xdr:colOff>1411943</xdr:colOff>
      <xdr:row>2</xdr:row>
      <xdr:rowOff>358592</xdr:rowOff>
    </xdr:to>
    <xdr:sp macro="" textlink="">
      <xdr:nvSpPr>
        <xdr:cNvPr id="7" name="Rectangle 6">
          <a:hlinkClick xmlns:r="http://schemas.openxmlformats.org/officeDocument/2006/relationships" r:id="rId4"/>
        </xdr:cNvPr>
        <xdr:cNvSpPr/>
      </xdr:nvSpPr>
      <xdr:spPr>
        <a:xfrm>
          <a:off x="100854"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403419</xdr:rowOff>
    </xdr:from>
    <xdr:to>
      <xdr:col>0</xdr:col>
      <xdr:colOff>1423152</xdr:colOff>
      <xdr:row>2</xdr:row>
      <xdr:rowOff>705978</xdr:rowOff>
    </xdr:to>
    <xdr:sp macro="" textlink="">
      <xdr:nvSpPr>
        <xdr:cNvPr id="8" name="Rectangle 7">
          <a:hlinkClick xmlns:r="http://schemas.openxmlformats.org/officeDocument/2006/relationships" r:id="rId5"/>
        </xdr:cNvPr>
        <xdr:cNvSpPr/>
      </xdr:nvSpPr>
      <xdr:spPr>
        <a:xfrm>
          <a:off x="112063"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750801</xdr:rowOff>
    </xdr:from>
    <xdr:to>
      <xdr:col>0</xdr:col>
      <xdr:colOff>1423151</xdr:colOff>
      <xdr:row>2</xdr:row>
      <xdr:rowOff>1053360</xdr:rowOff>
    </xdr:to>
    <xdr:sp macro="" textlink="">
      <xdr:nvSpPr>
        <xdr:cNvPr id="9" name="Rectangle 8">
          <a:hlinkClick xmlns:r="http://schemas.openxmlformats.org/officeDocument/2006/relationships" r:id="rId6"/>
        </xdr:cNvPr>
        <xdr:cNvSpPr/>
      </xdr:nvSpPr>
      <xdr:spPr>
        <a:xfrm>
          <a:off x="112062"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1109386</xdr:rowOff>
    </xdr:from>
    <xdr:to>
      <xdr:col>0</xdr:col>
      <xdr:colOff>1411945</xdr:colOff>
      <xdr:row>3</xdr:row>
      <xdr:rowOff>212916</xdr:rowOff>
    </xdr:to>
    <xdr:sp macro="" textlink="">
      <xdr:nvSpPr>
        <xdr:cNvPr id="10" name="Rectangle 9">
          <a:hlinkClick xmlns:r="http://schemas.openxmlformats.org/officeDocument/2006/relationships" r:id="rId7"/>
        </xdr:cNvPr>
        <xdr:cNvSpPr/>
      </xdr:nvSpPr>
      <xdr:spPr>
        <a:xfrm>
          <a:off x="100856"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268946</xdr:rowOff>
    </xdr:from>
    <xdr:to>
      <xdr:col>0</xdr:col>
      <xdr:colOff>1411945</xdr:colOff>
      <xdr:row>4</xdr:row>
      <xdr:rowOff>246534</xdr:rowOff>
    </xdr:to>
    <xdr:sp macro="" textlink="">
      <xdr:nvSpPr>
        <xdr:cNvPr id="11" name="Rectangle 10">
          <a:hlinkClick xmlns:r="http://schemas.openxmlformats.org/officeDocument/2006/relationships" r:id="rId8"/>
        </xdr:cNvPr>
        <xdr:cNvSpPr/>
      </xdr:nvSpPr>
      <xdr:spPr>
        <a:xfrm>
          <a:off x="100856"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291361</xdr:rowOff>
    </xdr:from>
    <xdr:to>
      <xdr:col>0</xdr:col>
      <xdr:colOff>1423151</xdr:colOff>
      <xdr:row>4</xdr:row>
      <xdr:rowOff>593920</xdr:rowOff>
    </xdr:to>
    <xdr:sp macro="" textlink="">
      <xdr:nvSpPr>
        <xdr:cNvPr id="12" name="Rectangle 11">
          <a:hlinkClick xmlns:r="http://schemas.openxmlformats.org/officeDocument/2006/relationships" r:id="rId9"/>
        </xdr:cNvPr>
        <xdr:cNvSpPr/>
      </xdr:nvSpPr>
      <xdr:spPr>
        <a:xfrm>
          <a:off x="112062"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4</xdr:row>
      <xdr:rowOff>638739</xdr:rowOff>
    </xdr:from>
    <xdr:to>
      <xdr:col>0</xdr:col>
      <xdr:colOff>1423150</xdr:colOff>
      <xdr:row>5</xdr:row>
      <xdr:rowOff>145681</xdr:rowOff>
    </xdr:to>
    <xdr:sp macro="" textlink="">
      <xdr:nvSpPr>
        <xdr:cNvPr id="13" name="Rectangle 12">
          <a:hlinkClick xmlns:r="http://schemas.openxmlformats.org/officeDocument/2006/relationships" r:id="rId10"/>
        </xdr:cNvPr>
        <xdr:cNvSpPr/>
      </xdr:nvSpPr>
      <xdr:spPr>
        <a:xfrm>
          <a:off x="112061"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PJOK  </a:t>
          </a:r>
        </a:p>
      </xdr:txBody>
    </xdr:sp>
    <xdr:clientData/>
  </xdr:twoCellAnchor>
  <xdr:twoCellAnchor>
    <xdr:from>
      <xdr:col>0</xdr:col>
      <xdr:colOff>112061</xdr:colOff>
      <xdr:row>5</xdr:row>
      <xdr:rowOff>190504</xdr:rowOff>
    </xdr:from>
    <xdr:to>
      <xdr:col>0</xdr:col>
      <xdr:colOff>1423150</xdr:colOff>
      <xdr:row>5</xdr:row>
      <xdr:rowOff>493063</xdr:rowOff>
    </xdr:to>
    <xdr:sp macro="" textlink="">
      <xdr:nvSpPr>
        <xdr:cNvPr id="14" name="Rectangle 13">
          <a:hlinkClick xmlns:r="http://schemas.openxmlformats.org/officeDocument/2006/relationships" r:id="rId11"/>
        </xdr:cNvPr>
        <xdr:cNvSpPr/>
      </xdr:nvSpPr>
      <xdr:spPr>
        <a:xfrm>
          <a:off x="112061"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5</xdr:row>
      <xdr:rowOff>515476</xdr:rowOff>
    </xdr:from>
    <xdr:to>
      <xdr:col>0</xdr:col>
      <xdr:colOff>1423150</xdr:colOff>
      <xdr:row>6</xdr:row>
      <xdr:rowOff>22417</xdr:rowOff>
    </xdr:to>
    <xdr:sp macro="" textlink="">
      <xdr:nvSpPr>
        <xdr:cNvPr id="15" name="Rectangle 14">
          <a:hlinkClick xmlns:r="http://schemas.openxmlformats.org/officeDocument/2006/relationships" r:id="rId12"/>
        </xdr:cNvPr>
        <xdr:cNvSpPr/>
      </xdr:nvSpPr>
      <xdr:spPr>
        <a:xfrm>
          <a:off x="112061"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6</xdr:row>
      <xdr:rowOff>67242</xdr:rowOff>
    </xdr:from>
    <xdr:to>
      <xdr:col>0</xdr:col>
      <xdr:colOff>1411945</xdr:colOff>
      <xdr:row>6</xdr:row>
      <xdr:rowOff>369801</xdr:rowOff>
    </xdr:to>
    <xdr:sp macro="" textlink="">
      <xdr:nvSpPr>
        <xdr:cNvPr id="16" name="Rectangle 15">
          <a:hlinkClick xmlns:r="http://schemas.openxmlformats.org/officeDocument/2006/relationships" r:id="rId13"/>
        </xdr:cNvPr>
        <xdr:cNvSpPr/>
      </xdr:nvSpPr>
      <xdr:spPr>
        <a:xfrm>
          <a:off x="100856"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190499</xdr:colOff>
      <xdr:row>0</xdr:row>
      <xdr:rowOff>56029</xdr:rowOff>
    </xdr:from>
    <xdr:to>
      <xdr:col>0</xdr:col>
      <xdr:colOff>1281112</xdr:colOff>
      <xdr:row>0</xdr:row>
      <xdr:rowOff>538896</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90499" y="56029"/>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0</xdr:rowOff>
    </xdr:from>
    <xdr:to>
      <xdr:col>0</xdr:col>
      <xdr:colOff>1423148</xdr:colOff>
      <xdr:row>2</xdr:row>
      <xdr:rowOff>11206</xdr:rowOff>
    </xdr:to>
    <xdr:sp macro="" textlink="">
      <xdr:nvSpPr>
        <xdr:cNvPr id="6" name="Rectangle 5">
          <a:hlinkClick xmlns:r="http://schemas.openxmlformats.org/officeDocument/2006/relationships" r:id="rId3"/>
        </xdr:cNvPr>
        <xdr:cNvSpPr/>
      </xdr:nvSpPr>
      <xdr:spPr>
        <a:xfrm>
          <a:off x="112059"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56033</xdr:rowOff>
    </xdr:from>
    <xdr:to>
      <xdr:col>0</xdr:col>
      <xdr:colOff>1411943</xdr:colOff>
      <xdr:row>2</xdr:row>
      <xdr:rowOff>358592</xdr:rowOff>
    </xdr:to>
    <xdr:sp macro="" textlink="">
      <xdr:nvSpPr>
        <xdr:cNvPr id="7" name="Rectangle 6">
          <a:hlinkClick xmlns:r="http://schemas.openxmlformats.org/officeDocument/2006/relationships" r:id="rId4"/>
        </xdr:cNvPr>
        <xdr:cNvSpPr/>
      </xdr:nvSpPr>
      <xdr:spPr>
        <a:xfrm>
          <a:off x="100854"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403419</xdr:rowOff>
    </xdr:from>
    <xdr:to>
      <xdr:col>0</xdr:col>
      <xdr:colOff>1423152</xdr:colOff>
      <xdr:row>2</xdr:row>
      <xdr:rowOff>705978</xdr:rowOff>
    </xdr:to>
    <xdr:sp macro="" textlink="">
      <xdr:nvSpPr>
        <xdr:cNvPr id="8" name="Rectangle 7">
          <a:hlinkClick xmlns:r="http://schemas.openxmlformats.org/officeDocument/2006/relationships" r:id="rId5"/>
        </xdr:cNvPr>
        <xdr:cNvSpPr/>
      </xdr:nvSpPr>
      <xdr:spPr>
        <a:xfrm>
          <a:off x="112063"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750801</xdr:rowOff>
    </xdr:from>
    <xdr:to>
      <xdr:col>0</xdr:col>
      <xdr:colOff>1423151</xdr:colOff>
      <xdr:row>2</xdr:row>
      <xdr:rowOff>1053360</xdr:rowOff>
    </xdr:to>
    <xdr:sp macro="" textlink="">
      <xdr:nvSpPr>
        <xdr:cNvPr id="9" name="Rectangle 8">
          <a:hlinkClick xmlns:r="http://schemas.openxmlformats.org/officeDocument/2006/relationships" r:id="rId6"/>
        </xdr:cNvPr>
        <xdr:cNvSpPr/>
      </xdr:nvSpPr>
      <xdr:spPr>
        <a:xfrm>
          <a:off x="112062"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1109386</xdr:rowOff>
    </xdr:from>
    <xdr:to>
      <xdr:col>0</xdr:col>
      <xdr:colOff>1411945</xdr:colOff>
      <xdr:row>3</xdr:row>
      <xdr:rowOff>212916</xdr:rowOff>
    </xdr:to>
    <xdr:sp macro="" textlink="">
      <xdr:nvSpPr>
        <xdr:cNvPr id="10" name="Rectangle 9">
          <a:hlinkClick xmlns:r="http://schemas.openxmlformats.org/officeDocument/2006/relationships" r:id="rId7"/>
        </xdr:cNvPr>
        <xdr:cNvSpPr/>
      </xdr:nvSpPr>
      <xdr:spPr>
        <a:xfrm>
          <a:off x="100856"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268946</xdr:rowOff>
    </xdr:from>
    <xdr:to>
      <xdr:col>0</xdr:col>
      <xdr:colOff>1411945</xdr:colOff>
      <xdr:row>4</xdr:row>
      <xdr:rowOff>246534</xdr:rowOff>
    </xdr:to>
    <xdr:sp macro="" textlink="">
      <xdr:nvSpPr>
        <xdr:cNvPr id="11" name="Rectangle 10">
          <a:hlinkClick xmlns:r="http://schemas.openxmlformats.org/officeDocument/2006/relationships" r:id="rId8"/>
        </xdr:cNvPr>
        <xdr:cNvSpPr/>
      </xdr:nvSpPr>
      <xdr:spPr>
        <a:xfrm>
          <a:off x="100856"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291361</xdr:rowOff>
    </xdr:from>
    <xdr:to>
      <xdr:col>0</xdr:col>
      <xdr:colOff>1423151</xdr:colOff>
      <xdr:row>4</xdr:row>
      <xdr:rowOff>593920</xdr:rowOff>
    </xdr:to>
    <xdr:sp macro="" textlink="">
      <xdr:nvSpPr>
        <xdr:cNvPr id="12" name="Rectangle 11">
          <a:hlinkClick xmlns:r="http://schemas.openxmlformats.org/officeDocument/2006/relationships" r:id="rId9"/>
        </xdr:cNvPr>
        <xdr:cNvSpPr/>
      </xdr:nvSpPr>
      <xdr:spPr>
        <a:xfrm>
          <a:off x="112062"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4</xdr:row>
      <xdr:rowOff>638739</xdr:rowOff>
    </xdr:from>
    <xdr:to>
      <xdr:col>0</xdr:col>
      <xdr:colOff>1423150</xdr:colOff>
      <xdr:row>5</xdr:row>
      <xdr:rowOff>145681</xdr:rowOff>
    </xdr:to>
    <xdr:sp macro="" textlink="">
      <xdr:nvSpPr>
        <xdr:cNvPr id="13" name="Rectangle 12">
          <a:hlinkClick xmlns:r="http://schemas.openxmlformats.org/officeDocument/2006/relationships" r:id="rId10"/>
        </xdr:cNvPr>
        <xdr:cNvSpPr/>
      </xdr:nvSpPr>
      <xdr:spPr>
        <a:xfrm>
          <a:off x="112061"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5</xdr:row>
      <xdr:rowOff>190504</xdr:rowOff>
    </xdr:from>
    <xdr:to>
      <xdr:col>0</xdr:col>
      <xdr:colOff>1423150</xdr:colOff>
      <xdr:row>5</xdr:row>
      <xdr:rowOff>493063</xdr:rowOff>
    </xdr:to>
    <xdr:sp macro="" textlink="">
      <xdr:nvSpPr>
        <xdr:cNvPr id="14" name="Rectangle 13">
          <a:hlinkClick xmlns:r="http://schemas.openxmlformats.org/officeDocument/2006/relationships" r:id="rId11"/>
        </xdr:cNvPr>
        <xdr:cNvSpPr/>
      </xdr:nvSpPr>
      <xdr:spPr>
        <a:xfrm>
          <a:off x="112061"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MULOK 1</a:t>
          </a:r>
        </a:p>
      </xdr:txBody>
    </xdr:sp>
    <xdr:clientData/>
  </xdr:twoCellAnchor>
  <xdr:twoCellAnchor>
    <xdr:from>
      <xdr:col>0</xdr:col>
      <xdr:colOff>112061</xdr:colOff>
      <xdr:row>5</xdr:row>
      <xdr:rowOff>515476</xdr:rowOff>
    </xdr:from>
    <xdr:to>
      <xdr:col>0</xdr:col>
      <xdr:colOff>1423150</xdr:colOff>
      <xdr:row>6</xdr:row>
      <xdr:rowOff>22417</xdr:rowOff>
    </xdr:to>
    <xdr:sp macro="" textlink="">
      <xdr:nvSpPr>
        <xdr:cNvPr id="15" name="Rectangle 14">
          <a:hlinkClick xmlns:r="http://schemas.openxmlformats.org/officeDocument/2006/relationships" r:id="rId12"/>
        </xdr:cNvPr>
        <xdr:cNvSpPr/>
      </xdr:nvSpPr>
      <xdr:spPr>
        <a:xfrm>
          <a:off x="112061"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6</xdr:row>
      <xdr:rowOff>67242</xdr:rowOff>
    </xdr:from>
    <xdr:to>
      <xdr:col>0</xdr:col>
      <xdr:colOff>1411945</xdr:colOff>
      <xdr:row>6</xdr:row>
      <xdr:rowOff>369801</xdr:rowOff>
    </xdr:to>
    <xdr:sp macro="" textlink="">
      <xdr:nvSpPr>
        <xdr:cNvPr id="16" name="Rectangle 15">
          <a:hlinkClick xmlns:r="http://schemas.openxmlformats.org/officeDocument/2006/relationships" r:id="rId13"/>
        </xdr:cNvPr>
        <xdr:cNvSpPr/>
      </xdr:nvSpPr>
      <xdr:spPr>
        <a:xfrm>
          <a:off x="100856"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201706</xdr:colOff>
      <xdr:row>0</xdr:row>
      <xdr:rowOff>56030</xdr:rowOff>
    </xdr:from>
    <xdr:to>
      <xdr:col>0</xdr:col>
      <xdr:colOff>1292319</xdr:colOff>
      <xdr:row>0</xdr:row>
      <xdr:rowOff>538897</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01706" y="5603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33618</xdr:rowOff>
    </xdr:from>
    <xdr:to>
      <xdr:col>0</xdr:col>
      <xdr:colOff>1434354</xdr:colOff>
      <xdr:row>2</xdr:row>
      <xdr:rowOff>44824</xdr:rowOff>
    </xdr:to>
    <xdr:sp macro="" textlink="">
      <xdr:nvSpPr>
        <xdr:cNvPr id="6" name="Rectangle 5">
          <a:hlinkClick xmlns:r="http://schemas.openxmlformats.org/officeDocument/2006/relationships" r:id="rId3"/>
        </xdr:cNvPr>
        <xdr:cNvSpPr/>
      </xdr:nvSpPr>
      <xdr:spPr>
        <a:xfrm>
          <a:off x="123265" y="61632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89651</xdr:rowOff>
    </xdr:from>
    <xdr:to>
      <xdr:col>0</xdr:col>
      <xdr:colOff>1423149</xdr:colOff>
      <xdr:row>2</xdr:row>
      <xdr:rowOff>392210</xdr:rowOff>
    </xdr:to>
    <xdr:sp macro="" textlink="">
      <xdr:nvSpPr>
        <xdr:cNvPr id="7" name="Rectangle 6">
          <a:hlinkClick xmlns:r="http://schemas.openxmlformats.org/officeDocument/2006/relationships" r:id="rId4"/>
        </xdr:cNvPr>
        <xdr:cNvSpPr/>
      </xdr:nvSpPr>
      <xdr:spPr>
        <a:xfrm>
          <a:off x="112060" y="96371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437037</xdr:rowOff>
    </xdr:from>
    <xdr:to>
      <xdr:col>0</xdr:col>
      <xdr:colOff>1434358</xdr:colOff>
      <xdr:row>2</xdr:row>
      <xdr:rowOff>739596</xdr:rowOff>
    </xdr:to>
    <xdr:sp macro="" textlink="">
      <xdr:nvSpPr>
        <xdr:cNvPr id="8" name="Rectangle 7">
          <a:hlinkClick xmlns:r="http://schemas.openxmlformats.org/officeDocument/2006/relationships" r:id="rId5"/>
        </xdr:cNvPr>
        <xdr:cNvSpPr/>
      </xdr:nvSpPr>
      <xdr:spPr>
        <a:xfrm>
          <a:off x="123269" y="131109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2</xdr:row>
      <xdr:rowOff>784419</xdr:rowOff>
    </xdr:from>
    <xdr:to>
      <xdr:col>0</xdr:col>
      <xdr:colOff>1434357</xdr:colOff>
      <xdr:row>2</xdr:row>
      <xdr:rowOff>1086978</xdr:rowOff>
    </xdr:to>
    <xdr:sp macro="" textlink="">
      <xdr:nvSpPr>
        <xdr:cNvPr id="9" name="Rectangle 8">
          <a:hlinkClick xmlns:r="http://schemas.openxmlformats.org/officeDocument/2006/relationships" r:id="rId6"/>
        </xdr:cNvPr>
        <xdr:cNvSpPr/>
      </xdr:nvSpPr>
      <xdr:spPr>
        <a:xfrm>
          <a:off x="123268" y="1658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1143004</xdr:rowOff>
    </xdr:from>
    <xdr:to>
      <xdr:col>0</xdr:col>
      <xdr:colOff>1423151</xdr:colOff>
      <xdr:row>3</xdr:row>
      <xdr:rowOff>246534</xdr:rowOff>
    </xdr:to>
    <xdr:sp macro="" textlink="">
      <xdr:nvSpPr>
        <xdr:cNvPr id="10" name="Rectangle 9">
          <a:hlinkClick xmlns:r="http://schemas.openxmlformats.org/officeDocument/2006/relationships" r:id="rId7"/>
        </xdr:cNvPr>
        <xdr:cNvSpPr/>
      </xdr:nvSpPr>
      <xdr:spPr>
        <a:xfrm>
          <a:off x="112062" y="2017063"/>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302564</xdr:rowOff>
    </xdr:from>
    <xdr:to>
      <xdr:col>0</xdr:col>
      <xdr:colOff>1423151</xdr:colOff>
      <xdr:row>4</xdr:row>
      <xdr:rowOff>280152</xdr:rowOff>
    </xdr:to>
    <xdr:sp macro="" textlink="">
      <xdr:nvSpPr>
        <xdr:cNvPr id="11" name="Rectangle 10">
          <a:hlinkClick xmlns:r="http://schemas.openxmlformats.org/officeDocument/2006/relationships" r:id="rId8"/>
        </xdr:cNvPr>
        <xdr:cNvSpPr/>
      </xdr:nvSpPr>
      <xdr:spPr>
        <a:xfrm>
          <a:off x="112062" y="23756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324979</xdr:rowOff>
    </xdr:from>
    <xdr:to>
      <xdr:col>0</xdr:col>
      <xdr:colOff>1434357</xdr:colOff>
      <xdr:row>4</xdr:row>
      <xdr:rowOff>627538</xdr:rowOff>
    </xdr:to>
    <xdr:sp macro="" textlink="">
      <xdr:nvSpPr>
        <xdr:cNvPr id="12" name="Rectangle 11">
          <a:hlinkClick xmlns:r="http://schemas.openxmlformats.org/officeDocument/2006/relationships" r:id="rId9"/>
        </xdr:cNvPr>
        <xdr:cNvSpPr/>
      </xdr:nvSpPr>
      <xdr:spPr>
        <a:xfrm>
          <a:off x="123268" y="272303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4</xdr:row>
      <xdr:rowOff>672357</xdr:rowOff>
    </xdr:from>
    <xdr:to>
      <xdr:col>0</xdr:col>
      <xdr:colOff>1434356</xdr:colOff>
      <xdr:row>5</xdr:row>
      <xdr:rowOff>246534</xdr:rowOff>
    </xdr:to>
    <xdr:sp macro="" textlink="">
      <xdr:nvSpPr>
        <xdr:cNvPr id="13" name="Rectangle 12">
          <a:hlinkClick xmlns:r="http://schemas.openxmlformats.org/officeDocument/2006/relationships" r:id="rId10"/>
        </xdr:cNvPr>
        <xdr:cNvSpPr/>
      </xdr:nvSpPr>
      <xdr:spPr>
        <a:xfrm>
          <a:off x="123267" y="307041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291357</xdr:rowOff>
    </xdr:from>
    <xdr:to>
      <xdr:col>0</xdr:col>
      <xdr:colOff>1434356</xdr:colOff>
      <xdr:row>5</xdr:row>
      <xdr:rowOff>593916</xdr:rowOff>
    </xdr:to>
    <xdr:sp macro="" textlink="">
      <xdr:nvSpPr>
        <xdr:cNvPr id="14" name="Rectangle 13">
          <a:hlinkClick xmlns:r="http://schemas.openxmlformats.org/officeDocument/2006/relationships" r:id="rId11"/>
        </xdr:cNvPr>
        <xdr:cNvSpPr/>
      </xdr:nvSpPr>
      <xdr:spPr>
        <a:xfrm>
          <a:off x="123267" y="3417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616329</xdr:rowOff>
    </xdr:from>
    <xdr:to>
      <xdr:col>0</xdr:col>
      <xdr:colOff>1434356</xdr:colOff>
      <xdr:row>6</xdr:row>
      <xdr:rowOff>190505</xdr:rowOff>
    </xdr:to>
    <xdr:sp macro="" textlink="">
      <xdr:nvSpPr>
        <xdr:cNvPr id="15" name="Rectangle 14">
          <a:hlinkClick xmlns:r="http://schemas.openxmlformats.org/officeDocument/2006/relationships" r:id="rId12"/>
        </xdr:cNvPr>
        <xdr:cNvSpPr/>
      </xdr:nvSpPr>
      <xdr:spPr>
        <a:xfrm>
          <a:off x="123267" y="374277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MULOK 2</a:t>
          </a:r>
        </a:p>
      </xdr:txBody>
    </xdr:sp>
    <xdr:clientData/>
  </xdr:twoCellAnchor>
  <xdr:twoCellAnchor>
    <xdr:from>
      <xdr:col>0</xdr:col>
      <xdr:colOff>112062</xdr:colOff>
      <xdr:row>6</xdr:row>
      <xdr:rowOff>235330</xdr:rowOff>
    </xdr:from>
    <xdr:to>
      <xdr:col>0</xdr:col>
      <xdr:colOff>1423151</xdr:colOff>
      <xdr:row>6</xdr:row>
      <xdr:rowOff>537889</xdr:rowOff>
    </xdr:to>
    <xdr:sp macro="" textlink="">
      <xdr:nvSpPr>
        <xdr:cNvPr id="16" name="Rectangle 15">
          <a:hlinkClick xmlns:r="http://schemas.openxmlformats.org/officeDocument/2006/relationships" r:id="rId13"/>
        </xdr:cNvPr>
        <xdr:cNvSpPr/>
      </xdr:nvSpPr>
      <xdr:spPr>
        <a:xfrm>
          <a:off x="112062" y="409015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235324</xdr:colOff>
      <xdr:row>0</xdr:row>
      <xdr:rowOff>67236</xdr:rowOff>
    </xdr:from>
    <xdr:to>
      <xdr:col>0</xdr:col>
      <xdr:colOff>1325937</xdr:colOff>
      <xdr:row>0</xdr:row>
      <xdr:rowOff>550103</xdr:rowOff>
    </xdr:to>
    <xdr:pic>
      <xdr:nvPicPr>
        <xdr:cNvPr id="5" name="Picture 4"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5324" y="67236"/>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56030</xdr:rowOff>
    </xdr:from>
    <xdr:to>
      <xdr:col>0</xdr:col>
      <xdr:colOff>1423148</xdr:colOff>
      <xdr:row>2</xdr:row>
      <xdr:rowOff>67236</xdr:rowOff>
    </xdr:to>
    <xdr:sp macro="" textlink="">
      <xdr:nvSpPr>
        <xdr:cNvPr id="6" name="Rectangle 5">
          <a:hlinkClick xmlns:r="http://schemas.openxmlformats.org/officeDocument/2006/relationships" r:id="rId3"/>
        </xdr:cNvPr>
        <xdr:cNvSpPr/>
      </xdr:nvSpPr>
      <xdr:spPr>
        <a:xfrm>
          <a:off x="112059" y="6387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112063</xdr:rowOff>
    </xdr:from>
    <xdr:to>
      <xdr:col>0</xdr:col>
      <xdr:colOff>1411943</xdr:colOff>
      <xdr:row>2</xdr:row>
      <xdr:rowOff>414622</xdr:rowOff>
    </xdr:to>
    <xdr:sp macro="" textlink="">
      <xdr:nvSpPr>
        <xdr:cNvPr id="7" name="Rectangle 6">
          <a:hlinkClick xmlns:r="http://schemas.openxmlformats.org/officeDocument/2006/relationships" r:id="rId4"/>
        </xdr:cNvPr>
        <xdr:cNvSpPr/>
      </xdr:nvSpPr>
      <xdr:spPr>
        <a:xfrm>
          <a:off x="100854" y="98612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459449</xdr:rowOff>
    </xdr:from>
    <xdr:to>
      <xdr:col>0</xdr:col>
      <xdr:colOff>1423152</xdr:colOff>
      <xdr:row>2</xdr:row>
      <xdr:rowOff>762008</xdr:rowOff>
    </xdr:to>
    <xdr:sp macro="" textlink="">
      <xdr:nvSpPr>
        <xdr:cNvPr id="8" name="Rectangle 7">
          <a:hlinkClick xmlns:r="http://schemas.openxmlformats.org/officeDocument/2006/relationships" r:id="rId5"/>
        </xdr:cNvPr>
        <xdr:cNvSpPr/>
      </xdr:nvSpPr>
      <xdr:spPr>
        <a:xfrm>
          <a:off x="112063" y="133350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806831</xdr:rowOff>
    </xdr:from>
    <xdr:to>
      <xdr:col>0</xdr:col>
      <xdr:colOff>1423151</xdr:colOff>
      <xdr:row>2</xdr:row>
      <xdr:rowOff>1109390</xdr:rowOff>
    </xdr:to>
    <xdr:sp macro="" textlink="">
      <xdr:nvSpPr>
        <xdr:cNvPr id="9" name="Rectangle 8">
          <a:hlinkClick xmlns:r="http://schemas.openxmlformats.org/officeDocument/2006/relationships" r:id="rId6"/>
        </xdr:cNvPr>
        <xdr:cNvSpPr/>
      </xdr:nvSpPr>
      <xdr:spPr>
        <a:xfrm>
          <a:off x="112062" y="168089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1165416</xdr:rowOff>
    </xdr:from>
    <xdr:to>
      <xdr:col>0</xdr:col>
      <xdr:colOff>1411945</xdr:colOff>
      <xdr:row>3</xdr:row>
      <xdr:rowOff>268946</xdr:rowOff>
    </xdr:to>
    <xdr:sp macro="" textlink="">
      <xdr:nvSpPr>
        <xdr:cNvPr id="10" name="Rectangle 9">
          <a:hlinkClick xmlns:r="http://schemas.openxmlformats.org/officeDocument/2006/relationships" r:id="rId7"/>
        </xdr:cNvPr>
        <xdr:cNvSpPr/>
      </xdr:nvSpPr>
      <xdr:spPr>
        <a:xfrm>
          <a:off x="100856" y="203947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4</xdr:row>
      <xdr:rowOff>5</xdr:rowOff>
    </xdr:from>
    <xdr:to>
      <xdr:col>0</xdr:col>
      <xdr:colOff>1411945</xdr:colOff>
      <xdr:row>4</xdr:row>
      <xdr:rowOff>302564</xdr:rowOff>
    </xdr:to>
    <xdr:sp macro="" textlink="">
      <xdr:nvSpPr>
        <xdr:cNvPr id="11" name="Rectangle 10">
          <a:hlinkClick xmlns:r="http://schemas.openxmlformats.org/officeDocument/2006/relationships" r:id="rId8"/>
        </xdr:cNvPr>
        <xdr:cNvSpPr/>
      </xdr:nvSpPr>
      <xdr:spPr>
        <a:xfrm>
          <a:off x="100856" y="239806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347391</xdr:rowOff>
    </xdr:from>
    <xdr:to>
      <xdr:col>0</xdr:col>
      <xdr:colOff>1423151</xdr:colOff>
      <xdr:row>4</xdr:row>
      <xdr:rowOff>649950</xdr:rowOff>
    </xdr:to>
    <xdr:sp macro="" textlink="">
      <xdr:nvSpPr>
        <xdr:cNvPr id="12" name="Rectangle 11">
          <a:hlinkClick xmlns:r="http://schemas.openxmlformats.org/officeDocument/2006/relationships" r:id="rId9"/>
        </xdr:cNvPr>
        <xdr:cNvSpPr/>
      </xdr:nvSpPr>
      <xdr:spPr>
        <a:xfrm>
          <a:off x="112062" y="274545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5</xdr:row>
      <xdr:rowOff>11210</xdr:rowOff>
    </xdr:from>
    <xdr:to>
      <xdr:col>0</xdr:col>
      <xdr:colOff>1423150</xdr:colOff>
      <xdr:row>5</xdr:row>
      <xdr:rowOff>313769</xdr:rowOff>
    </xdr:to>
    <xdr:sp macro="" textlink="">
      <xdr:nvSpPr>
        <xdr:cNvPr id="13" name="Rectangle 12">
          <a:hlinkClick xmlns:r="http://schemas.openxmlformats.org/officeDocument/2006/relationships" r:id="rId10"/>
        </xdr:cNvPr>
        <xdr:cNvSpPr/>
      </xdr:nvSpPr>
      <xdr:spPr>
        <a:xfrm>
          <a:off x="112061" y="309282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5</xdr:row>
      <xdr:rowOff>358592</xdr:rowOff>
    </xdr:from>
    <xdr:to>
      <xdr:col>0</xdr:col>
      <xdr:colOff>1423150</xdr:colOff>
      <xdr:row>5</xdr:row>
      <xdr:rowOff>661151</xdr:rowOff>
    </xdr:to>
    <xdr:sp macro="" textlink="">
      <xdr:nvSpPr>
        <xdr:cNvPr id="14" name="Rectangle 13">
          <a:hlinkClick xmlns:r="http://schemas.openxmlformats.org/officeDocument/2006/relationships" r:id="rId11"/>
        </xdr:cNvPr>
        <xdr:cNvSpPr/>
      </xdr:nvSpPr>
      <xdr:spPr>
        <a:xfrm>
          <a:off x="112061" y="344021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6</xdr:row>
      <xdr:rowOff>6</xdr:rowOff>
    </xdr:from>
    <xdr:to>
      <xdr:col>0</xdr:col>
      <xdr:colOff>1423150</xdr:colOff>
      <xdr:row>6</xdr:row>
      <xdr:rowOff>302565</xdr:rowOff>
    </xdr:to>
    <xdr:sp macro="" textlink="">
      <xdr:nvSpPr>
        <xdr:cNvPr id="15" name="Rectangle 14">
          <a:hlinkClick xmlns:r="http://schemas.openxmlformats.org/officeDocument/2006/relationships" r:id="rId12"/>
        </xdr:cNvPr>
        <xdr:cNvSpPr/>
      </xdr:nvSpPr>
      <xdr:spPr>
        <a:xfrm>
          <a:off x="112061" y="376518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6</xdr:row>
      <xdr:rowOff>347390</xdr:rowOff>
    </xdr:from>
    <xdr:to>
      <xdr:col>0</xdr:col>
      <xdr:colOff>1411945</xdr:colOff>
      <xdr:row>6</xdr:row>
      <xdr:rowOff>649949</xdr:rowOff>
    </xdr:to>
    <xdr:sp macro="" textlink="">
      <xdr:nvSpPr>
        <xdr:cNvPr id="16" name="Rectangle 15">
          <a:hlinkClick xmlns:r="http://schemas.openxmlformats.org/officeDocument/2006/relationships" r:id="rId13"/>
        </xdr:cNvPr>
        <xdr:cNvSpPr/>
      </xdr:nvSpPr>
      <xdr:spPr>
        <a:xfrm>
          <a:off x="100856" y="411256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MULOK 3</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93</xdr:col>
      <xdr:colOff>204509</xdr:colOff>
      <xdr:row>3</xdr:row>
      <xdr:rowOff>124807</xdr:rowOff>
    </xdr:from>
    <xdr:to>
      <xdr:col>93</xdr:col>
      <xdr:colOff>2667001</xdr:colOff>
      <xdr:row>3</xdr:row>
      <xdr:rowOff>916782</xdr:rowOff>
    </xdr:to>
    <xdr:sp macro="" textlink="">
      <xdr:nvSpPr>
        <xdr:cNvPr id="4" name="TextBox 3"/>
        <xdr:cNvSpPr txBox="1"/>
      </xdr:nvSpPr>
      <xdr:spPr>
        <a:xfrm>
          <a:off x="18359159" y="1001107"/>
          <a:ext cx="1786217"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212911</xdr:colOff>
      <xdr:row>0</xdr:row>
      <xdr:rowOff>78443</xdr:rowOff>
    </xdr:from>
    <xdr:to>
      <xdr:col>0</xdr:col>
      <xdr:colOff>1303524</xdr:colOff>
      <xdr:row>0</xdr:row>
      <xdr:rowOff>561310</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1" y="78443"/>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85</xdr:col>
      <xdr:colOff>168086</xdr:colOff>
      <xdr:row>0</xdr:row>
      <xdr:rowOff>44824</xdr:rowOff>
    </xdr:from>
    <xdr:to>
      <xdr:col>88</xdr:col>
      <xdr:colOff>216552</xdr:colOff>
      <xdr:row>0</xdr:row>
      <xdr:rowOff>527691</xdr:rowOff>
    </xdr:to>
    <xdr:pic>
      <xdr:nvPicPr>
        <xdr:cNvPr id="7" name="Picture 6"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0939439"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44824</xdr:rowOff>
    </xdr:from>
    <xdr:to>
      <xdr:col>0</xdr:col>
      <xdr:colOff>1434354</xdr:colOff>
      <xdr:row>1</xdr:row>
      <xdr:rowOff>347383</xdr:rowOff>
    </xdr:to>
    <xdr:sp macro="" textlink="">
      <xdr:nvSpPr>
        <xdr:cNvPr id="8" name="Rectangle 7">
          <a:hlinkClick xmlns:r="http://schemas.openxmlformats.org/officeDocument/2006/relationships" r:id="rId3"/>
        </xdr:cNvPr>
        <xdr:cNvSpPr/>
      </xdr:nvSpPr>
      <xdr:spPr>
        <a:xfrm>
          <a:off x="123265" y="62753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AGAMA  </a:t>
          </a:r>
        </a:p>
      </xdr:txBody>
    </xdr:sp>
    <xdr:clientData/>
  </xdr:twoCellAnchor>
  <xdr:twoCellAnchor>
    <xdr:from>
      <xdr:col>0</xdr:col>
      <xdr:colOff>112060</xdr:colOff>
      <xdr:row>1</xdr:row>
      <xdr:rowOff>392210</xdr:rowOff>
    </xdr:from>
    <xdr:to>
      <xdr:col>0</xdr:col>
      <xdr:colOff>1423149</xdr:colOff>
      <xdr:row>3</xdr:row>
      <xdr:rowOff>4</xdr:rowOff>
    </xdr:to>
    <xdr:sp macro="" textlink="">
      <xdr:nvSpPr>
        <xdr:cNvPr id="9" name="Rectangle 8">
          <a:hlinkClick xmlns:r="http://schemas.openxmlformats.org/officeDocument/2006/relationships" r:id="rId4"/>
        </xdr:cNvPr>
        <xdr:cNvSpPr/>
      </xdr:nvSpPr>
      <xdr:spPr>
        <a:xfrm>
          <a:off x="112060" y="97491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3</xdr:row>
      <xdr:rowOff>44831</xdr:rowOff>
    </xdr:from>
    <xdr:to>
      <xdr:col>0</xdr:col>
      <xdr:colOff>1434358</xdr:colOff>
      <xdr:row>3</xdr:row>
      <xdr:rowOff>347390</xdr:rowOff>
    </xdr:to>
    <xdr:sp macro="" textlink="">
      <xdr:nvSpPr>
        <xdr:cNvPr id="10" name="Rectangle 9">
          <a:hlinkClick xmlns:r="http://schemas.openxmlformats.org/officeDocument/2006/relationships" r:id="rId5"/>
        </xdr:cNvPr>
        <xdr:cNvSpPr/>
      </xdr:nvSpPr>
      <xdr:spPr>
        <a:xfrm>
          <a:off x="123269" y="1322302"/>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3</xdr:row>
      <xdr:rowOff>392213</xdr:rowOff>
    </xdr:from>
    <xdr:to>
      <xdr:col>0</xdr:col>
      <xdr:colOff>1434357</xdr:colOff>
      <xdr:row>3</xdr:row>
      <xdr:rowOff>694772</xdr:rowOff>
    </xdr:to>
    <xdr:sp macro="" textlink="">
      <xdr:nvSpPr>
        <xdr:cNvPr id="11" name="Rectangle 10">
          <a:hlinkClick xmlns:r="http://schemas.openxmlformats.org/officeDocument/2006/relationships" r:id="rId6"/>
        </xdr:cNvPr>
        <xdr:cNvSpPr/>
      </xdr:nvSpPr>
      <xdr:spPr>
        <a:xfrm>
          <a:off x="123268" y="166968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3</xdr:row>
      <xdr:rowOff>750798</xdr:rowOff>
    </xdr:from>
    <xdr:to>
      <xdr:col>0</xdr:col>
      <xdr:colOff>1423151</xdr:colOff>
      <xdr:row>3</xdr:row>
      <xdr:rowOff>1053357</xdr:rowOff>
    </xdr:to>
    <xdr:sp macro="" textlink="">
      <xdr:nvSpPr>
        <xdr:cNvPr id="12" name="Rectangle 11">
          <a:hlinkClick xmlns:r="http://schemas.openxmlformats.org/officeDocument/2006/relationships" r:id="rId7"/>
        </xdr:cNvPr>
        <xdr:cNvSpPr/>
      </xdr:nvSpPr>
      <xdr:spPr>
        <a:xfrm>
          <a:off x="112062" y="202826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1109387</xdr:rowOff>
    </xdr:from>
    <xdr:to>
      <xdr:col>0</xdr:col>
      <xdr:colOff>1423151</xdr:colOff>
      <xdr:row>4</xdr:row>
      <xdr:rowOff>212917</xdr:rowOff>
    </xdr:to>
    <xdr:sp macro="" textlink="">
      <xdr:nvSpPr>
        <xdr:cNvPr id="13" name="Rectangle 12">
          <a:hlinkClick xmlns:r="http://schemas.openxmlformats.org/officeDocument/2006/relationships" r:id="rId8"/>
        </xdr:cNvPr>
        <xdr:cNvSpPr/>
      </xdr:nvSpPr>
      <xdr:spPr>
        <a:xfrm>
          <a:off x="112062" y="2386858"/>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257744</xdr:rowOff>
    </xdr:from>
    <xdr:to>
      <xdr:col>0</xdr:col>
      <xdr:colOff>1434357</xdr:colOff>
      <xdr:row>5</xdr:row>
      <xdr:rowOff>235332</xdr:rowOff>
    </xdr:to>
    <xdr:sp macro="" textlink="">
      <xdr:nvSpPr>
        <xdr:cNvPr id="14" name="Rectangle 13">
          <a:hlinkClick xmlns:r="http://schemas.openxmlformats.org/officeDocument/2006/relationships" r:id="rId9"/>
        </xdr:cNvPr>
        <xdr:cNvSpPr/>
      </xdr:nvSpPr>
      <xdr:spPr>
        <a:xfrm>
          <a:off x="123268" y="273424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5</xdr:row>
      <xdr:rowOff>280151</xdr:rowOff>
    </xdr:from>
    <xdr:to>
      <xdr:col>0</xdr:col>
      <xdr:colOff>1434356</xdr:colOff>
      <xdr:row>5</xdr:row>
      <xdr:rowOff>582710</xdr:rowOff>
    </xdr:to>
    <xdr:sp macro="" textlink="">
      <xdr:nvSpPr>
        <xdr:cNvPr id="15" name="Rectangle 14">
          <a:hlinkClick xmlns:r="http://schemas.openxmlformats.org/officeDocument/2006/relationships" r:id="rId10"/>
        </xdr:cNvPr>
        <xdr:cNvSpPr/>
      </xdr:nvSpPr>
      <xdr:spPr>
        <a:xfrm>
          <a:off x="123267" y="3081622"/>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627533</xdr:rowOff>
    </xdr:from>
    <xdr:to>
      <xdr:col>0</xdr:col>
      <xdr:colOff>1434356</xdr:colOff>
      <xdr:row>6</xdr:row>
      <xdr:rowOff>134475</xdr:rowOff>
    </xdr:to>
    <xdr:sp macro="" textlink="">
      <xdr:nvSpPr>
        <xdr:cNvPr id="16" name="Rectangle 15">
          <a:hlinkClick xmlns:r="http://schemas.openxmlformats.org/officeDocument/2006/relationships" r:id="rId11"/>
        </xdr:cNvPr>
        <xdr:cNvSpPr/>
      </xdr:nvSpPr>
      <xdr:spPr>
        <a:xfrm>
          <a:off x="123267" y="342900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6</xdr:row>
      <xdr:rowOff>156888</xdr:rowOff>
    </xdr:from>
    <xdr:to>
      <xdr:col>0</xdr:col>
      <xdr:colOff>1434356</xdr:colOff>
      <xdr:row>6</xdr:row>
      <xdr:rowOff>459447</xdr:rowOff>
    </xdr:to>
    <xdr:sp macro="" textlink="">
      <xdr:nvSpPr>
        <xdr:cNvPr id="17" name="Rectangle 16">
          <a:hlinkClick xmlns:r="http://schemas.openxmlformats.org/officeDocument/2006/relationships" r:id="rId12"/>
        </xdr:cNvPr>
        <xdr:cNvSpPr/>
      </xdr:nvSpPr>
      <xdr:spPr>
        <a:xfrm>
          <a:off x="123267" y="375397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504272</xdr:rowOff>
    </xdr:from>
    <xdr:to>
      <xdr:col>0</xdr:col>
      <xdr:colOff>1423151</xdr:colOff>
      <xdr:row>7</xdr:row>
      <xdr:rowOff>11213</xdr:rowOff>
    </xdr:to>
    <xdr:sp macro="" textlink="">
      <xdr:nvSpPr>
        <xdr:cNvPr id="18" name="Rectangle 17">
          <a:hlinkClick xmlns:r="http://schemas.openxmlformats.org/officeDocument/2006/relationships" r:id="rId13"/>
        </xdr:cNvPr>
        <xdr:cNvSpPr/>
      </xdr:nvSpPr>
      <xdr:spPr>
        <a:xfrm>
          <a:off x="112062" y="410136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36</xdr:col>
      <xdr:colOff>204509</xdr:colOff>
      <xdr:row>2</xdr:row>
      <xdr:rowOff>124807</xdr:rowOff>
    </xdr:from>
    <xdr:to>
      <xdr:col>49</xdr:col>
      <xdr:colOff>68036</xdr:colOff>
      <xdr:row>2</xdr:row>
      <xdr:rowOff>916782</xdr:rowOff>
    </xdr:to>
    <xdr:sp macro="" textlink="">
      <xdr:nvSpPr>
        <xdr:cNvPr id="4" name="TextBox 3"/>
        <xdr:cNvSpPr txBox="1"/>
      </xdr:nvSpPr>
      <xdr:spPr>
        <a:xfrm>
          <a:off x="19649116" y="1009271"/>
          <a:ext cx="2516920"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238430</xdr:colOff>
      <xdr:row>0</xdr:row>
      <xdr:rowOff>63498</xdr:rowOff>
    </xdr:from>
    <xdr:to>
      <xdr:col>0</xdr:col>
      <xdr:colOff>1329043</xdr:colOff>
      <xdr:row>0</xdr:row>
      <xdr:rowOff>546365</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8430" y="63498"/>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148784</xdr:colOff>
      <xdr:row>1</xdr:row>
      <xdr:rowOff>30502</xdr:rowOff>
    </xdr:from>
    <xdr:to>
      <xdr:col>0</xdr:col>
      <xdr:colOff>1459873</xdr:colOff>
      <xdr:row>2</xdr:row>
      <xdr:rowOff>36727</xdr:rowOff>
    </xdr:to>
    <xdr:sp macro="" textlink="">
      <xdr:nvSpPr>
        <xdr:cNvPr id="7" name="Rectangle 6">
          <a:hlinkClick xmlns:r="http://schemas.openxmlformats.org/officeDocument/2006/relationships" r:id="rId3"/>
        </xdr:cNvPr>
        <xdr:cNvSpPr/>
      </xdr:nvSpPr>
      <xdr:spPr>
        <a:xfrm>
          <a:off x="148784" y="61258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137579</xdr:colOff>
      <xdr:row>2</xdr:row>
      <xdr:rowOff>81554</xdr:rowOff>
    </xdr:from>
    <xdr:to>
      <xdr:col>0</xdr:col>
      <xdr:colOff>1448668</xdr:colOff>
      <xdr:row>2</xdr:row>
      <xdr:rowOff>384113</xdr:rowOff>
    </xdr:to>
    <xdr:sp macro="" textlink="">
      <xdr:nvSpPr>
        <xdr:cNvPr id="8" name="Rectangle 7">
          <a:hlinkClick xmlns:r="http://schemas.openxmlformats.org/officeDocument/2006/relationships" r:id="rId4"/>
        </xdr:cNvPr>
        <xdr:cNvSpPr/>
      </xdr:nvSpPr>
      <xdr:spPr>
        <a:xfrm>
          <a:off x="137579" y="95997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PKN  </a:t>
          </a:r>
        </a:p>
      </xdr:txBody>
    </xdr:sp>
    <xdr:clientData/>
  </xdr:twoCellAnchor>
  <xdr:twoCellAnchor>
    <xdr:from>
      <xdr:col>0</xdr:col>
      <xdr:colOff>148788</xdr:colOff>
      <xdr:row>2</xdr:row>
      <xdr:rowOff>428940</xdr:rowOff>
    </xdr:from>
    <xdr:to>
      <xdr:col>0</xdr:col>
      <xdr:colOff>1459877</xdr:colOff>
      <xdr:row>2</xdr:row>
      <xdr:rowOff>731499</xdr:rowOff>
    </xdr:to>
    <xdr:sp macro="" textlink="">
      <xdr:nvSpPr>
        <xdr:cNvPr id="9" name="Rectangle 8">
          <a:hlinkClick xmlns:r="http://schemas.openxmlformats.org/officeDocument/2006/relationships" r:id="rId5"/>
        </xdr:cNvPr>
        <xdr:cNvSpPr/>
      </xdr:nvSpPr>
      <xdr:spPr>
        <a:xfrm>
          <a:off x="148788" y="130735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148787</xdr:colOff>
      <xdr:row>2</xdr:row>
      <xdr:rowOff>776322</xdr:rowOff>
    </xdr:from>
    <xdr:to>
      <xdr:col>0</xdr:col>
      <xdr:colOff>1459876</xdr:colOff>
      <xdr:row>2</xdr:row>
      <xdr:rowOff>1078881</xdr:rowOff>
    </xdr:to>
    <xdr:sp macro="" textlink="">
      <xdr:nvSpPr>
        <xdr:cNvPr id="10" name="Rectangle 9">
          <a:hlinkClick xmlns:r="http://schemas.openxmlformats.org/officeDocument/2006/relationships" r:id="rId6"/>
        </xdr:cNvPr>
        <xdr:cNvSpPr/>
      </xdr:nvSpPr>
      <xdr:spPr>
        <a:xfrm>
          <a:off x="148787" y="165473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137581</xdr:colOff>
      <xdr:row>2</xdr:row>
      <xdr:rowOff>1134907</xdr:rowOff>
    </xdr:from>
    <xdr:to>
      <xdr:col>0</xdr:col>
      <xdr:colOff>1448670</xdr:colOff>
      <xdr:row>3</xdr:row>
      <xdr:rowOff>241550</xdr:rowOff>
    </xdr:to>
    <xdr:sp macro="" textlink="">
      <xdr:nvSpPr>
        <xdr:cNvPr id="11" name="Rectangle 10">
          <a:hlinkClick xmlns:r="http://schemas.openxmlformats.org/officeDocument/2006/relationships" r:id="rId7"/>
        </xdr:cNvPr>
        <xdr:cNvSpPr/>
      </xdr:nvSpPr>
      <xdr:spPr>
        <a:xfrm>
          <a:off x="137581" y="201332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137581</xdr:colOff>
      <xdr:row>3</xdr:row>
      <xdr:rowOff>297580</xdr:rowOff>
    </xdr:from>
    <xdr:to>
      <xdr:col>0</xdr:col>
      <xdr:colOff>1448670</xdr:colOff>
      <xdr:row>4</xdr:row>
      <xdr:rowOff>272055</xdr:rowOff>
    </xdr:to>
    <xdr:sp macro="" textlink="">
      <xdr:nvSpPr>
        <xdr:cNvPr id="12" name="Rectangle 11">
          <a:hlinkClick xmlns:r="http://schemas.openxmlformats.org/officeDocument/2006/relationships" r:id="rId8"/>
        </xdr:cNvPr>
        <xdr:cNvSpPr/>
      </xdr:nvSpPr>
      <xdr:spPr>
        <a:xfrm>
          <a:off x="137581" y="237191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148787</xdr:colOff>
      <xdr:row>4</xdr:row>
      <xdr:rowOff>316882</xdr:rowOff>
    </xdr:from>
    <xdr:to>
      <xdr:col>0</xdr:col>
      <xdr:colOff>1459876</xdr:colOff>
      <xdr:row>4</xdr:row>
      <xdr:rowOff>619441</xdr:rowOff>
    </xdr:to>
    <xdr:sp macro="" textlink="">
      <xdr:nvSpPr>
        <xdr:cNvPr id="13" name="Rectangle 12">
          <a:hlinkClick xmlns:r="http://schemas.openxmlformats.org/officeDocument/2006/relationships" r:id="rId9"/>
        </xdr:cNvPr>
        <xdr:cNvSpPr/>
      </xdr:nvSpPr>
      <xdr:spPr>
        <a:xfrm>
          <a:off x="148787" y="271929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148786</xdr:colOff>
      <xdr:row>4</xdr:row>
      <xdr:rowOff>664260</xdr:rowOff>
    </xdr:from>
    <xdr:to>
      <xdr:col>0</xdr:col>
      <xdr:colOff>1459875</xdr:colOff>
      <xdr:row>5</xdr:row>
      <xdr:rowOff>215403</xdr:rowOff>
    </xdr:to>
    <xdr:sp macro="" textlink="">
      <xdr:nvSpPr>
        <xdr:cNvPr id="14" name="Rectangle 13">
          <a:hlinkClick xmlns:r="http://schemas.openxmlformats.org/officeDocument/2006/relationships" r:id="rId10"/>
        </xdr:cNvPr>
        <xdr:cNvSpPr/>
      </xdr:nvSpPr>
      <xdr:spPr>
        <a:xfrm>
          <a:off x="148786" y="306667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148786</xdr:colOff>
      <xdr:row>5</xdr:row>
      <xdr:rowOff>260226</xdr:rowOff>
    </xdr:from>
    <xdr:to>
      <xdr:col>0</xdr:col>
      <xdr:colOff>1459875</xdr:colOff>
      <xdr:row>5</xdr:row>
      <xdr:rowOff>562785</xdr:rowOff>
    </xdr:to>
    <xdr:sp macro="" textlink="">
      <xdr:nvSpPr>
        <xdr:cNvPr id="15" name="Rectangle 14">
          <a:hlinkClick xmlns:r="http://schemas.openxmlformats.org/officeDocument/2006/relationships" r:id="rId11"/>
        </xdr:cNvPr>
        <xdr:cNvSpPr/>
      </xdr:nvSpPr>
      <xdr:spPr>
        <a:xfrm>
          <a:off x="148786" y="341405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148786</xdr:colOff>
      <xdr:row>5</xdr:row>
      <xdr:rowOff>585198</xdr:rowOff>
    </xdr:from>
    <xdr:to>
      <xdr:col>0</xdr:col>
      <xdr:colOff>1459875</xdr:colOff>
      <xdr:row>6</xdr:row>
      <xdr:rowOff>136340</xdr:rowOff>
    </xdr:to>
    <xdr:sp macro="" textlink="">
      <xdr:nvSpPr>
        <xdr:cNvPr id="16" name="Rectangle 15">
          <a:hlinkClick xmlns:r="http://schemas.openxmlformats.org/officeDocument/2006/relationships" r:id="rId12"/>
        </xdr:cNvPr>
        <xdr:cNvSpPr/>
      </xdr:nvSpPr>
      <xdr:spPr>
        <a:xfrm>
          <a:off x="148786" y="373903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137581</xdr:colOff>
      <xdr:row>6</xdr:row>
      <xdr:rowOff>181165</xdr:rowOff>
    </xdr:from>
    <xdr:to>
      <xdr:col>0</xdr:col>
      <xdr:colOff>1448670</xdr:colOff>
      <xdr:row>6</xdr:row>
      <xdr:rowOff>483724</xdr:rowOff>
    </xdr:to>
    <xdr:sp macro="" textlink="">
      <xdr:nvSpPr>
        <xdr:cNvPr id="17" name="Rectangle 16">
          <a:hlinkClick xmlns:r="http://schemas.openxmlformats.org/officeDocument/2006/relationships" r:id="rId13"/>
        </xdr:cNvPr>
        <xdr:cNvSpPr/>
      </xdr:nvSpPr>
      <xdr:spPr>
        <a:xfrm>
          <a:off x="137581" y="408641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48</xdr:col>
      <xdr:colOff>204509</xdr:colOff>
      <xdr:row>2</xdr:row>
      <xdr:rowOff>124807</xdr:rowOff>
    </xdr:from>
    <xdr:to>
      <xdr:col>64</xdr:col>
      <xdr:colOff>33618</xdr:colOff>
      <xdr:row>2</xdr:row>
      <xdr:rowOff>916782</xdr:rowOff>
    </xdr:to>
    <xdr:sp macro="" textlink="">
      <xdr:nvSpPr>
        <xdr:cNvPr id="4" name="TextBox 3"/>
        <xdr:cNvSpPr txBox="1"/>
      </xdr:nvSpPr>
      <xdr:spPr>
        <a:xfrm>
          <a:off x="18201156" y="998866"/>
          <a:ext cx="2563344"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212911</xdr:colOff>
      <xdr:row>0</xdr:row>
      <xdr:rowOff>44824</xdr:rowOff>
    </xdr:from>
    <xdr:to>
      <xdr:col>0</xdr:col>
      <xdr:colOff>1303524</xdr:colOff>
      <xdr:row>0</xdr:row>
      <xdr:rowOff>527691</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1"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11205</xdr:rowOff>
    </xdr:from>
    <xdr:to>
      <xdr:col>0</xdr:col>
      <xdr:colOff>1434354</xdr:colOff>
      <xdr:row>2</xdr:row>
      <xdr:rowOff>22411</xdr:rowOff>
    </xdr:to>
    <xdr:sp macro="" textlink="">
      <xdr:nvSpPr>
        <xdr:cNvPr id="7" name="Rectangle 6">
          <a:hlinkClick xmlns:r="http://schemas.openxmlformats.org/officeDocument/2006/relationships" r:id="rId3"/>
        </xdr:cNvPr>
        <xdr:cNvSpPr/>
      </xdr:nvSpPr>
      <xdr:spPr>
        <a:xfrm>
          <a:off x="123265" y="59391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67238</xdr:rowOff>
    </xdr:from>
    <xdr:to>
      <xdr:col>0</xdr:col>
      <xdr:colOff>1423149</xdr:colOff>
      <xdr:row>2</xdr:row>
      <xdr:rowOff>369797</xdr:rowOff>
    </xdr:to>
    <xdr:sp macro="" textlink="">
      <xdr:nvSpPr>
        <xdr:cNvPr id="8" name="Rectangle 7">
          <a:hlinkClick xmlns:r="http://schemas.openxmlformats.org/officeDocument/2006/relationships" r:id="rId4"/>
        </xdr:cNvPr>
        <xdr:cNvSpPr/>
      </xdr:nvSpPr>
      <xdr:spPr>
        <a:xfrm>
          <a:off x="112060" y="94129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414624</xdr:rowOff>
    </xdr:from>
    <xdr:to>
      <xdr:col>0</xdr:col>
      <xdr:colOff>1434358</xdr:colOff>
      <xdr:row>2</xdr:row>
      <xdr:rowOff>717183</xdr:rowOff>
    </xdr:to>
    <xdr:sp macro="" textlink="">
      <xdr:nvSpPr>
        <xdr:cNvPr id="9" name="Rectangle 8">
          <a:hlinkClick xmlns:r="http://schemas.openxmlformats.org/officeDocument/2006/relationships" r:id="rId5"/>
        </xdr:cNvPr>
        <xdr:cNvSpPr/>
      </xdr:nvSpPr>
      <xdr:spPr>
        <a:xfrm>
          <a:off x="123269" y="128868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B.IND  </a:t>
          </a:r>
        </a:p>
      </xdr:txBody>
    </xdr:sp>
    <xdr:clientData/>
  </xdr:twoCellAnchor>
  <xdr:twoCellAnchor>
    <xdr:from>
      <xdr:col>0</xdr:col>
      <xdr:colOff>123268</xdr:colOff>
      <xdr:row>2</xdr:row>
      <xdr:rowOff>762006</xdr:rowOff>
    </xdr:from>
    <xdr:to>
      <xdr:col>0</xdr:col>
      <xdr:colOff>1434357</xdr:colOff>
      <xdr:row>2</xdr:row>
      <xdr:rowOff>1064565</xdr:rowOff>
    </xdr:to>
    <xdr:sp macro="" textlink="">
      <xdr:nvSpPr>
        <xdr:cNvPr id="10" name="Rectangle 9">
          <a:hlinkClick xmlns:r="http://schemas.openxmlformats.org/officeDocument/2006/relationships" r:id="rId6"/>
        </xdr:cNvPr>
        <xdr:cNvSpPr/>
      </xdr:nvSpPr>
      <xdr:spPr>
        <a:xfrm>
          <a:off x="123268" y="163606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1120591</xdr:rowOff>
    </xdr:from>
    <xdr:to>
      <xdr:col>0</xdr:col>
      <xdr:colOff>1423151</xdr:colOff>
      <xdr:row>3</xdr:row>
      <xdr:rowOff>224121</xdr:rowOff>
    </xdr:to>
    <xdr:sp macro="" textlink="">
      <xdr:nvSpPr>
        <xdr:cNvPr id="11" name="Rectangle 10">
          <a:hlinkClick xmlns:r="http://schemas.openxmlformats.org/officeDocument/2006/relationships" r:id="rId7"/>
        </xdr:cNvPr>
        <xdr:cNvSpPr/>
      </xdr:nvSpPr>
      <xdr:spPr>
        <a:xfrm>
          <a:off x="112062" y="199465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280151</xdr:rowOff>
    </xdr:from>
    <xdr:to>
      <xdr:col>0</xdr:col>
      <xdr:colOff>1423151</xdr:colOff>
      <xdr:row>4</xdr:row>
      <xdr:rowOff>257739</xdr:rowOff>
    </xdr:to>
    <xdr:sp macro="" textlink="">
      <xdr:nvSpPr>
        <xdr:cNvPr id="12" name="Rectangle 11">
          <a:hlinkClick xmlns:r="http://schemas.openxmlformats.org/officeDocument/2006/relationships" r:id="rId8"/>
        </xdr:cNvPr>
        <xdr:cNvSpPr/>
      </xdr:nvSpPr>
      <xdr:spPr>
        <a:xfrm>
          <a:off x="112062" y="235323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302566</xdr:rowOff>
    </xdr:from>
    <xdr:to>
      <xdr:col>0</xdr:col>
      <xdr:colOff>1434357</xdr:colOff>
      <xdr:row>4</xdr:row>
      <xdr:rowOff>605125</xdr:rowOff>
    </xdr:to>
    <xdr:sp macro="" textlink="">
      <xdr:nvSpPr>
        <xdr:cNvPr id="13" name="Rectangle 12">
          <a:hlinkClick xmlns:r="http://schemas.openxmlformats.org/officeDocument/2006/relationships" r:id="rId9"/>
        </xdr:cNvPr>
        <xdr:cNvSpPr/>
      </xdr:nvSpPr>
      <xdr:spPr>
        <a:xfrm>
          <a:off x="123268" y="270062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4</xdr:row>
      <xdr:rowOff>649944</xdr:rowOff>
    </xdr:from>
    <xdr:to>
      <xdr:col>0</xdr:col>
      <xdr:colOff>1434356</xdr:colOff>
      <xdr:row>5</xdr:row>
      <xdr:rowOff>123268</xdr:rowOff>
    </xdr:to>
    <xdr:sp macro="" textlink="">
      <xdr:nvSpPr>
        <xdr:cNvPr id="14" name="Rectangle 13">
          <a:hlinkClick xmlns:r="http://schemas.openxmlformats.org/officeDocument/2006/relationships" r:id="rId10"/>
        </xdr:cNvPr>
        <xdr:cNvSpPr/>
      </xdr:nvSpPr>
      <xdr:spPr>
        <a:xfrm>
          <a:off x="123267" y="30480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168091</xdr:rowOff>
    </xdr:from>
    <xdr:to>
      <xdr:col>0</xdr:col>
      <xdr:colOff>1434356</xdr:colOff>
      <xdr:row>5</xdr:row>
      <xdr:rowOff>470650</xdr:rowOff>
    </xdr:to>
    <xdr:sp macro="" textlink="">
      <xdr:nvSpPr>
        <xdr:cNvPr id="15" name="Rectangle 14">
          <a:hlinkClick xmlns:r="http://schemas.openxmlformats.org/officeDocument/2006/relationships" r:id="rId11"/>
        </xdr:cNvPr>
        <xdr:cNvSpPr/>
      </xdr:nvSpPr>
      <xdr:spPr>
        <a:xfrm>
          <a:off x="123267" y="339538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493063</xdr:rowOff>
    </xdr:from>
    <xdr:to>
      <xdr:col>0</xdr:col>
      <xdr:colOff>1434356</xdr:colOff>
      <xdr:row>5</xdr:row>
      <xdr:rowOff>795622</xdr:rowOff>
    </xdr:to>
    <xdr:sp macro="" textlink="">
      <xdr:nvSpPr>
        <xdr:cNvPr id="16" name="Rectangle 15">
          <a:hlinkClick xmlns:r="http://schemas.openxmlformats.org/officeDocument/2006/relationships" r:id="rId12"/>
        </xdr:cNvPr>
        <xdr:cNvSpPr/>
      </xdr:nvSpPr>
      <xdr:spPr>
        <a:xfrm>
          <a:off x="123267" y="372035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11212</xdr:rowOff>
    </xdr:from>
    <xdr:to>
      <xdr:col>0</xdr:col>
      <xdr:colOff>1423151</xdr:colOff>
      <xdr:row>6</xdr:row>
      <xdr:rowOff>313771</xdr:rowOff>
    </xdr:to>
    <xdr:sp macro="" textlink="">
      <xdr:nvSpPr>
        <xdr:cNvPr id="17" name="Rectangle 16">
          <a:hlinkClick xmlns:r="http://schemas.openxmlformats.org/officeDocument/2006/relationships" r:id="rId13"/>
        </xdr:cNvPr>
        <xdr:cNvSpPr/>
      </xdr:nvSpPr>
      <xdr:spPr>
        <a:xfrm>
          <a:off x="112062" y="406774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48</xdr:col>
      <xdr:colOff>204509</xdr:colOff>
      <xdr:row>2</xdr:row>
      <xdr:rowOff>124807</xdr:rowOff>
    </xdr:from>
    <xdr:to>
      <xdr:col>62</xdr:col>
      <xdr:colOff>89647</xdr:colOff>
      <xdr:row>2</xdr:row>
      <xdr:rowOff>916782</xdr:rowOff>
    </xdr:to>
    <xdr:sp macro="" textlink="">
      <xdr:nvSpPr>
        <xdr:cNvPr id="4" name="TextBox 3"/>
        <xdr:cNvSpPr txBox="1"/>
      </xdr:nvSpPr>
      <xdr:spPr>
        <a:xfrm>
          <a:off x="19601891" y="998866"/>
          <a:ext cx="2552138"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219911</xdr:colOff>
      <xdr:row>0</xdr:row>
      <xdr:rowOff>71436</xdr:rowOff>
    </xdr:from>
    <xdr:to>
      <xdr:col>0</xdr:col>
      <xdr:colOff>1310524</xdr:colOff>
      <xdr:row>0</xdr:row>
      <xdr:rowOff>554303</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9911" y="71436"/>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130265</xdr:colOff>
      <xdr:row>1</xdr:row>
      <xdr:rowOff>37117</xdr:rowOff>
    </xdr:from>
    <xdr:to>
      <xdr:col>0</xdr:col>
      <xdr:colOff>1441354</xdr:colOff>
      <xdr:row>2</xdr:row>
      <xdr:rowOff>42019</xdr:rowOff>
    </xdr:to>
    <xdr:sp macro="" textlink="">
      <xdr:nvSpPr>
        <xdr:cNvPr id="7" name="Rectangle 6">
          <a:hlinkClick xmlns:r="http://schemas.openxmlformats.org/officeDocument/2006/relationships" r:id="rId3"/>
        </xdr:cNvPr>
        <xdr:cNvSpPr/>
      </xdr:nvSpPr>
      <xdr:spPr>
        <a:xfrm>
          <a:off x="130265" y="62052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119060</xdr:colOff>
      <xdr:row>2</xdr:row>
      <xdr:rowOff>86846</xdr:rowOff>
    </xdr:from>
    <xdr:to>
      <xdr:col>0</xdr:col>
      <xdr:colOff>1430149</xdr:colOff>
      <xdr:row>2</xdr:row>
      <xdr:rowOff>389405</xdr:rowOff>
    </xdr:to>
    <xdr:sp macro="" textlink="">
      <xdr:nvSpPr>
        <xdr:cNvPr id="8" name="Rectangle 7">
          <a:hlinkClick xmlns:r="http://schemas.openxmlformats.org/officeDocument/2006/relationships" r:id="rId4"/>
        </xdr:cNvPr>
        <xdr:cNvSpPr/>
      </xdr:nvSpPr>
      <xdr:spPr>
        <a:xfrm>
          <a:off x="119060" y="96790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130269</xdr:colOff>
      <xdr:row>2</xdr:row>
      <xdr:rowOff>434232</xdr:rowOff>
    </xdr:from>
    <xdr:to>
      <xdr:col>0</xdr:col>
      <xdr:colOff>1441358</xdr:colOff>
      <xdr:row>2</xdr:row>
      <xdr:rowOff>736791</xdr:rowOff>
    </xdr:to>
    <xdr:sp macro="" textlink="">
      <xdr:nvSpPr>
        <xdr:cNvPr id="9" name="Rectangle 8">
          <a:hlinkClick xmlns:r="http://schemas.openxmlformats.org/officeDocument/2006/relationships" r:id="rId5"/>
        </xdr:cNvPr>
        <xdr:cNvSpPr/>
      </xdr:nvSpPr>
      <xdr:spPr>
        <a:xfrm>
          <a:off x="130269" y="131529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130268</xdr:colOff>
      <xdr:row>2</xdr:row>
      <xdr:rowOff>781614</xdr:rowOff>
    </xdr:from>
    <xdr:to>
      <xdr:col>0</xdr:col>
      <xdr:colOff>1441357</xdr:colOff>
      <xdr:row>2</xdr:row>
      <xdr:rowOff>1084173</xdr:rowOff>
    </xdr:to>
    <xdr:sp macro="" textlink="">
      <xdr:nvSpPr>
        <xdr:cNvPr id="10" name="Rectangle 9">
          <a:hlinkClick xmlns:r="http://schemas.openxmlformats.org/officeDocument/2006/relationships" r:id="rId6"/>
        </xdr:cNvPr>
        <xdr:cNvSpPr/>
      </xdr:nvSpPr>
      <xdr:spPr>
        <a:xfrm>
          <a:off x="130268" y="166267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MTK  </a:t>
          </a:r>
        </a:p>
      </xdr:txBody>
    </xdr:sp>
    <xdr:clientData/>
  </xdr:twoCellAnchor>
  <xdr:twoCellAnchor>
    <xdr:from>
      <xdr:col>0</xdr:col>
      <xdr:colOff>119062</xdr:colOff>
      <xdr:row>2</xdr:row>
      <xdr:rowOff>1140199</xdr:rowOff>
    </xdr:from>
    <xdr:to>
      <xdr:col>0</xdr:col>
      <xdr:colOff>1430151</xdr:colOff>
      <xdr:row>3</xdr:row>
      <xdr:rowOff>240227</xdr:rowOff>
    </xdr:to>
    <xdr:sp macro="" textlink="">
      <xdr:nvSpPr>
        <xdr:cNvPr id="11" name="Rectangle 10">
          <a:hlinkClick xmlns:r="http://schemas.openxmlformats.org/officeDocument/2006/relationships" r:id="rId7"/>
        </xdr:cNvPr>
        <xdr:cNvSpPr/>
      </xdr:nvSpPr>
      <xdr:spPr>
        <a:xfrm>
          <a:off x="119062" y="2021262"/>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119062</xdr:colOff>
      <xdr:row>3</xdr:row>
      <xdr:rowOff>296257</xdr:rowOff>
    </xdr:from>
    <xdr:to>
      <xdr:col>0</xdr:col>
      <xdr:colOff>1430151</xdr:colOff>
      <xdr:row>4</xdr:row>
      <xdr:rowOff>277347</xdr:rowOff>
    </xdr:to>
    <xdr:sp macro="" textlink="">
      <xdr:nvSpPr>
        <xdr:cNvPr id="12" name="Rectangle 11">
          <a:hlinkClick xmlns:r="http://schemas.openxmlformats.org/officeDocument/2006/relationships" r:id="rId8"/>
        </xdr:cNvPr>
        <xdr:cNvSpPr/>
      </xdr:nvSpPr>
      <xdr:spPr>
        <a:xfrm>
          <a:off x="119062" y="237985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130268</xdr:colOff>
      <xdr:row>4</xdr:row>
      <xdr:rowOff>322174</xdr:rowOff>
    </xdr:from>
    <xdr:to>
      <xdr:col>0</xdr:col>
      <xdr:colOff>1441357</xdr:colOff>
      <xdr:row>4</xdr:row>
      <xdr:rowOff>624733</xdr:rowOff>
    </xdr:to>
    <xdr:sp macro="" textlink="">
      <xdr:nvSpPr>
        <xdr:cNvPr id="13" name="Rectangle 12">
          <a:hlinkClick xmlns:r="http://schemas.openxmlformats.org/officeDocument/2006/relationships" r:id="rId9"/>
        </xdr:cNvPr>
        <xdr:cNvSpPr/>
      </xdr:nvSpPr>
      <xdr:spPr>
        <a:xfrm>
          <a:off x="130268" y="272723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130267</xdr:colOff>
      <xdr:row>4</xdr:row>
      <xdr:rowOff>669552</xdr:rowOff>
    </xdr:from>
    <xdr:to>
      <xdr:col>0</xdr:col>
      <xdr:colOff>1441356</xdr:colOff>
      <xdr:row>4</xdr:row>
      <xdr:rowOff>972111</xdr:rowOff>
    </xdr:to>
    <xdr:sp macro="" textlink="">
      <xdr:nvSpPr>
        <xdr:cNvPr id="14" name="Rectangle 13">
          <a:hlinkClick xmlns:r="http://schemas.openxmlformats.org/officeDocument/2006/relationships" r:id="rId10"/>
        </xdr:cNvPr>
        <xdr:cNvSpPr/>
      </xdr:nvSpPr>
      <xdr:spPr>
        <a:xfrm>
          <a:off x="130267" y="307461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130267</xdr:colOff>
      <xdr:row>4</xdr:row>
      <xdr:rowOff>1016934</xdr:rowOff>
    </xdr:from>
    <xdr:to>
      <xdr:col>0</xdr:col>
      <xdr:colOff>1441356</xdr:colOff>
      <xdr:row>5</xdr:row>
      <xdr:rowOff>295556</xdr:rowOff>
    </xdr:to>
    <xdr:sp macro="" textlink="">
      <xdr:nvSpPr>
        <xdr:cNvPr id="15" name="Rectangle 14">
          <a:hlinkClick xmlns:r="http://schemas.openxmlformats.org/officeDocument/2006/relationships" r:id="rId11"/>
        </xdr:cNvPr>
        <xdr:cNvSpPr/>
      </xdr:nvSpPr>
      <xdr:spPr>
        <a:xfrm>
          <a:off x="130267" y="342199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130267</xdr:colOff>
      <xdr:row>5</xdr:row>
      <xdr:rowOff>317969</xdr:rowOff>
    </xdr:from>
    <xdr:to>
      <xdr:col>0</xdr:col>
      <xdr:colOff>1441356</xdr:colOff>
      <xdr:row>5</xdr:row>
      <xdr:rowOff>620528</xdr:rowOff>
    </xdr:to>
    <xdr:sp macro="" textlink="">
      <xdr:nvSpPr>
        <xdr:cNvPr id="16" name="Rectangle 15">
          <a:hlinkClick xmlns:r="http://schemas.openxmlformats.org/officeDocument/2006/relationships" r:id="rId12"/>
        </xdr:cNvPr>
        <xdr:cNvSpPr/>
      </xdr:nvSpPr>
      <xdr:spPr>
        <a:xfrm>
          <a:off x="130267" y="374696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119062</xdr:colOff>
      <xdr:row>5</xdr:row>
      <xdr:rowOff>665353</xdr:rowOff>
    </xdr:from>
    <xdr:to>
      <xdr:col>0</xdr:col>
      <xdr:colOff>1430151</xdr:colOff>
      <xdr:row>5</xdr:row>
      <xdr:rowOff>967912</xdr:rowOff>
    </xdr:to>
    <xdr:sp macro="" textlink="">
      <xdr:nvSpPr>
        <xdr:cNvPr id="17" name="Rectangle 16">
          <a:hlinkClick xmlns:r="http://schemas.openxmlformats.org/officeDocument/2006/relationships" r:id="rId13"/>
        </xdr:cNvPr>
        <xdr:cNvSpPr/>
      </xdr:nvSpPr>
      <xdr:spPr>
        <a:xfrm>
          <a:off x="119062" y="409435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42</xdr:col>
      <xdr:colOff>204509</xdr:colOff>
      <xdr:row>2</xdr:row>
      <xdr:rowOff>124807</xdr:rowOff>
    </xdr:from>
    <xdr:to>
      <xdr:col>58</xdr:col>
      <xdr:colOff>34637</xdr:colOff>
      <xdr:row>2</xdr:row>
      <xdr:rowOff>916782</xdr:rowOff>
    </xdr:to>
    <xdr:sp macro="" textlink="">
      <xdr:nvSpPr>
        <xdr:cNvPr id="4" name="TextBox 3"/>
        <xdr:cNvSpPr txBox="1"/>
      </xdr:nvSpPr>
      <xdr:spPr>
        <a:xfrm>
          <a:off x="19081327" y="1008034"/>
          <a:ext cx="2704946"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223314</xdr:colOff>
      <xdr:row>0</xdr:row>
      <xdr:rowOff>54428</xdr:rowOff>
    </xdr:from>
    <xdr:to>
      <xdr:col>0</xdr:col>
      <xdr:colOff>1313927</xdr:colOff>
      <xdr:row>0</xdr:row>
      <xdr:rowOff>537295</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23314" y="54428"/>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133668</xdr:colOff>
      <xdr:row>1</xdr:row>
      <xdr:rowOff>18408</xdr:rowOff>
    </xdr:from>
    <xdr:to>
      <xdr:col>0</xdr:col>
      <xdr:colOff>1444757</xdr:colOff>
      <xdr:row>2</xdr:row>
      <xdr:rowOff>21610</xdr:rowOff>
    </xdr:to>
    <xdr:sp macro="" textlink="">
      <xdr:nvSpPr>
        <xdr:cNvPr id="7" name="Rectangle 6">
          <a:hlinkClick xmlns:r="http://schemas.openxmlformats.org/officeDocument/2006/relationships" r:id="rId3"/>
        </xdr:cNvPr>
        <xdr:cNvSpPr/>
      </xdr:nvSpPr>
      <xdr:spPr>
        <a:xfrm>
          <a:off x="133668" y="60351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122463</xdr:colOff>
      <xdr:row>2</xdr:row>
      <xdr:rowOff>66437</xdr:rowOff>
    </xdr:from>
    <xdr:to>
      <xdr:col>0</xdr:col>
      <xdr:colOff>1433552</xdr:colOff>
      <xdr:row>2</xdr:row>
      <xdr:rowOff>368996</xdr:rowOff>
    </xdr:to>
    <xdr:sp macro="" textlink="">
      <xdr:nvSpPr>
        <xdr:cNvPr id="8" name="Rectangle 7">
          <a:hlinkClick xmlns:r="http://schemas.openxmlformats.org/officeDocument/2006/relationships" r:id="rId4"/>
        </xdr:cNvPr>
        <xdr:cNvSpPr/>
      </xdr:nvSpPr>
      <xdr:spPr>
        <a:xfrm>
          <a:off x="122463" y="95090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133672</xdr:colOff>
      <xdr:row>2</xdr:row>
      <xdr:rowOff>413823</xdr:rowOff>
    </xdr:from>
    <xdr:to>
      <xdr:col>0</xdr:col>
      <xdr:colOff>1444761</xdr:colOff>
      <xdr:row>2</xdr:row>
      <xdr:rowOff>716382</xdr:rowOff>
    </xdr:to>
    <xdr:sp macro="" textlink="">
      <xdr:nvSpPr>
        <xdr:cNvPr id="9" name="Rectangle 8">
          <a:hlinkClick xmlns:r="http://schemas.openxmlformats.org/officeDocument/2006/relationships" r:id="rId5"/>
        </xdr:cNvPr>
        <xdr:cNvSpPr/>
      </xdr:nvSpPr>
      <xdr:spPr>
        <a:xfrm>
          <a:off x="133672" y="129828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133671</xdr:colOff>
      <xdr:row>2</xdr:row>
      <xdr:rowOff>761205</xdr:rowOff>
    </xdr:from>
    <xdr:to>
      <xdr:col>0</xdr:col>
      <xdr:colOff>1444760</xdr:colOff>
      <xdr:row>2</xdr:row>
      <xdr:rowOff>1063764</xdr:rowOff>
    </xdr:to>
    <xdr:sp macro="" textlink="">
      <xdr:nvSpPr>
        <xdr:cNvPr id="10" name="Rectangle 9">
          <a:hlinkClick xmlns:r="http://schemas.openxmlformats.org/officeDocument/2006/relationships" r:id="rId6"/>
        </xdr:cNvPr>
        <xdr:cNvSpPr/>
      </xdr:nvSpPr>
      <xdr:spPr>
        <a:xfrm>
          <a:off x="133671" y="164566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122465</xdr:colOff>
      <xdr:row>2</xdr:row>
      <xdr:rowOff>1119790</xdr:rowOff>
    </xdr:from>
    <xdr:to>
      <xdr:col>0</xdr:col>
      <xdr:colOff>1433554</xdr:colOff>
      <xdr:row>3</xdr:row>
      <xdr:rowOff>224920</xdr:rowOff>
    </xdr:to>
    <xdr:sp macro="" textlink="">
      <xdr:nvSpPr>
        <xdr:cNvPr id="11" name="Rectangle 10">
          <a:hlinkClick xmlns:r="http://schemas.openxmlformats.org/officeDocument/2006/relationships" r:id="rId7"/>
        </xdr:cNvPr>
        <xdr:cNvSpPr/>
      </xdr:nvSpPr>
      <xdr:spPr>
        <a:xfrm>
          <a:off x="122465" y="200425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IPA  </a:t>
          </a:r>
        </a:p>
      </xdr:txBody>
    </xdr:sp>
    <xdr:clientData/>
  </xdr:twoCellAnchor>
  <xdr:twoCellAnchor>
    <xdr:from>
      <xdr:col>0</xdr:col>
      <xdr:colOff>122465</xdr:colOff>
      <xdr:row>3</xdr:row>
      <xdr:rowOff>280950</xdr:rowOff>
    </xdr:from>
    <xdr:to>
      <xdr:col>0</xdr:col>
      <xdr:colOff>1433554</xdr:colOff>
      <xdr:row>4</xdr:row>
      <xdr:rowOff>256938</xdr:rowOff>
    </xdr:to>
    <xdr:sp macro="" textlink="">
      <xdr:nvSpPr>
        <xdr:cNvPr id="12" name="Rectangle 11">
          <a:hlinkClick xmlns:r="http://schemas.openxmlformats.org/officeDocument/2006/relationships" r:id="rId8"/>
        </xdr:cNvPr>
        <xdr:cNvSpPr/>
      </xdr:nvSpPr>
      <xdr:spPr>
        <a:xfrm>
          <a:off x="122465" y="236284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133671</xdr:colOff>
      <xdr:row>4</xdr:row>
      <xdr:rowOff>301765</xdr:rowOff>
    </xdr:from>
    <xdr:to>
      <xdr:col>0</xdr:col>
      <xdr:colOff>1444760</xdr:colOff>
      <xdr:row>4</xdr:row>
      <xdr:rowOff>604324</xdr:rowOff>
    </xdr:to>
    <xdr:sp macro="" textlink="">
      <xdr:nvSpPr>
        <xdr:cNvPr id="13" name="Rectangle 12">
          <a:hlinkClick xmlns:r="http://schemas.openxmlformats.org/officeDocument/2006/relationships" r:id="rId9"/>
        </xdr:cNvPr>
        <xdr:cNvSpPr/>
      </xdr:nvSpPr>
      <xdr:spPr>
        <a:xfrm>
          <a:off x="133671" y="271022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133670</xdr:colOff>
      <xdr:row>4</xdr:row>
      <xdr:rowOff>649143</xdr:rowOff>
    </xdr:from>
    <xdr:to>
      <xdr:col>0</xdr:col>
      <xdr:colOff>1444759</xdr:colOff>
      <xdr:row>5</xdr:row>
      <xdr:rowOff>135273</xdr:rowOff>
    </xdr:to>
    <xdr:sp macro="" textlink="">
      <xdr:nvSpPr>
        <xdr:cNvPr id="14" name="Rectangle 13">
          <a:hlinkClick xmlns:r="http://schemas.openxmlformats.org/officeDocument/2006/relationships" r:id="rId10"/>
        </xdr:cNvPr>
        <xdr:cNvSpPr/>
      </xdr:nvSpPr>
      <xdr:spPr>
        <a:xfrm>
          <a:off x="133670" y="305760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133670</xdr:colOff>
      <xdr:row>5</xdr:row>
      <xdr:rowOff>180096</xdr:rowOff>
    </xdr:from>
    <xdr:to>
      <xdr:col>0</xdr:col>
      <xdr:colOff>1444759</xdr:colOff>
      <xdr:row>5</xdr:row>
      <xdr:rowOff>482655</xdr:rowOff>
    </xdr:to>
    <xdr:sp macro="" textlink="">
      <xdr:nvSpPr>
        <xdr:cNvPr id="15" name="Rectangle 14">
          <a:hlinkClick xmlns:r="http://schemas.openxmlformats.org/officeDocument/2006/relationships" r:id="rId11"/>
        </xdr:cNvPr>
        <xdr:cNvSpPr/>
      </xdr:nvSpPr>
      <xdr:spPr>
        <a:xfrm>
          <a:off x="133670" y="340498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133670</xdr:colOff>
      <xdr:row>5</xdr:row>
      <xdr:rowOff>505068</xdr:rowOff>
    </xdr:from>
    <xdr:to>
      <xdr:col>0</xdr:col>
      <xdr:colOff>1444759</xdr:colOff>
      <xdr:row>5</xdr:row>
      <xdr:rowOff>807627</xdr:rowOff>
    </xdr:to>
    <xdr:sp macro="" textlink="">
      <xdr:nvSpPr>
        <xdr:cNvPr id="16" name="Rectangle 15">
          <a:hlinkClick xmlns:r="http://schemas.openxmlformats.org/officeDocument/2006/relationships" r:id="rId12"/>
        </xdr:cNvPr>
        <xdr:cNvSpPr/>
      </xdr:nvSpPr>
      <xdr:spPr>
        <a:xfrm>
          <a:off x="133670" y="372996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122465</xdr:colOff>
      <xdr:row>6</xdr:row>
      <xdr:rowOff>36024</xdr:rowOff>
    </xdr:from>
    <xdr:to>
      <xdr:col>0</xdr:col>
      <xdr:colOff>1433554</xdr:colOff>
      <xdr:row>6</xdr:row>
      <xdr:rowOff>338583</xdr:rowOff>
    </xdr:to>
    <xdr:sp macro="" textlink="">
      <xdr:nvSpPr>
        <xdr:cNvPr id="17" name="Rectangle 16">
          <a:hlinkClick xmlns:r="http://schemas.openxmlformats.org/officeDocument/2006/relationships" r:id="rId13"/>
        </xdr:cNvPr>
        <xdr:cNvSpPr/>
      </xdr:nvSpPr>
      <xdr:spPr>
        <a:xfrm>
          <a:off x="122465" y="407734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39</xdr:col>
      <xdr:colOff>204509</xdr:colOff>
      <xdr:row>2</xdr:row>
      <xdr:rowOff>124807</xdr:rowOff>
    </xdr:from>
    <xdr:to>
      <xdr:col>57</xdr:col>
      <xdr:colOff>168088</xdr:colOff>
      <xdr:row>2</xdr:row>
      <xdr:rowOff>916782</xdr:rowOff>
    </xdr:to>
    <xdr:sp macro="" textlink="">
      <xdr:nvSpPr>
        <xdr:cNvPr id="5" name="TextBox 4"/>
        <xdr:cNvSpPr txBox="1"/>
      </xdr:nvSpPr>
      <xdr:spPr>
        <a:xfrm>
          <a:off x="18638185" y="998866"/>
          <a:ext cx="2809874"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212911</xdr:colOff>
      <xdr:row>0</xdr:row>
      <xdr:rowOff>44824</xdr:rowOff>
    </xdr:from>
    <xdr:to>
      <xdr:col>0</xdr:col>
      <xdr:colOff>1303524</xdr:colOff>
      <xdr:row>0</xdr:row>
      <xdr:rowOff>527691</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1"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11205</xdr:rowOff>
    </xdr:from>
    <xdr:to>
      <xdr:col>0</xdr:col>
      <xdr:colOff>1434354</xdr:colOff>
      <xdr:row>2</xdr:row>
      <xdr:rowOff>22411</xdr:rowOff>
    </xdr:to>
    <xdr:sp macro="" textlink="">
      <xdr:nvSpPr>
        <xdr:cNvPr id="7" name="Rectangle 6">
          <a:hlinkClick xmlns:r="http://schemas.openxmlformats.org/officeDocument/2006/relationships" r:id="rId3"/>
        </xdr:cNvPr>
        <xdr:cNvSpPr/>
      </xdr:nvSpPr>
      <xdr:spPr>
        <a:xfrm>
          <a:off x="123265" y="59391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67238</xdr:rowOff>
    </xdr:from>
    <xdr:to>
      <xdr:col>0</xdr:col>
      <xdr:colOff>1423149</xdr:colOff>
      <xdr:row>2</xdr:row>
      <xdr:rowOff>369797</xdr:rowOff>
    </xdr:to>
    <xdr:sp macro="" textlink="">
      <xdr:nvSpPr>
        <xdr:cNvPr id="8" name="Rectangle 7">
          <a:hlinkClick xmlns:r="http://schemas.openxmlformats.org/officeDocument/2006/relationships" r:id="rId4"/>
        </xdr:cNvPr>
        <xdr:cNvSpPr/>
      </xdr:nvSpPr>
      <xdr:spPr>
        <a:xfrm>
          <a:off x="112060" y="94129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414624</xdr:rowOff>
    </xdr:from>
    <xdr:to>
      <xdr:col>0</xdr:col>
      <xdr:colOff>1434358</xdr:colOff>
      <xdr:row>2</xdr:row>
      <xdr:rowOff>717183</xdr:rowOff>
    </xdr:to>
    <xdr:sp macro="" textlink="">
      <xdr:nvSpPr>
        <xdr:cNvPr id="9" name="Rectangle 8">
          <a:hlinkClick xmlns:r="http://schemas.openxmlformats.org/officeDocument/2006/relationships" r:id="rId5"/>
        </xdr:cNvPr>
        <xdr:cNvSpPr/>
      </xdr:nvSpPr>
      <xdr:spPr>
        <a:xfrm>
          <a:off x="123269" y="128868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2</xdr:row>
      <xdr:rowOff>762006</xdr:rowOff>
    </xdr:from>
    <xdr:to>
      <xdr:col>0</xdr:col>
      <xdr:colOff>1434357</xdr:colOff>
      <xdr:row>2</xdr:row>
      <xdr:rowOff>1064565</xdr:rowOff>
    </xdr:to>
    <xdr:sp macro="" textlink="">
      <xdr:nvSpPr>
        <xdr:cNvPr id="10" name="Rectangle 9">
          <a:hlinkClick xmlns:r="http://schemas.openxmlformats.org/officeDocument/2006/relationships" r:id="rId6"/>
        </xdr:cNvPr>
        <xdr:cNvSpPr/>
      </xdr:nvSpPr>
      <xdr:spPr>
        <a:xfrm>
          <a:off x="123268" y="163606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1120591</xdr:rowOff>
    </xdr:from>
    <xdr:to>
      <xdr:col>0</xdr:col>
      <xdr:colOff>1423151</xdr:colOff>
      <xdr:row>3</xdr:row>
      <xdr:rowOff>224121</xdr:rowOff>
    </xdr:to>
    <xdr:sp macro="" textlink="">
      <xdr:nvSpPr>
        <xdr:cNvPr id="11" name="Rectangle 10">
          <a:hlinkClick xmlns:r="http://schemas.openxmlformats.org/officeDocument/2006/relationships" r:id="rId7"/>
        </xdr:cNvPr>
        <xdr:cNvSpPr/>
      </xdr:nvSpPr>
      <xdr:spPr>
        <a:xfrm>
          <a:off x="112062" y="199465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280151</xdr:rowOff>
    </xdr:from>
    <xdr:to>
      <xdr:col>0</xdr:col>
      <xdr:colOff>1423151</xdr:colOff>
      <xdr:row>4</xdr:row>
      <xdr:rowOff>257739</xdr:rowOff>
    </xdr:to>
    <xdr:sp macro="" textlink="">
      <xdr:nvSpPr>
        <xdr:cNvPr id="12" name="Rectangle 11">
          <a:hlinkClick xmlns:r="http://schemas.openxmlformats.org/officeDocument/2006/relationships" r:id="rId8"/>
        </xdr:cNvPr>
        <xdr:cNvSpPr/>
      </xdr:nvSpPr>
      <xdr:spPr>
        <a:xfrm>
          <a:off x="112062" y="235323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IPS  </a:t>
          </a:r>
        </a:p>
      </xdr:txBody>
    </xdr:sp>
    <xdr:clientData/>
  </xdr:twoCellAnchor>
  <xdr:twoCellAnchor>
    <xdr:from>
      <xdr:col>0</xdr:col>
      <xdr:colOff>123268</xdr:colOff>
      <xdr:row>4</xdr:row>
      <xdr:rowOff>302566</xdr:rowOff>
    </xdr:from>
    <xdr:to>
      <xdr:col>0</xdr:col>
      <xdr:colOff>1434357</xdr:colOff>
      <xdr:row>4</xdr:row>
      <xdr:rowOff>605125</xdr:rowOff>
    </xdr:to>
    <xdr:sp macro="" textlink="">
      <xdr:nvSpPr>
        <xdr:cNvPr id="13" name="Rectangle 12">
          <a:hlinkClick xmlns:r="http://schemas.openxmlformats.org/officeDocument/2006/relationships" r:id="rId9"/>
        </xdr:cNvPr>
        <xdr:cNvSpPr/>
      </xdr:nvSpPr>
      <xdr:spPr>
        <a:xfrm>
          <a:off x="123268" y="270062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4</xdr:row>
      <xdr:rowOff>649944</xdr:rowOff>
    </xdr:from>
    <xdr:to>
      <xdr:col>0</xdr:col>
      <xdr:colOff>1434356</xdr:colOff>
      <xdr:row>5</xdr:row>
      <xdr:rowOff>246533</xdr:rowOff>
    </xdr:to>
    <xdr:sp macro="" textlink="">
      <xdr:nvSpPr>
        <xdr:cNvPr id="14" name="Rectangle 13">
          <a:hlinkClick xmlns:r="http://schemas.openxmlformats.org/officeDocument/2006/relationships" r:id="rId10"/>
        </xdr:cNvPr>
        <xdr:cNvSpPr/>
      </xdr:nvSpPr>
      <xdr:spPr>
        <a:xfrm>
          <a:off x="123267" y="30480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291356</xdr:rowOff>
    </xdr:from>
    <xdr:to>
      <xdr:col>0</xdr:col>
      <xdr:colOff>1434356</xdr:colOff>
      <xdr:row>5</xdr:row>
      <xdr:rowOff>593915</xdr:rowOff>
    </xdr:to>
    <xdr:sp macro="" textlink="">
      <xdr:nvSpPr>
        <xdr:cNvPr id="15" name="Rectangle 14">
          <a:hlinkClick xmlns:r="http://schemas.openxmlformats.org/officeDocument/2006/relationships" r:id="rId11"/>
        </xdr:cNvPr>
        <xdr:cNvSpPr/>
      </xdr:nvSpPr>
      <xdr:spPr>
        <a:xfrm>
          <a:off x="123267" y="339538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616328</xdr:rowOff>
    </xdr:from>
    <xdr:to>
      <xdr:col>0</xdr:col>
      <xdr:colOff>1434356</xdr:colOff>
      <xdr:row>6</xdr:row>
      <xdr:rowOff>212916</xdr:rowOff>
    </xdr:to>
    <xdr:sp macro="" textlink="">
      <xdr:nvSpPr>
        <xdr:cNvPr id="16" name="Rectangle 15">
          <a:hlinkClick xmlns:r="http://schemas.openxmlformats.org/officeDocument/2006/relationships" r:id="rId12"/>
        </xdr:cNvPr>
        <xdr:cNvSpPr/>
      </xdr:nvSpPr>
      <xdr:spPr>
        <a:xfrm>
          <a:off x="123267" y="372035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257741</xdr:rowOff>
    </xdr:from>
    <xdr:to>
      <xdr:col>0</xdr:col>
      <xdr:colOff>1423151</xdr:colOff>
      <xdr:row>6</xdr:row>
      <xdr:rowOff>560300</xdr:rowOff>
    </xdr:to>
    <xdr:sp macro="" textlink="">
      <xdr:nvSpPr>
        <xdr:cNvPr id="17" name="Rectangle 16">
          <a:hlinkClick xmlns:r="http://schemas.openxmlformats.org/officeDocument/2006/relationships" r:id="rId13"/>
        </xdr:cNvPr>
        <xdr:cNvSpPr/>
      </xdr:nvSpPr>
      <xdr:spPr>
        <a:xfrm>
          <a:off x="112062" y="406774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39</xdr:col>
      <xdr:colOff>204508</xdr:colOff>
      <xdr:row>2</xdr:row>
      <xdr:rowOff>124807</xdr:rowOff>
    </xdr:from>
    <xdr:to>
      <xdr:col>54</xdr:col>
      <xdr:colOff>34635</xdr:colOff>
      <xdr:row>2</xdr:row>
      <xdr:rowOff>916782</xdr:rowOff>
    </xdr:to>
    <xdr:sp macro="" textlink="">
      <xdr:nvSpPr>
        <xdr:cNvPr id="4" name="TextBox 3"/>
        <xdr:cNvSpPr txBox="1"/>
      </xdr:nvSpPr>
      <xdr:spPr>
        <a:xfrm>
          <a:off x="18146144" y="1008034"/>
          <a:ext cx="2808855"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236921</xdr:colOff>
      <xdr:row>0</xdr:row>
      <xdr:rowOff>54428</xdr:rowOff>
    </xdr:from>
    <xdr:to>
      <xdr:col>0</xdr:col>
      <xdr:colOff>1327534</xdr:colOff>
      <xdr:row>0</xdr:row>
      <xdr:rowOff>537295</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6921" y="54428"/>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147275</xdr:colOff>
      <xdr:row>1</xdr:row>
      <xdr:rowOff>18408</xdr:rowOff>
    </xdr:from>
    <xdr:to>
      <xdr:col>0</xdr:col>
      <xdr:colOff>1458364</xdr:colOff>
      <xdr:row>2</xdr:row>
      <xdr:rowOff>21610</xdr:rowOff>
    </xdr:to>
    <xdr:sp macro="" textlink="">
      <xdr:nvSpPr>
        <xdr:cNvPr id="7" name="Rectangle 6">
          <a:hlinkClick xmlns:r="http://schemas.openxmlformats.org/officeDocument/2006/relationships" r:id="rId3"/>
        </xdr:cNvPr>
        <xdr:cNvSpPr/>
      </xdr:nvSpPr>
      <xdr:spPr>
        <a:xfrm>
          <a:off x="147275" y="60351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136070</xdr:colOff>
      <xdr:row>2</xdr:row>
      <xdr:rowOff>66437</xdr:rowOff>
    </xdr:from>
    <xdr:to>
      <xdr:col>0</xdr:col>
      <xdr:colOff>1447159</xdr:colOff>
      <xdr:row>2</xdr:row>
      <xdr:rowOff>368996</xdr:rowOff>
    </xdr:to>
    <xdr:sp macro="" textlink="">
      <xdr:nvSpPr>
        <xdr:cNvPr id="8" name="Rectangle 7">
          <a:hlinkClick xmlns:r="http://schemas.openxmlformats.org/officeDocument/2006/relationships" r:id="rId4"/>
        </xdr:cNvPr>
        <xdr:cNvSpPr/>
      </xdr:nvSpPr>
      <xdr:spPr>
        <a:xfrm>
          <a:off x="136070" y="95090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147279</xdr:colOff>
      <xdr:row>2</xdr:row>
      <xdr:rowOff>413823</xdr:rowOff>
    </xdr:from>
    <xdr:to>
      <xdr:col>0</xdr:col>
      <xdr:colOff>1458368</xdr:colOff>
      <xdr:row>2</xdr:row>
      <xdr:rowOff>716382</xdr:rowOff>
    </xdr:to>
    <xdr:sp macro="" textlink="">
      <xdr:nvSpPr>
        <xdr:cNvPr id="9" name="Rectangle 8">
          <a:hlinkClick xmlns:r="http://schemas.openxmlformats.org/officeDocument/2006/relationships" r:id="rId5"/>
        </xdr:cNvPr>
        <xdr:cNvSpPr/>
      </xdr:nvSpPr>
      <xdr:spPr>
        <a:xfrm>
          <a:off x="147279" y="129828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147278</xdr:colOff>
      <xdr:row>2</xdr:row>
      <xdr:rowOff>761205</xdr:rowOff>
    </xdr:from>
    <xdr:to>
      <xdr:col>0</xdr:col>
      <xdr:colOff>1458367</xdr:colOff>
      <xdr:row>2</xdr:row>
      <xdr:rowOff>1063764</xdr:rowOff>
    </xdr:to>
    <xdr:sp macro="" textlink="">
      <xdr:nvSpPr>
        <xdr:cNvPr id="10" name="Rectangle 9">
          <a:hlinkClick xmlns:r="http://schemas.openxmlformats.org/officeDocument/2006/relationships" r:id="rId6"/>
        </xdr:cNvPr>
        <xdr:cNvSpPr/>
      </xdr:nvSpPr>
      <xdr:spPr>
        <a:xfrm>
          <a:off x="147278" y="164566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136072</xdr:colOff>
      <xdr:row>2</xdr:row>
      <xdr:rowOff>1119790</xdr:rowOff>
    </xdr:from>
    <xdr:to>
      <xdr:col>0</xdr:col>
      <xdr:colOff>1447161</xdr:colOff>
      <xdr:row>3</xdr:row>
      <xdr:rowOff>224920</xdr:rowOff>
    </xdr:to>
    <xdr:sp macro="" textlink="">
      <xdr:nvSpPr>
        <xdr:cNvPr id="11" name="Rectangle 10">
          <a:hlinkClick xmlns:r="http://schemas.openxmlformats.org/officeDocument/2006/relationships" r:id="rId7"/>
        </xdr:cNvPr>
        <xdr:cNvSpPr/>
      </xdr:nvSpPr>
      <xdr:spPr>
        <a:xfrm>
          <a:off x="136072" y="200425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136072</xdr:colOff>
      <xdr:row>3</xdr:row>
      <xdr:rowOff>280950</xdr:rowOff>
    </xdr:from>
    <xdr:to>
      <xdr:col>0</xdr:col>
      <xdr:colOff>1447161</xdr:colOff>
      <xdr:row>4</xdr:row>
      <xdr:rowOff>256938</xdr:rowOff>
    </xdr:to>
    <xdr:sp macro="" textlink="">
      <xdr:nvSpPr>
        <xdr:cNvPr id="12" name="Rectangle 11">
          <a:hlinkClick xmlns:r="http://schemas.openxmlformats.org/officeDocument/2006/relationships" r:id="rId8"/>
        </xdr:cNvPr>
        <xdr:cNvSpPr/>
      </xdr:nvSpPr>
      <xdr:spPr>
        <a:xfrm>
          <a:off x="136072" y="236284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147278</xdr:colOff>
      <xdr:row>4</xdr:row>
      <xdr:rowOff>301765</xdr:rowOff>
    </xdr:from>
    <xdr:to>
      <xdr:col>0</xdr:col>
      <xdr:colOff>1458367</xdr:colOff>
      <xdr:row>4</xdr:row>
      <xdr:rowOff>604324</xdr:rowOff>
    </xdr:to>
    <xdr:sp macro="" textlink="">
      <xdr:nvSpPr>
        <xdr:cNvPr id="13" name="Rectangle 12">
          <a:hlinkClick xmlns:r="http://schemas.openxmlformats.org/officeDocument/2006/relationships" r:id="rId9"/>
        </xdr:cNvPr>
        <xdr:cNvSpPr/>
      </xdr:nvSpPr>
      <xdr:spPr>
        <a:xfrm>
          <a:off x="147278" y="271022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SBDP  </a:t>
          </a:r>
        </a:p>
      </xdr:txBody>
    </xdr:sp>
    <xdr:clientData/>
  </xdr:twoCellAnchor>
  <xdr:twoCellAnchor>
    <xdr:from>
      <xdr:col>0</xdr:col>
      <xdr:colOff>147277</xdr:colOff>
      <xdr:row>4</xdr:row>
      <xdr:rowOff>649143</xdr:rowOff>
    </xdr:from>
    <xdr:to>
      <xdr:col>0</xdr:col>
      <xdr:colOff>1458366</xdr:colOff>
      <xdr:row>5</xdr:row>
      <xdr:rowOff>80845</xdr:rowOff>
    </xdr:to>
    <xdr:sp macro="" textlink="">
      <xdr:nvSpPr>
        <xdr:cNvPr id="14" name="Rectangle 13">
          <a:hlinkClick xmlns:r="http://schemas.openxmlformats.org/officeDocument/2006/relationships" r:id="rId10"/>
        </xdr:cNvPr>
        <xdr:cNvSpPr/>
      </xdr:nvSpPr>
      <xdr:spPr>
        <a:xfrm>
          <a:off x="147277" y="305760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147277</xdr:colOff>
      <xdr:row>5</xdr:row>
      <xdr:rowOff>125668</xdr:rowOff>
    </xdr:from>
    <xdr:to>
      <xdr:col>0</xdr:col>
      <xdr:colOff>1458366</xdr:colOff>
      <xdr:row>5</xdr:row>
      <xdr:rowOff>428227</xdr:rowOff>
    </xdr:to>
    <xdr:sp macro="" textlink="">
      <xdr:nvSpPr>
        <xdr:cNvPr id="15" name="Rectangle 14">
          <a:hlinkClick xmlns:r="http://schemas.openxmlformats.org/officeDocument/2006/relationships" r:id="rId11"/>
        </xdr:cNvPr>
        <xdr:cNvSpPr/>
      </xdr:nvSpPr>
      <xdr:spPr>
        <a:xfrm>
          <a:off x="147277" y="340498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147277</xdr:colOff>
      <xdr:row>5</xdr:row>
      <xdr:rowOff>450640</xdr:rowOff>
    </xdr:from>
    <xdr:to>
      <xdr:col>0</xdr:col>
      <xdr:colOff>1458366</xdr:colOff>
      <xdr:row>5</xdr:row>
      <xdr:rowOff>753199</xdr:rowOff>
    </xdr:to>
    <xdr:sp macro="" textlink="">
      <xdr:nvSpPr>
        <xdr:cNvPr id="16" name="Rectangle 15">
          <a:hlinkClick xmlns:r="http://schemas.openxmlformats.org/officeDocument/2006/relationships" r:id="rId12"/>
        </xdr:cNvPr>
        <xdr:cNvSpPr/>
      </xdr:nvSpPr>
      <xdr:spPr>
        <a:xfrm>
          <a:off x="147277" y="372996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136072</xdr:colOff>
      <xdr:row>5</xdr:row>
      <xdr:rowOff>798024</xdr:rowOff>
    </xdr:from>
    <xdr:to>
      <xdr:col>0</xdr:col>
      <xdr:colOff>1447161</xdr:colOff>
      <xdr:row>6</xdr:row>
      <xdr:rowOff>229725</xdr:rowOff>
    </xdr:to>
    <xdr:sp macro="" textlink="">
      <xdr:nvSpPr>
        <xdr:cNvPr id="17" name="Rectangle 16">
          <a:hlinkClick xmlns:r="http://schemas.openxmlformats.org/officeDocument/2006/relationships" r:id="rId13"/>
        </xdr:cNvPr>
        <xdr:cNvSpPr/>
      </xdr:nvSpPr>
      <xdr:spPr>
        <a:xfrm>
          <a:off x="136072" y="407734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42</xdr:col>
      <xdr:colOff>204508</xdr:colOff>
      <xdr:row>2</xdr:row>
      <xdr:rowOff>124807</xdr:rowOff>
    </xdr:from>
    <xdr:to>
      <xdr:col>57</xdr:col>
      <xdr:colOff>326571</xdr:colOff>
      <xdr:row>2</xdr:row>
      <xdr:rowOff>916782</xdr:rowOff>
    </xdr:to>
    <xdr:sp macro="" textlink="">
      <xdr:nvSpPr>
        <xdr:cNvPr id="4" name="TextBox 3"/>
        <xdr:cNvSpPr txBox="1"/>
      </xdr:nvSpPr>
      <xdr:spPr>
        <a:xfrm>
          <a:off x="18465294" y="1009271"/>
          <a:ext cx="2748241"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201705</xdr:colOff>
      <xdr:row>0</xdr:row>
      <xdr:rowOff>56030</xdr:rowOff>
    </xdr:from>
    <xdr:to>
      <xdr:col>0</xdr:col>
      <xdr:colOff>1292318</xdr:colOff>
      <xdr:row>0</xdr:row>
      <xdr:rowOff>538897</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01705" y="5603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22411</xdr:rowOff>
    </xdr:from>
    <xdr:to>
      <xdr:col>0</xdr:col>
      <xdr:colOff>1423148</xdr:colOff>
      <xdr:row>2</xdr:row>
      <xdr:rowOff>33617</xdr:rowOff>
    </xdr:to>
    <xdr:sp macro="" textlink="">
      <xdr:nvSpPr>
        <xdr:cNvPr id="7" name="Rectangle 6">
          <a:hlinkClick xmlns:r="http://schemas.openxmlformats.org/officeDocument/2006/relationships" r:id="rId3"/>
        </xdr:cNvPr>
        <xdr:cNvSpPr/>
      </xdr:nvSpPr>
      <xdr:spPr>
        <a:xfrm>
          <a:off x="112059" y="60511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78444</xdr:rowOff>
    </xdr:from>
    <xdr:to>
      <xdr:col>0</xdr:col>
      <xdr:colOff>1411943</xdr:colOff>
      <xdr:row>2</xdr:row>
      <xdr:rowOff>381003</xdr:rowOff>
    </xdr:to>
    <xdr:sp macro="" textlink="">
      <xdr:nvSpPr>
        <xdr:cNvPr id="8" name="Rectangle 7">
          <a:hlinkClick xmlns:r="http://schemas.openxmlformats.org/officeDocument/2006/relationships" r:id="rId4"/>
        </xdr:cNvPr>
        <xdr:cNvSpPr/>
      </xdr:nvSpPr>
      <xdr:spPr>
        <a:xfrm>
          <a:off x="100854" y="9525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425830</xdr:rowOff>
    </xdr:from>
    <xdr:to>
      <xdr:col>0</xdr:col>
      <xdr:colOff>1423152</xdr:colOff>
      <xdr:row>2</xdr:row>
      <xdr:rowOff>728389</xdr:rowOff>
    </xdr:to>
    <xdr:sp macro="" textlink="">
      <xdr:nvSpPr>
        <xdr:cNvPr id="9" name="Rectangle 8">
          <a:hlinkClick xmlns:r="http://schemas.openxmlformats.org/officeDocument/2006/relationships" r:id="rId5"/>
        </xdr:cNvPr>
        <xdr:cNvSpPr/>
      </xdr:nvSpPr>
      <xdr:spPr>
        <a:xfrm>
          <a:off x="112063" y="129988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773212</xdr:rowOff>
    </xdr:from>
    <xdr:to>
      <xdr:col>0</xdr:col>
      <xdr:colOff>1423151</xdr:colOff>
      <xdr:row>2</xdr:row>
      <xdr:rowOff>1075771</xdr:rowOff>
    </xdr:to>
    <xdr:sp macro="" textlink="">
      <xdr:nvSpPr>
        <xdr:cNvPr id="10" name="Rectangle 9">
          <a:hlinkClick xmlns:r="http://schemas.openxmlformats.org/officeDocument/2006/relationships" r:id="rId6"/>
        </xdr:cNvPr>
        <xdr:cNvSpPr/>
      </xdr:nvSpPr>
      <xdr:spPr>
        <a:xfrm>
          <a:off x="112062" y="164727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1131797</xdr:rowOff>
    </xdr:from>
    <xdr:to>
      <xdr:col>0</xdr:col>
      <xdr:colOff>1411945</xdr:colOff>
      <xdr:row>3</xdr:row>
      <xdr:rowOff>235327</xdr:rowOff>
    </xdr:to>
    <xdr:sp macro="" textlink="">
      <xdr:nvSpPr>
        <xdr:cNvPr id="11" name="Rectangle 10">
          <a:hlinkClick xmlns:r="http://schemas.openxmlformats.org/officeDocument/2006/relationships" r:id="rId7"/>
        </xdr:cNvPr>
        <xdr:cNvSpPr/>
      </xdr:nvSpPr>
      <xdr:spPr>
        <a:xfrm>
          <a:off x="100856" y="200585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291357</xdr:rowOff>
    </xdr:from>
    <xdr:to>
      <xdr:col>0</xdr:col>
      <xdr:colOff>1411945</xdr:colOff>
      <xdr:row>4</xdr:row>
      <xdr:rowOff>268945</xdr:rowOff>
    </xdr:to>
    <xdr:sp macro="" textlink="">
      <xdr:nvSpPr>
        <xdr:cNvPr id="12" name="Rectangle 11">
          <a:hlinkClick xmlns:r="http://schemas.openxmlformats.org/officeDocument/2006/relationships" r:id="rId8"/>
        </xdr:cNvPr>
        <xdr:cNvSpPr/>
      </xdr:nvSpPr>
      <xdr:spPr>
        <a:xfrm>
          <a:off x="100856" y="236444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313772</xdr:rowOff>
    </xdr:from>
    <xdr:to>
      <xdr:col>0</xdr:col>
      <xdr:colOff>1423151</xdr:colOff>
      <xdr:row>4</xdr:row>
      <xdr:rowOff>616331</xdr:rowOff>
    </xdr:to>
    <xdr:sp macro="" textlink="">
      <xdr:nvSpPr>
        <xdr:cNvPr id="13" name="Rectangle 12">
          <a:hlinkClick xmlns:r="http://schemas.openxmlformats.org/officeDocument/2006/relationships" r:id="rId9"/>
        </xdr:cNvPr>
        <xdr:cNvSpPr/>
      </xdr:nvSpPr>
      <xdr:spPr>
        <a:xfrm>
          <a:off x="112062" y="271183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4</xdr:row>
      <xdr:rowOff>661150</xdr:rowOff>
    </xdr:from>
    <xdr:to>
      <xdr:col>0</xdr:col>
      <xdr:colOff>1423150</xdr:colOff>
      <xdr:row>5</xdr:row>
      <xdr:rowOff>112062</xdr:rowOff>
    </xdr:to>
    <xdr:sp macro="" textlink="">
      <xdr:nvSpPr>
        <xdr:cNvPr id="14" name="Rectangle 13">
          <a:hlinkClick xmlns:r="http://schemas.openxmlformats.org/officeDocument/2006/relationships" r:id="rId10"/>
        </xdr:cNvPr>
        <xdr:cNvSpPr/>
      </xdr:nvSpPr>
      <xdr:spPr>
        <a:xfrm>
          <a:off x="112061" y="305920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PJOK  </a:t>
          </a:r>
        </a:p>
      </xdr:txBody>
    </xdr:sp>
    <xdr:clientData/>
  </xdr:twoCellAnchor>
  <xdr:twoCellAnchor>
    <xdr:from>
      <xdr:col>0</xdr:col>
      <xdr:colOff>112061</xdr:colOff>
      <xdr:row>5</xdr:row>
      <xdr:rowOff>156885</xdr:rowOff>
    </xdr:from>
    <xdr:to>
      <xdr:col>0</xdr:col>
      <xdr:colOff>1423150</xdr:colOff>
      <xdr:row>5</xdr:row>
      <xdr:rowOff>459444</xdr:rowOff>
    </xdr:to>
    <xdr:sp macro="" textlink="">
      <xdr:nvSpPr>
        <xdr:cNvPr id="15" name="Rectangle 14">
          <a:hlinkClick xmlns:r="http://schemas.openxmlformats.org/officeDocument/2006/relationships" r:id="rId11"/>
        </xdr:cNvPr>
        <xdr:cNvSpPr/>
      </xdr:nvSpPr>
      <xdr:spPr>
        <a:xfrm>
          <a:off x="112061" y="340659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5</xdr:row>
      <xdr:rowOff>481857</xdr:rowOff>
    </xdr:from>
    <xdr:to>
      <xdr:col>0</xdr:col>
      <xdr:colOff>1423150</xdr:colOff>
      <xdr:row>5</xdr:row>
      <xdr:rowOff>784416</xdr:rowOff>
    </xdr:to>
    <xdr:sp macro="" textlink="">
      <xdr:nvSpPr>
        <xdr:cNvPr id="16" name="Rectangle 15">
          <a:hlinkClick xmlns:r="http://schemas.openxmlformats.org/officeDocument/2006/relationships" r:id="rId12"/>
        </xdr:cNvPr>
        <xdr:cNvSpPr/>
      </xdr:nvSpPr>
      <xdr:spPr>
        <a:xfrm>
          <a:off x="112061" y="373156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5</xdr:row>
      <xdr:rowOff>829241</xdr:rowOff>
    </xdr:from>
    <xdr:to>
      <xdr:col>0</xdr:col>
      <xdr:colOff>1411945</xdr:colOff>
      <xdr:row>6</xdr:row>
      <xdr:rowOff>280153</xdr:rowOff>
    </xdr:to>
    <xdr:sp macro="" textlink="">
      <xdr:nvSpPr>
        <xdr:cNvPr id="17" name="Rectangle 16">
          <a:hlinkClick xmlns:r="http://schemas.openxmlformats.org/officeDocument/2006/relationships" r:id="rId13"/>
        </xdr:cNvPr>
        <xdr:cNvSpPr/>
      </xdr:nvSpPr>
      <xdr:spPr>
        <a:xfrm>
          <a:off x="100856" y="407894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39</xdr:col>
      <xdr:colOff>204509</xdr:colOff>
      <xdr:row>2</xdr:row>
      <xdr:rowOff>124807</xdr:rowOff>
    </xdr:from>
    <xdr:to>
      <xdr:col>55</xdr:col>
      <xdr:colOff>67235</xdr:colOff>
      <xdr:row>2</xdr:row>
      <xdr:rowOff>916782</xdr:rowOff>
    </xdr:to>
    <xdr:sp macro="" textlink="">
      <xdr:nvSpPr>
        <xdr:cNvPr id="4" name="TextBox 3"/>
        <xdr:cNvSpPr txBox="1"/>
      </xdr:nvSpPr>
      <xdr:spPr>
        <a:xfrm>
          <a:off x="18335627" y="998866"/>
          <a:ext cx="2585755"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243723</xdr:colOff>
      <xdr:row>0</xdr:row>
      <xdr:rowOff>59530</xdr:rowOff>
    </xdr:from>
    <xdr:to>
      <xdr:col>0</xdr:col>
      <xdr:colOff>1334336</xdr:colOff>
      <xdr:row>0</xdr:row>
      <xdr:rowOff>542397</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43723" y="5953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154077</xdr:colOff>
      <xdr:row>1</xdr:row>
      <xdr:rowOff>25211</xdr:rowOff>
    </xdr:from>
    <xdr:to>
      <xdr:col>0</xdr:col>
      <xdr:colOff>1465166</xdr:colOff>
      <xdr:row>2</xdr:row>
      <xdr:rowOff>30113</xdr:rowOff>
    </xdr:to>
    <xdr:sp macro="" textlink="">
      <xdr:nvSpPr>
        <xdr:cNvPr id="7" name="Rectangle 6">
          <a:hlinkClick xmlns:r="http://schemas.openxmlformats.org/officeDocument/2006/relationships" r:id="rId3"/>
        </xdr:cNvPr>
        <xdr:cNvSpPr/>
      </xdr:nvSpPr>
      <xdr:spPr>
        <a:xfrm>
          <a:off x="154077" y="60861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142872</xdr:colOff>
      <xdr:row>2</xdr:row>
      <xdr:rowOff>74940</xdr:rowOff>
    </xdr:from>
    <xdr:to>
      <xdr:col>0</xdr:col>
      <xdr:colOff>1453961</xdr:colOff>
      <xdr:row>2</xdr:row>
      <xdr:rowOff>377499</xdr:rowOff>
    </xdr:to>
    <xdr:sp macro="" textlink="">
      <xdr:nvSpPr>
        <xdr:cNvPr id="8" name="Rectangle 7">
          <a:hlinkClick xmlns:r="http://schemas.openxmlformats.org/officeDocument/2006/relationships" r:id="rId4"/>
        </xdr:cNvPr>
        <xdr:cNvSpPr/>
      </xdr:nvSpPr>
      <xdr:spPr>
        <a:xfrm>
          <a:off x="142872" y="9560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154081</xdr:colOff>
      <xdr:row>2</xdr:row>
      <xdr:rowOff>422326</xdr:rowOff>
    </xdr:from>
    <xdr:to>
      <xdr:col>0</xdr:col>
      <xdr:colOff>1465170</xdr:colOff>
      <xdr:row>2</xdr:row>
      <xdr:rowOff>724885</xdr:rowOff>
    </xdr:to>
    <xdr:sp macro="" textlink="">
      <xdr:nvSpPr>
        <xdr:cNvPr id="9" name="Rectangle 8">
          <a:hlinkClick xmlns:r="http://schemas.openxmlformats.org/officeDocument/2006/relationships" r:id="rId5"/>
        </xdr:cNvPr>
        <xdr:cNvSpPr/>
      </xdr:nvSpPr>
      <xdr:spPr>
        <a:xfrm>
          <a:off x="154081" y="130338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154080</xdr:colOff>
      <xdr:row>2</xdr:row>
      <xdr:rowOff>769708</xdr:rowOff>
    </xdr:from>
    <xdr:to>
      <xdr:col>0</xdr:col>
      <xdr:colOff>1465169</xdr:colOff>
      <xdr:row>2</xdr:row>
      <xdr:rowOff>1072267</xdr:rowOff>
    </xdr:to>
    <xdr:sp macro="" textlink="">
      <xdr:nvSpPr>
        <xdr:cNvPr id="10" name="Rectangle 9">
          <a:hlinkClick xmlns:r="http://schemas.openxmlformats.org/officeDocument/2006/relationships" r:id="rId6"/>
        </xdr:cNvPr>
        <xdr:cNvSpPr/>
      </xdr:nvSpPr>
      <xdr:spPr>
        <a:xfrm>
          <a:off x="154080" y="165077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142874</xdr:colOff>
      <xdr:row>2</xdr:row>
      <xdr:rowOff>1128293</xdr:rowOff>
    </xdr:from>
    <xdr:to>
      <xdr:col>0</xdr:col>
      <xdr:colOff>1453963</xdr:colOff>
      <xdr:row>3</xdr:row>
      <xdr:rowOff>228321</xdr:rowOff>
    </xdr:to>
    <xdr:sp macro="" textlink="">
      <xdr:nvSpPr>
        <xdr:cNvPr id="11" name="Rectangle 10">
          <a:hlinkClick xmlns:r="http://schemas.openxmlformats.org/officeDocument/2006/relationships" r:id="rId7"/>
        </xdr:cNvPr>
        <xdr:cNvSpPr/>
      </xdr:nvSpPr>
      <xdr:spPr>
        <a:xfrm>
          <a:off x="142874" y="200935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142874</xdr:colOff>
      <xdr:row>3</xdr:row>
      <xdr:rowOff>284351</xdr:rowOff>
    </xdr:from>
    <xdr:to>
      <xdr:col>0</xdr:col>
      <xdr:colOff>1453963</xdr:colOff>
      <xdr:row>4</xdr:row>
      <xdr:rowOff>265441</xdr:rowOff>
    </xdr:to>
    <xdr:sp macro="" textlink="">
      <xdr:nvSpPr>
        <xdr:cNvPr id="12" name="Rectangle 11">
          <a:hlinkClick xmlns:r="http://schemas.openxmlformats.org/officeDocument/2006/relationships" r:id="rId8"/>
        </xdr:cNvPr>
        <xdr:cNvSpPr/>
      </xdr:nvSpPr>
      <xdr:spPr>
        <a:xfrm>
          <a:off x="142874" y="236794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154080</xdr:colOff>
      <xdr:row>4</xdr:row>
      <xdr:rowOff>310268</xdr:rowOff>
    </xdr:from>
    <xdr:to>
      <xdr:col>0</xdr:col>
      <xdr:colOff>1465169</xdr:colOff>
      <xdr:row>4</xdr:row>
      <xdr:rowOff>612827</xdr:rowOff>
    </xdr:to>
    <xdr:sp macro="" textlink="">
      <xdr:nvSpPr>
        <xdr:cNvPr id="13" name="Rectangle 12">
          <a:hlinkClick xmlns:r="http://schemas.openxmlformats.org/officeDocument/2006/relationships" r:id="rId9"/>
        </xdr:cNvPr>
        <xdr:cNvSpPr/>
      </xdr:nvSpPr>
      <xdr:spPr>
        <a:xfrm>
          <a:off x="154080" y="271533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154079</xdr:colOff>
      <xdr:row>4</xdr:row>
      <xdr:rowOff>657646</xdr:rowOff>
    </xdr:from>
    <xdr:to>
      <xdr:col>0</xdr:col>
      <xdr:colOff>1465168</xdr:colOff>
      <xdr:row>5</xdr:row>
      <xdr:rowOff>150580</xdr:rowOff>
    </xdr:to>
    <xdr:sp macro="" textlink="">
      <xdr:nvSpPr>
        <xdr:cNvPr id="14" name="Rectangle 13">
          <a:hlinkClick xmlns:r="http://schemas.openxmlformats.org/officeDocument/2006/relationships" r:id="rId10"/>
        </xdr:cNvPr>
        <xdr:cNvSpPr/>
      </xdr:nvSpPr>
      <xdr:spPr>
        <a:xfrm>
          <a:off x="154079" y="306270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154079</xdr:colOff>
      <xdr:row>5</xdr:row>
      <xdr:rowOff>195403</xdr:rowOff>
    </xdr:from>
    <xdr:to>
      <xdr:col>0</xdr:col>
      <xdr:colOff>1465168</xdr:colOff>
      <xdr:row>5</xdr:row>
      <xdr:rowOff>497962</xdr:rowOff>
    </xdr:to>
    <xdr:sp macro="" textlink="">
      <xdr:nvSpPr>
        <xdr:cNvPr id="15" name="Rectangle 14">
          <a:hlinkClick xmlns:r="http://schemas.openxmlformats.org/officeDocument/2006/relationships" r:id="rId11"/>
        </xdr:cNvPr>
        <xdr:cNvSpPr/>
      </xdr:nvSpPr>
      <xdr:spPr>
        <a:xfrm>
          <a:off x="154079" y="341009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MULOK 1</a:t>
          </a:r>
        </a:p>
      </xdr:txBody>
    </xdr:sp>
    <xdr:clientData/>
  </xdr:twoCellAnchor>
  <xdr:twoCellAnchor>
    <xdr:from>
      <xdr:col>0</xdr:col>
      <xdr:colOff>154079</xdr:colOff>
      <xdr:row>5</xdr:row>
      <xdr:rowOff>520375</xdr:rowOff>
    </xdr:from>
    <xdr:to>
      <xdr:col>0</xdr:col>
      <xdr:colOff>1465168</xdr:colOff>
      <xdr:row>6</xdr:row>
      <xdr:rowOff>13309</xdr:rowOff>
    </xdr:to>
    <xdr:sp macro="" textlink="">
      <xdr:nvSpPr>
        <xdr:cNvPr id="16" name="Rectangle 15">
          <a:hlinkClick xmlns:r="http://schemas.openxmlformats.org/officeDocument/2006/relationships" r:id="rId12"/>
        </xdr:cNvPr>
        <xdr:cNvSpPr/>
      </xdr:nvSpPr>
      <xdr:spPr>
        <a:xfrm>
          <a:off x="154079" y="373506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142874</xdr:colOff>
      <xdr:row>6</xdr:row>
      <xdr:rowOff>58134</xdr:rowOff>
    </xdr:from>
    <xdr:to>
      <xdr:col>0</xdr:col>
      <xdr:colOff>1453963</xdr:colOff>
      <xdr:row>6</xdr:row>
      <xdr:rowOff>360693</xdr:rowOff>
    </xdr:to>
    <xdr:sp macro="" textlink="">
      <xdr:nvSpPr>
        <xdr:cNvPr id="17" name="Rectangle 16">
          <a:hlinkClick xmlns:r="http://schemas.openxmlformats.org/officeDocument/2006/relationships" r:id="rId13"/>
        </xdr:cNvPr>
        <xdr:cNvSpPr/>
      </xdr:nvSpPr>
      <xdr:spPr>
        <a:xfrm>
          <a:off x="142874" y="408244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39</xdr:col>
      <xdr:colOff>204508</xdr:colOff>
      <xdr:row>2</xdr:row>
      <xdr:rowOff>124807</xdr:rowOff>
    </xdr:from>
    <xdr:to>
      <xdr:col>55</xdr:col>
      <xdr:colOff>149678</xdr:colOff>
      <xdr:row>2</xdr:row>
      <xdr:rowOff>898072</xdr:rowOff>
    </xdr:to>
    <xdr:sp macro="" textlink="">
      <xdr:nvSpPr>
        <xdr:cNvPr id="4" name="TextBox 3"/>
        <xdr:cNvSpPr txBox="1"/>
      </xdr:nvSpPr>
      <xdr:spPr>
        <a:xfrm>
          <a:off x="18832687" y="1009271"/>
          <a:ext cx="2652991" cy="77326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215151</xdr:colOff>
      <xdr:row>0</xdr:row>
      <xdr:rowOff>57150</xdr:rowOff>
    </xdr:from>
    <xdr:to>
      <xdr:col>0</xdr:col>
      <xdr:colOff>1305764</xdr:colOff>
      <xdr:row>0</xdr:row>
      <xdr:rowOff>540017</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5151" y="5715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125505</xdr:colOff>
      <xdr:row>1</xdr:row>
      <xdr:rowOff>25212</xdr:rowOff>
    </xdr:from>
    <xdr:to>
      <xdr:col>0</xdr:col>
      <xdr:colOff>1436594</xdr:colOff>
      <xdr:row>2</xdr:row>
      <xdr:rowOff>32496</xdr:rowOff>
    </xdr:to>
    <xdr:sp macro="" textlink="">
      <xdr:nvSpPr>
        <xdr:cNvPr id="7" name="Rectangle 6">
          <a:hlinkClick xmlns:r="http://schemas.openxmlformats.org/officeDocument/2006/relationships" r:id="rId3"/>
        </xdr:cNvPr>
        <xdr:cNvSpPr/>
      </xdr:nvSpPr>
      <xdr:spPr>
        <a:xfrm>
          <a:off x="125505" y="60623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114300</xdr:colOff>
      <xdr:row>2</xdr:row>
      <xdr:rowOff>77323</xdr:rowOff>
    </xdr:from>
    <xdr:to>
      <xdr:col>0</xdr:col>
      <xdr:colOff>1425389</xdr:colOff>
      <xdr:row>2</xdr:row>
      <xdr:rowOff>379882</xdr:rowOff>
    </xdr:to>
    <xdr:sp macro="" textlink="">
      <xdr:nvSpPr>
        <xdr:cNvPr id="8" name="Rectangle 7">
          <a:hlinkClick xmlns:r="http://schemas.openxmlformats.org/officeDocument/2006/relationships" r:id="rId4"/>
        </xdr:cNvPr>
        <xdr:cNvSpPr/>
      </xdr:nvSpPr>
      <xdr:spPr>
        <a:xfrm>
          <a:off x="114300" y="95362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125509</xdr:colOff>
      <xdr:row>2</xdr:row>
      <xdr:rowOff>424709</xdr:rowOff>
    </xdr:from>
    <xdr:to>
      <xdr:col>0</xdr:col>
      <xdr:colOff>1436598</xdr:colOff>
      <xdr:row>2</xdr:row>
      <xdr:rowOff>727268</xdr:rowOff>
    </xdr:to>
    <xdr:sp macro="" textlink="">
      <xdr:nvSpPr>
        <xdr:cNvPr id="9" name="Rectangle 8">
          <a:hlinkClick xmlns:r="http://schemas.openxmlformats.org/officeDocument/2006/relationships" r:id="rId5"/>
        </xdr:cNvPr>
        <xdr:cNvSpPr/>
      </xdr:nvSpPr>
      <xdr:spPr>
        <a:xfrm>
          <a:off x="125509" y="130100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125508</xdr:colOff>
      <xdr:row>2</xdr:row>
      <xdr:rowOff>772091</xdr:rowOff>
    </xdr:from>
    <xdr:to>
      <xdr:col>0</xdr:col>
      <xdr:colOff>1436597</xdr:colOff>
      <xdr:row>2</xdr:row>
      <xdr:rowOff>1074650</xdr:rowOff>
    </xdr:to>
    <xdr:sp macro="" textlink="">
      <xdr:nvSpPr>
        <xdr:cNvPr id="10" name="Rectangle 9">
          <a:hlinkClick xmlns:r="http://schemas.openxmlformats.org/officeDocument/2006/relationships" r:id="rId6"/>
        </xdr:cNvPr>
        <xdr:cNvSpPr/>
      </xdr:nvSpPr>
      <xdr:spPr>
        <a:xfrm>
          <a:off x="125508" y="164839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114302</xdr:colOff>
      <xdr:row>2</xdr:row>
      <xdr:rowOff>1130676</xdr:rowOff>
    </xdr:from>
    <xdr:to>
      <xdr:col>0</xdr:col>
      <xdr:colOff>1425391</xdr:colOff>
      <xdr:row>3</xdr:row>
      <xdr:rowOff>233085</xdr:rowOff>
    </xdr:to>
    <xdr:sp macro="" textlink="">
      <xdr:nvSpPr>
        <xdr:cNvPr id="11" name="Rectangle 10">
          <a:hlinkClick xmlns:r="http://schemas.openxmlformats.org/officeDocument/2006/relationships" r:id="rId7"/>
        </xdr:cNvPr>
        <xdr:cNvSpPr/>
      </xdr:nvSpPr>
      <xdr:spPr>
        <a:xfrm>
          <a:off x="114302" y="200697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114302</xdr:colOff>
      <xdr:row>3</xdr:row>
      <xdr:rowOff>289115</xdr:rowOff>
    </xdr:from>
    <xdr:to>
      <xdr:col>0</xdr:col>
      <xdr:colOff>1425391</xdr:colOff>
      <xdr:row>4</xdr:row>
      <xdr:rowOff>267824</xdr:rowOff>
    </xdr:to>
    <xdr:sp macro="" textlink="">
      <xdr:nvSpPr>
        <xdr:cNvPr id="12" name="Rectangle 11">
          <a:hlinkClick xmlns:r="http://schemas.openxmlformats.org/officeDocument/2006/relationships" r:id="rId8"/>
        </xdr:cNvPr>
        <xdr:cNvSpPr/>
      </xdr:nvSpPr>
      <xdr:spPr>
        <a:xfrm>
          <a:off x="114302" y="236556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125508</xdr:colOff>
      <xdr:row>4</xdr:row>
      <xdr:rowOff>312651</xdr:rowOff>
    </xdr:from>
    <xdr:to>
      <xdr:col>0</xdr:col>
      <xdr:colOff>1436597</xdr:colOff>
      <xdr:row>4</xdr:row>
      <xdr:rowOff>615210</xdr:rowOff>
    </xdr:to>
    <xdr:sp macro="" textlink="">
      <xdr:nvSpPr>
        <xdr:cNvPr id="13" name="Rectangle 12">
          <a:hlinkClick xmlns:r="http://schemas.openxmlformats.org/officeDocument/2006/relationships" r:id="rId9"/>
        </xdr:cNvPr>
        <xdr:cNvSpPr/>
      </xdr:nvSpPr>
      <xdr:spPr>
        <a:xfrm>
          <a:off x="125508" y="271295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125507</xdr:colOff>
      <xdr:row>4</xdr:row>
      <xdr:rowOff>660029</xdr:rowOff>
    </xdr:from>
    <xdr:to>
      <xdr:col>0</xdr:col>
      <xdr:colOff>1436596</xdr:colOff>
      <xdr:row>5</xdr:row>
      <xdr:rowOff>162488</xdr:rowOff>
    </xdr:to>
    <xdr:sp macro="" textlink="">
      <xdr:nvSpPr>
        <xdr:cNvPr id="14" name="Rectangle 13">
          <a:hlinkClick xmlns:r="http://schemas.openxmlformats.org/officeDocument/2006/relationships" r:id="rId10"/>
        </xdr:cNvPr>
        <xdr:cNvSpPr/>
      </xdr:nvSpPr>
      <xdr:spPr>
        <a:xfrm>
          <a:off x="125507" y="306032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125507</xdr:colOff>
      <xdr:row>5</xdr:row>
      <xdr:rowOff>207311</xdr:rowOff>
    </xdr:from>
    <xdr:to>
      <xdr:col>0</xdr:col>
      <xdr:colOff>1436596</xdr:colOff>
      <xdr:row>5</xdr:row>
      <xdr:rowOff>509870</xdr:rowOff>
    </xdr:to>
    <xdr:sp macro="" textlink="">
      <xdr:nvSpPr>
        <xdr:cNvPr id="15" name="Rectangle 14">
          <a:hlinkClick xmlns:r="http://schemas.openxmlformats.org/officeDocument/2006/relationships" r:id="rId11"/>
        </xdr:cNvPr>
        <xdr:cNvSpPr/>
      </xdr:nvSpPr>
      <xdr:spPr>
        <a:xfrm>
          <a:off x="125507" y="340771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125507</xdr:colOff>
      <xdr:row>5</xdr:row>
      <xdr:rowOff>532283</xdr:rowOff>
    </xdr:from>
    <xdr:to>
      <xdr:col>0</xdr:col>
      <xdr:colOff>1436596</xdr:colOff>
      <xdr:row>6</xdr:row>
      <xdr:rowOff>34742</xdr:rowOff>
    </xdr:to>
    <xdr:sp macro="" textlink="">
      <xdr:nvSpPr>
        <xdr:cNvPr id="16" name="Rectangle 15">
          <a:hlinkClick xmlns:r="http://schemas.openxmlformats.org/officeDocument/2006/relationships" r:id="rId12"/>
        </xdr:cNvPr>
        <xdr:cNvSpPr/>
      </xdr:nvSpPr>
      <xdr:spPr>
        <a:xfrm>
          <a:off x="125507" y="373268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MULOK 2</a:t>
          </a:r>
        </a:p>
      </xdr:txBody>
    </xdr:sp>
    <xdr:clientData/>
  </xdr:twoCellAnchor>
  <xdr:twoCellAnchor>
    <xdr:from>
      <xdr:col>0</xdr:col>
      <xdr:colOff>114302</xdr:colOff>
      <xdr:row>6</xdr:row>
      <xdr:rowOff>79567</xdr:rowOff>
    </xdr:from>
    <xdr:to>
      <xdr:col>0</xdr:col>
      <xdr:colOff>1425391</xdr:colOff>
      <xdr:row>6</xdr:row>
      <xdr:rowOff>382126</xdr:rowOff>
    </xdr:to>
    <xdr:sp macro="" textlink="">
      <xdr:nvSpPr>
        <xdr:cNvPr id="17" name="Rectangle 16">
          <a:hlinkClick xmlns:r="http://schemas.openxmlformats.org/officeDocument/2006/relationships" r:id="rId13"/>
        </xdr:cNvPr>
        <xdr:cNvSpPr/>
      </xdr:nvSpPr>
      <xdr:spPr>
        <a:xfrm>
          <a:off x="114302" y="408006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39</xdr:col>
      <xdr:colOff>204509</xdr:colOff>
      <xdr:row>2</xdr:row>
      <xdr:rowOff>124807</xdr:rowOff>
    </xdr:from>
    <xdr:to>
      <xdr:col>48</xdr:col>
      <xdr:colOff>22412</xdr:colOff>
      <xdr:row>2</xdr:row>
      <xdr:rowOff>916782</xdr:rowOff>
    </xdr:to>
    <xdr:sp macro="" textlink="">
      <xdr:nvSpPr>
        <xdr:cNvPr id="4" name="TextBox 3"/>
        <xdr:cNvSpPr txBox="1"/>
      </xdr:nvSpPr>
      <xdr:spPr>
        <a:xfrm>
          <a:off x="18201156" y="998866"/>
          <a:ext cx="2596962"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201705</xdr:colOff>
      <xdr:row>0</xdr:row>
      <xdr:rowOff>44824</xdr:rowOff>
    </xdr:from>
    <xdr:to>
      <xdr:col>0</xdr:col>
      <xdr:colOff>1292318</xdr:colOff>
      <xdr:row>0</xdr:row>
      <xdr:rowOff>527691</xdr:rowOff>
    </xdr:to>
    <xdr:pic>
      <xdr:nvPicPr>
        <xdr:cNvPr id="6" name="Picture 5"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01705"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11205</xdr:rowOff>
    </xdr:from>
    <xdr:to>
      <xdr:col>0</xdr:col>
      <xdr:colOff>1423148</xdr:colOff>
      <xdr:row>2</xdr:row>
      <xdr:rowOff>22411</xdr:rowOff>
    </xdr:to>
    <xdr:sp macro="" textlink="">
      <xdr:nvSpPr>
        <xdr:cNvPr id="7" name="Rectangle 6">
          <a:hlinkClick xmlns:r="http://schemas.openxmlformats.org/officeDocument/2006/relationships" r:id="rId3"/>
        </xdr:cNvPr>
        <xdr:cNvSpPr/>
      </xdr:nvSpPr>
      <xdr:spPr>
        <a:xfrm>
          <a:off x="112059" y="59391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67238</xdr:rowOff>
    </xdr:from>
    <xdr:to>
      <xdr:col>0</xdr:col>
      <xdr:colOff>1411943</xdr:colOff>
      <xdr:row>2</xdr:row>
      <xdr:rowOff>369797</xdr:rowOff>
    </xdr:to>
    <xdr:sp macro="" textlink="">
      <xdr:nvSpPr>
        <xdr:cNvPr id="8" name="Rectangle 7">
          <a:hlinkClick xmlns:r="http://schemas.openxmlformats.org/officeDocument/2006/relationships" r:id="rId4"/>
        </xdr:cNvPr>
        <xdr:cNvSpPr/>
      </xdr:nvSpPr>
      <xdr:spPr>
        <a:xfrm>
          <a:off x="100854" y="94129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414624</xdr:rowOff>
    </xdr:from>
    <xdr:to>
      <xdr:col>0</xdr:col>
      <xdr:colOff>1423152</xdr:colOff>
      <xdr:row>2</xdr:row>
      <xdr:rowOff>717183</xdr:rowOff>
    </xdr:to>
    <xdr:sp macro="" textlink="">
      <xdr:nvSpPr>
        <xdr:cNvPr id="9" name="Rectangle 8">
          <a:hlinkClick xmlns:r="http://schemas.openxmlformats.org/officeDocument/2006/relationships" r:id="rId5"/>
        </xdr:cNvPr>
        <xdr:cNvSpPr/>
      </xdr:nvSpPr>
      <xdr:spPr>
        <a:xfrm>
          <a:off x="112063" y="128868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762006</xdr:rowOff>
    </xdr:from>
    <xdr:to>
      <xdr:col>0</xdr:col>
      <xdr:colOff>1423151</xdr:colOff>
      <xdr:row>2</xdr:row>
      <xdr:rowOff>1064565</xdr:rowOff>
    </xdr:to>
    <xdr:sp macro="" textlink="">
      <xdr:nvSpPr>
        <xdr:cNvPr id="10" name="Rectangle 9">
          <a:hlinkClick xmlns:r="http://schemas.openxmlformats.org/officeDocument/2006/relationships" r:id="rId6"/>
        </xdr:cNvPr>
        <xdr:cNvSpPr/>
      </xdr:nvSpPr>
      <xdr:spPr>
        <a:xfrm>
          <a:off x="112062" y="163606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1120591</xdr:rowOff>
    </xdr:from>
    <xdr:to>
      <xdr:col>0</xdr:col>
      <xdr:colOff>1411945</xdr:colOff>
      <xdr:row>3</xdr:row>
      <xdr:rowOff>224121</xdr:rowOff>
    </xdr:to>
    <xdr:sp macro="" textlink="">
      <xdr:nvSpPr>
        <xdr:cNvPr id="11" name="Rectangle 10">
          <a:hlinkClick xmlns:r="http://schemas.openxmlformats.org/officeDocument/2006/relationships" r:id="rId7"/>
        </xdr:cNvPr>
        <xdr:cNvSpPr/>
      </xdr:nvSpPr>
      <xdr:spPr>
        <a:xfrm>
          <a:off x="100856" y="199465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280151</xdr:rowOff>
    </xdr:from>
    <xdr:to>
      <xdr:col>0</xdr:col>
      <xdr:colOff>1411945</xdr:colOff>
      <xdr:row>4</xdr:row>
      <xdr:rowOff>257739</xdr:rowOff>
    </xdr:to>
    <xdr:sp macro="" textlink="">
      <xdr:nvSpPr>
        <xdr:cNvPr id="12" name="Rectangle 11">
          <a:hlinkClick xmlns:r="http://schemas.openxmlformats.org/officeDocument/2006/relationships" r:id="rId8"/>
        </xdr:cNvPr>
        <xdr:cNvSpPr/>
      </xdr:nvSpPr>
      <xdr:spPr>
        <a:xfrm>
          <a:off x="100856" y="235323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302566</xdr:rowOff>
    </xdr:from>
    <xdr:to>
      <xdr:col>0</xdr:col>
      <xdr:colOff>1423151</xdr:colOff>
      <xdr:row>4</xdr:row>
      <xdr:rowOff>605125</xdr:rowOff>
    </xdr:to>
    <xdr:sp macro="" textlink="">
      <xdr:nvSpPr>
        <xdr:cNvPr id="13" name="Rectangle 12">
          <a:hlinkClick xmlns:r="http://schemas.openxmlformats.org/officeDocument/2006/relationships" r:id="rId9"/>
        </xdr:cNvPr>
        <xdr:cNvSpPr/>
      </xdr:nvSpPr>
      <xdr:spPr>
        <a:xfrm>
          <a:off x="112062" y="270062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4</xdr:row>
      <xdr:rowOff>649944</xdr:rowOff>
    </xdr:from>
    <xdr:to>
      <xdr:col>0</xdr:col>
      <xdr:colOff>1423150</xdr:colOff>
      <xdr:row>5</xdr:row>
      <xdr:rowOff>168091</xdr:rowOff>
    </xdr:to>
    <xdr:sp macro="" textlink="">
      <xdr:nvSpPr>
        <xdr:cNvPr id="14" name="Rectangle 13">
          <a:hlinkClick xmlns:r="http://schemas.openxmlformats.org/officeDocument/2006/relationships" r:id="rId10"/>
        </xdr:cNvPr>
        <xdr:cNvSpPr/>
      </xdr:nvSpPr>
      <xdr:spPr>
        <a:xfrm>
          <a:off x="112061" y="30480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5</xdr:row>
      <xdr:rowOff>212914</xdr:rowOff>
    </xdr:from>
    <xdr:to>
      <xdr:col>0</xdr:col>
      <xdr:colOff>1423150</xdr:colOff>
      <xdr:row>5</xdr:row>
      <xdr:rowOff>515473</xdr:rowOff>
    </xdr:to>
    <xdr:sp macro="" textlink="">
      <xdr:nvSpPr>
        <xdr:cNvPr id="15" name="Rectangle 14">
          <a:hlinkClick xmlns:r="http://schemas.openxmlformats.org/officeDocument/2006/relationships" r:id="rId11"/>
        </xdr:cNvPr>
        <xdr:cNvSpPr/>
      </xdr:nvSpPr>
      <xdr:spPr>
        <a:xfrm>
          <a:off x="112061" y="339538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5</xdr:row>
      <xdr:rowOff>537886</xdr:rowOff>
    </xdr:from>
    <xdr:to>
      <xdr:col>0</xdr:col>
      <xdr:colOff>1423150</xdr:colOff>
      <xdr:row>6</xdr:row>
      <xdr:rowOff>56034</xdr:rowOff>
    </xdr:to>
    <xdr:sp macro="" textlink="">
      <xdr:nvSpPr>
        <xdr:cNvPr id="16" name="Rectangle 15">
          <a:hlinkClick xmlns:r="http://schemas.openxmlformats.org/officeDocument/2006/relationships" r:id="rId12"/>
        </xdr:cNvPr>
        <xdr:cNvSpPr/>
      </xdr:nvSpPr>
      <xdr:spPr>
        <a:xfrm>
          <a:off x="112061" y="372035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6</xdr:row>
      <xdr:rowOff>100859</xdr:rowOff>
    </xdr:from>
    <xdr:to>
      <xdr:col>0</xdr:col>
      <xdr:colOff>1411945</xdr:colOff>
      <xdr:row>6</xdr:row>
      <xdr:rowOff>403418</xdr:rowOff>
    </xdr:to>
    <xdr:sp macro="" textlink="">
      <xdr:nvSpPr>
        <xdr:cNvPr id="17" name="Rectangle 16">
          <a:hlinkClick xmlns:r="http://schemas.openxmlformats.org/officeDocument/2006/relationships" r:id="rId13"/>
        </xdr:cNvPr>
        <xdr:cNvSpPr/>
      </xdr:nvSpPr>
      <xdr:spPr>
        <a:xfrm>
          <a:off x="100856" y="406774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MULOK 3</a:t>
          </a:r>
        </a:p>
      </xdr:txBody>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xdr:col>
      <xdr:colOff>7915275</xdr:colOff>
      <xdr:row>1</xdr:row>
      <xdr:rowOff>123825</xdr:rowOff>
    </xdr:from>
    <xdr:to>
      <xdr:col>1</xdr:col>
      <xdr:colOff>8582025</xdr:colOff>
      <xdr:row>4</xdr:row>
      <xdr:rowOff>29081</xdr:rowOff>
    </xdr:to>
    <xdr:pic>
      <xdr:nvPicPr>
        <xdr:cNvPr id="8" name="Picture 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96275" y="457200"/>
          <a:ext cx="666750" cy="572006"/>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xdr:from>
      <xdr:col>2</xdr:col>
      <xdr:colOff>0</xdr:colOff>
      <xdr:row>18</xdr:row>
      <xdr:rowOff>0</xdr:rowOff>
    </xdr:from>
    <xdr:to>
      <xdr:col>3</xdr:col>
      <xdr:colOff>190500</xdr:colOff>
      <xdr:row>18</xdr:row>
      <xdr:rowOff>0</xdr:rowOff>
    </xdr:to>
    <xdr:sp macro="" textlink="">
      <xdr:nvSpPr>
        <xdr:cNvPr id="2"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3" name="Text Box 93"/>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4"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7"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8"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9"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1"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2"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13" name="Text Box 92"/>
        <xdr:cNvSpPr txBox="1">
          <a:spLocks noChangeArrowheads="1"/>
        </xdr:cNvSpPr>
      </xdr:nvSpPr>
      <xdr:spPr bwMode="auto">
        <a:xfrm>
          <a:off x="981075" y="180594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4" name="Text Box 93"/>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5" name="Text Box 93"/>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7"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8"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19" name="Text Box 92"/>
        <xdr:cNvSpPr txBox="1">
          <a:spLocks noChangeArrowheads="1"/>
        </xdr:cNvSpPr>
      </xdr:nvSpPr>
      <xdr:spPr bwMode="auto">
        <a:xfrm>
          <a:off x="981075"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0" name="Text Box 93"/>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1"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2"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4"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5" name="Text Box 92"/>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6"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7" name="Text Box 92"/>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8"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9"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30"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31"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32"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33"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34"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35"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36" name="Text Box 92"/>
        <xdr:cNvSpPr txBox="1">
          <a:spLocks noChangeArrowheads="1"/>
        </xdr:cNvSpPr>
      </xdr:nvSpPr>
      <xdr:spPr bwMode="auto">
        <a:xfrm>
          <a:off x="981075" y="16411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7"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8"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9"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0"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1"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2"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3"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4"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45" name="Text Box 93"/>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46" name="Text Box 93"/>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47"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48"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49"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50"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51"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2"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3"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54" name="Text Box 93"/>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5"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6"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7"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8"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59"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0"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1"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2"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3"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64"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65"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66" name="Text Box 92"/>
        <xdr:cNvSpPr txBox="1">
          <a:spLocks noChangeArrowheads="1"/>
        </xdr:cNvSpPr>
      </xdr:nvSpPr>
      <xdr:spPr bwMode="auto">
        <a:xfrm>
          <a:off x="981075" y="180594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67"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68" name="Text Box 93"/>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34</xdr:row>
      <xdr:rowOff>0</xdr:rowOff>
    </xdr:from>
    <xdr:to>
      <xdr:col>3</xdr:col>
      <xdr:colOff>190500</xdr:colOff>
      <xdr:row>34</xdr:row>
      <xdr:rowOff>0</xdr:rowOff>
    </xdr:to>
    <xdr:sp macro="" textlink="">
      <xdr:nvSpPr>
        <xdr:cNvPr id="69" name="Text Box 93"/>
        <xdr:cNvSpPr txBox="1">
          <a:spLocks noChangeArrowheads="1"/>
        </xdr:cNvSpPr>
      </xdr:nvSpPr>
      <xdr:spPr bwMode="auto">
        <a:xfrm>
          <a:off x="933450" y="493680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70"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71" name="Text Box 93"/>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72"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73" name="Text Box 93"/>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4"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5"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6"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7"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8"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79" name="Text Box 93"/>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80" name="Text Box 93"/>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81"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82"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83"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84"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85"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23</xdr:row>
      <xdr:rowOff>0</xdr:rowOff>
    </xdr:from>
    <xdr:to>
      <xdr:col>2</xdr:col>
      <xdr:colOff>1524000</xdr:colOff>
      <xdr:row>23</xdr:row>
      <xdr:rowOff>0</xdr:rowOff>
    </xdr:to>
    <xdr:sp macro="" textlink="">
      <xdr:nvSpPr>
        <xdr:cNvPr id="86" name="Text Box 33"/>
        <xdr:cNvSpPr txBox="1">
          <a:spLocks noChangeArrowheads="1"/>
        </xdr:cNvSpPr>
      </xdr:nvSpPr>
      <xdr:spPr bwMode="auto">
        <a:xfrm>
          <a:off x="1304925" y="312420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87" name="Text Box 92"/>
        <xdr:cNvSpPr txBox="1">
          <a:spLocks noChangeArrowheads="1"/>
        </xdr:cNvSpPr>
      </xdr:nvSpPr>
      <xdr:spPr bwMode="auto">
        <a:xfrm>
          <a:off x="981075"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88" name="Text Box 93"/>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89"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90"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91"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92"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93"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94"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95"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96"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97" name="Text Box 33"/>
        <xdr:cNvSpPr txBox="1">
          <a:spLocks noChangeArrowheads="1"/>
        </xdr:cNvSpPr>
      </xdr:nvSpPr>
      <xdr:spPr bwMode="auto">
        <a:xfrm>
          <a:off x="1304925" y="2794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98" name="Text Box 92"/>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99"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100" name="Text Box 33"/>
        <xdr:cNvSpPr txBox="1">
          <a:spLocks noChangeArrowheads="1"/>
        </xdr:cNvSpPr>
      </xdr:nvSpPr>
      <xdr:spPr bwMode="auto">
        <a:xfrm>
          <a:off x="1304925" y="2794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01" name="Text Box 92"/>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2"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30</xdr:row>
      <xdr:rowOff>0</xdr:rowOff>
    </xdr:from>
    <xdr:to>
      <xdr:col>2</xdr:col>
      <xdr:colOff>1524000</xdr:colOff>
      <xdr:row>30</xdr:row>
      <xdr:rowOff>0</xdr:rowOff>
    </xdr:to>
    <xdr:sp macro="" textlink="">
      <xdr:nvSpPr>
        <xdr:cNvPr id="103" name="Text Box 33"/>
        <xdr:cNvSpPr txBox="1">
          <a:spLocks noChangeArrowheads="1"/>
        </xdr:cNvSpPr>
      </xdr:nvSpPr>
      <xdr:spPr bwMode="auto">
        <a:xfrm>
          <a:off x="1304925" y="427767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4"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5"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6"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07"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08"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109"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10"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11"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112" name="Text Box 92"/>
        <xdr:cNvSpPr txBox="1">
          <a:spLocks noChangeArrowheads="1"/>
        </xdr:cNvSpPr>
      </xdr:nvSpPr>
      <xdr:spPr bwMode="auto">
        <a:xfrm>
          <a:off x="981075" y="16411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3"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4"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5"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6"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7"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8"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119" name="Text Box 33"/>
        <xdr:cNvSpPr txBox="1">
          <a:spLocks noChangeArrowheads="1"/>
        </xdr:cNvSpPr>
      </xdr:nvSpPr>
      <xdr:spPr bwMode="auto">
        <a:xfrm>
          <a:off x="1304925" y="230028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120" name="Text Box 33"/>
        <xdr:cNvSpPr txBox="1">
          <a:spLocks noChangeArrowheads="1"/>
        </xdr:cNvSpPr>
      </xdr:nvSpPr>
      <xdr:spPr bwMode="auto">
        <a:xfrm>
          <a:off x="1304925" y="230028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21"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2"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3"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4"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5"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6"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7"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8"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9"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30" name="Text Box 93"/>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31" name="Text Box 93"/>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2"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3"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34"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5"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6"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27</xdr:row>
      <xdr:rowOff>0</xdr:rowOff>
    </xdr:from>
    <xdr:to>
      <xdr:col>2</xdr:col>
      <xdr:colOff>1524000</xdr:colOff>
      <xdr:row>27</xdr:row>
      <xdr:rowOff>0</xdr:rowOff>
    </xdr:to>
    <xdr:sp macro="" textlink="">
      <xdr:nvSpPr>
        <xdr:cNvPr id="137" name="Text Box 33"/>
        <xdr:cNvSpPr txBox="1">
          <a:spLocks noChangeArrowheads="1"/>
        </xdr:cNvSpPr>
      </xdr:nvSpPr>
      <xdr:spPr bwMode="auto">
        <a:xfrm>
          <a:off x="1304925" y="378333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36</xdr:row>
      <xdr:rowOff>0</xdr:rowOff>
    </xdr:from>
    <xdr:to>
      <xdr:col>3</xdr:col>
      <xdr:colOff>190500</xdr:colOff>
      <xdr:row>36</xdr:row>
      <xdr:rowOff>0</xdr:rowOff>
    </xdr:to>
    <xdr:sp macro="" textlink="">
      <xdr:nvSpPr>
        <xdr:cNvPr id="138" name="Text Box 93"/>
        <xdr:cNvSpPr txBox="1">
          <a:spLocks noChangeArrowheads="1"/>
        </xdr:cNvSpPr>
      </xdr:nvSpPr>
      <xdr:spPr bwMode="auto">
        <a:xfrm>
          <a:off x="933450" y="526637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38</xdr:row>
      <xdr:rowOff>0</xdr:rowOff>
    </xdr:from>
    <xdr:to>
      <xdr:col>3</xdr:col>
      <xdr:colOff>190500</xdr:colOff>
      <xdr:row>38</xdr:row>
      <xdr:rowOff>0</xdr:rowOff>
    </xdr:to>
    <xdr:sp macro="" textlink="">
      <xdr:nvSpPr>
        <xdr:cNvPr id="139" name="Text Box 93"/>
        <xdr:cNvSpPr txBox="1">
          <a:spLocks noChangeArrowheads="1"/>
        </xdr:cNvSpPr>
      </xdr:nvSpPr>
      <xdr:spPr bwMode="auto">
        <a:xfrm>
          <a:off x="933450" y="559593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40</xdr:row>
      <xdr:rowOff>0</xdr:rowOff>
    </xdr:from>
    <xdr:to>
      <xdr:col>3</xdr:col>
      <xdr:colOff>190500</xdr:colOff>
      <xdr:row>40</xdr:row>
      <xdr:rowOff>0</xdr:rowOff>
    </xdr:to>
    <xdr:sp macro="" textlink="">
      <xdr:nvSpPr>
        <xdr:cNvPr id="140" name="Text Box 93"/>
        <xdr:cNvSpPr txBox="1">
          <a:spLocks noChangeArrowheads="1"/>
        </xdr:cNvSpPr>
      </xdr:nvSpPr>
      <xdr:spPr bwMode="auto">
        <a:xfrm>
          <a:off x="933450" y="592550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42</xdr:row>
      <xdr:rowOff>0</xdr:rowOff>
    </xdr:from>
    <xdr:to>
      <xdr:col>3</xdr:col>
      <xdr:colOff>190500</xdr:colOff>
      <xdr:row>42</xdr:row>
      <xdr:rowOff>0</xdr:rowOff>
    </xdr:to>
    <xdr:sp macro="" textlink="">
      <xdr:nvSpPr>
        <xdr:cNvPr id="141" name="Text Box 93"/>
        <xdr:cNvSpPr txBox="1">
          <a:spLocks noChangeArrowheads="1"/>
        </xdr:cNvSpPr>
      </xdr:nvSpPr>
      <xdr:spPr bwMode="auto">
        <a:xfrm>
          <a:off x="933450" y="62979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44</xdr:row>
      <xdr:rowOff>0</xdr:rowOff>
    </xdr:from>
    <xdr:to>
      <xdr:col>3</xdr:col>
      <xdr:colOff>190500</xdr:colOff>
      <xdr:row>44</xdr:row>
      <xdr:rowOff>0</xdr:rowOff>
    </xdr:to>
    <xdr:sp macro="" textlink="">
      <xdr:nvSpPr>
        <xdr:cNvPr id="142" name="Text Box 93"/>
        <xdr:cNvSpPr txBox="1">
          <a:spLocks noChangeArrowheads="1"/>
        </xdr:cNvSpPr>
      </xdr:nvSpPr>
      <xdr:spPr bwMode="auto">
        <a:xfrm>
          <a:off x="933450" y="657415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46</xdr:row>
      <xdr:rowOff>0</xdr:rowOff>
    </xdr:from>
    <xdr:to>
      <xdr:col>3</xdr:col>
      <xdr:colOff>190500</xdr:colOff>
      <xdr:row>46</xdr:row>
      <xdr:rowOff>0</xdr:rowOff>
    </xdr:to>
    <xdr:sp macro="" textlink="">
      <xdr:nvSpPr>
        <xdr:cNvPr id="143" name="Text Box 93"/>
        <xdr:cNvSpPr txBox="1">
          <a:spLocks noChangeArrowheads="1"/>
        </xdr:cNvSpPr>
      </xdr:nvSpPr>
      <xdr:spPr bwMode="auto">
        <a:xfrm>
          <a:off x="933450" y="68503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48</xdr:row>
      <xdr:rowOff>0</xdr:rowOff>
    </xdr:from>
    <xdr:to>
      <xdr:col>3</xdr:col>
      <xdr:colOff>190500</xdr:colOff>
      <xdr:row>48</xdr:row>
      <xdr:rowOff>0</xdr:rowOff>
    </xdr:to>
    <xdr:sp macro="" textlink="">
      <xdr:nvSpPr>
        <xdr:cNvPr id="144" name="Text Box 93"/>
        <xdr:cNvSpPr txBox="1">
          <a:spLocks noChangeArrowheads="1"/>
        </xdr:cNvSpPr>
      </xdr:nvSpPr>
      <xdr:spPr bwMode="auto">
        <a:xfrm>
          <a:off x="933450" y="71266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50</xdr:row>
      <xdr:rowOff>0</xdr:rowOff>
    </xdr:from>
    <xdr:to>
      <xdr:col>3</xdr:col>
      <xdr:colOff>190500</xdr:colOff>
      <xdr:row>50</xdr:row>
      <xdr:rowOff>0</xdr:rowOff>
    </xdr:to>
    <xdr:sp macro="" textlink="">
      <xdr:nvSpPr>
        <xdr:cNvPr id="145" name="Text Box 93"/>
        <xdr:cNvSpPr txBox="1">
          <a:spLocks noChangeArrowheads="1"/>
        </xdr:cNvSpPr>
      </xdr:nvSpPr>
      <xdr:spPr bwMode="auto">
        <a:xfrm>
          <a:off x="933450" y="74028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52</xdr:row>
      <xdr:rowOff>0</xdr:rowOff>
    </xdr:from>
    <xdr:to>
      <xdr:col>3</xdr:col>
      <xdr:colOff>190500</xdr:colOff>
      <xdr:row>52</xdr:row>
      <xdr:rowOff>0</xdr:rowOff>
    </xdr:to>
    <xdr:sp macro="" textlink="">
      <xdr:nvSpPr>
        <xdr:cNvPr id="146" name="Text Box 93"/>
        <xdr:cNvSpPr txBox="1">
          <a:spLocks noChangeArrowheads="1"/>
        </xdr:cNvSpPr>
      </xdr:nvSpPr>
      <xdr:spPr bwMode="auto">
        <a:xfrm>
          <a:off x="933450" y="767905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54</xdr:row>
      <xdr:rowOff>0</xdr:rowOff>
    </xdr:from>
    <xdr:to>
      <xdr:col>3</xdr:col>
      <xdr:colOff>190500</xdr:colOff>
      <xdr:row>54</xdr:row>
      <xdr:rowOff>0</xdr:rowOff>
    </xdr:to>
    <xdr:sp macro="" textlink="">
      <xdr:nvSpPr>
        <xdr:cNvPr id="147" name="Text Box 93"/>
        <xdr:cNvSpPr txBox="1">
          <a:spLocks noChangeArrowheads="1"/>
        </xdr:cNvSpPr>
      </xdr:nvSpPr>
      <xdr:spPr bwMode="auto">
        <a:xfrm>
          <a:off x="933450" y="79552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48"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149" name="Text Box 93"/>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50"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51"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2"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3"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4"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5"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6"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57"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58"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159" name="Text Box 92"/>
        <xdr:cNvSpPr txBox="1">
          <a:spLocks noChangeArrowheads="1"/>
        </xdr:cNvSpPr>
      </xdr:nvSpPr>
      <xdr:spPr bwMode="auto">
        <a:xfrm>
          <a:off x="981075" y="180594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60" name="Text Box 93"/>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61" name="Text Box 93"/>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2"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3"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64"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165" name="Text Box 92"/>
        <xdr:cNvSpPr txBox="1">
          <a:spLocks noChangeArrowheads="1"/>
        </xdr:cNvSpPr>
      </xdr:nvSpPr>
      <xdr:spPr bwMode="auto">
        <a:xfrm>
          <a:off x="981075"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166" name="Text Box 93"/>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7"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68"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9"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70"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71" name="Text Box 92"/>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2"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73" name="Text Box 92"/>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4"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5"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6"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7"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78"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79"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80"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81"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182" name="Text Box 92"/>
        <xdr:cNvSpPr txBox="1">
          <a:spLocks noChangeArrowheads="1"/>
        </xdr:cNvSpPr>
      </xdr:nvSpPr>
      <xdr:spPr bwMode="auto">
        <a:xfrm>
          <a:off x="981075" y="16411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3"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4"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5"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6"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7"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8"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9"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90"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91" name="Text Box 93"/>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92" name="Text Box 93"/>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3"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4"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95"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6"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7"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198"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99"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00" name="Text Box 93"/>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01"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02"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03"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04"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5"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6"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7"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8"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9"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10"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11"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212" name="Text Box 92"/>
        <xdr:cNvSpPr txBox="1">
          <a:spLocks noChangeArrowheads="1"/>
        </xdr:cNvSpPr>
      </xdr:nvSpPr>
      <xdr:spPr bwMode="auto">
        <a:xfrm>
          <a:off x="981075" y="180594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3"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4" name="Text Box 93"/>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34</xdr:row>
      <xdr:rowOff>0</xdr:rowOff>
    </xdr:from>
    <xdr:to>
      <xdr:col>3</xdr:col>
      <xdr:colOff>190500</xdr:colOff>
      <xdr:row>34</xdr:row>
      <xdr:rowOff>0</xdr:rowOff>
    </xdr:to>
    <xdr:sp macro="" textlink="">
      <xdr:nvSpPr>
        <xdr:cNvPr id="215" name="Text Box 93"/>
        <xdr:cNvSpPr txBox="1">
          <a:spLocks noChangeArrowheads="1"/>
        </xdr:cNvSpPr>
      </xdr:nvSpPr>
      <xdr:spPr bwMode="auto">
        <a:xfrm>
          <a:off x="933450" y="493680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6"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7" name="Text Box 93"/>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8"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9" name="Text Box 93"/>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0"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1"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2"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3"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4" name="Text Box 93"/>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225" name="Text Box 93"/>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226" name="Text Box 93"/>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27"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28"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29"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0"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31"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23</xdr:row>
      <xdr:rowOff>0</xdr:rowOff>
    </xdr:from>
    <xdr:to>
      <xdr:col>2</xdr:col>
      <xdr:colOff>1524000</xdr:colOff>
      <xdr:row>23</xdr:row>
      <xdr:rowOff>0</xdr:rowOff>
    </xdr:to>
    <xdr:sp macro="" textlink="">
      <xdr:nvSpPr>
        <xdr:cNvPr id="232" name="Text Box 33"/>
        <xdr:cNvSpPr txBox="1">
          <a:spLocks noChangeArrowheads="1"/>
        </xdr:cNvSpPr>
      </xdr:nvSpPr>
      <xdr:spPr bwMode="auto">
        <a:xfrm>
          <a:off x="1304925" y="312420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233" name="Text Box 92"/>
        <xdr:cNvSpPr txBox="1">
          <a:spLocks noChangeArrowheads="1"/>
        </xdr:cNvSpPr>
      </xdr:nvSpPr>
      <xdr:spPr bwMode="auto">
        <a:xfrm>
          <a:off x="981075"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34" name="Text Box 93"/>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35"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36"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7"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38"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39"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40" name="Text Box 33"/>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41" name="Text Box 92"/>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42" name="Text Box 93"/>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243" name="Text Box 33"/>
        <xdr:cNvSpPr txBox="1">
          <a:spLocks noChangeArrowheads="1"/>
        </xdr:cNvSpPr>
      </xdr:nvSpPr>
      <xdr:spPr bwMode="auto">
        <a:xfrm>
          <a:off x="1304925" y="2794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44" name="Text Box 92"/>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45"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246" name="Text Box 33"/>
        <xdr:cNvSpPr txBox="1">
          <a:spLocks noChangeArrowheads="1"/>
        </xdr:cNvSpPr>
      </xdr:nvSpPr>
      <xdr:spPr bwMode="auto">
        <a:xfrm>
          <a:off x="1304925" y="2794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47" name="Text Box 92"/>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48"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30</xdr:row>
      <xdr:rowOff>0</xdr:rowOff>
    </xdr:from>
    <xdr:to>
      <xdr:col>2</xdr:col>
      <xdr:colOff>1524000</xdr:colOff>
      <xdr:row>30</xdr:row>
      <xdr:rowOff>0</xdr:rowOff>
    </xdr:to>
    <xdr:sp macro="" textlink="">
      <xdr:nvSpPr>
        <xdr:cNvPr id="249" name="Text Box 33"/>
        <xdr:cNvSpPr txBox="1">
          <a:spLocks noChangeArrowheads="1"/>
        </xdr:cNvSpPr>
      </xdr:nvSpPr>
      <xdr:spPr bwMode="auto">
        <a:xfrm>
          <a:off x="1304925" y="427767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0"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1"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2" name="Text Box 93"/>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53"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54" name="Text Box 93"/>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55" name="Text Box 33"/>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56"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57"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258" name="Text Box 92"/>
        <xdr:cNvSpPr txBox="1">
          <a:spLocks noChangeArrowheads="1"/>
        </xdr:cNvSpPr>
      </xdr:nvSpPr>
      <xdr:spPr bwMode="auto">
        <a:xfrm>
          <a:off x="981075" y="16411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59"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0"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1"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2"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3"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4"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265" name="Text Box 33"/>
        <xdr:cNvSpPr txBox="1">
          <a:spLocks noChangeArrowheads="1"/>
        </xdr:cNvSpPr>
      </xdr:nvSpPr>
      <xdr:spPr bwMode="auto">
        <a:xfrm>
          <a:off x="1304925" y="230028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266" name="Text Box 33"/>
        <xdr:cNvSpPr txBox="1">
          <a:spLocks noChangeArrowheads="1"/>
        </xdr:cNvSpPr>
      </xdr:nvSpPr>
      <xdr:spPr bwMode="auto">
        <a:xfrm>
          <a:off x="1304925" y="230028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7" name="Text Box 33"/>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68"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69"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70" name="Text Box 93"/>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1"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2"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3"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4"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5" name="Text Box 93"/>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276" name="Text Box 93"/>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277" name="Text Box 93"/>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78"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79"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80" name="Text Box 92"/>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81"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82" name="Text Box 92"/>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27</xdr:row>
      <xdr:rowOff>0</xdr:rowOff>
    </xdr:from>
    <xdr:to>
      <xdr:col>2</xdr:col>
      <xdr:colOff>1524000</xdr:colOff>
      <xdr:row>27</xdr:row>
      <xdr:rowOff>0</xdr:rowOff>
    </xdr:to>
    <xdr:sp macro="" textlink="">
      <xdr:nvSpPr>
        <xdr:cNvPr id="283" name="Text Box 33"/>
        <xdr:cNvSpPr txBox="1">
          <a:spLocks noChangeArrowheads="1"/>
        </xdr:cNvSpPr>
      </xdr:nvSpPr>
      <xdr:spPr bwMode="auto">
        <a:xfrm>
          <a:off x="1304925" y="378333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36</xdr:row>
      <xdr:rowOff>0</xdr:rowOff>
    </xdr:from>
    <xdr:to>
      <xdr:col>3</xdr:col>
      <xdr:colOff>190500</xdr:colOff>
      <xdr:row>36</xdr:row>
      <xdr:rowOff>0</xdr:rowOff>
    </xdr:to>
    <xdr:sp macro="" textlink="">
      <xdr:nvSpPr>
        <xdr:cNvPr id="284" name="Text Box 93"/>
        <xdr:cNvSpPr txBox="1">
          <a:spLocks noChangeArrowheads="1"/>
        </xdr:cNvSpPr>
      </xdr:nvSpPr>
      <xdr:spPr bwMode="auto">
        <a:xfrm>
          <a:off x="933450" y="526637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38</xdr:row>
      <xdr:rowOff>0</xdr:rowOff>
    </xdr:from>
    <xdr:to>
      <xdr:col>3</xdr:col>
      <xdr:colOff>190500</xdr:colOff>
      <xdr:row>38</xdr:row>
      <xdr:rowOff>0</xdr:rowOff>
    </xdr:to>
    <xdr:sp macro="" textlink="">
      <xdr:nvSpPr>
        <xdr:cNvPr id="285" name="Text Box 93"/>
        <xdr:cNvSpPr txBox="1">
          <a:spLocks noChangeArrowheads="1"/>
        </xdr:cNvSpPr>
      </xdr:nvSpPr>
      <xdr:spPr bwMode="auto">
        <a:xfrm>
          <a:off x="933450" y="559593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40</xdr:row>
      <xdr:rowOff>0</xdr:rowOff>
    </xdr:from>
    <xdr:to>
      <xdr:col>3</xdr:col>
      <xdr:colOff>190500</xdr:colOff>
      <xdr:row>40</xdr:row>
      <xdr:rowOff>0</xdr:rowOff>
    </xdr:to>
    <xdr:sp macro="" textlink="">
      <xdr:nvSpPr>
        <xdr:cNvPr id="286" name="Text Box 93"/>
        <xdr:cNvSpPr txBox="1">
          <a:spLocks noChangeArrowheads="1"/>
        </xdr:cNvSpPr>
      </xdr:nvSpPr>
      <xdr:spPr bwMode="auto">
        <a:xfrm>
          <a:off x="933450" y="592550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42</xdr:row>
      <xdr:rowOff>0</xdr:rowOff>
    </xdr:from>
    <xdr:to>
      <xdr:col>3</xdr:col>
      <xdr:colOff>190500</xdr:colOff>
      <xdr:row>42</xdr:row>
      <xdr:rowOff>0</xdr:rowOff>
    </xdr:to>
    <xdr:sp macro="" textlink="">
      <xdr:nvSpPr>
        <xdr:cNvPr id="287" name="Text Box 93"/>
        <xdr:cNvSpPr txBox="1">
          <a:spLocks noChangeArrowheads="1"/>
        </xdr:cNvSpPr>
      </xdr:nvSpPr>
      <xdr:spPr bwMode="auto">
        <a:xfrm>
          <a:off x="933450" y="62979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44</xdr:row>
      <xdr:rowOff>0</xdr:rowOff>
    </xdr:from>
    <xdr:to>
      <xdr:col>3</xdr:col>
      <xdr:colOff>190500</xdr:colOff>
      <xdr:row>44</xdr:row>
      <xdr:rowOff>0</xdr:rowOff>
    </xdr:to>
    <xdr:sp macro="" textlink="">
      <xdr:nvSpPr>
        <xdr:cNvPr id="288" name="Text Box 93"/>
        <xdr:cNvSpPr txBox="1">
          <a:spLocks noChangeArrowheads="1"/>
        </xdr:cNvSpPr>
      </xdr:nvSpPr>
      <xdr:spPr bwMode="auto">
        <a:xfrm>
          <a:off x="933450" y="657415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46</xdr:row>
      <xdr:rowOff>0</xdr:rowOff>
    </xdr:from>
    <xdr:to>
      <xdr:col>3</xdr:col>
      <xdr:colOff>190500</xdr:colOff>
      <xdr:row>46</xdr:row>
      <xdr:rowOff>0</xdr:rowOff>
    </xdr:to>
    <xdr:sp macro="" textlink="">
      <xdr:nvSpPr>
        <xdr:cNvPr id="289" name="Text Box 93"/>
        <xdr:cNvSpPr txBox="1">
          <a:spLocks noChangeArrowheads="1"/>
        </xdr:cNvSpPr>
      </xdr:nvSpPr>
      <xdr:spPr bwMode="auto">
        <a:xfrm>
          <a:off x="933450" y="68503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48</xdr:row>
      <xdr:rowOff>0</xdr:rowOff>
    </xdr:from>
    <xdr:to>
      <xdr:col>3</xdr:col>
      <xdr:colOff>190500</xdr:colOff>
      <xdr:row>48</xdr:row>
      <xdr:rowOff>0</xdr:rowOff>
    </xdr:to>
    <xdr:sp macro="" textlink="">
      <xdr:nvSpPr>
        <xdr:cNvPr id="290" name="Text Box 93"/>
        <xdr:cNvSpPr txBox="1">
          <a:spLocks noChangeArrowheads="1"/>
        </xdr:cNvSpPr>
      </xdr:nvSpPr>
      <xdr:spPr bwMode="auto">
        <a:xfrm>
          <a:off x="933450" y="71266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50</xdr:row>
      <xdr:rowOff>0</xdr:rowOff>
    </xdr:from>
    <xdr:to>
      <xdr:col>3</xdr:col>
      <xdr:colOff>190500</xdr:colOff>
      <xdr:row>50</xdr:row>
      <xdr:rowOff>0</xdr:rowOff>
    </xdr:to>
    <xdr:sp macro="" textlink="">
      <xdr:nvSpPr>
        <xdr:cNvPr id="291" name="Text Box 93"/>
        <xdr:cNvSpPr txBox="1">
          <a:spLocks noChangeArrowheads="1"/>
        </xdr:cNvSpPr>
      </xdr:nvSpPr>
      <xdr:spPr bwMode="auto">
        <a:xfrm>
          <a:off x="933450" y="74028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52</xdr:row>
      <xdr:rowOff>0</xdr:rowOff>
    </xdr:from>
    <xdr:to>
      <xdr:col>3</xdr:col>
      <xdr:colOff>190500</xdr:colOff>
      <xdr:row>52</xdr:row>
      <xdr:rowOff>0</xdr:rowOff>
    </xdr:to>
    <xdr:sp macro="" textlink="">
      <xdr:nvSpPr>
        <xdr:cNvPr id="292" name="Text Box 93"/>
        <xdr:cNvSpPr txBox="1">
          <a:spLocks noChangeArrowheads="1"/>
        </xdr:cNvSpPr>
      </xdr:nvSpPr>
      <xdr:spPr bwMode="auto">
        <a:xfrm>
          <a:off x="933450" y="767905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54</xdr:row>
      <xdr:rowOff>0</xdr:rowOff>
    </xdr:from>
    <xdr:to>
      <xdr:col>3</xdr:col>
      <xdr:colOff>190500</xdr:colOff>
      <xdr:row>54</xdr:row>
      <xdr:rowOff>0</xdr:rowOff>
    </xdr:to>
    <xdr:sp macro="" textlink="">
      <xdr:nvSpPr>
        <xdr:cNvPr id="293" name="Text Box 93"/>
        <xdr:cNvSpPr txBox="1">
          <a:spLocks noChangeArrowheads="1"/>
        </xdr:cNvSpPr>
      </xdr:nvSpPr>
      <xdr:spPr bwMode="auto">
        <a:xfrm>
          <a:off x="933450" y="79552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666750</xdr:colOff>
      <xdr:row>0</xdr:row>
      <xdr:rowOff>104775</xdr:rowOff>
    </xdr:from>
    <xdr:to>
      <xdr:col>2</xdr:col>
      <xdr:colOff>1127463</xdr:colOff>
      <xdr:row>1</xdr:row>
      <xdr:rowOff>9525</xdr:rowOff>
    </xdr:to>
    <xdr:pic>
      <xdr:nvPicPr>
        <xdr:cNvPr id="297" name="Picture 296" descr="homes.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600200" y="104775"/>
          <a:ext cx="460713" cy="447675"/>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37</xdr:col>
      <xdr:colOff>0</xdr:colOff>
      <xdr:row>0</xdr:row>
      <xdr:rowOff>0</xdr:rowOff>
    </xdr:from>
    <xdr:to>
      <xdr:col>39</xdr:col>
      <xdr:colOff>95250</xdr:colOff>
      <xdr:row>0</xdr:row>
      <xdr:rowOff>524451</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871364" y="0"/>
          <a:ext cx="476250" cy="52445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2</xdr:col>
      <xdr:colOff>828675</xdr:colOff>
      <xdr:row>0</xdr:row>
      <xdr:rowOff>57150</xdr:rowOff>
    </xdr:from>
    <xdr:to>
      <xdr:col>2</xdr:col>
      <xdr:colOff>1919288</xdr:colOff>
      <xdr:row>0</xdr:row>
      <xdr:rowOff>447675</xdr:rowOff>
    </xdr:to>
    <xdr:pic>
      <xdr:nvPicPr>
        <xdr:cNvPr id="3" name="Picture 2"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857375" y="57150"/>
          <a:ext cx="1090613" cy="390525"/>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xdr:col>
      <xdr:colOff>1080547</xdr:colOff>
      <xdr:row>0</xdr:row>
      <xdr:rowOff>111125</xdr:rowOff>
    </xdr:from>
    <xdr:to>
      <xdr:col>3</xdr:col>
      <xdr:colOff>1080547</xdr:colOff>
      <xdr:row>5</xdr:row>
      <xdr:rowOff>74881</xdr:rowOff>
    </xdr:to>
    <xdr:pic>
      <xdr:nvPicPr>
        <xdr:cNvPr id="2" name="Picture 1" descr="pemdalumajang B-w.JPG"/>
        <xdr:cNvPicPr>
          <a:picLocks noChangeAspect="1"/>
        </xdr:cNvPicPr>
      </xdr:nvPicPr>
      <xdr:blipFill>
        <a:blip xmlns:r="http://schemas.openxmlformats.org/officeDocument/2006/relationships" r:embed="rId1"/>
        <a:stretch>
          <a:fillRect/>
        </a:stretch>
      </xdr:blipFill>
      <xdr:spPr>
        <a:xfrm>
          <a:off x="3099847" y="111125"/>
          <a:ext cx="1977681" cy="2407351"/>
        </a:xfrm>
        <a:prstGeom prst="rect">
          <a:avLst/>
        </a:prstGeom>
      </xdr:spPr>
    </xdr:pic>
    <xdr:clientData/>
  </xdr:twoCellAnchor>
  <xdr:twoCellAnchor>
    <xdr:from>
      <xdr:col>12</xdr:col>
      <xdr:colOff>272144</xdr:colOff>
      <xdr:row>0</xdr:row>
      <xdr:rowOff>149679</xdr:rowOff>
    </xdr:from>
    <xdr:to>
      <xdr:col>12</xdr:col>
      <xdr:colOff>2408464</xdr:colOff>
      <xdr:row>4</xdr:row>
      <xdr:rowOff>122464</xdr:rowOff>
    </xdr:to>
    <xdr:sp macro="" textlink="">
      <xdr:nvSpPr>
        <xdr:cNvPr id="3" name="Rounded Rectangular Callout 2"/>
        <xdr:cNvSpPr/>
      </xdr:nvSpPr>
      <xdr:spPr>
        <a:xfrm>
          <a:off x="10749644" y="149679"/>
          <a:ext cx="2136320" cy="744310"/>
        </a:xfrm>
        <a:prstGeom prst="wedgeRoundRectCallout">
          <a:avLst>
            <a:gd name="adj1" fmla="val -75842"/>
            <a:gd name="adj2" fmla="val -11059"/>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l"/>
          <a:r>
            <a:rPr lang="id-ID" sz="1100" b="0">
              <a:solidFill>
                <a:schemeClr val="tx1"/>
              </a:solidFill>
              <a:latin typeface="Arial Black" pitchFamily="34" charset="0"/>
            </a:rPr>
            <a:t>KLIK</a:t>
          </a:r>
          <a:r>
            <a:rPr lang="id-ID" sz="1100" b="0" baseline="0">
              <a:solidFill>
                <a:schemeClr val="tx1"/>
              </a:solidFill>
              <a:latin typeface="Arial Black" pitchFamily="34" charset="0"/>
            </a:rPr>
            <a:t> DI SINI UNTUK MENENTUKAN</a:t>
          </a:r>
          <a:r>
            <a:rPr lang="en-US" sz="1100" b="0" baseline="0">
              <a:solidFill>
                <a:schemeClr val="tx1"/>
              </a:solidFill>
              <a:latin typeface="Arial Black" pitchFamily="34" charset="0"/>
            </a:rPr>
            <a:t> </a:t>
          </a:r>
        </a:p>
        <a:p>
          <a:pPr algn="l"/>
          <a:r>
            <a:rPr lang="id-ID" sz="1100" b="0" baseline="0">
              <a:solidFill>
                <a:schemeClr val="tx1"/>
              </a:solidFill>
              <a:latin typeface="Arial Black" pitchFamily="34" charset="0"/>
            </a:rPr>
            <a:t>(NO. URUT SISWA )</a:t>
          </a:r>
          <a:endParaRPr lang="id-ID" sz="1100" b="0">
            <a:solidFill>
              <a:schemeClr val="tx1"/>
            </a:solidFill>
            <a:latin typeface="Arial Black" pitchFamily="34" charset="0"/>
          </a:endParaRPr>
        </a:p>
      </xdr:txBody>
    </xdr:sp>
    <xdr:clientData/>
  </xdr:twoCellAnchor>
  <xdr:twoCellAnchor>
    <xdr:from>
      <xdr:col>12</xdr:col>
      <xdr:colOff>2512787</xdr:colOff>
      <xdr:row>0</xdr:row>
      <xdr:rowOff>0</xdr:rowOff>
    </xdr:from>
    <xdr:to>
      <xdr:col>12</xdr:col>
      <xdr:colOff>5064125</xdr:colOff>
      <xdr:row>5</xdr:row>
      <xdr:rowOff>83910</xdr:rowOff>
    </xdr:to>
    <xdr:sp macro="" textlink="">
      <xdr:nvSpPr>
        <xdr:cNvPr id="4" name="Horizontal Scroll 3"/>
        <xdr:cNvSpPr/>
      </xdr:nvSpPr>
      <xdr:spPr>
        <a:xfrm>
          <a:off x="12688662" y="0"/>
          <a:ext cx="2551338" cy="1528535"/>
        </a:xfrm>
        <a:prstGeom prst="horizontalScroll">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rtlCol="0" anchor="ctr"/>
        <a:lstStyle/>
        <a:p>
          <a:pPr algn="l"/>
          <a:r>
            <a:rPr lang="en-US" sz="1600"/>
            <a:t>APLIKASI  INI DI SETTING</a:t>
          </a:r>
        </a:p>
        <a:p>
          <a:pPr algn="l"/>
          <a:r>
            <a:rPr lang="en-US" sz="1600"/>
            <a:t>MENGGUNAKAN </a:t>
          </a:r>
        </a:p>
        <a:p>
          <a:pPr algn="l"/>
          <a:r>
            <a:rPr lang="en-US" sz="1600" b="1"/>
            <a:t>KERTAS A4</a:t>
          </a:r>
          <a:endParaRPr lang="en-US" sz="1800" b="1"/>
        </a:p>
      </xdr:txBody>
    </xdr:sp>
    <xdr:clientData/>
  </xdr:twoCellAnchor>
  <xdr:twoCellAnchor>
    <xdr:from>
      <xdr:col>9</xdr:col>
      <xdr:colOff>136072</xdr:colOff>
      <xdr:row>7</xdr:row>
      <xdr:rowOff>56814</xdr:rowOff>
    </xdr:from>
    <xdr:to>
      <xdr:col>12</xdr:col>
      <xdr:colOff>501953</xdr:colOff>
      <xdr:row>9</xdr:row>
      <xdr:rowOff>8033</xdr:rowOff>
    </xdr:to>
    <xdr:sp macro="" textlink="">
      <xdr:nvSpPr>
        <xdr:cNvPr id="6" name="Snip Single Corner Rectangle 5">
          <a:hlinkClick xmlns:r="http://schemas.openxmlformats.org/officeDocument/2006/relationships" r:id="rId2"/>
        </xdr:cNvPr>
        <xdr:cNvSpPr/>
      </xdr:nvSpPr>
      <xdr:spPr>
        <a:xfrm>
          <a:off x="8674954" y="1793726"/>
          <a:ext cx="2293293" cy="332219"/>
        </a:xfrm>
        <a:prstGeom prst="snip1Rect">
          <a:avLst/>
        </a:prstGeom>
        <a:blipFill>
          <a:blip xmlns:r="http://schemas.openxmlformats.org/officeDocument/2006/relationships" r:embed="rId3"/>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DATA</a:t>
          </a:r>
          <a:r>
            <a:rPr lang="en-US" sz="2000" baseline="0">
              <a:solidFill>
                <a:schemeClr val="lt1"/>
              </a:solidFill>
              <a:latin typeface="+mn-lt"/>
              <a:ea typeface="+mn-ea"/>
              <a:cs typeface="+mn-cs"/>
            </a:rPr>
            <a:t> </a:t>
          </a:r>
          <a:r>
            <a:rPr lang="en-US" sz="2000">
              <a:solidFill>
                <a:schemeClr val="lt1"/>
              </a:solidFill>
              <a:latin typeface="+mn-lt"/>
              <a:ea typeface="+mn-ea"/>
              <a:cs typeface="+mn-cs"/>
            </a:rPr>
            <a:t> RAPORT</a:t>
          </a:r>
          <a:endParaRPr lang="en-US" sz="2000"/>
        </a:p>
      </xdr:txBody>
    </xdr:sp>
    <xdr:clientData/>
  </xdr:twoCellAnchor>
  <xdr:twoCellAnchor>
    <xdr:from>
      <xdr:col>9</xdr:col>
      <xdr:colOff>142875</xdr:colOff>
      <xdr:row>9</xdr:row>
      <xdr:rowOff>120847</xdr:rowOff>
    </xdr:from>
    <xdr:to>
      <xdr:col>12</xdr:col>
      <xdr:colOff>511024</xdr:colOff>
      <xdr:row>9</xdr:row>
      <xdr:rowOff>459441</xdr:rowOff>
    </xdr:to>
    <xdr:sp macro="" textlink="">
      <xdr:nvSpPr>
        <xdr:cNvPr id="7" name="Snip Single Corner Rectangle 6">
          <a:hlinkClick xmlns:r="http://schemas.openxmlformats.org/officeDocument/2006/relationships" r:id="rId4"/>
        </xdr:cNvPr>
        <xdr:cNvSpPr/>
      </xdr:nvSpPr>
      <xdr:spPr>
        <a:xfrm>
          <a:off x="8681757" y="2238759"/>
          <a:ext cx="2295561" cy="338594"/>
        </a:xfrm>
        <a:prstGeom prst="snip1Rect">
          <a:avLst/>
        </a:prstGeom>
        <a:blipFill>
          <a:blip xmlns:r="http://schemas.openxmlformats.org/officeDocument/2006/relationships" r:embed="rId3"/>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DESKRIPSI RAPORT</a:t>
          </a:r>
          <a:endParaRPr lang="en-US" sz="2000"/>
        </a:p>
      </xdr:txBody>
    </xdr:sp>
    <xdr:clientData/>
  </xdr:twoCellAnchor>
  <xdr:twoCellAnchor>
    <xdr:from>
      <xdr:col>13</xdr:col>
      <xdr:colOff>0</xdr:colOff>
      <xdr:row>6</xdr:row>
      <xdr:rowOff>1361</xdr:rowOff>
    </xdr:from>
    <xdr:to>
      <xdr:col>13</xdr:col>
      <xdr:colOff>0</xdr:colOff>
      <xdr:row>8</xdr:row>
      <xdr:rowOff>1362</xdr:rowOff>
    </xdr:to>
    <xdr:grpSp>
      <xdr:nvGrpSpPr>
        <xdr:cNvPr id="8" name="Group 7">
          <a:hlinkClick xmlns:r="http://schemas.openxmlformats.org/officeDocument/2006/relationships" r:id="rId5"/>
        </xdr:cNvPr>
        <xdr:cNvGrpSpPr/>
      </xdr:nvGrpSpPr>
      <xdr:grpSpPr>
        <a:xfrm>
          <a:off x="15494000" y="2414361"/>
          <a:ext cx="0" cy="603251"/>
          <a:chOff x="6496050" y="781049"/>
          <a:chExt cx="952500" cy="1143001"/>
        </a:xfrm>
      </xdr:grpSpPr>
      <xdr:pic>
        <xdr:nvPicPr>
          <xdr:cNvPr id="9" name="Picture 8" descr="homes.png"/>
          <xdr:cNvPicPr>
            <a:picLocks noChangeAspect="1"/>
          </xdr:cNvPicPr>
        </xdr:nvPicPr>
        <xdr:blipFill>
          <a:blip xmlns:r="http://schemas.openxmlformats.org/officeDocument/2006/relationships" r:embed="rId6"/>
          <a:stretch>
            <a:fillRect/>
          </a:stretch>
        </xdr:blipFill>
        <xdr:spPr>
          <a:xfrm>
            <a:off x="6496050" y="781049"/>
            <a:ext cx="952500" cy="809625"/>
          </a:xfrm>
          <a:prstGeom prst="rect">
            <a:avLst/>
          </a:prstGeom>
        </xdr:spPr>
      </xdr:pic>
      <xdr:sp macro="" textlink="">
        <xdr:nvSpPr>
          <xdr:cNvPr id="10" name="TextBox 9"/>
          <xdr:cNvSpPr txBox="1"/>
        </xdr:nvSpPr>
        <xdr:spPr>
          <a:xfrm>
            <a:off x="6543675" y="1600200"/>
            <a:ext cx="85725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600">
                <a:ln>
                  <a:noFill/>
                </a:ln>
                <a:solidFill>
                  <a:schemeClr val="tx2"/>
                </a:solidFill>
              </a:rPr>
              <a:t>HOME</a:t>
            </a:r>
          </a:p>
        </xdr:txBody>
      </xdr:sp>
    </xdr:grpSp>
    <xdr:clientData/>
  </xdr:twoCellAnchor>
  <xdr:twoCellAnchor editAs="oneCell">
    <xdr:from>
      <xdr:col>10</xdr:col>
      <xdr:colOff>0</xdr:colOff>
      <xdr:row>10</xdr:row>
      <xdr:rowOff>0</xdr:rowOff>
    </xdr:from>
    <xdr:to>
      <xdr:col>10</xdr:col>
      <xdr:colOff>976219</xdr:colOff>
      <xdr:row>12</xdr:row>
      <xdr:rowOff>221191</xdr:rowOff>
    </xdr:to>
    <xdr:pic>
      <xdr:nvPicPr>
        <xdr:cNvPr id="16" name="Picture 15">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001125" y="3984625"/>
          <a:ext cx="976219" cy="1046691"/>
        </a:xfrm>
        <a:prstGeom prst="rect">
          <a:avLst/>
        </a:prstGeom>
      </xdr:spPr>
    </xdr:pic>
    <xdr:clientData/>
  </xdr:twoCellAnchor>
  <xdr:twoCellAnchor editAs="oneCell">
    <xdr:from>
      <xdr:col>4</xdr:col>
      <xdr:colOff>31750</xdr:colOff>
      <xdr:row>2</xdr:row>
      <xdr:rowOff>127000</xdr:rowOff>
    </xdr:from>
    <xdr:to>
      <xdr:col>5</xdr:col>
      <xdr:colOff>1781623</xdr:colOff>
      <xdr:row>7</xdr:row>
      <xdr:rowOff>110752</xdr:rowOff>
    </xdr:to>
    <xdr:pic>
      <xdr:nvPicPr>
        <xdr:cNvPr id="17" name="Picture 16" descr="Hasil gambar untuk tut wuri"/>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00375" y="904875"/>
          <a:ext cx="2019748" cy="2031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158750</xdr:colOff>
      <xdr:row>35</xdr:row>
      <xdr:rowOff>31750</xdr:rowOff>
    </xdr:from>
    <xdr:to>
      <xdr:col>5</xdr:col>
      <xdr:colOff>1908623</xdr:colOff>
      <xdr:row>37</xdr:row>
      <xdr:rowOff>412377</xdr:rowOff>
    </xdr:to>
    <xdr:pic>
      <xdr:nvPicPr>
        <xdr:cNvPr id="18" name="Picture 17" descr="Hasil gambar untuk tut wuri"/>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27375" y="13858875"/>
          <a:ext cx="2019748" cy="2031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152400</xdr:colOff>
          <xdr:row>1</xdr:row>
          <xdr:rowOff>0</xdr:rowOff>
        </xdr:from>
        <xdr:to>
          <xdr:col>10</xdr:col>
          <xdr:colOff>609600</xdr:colOff>
          <xdr:row>4</xdr:row>
          <xdr:rowOff>28575</xdr:rowOff>
        </xdr:to>
        <xdr:sp macro="" textlink="">
          <xdr:nvSpPr>
            <xdr:cNvPr id="28673" name="Spinner 1"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xdr:from>
      <xdr:col>19</xdr:col>
      <xdr:colOff>1</xdr:colOff>
      <xdr:row>0</xdr:row>
      <xdr:rowOff>13607</xdr:rowOff>
    </xdr:from>
    <xdr:to>
      <xdr:col>20</xdr:col>
      <xdr:colOff>1959428</xdr:colOff>
      <xdr:row>2</xdr:row>
      <xdr:rowOff>149680</xdr:rowOff>
    </xdr:to>
    <xdr:sp macro="" textlink="">
      <xdr:nvSpPr>
        <xdr:cNvPr id="2" name="Rounded Rectangular Callout 1"/>
        <xdr:cNvSpPr/>
      </xdr:nvSpPr>
      <xdr:spPr>
        <a:xfrm>
          <a:off x="10010776" y="13607"/>
          <a:ext cx="2140402" cy="926648"/>
        </a:xfrm>
        <a:prstGeom prst="wedgeRoundRectCallout">
          <a:avLst>
            <a:gd name="adj1" fmla="val -75842"/>
            <a:gd name="adj2" fmla="val -11059"/>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l"/>
          <a:r>
            <a:rPr lang="id-ID" sz="1100" b="0">
              <a:solidFill>
                <a:schemeClr val="tx1"/>
              </a:solidFill>
              <a:latin typeface="Arial Black" pitchFamily="34" charset="0"/>
            </a:rPr>
            <a:t>KLIK</a:t>
          </a:r>
          <a:r>
            <a:rPr lang="id-ID" sz="1100" b="0" baseline="0">
              <a:solidFill>
                <a:schemeClr val="tx1"/>
              </a:solidFill>
              <a:latin typeface="Arial Black" pitchFamily="34" charset="0"/>
            </a:rPr>
            <a:t> DI SINI UNTUK MENENTUKAN</a:t>
          </a:r>
          <a:r>
            <a:rPr lang="en-US" sz="1100" b="0" baseline="0">
              <a:solidFill>
                <a:schemeClr val="tx1"/>
              </a:solidFill>
              <a:latin typeface="Arial Black" pitchFamily="34" charset="0"/>
            </a:rPr>
            <a:t> </a:t>
          </a:r>
        </a:p>
        <a:p>
          <a:pPr algn="l"/>
          <a:r>
            <a:rPr lang="id-ID" sz="1100" b="0" baseline="0">
              <a:solidFill>
                <a:schemeClr val="tx1"/>
              </a:solidFill>
              <a:latin typeface="Arial Black" pitchFamily="34" charset="0"/>
            </a:rPr>
            <a:t>(NO. URUT SISWA )</a:t>
          </a:r>
          <a:endParaRPr lang="id-ID" sz="1100" b="0">
            <a:solidFill>
              <a:schemeClr val="tx1"/>
            </a:solidFill>
            <a:latin typeface="Arial Black" pitchFamily="34" charset="0"/>
          </a:endParaRPr>
        </a:p>
      </xdr:txBody>
    </xdr:sp>
    <xdr:clientData/>
  </xdr:twoCellAnchor>
  <xdr:twoCellAnchor>
    <xdr:from>
      <xdr:col>20</xdr:col>
      <xdr:colOff>2195286</xdr:colOff>
      <xdr:row>0</xdr:row>
      <xdr:rowOff>27215</xdr:rowOff>
    </xdr:from>
    <xdr:to>
      <xdr:col>20</xdr:col>
      <xdr:colOff>5048249</xdr:colOff>
      <xdr:row>3</xdr:row>
      <xdr:rowOff>244928</xdr:rowOff>
    </xdr:to>
    <xdr:sp macro="" textlink="">
      <xdr:nvSpPr>
        <xdr:cNvPr id="3" name="Horizontal Scroll 2"/>
        <xdr:cNvSpPr/>
      </xdr:nvSpPr>
      <xdr:spPr>
        <a:xfrm>
          <a:off x="12686393" y="27215"/>
          <a:ext cx="2852963" cy="966106"/>
        </a:xfrm>
        <a:prstGeom prst="horizontalScroll">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rtlCol="0" anchor="ctr"/>
        <a:lstStyle/>
        <a:p>
          <a:pPr algn="l"/>
          <a:r>
            <a:rPr lang="en-US" sz="1600"/>
            <a:t>APLIKASI  INI DI SETTING</a:t>
          </a:r>
        </a:p>
        <a:p>
          <a:pPr algn="l"/>
          <a:r>
            <a:rPr lang="en-US" sz="1600"/>
            <a:t>MENGGUNAKAN </a:t>
          </a:r>
        </a:p>
        <a:p>
          <a:pPr algn="l"/>
          <a:r>
            <a:rPr lang="en-US" sz="1600" b="1"/>
            <a:t>KERTAS A4</a:t>
          </a:r>
          <a:endParaRPr lang="en-US" sz="1800" b="1"/>
        </a:p>
      </xdr:txBody>
    </xdr:sp>
    <xdr:clientData/>
  </xdr:twoCellAnchor>
  <xdr:twoCellAnchor>
    <xdr:from>
      <xdr:col>17</xdr:col>
      <xdr:colOff>136072</xdr:colOff>
      <xdr:row>5</xdr:row>
      <xdr:rowOff>95251</xdr:rowOff>
    </xdr:from>
    <xdr:to>
      <xdr:col>20</xdr:col>
      <xdr:colOff>501953</xdr:colOff>
      <xdr:row>6</xdr:row>
      <xdr:rowOff>111127</xdr:rowOff>
    </xdr:to>
    <xdr:sp macro="" textlink="">
      <xdr:nvSpPr>
        <xdr:cNvPr id="4" name="Snip Single Corner Rectangle 3">
          <a:hlinkClick xmlns:r="http://schemas.openxmlformats.org/officeDocument/2006/relationships" r:id="rId1"/>
        </xdr:cNvPr>
        <xdr:cNvSpPr/>
      </xdr:nvSpPr>
      <xdr:spPr>
        <a:xfrm>
          <a:off x="8382001" y="1483180"/>
          <a:ext cx="2298095" cy="328840"/>
        </a:xfrm>
        <a:prstGeom prst="snip1Rect">
          <a:avLst/>
        </a:prstGeom>
        <a:blipFill>
          <a:blip xmlns:r="http://schemas.openxmlformats.org/officeDocument/2006/relationships" r:embed="rId2"/>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SAMPUL RAPORT</a:t>
          </a:r>
          <a:endParaRPr lang="en-US" sz="2000"/>
        </a:p>
      </xdr:txBody>
    </xdr:sp>
    <xdr:clientData/>
  </xdr:twoCellAnchor>
  <xdr:twoCellAnchor>
    <xdr:from>
      <xdr:col>17</xdr:col>
      <xdr:colOff>131669</xdr:colOff>
      <xdr:row>6</xdr:row>
      <xdr:rowOff>237950</xdr:rowOff>
    </xdr:from>
    <xdr:to>
      <xdr:col>20</xdr:col>
      <xdr:colOff>499818</xdr:colOff>
      <xdr:row>7</xdr:row>
      <xdr:rowOff>312966</xdr:rowOff>
    </xdr:to>
    <xdr:sp macro="" textlink="">
      <xdr:nvSpPr>
        <xdr:cNvPr id="6" name="Snip Single Corner Rectangle 5">
          <a:hlinkClick xmlns:r="http://schemas.openxmlformats.org/officeDocument/2006/relationships" r:id="rId3"/>
        </xdr:cNvPr>
        <xdr:cNvSpPr/>
      </xdr:nvSpPr>
      <xdr:spPr>
        <a:xfrm>
          <a:off x="8377598" y="1938843"/>
          <a:ext cx="2300363" cy="415194"/>
        </a:xfrm>
        <a:prstGeom prst="snip1Rect">
          <a:avLst/>
        </a:prstGeom>
        <a:blipFill>
          <a:blip xmlns:r="http://schemas.openxmlformats.org/officeDocument/2006/relationships" r:embed="rId2"/>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DESKRIPSI RAPORT</a:t>
          </a:r>
          <a:endParaRPr lang="en-US" sz="2000"/>
        </a:p>
      </xdr:txBody>
    </xdr:sp>
    <xdr:clientData/>
  </xdr:twoCellAnchor>
  <xdr:twoCellAnchor>
    <xdr:from>
      <xdr:col>21</xdr:col>
      <xdr:colOff>0</xdr:colOff>
      <xdr:row>5</xdr:row>
      <xdr:rowOff>189059</xdr:rowOff>
    </xdr:from>
    <xdr:to>
      <xdr:col>21</xdr:col>
      <xdr:colOff>0</xdr:colOff>
      <xdr:row>8</xdr:row>
      <xdr:rowOff>56030</xdr:rowOff>
    </xdr:to>
    <xdr:grpSp>
      <xdr:nvGrpSpPr>
        <xdr:cNvPr id="7" name="Group 6">
          <a:hlinkClick xmlns:r="http://schemas.openxmlformats.org/officeDocument/2006/relationships" r:id="rId4"/>
        </xdr:cNvPr>
        <xdr:cNvGrpSpPr/>
      </xdr:nvGrpSpPr>
      <xdr:grpSpPr>
        <a:xfrm>
          <a:off x="15716250" y="1468130"/>
          <a:ext cx="0" cy="860293"/>
          <a:chOff x="6496050" y="781049"/>
          <a:chExt cx="952500" cy="1143001"/>
        </a:xfrm>
      </xdr:grpSpPr>
      <xdr:pic>
        <xdr:nvPicPr>
          <xdr:cNvPr id="8" name="Picture 7" descr="homes.png"/>
          <xdr:cNvPicPr>
            <a:picLocks noChangeAspect="1"/>
          </xdr:cNvPicPr>
        </xdr:nvPicPr>
        <xdr:blipFill>
          <a:blip xmlns:r="http://schemas.openxmlformats.org/officeDocument/2006/relationships" r:embed="rId5" cstate="print"/>
          <a:stretch>
            <a:fillRect/>
          </a:stretch>
        </xdr:blipFill>
        <xdr:spPr>
          <a:xfrm>
            <a:off x="6496050" y="781049"/>
            <a:ext cx="952500" cy="809625"/>
          </a:xfrm>
          <a:prstGeom prst="rect">
            <a:avLst/>
          </a:prstGeom>
        </xdr:spPr>
      </xdr:pic>
      <xdr:sp macro="" textlink="">
        <xdr:nvSpPr>
          <xdr:cNvPr id="9" name="TextBox 8"/>
          <xdr:cNvSpPr txBox="1"/>
        </xdr:nvSpPr>
        <xdr:spPr>
          <a:xfrm>
            <a:off x="6543675" y="1600200"/>
            <a:ext cx="85725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600">
                <a:ln>
                  <a:noFill/>
                </a:ln>
                <a:solidFill>
                  <a:schemeClr val="tx2"/>
                </a:solidFill>
              </a:rPr>
              <a:t>HOME</a:t>
            </a:r>
          </a:p>
        </xdr:txBody>
      </xdr:sp>
    </xdr:grpSp>
    <xdr:clientData/>
  </xdr:twoCellAnchor>
  <xdr:twoCellAnchor editAs="oneCell">
    <xdr:from>
      <xdr:col>18</xdr:col>
      <xdr:colOff>0</xdr:colOff>
      <xdr:row>8</xdr:row>
      <xdr:rowOff>27214</xdr:rowOff>
    </xdr:from>
    <xdr:to>
      <xdr:col>18</xdr:col>
      <xdr:colOff>976219</xdr:colOff>
      <xdr:row>11</xdr:row>
      <xdr:rowOff>53369</xdr:rowOff>
    </xdr:to>
    <xdr:pic>
      <xdr:nvPicPr>
        <xdr:cNvPr id="13" name="Picture 12">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12036" y="2299607"/>
          <a:ext cx="976219" cy="1046691"/>
        </a:xfrm>
        <a:prstGeom prst="rect">
          <a:avLst/>
        </a:prstGeom>
      </xdr:spPr>
    </xdr:pic>
    <xdr:clientData/>
  </xdr:twoCellAnchor>
  <mc:AlternateContent xmlns:mc="http://schemas.openxmlformats.org/markup-compatibility/2006">
    <mc:Choice xmlns:a14="http://schemas.microsoft.com/office/drawing/2010/main" Requires="a14">
      <xdr:twoCellAnchor>
        <xdr:from>
          <xdr:col>18</xdr:col>
          <xdr:colOff>95250</xdr:colOff>
          <xdr:row>1</xdr:row>
          <xdr:rowOff>0</xdr:rowOff>
        </xdr:from>
        <xdr:to>
          <xdr:col>18</xdr:col>
          <xdr:colOff>552450</xdr:colOff>
          <xdr:row>2</xdr:row>
          <xdr:rowOff>0</xdr:rowOff>
        </xdr:to>
        <xdr:sp macro="" textlink="">
          <xdr:nvSpPr>
            <xdr:cNvPr id="29697" name="Spinner 1" hidden="1">
              <a:extLst>
                <a:ext uri="{63B3BB69-23CF-44E3-9099-C40C66FF867C}">
                  <a14:compatExt spid="_x0000_s29697"/>
                </a:ext>
              </a:extLst>
            </xdr:cNvPr>
            <xdr:cNvSpPr/>
          </xdr:nvSpPr>
          <xdr:spPr>
            <a:xfrm>
              <a:off x="0" y="0"/>
              <a:ext cx="0" cy="0"/>
            </a:xfrm>
            <a:prstGeom prst="rect">
              <a:avLst/>
            </a:prstGeom>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xdr:from>
      <xdr:col>0</xdr:col>
      <xdr:colOff>152400</xdr:colOff>
      <xdr:row>86</xdr:row>
      <xdr:rowOff>28575</xdr:rowOff>
    </xdr:from>
    <xdr:to>
      <xdr:col>5</xdr:col>
      <xdr:colOff>158750</xdr:colOff>
      <xdr:row>93</xdr:row>
      <xdr:rowOff>57150</xdr:rowOff>
    </xdr:to>
    <xdr:sp macro="" textlink="">
      <xdr:nvSpPr>
        <xdr:cNvPr id="2" name="TextBox 1"/>
        <xdr:cNvSpPr txBox="1"/>
      </xdr:nvSpPr>
      <xdr:spPr bwMode="auto">
        <a:xfrm>
          <a:off x="152400" y="56226075"/>
          <a:ext cx="2197100" cy="18065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latin typeface="Times New Roman" panose="02020603050405020304" pitchFamily="18" charset="0"/>
              <a:cs typeface="Times New Roman" panose="02020603050405020304" pitchFamily="18" charset="0"/>
            </a:rPr>
            <a:t> </a:t>
          </a:r>
        </a:p>
        <a:p>
          <a:pPr algn="ctr"/>
          <a:r>
            <a:rPr lang="en-US" sz="1600">
              <a:latin typeface="Times New Roman" panose="02020603050405020304" pitchFamily="18" charset="0"/>
              <a:cs typeface="Times New Roman" panose="02020603050405020304" pitchFamily="18" charset="0"/>
            </a:rPr>
            <a:t>Orang Tua/ Wali</a:t>
          </a:r>
        </a:p>
        <a:p>
          <a:pPr algn="ctr"/>
          <a:endParaRPr lang="en-US" sz="1600">
            <a:latin typeface="Times New Roman" panose="02020603050405020304" pitchFamily="18" charset="0"/>
            <a:cs typeface="Times New Roman" panose="02020603050405020304" pitchFamily="18" charset="0"/>
          </a:endParaRPr>
        </a:p>
        <a:p>
          <a:pPr algn="ctr"/>
          <a:endParaRPr lang="en-US" sz="1600">
            <a:latin typeface="Times New Roman" panose="02020603050405020304" pitchFamily="18" charset="0"/>
            <a:cs typeface="Times New Roman" panose="02020603050405020304" pitchFamily="18" charset="0"/>
          </a:endParaRPr>
        </a:p>
        <a:p>
          <a:pPr algn="ctr"/>
          <a:endParaRPr lang="en-US" sz="1600">
            <a:latin typeface="Times New Roman" panose="02020603050405020304" pitchFamily="18" charset="0"/>
            <a:cs typeface="Times New Roman" panose="02020603050405020304" pitchFamily="18" charset="0"/>
          </a:endParaRPr>
        </a:p>
        <a:p>
          <a:pPr algn="ctr"/>
          <a:r>
            <a:rPr lang="en-US" sz="1600">
              <a:latin typeface="Times New Roman" panose="02020603050405020304" pitchFamily="18" charset="0"/>
              <a:cs typeface="Times New Roman" panose="02020603050405020304" pitchFamily="18" charset="0"/>
            </a:rPr>
            <a:t>..........................................</a:t>
          </a:r>
        </a:p>
      </xdr:txBody>
    </xdr:sp>
    <xdr:clientData/>
  </xdr:twoCellAnchor>
  <xdr:twoCellAnchor>
    <xdr:from>
      <xdr:col>12</xdr:col>
      <xdr:colOff>0</xdr:colOff>
      <xdr:row>7</xdr:row>
      <xdr:rowOff>0</xdr:rowOff>
    </xdr:from>
    <xdr:to>
      <xdr:col>15</xdr:col>
      <xdr:colOff>469295</xdr:colOff>
      <xdr:row>9</xdr:row>
      <xdr:rowOff>44450</xdr:rowOff>
    </xdr:to>
    <xdr:sp macro="" textlink="">
      <xdr:nvSpPr>
        <xdr:cNvPr id="6" name="Snip Single Corner Rectangle 5">
          <a:hlinkClick xmlns:r="http://schemas.openxmlformats.org/officeDocument/2006/relationships" r:id="rId1"/>
        </xdr:cNvPr>
        <xdr:cNvSpPr/>
      </xdr:nvSpPr>
      <xdr:spPr>
        <a:xfrm>
          <a:off x="7343775" y="1704975"/>
          <a:ext cx="2298095" cy="444500"/>
        </a:xfrm>
        <a:prstGeom prst="snip1Rect">
          <a:avLst/>
        </a:prstGeom>
        <a:blipFill>
          <a:blip xmlns:r="http://schemas.openxmlformats.org/officeDocument/2006/relationships" r:embed="rId2"/>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SAMPUL RAPORT</a:t>
          </a:r>
          <a:endParaRPr lang="en-US" sz="2000"/>
        </a:p>
      </xdr:txBody>
    </xdr:sp>
    <xdr:clientData/>
  </xdr:twoCellAnchor>
  <xdr:twoCellAnchor>
    <xdr:from>
      <xdr:col>12</xdr:col>
      <xdr:colOff>0</xdr:colOff>
      <xdr:row>9</xdr:row>
      <xdr:rowOff>123826</xdr:rowOff>
    </xdr:from>
    <xdr:to>
      <xdr:col>15</xdr:col>
      <xdr:colOff>469295</xdr:colOff>
      <xdr:row>9</xdr:row>
      <xdr:rowOff>619126</xdr:rowOff>
    </xdr:to>
    <xdr:sp macro="" textlink="">
      <xdr:nvSpPr>
        <xdr:cNvPr id="7" name="Snip Single Corner Rectangle 6">
          <a:hlinkClick xmlns:r="http://schemas.openxmlformats.org/officeDocument/2006/relationships" r:id="rId3"/>
        </xdr:cNvPr>
        <xdr:cNvSpPr/>
      </xdr:nvSpPr>
      <xdr:spPr>
        <a:xfrm>
          <a:off x="7343775" y="1933576"/>
          <a:ext cx="2298095" cy="495300"/>
        </a:xfrm>
        <a:prstGeom prst="snip1Rect">
          <a:avLst/>
        </a:prstGeom>
        <a:blipFill>
          <a:blip xmlns:r="http://schemas.openxmlformats.org/officeDocument/2006/relationships" r:embed="rId2"/>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DATA</a:t>
          </a:r>
          <a:r>
            <a:rPr lang="en-US" sz="2000" baseline="0">
              <a:solidFill>
                <a:schemeClr val="lt1"/>
              </a:solidFill>
              <a:latin typeface="+mn-lt"/>
              <a:ea typeface="+mn-ea"/>
              <a:cs typeface="+mn-cs"/>
            </a:rPr>
            <a:t> </a:t>
          </a:r>
          <a:r>
            <a:rPr lang="en-US" sz="2000">
              <a:solidFill>
                <a:schemeClr val="lt1"/>
              </a:solidFill>
              <a:latin typeface="+mn-lt"/>
              <a:ea typeface="+mn-ea"/>
              <a:cs typeface="+mn-cs"/>
            </a:rPr>
            <a:t> RAPORT</a:t>
          </a:r>
          <a:endParaRPr lang="en-US" sz="2000"/>
        </a:p>
      </xdr:txBody>
    </xdr:sp>
    <xdr:clientData/>
  </xdr:twoCellAnchor>
  <xdr:twoCellAnchor editAs="oneCell">
    <xdr:from>
      <xdr:col>12</xdr:col>
      <xdr:colOff>517071</xdr:colOff>
      <xdr:row>9</xdr:row>
      <xdr:rowOff>789214</xdr:rowOff>
    </xdr:from>
    <xdr:to>
      <xdr:col>14</xdr:col>
      <xdr:colOff>268648</xdr:colOff>
      <xdr:row>10</xdr:row>
      <xdr:rowOff>393548</xdr:rowOff>
    </xdr:to>
    <xdr:pic>
      <xdr:nvPicPr>
        <xdr:cNvPr id="9" name="Picture 8">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667750" y="3673928"/>
          <a:ext cx="976219" cy="1046691"/>
        </a:xfrm>
        <a:prstGeom prst="rect">
          <a:avLst/>
        </a:prstGeom>
      </xdr:spPr>
    </xdr:pic>
    <xdr:clientData/>
  </xdr:twoCellAnchor>
  <xdr:twoCellAnchor>
    <xdr:from>
      <xdr:col>12</xdr:col>
      <xdr:colOff>108857</xdr:colOff>
      <xdr:row>10</xdr:row>
      <xdr:rowOff>544285</xdr:rowOff>
    </xdr:from>
    <xdr:to>
      <xdr:col>16</xdr:col>
      <xdr:colOff>449035</xdr:colOff>
      <xdr:row>12</xdr:row>
      <xdr:rowOff>152025</xdr:rowOff>
    </xdr:to>
    <xdr:sp macro="" textlink="">
      <xdr:nvSpPr>
        <xdr:cNvPr id="8" name="Horizontal Scroll 7"/>
        <xdr:cNvSpPr/>
      </xdr:nvSpPr>
      <xdr:spPr>
        <a:xfrm>
          <a:off x="8395607" y="4871356"/>
          <a:ext cx="2789464" cy="1295026"/>
        </a:xfrm>
        <a:prstGeom prst="horizontalScroll">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rtlCol="0" anchor="ctr"/>
        <a:lstStyle/>
        <a:p>
          <a:pPr algn="l"/>
          <a:r>
            <a:rPr lang="en-US" sz="1600"/>
            <a:t>APLIKASI  INI DI SETTING</a:t>
          </a:r>
        </a:p>
        <a:p>
          <a:pPr algn="l"/>
          <a:r>
            <a:rPr lang="en-US" sz="1600"/>
            <a:t>MENGGUNAKAN </a:t>
          </a:r>
        </a:p>
        <a:p>
          <a:pPr algn="l"/>
          <a:r>
            <a:rPr lang="en-US" sz="1600" b="1"/>
            <a:t>KERTAS A4</a:t>
          </a:r>
          <a:endParaRPr lang="en-US" sz="1800" b="1"/>
        </a:p>
      </xdr:txBody>
    </xdr:sp>
    <xdr:clientData/>
  </xdr:twoCellAnchor>
  <mc:AlternateContent xmlns:mc="http://schemas.openxmlformats.org/markup-compatibility/2006">
    <mc:Choice xmlns:a14="http://schemas.microsoft.com/office/drawing/2010/main" Requires="a14">
      <xdr:twoCellAnchor>
        <xdr:from>
          <xdr:col>13</xdr:col>
          <xdr:colOff>66675</xdr:colOff>
          <xdr:row>1</xdr:row>
          <xdr:rowOff>133350</xdr:rowOff>
        </xdr:from>
        <xdr:to>
          <xdr:col>14</xdr:col>
          <xdr:colOff>19050</xdr:colOff>
          <xdr:row>4</xdr:row>
          <xdr:rowOff>161925</xdr:rowOff>
        </xdr:to>
        <xdr:sp macro="" textlink="">
          <xdr:nvSpPr>
            <xdr:cNvPr id="30721" name="Spinner 1" hidden="1">
              <a:extLst>
                <a:ext uri="{63B3BB69-23CF-44E3-9099-C40C66FF867C}">
                  <a14:compatExt spid="_x0000_s30721"/>
                </a:ext>
              </a:extLst>
            </xdr:cNvPr>
            <xdr:cNvSpPr/>
          </xdr:nvSpPr>
          <xdr:spPr>
            <a:xfrm>
              <a:off x="0" y="0"/>
              <a:ext cx="0" cy="0"/>
            </a:xfrm>
            <a:prstGeom prst="rect">
              <a:avLst/>
            </a:prstGeom>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67236</xdr:colOff>
      <xdr:row>0</xdr:row>
      <xdr:rowOff>11205</xdr:rowOff>
    </xdr:from>
    <xdr:to>
      <xdr:col>0</xdr:col>
      <xdr:colOff>504265</xdr:colOff>
      <xdr:row>0</xdr:row>
      <xdr:rowOff>490409</xdr:rowOff>
    </xdr:to>
    <xdr:pic>
      <xdr:nvPicPr>
        <xdr:cNvPr id="587" name="Picture 58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236" y="11205"/>
          <a:ext cx="437029" cy="479204"/>
        </a:xfrm>
        <a:prstGeom prst="rect">
          <a:avLst/>
        </a:prstGeom>
      </xdr:spPr>
    </xdr:pic>
    <xdr:clientData/>
  </xdr:twoCellAnchor>
  <xdr:twoCellAnchor editAs="oneCell">
    <xdr:from>
      <xdr:col>59</xdr:col>
      <xdr:colOff>1367118</xdr:colOff>
      <xdr:row>0</xdr:row>
      <xdr:rowOff>22412</xdr:rowOff>
    </xdr:from>
    <xdr:to>
      <xdr:col>59</xdr:col>
      <xdr:colOff>1804147</xdr:colOff>
      <xdr:row>0</xdr:row>
      <xdr:rowOff>501616</xdr:rowOff>
    </xdr:to>
    <xdr:pic>
      <xdr:nvPicPr>
        <xdr:cNvPr id="588" name="Picture 58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453412" y="22412"/>
          <a:ext cx="437029" cy="479204"/>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12</xdr:row>
          <xdr:rowOff>9525</xdr:rowOff>
        </xdr:from>
        <xdr:to>
          <xdr:col>20</xdr:col>
          <xdr:colOff>447675</xdr:colOff>
          <xdr:row>14</xdr:row>
          <xdr:rowOff>19050</xdr:rowOff>
        </xdr:to>
        <xdr:sp macro="" textlink="">
          <xdr:nvSpPr>
            <xdr:cNvPr id="79873" name="Spinner 1" hidden="1">
              <a:extLst>
                <a:ext uri="{63B3BB69-23CF-44E3-9099-C40C66FF867C}">
                  <a14:compatExt spid="_x0000_s79873"/>
                </a:ext>
              </a:extLst>
            </xdr:cNvPr>
            <xdr:cNvSpPr/>
          </xdr:nvSpPr>
          <xdr:spPr>
            <a:xfrm>
              <a:off x="0" y="0"/>
              <a:ext cx="0" cy="0"/>
            </a:xfrm>
            <a:prstGeom prst="rect">
              <a:avLst/>
            </a:prstGeom>
          </xdr:spPr>
        </xdr:sp>
        <xdr:clientData/>
      </xdr:twoCellAnchor>
    </mc:Choice>
    <mc:Fallback/>
  </mc:AlternateContent>
  <xdr:twoCellAnchor>
    <xdr:from>
      <xdr:col>20</xdr:col>
      <xdr:colOff>89858</xdr:colOff>
      <xdr:row>14</xdr:row>
      <xdr:rowOff>98845</xdr:rowOff>
    </xdr:from>
    <xdr:to>
      <xdr:col>20</xdr:col>
      <xdr:colOff>404362</xdr:colOff>
      <xdr:row>16</xdr:row>
      <xdr:rowOff>26958</xdr:rowOff>
    </xdr:to>
    <xdr:sp macro="" textlink="">
      <xdr:nvSpPr>
        <xdr:cNvPr id="3" name="Up Arrow 2"/>
        <xdr:cNvSpPr/>
      </xdr:nvSpPr>
      <xdr:spPr>
        <a:xfrm>
          <a:off x="9186233" y="1308520"/>
          <a:ext cx="314504" cy="337688"/>
        </a:xfrm>
        <a:prstGeom prst="upArrow">
          <a:avLst/>
        </a:prstGeom>
        <a:ln>
          <a:solidFill>
            <a:schemeClr val="tx1">
              <a:lumMod val="95000"/>
              <a:lumOff val="5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313764</xdr:colOff>
      <xdr:row>0</xdr:row>
      <xdr:rowOff>136712</xdr:rowOff>
    </xdr:from>
    <xdr:to>
      <xdr:col>18</xdr:col>
      <xdr:colOff>219577</xdr:colOff>
      <xdr:row>4</xdr:row>
      <xdr:rowOff>53227</xdr:rowOff>
    </xdr:to>
    <xdr:pic>
      <xdr:nvPicPr>
        <xdr:cNvPr id="12" name="Picture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6088" y="136712"/>
          <a:ext cx="1116048" cy="981074"/>
        </a:xfrm>
        <a:prstGeom prst="rect">
          <a:avLst/>
        </a:prstGeom>
      </xdr:spPr>
    </xdr:pic>
    <xdr:clientData/>
  </xdr:twoCellAnchor>
  <xdr:twoCellAnchor editAs="oneCell">
    <xdr:from>
      <xdr:col>0</xdr:col>
      <xdr:colOff>235326</xdr:colOff>
      <xdr:row>0</xdr:row>
      <xdr:rowOff>143043</xdr:rowOff>
    </xdr:from>
    <xdr:to>
      <xdr:col>3</xdr:col>
      <xdr:colOff>11208</xdr:colOff>
      <xdr:row>4</xdr:row>
      <xdr:rowOff>104216</xdr:rowOff>
    </xdr:to>
    <xdr:pic>
      <xdr:nvPicPr>
        <xdr:cNvPr id="14" name="Picture 13" descr="Hasil gambar untuk tut wuri"/>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5326" y="143043"/>
          <a:ext cx="1019735" cy="10257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5</xdr:row>
      <xdr:rowOff>0</xdr:rowOff>
    </xdr:from>
    <xdr:to>
      <xdr:col>19</xdr:col>
      <xdr:colOff>0</xdr:colOff>
      <xdr:row>5</xdr:row>
      <xdr:rowOff>22411</xdr:rowOff>
    </xdr:to>
    <xdr:cxnSp macro="">
      <xdr:nvCxnSpPr>
        <xdr:cNvPr id="15" name="Straight Connector 14"/>
        <xdr:cNvCxnSpPr/>
      </xdr:nvCxnSpPr>
      <xdr:spPr>
        <a:xfrm>
          <a:off x="0" y="1367118"/>
          <a:ext cx="8494059" cy="22411"/>
        </a:xfrm>
        <a:prstGeom prst="line">
          <a:avLst/>
        </a:prstGeom>
        <a:ln w="53975" cmpd="thickThi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212911</xdr:colOff>
      <xdr:row>7</xdr:row>
      <xdr:rowOff>89647</xdr:rowOff>
    </xdr:from>
    <xdr:to>
      <xdr:col>20</xdr:col>
      <xdr:colOff>369794</xdr:colOff>
      <xdr:row>11</xdr:row>
      <xdr:rowOff>39918</xdr:rowOff>
    </xdr:to>
    <xdr:pic>
      <xdr:nvPicPr>
        <xdr:cNvPr id="8" name="Picture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706970" y="1792941"/>
          <a:ext cx="762000" cy="835536"/>
        </a:xfrm>
        <a:prstGeom prst="rect">
          <a:avLst/>
        </a:prstGeom>
      </xdr:spPr>
    </xdr:pic>
    <xdr:clientData/>
  </xdr:twoCellAnchor>
  <xdr:twoCellAnchor>
    <xdr:from>
      <xdr:col>20</xdr:col>
      <xdr:colOff>0</xdr:colOff>
      <xdr:row>2</xdr:row>
      <xdr:rowOff>0</xdr:rowOff>
    </xdr:from>
    <xdr:to>
      <xdr:col>25</xdr:col>
      <xdr:colOff>295355</xdr:colOff>
      <xdr:row>4</xdr:row>
      <xdr:rowOff>229720</xdr:rowOff>
    </xdr:to>
    <xdr:grpSp>
      <xdr:nvGrpSpPr>
        <xdr:cNvPr id="9" name="Group 8">
          <a:hlinkClick xmlns:r="http://schemas.openxmlformats.org/officeDocument/2006/relationships" r:id="rId5"/>
        </xdr:cNvPr>
        <xdr:cNvGrpSpPr/>
      </xdr:nvGrpSpPr>
      <xdr:grpSpPr>
        <a:xfrm>
          <a:off x="9620250" y="462643"/>
          <a:ext cx="4255034" cy="855648"/>
          <a:chOff x="10321636" y="225136"/>
          <a:chExt cx="4217414" cy="846044"/>
        </a:xfrm>
      </xdr:grpSpPr>
      <xdr:sp macro="" textlink="">
        <xdr:nvSpPr>
          <xdr:cNvPr id="10" name="Rounded Rectangle 9"/>
          <xdr:cNvSpPr/>
        </xdr:nvSpPr>
        <xdr:spPr>
          <a:xfrm>
            <a:off x="10321636" y="225136"/>
            <a:ext cx="4217414" cy="84604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2400" b="1"/>
              <a:t>RAPORT PTS MODEL 2</a:t>
            </a:r>
          </a:p>
          <a:p>
            <a:pPr algn="l"/>
            <a:r>
              <a:rPr lang="en-US" sz="1600" b="1"/>
              <a:t>( ADA DESKRIPSI )</a:t>
            </a:r>
          </a:p>
        </xdr:txBody>
      </xdr:sp>
      <xdr:sp macro="" textlink="">
        <xdr:nvSpPr>
          <xdr:cNvPr id="11" name="Striped Right Arrow 10"/>
          <xdr:cNvSpPr/>
        </xdr:nvSpPr>
        <xdr:spPr>
          <a:xfrm>
            <a:off x="13508182" y="329046"/>
            <a:ext cx="701018" cy="594518"/>
          </a:xfrm>
          <a:prstGeom prst="stripedRightArrow">
            <a:avLst>
              <a:gd name="adj1" fmla="val 61538"/>
              <a:gd name="adj2" fmla="val 50000"/>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67236</xdr:colOff>
      <xdr:row>0</xdr:row>
      <xdr:rowOff>11205</xdr:rowOff>
    </xdr:from>
    <xdr:to>
      <xdr:col>0</xdr:col>
      <xdr:colOff>504265</xdr:colOff>
      <xdr:row>0</xdr:row>
      <xdr:rowOff>490409</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236" y="11205"/>
          <a:ext cx="437029" cy="479204"/>
        </a:xfrm>
        <a:prstGeom prst="rect">
          <a:avLst/>
        </a:prstGeom>
      </xdr:spPr>
    </xdr:pic>
    <xdr:clientData/>
  </xdr:twoCellAnchor>
  <xdr:twoCellAnchor editAs="oneCell">
    <xdr:from>
      <xdr:col>36</xdr:col>
      <xdr:colOff>1367118</xdr:colOff>
      <xdr:row>0</xdr:row>
      <xdr:rowOff>22412</xdr:rowOff>
    </xdr:from>
    <xdr:to>
      <xdr:col>36</xdr:col>
      <xdr:colOff>1804147</xdr:colOff>
      <xdr:row>0</xdr:row>
      <xdr:rowOff>501616</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331268" y="22412"/>
          <a:ext cx="437029" cy="479204"/>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600075</xdr:colOff>
          <xdr:row>12</xdr:row>
          <xdr:rowOff>47625</xdr:rowOff>
        </xdr:from>
        <xdr:to>
          <xdr:col>20</xdr:col>
          <xdr:colOff>428625</xdr:colOff>
          <xdr:row>14</xdr:row>
          <xdr:rowOff>47625</xdr:rowOff>
        </xdr:to>
        <xdr:sp macro="" textlink="">
          <xdr:nvSpPr>
            <xdr:cNvPr id="92161" name="Spinner 1" hidden="1">
              <a:extLst>
                <a:ext uri="{63B3BB69-23CF-44E3-9099-C40C66FF867C}">
                  <a14:compatExt spid="_x0000_s92161"/>
                </a:ext>
              </a:extLst>
            </xdr:cNvPr>
            <xdr:cNvSpPr/>
          </xdr:nvSpPr>
          <xdr:spPr>
            <a:xfrm>
              <a:off x="0" y="0"/>
              <a:ext cx="0" cy="0"/>
            </a:xfrm>
            <a:prstGeom prst="rect">
              <a:avLst/>
            </a:prstGeom>
          </xdr:spPr>
        </xdr:sp>
        <xdr:clientData/>
      </xdr:twoCellAnchor>
    </mc:Choice>
    <mc:Fallback/>
  </mc:AlternateContent>
  <xdr:twoCellAnchor>
    <xdr:from>
      <xdr:col>20</xdr:col>
      <xdr:colOff>89858</xdr:colOff>
      <xdr:row>14</xdr:row>
      <xdr:rowOff>98845</xdr:rowOff>
    </xdr:from>
    <xdr:to>
      <xdr:col>20</xdr:col>
      <xdr:colOff>404362</xdr:colOff>
      <xdr:row>16</xdr:row>
      <xdr:rowOff>26958</xdr:rowOff>
    </xdr:to>
    <xdr:sp macro="" textlink="">
      <xdr:nvSpPr>
        <xdr:cNvPr id="3" name="Up Arrow 2"/>
        <xdr:cNvSpPr/>
      </xdr:nvSpPr>
      <xdr:spPr>
        <a:xfrm>
          <a:off x="9167183" y="3318295"/>
          <a:ext cx="314504" cy="337688"/>
        </a:xfrm>
        <a:prstGeom prst="upArrow">
          <a:avLst/>
        </a:prstGeom>
        <a:ln>
          <a:solidFill>
            <a:schemeClr val="tx1">
              <a:lumMod val="95000"/>
              <a:lumOff val="5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896470</xdr:colOff>
      <xdr:row>0</xdr:row>
      <xdr:rowOff>114300</xdr:rowOff>
    </xdr:from>
    <xdr:to>
      <xdr:col>17</xdr:col>
      <xdr:colOff>2012518</xdr:colOff>
      <xdr:row>4</xdr:row>
      <xdr:rowOff>30815</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34617" y="114300"/>
          <a:ext cx="1116048" cy="981074"/>
        </a:xfrm>
        <a:prstGeom prst="rect">
          <a:avLst/>
        </a:prstGeom>
      </xdr:spPr>
    </xdr:pic>
    <xdr:clientData/>
  </xdr:twoCellAnchor>
  <xdr:twoCellAnchor editAs="oneCell">
    <xdr:from>
      <xdr:col>0</xdr:col>
      <xdr:colOff>235326</xdr:colOff>
      <xdr:row>0</xdr:row>
      <xdr:rowOff>143043</xdr:rowOff>
    </xdr:from>
    <xdr:to>
      <xdr:col>3</xdr:col>
      <xdr:colOff>11208</xdr:colOff>
      <xdr:row>4</xdr:row>
      <xdr:rowOff>104216</xdr:rowOff>
    </xdr:to>
    <xdr:pic>
      <xdr:nvPicPr>
        <xdr:cNvPr id="5" name="Picture 4" descr="Hasil gambar untuk tut wuri"/>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5326" y="143043"/>
          <a:ext cx="1014132" cy="10374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5</xdr:row>
      <xdr:rowOff>0</xdr:rowOff>
    </xdr:from>
    <xdr:to>
      <xdr:col>19</xdr:col>
      <xdr:colOff>0</xdr:colOff>
      <xdr:row>5</xdr:row>
      <xdr:rowOff>22411</xdr:rowOff>
    </xdr:to>
    <xdr:cxnSp macro="">
      <xdr:nvCxnSpPr>
        <xdr:cNvPr id="6" name="Straight Connector 5"/>
        <xdr:cNvCxnSpPr/>
      </xdr:nvCxnSpPr>
      <xdr:spPr>
        <a:xfrm>
          <a:off x="0" y="1381125"/>
          <a:ext cx="8467725" cy="22411"/>
        </a:xfrm>
        <a:prstGeom prst="line">
          <a:avLst/>
        </a:prstGeom>
        <a:ln w="53975" cmpd="thickThi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212911</xdr:colOff>
      <xdr:row>7</xdr:row>
      <xdr:rowOff>89647</xdr:rowOff>
    </xdr:from>
    <xdr:to>
      <xdr:col>20</xdr:col>
      <xdr:colOff>369795</xdr:colOff>
      <xdr:row>11</xdr:row>
      <xdr:rowOff>39918</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80636" y="1813672"/>
          <a:ext cx="766483" cy="836096"/>
        </a:xfrm>
        <a:prstGeom prst="rect">
          <a:avLst/>
        </a:prstGeom>
      </xdr:spPr>
    </xdr:pic>
    <xdr:clientData/>
  </xdr:twoCellAnchor>
  <xdr:twoCellAnchor>
    <xdr:from>
      <xdr:col>20</xdr:col>
      <xdr:colOff>0</xdr:colOff>
      <xdr:row>1</xdr:row>
      <xdr:rowOff>0</xdr:rowOff>
    </xdr:from>
    <xdr:to>
      <xdr:col>25</xdr:col>
      <xdr:colOff>286186</xdr:colOff>
      <xdr:row>3</xdr:row>
      <xdr:rowOff>257225</xdr:rowOff>
    </xdr:to>
    <xdr:grpSp>
      <xdr:nvGrpSpPr>
        <xdr:cNvPr id="2" name="Group 1">
          <a:hlinkClick xmlns:r="http://schemas.openxmlformats.org/officeDocument/2006/relationships" r:id="rId5"/>
        </xdr:cNvPr>
        <xdr:cNvGrpSpPr/>
      </xdr:nvGrpSpPr>
      <xdr:grpSpPr>
        <a:xfrm>
          <a:off x="10518321" y="231321"/>
          <a:ext cx="4245865" cy="855940"/>
          <a:chOff x="10321636" y="225136"/>
          <a:chExt cx="4217414" cy="846044"/>
        </a:xfrm>
      </xdr:grpSpPr>
      <xdr:sp macro="" textlink="">
        <xdr:nvSpPr>
          <xdr:cNvPr id="8" name="Rounded Rectangle 7"/>
          <xdr:cNvSpPr/>
        </xdr:nvSpPr>
        <xdr:spPr>
          <a:xfrm>
            <a:off x="10321636" y="225136"/>
            <a:ext cx="4217414" cy="84604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2400" b="1"/>
              <a:t>RAPORT PTS MODEL 1</a:t>
            </a:r>
          </a:p>
          <a:p>
            <a:pPr algn="l"/>
            <a:r>
              <a:rPr lang="en-US" sz="1600" b="1"/>
              <a:t>( TANPA DESKRIPSI )</a:t>
            </a:r>
          </a:p>
        </xdr:txBody>
      </xdr:sp>
      <xdr:sp macro="" textlink="">
        <xdr:nvSpPr>
          <xdr:cNvPr id="9" name="Striped Right Arrow 8"/>
          <xdr:cNvSpPr/>
        </xdr:nvSpPr>
        <xdr:spPr>
          <a:xfrm>
            <a:off x="13508182" y="329046"/>
            <a:ext cx="701018" cy="594518"/>
          </a:xfrm>
          <a:prstGeom prst="stripedRightArrow">
            <a:avLst>
              <a:gd name="adj1" fmla="val 61538"/>
              <a:gd name="adj2" fmla="val 50000"/>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1.xml><?xml version="1.0" encoding="utf-8"?>
<xdr:wsDr xmlns:xdr="http://schemas.openxmlformats.org/drawingml/2006/spreadsheetDrawing" xmlns:a="http://schemas.openxmlformats.org/drawingml/2006/main">
  <xdr:twoCellAnchor>
    <xdr:from>
      <xdr:col>7</xdr:col>
      <xdr:colOff>9524</xdr:colOff>
      <xdr:row>6</xdr:row>
      <xdr:rowOff>54925</xdr:rowOff>
    </xdr:from>
    <xdr:to>
      <xdr:col>12</xdr:col>
      <xdr:colOff>66674</xdr:colOff>
      <xdr:row>15</xdr:row>
      <xdr:rowOff>1295</xdr:rowOff>
    </xdr:to>
    <xdr:pic>
      <xdr:nvPicPr>
        <xdr:cNvPr id="2" name="Picture 1" descr="TUT WURI HANDAYA BW 3"/>
        <xdr:cNvPicPr>
          <a:picLocks noChangeAspect="1" noChangeArrowheads="1"/>
        </xdr:cNvPicPr>
      </xdr:nvPicPr>
      <xdr:blipFill>
        <a:blip xmlns:r="http://schemas.openxmlformats.org/officeDocument/2006/relationships" r:embed="rId1"/>
        <a:srcRect/>
        <a:stretch>
          <a:fillRect/>
        </a:stretch>
      </xdr:blipFill>
      <xdr:spPr bwMode="auto">
        <a:xfrm>
          <a:off x="2257424" y="1521775"/>
          <a:ext cx="1609725" cy="1737070"/>
        </a:xfrm>
        <a:prstGeom prst="rect">
          <a:avLst/>
        </a:prstGeom>
        <a:noFill/>
      </xdr:spPr>
    </xdr:pic>
    <xdr:clientData/>
  </xdr:twoCellAnchor>
  <xdr:twoCellAnchor editAs="oneCell">
    <xdr:from>
      <xdr:col>22</xdr:col>
      <xdr:colOff>304800</xdr:colOff>
      <xdr:row>0</xdr:row>
      <xdr:rowOff>152401</xdr:rowOff>
    </xdr:from>
    <xdr:to>
      <xdr:col>24</xdr:col>
      <xdr:colOff>352425</xdr:colOff>
      <xdr:row>3</xdr:row>
      <xdr:rowOff>203970</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39025" y="152401"/>
          <a:ext cx="714375" cy="765944"/>
        </a:xfrm>
        <a:prstGeom prst="rect">
          <a:avLst/>
        </a:prstGeom>
      </xdr:spPr>
    </xdr:pic>
    <xdr:clientData/>
  </xdr:twoCellAnchor>
  <xdr:twoCellAnchor>
    <xdr:from>
      <xdr:col>21</xdr:col>
      <xdr:colOff>0</xdr:colOff>
      <xdr:row>4</xdr:row>
      <xdr:rowOff>0</xdr:rowOff>
    </xdr:from>
    <xdr:to>
      <xdr:col>26</xdr:col>
      <xdr:colOff>78770</xdr:colOff>
      <xdr:row>5</xdr:row>
      <xdr:rowOff>33566</xdr:rowOff>
    </xdr:to>
    <xdr:sp macro="" textlink="">
      <xdr:nvSpPr>
        <xdr:cNvPr id="4" name="Snip Single Corner Rectangle 3">
          <a:hlinkClick xmlns:r="http://schemas.openxmlformats.org/officeDocument/2006/relationships" r:id="rId4"/>
        </xdr:cNvPr>
        <xdr:cNvSpPr/>
      </xdr:nvSpPr>
      <xdr:spPr>
        <a:xfrm>
          <a:off x="6800850" y="952500"/>
          <a:ext cx="2298095" cy="328841"/>
        </a:xfrm>
        <a:prstGeom prst="snip1Rect">
          <a:avLst/>
        </a:prstGeom>
        <a:blipFill>
          <a:blip xmlns:r="http://schemas.openxmlformats.org/officeDocument/2006/relationships" r:embed="rId5">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DATA</a:t>
          </a:r>
          <a:r>
            <a:rPr lang="en-US" sz="2000" baseline="0">
              <a:solidFill>
                <a:schemeClr val="lt1"/>
              </a:solidFill>
              <a:latin typeface="+mn-lt"/>
              <a:ea typeface="+mn-ea"/>
              <a:cs typeface="+mn-cs"/>
            </a:rPr>
            <a:t> BUKU INDUK</a:t>
          </a:r>
          <a:endParaRPr lang="en-US" sz="2000"/>
        </a:p>
      </xdr:txBody>
    </xdr:sp>
    <xdr:clientData/>
  </xdr:twoCellAnchor>
  <xdr:twoCellAnchor>
    <xdr:from>
      <xdr:col>20</xdr:col>
      <xdr:colOff>314325</xdr:colOff>
      <xdr:row>5</xdr:row>
      <xdr:rowOff>114300</xdr:rowOff>
    </xdr:from>
    <xdr:to>
      <xdr:col>26</xdr:col>
      <xdr:colOff>59720</xdr:colOff>
      <xdr:row>7</xdr:row>
      <xdr:rowOff>43091</xdr:rowOff>
    </xdr:to>
    <xdr:sp macro="" textlink="">
      <xdr:nvSpPr>
        <xdr:cNvPr id="5" name="Snip Single Corner Rectangle 4">
          <a:hlinkClick xmlns:r="http://schemas.openxmlformats.org/officeDocument/2006/relationships" r:id="rId6"/>
        </xdr:cNvPr>
        <xdr:cNvSpPr/>
      </xdr:nvSpPr>
      <xdr:spPr>
        <a:xfrm>
          <a:off x="6781800" y="1362075"/>
          <a:ext cx="2298095" cy="328841"/>
        </a:xfrm>
        <a:prstGeom prst="snip1Rect">
          <a:avLst/>
        </a:prstGeom>
        <a:blipFill>
          <a:blip xmlns:r="http://schemas.openxmlformats.org/officeDocument/2006/relationships" r:embed="rId5">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NILAI</a:t>
          </a:r>
          <a:r>
            <a:rPr lang="en-US" sz="2000" baseline="0">
              <a:solidFill>
                <a:schemeClr val="lt1"/>
              </a:solidFill>
              <a:latin typeface="+mn-lt"/>
              <a:ea typeface="+mn-ea"/>
              <a:cs typeface="+mn-cs"/>
            </a:rPr>
            <a:t> BUKU INDUK</a:t>
          </a:r>
          <a:endParaRPr lang="en-US" sz="2000"/>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15</xdr:col>
      <xdr:colOff>192698</xdr:colOff>
      <xdr:row>2</xdr:row>
      <xdr:rowOff>31506</xdr:rowOff>
    </xdr:from>
    <xdr:to>
      <xdr:col>18</xdr:col>
      <xdr:colOff>200757</xdr:colOff>
      <xdr:row>7</xdr:row>
      <xdr:rowOff>68141</xdr:rowOff>
    </xdr:to>
    <xdr:sp macro="" textlink="">
      <xdr:nvSpPr>
        <xdr:cNvPr id="2" name="Rectangle 6"/>
        <xdr:cNvSpPr>
          <a:spLocks noChangeArrowheads="1"/>
        </xdr:cNvSpPr>
      </xdr:nvSpPr>
      <xdr:spPr bwMode="auto">
        <a:xfrm>
          <a:off x="5440973" y="469656"/>
          <a:ext cx="865309" cy="108438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0" i="0" strike="noStrike">
              <a:solidFill>
                <a:srgbClr val="000000"/>
              </a:solidFill>
              <a:latin typeface="Calibri"/>
              <a:cs typeface="Calibri"/>
            </a:rPr>
            <a:t> </a:t>
          </a:r>
          <a:endParaRPr lang="en-US" sz="1200" b="0" i="0" strike="noStrike">
            <a:solidFill>
              <a:srgbClr val="000000"/>
            </a:solidFill>
            <a:latin typeface="Times New Roman"/>
            <a:cs typeface="Times New Roman"/>
          </a:endParaRPr>
        </a:p>
        <a:p>
          <a:pPr algn="ctr" rtl="0">
            <a:defRPr sz="1000"/>
          </a:pPr>
          <a:r>
            <a:rPr lang="en-US" sz="1100" b="0" i="0" strike="noStrike">
              <a:solidFill>
                <a:srgbClr val="000000"/>
              </a:solidFill>
              <a:latin typeface="Calibri"/>
              <a:cs typeface="Calibri"/>
            </a:rPr>
            <a:t>Foto</a:t>
          </a:r>
          <a:endParaRPr lang="en-US" sz="1200" b="0" i="0" strike="noStrike">
            <a:solidFill>
              <a:srgbClr val="000000"/>
            </a:solidFill>
            <a:latin typeface="Times New Roman"/>
            <a:cs typeface="Times New Roman"/>
          </a:endParaRPr>
        </a:p>
        <a:p>
          <a:pPr algn="ctr" rtl="0">
            <a:defRPr sz="1000"/>
          </a:pPr>
          <a:r>
            <a:rPr lang="en-US" sz="900" b="0" i="0" strike="noStrike">
              <a:solidFill>
                <a:srgbClr val="000000"/>
              </a:solidFill>
              <a:latin typeface="Calibri"/>
              <a:cs typeface="Calibri"/>
            </a:rPr>
            <a:t> </a:t>
          </a:r>
          <a:endParaRPr lang="en-US" sz="1200" b="0" i="0" strike="noStrike">
            <a:solidFill>
              <a:srgbClr val="000000"/>
            </a:solidFill>
            <a:latin typeface="Times New Roman"/>
            <a:cs typeface="Times New Roman"/>
          </a:endParaRPr>
        </a:p>
        <a:p>
          <a:pPr algn="ctr" rtl="0">
            <a:defRPr sz="1000"/>
          </a:pPr>
          <a:r>
            <a:rPr lang="en-US" sz="1100" b="0" i="0" strike="noStrike">
              <a:solidFill>
                <a:srgbClr val="000000"/>
              </a:solidFill>
              <a:latin typeface="Calibri"/>
              <a:cs typeface="Calibri"/>
            </a:rPr>
            <a:t>3 x 4 cm</a:t>
          </a:r>
        </a:p>
      </xdr:txBody>
    </xdr:sp>
    <xdr:clientData/>
  </xdr:twoCellAnchor>
  <xdr:twoCellAnchor>
    <xdr:from>
      <xdr:col>15</xdr:col>
      <xdr:colOff>197826</xdr:colOff>
      <xdr:row>42</xdr:row>
      <xdr:rowOff>0</xdr:rowOff>
    </xdr:from>
    <xdr:to>
      <xdr:col>18</xdr:col>
      <xdr:colOff>205885</xdr:colOff>
      <xdr:row>47</xdr:row>
      <xdr:rowOff>139212</xdr:rowOff>
    </xdr:to>
    <xdr:sp macro="" textlink="">
      <xdr:nvSpPr>
        <xdr:cNvPr id="3" name="Rectangle 6"/>
        <xdr:cNvSpPr>
          <a:spLocks noChangeArrowheads="1"/>
        </xdr:cNvSpPr>
      </xdr:nvSpPr>
      <xdr:spPr bwMode="auto">
        <a:xfrm>
          <a:off x="5446101" y="8153400"/>
          <a:ext cx="865309" cy="109171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0" i="0" strike="noStrike">
              <a:solidFill>
                <a:srgbClr val="000000"/>
              </a:solidFill>
              <a:latin typeface="Calibri"/>
              <a:cs typeface="Calibri"/>
            </a:rPr>
            <a:t> </a:t>
          </a:r>
          <a:endParaRPr lang="en-US" sz="1200" b="0" i="0" strike="noStrike">
            <a:solidFill>
              <a:srgbClr val="000000"/>
            </a:solidFill>
            <a:latin typeface="Times New Roman"/>
            <a:cs typeface="Times New Roman"/>
          </a:endParaRPr>
        </a:p>
        <a:p>
          <a:pPr algn="ctr" rtl="0">
            <a:defRPr sz="1000"/>
          </a:pPr>
          <a:r>
            <a:rPr lang="en-US" sz="1100" b="0" i="0" strike="noStrike">
              <a:solidFill>
                <a:srgbClr val="000000"/>
              </a:solidFill>
              <a:latin typeface="Calibri"/>
              <a:cs typeface="Calibri"/>
            </a:rPr>
            <a:t>Foto</a:t>
          </a:r>
          <a:endParaRPr lang="en-US" sz="1200" b="0" i="0" strike="noStrike">
            <a:solidFill>
              <a:srgbClr val="000000"/>
            </a:solidFill>
            <a:latin typeface="Times New Roman"/>
            <a:cs typeface="Times New Roman"/>
          </a:endParaRPr>
        </a:p>
        <a:p>
          <a:pPr algn="ctr" rtl="0">
            <a:defRPr sz="1000"/>
          </a:pPr>
          <a:r>
            <a:rPr lang="en-US" sz="900" b="0" i="0" strike="noStrike">
              <a:solidFill>
                <a:srgbClr val="000000"/>
              </a:solidFill>
              <a:latin typeface="Calibri"/>
              <a:cs typeface="Calibri"/>
            </a:rPr>
            <a:t> </a:t>
          </a:r>
          <a:endParaRPr lang="en-US" sz="1200" b="0" i="0" strike="noStrike">
            <a:solidFill>
              <a:srgbClr val="000000"/>
            </a:solidFill>
            <a:latin typeface="Times New Roman"/>
            <a:cs typeface="Times New Roman"/>
          </a:endParaRPr>
        </a:p>
        <a:p>
          <a:pPr algn="ctr" rtl="0">
            <a:defRPr sz="1000"/>
          </a:pPr>
          <a:r>
            <a:rPr lang="en-US" sz="1100" b="0" i="0" strike="noStrike">
              <a:solidFill>
                <a:srgbClr val="000000"/>
              </a:solidFill>
              <a:latin typeface="Calibri"/>
              <a:cs typeface="Calibri"/>
            </a:rPr>
            <a:t>3 x 4 cm</a:t>
          </a:r>
        </a:p>
      </xdr:txBody>
    </xdr:sp>
    <xdr:clientData/>
  </xdr:twoCellAnchor>
  <xdr:twoCellAnchor>
    <xdr:from>
      <xdr:col>15</xdr:col>
      <xdr:colOff>223064</xdr:colOff>
      <xdr:row>66</xdr:row>
      <xdr:rowOff>148167</xdr:rowOff>
    </xdr:from>
    <xdr:to>
      <xdr:col>18</xdr:col>
      <xdr:colOff>231123</xdr:colOff>
      <xdr:row>73</xdr:row>
      <xdr:rowOff>28087</xdr:rowOff>
    </xdr:to>
    <xdr:sp macro="" textlink="">
      <xdr:nvSpPr>
        <xdr:cNvPr id="4" name="Rectangle 6"/>
        <xdr:cNvSpPr>
          <a:spLocks noChangeArrowheads="1"/>
        </xdr:cNvSpPr>
      </xdr:nvSpPr>
      <xdr:spPr bwMode="auto">
        <a:xfrm>
          <a:off x="5684064" y="13271500"/>
          <a:ext cx="865309" cy="121342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0" i="0" strike="noStrike">
              <a:solidFill>
                <a:srgbClr val="000000"/>
              </a:solidFill>
              <a:latin typeface="Calibri"/>
              <a:cs typeface="Calibri"/>
            </a:rPr>
            <a:t> </a:t>
          </a:r>
          <a:endParaRPr lang="en-US" sz="1200" b="0" i="0" strike="noStrike">
            <a:solidFill>
              <a:srgbClr val="000000"/>
            </a:solidFill>
            <a:latin typeface="Times New Roman"/>
            <a:cs typeface="Times New Roman"/>
          </a:endParaRPr>
        </a:p>
        <a:p>
          <a:pPr algn="ctr" rtl="0">
            <a:defRPr sz="1000"/>
          </a:pPr>
          <a:r>
            <a:rPr lang="en-US" sz="1100" b="0" i="0" strike="noStrike">
              <a:solidFill>
                <a:srgbClr val="000000"/>
              </a:solidFill>
              <a:latin typeface="Calibri"/>
              <a:cs typeface="Calibri"/>
            </a:rPr>
            <a:t>Foto</a:t>
          </a:r>
          <a:endParaRPr lang="en-US" sz="1200" b="0" i="0" strike="noStrike">
            <a:solidFill>
              <a:srgbClr val="000000"/>
            </a:solidFill>
            <a:latin typeface="Times New Roman"/>
            <a:cs typeface="Times New Roman"/>
          </a:endParaRPr>
        </a:p>
        <a:p>
          <a:pPr algn="ctr" rtl="0">
            <a:defRPr sz="1000"/>
          </a:pPr>
          <a:r>
            <a:rPr lang="en-US" sz="900" b="0" i="0" strike="noStrike">
              <a:solidFill>
                <a:srgbClr val="000000"/>
              </a:solidFill>
              <a:latin typeface="Calibri"/>
              <a:cs typeface="Calibri"/>
            </a:rPr>
            <a:t> </a:t>
          </a:r>
          <a:endParaRPr lang="en-US" sz="1200" b="0" i="0" strike="noStrike">
            <a:solidFill>
              <a:srgbClr val="000000"/>
            </a:solidFill>
            <a:latin typeface="Times New Roman"/>
            <a:cs typeface="Times New Roman"/>
          </a:endParaRPr>
        </a:p>
        <a:p>
          <a:pPr algn="ctr" rtl="0">
            <a:defRPr sz="1000"/>
          </a:pPr>
          <a:r>
            <a:rPr lang="en-US" sz="1100" b="0" i="0" strike="noStrike">
              <a:solidFill>
                <a:srgbClr val="000000"/>
              </a:solidFill>
              <a:latin typeface="Calibri"/>
              <a:cs typeface="Calibri"/>
            </a:rPr>
            <a:t>3 x 4 cm</a:t>
          </a:r>
        </a:p>
      </xdr:txBody>
    </xdr:sp>
    <xdr:clientData/>
  </xdr:twoCellAnchor>
  <xdr:twoCellAnchor editAs="oneCell">
    <xdr:from>
      <xdr:col>20</xdr:col>
      <xdr:colOff>815284</xdr:colOff>
      <xdr:row>9</xdr:row>
      <xdr:rowOff>179180</xdr:rowOff>
    </xdr:from>
    <xdr:to>
      <xdr:col>22</xdr:col>
      <xdr:colOff>79741</xdr:colOff>
      <xdr:row>13</xdr:row>
      <xdr:rowOff>183124</xdr:rowOff>
    </xdr:to>
    <xdr:pic>
      <xdr:nvPicPr>
        <xdr:cNvPr id="5" name="Picture 4">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30409" y="1950830"/>
          <a:ext cx="708025" cy="765944"/>
        </a:xfrm>
        <a:prstGeom prst="rect">
          <a:avLst/>
        </a:prstGeom>
      </xdr:spPr>
    </xdr:pic>
    <xdr:clientData/>
  </xdr:twoCellAnchor>
  <xdr:twoCellAnchor>
    <xdr:from>
      <xdr:col>20</xdr:col>
      <xdr:colOff>19050</xdr:colOff>
      <xdr:row>14</xdr:row>
      <xdr:rowOff>0</xdr:rowOff>
    </xdr:from>
    <xdr:to>
      <xdr:col>23</xdr:col>
      <xdr:colOff>474057</xdr:colOff>
      <xdr:row>15</xdr:row>
      <xdr:rowOff>138341</xdr:rowOff>
    </xdr:to>
    <xdr:sp macro="" textlink="">
      <xdr:nvSpPr>
        <xdr:cNvPr id="6" name="Snip Single Corner Rectangle 5">
          <a:hlinkClick xmlns:r="http://schemas.openxmlformats.org/officeDocument/2006/relationships" r:id="rId3"/>
        </xdr:cNvPr>
        <xdr:cNvSpPr/>
      </xdr:nvSpPr>
      <xdr:spPr>
        <a:xfrm>
          <a:off x="6769376" y="2716696"/>
          <a:ext cx="2591920" cy="328841"/>
        </a:xfrm>
        <a:prstGeom prst="snip1Rect">
          <a:avLst/>
        </a:prstGeom>
        <a:blipFill>
          <a:blip xmlns:r="http://schemas.openxmlformats.org/officeDocument/2006/relationships" r:embed="rId4">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SAMPUL</a:t>
          </a:r>
          <a:r>
            <a:rPr lang="en-US" sz="2000" baseline="0">
              <a:solidFill>
                <a:schemeClr val="lt1"/>
              </a:solidFill>
              <a:latin typeface="+mn-lt"/>
              <a:ea typeface="+mn-ea"/>
              <a:cs typeface="+mn-cs"/>
            </a:rPr>
            <a:t> BUKU INDUK</a:t>
          </a:r>
          <a:endParaRPr lang="en-US" sz="2000"/>
        </a:p>
      </xdr:txBody>
    </xdr:sp>
    <xdr:clientData/>
  </xdr:twoCellAnchor>
  <xdr:twoCellAnchor>
    <xdr:from>
      <xdr:col>20</xdr:col>
      <xdr:colOff>0</xdr:colOff>
      <xdr:row>16</xdr:row>
      <xdr:rowOff>28575</xdr:rowOff>
    </xdr:from>
    <xdr:to>
      <xdr:col>23</xdr:col>
      <xdr:colOff>161182</xdr:colOff>
      <xdr:row>17</xdr:row>
      <xdr:rowOff>166916</xdr:rowOff>
    </xdr:to>
    <xdr:sp macro="" textlink="">
      <xdr:nvSpPr>
        <xdr:cNvPr id="7" name="Snip Single Corner Rectangle 6">
          <a:hlinkClick xmlns:r="http://schemas.openxmlformats.org/officeDocument/2006/relationships" r:id="rId5"/>
        </xdr:cNvPr>
        <xdr:cNvSpPr/>
      </xdr:nvSpPr>
      <xdr:spPr>
        <a:xfrm>
          <a:off x="6750326" y="3126271"/>
          <a:ext cx="2298095" cy="328841"/>
        </a:xfrm>
        <a:prstGeom prst="snip1Rect">
          <a:avLst/>
        </a:prstGeom>
        <a:blipFill>
          <a:blip xmlns:r="http://schemas.openxmlformats.org/officeDocument/2006/relationships" r:embed="rId4">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NILAI</a:t>
          </a:r>
          <a:r>
            <a:rPr lang="en-US" sz="2000" baseline="0">
              <a:solidFill>
                <a:schemeClr val="lt1"/>
              </a:solidFill>
              <a:latin typeface="+mn-lt"/>
              <a:ea typeface="+mn-ea"/>
              <a:cs typeface="+mn-cs"/>
            </a:rPr>
            <a:t> BUKU INDUK</a:t>
          </a:r>
          <a:endParaRPr lang="en-US" sz="2000"/>
        </a:p>
      </xdr:txBody>
    </xdr:sp>
    <xdr:clientData/>
  </xdr:twoCellAnchor>
  <mc:AlternateContent xmlns:mc="http://schemas.openxmlformats.org/markup-compatibility/2006">
    <mc:Choice xmlns:a14="http://schemas.microsoft.com/office/drawing/2010/main" Requires="a14">
      <xdr:twoCellAnchor>
        <xdr:from>
          <xdr:col>21</xdr:col>
          <xdr:colOff>0</xdr:colOff>
          <xdr:row>2</xdr:row>
          <xdr:rowOff>161925</xdr:rowOff>
        </xdr:from>
        <xdr:to>
          <xdr:col>21</xdr:col>
          <xdr:colOff>542925</xdr:colOff>
          <xdr:row>8</xdr:row>
          <xdr:rowOff>76200</xdr:rowOff>
        </xdr:to>
        <xdr:sp macro="" textlink="">
          <xdr:nvSpPr>
            <xdr:cNvPr id="32769" name="Spinner 1" hidden="1">
              <a:extLst>
                <a:ext uri="{63B3BB69-23CF-44E3-9099-C40C66FF867C}">
                  <a14:compatExt spid="_x0000_s32769"/>
                </a:ext>
              </a:extLst>
            </xdr:cNvPr>
            <xdr:cNvSpPr/>
          </xdr:nvSpPr>
          <xdr:spPr>
            <a:xfrm>
              <a:off x="0" y="0"/>
              <a:ext cx="0" cy="0"/>
            </a:xfrm>
            <a:prstGeom prst="rect">
              <a:avLst/>
            </a:prstGeom>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36</xdr:col>
      <xdr:colOff>100852</xdr:colOff>
      <xdr:row>5</xdr:row>
      <xdr:rowOff>437036</xdr:rowOff>
    </xdr:from>
    <xdr:to>
      <xdr:col>38</xdr:col>
      <xdr:colOff>253114</xdr:colOff>
      <xdr:row>5</xdr:row>
      <xdr:rowOff>1206902</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65323" y="1647271"/>
          <a:ext cx="712557" cy="769866"/>
        </a:xfrm>
        <a:prstGeom prst="rect">
          <a:avLst/>
        </a:prstGeom>
      </xdr:spPr>
    </xdr:pic>
    <xdr:clientData/>
  </xdr:twoCellAnchor>
  <xdr:twoCellAnchor>
    <xdr:from>
      <xdr:col>33</xdr:col>
      <xdr:colOff>164727</xdr:colOff>
      <xdr:row>5</xdr:row>
      <xdr:rowOff>1243859</xdr:rowOff>
    </xdr:from>
    <xdr:to>
      <xdr:col>42</xdr:col>
      <xdr:colOff>235323</xdr:colOff>
      <xdr:row>6</xdr:row>
      <xdr:rowOff>149553</xdr:rowOff>
    </xdr:to>
    <xdr:sp macro="" textlink="">
      <xdr:nvSpPr>
        <xdr:cNvPr id="4" name="Snip Single Corner Rectangle 3">
          <a:hlinkClick xmlns:r="http://schemas.openxmlformats.org/officeDocument/2006/relationships" r:id="rId3"/>
        </xdr:cNvPr>
        <xdr:cNvSpPr/>
      </xdr:nvSpPr>
      <xdr:spPr>
        <a:xfrm>
          <a:off x="10888756" y="2454094"/>
          <a:ext cx="2591920" cy="328841"/>
        </a:xfrm>
        <a:prstGeom prst="snip1Rect">
          <a:avLst/>
        </a:prstGeom>
        <a:blipFill>
          <a:blip xmlns:r="http://schemas.openxmlformats.org/officeDocument/2006/relationships" r:embed="rId4">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SAMPUL</a:t>
          </a:r>
          <a:r>
            <a:rPr lang="en-US" sz="2000" baseline="0">
              <a:solidFill>
                <a:schemeClr val="lt1"/>
              </a:solidFill>
              <a:latin typeface="+mn-lt"/>
              <a:ea typeface="+mn-ea"/>
              <a:cs typeface="+mn-cs"/>
            </a:rPr>
            <a:t> BUKU INDUK</a:t>
          </a:r>
          <a:endParaRPr lang="en-US" sz="2000"/>
        </a:p>
      </xdr:txBody>
    </xdr:sp>
    <xdr:clientData/>
  </xdr:twoCellAnchor>
  <xdr:twoCellAnchor>
    <xdr:from>
      <xdr:col>33</xdr:col>
      <xdr:colOff>145677</xdr:colOff>
      <xdr:row>6</xdr:row>
      <xdr:rowOff>230287</xdr:rowOff>
    </xdr:from>
    <xdr:to>
      <xdr:col>41</xdr:col>
      <xdr:colOff>202595</xdr:colOff>
      <xdr:row>6</xdr:row>
      <xdr:rowOff>559128</xdr:rowOff>
    </xdr:to>
    <xdr:sp macro="" textlink="">
      <xdr:nvSpPr>
        <xdr:cNvPr id="5" name="Snip Single Corner Rectangle 4">
          <a:hlinkClick xmlns:r="http://schemas.openxmlformats.org/officeDocument/2006/relationships" r:id="rId5"/>
        </xdr:cNvPr>
        <xdr:cNvSpPr/>
      </xdr:nvSpPr>
      <xdr:spPr>
        <a:xfrm>
          <a:off x="10869706" y="2863669"/>
          <a:ext cx="2298095" cy="328841"/>
        </a:xfrm>
        <a:prstGeom prst="snip1Rect">
          <a:avLst/>
        </a:prstGeom>
        <a:blipFill>
          <a:blip xmlns:r="http://schemas.openxmlformats.org/officeDocument/2006/relationships" r:embed="rId4">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DATA</a:t>
          </a:r>
          <a:r>
            <a:rPr lang="en-US" sz="2000" baseline="0">
              <a:solidFill>
                <a:schemeClr val="lt1"/>
              </a:solidFill>
              <a:latin typeface="+mn-lt"/>
              <a:ea typeface="+mn-ea"/>
              <a:cs typeface="+mn-cs"/>
            </a:rPr>
            <a:t> BUKU INDUK</a:t>
          </a:r>
          <a:endParaRPr lang="en-US" sz="2000"/>
        </a:p>
      </xdr:txBody>
    </xdr:sp>
    <xdr:clientData/>
  </xdr:twoCellAnchor>
  <mc:AlternateContent xmlns:mc="http://schemas.openxmlformats.org/markup-compatibility/2006">
    <mc:Choice xmlns:a14="http://schemas.microsoft.com/office/drawing/2010/main" Requires="a14">
      <xdr:twoCellAnchor>
        <xdr:from>
          <xdr:col>36</xdr:col>
          <xdr:colOff>57150</xdr:colOff>
          <xdr:row>1</xdr:row>
          <xdr:rowOff>152400</xdr:rowOff>
        </xdr:from>
        <xdr:to>
          <xdr:col>38</xdr:col>
          <xdr:colOff>9525</xdr:colOff>
          <xdr:row>5</xdr:row>
          <xdr:rowOff>180975</xdr:rowOff>
        </xdr:to>
        <xdr:sp macro="" textlink="">
          <xdr:nvSpPr>
            <xdr:cNvPr id="33793" name="Spinner 1" hidden="1">
              <a:extLst>
                <a:ext uri="{63B3BB69-23CF-44E3-9099-C40C66FF867C}">
                  <a14:compatExt spid="_x0000_s33793"/>
                </a:ext>
              </a:extLst>
            </xdr:cNvPr>
            <xdr:cNvSpPr/>
          </xdr:nvSpPr>
          <xdr:spPr>
            <a:xfrm>
              <a:off x="0" y="0"/>
              <a:ext cx="0" cy="0"/>
            </a:xfrm>
            <a:prstGeom prst="rect">
              <a:avLst/>
            </a:prstGeom>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64</xdr:col>
      <xdr:colOff>27214</xdr:colOff>
      <xdr:row>0</xdr:row>
      <xdr:rowOff>88047</xdr:rowOff>
    </xdr:from>
    <xdr:to>
      <xdr:col>66</xdr:col>
      <xdr:colOff>146302</xdr:colOff>
      <xdr:row>0</xdr:row>
      <xdr:rowOff>503465</xdr:rowOff>
    </xdr:to>
    <xdr:pic>
      <xdr:nvPicPr>
        <xdr:cNvPr id="294" name="Picture 293" descr="HomeBBB.gif">
          <a:hlinkClick xmlns:r="http://schemas.openxmlformats.org/officeDocument/2006/relationships" r:id="rId1"/>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7323143" y="88047"/>
          <a:ext cx="935517" cy="415418"/>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149678</xdr:colOff>
      <xdr:row>0</xdr:row>
      <xdr:rowOff>0</xdr:rowOff>
    </xdr:from>
    <xdr:to>
      <xdr:col>0</xdr:col>
      <xdr:colOff>612321</xdr:colOff>
      <xdr:row>0</xdr:row>
      <xdr:rowOff>507290</xdr:rowOff>
    </xdr:to>
    <xdr:pic>
      <xdr:nvPicPr>
        <xdr:cNvPr id="295" name="Picture 294">
          <a:hlinkClick xmlns:r="http://schemas.openxmlformats.org/officeDocument/2006/relationships" r:id="rId1"/>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9678" y="0"/>
          <a:ext cx="462643" cy="50729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54428</xdr:colOff>
      <xdr:row>0</xdr:row>
      <xdr:rowOff>0</xdr:rowOff>
    </xdr:from>
    <xdr:to>
      <xdr:col>0</xdr:col>
      <xdr:colOff>491457</xdr:colOff>
      <xdr:row>0</xdr:row>
      <xdr:rowOff>479204</xdr:rowOff>
    </xdr:to>
    <xdr:pic>
      <xdr:nvPicPr>
        <xdr:cNvPr id="295" name="Picture 294">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428" y="0"/>
          <a:ext cx="437029" cy="479204"/>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845344</xdr:colOff>
      <xdr:row>5</xdr:row>
      <xdr:rowOff>31173</xdr:rowOff>
    </xdr:from>
    <xdr:to>
      <xdr:col>2</xdr:col>
      <xdr:colOff>0</xdr:colOff>
      <xdr:row>5</xdr:row>
      <xdr:rowOff>438151</xdr:rowOff>
    </xdr:to>
    <xdr:sp macro="" textlink="">
      <xdr:nvSpPr>
        <xdr:cNvPr id="2" name="Text Box 1"/>
        <xdr:cNvSpPr txBox="1">
          <a:spLocks noChangeArrowheads="1"/>
        </xdr:cNvSpPr>
      </xdr:nvSpPr>
      <xdr:spPr bwMode="auto">
        <a:xfrm>
          <a:off x="1214438" y="1126548"/>
          <a:ext cx="1095375" cy="406978"/>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900" b="0" i="0" strike="noStrike">
              <a:solidFill>
                <a:srgbClr val="000000"/>
              </a:solidFill>
              <a:latin typeface="Arial"/>
              <a:cs typeface="Arial"/>
            </a:rPr>
            <a:t>Jml Murid yang</a:t>
          </a:r>
        </a:p>
        <a:p>
          <a:pPr algn="ctr" rtl="0">
            <a:defRPr sz="1000"/>
          </a:pPr>
          <a:r>
            <a:rPr lang="en-US" sz="900" b="0" i="0" strike="noStrike">
              <a:solidFill>
                <a:srgbClr val="000000"/>
              </a:solidFill>
              <a:latin typeface="Arial"/>
              <a:cs typeface="Arial"/>
            </a:rPr>
            <a:t>mendapat Nilai MP</a:t>
          </a:r>
        </a:p>
        <a:p>
          <a:pPr algn="ctr" rtl="0">
            <a:defRPr sz="1000"/>
          </a:pPr>
          <a:endParaRPr lang="en-US" sz="1000" b="0" i="0" strike="noStrike">
            <a:solidFill>
              <a:srgbClr val="000000"/>
            </a:solidFill>
            <a:latin typeface="Arial"/>
            <a:cs typeface="Arial"/>
          </a:endParaRPr>
        </a:p>
      </xdr:txBody>
    </xdr:sp>
    <xdr:clientData/>
  </xdr:twoCellAnchor>
  <xdr:twoCellAnchor>
    <xdr:from>
      <xdr:col>1</xdr:col>
      <xdr:colOff>171450</xdr:colOff>
      <xdr:row>5</xdr:row>
      <xdr:rowOff>473868</xdr:rowOff>
    </xdr:from>
    <xdr:to>
      <xdr:col>1</xdr:col>
      <xdr:colOff>885825</xdr:colOff>
      <xdr:row>6</xdr:row>
      <xdr:rowOff>107156</xdr:rowOff>
    </xdr:to>
    <xdr:sp macro="" textlink="">
      <xdr:nvSpPr>
        <xdr:cNvPr id="3" name="Text Box 2"/>
        <xdr:cNvSpPr txBox="1">
          <a:spLocks noChangeArrowheads="1"/>
        </xdr:cNvSpPr>
      </xdr:nvSpPr>
      <xdr:spPr bwMode="auto">
        <a:xfrm>
          <a:off x="540544" y="1569243"/>
          <a:ext cx="714375" cy="395288"/>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Rentang </a:t>
          </a:r>
        </a:p>
        <a:p>
          <a:pPr algn="ctr" rtl="0">
            <a:defRPr sz="1000"/>
          </a:pPr>
          <a:r>
            <a:rPr lang="en-US" sz="1000" b="0" i="0" strike="noStrike">
              <a:solidFill>
                <a:srgbClr val="000000"/>
              </a:solidFill>
              <a:latin typeface="Arial"/>
              <a:cs typeface="Arial"/>
            </a:rPr>
            <a:t>Nilai</a:t>
          </a:r>
        </a:p>
      </xdr:txBody>
    </xdr:sp>
    <xdr:clientData/>
  </xdr:twoCellAnchor>
  <xdr:twoCellAnchor>
    <xdr:from>
      <xdr:col>8</xdr:col>
      <xdr:colOff>100199</xdr:colOff>
      <xdr:row>0</xdr:row>
      <xdr:rowOff>0</xdr:rowOff>
    </xdr:from>
    <xdr:to>
      <xdr:col>10</xdr:col>
      <xdr:colOff>100853</xdr:colOff>
      <xdr:row>3</xdr:row>
      <xdr:rowOff>30152</xdr:rowOff>
    </xdr:to>
    <xdr:pic>
      <xdr:nvPicPr>
        <xdr:cNvPr id="4"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358434" y="0"/>
          <a:ext cx="650595" cy="724917"/>
        </a:xfrm>
        <a:prstGeom prst="rect">
          <a:avLst/>
        </a:prstGeom>
        <a:noFill/>
        <a:ln w="9525">
          <a:noFill/>
          <a:miter lim="800000"/>
          <a:headEnd/>
          <a:tailEnd/>
        </a:ln>
      </xdr:spPr>
    </xdr:pic>
    <xdr:clientData/>
  </xdr:twoCellAnchor>
  <xdr:twoCellAnchor editAs="oneCell">
    <xdr:from>
      <xdr:col>42</xdr:col>
      <xdr:colOff>476250</xdr:colOff>
      <xdr:row>0</xdr:row>
      <xdr:rowOff>85724</xdr:rowOff>
    </xdr:from>
    <xdr:to>
      <xdr:col>44</xdr:col>
      <xdr:colOff>231322</xdr:colOff>
      <xdr:row>5</xdr:row>
      <xdr:rowOff>53724</xdr:rowOff>
    </xdr:to>
    <xdr:pic>
      <xdr:nvPicPr>
        <xdr:cNvPr id="6" name="Picture 5">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852321" y="85724"/>
          <a:ext cx="979715" cy="1083786"/>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xdr:from>
      <xdr:col>1</xdr:col>
      <xdr:colOff>845344</xdr:colOff>
      <xdr:row>5</xdr:row>
      <xdr:rowOff>31173</xdr:rowOff>
    </xdr:from>
    <xdr:to>
      <xdr:col>2</xdr:col>
      <xdr:colOff>0</xdr:colOff>
      <xdr:row>5</xdr:row>
      <xdr:rowOff>438151</xdr:rowOff>
    </xdr:to>
    <xdr:sp macro="" textlink="">
      <xdr:nvSpPr>
        <xdr:cNvPr id="2" name="Text Box 1"/>
        <xdr:cNvSpPr txBox="1">
          <a:spLocks noChangeArrowheads="1"/>
        </xdr:cNvSpPr>
      </xdr:nvSpPr>
      <xdr:spPr bwMode="auto">
        <a:xfrm>
          <a:off x="1216819" y="1126548"/>
          <a:ext cx="1097756" cy="406978"/>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900" b="0" i="0" strike="noStrike">
              <a:solidFill>
                <a:srgbClr val="000000"/>
              </a:solidFill>
              <a:latin typeface="Arial"/>
              <a:cs typeface="Arial"/>
            </a:rPr>
            <a:t>Jml Murid yang</a:t>
          </a:r>
        </a:p>
        <a:p>
          <a:pPr algn="ctr" rtl="0">
            <a:defRPr sz="1000"/>
          </a:pPr>
          <a:r>
            <a:rPr lang="en-US" sz="900" b="0" i="0" strike="noStrike">
              <a:solidFill>
                <a:srgbClr val="000000"/>
              </a:solidFill>
              <a:latin typeface="Arial"/>
              <a:cs typeface="Arial"/>
            </a:rPr>
            <a:t>mendapat Nilai MP</a:t>
          </a:r>
        </a:p>
        <a:p>
          <a:pPr algn="ctr" rtl="0">
            <a:defRPr sz="1000"/>
          </a:pPr>
          <a:endParaRPr lang="en-US" sz="1000" b="0" i="0" strike="noStrike">
            <a:solidFill>
              <a:srgbClr val="000000"/>
            </a:solidFill>
            <a:latin typeface="Arial"/>
            <a:cs typeface="Arial"/>
          </a:endParaRPr>
        </a:p>
      </xdr:txBody>
    </xdr:sp>
    <xdr:clientData/>
  </xdr:twoCellAnchor>
  <xdr:twoCellAnchor>
    <xdr:from>
      <xdr:col>1</xdr:col>
      <xdr:colOff>135731</xdr:colOff>
      <xdr:row>5</xdr:row>
      <xdr:rowOff>523875</xdr:rowOff>
    </xdr:from>
    <xdr:to>
      <xdr:col>1</xdr:col>
      <xdr:colOff>850106</xdr:colOff>
      <xdr:row>6</xdr:row>
      <xdr:rowOff>145256</xdr:rowOff>
    </xdr:to>
    <xdr:sp macro="" textlink="">
      <xdr:nvSpPr>
        <xdr:cNvPr id="3" name="Text Box 2"/>
        <xdr:cNvSpPr txBox="1">
          <a:spLocks noChangeArrowheads="1"/>
        </xdr:cNvSpPr>
      </xdr:nvSpPr>
      <xdr:spPr bwMode="auto">
        <a:xfrm>
          <a:off x="504825" y="1619250"/>
          <a:ext cx="714375" cy="383381"/>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Rentang </a:t>
          </a:r>
        </a:p>
        <a:p>
          <a:pPr algn="ctr" rtl="0">
            <a:defRPr sz="1000"/>
          </a:pPr>
          <a:r>
            <a:rPr lang="en-US" sz="1000" b="0" i="0" strike="noStrike">
              <a:solidFill>
                <a:srgbClr val="000000"/>
              </a:solidFill>
              <a:latin typeface="Arial"/>
              <a:cs typeface="Arial"/>
            </a:rPr>
            <a:t>Nilai</a:t>
          </a:r>
        </a:p>
      </xdr:txBody>
    </xdr:sp>
    <xdr:clientData/>
  </xdr:twoCellAnchor>
  <xdr:twoCellAnchor>
    <xdr:from>
      <xdr:col>8</xdr:col>
      <xdr:colOff>10552</xdr:colOff>
      <xdr:row>0</xdr:row>
      <xdr:rowOff>56029</xdr:rowOff>
    </xdr:from>
    <xdr:to>
      <xdr:col>10</xdr:col>
      <xdr:colOff>11207</xdr:colOff>
      <xdr:row>3</xdr:row>
      <xdr:rowOff>86181</xdr:rowOff>
    </xdr:to>
    <xdr:pic>
      <xdr:nvPicPr>
        <xdr:cNvPr id="4"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268787" y="56029"/>
          <a:ext cx="650596" cy="724917"/>
        </a:xfrm>
        <a:prstGeom prst="rect">
          <a:avLst/>
        </a:prstGeom>
        <a:noFill/>
        <a:ln w="9525">
          <a:noFill/>
          <a:miter lim="800000"/>
          <a:headEnd/>
          <a:tailEnd/>
        </a:ln>
      </xdr:spPr>
    </xdr:pic>
    <xdr:clientData/>
  </xdr:twoCellAnchor>
  <xdr:twoCellAnchor editAs="oneCell">
    <xdr:from>
      <xdr:col>41</xdr:col>
      <xdr:colOff>381001</xdr:colOff>
      <xdr:row>0</xdr:row>
      <xdr:rowOff>119063</xdr:rowOff>
    </xdr:from>
    <xdr:to>
      <xdr:col>43</xdr:col>
      <xdr:colOff>171451</xdr:colOff>
      <xdr:row>4</xdr:row>
      <xdr:rowOff>62779</xdr:rowOff>
    </xdr:to>
    <xdr:pic>
      <xdr:nvPicPr>
        <xdr:cNvPr id="6" name="Picture 5">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228095" y="119063"/>
          <a:ext cx="773906" cy="848591"/>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xdr:from>
      <xdr:col>3</xdr:col>
      <xdr:colOff>171450</xdr:colOff>
      <xdr:row>9</xdr:row>
      <xdr:rowOff>28574</xdr:rowOff>
    </xdr:from>
    <xdr:to>
      <xdr:col>5</xdr:col>
      <xdr:colOff>209550</xdr:colOff>
      <xdr:row>10</xdr:row>
      <xdr:rowOff>104774</xdr:rowOff>
    </xdr:to>
    <xdr:sp macro="" textlink="">
      <xdr:nvSpPr>
        <xdr:cNvPr id="17" name="Rectangle 16">
          <a:hlinkClick xmlns:r="http://schemas.openxmlformats.org/officeDocument/2006/relationships" r:id="rId1"/>
        </xdr:cNvPr>
        <xdr:cNvSpPr/>
      </xdr:nvSpPr>
      <xdr:spPr>
        <a:xfrm>
          <a:off x="5153025" y="1619249"/>
          <a:ext cx="952500" cy="23812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xdr:from>
      <xdr:col>3</xdr:col>
      <xdr:colOff>161925</xdr:colOff>
      <xdr:row>3</xdr:row>
      <xdr:rowOff>47625</xdr:rowOff>
    </xdr:from>
    <xdr:to>
      <xdr:col>5</xdr:col>
      <xdr:colOff>219075</xdr:colOff>
      <xdr:row>4</xdr:row>
      <xdr:rowOff>104775</xdr:rowOff>
    </xdr:to>
    <xdr:sp macro="" textlink="">
      <xdr:nvSpPr>
        <xdr:cNvPr id="62" name="Rectangle 61">
          <a:hlinkClick xmlns:r="http://schemas.openxmlformats.org/officeDocument/2006/relationships" r:id="rId2"/>
        </xdr:cNvPr>
        <xdr:cNvSpPr/>
      </xdr:nvSpPr>
      <xdr:spPr>
        <a:xfrm>
          <a:off x="5143500" y="666750"/>
          <a:ext cx="971550" cy="2190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t>PTS/PAS</a:t>
          </a:r>
        </a:p>
      </xdr:txBody>
    </xdr:sp>
    <xdr:clientData/>
  </xdr:twoCellAnchor>
  <xdr:twoCellAnchor>
    <xdr:from>
      <xdr:col>3</xdr:col>
      <xdr:colOff>152400</xdr:colOff>
      <xdr:row>5</xdr:row>
      <xdr:rowOff>66675</xdr:rowOff>
    </xdr:from>
    <xdr:to>
      <xdr:col>5</xdr:col>
      <xdr:colOff>209550</xdr:colOff>
      <xdr:row>6</xdr:row>
      <xdr:rowOff>123825</xdr:rowOff>
    </xdr:to>
    <xdr:sp macro="" textlink="">
      <xdr:nvSpPr>
        <xdr:cNvPr id="63" name="Rectangle 62">
          <a:hlinkClick xmlns:r="http://schemas.openxmlformats.org/officeDocument/2006/relationships" r:id="rId3"/>
        </xdr:cNvPr>
        <xdr:cNvSpPr/>
      </xdr:nvSpPr>
      <xdr:spPr>
        <a:xfrm>
          <a:off x="5133975" y="1009650"/>
          <a:ext cx="971550" cy="2190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xdr:from>
      <xdr:col>3</xdr:col>
      <xdr:colOff>161925</xdr:colOff>
      <xdr:row>7</xdr:row>
      <xdr:rowOff>47625</xdr:rowOff>
    </xdr:from>
    <xdr:to>
      <xdr:col>5</xdr:col>
      <xdr:colOff>219075</xdr:colOff>
      <xdr:row>8</xdr:row>
      <xdr:rowOff>104775</xdr:rowOff>
    </xdr:to>
    <xdr:sp macro="" textlink="">
      <xdr:nvSpPr>
        <xdr:cNvPr id="64" name="Rectangle 63">
          <a:hlinkClick xmlns:r="http://schemas.openxmlformats.org/officeDocument/2006/relationships" r:id="rId3"/>
        </xdr:cNvPr>
        <xdr:cNvSpPr/>
      </xdr:nvSpPr>
      <xdr:spPr>
        <a:xfrm>
          <a:off x="5143500" y="1314450"/>
          <a:ext cx="971550" cy="2190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xdr:from>
      <xdr:col>3</xdr:col>
      <xdr:colOff>161925</xdr:colOff>
      <xdr:row>11</xdr:row>
      <xdr:rowOff>47624</xdr:rowOff>
    </xdr:from>
    <xdr:to>
      <xdr:col>5</xdr:col>
      <xdr:colOff>200025</xdr:colOff>
      <xdr:row>12</xdr:row>
      <xdr:rowOff>123824</xdr:rowOff>
    </xdr:to>
    <xdr:sp macro="" textlink="">
      <xdr:nvSpPr>
        <xdr:cNvPr id="65" name="Rectangle 64">
          <a:hlinkClick xmlns:r="http://schemas.openxmlformats.org/officeDocument/2006/relationships" r:id="rId4"/>
        </xdr:cNvPr>
        <xdr:cNvSpPr/>
      </xdr:nvSpPr>
      <xdr:spPr>
        <a:xfrm>
          <a:off x="5143500" y="1962149"/>
          <a:ext cx="952500" cy="23812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xdr:from>
      <xdr:col>3</xdr:col>
      <xdr:colOff>171450</xdr:colOff>
      <xdr:row>13</xdr:row>
      <xdr:rowOff>76200</xdr:rowOff>
    </xdr:from>
    <xdr:to>
      <xdr:col>5</xdr:col>
      <xdr:colOff>228600</xdr:colOff>
      <xdr:row>14</xdr:row>
      <xdr:rowOff>133350</xdr:rowOff>
    </xdr:to>
    <xdr:sp macro="" textlink="">
      <xdr:nvSpPr>
        <xdr:cNvPr id="67" name="Rectangle 66">
          <a:hlinkClick xmlns:r="http://schemas.openxmlformats.org/officeDocument/2006/relationships" r:id="rId5"/>
        </xdr:cNvPr>
        <xdr:cNvSpPr/>
      </xdr:nvSpPr>
      <xdr:spPr>
        <a:xfrm>
          <a:off x="5153025" y="2314575"/>
          <a:ext cx="971550" cy="2190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t>PTS/PAS</a:t>
          </a:r>
        </a:p>
      </xdr:txBody>
    </xdr:sp>
    <xdr:clientData/>
  </xdr:twoCellAnchor>
  <xdr:twoCellAnchor>
    <xdr:from>
      <xdr:col>3</xdr:col>
      <xdr:colOff>161925</xdr:colOff>
      <xdr:row>15</xdr:row>
      <xdr:rowOff>57150</xdr:rowOff>
    </xdr:from>
    <xdr:to>
      <xdr:col>5</xdr:col>
      <xdr:colOff>219075</xdr:colOff>
      <xdr:row>16</xdr:row>
      <xdr:rowOff>114300</xdr:rowOff>
    </xdr:to>
    <xdr:sp macro="" textlink="">
      <xdr:nvSpPr>
        <xdr:cNvPr id="68" name="Rectangle 67">
          <a:hlinkClick xmlns:r="http://schemas.openxmlformats.org/officeDocument/2006/relationships" r:id="rId6"/>
        </xdr:cNvPr>
        <xdr:cNvSpPr/>
      </xdr:nvSpPr>
      <xdr:spPr>
        <a:xfrm>
          <a:off x="5143500" y="2619375"/>
          <a:ext cx="971550" cy="2190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xdr:from>
      <xdr:col>3</xdr:col>
      <xdr:colOff>171450</xdr:colOff>
      <xdr:row>17</xdr:row>
      <xdr:rowOff>76200</xdr:rowOff>
    </xdr:from>
    <xdr:to>
      <xdr:col>5</xdr:col>
      <xdr:colOff>228600</xdr:colOff>
      <xdr:row>18</xdr:row>
      <xdr:rowOff>133350</xdr:rowOff>
    </xdr:to>
    <xdr:sp macro="" textlink="">
      <xdr:nvSpPr>
        <xdr:cNvPr id="69" name="Rectangle 68">
          <a:hlinkClick xmlns:r="http://schemas.openxmlformats.org/officeDocument/2006/relationships" r:id="rId7"/>
        </xdr:cNvPr>
        <xdr:cNvSpPr/>
      </xdr:nvSpPr>
      <xdr:spPr>
        <a:xfrm>
          <a:off x="5153025" y="2962275"/>
          <a:ext cx="971550" cy="2190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xdr:from>
      <xdr:col>3</xdr:col>
      <xdr:colOff>171450</xdr:colOff>
      <xdr:row>20</xdr:row>
      <xdr:rowOff>38099</xdr:rowOff>
    </xdr:from>
    <xdr:to>
      <xdr:col>5</xdr:col>
      <xdr:colOff>209550</xdr:colOff>
      <xdr:row>21</xdr:row>
      <xdr:rowOff>114299</xdr:rowOff>
    </xdr:to>
    <xdr:sp macro="" textlink="">
      <xdr:nvSpPr>
        <xdr:cNvPr id="70" name="Rectangle 69">
          <a:hlinkClick xmlns:r="http://schemas.openxmlformats.org/officeDocument/2006/relationships" r:id="rId8"/>
        </xdr:cNvPr>
        <xdr:cNvSpPr/>
      </xdr:nvSpPr>
      <xdr:spPr>
        <a:xfrm>
          <a:off x="5153025" y="3409949"/>
          <a:ext cx="952500" cy="23812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xdr:from>
      <xdr:col>3</xdr:col>
      <xdr:colOff>171450</xdr:colOff>
      <xdr:row>22</xdr:row>
      <xdr:rowOff>76199</xdr:rowOff>
    </xdr:from>
    <xdr:to>
      <xdr:col>5</xdr:col>
      <xdr:colOff>209550</xdr:colOff>
      <xdr:row>23</xdr:row>
      <xdr:rowOff>152399</xdr:rowOff>
    </xdr:to>
    <xdr:sp macro="" textlink="">
      <xdr:nvSpPr>
        <xdr:cNvPr id="71" name="Rectangle 70">
          <a:hlinkClick xmlns:r="http://schemas.openxmlformats.org/officeDocument/2006/relationships" r:id="rId9"/>
        </xdr:cNvPr>
        <xdr:cNvSpPr/>
      </xdr:nvSpPr>
      <xdr:spPr>
        <a:xfrm>
          <a:off x="5153025" y="3771899"/>
          <a:ext cx="952500" cy="23812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xdr:from>
      <xdr:col>3</xdr:col>
      <xdr:colOff>180975</xdr:colOff>
      <xdr:row>24</xdr:row>
      <xdr:rowOff>57149</xdr:rowOff>
    </xdr:from>
    <xdr:to>
      <xdr:col>5</xdr:col>
      <xdr:colOff>219075</xdr:colOff>
      <xdr:row>25</xdr:row>
      <xdr:rowOff>133349</xdr:rowOff>
    </xdr:to>
    <xdr:sp macro="" textlink="">
      <xdr:nvSpPr>
        <xdr:cNvPr id="72" name="Rectangle 71">
          <a:hlinkClick xmlns:r="http://schemas.openxmlformats.org/officeDocument/2006/relationships" r:id="rId10"/>
        </xdr:cNvPr>
        <xdr:cNvSpPr/>
      </xdr:nvSpPr>
      <xdr:spPr>
        <a:xfrm>
          <a:off x="5162550" y="4076699"/>
          <a:ext cx="952500" cy="23812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PTS/PAS</a:t>
          </a:r>
          <a:endParaRPr lang="en-US">
            <a:effectLst/>
          </a:endParaRPr>
        </a:p>
      </xdr:txBody>
    </xdr:sp>
    <xdr:clientData/>
  </xdr:twoCellAnchor>
  <xdr:twoCellAnchor editAs="oneCell">
    <xdr:from>
      <xdr:col>1</xdr:col>
      <xdr:colOff>3714750</xdr:colOff>
      <xdr:row>0</xdr:row>
      <xdr:rowOff>47625</xdr:rowOff>
    </xdr:from>
    <xdr:to>
      <xdr:col>2</xdr:col>
      <xdr:colOff>304800</xdr:colOff>
      <xdr:row>0</xdr:row>
      <xdr:rowOff>434060</xdr:rowOff>
    </xdr:to>
    <xdr:pic>
      <xdr:nvPicPr>
        <xdr:cNvPr id="14" name="Picture 13">
          <a:hlinkClick xmlns:r="http://schemas.openxmlformats.org/officeDocument/2006/relationships" r:id="rId11"/>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981450" y="47625"/>
          <a:ext cx="352425" cy="3864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DIA%20SCI/SEMESTER%202/KELAS%201%20SMT%202/Aplikasi/APLIKASI%20PENILAIAN%20KI1%20DAN%20KI2/Penilaian%20Harian%20KI1&amp;2%20Kls%201Sem%202%20PJOK.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APLIKASI%20EXCEL/-%20APLIKASI%20K13/-%20APLIKASI%20RAPORT%20K13%20REVISI%202017/APLIKASI%20K13%20SMT%201%20REVISI%20DESEMBER%202017/SEMESTER%201/6.%20RAPORT%20K13%20KELA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Utama"/>
      <sheetName val="Help"/>
      <sheetName val="Data Sekolah"/>
      <sheetName val="BIODATA"/>
      <sheetName val="KI1"/>
      <sheetName val="KI2"/>
      <sheetName val="CatatanKI1"/>
      <sheetName val="CatatanKI2"/>
      <sheetName val="REKAPKI1"/>
      <sheetName val="REKAPKI2"/>
      <sheetName val="Nilai KI1"/>
      <sheetName val="Nilai KI2"/>
    </sheetNames>
    <sheetDataSet>
      <sheetData sheetId="0"/>
      <sheetData sheetId="1"/>
      <sheetData sheetId="2"/>
      <sheetData sheetId="3"/>
      <sheetData sheetId="4">
        <row r="8">
          <cell r="E8" t="str">
            <v>SB (Sangat Baik)</v>
          </cell>
          <cell r="F8" t="str">
            <v>PB (Perlu Bimbingan)</v>
          </cell>
        </row>
      </sheetData>
      <sheetData sheetId="5">
        <row r="8">
          <cell r="E8" t="str">
            <v>SB (Sangat Baik)</v>
          </cell>
          <cell r="F8" t="str">
            <v>PB (Perlu Bimbingan)</v>
          </cell>
        </row>
      </sheetData>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onversi"/>
      <sheetName val="HOME"/>
      <sheetName val="KOMDAS"/>
      <sheetName val="SEKOLAH"/>
      <sheetName val="SISWA"/>
      <sheetName val="K1.SPIRITUAL"/>
      <sheetName val="K2. SOSIAL"/>
      <sheetName val="PAI K3"/>
      <sheetName val="PKN K3"/>
      <sheetName val="BIN K3"/>
      <sheetName val="MAT K3"/>
      <sheetName val="SBdP k3"/>
      <sheetName val="PJOK K3"/>
      <sheetName val="BD3"/>
      <sheetName val="B.INGG"/>
      <sheetName val="ARAB3"/>
      <sheetName val="ASWAJA3"/>
      <sheetName val="TIK3"/>
      <sheetName val="PAI K4"/>
      <sheetName val="PKN K4"/>
      <sheetName val="BIN K4"/>
      <sheetName val="MAT K4"/>
      <sheetName val="SPdP K4"/>
      <sheetName val="PJOK k4 "/>
      <sheetName val="BD K4"/>
      <sheetName val="b.ingg4"/>
      <sheetName val="Arab4"/>
      <sheetName val="aswaja4"/>
      <sheetName val="TIK4"/>
      <sheetName val="REKAP"/>
      <sheetName val="RAPORT"/>
      <sheetName val="DATA RAPORT"/>
      <sheetName val="RAPOR EDIT"/>
      <sheetName val="OTHER"/>
      <sheetName val="TUTOR"/>
    </sheetNames>
    <sheetDataSet>
      <sheetData sheetId="0"/>
      <sheetData sheetId="1"/>
      <sheetData sheetId="2"/>
      <sheetData sheetId="3">
        <row r="27">
          <cell r="D27" t="str">
            <v>Lumajang</v>
          </cell>
        </row>
      </sheetData>
      <sheetData sheetId="4"/>
      <sheetData sheetId="5">
        <row r="4">
          <cell r="D4">
            <v>4822</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6">
          <cell r="B6">
            <v>4822</v>
          </cell>
          <cell r="C6" t="str">
            <v>Ahmad Rendy Ardiansyah</v>
          </cell>
          <cell r="D6" t="str">
            <v xml:space="preserve">Menunjukkan sikap  kebiasaan mengaji Alqur'an,   yang sangat menonjol. perlu pembinaan dalam ketaatan melaksanakan sholat berjamaah di sekolah,     </v>
          </cell>
          <cell r="E6" t="str">
            <v xml:space="preserve">Menunjukkan sikap   suka bekerjasama, membantu teman yang kesulitan,    Perlu bimbingan dalam sikapberani dan percaya diri ketika mengunkapkan pendapat.      </v>
          </cell>
          <cell r="F6">
            <v>82.5</v>
          </cell>
          <cell r="G6" t="str">
            <v>B</v>
          </cell>
          <cell r="H6" t="str">
            <v xml:space="preserve">Mampu     Mengetahui kisah Nabi Muhammad saw. perlu pembinaan dalam      Memahami hikmah berzakat sebagai implementasi rukun Islam  </v>
          </cell>
          <cell r="I6">
            <v>86.5</v>
          </cell>
          <cell r="J6" t="str">
            <v>B</v>
          </cell>
          <cell r="K6" t="str">
            <v xml:space="preserve">Mampu    mengenal arti bersatu dalam keberagaman di rumah dan sekolah  perlu pembinaan dalam     mengenal keberagaman karateristik individu di rumah dan di sekolah   </v>
          </cell>
          <cell r="L6">
            <v>88.4</v>
          </cell>
          <cell r="M6" t="str">
            <v>B</v>
          </cell>
          <cell r="N6"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diagram/label tentang anggota keluarga dan kerabat dengan bantuan guru atau teman dalam bahasa Indonesia lisan dan tulis yang dapat diisi dengan kosakata bahasa daerah untuk membantu pemahaman </v>
          </cell>
          <cell r="O6">
            <v>80.666666666666671</v>
          </cell>
          <cell r="P6" t="str">
            <v>B</v>
          </cell>
          <cell r="Q6" t="str">
            <v xml:space="preserve">Mampu   mengenal dan memprediksi pola-pola bilangan sederhana menggunakan gambar-gambar/benda konkrit  menemukan bangun yang membentuk pola pengubinan sederhanaperlu pembinaan dalam    mengenal bilangan asli sampai 99 dengan menggunakan benda-benda yang ada di sekitar rumah, sekolah, atau tempat bermain    </v>
          </cell>
          <cell r="R6">
            <v>80.166666666666671</v>
          </cell>
          <cell r="S6" t="str">
            <v>B</v>
          </cell>
          <cell r="T6" t="str">
            <v xml:space="preserve">Mampu     mengenal karya seni budaya benda dan bahasa daerah setempat perlu pembinaan dalam      mengamati berbagai bahan, alat serta fungsinya dalam membuat prakarya  </v>
          </cell>
          <cell r="U6">
            <v>82</v>
          </cell>
          <cell r="V6" t="str">
            <v>B</v>
          </cell>
          <cell r="W6" t="str">
            <v xml:space="preserve">Mampu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6">
            <v>77.666666666666671</v>
          </cell>
          <cell r="Y6" t="str">
            <v>B</v>
          </cell>
          <cell r="Z6"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6">
            <v>81.5</v>
          </cell>
          <cell r="AB6" t="str">
            <v>B</v>
          </cell>
          <cell r="AC6" t="str">
            <v xml:space="preserve">Mampu    Mengenal, memahami dan mengidentifikasi shopping activity (how to ask price, show the price, bargain, accept and refuse to bargain, etc)  perlu pembinaan dalam     Mengenal, memahami dan mengidentifikasi macam-macam compass at the map and traffic sign   </v>
          </cell>
          <cell r="AD6">
            <v>81.5</v>
          </cell>
          <cell r="AE6" t="str">
            <v>B</v>
          </cell>
          <cell r="AF6" t="str">
            <v xml:space="preserve">Mampu    Memahami wacana dalam bentuk paparan tentang profesi dengan menggunakan pola kalimat isim isyarah/ dhamir + profesi  perlu pembinaan dalam     Memahami wacana dalam bentuk paparan tentang perkenalan diri(2) dengan menggunakan pola kalimat yang meliputi dhamir (kata ganti) ana, anta, anti, huwa, hiya + isim mufrad mu’annats/mudzakkar    </v>
          </cell>
          <cell r="AG6">
            <v>77.666666666666671</v>
          </cell>
          <cell r="AH6" t="str">
            <v>B</v>
          </cell>
          <cell r="AI6" t="str">
            <v xml:space="preserve">Mampu Mengenal sejarah munculnya Ahlus Sunnah wal Jama'ah     perlu pembinaan dalam     memahami kepribadian NU   </v>
          </cell>
          <cell r="AJ6">
            <v>71.5</v>
          </cell>
          <cell r="AK6" t="str">
            <v>C</v>
          </cell>
          <cell r="AL6" t="str">
            <v xml:space="preserve">Mampu Mengenal software pengolah kata dengan ikon-ikon pendukung     perlu pembinaan dalam    Mengenal fungsi ikon-ikon pendukung pengolah kata (word processing)    </v>
          </cell>
          <cell r="AM6">
            <v>82.5</v>
          </cell>
          <cell r="AN6" t="str">
            <v>B</v>
          </cell>
          <cell r="AO6" t="str">
            <v xml:space="preserve">Mampu     Menceritakan kisah keteladanan Nabi Muhammad saw. perlu pembinaan dalam      Mencontohkan perilaku toleran dan simpati sebagai implementasi dari pemahaman Q.S. al-Kaafiruun  </v>
          </cell>
          <cell r="AP6">
            <v>69</v>
          </cell>
          <cell r="AQ6" t="str">
            <v>C</v>
          </cell>
          <cell r="AR6"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6">
            <v>83</v>
          </cell>
          <cell r="AT6" t="str">
            <v>B</v>
          </cell>
          <cell r="AU6" t="str">
            <v xml:space="preserve">Mampu     membuat teks diagram/label  tentang anggota keluarga dan kerabat secara mandiri dalam bahasa Indonesia lisan dan tulis yang dapat diisi dengan kosa kat bahasa daerah untuk membantu penyajian perlu pembinaan dalam      menyampaikan teks cerita diri/personal tentang keluarga secara mandiri dalam bahasa Indonesia lisan dan tulis  yang dapat diisi dengan kosakata bahasa daerah untuk membantu penyajian  </v>
          </cell>
          <cell r="AV6">
            <v>82</v>
          </cell>
          <cell r="AW6" t="str">
            <v>B</v>
          </cell>
          <cell r="AX6" t="str">
            <v xml:space="preserve">Mampu    membentuk berbagai bangun datar dengan menggunakan papan berpaku atau media lainnya perlu pembinaan dalam    mendeskripsikan, mengembangkan, dan membuat pola yang berulang  </v>
          </cell>
          <cell r="AY6">
            <v>82</v>
          </cell>
          <cell r="AZ6" t="str">
            <v>B</v>
          </cell>
          <cell r="BA6" t="str">
            <v xml:space="preserve">Mampu      memainkan pola irama lagu bertanda birama dua dengan tepuk dan gerakperlu pembinaan dalam       menyanyikan lagu anak-anak dan memperagakan tepuk birama dengan gerak </v>
          </cell>
          <cell r="BB6">
            <v>82</v>
          </cell>
          <cell r="BC6" t="str">
            <v>B</v>
          </cell>
          <cell r="BD6" t="str">
            <v xml:space="preserve">Mampu      mempraktikkan penggunaan pola gerak dasar lokomotor dan non-lokomotor sesuai dengan irama (ketukan) tanpa/dengan musik dalam aktivitas gerak rimtik.perlu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6">
            <v>77.666666666666671</v>
          </cell>
          <cell r="BF6" t="str">
            <v>B</v>
          </cell>
          <cell r="BG6"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6">
            <v>71.5</v>
          </cell>
          <cell r="BI6" t="str">
            <v>C</v>
          </cell>
          <cell r="BJ6" t="str">
            <v xml:space="preserve">Mampu Menulis kalimat order, request dan prohibition dengan baik sesuai dengan rumus      perlu pembinaan dalam    Membuat percakapan tentang aktifitas berbelanja dan mempraktikkan di depan kelas berpasang-pasangan    </v>
          </cell>
          <cell r="BK6">
            <v>71.5</v>
          </cell>
          <cell r="BL6" t="str">
            <v>C</v>
          </cell>
          <cell r="BM6" t="str">
            <v xml:space="preserve">Mampu Memahami wacana tertulis dalam bentuk paparan atau bacaan tentang kegiatan sehari-hari disertai waktu     perlu pembinaan dalam    Menuliskan kata atau ungkapan pendek  sederhana tentang kegiatan sehari-hari disertai waktu    </v>
          </cell>
          <cell r="BN6">
            <v>82</v>
          </cell>
          <cell r="BO6" t="str">
            <v>B</v>
          </cell>
          <cell r="BP6" t="str">
            <v xml:space="preserve">Mampu      kdperlu pembinaan dalam       kd </v>
          </cell>
          <cell r="BQ6">
            <v>71.5</v>
          </cell>
          <cell r="BR6" t="str">
            <v>C</v>
          </cell>
          <cell r="BS6" t="str">
            <v xml:space="preserve">Mampu Menunjukkan ikon untuk membuat gambar dan teks     perlu pembinaan dalam    Terampil mengoperasikan ikon-ikon text box, shapes, clip art, picture dan insert tabel    </v>
          </cell>
          <cell r="BT6"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6" t="str">
            <v>Futsal</v>
          </cell>
          <cell r="BV6" t="str">
            <v>baik sekali</v>
          </cell>
          <cell r="BW6">
            <v>0</v>
          </cell>
          <cell r="BX6">
            <v>0</v>
          </cell>
          <cell r="BY6">
            <v>0</v>
          </cell>
          <cell r="BZ6">
            <v>0</v>
          </cell>
          <cell r="CA6" t="str">
            <v>1 hari</v>
          </cell>
          <cell r="CB6" t="str">
            <v xml:space="preserve">Alhamdulillah, ananda selama satu semester ini sudah banyak peningkatan dalam prestasi belajarnya, mohon ditingkatkan lagi prestasinya. Jangan lupa sholat lima waktu dan selalu berdo'a. </v>
          </cell>
          <cell r="CC6" t="str">
            <v>137 cm</v>
          </cell>
          <cell r="CD6" t="str">
            <v>27 kg</v>
          </cell>
          <cell r="CE6" t="str">
            <v>Serumen (+)</v>
          </cell>
          <cell r="CF6" t="str">
            <v>Baik, normal</v>
          </cell>
          <cell r="CG6" t="str">
            <v>Bagus</v>
          </cell>
          <cell r="CH6" t="str">
            <v>Futsal</v>
          </cell>
          <cell r="CI6" t="str">
            <v>Juara 1 (class meeting semester 1)</v>
          </cell>
          <cell r="CJ6">
            <v>0</v>
          </cell>
          <cell r="CK6">
            <v>0</v>
          </cell>
        </row>
        <row r="7">
          <cell r="B7">
            <v>4826</v>
          </cell>
          <cell r="C7" t="str">
            <v>Akhmad Ramadhani</v>
          </cell>
          <cell r="D7" t="str">
            <v xml:space="preserve">Menunjukkan sikap     toleransi kepada teman yang melaksanakan ibadah, yang sangat menonjol. perlu pembinaan dalam  kebiasaan mengaji Alqur'an,   </v>
          </cell>
          <cell r="E7" t="str">
            <v xml:space="preserve">Menunjukkan sikap  disiplin serta taat pada aturan.     Perlu bimbingan dalam sikap   santun kepada guru, orang yang lebih tua.   </v>
          </cell>
          <cell r="F7">
            <v>82.666666666666671</v>
          </cell>
          <cell r="G7" t="str">
            <v>B</v>
          </cell>
          <cell r="H7" t="str">
            <v xml:space="preserve">Mampu      Mengetahui kisah keteladanan sahabat-sahabat Nabi Muhammad saw.perlu pembinaan dalam   Mengetahui makna Q.S. Al-Kaafiruun dengan benar,      </v>
          </cell>
          <cell r="I7">
            <v>79.75</v>
          </cell>
          <cell r="J7" t="str">
            <v>B</v>
          </cell>
          <cell r="K7" t="str">
            <v xml:space="preserve">Mampu mengenal simbol-simbol sila Pancasila dalam lambang negara “Garuda Pancasila”     perlu pembinaan dalam      mengenal arti bersatu dalam keberagaman di rumah dan sekolah  </v>
          </cell>
          <cell r="L7">
            <v>77.400000000000006</v>
          </cell>
          <cell r="M7" t="str">
            <v>B</v>
          </cell>
          <cell r="N7"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pemahamanMengenal teks diagram/label tentang anggota keluarga dan kerabat dengan bantuan guru atau teman dalam bahasa Indonesia lisan dan tulis yang dapat diisi dengan kosakata bahasa daerah untuk membantu pemahaman </v>
          </cell>
          <cell r="O7">
            <v>82.833333333333329</v>
          </cell>
          <cell r="P7" t="str">
            <v>B</v>
          </cell>
          <cell r="Q7" t="str">
            <v xml:space="preserve">Mampu mengenal lambang bilangan dan mendeskripsikan kemunculan bilangan dengan bahasa yang sederhana   menunjukkan pemahaman tentang besaran dengan menghitung maju sampai 100 dan mundur dari 20  perlu pembinaan dalam       mengenal bangun datar dan bangun ruang menggunakan benda-benda yang ada di sekitar rumah, sekolah, atau tempat bermain. </v>
          </cell>
          <cell r="R7">
            <v>81.333333333333329</v>
          </cell>
          <cell r="S7" t="str">
            <v>B</v>
          </cell>
          <cell r="T7" t="str">
            <v xml:space="preserve">Mampu   mengenal unsur-unsur gerak, bagian-bagian gerak anggota tubuh dan level gerak dalam menari  menggambar ekspresi dengan mengolah garis, warna dan bentuk berdasarkan hasil pengamatan di lingkungan sekitarperlu pembinaan dalam    mengenal cara dan hasil karya seni ekspresi     </v>
          </cell>
          <cell r="U7">
            <v>77</v>
          </cell>
          <cell r="V7" t="str">
            <v>B</v>
          </cell>
          <cell r="W7"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tradisional.mengetahui konsep gerak dasar non-lokomotor sesuai dengan dimensi  anggota tubuh yang digunakan, arah, ruang  gerak, hubungan, dan usaha, dalam berbagai bentuk permainan sederhana dan atau permainan tradisional.    </v>
          </cell>
          <cell r="X7">
            <v>81.666666666666671</v>
          </cell>
          <cell r="Y7" t="str">
            <v>B</v>
          </cell>
          <cell r="Z7"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7">
            <v>83</v>
          </cell>
          <cell r="AB7" t="str">
            <v>B</v>
          </cell>
          <cell r="AC7" t="str">
            <v xml:space="preserve">Mampu  Mengenal, memahami dan mengidentifikasi macam-macam weather and season based on the country    perlu pembinaan dalam     Mengenal, memahami dan mengidentifikasi macam-macam compass at the map and traffic sign   </v>
          </cell>
          <cell r="AD7">
            <v>83</v>
          </cell>
          <cell r="AE7" t="str">
            <v>B</v>
          </cell>
          <cell r="AF7"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7">
            <v>81.666666666666671</v>
          </cell>
          <cell r="AH7" t="str">
            <v>B</v>
          </cell>
          <cell r="AI7" t="str">
            <v xml:space="preserve">Mampu  Memahami amaliah NU    perlu pembinaan dalam     memahami kepribadian NU   </v>
          </cell>
          <cell r="AJ7">
            <v>83.5</v>
          </cell>
          <cell r="AK7" t="str">
            <v>B</v>
          </cell>
          <cell r="AL7" t="str">
            <v xml:space="preserve">Mampu Mengenal software pengolah kata dengan ikon-ikon pendukung     perlu pembinaan dalam    Mengenal fungsi ikon-ikon pendukung pengolah kata (word processing)    </v>
          </cell>
          <cell r="AM7">
            <v>76.333333333333329</v>
          </cell>
          <cell r="AN7" t="str">
            <v>B</v>
          </cell>
          <cell r="AO7" t="str">
            <v>Mampu   Menyebutkan arti Q.S. al-Kaafiruun dengan jelas dan benar   perlu pembinaan dalam        Menceritakan kisah keteladanan sahabat-sahabat Nabi Muhammad saw.</v>
          </cell>
          <cell r="AP7">
            <v>79.75</v>
          </cell>
          <cell r="AQ7" t="str">
            <v>B</v>
          </cell>
          <cell r="AR7" t="str">
            <v xml:space="preserve">Mampu Mengamati dan menceritakan perilaku di sekitar rumah dan sekolah dan mengaitkannya dengan pengenalannya terhadap salah satu simbol sila Pancasila     perlu pembinaan dalam      Mengamati dan menceriterakan kebersamaan dalam keberagaman di rumah dan sekolah   </v>
          </cell>
          <cell r="AS7">
            <v>79.400000000000006</v>
          </cell>
          <cell r="AT7" t="str">
            <v>B</v>
          </cell>
          <cell r="AU7" t="str">
            <v xml:space="preserve">Mampu   menyampaikan teks terima kasih mengenai sikap kasih sayang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7">
            <v>77</v>
          </cell>
          <cell r="AW7" t="str">
            <v>B</v>
          </cell>
          <cell r="AX7" t="str">
            <v xml:space="preserve">Mampu  mengemukakan kembali dengan kalimat sendiri dan memecahkan masalah yang berkaitan dengan penjumlahan dan pengurangan terkait dengan aktivitas sehari-hari serta memeriksa kebenarannya   perlu pembinaan dalam 0     </v>
          </cell>
          <cell r="AY7">
            <v>77</v>
          </cell>
          <cell r="AZ7" t="str">
            <v>B</v>
          </cell>
          <cell r="BA7" t="str">
            <v xml:space="preserve">Mampu    Membentuk karya seni ekspresi dari bahan lunak  perlu pembinaan dalam   menggambar ekspresi dengan mengolah garis, warna dan bentuk berdasarkan hasil pengamatan di lingkungan sekitarmembuat karya seni ekspresi dengan memanfaatkan berbagai teknik cetak sederhana menggunakan bahan alam    </v>
          </cell>
          <cell r="BB7">
            <v>77</v>
          </cell>
          <cell r="BC7" t="str">
            <v>B</v>
          </cell>
          <cell r="BD7" t="str">
            <v xml:space="preserve">Mampu    mempraktikkan aktivitas pengembangan kebugaran jasmani untuk melatih keseimbangan dan kecepatan tubuh melalui permainan sederhanadan dan atau tradisional.  perlu pembinaan dalam   mempraktikkan pola gerak dasar lokomotor sesuai dengan dimensi anggota tubuh yang digunakan, arah, ruang gerak, hubungan dan usaha, dalam berbagai bentuk permainan sederhana dan atau tradisional. mempraktikkan pola gerak dasar manipulatif sesuai dengan dimensi anggota tubuh yang digunakan, arah, ruang gerak, hubungan, dan usaha, dalam berbagai bentuk permainan sederhana dan atau permainan tradisional.   </v>
          </cell>
          <cell r="BE7">
            <v>81.666666666666671</v>
          </cell>
          <cell r="BF7" t="str">
            <v>B</v>
          </cell>
          <cell r="BG7" t="str">
            <v xml:space="preserve">Mampu  menceritakan isi tembang macapat.     perlu pembinaan dalam     menanggapi teks lisan maupun tulis yang memuat ungkapan tradisional Jawa/ Madura (paribasan, bebasan, saloka)   </v>
          </cell>
          <cell r="BH7">
            <v>83.5</v>
          </cell>
          <cell r="BI7" t="str">
            <v>B</v>
          </cell>
          <cell r="BJ7" t="str">
            <v xml:space="preserve">Mampu Menulis kalimat order, request dan prohibition dengan baik sesuai dengan rumus      perlu pembinaan dalam    Membuat percakapan tentang aktifitas berbelanja dan mempraktikkan di depan kelas berpasang-pasangan    </v>
          </cell>
          <cell r="BK7">
            <v>83.5</v>
          </cell>
          <cell r="BL7" t="str">
            <v>B</v>
          </cell>
          <cell r="BM7" t="str">
            <v xml:space="preserve">Mampu Memahami wacana tertulis dalam bentuk paparan atau bacaan tentang kegiatan sehari-hari disertai waktu     perlu pembinaan dalam    Menuliskan kata atau ungkapan pendek  sederhana tentang kegiatan sehari-hari disertai waktu    </v>
          </cell>
          <cell r="BN7">
            <v>77</v>
          </cell>
          <cell r="BO7" t="str">
            <v>B</v>
          </cell>
          <cell r="BP7" t="str">
            <v xml:space="preserve">Mampu    kd  perlu pembinaan dalam   kdkd    </v>
          </cell>
          <cell r="BQ7">
            <v>83.5</v>
          </cell>
          <cell r="BR7" t="str">
            <v>B</v>
          </cell>
          <cell r="BS7" t="str">
            <v xml:space="preserve">Mampu Menunjukkan ikon untuk membuat gambar dan teks     perlu pembinaan dalam    Terampil mengoperasikan ikon-ikon text box, shapes, clip art, picture dan insert tabel    </v>
          </cell>
          <cell r="BT7" t="str">
            <v xml:space="preserve"> 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7" t="str">
            <v>Futsal</v>
          </cell>
          <cell r="BV7" t="str">
            <v>baik sekali</v>
          </cell>
          <cell r="BW7">
            <v>0</v>
          </cell>
          <cell r="BX7">
            <v>0</v>
          </cell>
          <cell r="BY7" t="str">
            <v>7 hari</v>
          </cell>
          <cell r="BZ7">
            <v>0</v>
          </cell>
          <cell r="CA7" t="str">
            <v>7 hari</v>
          </cell>
          <cell r="CB7" t="str">
            <v xml:space="preserve">Ananda selama satu semester masih kurang dalam konsentrasi belajarnya, kurangi bicara ketika pembelajaran. Tingkatkan terus prestasi ananda. Jangan lupa sholat lima waktu dan selalu berdo'a. </v>
          </cell>
          <cell r="CC7" t="str">
            <v>137 cm</v>
          </cell>
          <cell r="CD7" t="str">
            <v>31 kg</v>
          </cell>
          <cell r="CE7" t="str">
            <v>Serumen (+)</v>
          </cell>
          <cell r="CF7" t="str">
            <v>Baik, normal</v>
          </cell>
          <cell r="CG7" t="str">
            <v xml:space="preserve">geraham bawah kanan dan kiri karies. </v>
          </cell>
          <cell r="CH7">
            <v>0</v>
          </cell>
          <cell r="CI7">
            <v>0</v>
          </cell>
          <cell r="CJ7">
            <v>0</v>
          </cell>
          <cell r="CK7">
            <v>0</v>
          </cell>
        </row>
        <row r="8">
          <cell r="B8">
            <v>4834</v>
          </cell>
          <cell r="C8" t="str">
            <v>Asshifa Adhisti Avrina</v>
          </cell>
          <cell r="D8" t="str">
            <v xml:space="preserve">Menunjukkan sikap     yang sangat menonjol. perlu pembinaan dalam ketaatan berdo'a pada awal dan akhir ketika melakukan suatu kegiatan,    </v>
          </cell>
          <cell r="E8" t="str">
            <v xml:space="preserve">Menunjukkan sikap   suka bekerjasama, membantu teman yang kesulitan,    Perlu bimbingan dalam sikapberani dan percaya diri ketika mengunkapkan pendapat.      </v>
          </cell>
          <cell r="F8">
            <v>80</v>
          </cell>
          <cell r="G8" t="str">
            <v>B</v>
          </cell>
          <cell r="H8" t="str">
            <v xml:space="preserve">Mampu Mengetahui makna Q.S. Al-Kaafiruun dengan benar,      perlu pembinaan dalam       Mengetahui kisah Nabi Muhammad saw. </v>
          </cell>
          <cell r="I8">
            <v>72.25</v>
          </cell>
          <cell r="J8" t="str">
            <v>C</v>
          </cell>
          <cell r="K8" t="str">
            <v xml:space="preserve">Mampu mengenal simbol-simbol sila Pancasila dalam lambang negara “Garuda Pancasila”     perlu pembinaan dalam     mengenal keberagaman karateristik individu di rumah dan di sekolah   </v>
          </cell>
          <cell r="L8">
            <v>77.2</v>
          </cell>
          <cell r="M8" t="str">
            <v>B</v>
          </cell>
          <cell r="N8"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8">
            <v>71.833333333333329</v>
          </cell>
          <cell r="P8" t="str">
            <v>C</v>
          </cell>
          <cell r="Q8"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8">
            <v>79.166666666666671</v>
          </cell>
          <cell r="S8" t="str">
            <v>B</v>
          </cell>
          <cell r="T8" t="str">
            <v xml:space="preserve">Mampu   mengenal unsur-unsur gerak, bagian-bagian gerak anggota tubuh dan level gerak dalam menari   perlu pembinaan dalam       mengenal karya seni budaya benda dan bahasa daerah setempat </v>
          </cell>
          <cell r="U8">
            <v>79.333333333333329</v>
          </cell>
          <cell r="V8" t="str">
            <v>B</v>
          </cell>
          <cell r="W8"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8">
            <v>85.666666666666671</v>
          </cell>
          <cell r="Y8" t="str">
            <v>B</v>
          </cell>
          <cell r="Z8"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8">
            <v>80.5</v>
          </cell>
          <cell r="AB8" t="str">
            <v>B</v>
          </cell>
          <cell r="AC8"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8">
            <v>80.5</v>
          </cell>
          <cell r="AE8" t="str">
            <v>B</v>
          </cell>
          <cell r="AF8"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8">
            <v>85.666666666666671</v>
          </cell>
          <cell r="AH8" t="str">
            <v>B</v>
          </cell>
          <cell r="AI8" t="str">
            <v xml:space="preserve">Mampu  Memahami amaliah NU    perlu pembinaan dalam     memahami kepribadian NU   </v>
          </cell>
          <cell r="AJ8">
            <v>84</v>
          </cell>
          <cell r="AK8" t="str">
            <v>B</v>
          </cell>
          <cell r="AL8" t="str">
            <v xml:space="preserve">Mampu Mengenal software pengolah kata dengan ikon-ikon pendukung     perlu pembinaan dalam    Mengenal fungsi ikon-ikon pendukung pengolah kata (word processing)    </v>
          </cell>
          <cell r="AM8">
            <v>85.5</v>
          </cell>
          <cell r="AN8" t="str">
            <v>B</v>
          </cell>
          <cell r="AO8" t="str">
            <v xml:space="preserve">Mampu Membaca Q.S. al-Kaafiruun dengan jelas dan benar     perlu pembinaan dalam       Menceritakan kisah keteladanan Nabi Muhammad saw. </v>
          </cell>
          <cell r="AP8">
            <v>76.5</v>
          </cell>
          <cell r="AQ8" t="str">
            <v>B</v>
          </cell>
          <cell r="AR8"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8">
            <v>84</v>
          </cell>
          <cell r="AT8" t="str">
            <v>B</v>
          </cell>
          <cell r="AU8"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8">
            <v>82.666666666666671</v>
          </cell>
          <cell r="AW8" t="str">
            <v>B</v>
          </cell>
          <cell r="AX8" t="str">
            <v xml:space="preserve">Mampu0     perlu pembinaan dalam     membentuk berbagai bangun datar dengan menggunakan papan berpaku atau media lainnya </v>
          </cell>
          <cell r="AY8">
            <v>82.666666666666671</v>
          </cell>
          <cell r="AZ8" t="str">
            <v>B</v>
          </cell>
          <cell r="BA8" t="str">
            <v>Mampu menggambar ekspresi dengan mengolah garis, warna dan bentuk berdasarkan hasil pengamatan di lingkungan sekitar     perlu pembinaan dalam        memainkan pola irama lagu bertanda birama dua dengan tepuk dan gerak</v>
          </cell>
          <cell r="BB8">
            <v>82.666666666666671</v>
          </cell>
          <cell r="BC8" t="str">
            <v>B</v>
          </cell>
          <cell r="BD8" t="str">
            <v>Mampu mempraktikkan pola gerak dasar lokomotor sesuai dengan dimensi anggota tubuh yang digunakan, arah, ruang gerak, hubungan dan usaha, dalam berbagai bentuk permainan sederhana dan atau tradisional.     perlu pembinaan dalam        mempraktikkan penggunaan pola gerak dasar lokomotor dan non-lokomotor sesuai dengan irama (ketukan) tanpa/dengan musik dalam aktivitas gerak rimtik.</v>
          </cell>
          <cell r="BE8">
            <v>85.666666666666671</v>
          </cell>
          <cell r="BF8" t="str">
            <v>B</v>
          </cell>
          <cell r="BG8" t="str">
            <v xml:space="preserve">Mampu  menceritakan isi tembang macapat.     perlu pembinaan dalam     menanggapi teks lisan maupun tulis yang memuat ungkapan tradisional Jawa/ Madura (paribasan, bebasan, saloka)   </v>
          </cell>
          <cell r="BH8">
            <v>84</v>
          </cell>
          <cell r="BI8" t="str">
            <v>B</v>
          </cell>
          <cell r="BJ8" t="str">
            <v xml:space="preserve">Mampu Menulis kalimat order, request dan prohibition dengan baik sesuai dengan rumus      perlu pembinaan dalam    Membuat percakapan tentang aktifitas berbelanja dan mempraktikkan di depan kelas berpasang-pasangan    </v>
          </cell>
          <cell r="BK8">
            <v>84</v>
          </cell>
          <cell r="BL8" t="str">
            <v>B</v>
          </cell>
          <cell r="BM8" t="str">
            <v xml:space="preserve">Mampu Memahami wacana tertulis dalam bentuk paparan atau bacaan tentang kegiatan sehari-hari disertai waktu     perlu pembinaan dalam    Menuliskan kata atau ungkapan pendek  sederhana tentang kegiatan sehari-hari disertai waktu    </v>
          </cell>
          <cell r="BN8">
            <v>82.666666666666671</v>
          </cell>
          <cell r="BO8" t="str">
            <v>B</v>
          </cell>
          <cell r="BP8" t="str">
            <v>Mampu kd     perlu pembinaan dalam        kd</v>
          </cell>
          <cell r="BQ8">
            <v>84</v>
          </cell>
          <cell r="BR8" t="str">
            <v>B</v>
          </cell>
          <cell r="BS8" t="str">
            <v xml:space="preserve">Mampu Menunjukkan ikon untuk membuat gambar dan teks     perlu pembinaan dalam    Terampil mengoperasikan ikon-ikon text box, shapes, clip art, picture dan insert tabel    </v>
          </cell>
          <cell r="BT8" t="str">
            <v xml:space="preserve">Mampu  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8" t="str">
            <v>Drumband</v>
          </cell>
          <cell r="BV8" t="str">
            <v>baik sekali</v>
          </cell>
          <cell r="BW8">
            <v>0</v>
          </cell>
          <cell r="BX8">
            <v>0</v>
          </cell>
          <cell r="BY8" t="str">
            <v>2 hari</v>
          </cell>
          <cell r="BZ8" t="str">
            <v>1 hari</v>
          </cell>
          <cell r="CA8">
            <v>0</v>
          </cell>
          <cell r="CB8" t="str">
            <v xml:space="preserve">Ananda selama satu semester masih kurang dalam konsentrasi belajarnya, ulangi terus pelajaran yang sudah ananda peroleh di sekolah ketika di rumah. Tingkatkan terus prestasi abelajar nanda. Jangan lupa sholat lima waktu dan selalu berdo'a. </v>
          </cell>
          <cell r="CC8" t="str">
            <v>134 cm</v>
          </cell>
          <cell r="CD8" t="str">
            <v>25 kg</v>
          </cell>
          <cell r="CE8" t="str">
            <v>Baik, normal</v>
          </cell>
          <cell r="CF8" t="str">
            <v>Baik, normal</v>
          </cell>
          <cell r="CG8" t="str">
            <v>geraham atas kanan karies.</v>
          </cell>
          <cell r="CH8">
            <v>0</v>
          </cell>
          <cell r="CI8">
            <v>0</v>
          </cell>
          <cell r="CJ8">
            <v>0</v>
          </cell>
          <cell r="CK8">
            <v>0</v>
          </cell>
        </row>
        <row r="9">
          <cell r="B9">
            <v>4839</v>
          </cell>
          <cell r="C9" t="str">
            <v>Daniswara Zaidan Abhinaya</v>
          </cell>
          <cell r="D9" t="str">
            <v xml:space="preserve">Menunjukkan sikap     yang sangat menonjol. perlu pembinaan dalam     </v>
          </cell>
          <cell r="E9" t="str">
            <v xml:space="preserve">Menunjukkan sikap     teliti dalam menyelesaikan tugas atau pekerjaan.   Perlu bimbingan dalam sikapberani dan percaya diri ketika mengunkapkan pendapat.      </v>
          </cell>
          <cell r="F9">
            <v>82.333333333333329</v>
          </cell>
          <cell r="G9" t="str">
            <v>B</v>
          </cell>
          <cell r="H9" t="str">
            <v xml:space="preserve">Mampu  Mengerti makna Asma'ul Husna : as-Samad, al- Muqtadir, al-Muqaddim, al-Baqi    perlu pembinaan dalam     Memahami hikmah beriman kepada Hari Akhir yang dapat membentuk perilaku akhlak mulia
   </v>
          </cell>
          <cell r="I9">
            <v>80.75</v>
          </cell>
          <cell r="J9" t="str">
            <v>B</v>
          </cell>
          <cell r="K9" t="str">
            <v xml:space="preserve">Mampu  mengenal tata tertib dan aturan yang berlaku dalam kehidupan sehari-hari di rumah dan sekolah    perlu pembinaan dalam   mengenal simbol-simbol sila Pancasila dalam lambang negara “Garuda Pancasila”     </v>
          </cell>
          <cell r="L9">
            <v>83.2</v>
          </cell>
          <cell r="M9" t="str">
            <v>B</v>
          </cell>
          <cell r="N9"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9">
            <v>79.833333333333329</v>
          </cell>
          <cell r="P9" t="str">
            <v>B</v>
          </cell>
          <cell r="Q9" t="str">
            <v xml:space="preserve">Mampu  mengenal bilangan asli sampai 99 dengan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9">
            <v>78</v>
          </cell>
          <cell r="S9" t="str">
            <v>B</v>
          </cell>
          <cell r="T9" t="str">
            <v xml:space="preserve">Mampu    mengamati berbagai bahan, alat serta fungsinya dalam membuat prakarya  perlu pembinaan dalam    mengenal  pola irama lagu bervariasi menggunakan alat musik ritmis    </v>
          </cell>
          <cell r="U9">
            <v>82</v>
          </cell>
          <cell r="V9" t="str">
            <v>B</v>
          </cell>
          <cell r="W9" t="str">
            <v xml:space="preserve">Mampu   mengetahui konsep gerak dasar manipulatif sesuai dengan dimensi anggota tubuh yang  digunakan, arah, ruang  gerak, hubungan, dan usaha, dalam berbagai bentuk permainan sederhana dan atau permainan tradisional.   perlu pembinaan dalam      mengetahui konsep bergerak secara seimbang dan cepat dalam rangka pengembangan kebugaran jasmani melalui permainan sederhana dan atau tradisional.  </v>
          </cell>
          <cell r="X9">
            <v>78</v>
          </cell>
          <cell r="Y9" t="str">
            <v>B</v>
          </cell>
          <cell r="Z9"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9">
            <v>77.5</v>
          </cell>
          <cell r="AB9" t="str">
            <v>B</v>
          </cell>
          <cell r="AC9" t="str">
            <v xml:space="preserve">Mampu   Mengenal, memahami dan mengidentifikasi macam-macam compass at the map and traffic sign   perlu pembinaan dalam   Mengenal, memahami dan mengidentifikasi macam-macam kalimat (order, request, and prohibition)     </v>
          </cell>
          <cell r="AD9">
            <v>77.5</v>
          </cell>
          <cell r="AE9" t="str">
            <v>B</v>
          </cell>
          <cell r="AF9"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9">
            <v>78</v>
          </cell>
          <cell r="AH9" t="str">
            <v>B</v>
          </cell>
          <cell r="AI9" t="str">
            <v xml:space="preserve">Mampu   memahami kepribadian NU   perlu pembinaan dalam   Mengenal sejarah munculnya Ahlus Sunnah wal Jama'ah     </v>
          </cell>
          <cell r="AJ9">
            <v>84.5</v>
          </cell>
          <cell r="AK9" t="str">
            <v>B</v>
          </cell>
          <cell r="AL9" t="str">
            <v xml:space="preserve">Mampu  Mengenal fungsi ikon-ikon pendukung pengolah kata (word processing)    perlu pembinaan dalam   Mengenal software pengolah kata dengan ikon-ikon pendukung     </v>
          </cell>
          <cell r="AM9">
            <v>79.166666666666671</v>
          </cell>
          <cell r="AN9" t="str">
            <v>B</v>
          </cell>
          <cell r="AO9" t="str">
            <v xml:space="preserve">Mampu    Mencontohkan perilaku toleran dan simpati sebagai implementasi dari pemahaman Q.S. al-Kaafiruun  perlu pembinaan dalam    Menulis Q.S. al-Kaafiruun dengan jelas dan benar    </v>
          </cell>
          <cell r="AP9">
            <v>81.75</v>
          </cell>
          <cell r="AQ9" t="str">
            <v>B</v>
          </cell>
          <cell r="AR9" t="str">
            <v xml:space="preserve">Mampu    Melaksanakan tata tertib di rumah dan sekolah    perlu pembinaan dalam   Mengamati dan menceritakan perilaku di sekitar rumah dan sekolah dan mengaitkannya dengan pengenalannya terhadap salah satu simbol sila Pancasila  Mengamati dan menceriterakan kebersamaan dalam keberagaman di rumah dan sekolah   </v>
          </cell>
          <cell r="AS9">
            <v>77.599999999999994</v>
          </cell>
          <cell r="AT9" t="str">
            <v>B</v>
          </cell>
          <cell r="AU9" t="str">
            <v xml:space="preserve">Mampu    menyampaikan teks cerita diri/personal tentang keluarga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9">
            <v>77.666666666666671</v>
          </cell>
          <cell r="AW9" t="str">
            <v>B</v>
          </cell>
          <cell r="AX9" t="str">
            <v xml:space="preserve">Mampu   mendeskripsikan, mengembangkan, dan membuat pola yang berulang  perlu pembinaan dalam  menggunakan benda konkrit untuk menelusuri pecahan dan jumlah uang     </v>
          </cell>
          <cell r="AY9">
            <v>77.666666666666671</v>
          </cell>
          <cell r="AZ9" t="str">
            <v>B</v>
          </cell>
          <cell r="BA9" t="str">
            <v xml:space="preserve">Mampu     menyanyikan lagu anak-anak dan memperagakan tepuk birama dengan gerak perlu pembinaan dalam     menggambar dengan memanfaatkan beragam media kering   </v>
          </cell>
          <cell r="BB9">
            <v>77.666666666666671</v>
          </cell>
          <cell r="BC9" t="str">
            <v>B</v>
          </cell>
          <cell r="BD9" t="str">
            <v xml:space="preserve">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pola gerak dasar non-lokomotor sesuai dengan dimensi anggota tubuh yang digunakan, arah, ruang gerak, hubungan, dan usaha,dalam berbagai bentuk permainan sederhana dan atau tradisional.    </v>
          </cell>
          <cell r="BE9">
            <v>78</v>
          </cell>
          <cell r="BF9" t="str">
            <v>B</v>
          </cell>
          <cell r="BG9"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9">
            <v>84.5</v>
          </cell>
          <cell r="BI9" t="str">
            <v>B</v>
          </cell>
          <cell r="BJ9" t="str">
            <v xml:space="preserve">Mampu  Membuat percakapan tentang aktifitas berbelanja dan mempraktikkan di depan kelas berpasang-pasangan    perlu pembinaan dalam   Menulis kalimat order, request dan prohibition dengan baik sesuai dengan rumus      </v>
          </cell>
          <cell r="BK9">
            <v>84.5</v>
          </cell>
          <cell r="BL9" t="str">
            <v>B</v>
          </cell>
          <cell r="BM9" t="str">
            <v xml:space="preserve">Mampu  Menuliskan kata atau ungkapan pendek  sederhana tentang kegiatan sehari-hari disertai waktu    perlu pembinaan dalam   Memahami wacana tertulis dalam bentuk paparan atau bacaan tentang kegiatan sehari-hari disertai waktu     </v>
          </cell>
          <cell r="BN9">
            <v>77.666666666666671</v>
          </cell>
          <cell r="BO9" t="str">
            <v>B</v>
          </cell>
          <cell r="BP9" t="str">
            <v xml:space="preserve">Mampu     kd perlu pembinaan dalam     kd   </v>
          </cell>
          <cell r="BQ9">
            <v>84.5</v>
          </cell>
          <cell r="BR9" t="str">
            <v>B</v>
          </cell>
          <cell r="BS9" t="str">
            <v xml:space="preserve">Mampu  Terampil mengoperasikan ikon-ikon text box, shapes, clip art, picture dan insert tabel    perlu pembinaan dalam   Menunjukkan ikon untuk membuat gambar dan teks     </v>
          </cell>
          <cell r="BT9" t="str">
            <v xml:space="preserve"> 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9" t="str">
            <v>Drumband</v>
          </cell>
          <cell r="BV9" t="str">
            <v>baik sekali</v>
          </cell>
          <cell r="BW9">
            <v>0</v>
          </cell>
          <cell r="BX9">
            <v>0</v>
          </cell>
          <cell r="BY9" t="str">
            <v>1 hari</v>
          </cell>
          <cell r="BZ9">
            <v>0</v>
          </cell>
          <cell r="CA9" t="str">
            <v>2 hari</v>
          </cell>
          <cell r="CB9" t="str">
            <v xml:space="preserve">Alhamdulillah, ananda selama satu semester ini sudah banyak peningkatan dalam prestasi belajarnya, mohon ditingkatkan lagi prestasinya. Jangan lupa sholat lima waktu dan selalu berdo'a. </v>
          </cell>
          <cell r="CC9" t="str">
            <v>126 cm</v>
          </cell>
          <cell r="CD9" t="str">
            <v>29 kg</v>
          </cell>
          <cell r="CE9" t="str">
            <v>Baik, normal</v>
          </cell>
          <cell r="CF9" t="str">
            <v>Baik, normal</v>
          </cell>
          <cell r="CG9" t="str">
            <v>Gigi atas perlu diratakan, dan geraham bawah kanan karies</v>
          </cell>
          <cell r="CH9">
            <v>0</v>
          </cell>
          <cell r="CI9">
            <v>0</v>
          </cell>
          <cell r="CJ9">
            <v>0</v>
          </cell>
          <cell r="CK9">
            <v>0</v>
          </cell>
        </row>
        <row r="10">
          <cell r="B10">
            <v>4840</v>
          </cell>
          <cell r="C10" t="str">
            <v>Devina Joelian Salsadillah</v>
          </cell>
          <cell r="D10" t="str">
            <v xml:space="preserve">Menunjukkan sikap     yang sangat menonjol. perlu pembinaan dalam     </v>
          </cell>
          <cell r="E10" t="str">
            <v xml:space="preserve">Menunjukkan sikap    santun kepada guru, orang yang lebih tua.   Perlu bimbingan dalam sikapberani dan percaya diri ketika mengunkapkan pendapat.      </v>
          </cell>
          <cell r="F10">
            <v>78</v>
          </cell>
          <cell r="G10" t="str">
            <v>B</v>
          </cell>
          <cell r="H10" t="str">
            <v xml:space="preserve">Mampu    Memahami hikmah berzakat sebagai implementasi rukun Islam  perlu pembinaan dalam   Mengetahui makna Q.S. Al-Kaafiruun dengan benar,      </v>
          </cell>
          <cell r="I10">
            <v>84</v>
          </cell>
          <cell r="J10" t="str">
            <v>B</v>
          </cell>
          <cell r="K10"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10">
            <v>85</v>
          </cell>
          <cell r="M10" t="str">
            <v>B</v>
          </cell>
          <cell r="N10" t="str">
            <v xml:space="preserve">Mampu   mengenal teks petunjuk/arahan tentang perawatan tubuh serta pemeliharaan kesehatan dan kebugaran tubuh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10">
            <v>81.666666666666671</v>
          </cell>
          <cell r="P10" t="str">
            <v>B</v>
          </cell>
          <cell r="Q10"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10">
            <v>85.333333333333329</v>
          </cell>
          <cell r="S10" t="str">
            <v>B</v>
          </cell>
          <cell r="T10" t="str">
            <v xml:space="preserve">Mampu  mengenal  pola irama lagu bervariasi menggunakan alat musik ritmis    perlu pembinaan dalam       mengenal karya seni budaya benda dan bahasa daerah setempat </v>
          </cell>
          <cell r="U10">
            <v>79.833333333333329</v>
          </cell>
          <cell r="V10" t="str">
            <v>B</v>
          </cell>
          <cell r="W10"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10">
            <v>89</v>
          </cell>
          <cell r="Y10" t="str">
            <v>B</v>
          </cell>
          <cell r="Z10"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10">
            <v>84.5</v>
          </cell>
          <cell r="AB10" t="str">
            <v>B</v>
          </cell>
          <cell r="AC10" t="str">
            <v xml:space="preserve">Mampu Mengenal, memahami dan mengidentifikasi macam-macam kalimat (order, request, and prohibition)     perlu pembinaan dalam      Mengenal, memahami dan mengidentifikasi shopping activity (how to ask price, show the price, bargain, accept and refuse to bargain, etc)  </v>
          </cell>
          <cell r="AD10">
            <v>84.5</v>
          </cell>
          <cell r="AE10" t="str">
            <v>B</v>
          </cell>
          <cell r="AF10"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profesi dengan menggunakan pola kalimat isim isyarah/ dhamir + profesi  </v>
          </cell>
          <cell r="AG10">
            <v>89</v>
          </cell>
          <cell r="AH10" t="str">
            <v>B</v>
          </cell>
          <cell r="AI10" t="str">
            <v xml:space="preserve">Mampu Mengenal sejarah munculnya Ahlus Sunnah wal Jama'ah     perlu pembinaan dalam     memahami kepribadian NU   </v>
          </cell>
          <cell r="AJ10">
            <v>84.5</v>
          </cell>
          <cell r="AK10" t="str">
            <v>B</v>
          </cell>
          <cell r="AL10" t="str">
            <v xml:space="preserve">Mampu Mengenal software pengolah kata dengan ikon-ikon pendukung     perlu pembinaan dalam    Mengenal fungsi ikon-ikon pendukung pengolah kata (word processing)    </v>
          </cell>
          <cell r="AM10">
            <v>77.666666666666671</v>
          </cell>
          <cell r="AN10" t="str">
            <v>B</v>
          </cell>
          <cell r="AO10" t="str">
            <v>Mampu  Menulis Q.S. al-Kaafiruun dengan jelas dan benar    perlu pembinaan dalam        Menceritakan kisah keteladanan sahabat-sahabat Nabi Muhammad saw.</v>
          </cell>
          <cell r="AP10">
            <v>84</v>
          </cell>
          <cell r="AQ10" t="str">
            <v>B</v>
          </cell>
          <cell r="AR10" t="str">
            <v xml:space="preserve">Mampu    Mengamati dan menceriterakan kebersamaan dalam keberagaman di rumah dan sekolah   perlu pembinaan dalam      Mengamati dan menceriterakan keberagaman karateristik individu di rumah dan sekolah  </v>
          </cell>
          <cell r="AS10">
            <v>80.8</v>
          </cell>
          <cell r="AT10" t="str">
            <v>B</v>
          </cell>
          <cell r="AU10"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10">
            <v>82.5</v>
          </cell>
          <cell r="AW10" t="str">
            <v>B</v>
          </cell>
          <cell r="AX10" t="str">
            <v xml:space="preserve">Mampu menggunakan benda konkrit untuk menelusuri pecahan dan jumlah uang     perlu pembinaan dalam 0     </v>
          </cell>
          <cell r="AY10">
            <v>82.5</v>
          </cell>
          <cell r="AZ10" t="str">
            <v>B</v>
          </cell>
          <cell r="BA10" t="str">
            <v xml:space="preserve">Mampu   menggambar dengan memanfaatkan beragam media kering   perlu pembinaan dalam   menggambar ekspresi dengan mengolah garis, warna dan bentuk berdasarkan hasil pengamatan di lingkungan sekitar     </v>
          </cell>
          <cell r="BB10">
            <v>82.5</v>
          </cell>
          <cell r="BC10" t="str">
            <v>B</v>
          </cell>
          <cell r="BD10"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10">
            <v>89</v>
          </cell>
          <cell r="BF10" t="str">
            <v>B</v>
          </cell>
          <cell r="BG10"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10">
            <v>84.5</v>
          </cell>
          <cell r="BI10" t="str">
            <v>B</v>
          </cell>
          <cell r="BJ10" t="str">
            <v xml:space="preserve">Mampu Menulis kalimat order, request dan prohibition dengan baik sesuai dengan rumus      perlu pembinaan dalam    Membuat percakapan tentang aktifitas berbelanja dan mempraktikkan di depan kelas berpasang-pasangan    </v>
          </cell>
          <cell r="BK10">
            <v>84.5</v>
          </cell>
          <cell r="BL10" t="str">
            <v>B</v>
          </cell>
          <cell r="BM10" t="str">
            <v xml:space="preserve">Mampu Memahami wacana tertulis dalam bentuk paparan atau bacaan tentang kegiatan sehari-hari disertai waktu     perlu pembinaan dalam    Menuliskan kata atau ungkapan pendek  sederhana tentang kegiatan sehari-hari disertai waktu    </v>
          </cell>
          <cell r="BN10">
            <v>82.5</v>
          </cell>
          <cell r="BO10" t="str">
            <v>B</v>
          </cell>
          <cell r="BP10" t="str">
            <v xml:space="preserve">Mampu   kd   perlu pembinaan dalam   kd     </v>
          </cell>
          <cell r="BQ10">
            <v>84.5</v>
          </cell>
          <cell r="BR10" t="str">
            <v>B</v>
          </cell>
          <cell r="BS10" t="str">
            <v xml:space="preserve">Mampu Menunjukkan ikon untuk membuat gambar dan teks     perlu pembinaan dalam    Terampil mengoperasikan ikon-ikon text box, shapes, clip art, picture dan insert tabel    </v>
          </cell>
          <cell r="BT10"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10" t="str">
            <v>Drumband</v>
          </cell>
          <cell r="BV10" t="str">
            <v>baik sekali</v>
          </cell>
          <cell r="BW10">
            <v>0</v>
          </cell>
          <cell r="BX10">
            <v>0</v>
          </cell>
          <cell r="BY10">
            <v>0</v>
          </cell>
          <cell r="BZ10">
            <v>0</v>
          </cell>
          <cell r="CA10">
            <v>0</v>
          </cell>
          <cell r="CB10" t="str">
            <v xml:space="preserve">Alhamdulillah, ananda selama satu semester ini sudah banyak peningkatan dalam prestasi belajarnya, mohon ditingkatkan lagi prestasinya. Jangan lupa sholat lima waktu dan selalu berdo'a. </v>
          </cell>
          <cell r="CC10" t="str">
            <v>143 cm</v>
          </cell>
          <cell r="CD10" t="str">
            <v>43 kg</v>
          </cell>
          <cell r="CE10" t="str">
            <v>Baik, normal</v>
          </cell>
          <cell r="CF10" t="str">
            <v>Baik, normal</v>
          </cell>
          <cell r="CG10" t="str">
            <v xml:space="preserve">Geraham kanan bawah persistensi. </v>
          </cell>
          <cell r="CH10">
            <v>0</v>
          </cell>
          <cell r="CI10">
            <v>0</v>
          </cell>
          <cell r="CJ10">
            <v>0</v>
          </cell>
          <cell r="CK10">
            <v>0</v>
          </cell>
        </row>
        <row r="11">
          <cell r="B11">
            <v>4842</v>
          </cell>
          <cell r="C11" t="str">
            <v>Dinata Karima Zahra</v>
          </cell>
          <cell r="D11" t="str">
            <v xml:space="preserve">Menunjukkan sikap     yang sangat menonjol. perlu pembinaan dalam     </v>
          </cell>
          <cell r="E11" t="str">
            <v xml:space="preserve">Menunjukkan sikap   suka bekerjasama, membantu teman yang kesulitan,    Perlu bimbingan dalam sikapberani dan percaya diri ketika mengunkapkan pendapat.      </v>
          </cell>
          <cell r="F11">
            <v>78</v>
          </cell>
          <cell r="G11" t="str">
            <v>B</v>
          </cell>
          <cell r="H11" t="str">
            <v xml:space="preserve">Mampu  Mengerti makna Asma'ul Husna : as-Samad, al- Muqtadir, al-Muqaddim, al-Baqi    perlu pembinaan dalam      Memahami hikmah berzakat sebagai implementasi rukun Islam  </v>
          </cell>
          <cell r="I11">
            <v>74.75</v>
          </cell>
          <cell r="J11" t="str">
            <v>C</v>
          </cell>
          <cell r="K11" t="str">
            <v xml:space="preserve">Mampu    mengenal arti bersatu dalam keberagaman di rumah dan sekolah  perlu pembinaan dalam    mengenal tata tertib dan aturan yang berlaku dalam kehidupan sehari-hari di rumah dan sekolah    </v>
          </cell>
          <cell r="L11">
            <v>78.400000000000006</v>
          </cell>
          <cell r="M11" t="str">
            <v>B</v>
          </cell>
          <cell r="N11" t="str">
            <v xml:space="preserve">Mampu    Mengenal teks cerita diri/personal tentang keberadaan keluarga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11">
            <v>75.5</v>
          </cell>
          <cell r="P11" t="str">
            <v>C</v>
          </cell>
          <cell r="Q11" t="str">
            <v xml:space="preserve">Mampu     mengenal bangun datar dan bangun ruang menggunakan benda-benda yang ada di sekitar rumah, sekolah, atau tempat bermain. perlu pembinaan dalam    mengenal bilangan asli sampai 99 dengan menggunakan benda-benda yang ada di sekitar rumah, sekolah, atau tempat bermain    </v>
          </cell>
          <cell r="R11">
            <v>79.833333333333329</v>
          </cell>
          <cell r="S11" t="str">
            <v>B</v>
          </cell>
          <cell r="T11" t="str">
            <v>Mampu   mengenal unsur-unsur gerak, bagian-bagian gerak anggota tubuh dan level gerak dalam menari   perlu pembinaan dalam      mengamati berbagai bahan, alat serta fungsinya dalam membuat prakarya menggambar ekspresi dengan mengolah garis, warna dan bentuk berdasarkan hasil pengamatan di lingkungan sekitar</v>
          </cell>
          <cell r="U11">
            <v>78</v>
          </cell>
          <cell r="V11" t="str">
            <v>B</v>
          </cell>
          <cell r="W11" t="str">
            <v xml:space="preserve">Mampu   mengetahui konsep gerak dasar manipulatif sesuai dengan dimensi anggota tubuh yang  digunakan, arah, ruang  gerak, hubungan, dan usaha, dalam berbagai bentuk permainan sederhana dan atau permainan tradisional.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11">
            <v>81.666666666666671</v>
          </cell>
          <cell r="Y11" t="str">
            <v>B</v>
          </cell>
          <cell r="Z11"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11">
            <v>83.5</v>
          </cell>
          <cell r="AB11" t="str">
            <v>B</v>
          </cell>
          <cell r="AC11" t="str">
            <v xml:space="preserve">Mampu  Mengenal, memahami dan mengidentifikasi macam-macam weather and season based on the country    perlu pembinaan dalam     Mengenal, memahami dan mengidentifikasi macam-macam compass at the map and traffic sign   </v>
          </cell>
          <cell r="AD11">
            <v>83.5</v>
          </cell>
          <cell r="AE11" t="str">
            <v>B</v>
          </cell>
          <cell r="AF11"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11">
            <v>81.666666666666671</v>
          </cell>
          <cell r="AH11" t="str">
            <v>B</v>
          </cell>
          <cell r="AI11" t="str">
            <v xml:space="preserve">Mampu  Memahami amaliah NU    perlu pembinaan dalam     memahami kepribadian NU   </v>
          </cell>
          <cell r="AJ11">
            <v>83.5</v>
          </cell>
          <cell r="AK11" t="str">
            <v>B</v>
          </cell>
          <cell r="AL11" t="str">
            <v xml:space="preserve">Mampu Mengenal software pengolah kata dengan ikon-ikon pendukung     perlu pembinaan dalam    Mengenal fungsi ikon-ikon pendukung pengolah kata (word processing)    </v>
          </cell>
          <cell r="AM11">
            <v>82</v>
          </cell>
          <cell r="AN11" t="str">
            <v>B</v>
          </cell>
          <cell r="AO11" t="str">
            <v xml:space="preserve">Mampu   Menyebutkan arti Q.S. al-Kaafiruun dengan jelas dan benar   perlu pembinaan dalam      Mencontohkan perilaku toleran dan simpati sebagai implementasi dari pemahaman Q.S. al-Kaafiruun  </v>
          </cell>
          <cell r="AP11">
            <v>81.25</v>
          </cell>
          <cell r="AQ11" t="str">
            <v>B</v>
          </cell>
          <cell r="AR11" t="str">
            <v xml:space="preserve">Mampu Mengamati dan menceritakan perilaku di sekitar rumah dan sekolah dan mengaitkannya dengan pengenalannya terhadap salah satu simbol sila Pancasila     perlu pembinaan dalam      Melaksanakan tata tertib di rumah dan sekolah    </v>
          </cell>
          <cell r="AS11">
            <v>82.4</v>
          </cell>
          <cell r="AT11" t="str">
            <v>B</v>
          </cell>
          <cell r="AU11" t="str">
            <v xml:space="preserve">Mampu   menyampaikan teks terima kasih mengenai sikap kasih sayang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11">
            <v>82</v>
          </cell>
          <cell r="AW11" t="str">
            <v>B</v>
          </cell>
          <cell r="AX11" t="str">
            <v xml:space="preserve">Mampu  mengemukakan kembali dengan kalimat sendiri dan memecahkan masalah yang berkaitan dengan penjumlahan dan pengurangan terkait dengan aktivitas sehari-hari serta memeriksa kebenarannya   perlu pembinaan dalam    mendeskripsikan, mengembangkan, dan membuat pola yang berulang  </v>
          </cell>
          <cell r="AY11">
            <v>82</v>
          </cell>
          <cell r="AZ11" t="str">
            <v>B</v>
          </cell>
          <cell r="BA11" t="str">
            <v xml:space="preserve">Mampu    Membentuk karya seni ekspresi dari bahan lunak  perlu pembinaan dalam       menyanyikan lagu anak-anak dan memperagakan tepuk birama dengan gerak </v>
          </cell>
          <cell r="BB11">
            <v>82</v>
          </cell>
          <cell r="BC11" t="str">
            <v>B</v>
          </cell>
          <cell r="BD11" t="str">
            <v xml:space="preserve">Mampu    mempraktikkan aktivitas pengembangan kebugaran jasmani untuk melatih keseimbangan dan kecepatan tubuh melalui permainan sederhanadan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11">
            <v>81.666666666666671</v>
          </cell>
          <cell r="BF11" t="str">
            <v>B</v>
          </cell>
          <cell r="BG11" t="str">
            <v xml:space="preserve">Mampu  menceritakan isi tembang macapat.     perlu pembinaan dalam     menanggapi teks lisan maupun tulis yang memuat ungkapan tradisional Jawa/ Madura (paribasan, bebasan, saloka)   </v>
          </cell>
          <cell r="BH11">
            <v>83.5</v>
          </cell>
          <cell r="BI11" t="str">
            <v>B</v>
          </cell>
          <cell r="BJ11" t="str">
            <v xml:space="preserve">Mampu Menulis kalimat order, request dan prohibition dengan baik sesuai dengan rumus      perlu pembinaan dalam    Membuat percakapan tentang aktifitas berbelanja dan mempraktikkan di depan kelas berpasang-pasangan    </v>
          </cell>
          <cell r="BK11">
            <v>83.5</v>
          </cell>
          <cell r="BL11" t="str">
            <v>B</v>
          </cell>
          <cell r="BM11" t="str">
            <v xml:space="preserve">Mampu Memahami wacana tertulis dalam bentuk paparan atau bacaan tentang kegiatan sehari-hari disertai waktu     perlu pembinaan dalam    Menuliskan kata atau ungkapan pendek  sederhana tentang kegiatan sehari-hari disertai waktu    </v>
          </cell>
          <cell r="BN11">
            <v>82</v>
          </cell>
          <cell r="BO11" t="str">
            <v>B</v>
          </cell>
          <cell r="BP11" t="str">
            <v xml:space="preserve">Mampu    kd  perlu pembinaan dalam       kd </v>
          </cell>
          <cell r="BQ11">
            <v>83.5</v>
          </cell>
          <cell r="BR11" t="str">
            <v>B</v>
          </cell>
          <cell r="BS11" t="str">
            <v xml:space="preserve">Mampu Menunjukkan ikon untuk membuat gambar dan teks     perlu pembinaan dalam    Terampil mengoperasikan ikon-ikon text box, shapes, clip art, picture dan insert tabel    </v>
          </cell>
          <cell r="BT11"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1" t="str">
            <v>Kaligrafi</v>
          </cell>
          <cell r="BV11" t="str">
            <v>Baik</v>
          </cell>
          <cell r="BW11">
            <v>0</v>
          </cell>
          <cell r="BX11">
            <v>0</v>
          </cell>
          <cell r="BY11" t="str">
            <v>1 hari</v>
          </cell>
          <cell r="BZ11">
            <v>0</v>
          </cell>
          <cell r="CA11">
            <v>0</v>
          </cell>
          <cell r="CB11" t="str">
            <v xml:space="preserve">Alhamdulillah, ananda selama satu semester ini sudah banyak peningkatan dalam prestasi belajarnya, mohon ditingkatkan lagi prestasinya. Jangan lupa sholat lima waktu dan selalu berdo'a. </v>
          </cell>
          <cell r="CC11" t="str">
            <v>131 cm</v>
          </cell>
          <cell r="CD11" t="str">
            <v>27 kg</v>
          </cell>
          <cell r="CE11" t="str">
            <v>Baik, normal</v>
          </cell>
          <cell r="CF11" t="str">
            <v>Baik, normal</v>
          </cell>
          <cell r="CG11" t="str">
            <v xml:space="preserve">Taring atas kiri persistensi. </v>
          </cell>
          <cell r="CH11">
            <v>0</v>
          </cell>
          <cell r="CI11">
            <v>0</v>
          </cell>
          <cell r="CJ11">
            <v>0</v>
          </cell>
          <cell r="CK11">
            <v>0</v>
          </cell>
        </row>
        <row r="12">
          <cell r="B12">
            <v>4843</v>
          </cell>
          <cell r="C12" t="str">
            <v>Dwi Lailatul Fitria</v>
          </cell>
          <cell r="D12" t="str">
            <v xml:space="preserve">Menunjukkan sikap     yang sangat menonjol. perlu pembinaan dalam     </v>
          </cell>
          <cell r="E12" t="str">
            <v xml:space="preserve">Menunjukkan sikap   suka bekerjasama, membantu teman yang kesulitan,    Perlu bimbingan dalam sikapberani dan percaya diri ketika mengunkapkan pendapat.      </v>
          </cell>
          <cell r="F12">
            <v>84.5</v>
          </cell>
          <cell r="G12" t="str">
            <v>B</v>
          </cell>
          <cell r="H12" t="str">
            <v xml:space="preserve">Mampu     Mengetahui kisah Nabi Muhammad saw. perlu pembinaan dalam     Memahami hikmah beriman kepada Hari Akhir yang dapat membentuk perilaku akhlak mulia
   </v>
          </cell>
          <cell r="I12">
            <v>83.5</v>
          </cell>
          <cell r="J12" t="str">
            <v>B</v>
          </cell>
          <cell r="K12" t="str">
            <v xml:space="preserve">Mampu   mengenal keberagaman karateristik individu di rumah dan di sekolah   perlu pembinaan dalam   mengenal simbol-simbol sila Pancasila dalam lambang negara “Garuda Pancasila”     </v>
          </cell>
          <cell r="L12">
            <v>77.2</v>
          </cell>
          <cell r="M12" t="str">
            <v>B</v>
          </cell>
          <cell r="N12"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12">
            <v>84</v>
          </cell>
          <cell r="P12" t="str">
            <v>B</v>
          </cell>
          <cell r="Q12" t="str">
            <v xml:space="preserve">Mampu   mengenal dan memprediksi pola-pola bilangan sederhana menggunakan gambar-gambar/benda konkrit  menemukan bangun yang membentuk pola pengubinan sederhanaperlu pembinaan dalam   mengenal lambang bilangan dan mendeskripsikan kemunculan bilangan dengan bahasa yang sederhana   menunjukkan pemahaman tentang besaran dengan menghitung maju sampai 100 dan mundur dari 20  </v>
          </cell>
          <cell r="R12">
            <v>77.833333333333329</v>
          </cell>
          <cell r="S12" t="str">
            <v>B</v>
          </cell>
          <cell r="T12" t="str">
            <v xml:space="preserve">Mampu     mengenal karya seni budaya benda dan bahasa daerah setempat perlu pembinaan dalam    mengenal  pola irama lagu bervariasi menggunakan alat musik ritmis    </v>
          </cell>
          <cell r="U12">
            <v>83.833333333333329</v>
          </cell>
          <cell r="V12" t="str">
            <v>B</v>
          </cell>
          <cell r="W12" t="str">
            <v xml:space="preserve">Mampu      mengetahui konsep penggunaan pola gerak dasar lokomotor dan non-lokomotor sesuai dengan irama (ketukan) tanpa/ dengan musik dalam aktivitas gerak rimtik. perlu pembinaan dalam      mengetahui konsep bergerak secara seimbang dan cepat dalam rangka pengembangan kebugaran jasmani melalui permainan sederhana dan atau tradisional.  </v>
          </cell>
          <cell r="X12">
            <v>73.666666666666671</v>
          </cell>
          <cell r="Y12" t="str">
            <v>C</v>
          </cell>
          <cell r="Z12"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12">
            <v>78</v>
          </cell>
          <cell r="AB12" t="str">
            <v>B</v>
          </cell>
          <cell r="AC12" t="str">
            <v xml:space="preserve">Mampu    Mengenal, memahami dan mengidentifikasi shopping activity (how to ask price, show the price, bargain, accept and refuse to bargain, etc)  perlu pembinaan dalam   Mengenal, memahami dan mengidentifikasi macam-macam kalimat (order, request, and prohibition)     </v>
          </cell>
          <cell r="AD12">
            <v>78</v>
          </cell>
          <cell r="AE12" t="str">
            <v>B</v>
          </cell>
          <cell r="AF12" t="str">
            <v xml:space="preserve">Mampu    Memahami wacana dalam bentuk paparan tentang profesi dengan menggunakan pola kalimat isim isyarah/ dhamir + profesi  perlu pembinaan dalam   Memahami wacana dalam bentuk paparan tentang perkenalan diri (1) dengan menggunakan pola kalimat yang meliputi isim isyarah (kata tunjuk) orang atau benda yang dekat (haadza, haadzihi) + alam + isim mufrad     </v>
          </cell>
          <cell r="AG12">
            <v>73.666666666666671</v>
          </cell>
          <cell r="AH12" t="str">
            <v>C</v>
          </cell>
          <cell r="AI12" t="str">
            <v xml:space="preserve">Mampu   memahami kepribadian NU   perlu pembinaan dalam   Mengenal sejarah munculnya Ahlus Sunnah wal Jama'ah     </v>
          </cell>
          <cell r="AJ12">
            <v>77.5</v>
          </cell>
          <cell r="AK12" t="str">
            <v>B</v>
          </cell>
          <cell r="AL12" t="str">
            <v xml:space="preserve">Mampu  Mengenal fungsi ikon-ikon pendukung pengolah kata (word processing)    perlu pembinaan dalam   Mengenal software pengolah kata dengan ikon-ikon pendukung     </v>
          </cell>
          <cell r="AM12">
            <v>79.5</v>
          </cell>
          <cell r="AN12" t="str">
            <v>B</v>
          </cell>
          <cell r="AO12" t="str">
            <v xml:space="preserve">Mampu     Menceritakan kisah keteladanan Nabi Muhammad saw. perlu pembinaan dalam    Menulis Q.S. al-Kaafiruun dengan jelas dan benar    </v>
          </cell>
          <cell r="AP12">
            <v>82.5</v>
          </cell>
          <cell r="AQ12" t="str">
            <v>B</v>
          </cell>
          <cell r="AR12" t="str">
            <v xml:space="preserve">Mampu    Mengamati dan menceriterakan keberagaman karateristik individu di rumah dan sekolah  perlu pembinaan dalam      Mengamati dan menceriterakan kebersamaan dalam keberagaman di rumah dan sekolah   </v>
          </cell>
          <cell r="AS12">
            <v>80.2</v>
          </cell>
          <cell r="AT12" t="str">
            <v>B</v>
          </cell>
          <cell r="AU12" t="str">
            <v xml:space="preserve">Mampu     membuat teks diagram/label  tentang anggota keluarga dan kerabat secara mandiri dalam bahasa Indonesia lisan dan tulis yang dapat diisi dengan kosa kat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12">
            <v>79.5</v>
          </cell>
          <cell r="AW12" t="str">
            <v>B</v>
          </cell>
          <cell r="AX12" t="str">
            <v xml:space="preserve">Mampu    membentuk berbagai bangun datar dengan menggunakan papan berpaku atau media lainnya perlu pembinaan dalam  menggunakan benda konkrit untuk menelusuri pecahan dan jumlah uang     </v>
          </cell>
          <cell r="AY12">
            <v>79.5</v>
          </cell>
          <cell r="AZ12" t="str">
            <v>B</v>
          </cell>
          <cell r="BA12" t="str">
            <v xml:space="preserve">Mampu      memainkan pola irama lagu bertanda birama dua dengan tepuk dan gerakperlu pembinaan dalam     menggambar dengan memanfaatkan beragam media kering   </v>
          </cell>
          <cell r="BB12">
            <v>79.5</v>
          </cell>
          <cell r="BC12" t="str">
            <v>B</v>
          </cell>
          <cell r="BD12" t="str">
            <v xml:space="preserve">Mampu      mempraktikkan penggunaan pola gerak dasar lokomotor dan non-lokomotor sesuai dengan irama (ketukan) tanpa/dengan musik dalam aktivitas gerak rimtik.perlu pembinaan dalam    mempraktikkan pola gerak dasar non-lokomotor sesuai dengan dimensi anggota tubuh yang digunakan, arah, ruang gerak, hubungan, dan usaha,dalam berbagai bentuk permainan sederhana dan atau tradisional.    </v>
          </cell>
          <cell r="BE12">
            <v>73.666666666666671</v>
          </cell>
          <cell r="BF12" t="str">
            <v>C</v>
          </cell>
          <cell r="BG12"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12">
            <v>77.5</v>
          </cell>
          <cell r="BI12" t="str">
            <v>B</v>
          </cell>
          <cell r="BJ12" t="str">
            <v xml:space="preserve">Mampu  Membuat percakapan tentang aktifitas berbelanja dan mempraktikkan di depan kelas berpasang-pasangan    perlu pembinaan dalam   Menulis kalimat order, request dan prohibition dengan baik sesuai dengan rumus      </v>
          </cell>
          <cell r="BK12">
            <v>77.5</v>
          </cell>
          <cell r="BL12" t="str">
            <v>B</v>
          </cell>
          <cell r="BM12" t="str">
            <v xml:space="preserve">Mampu  Menuliskan kata atau ungkapan pendek  sederhana tentang kegiatan sehari-hari disertai waktu    perlu pembinaan dalam   Memahami wacana tertulis dalam bentuk paparan atau bacaan tentang kegiatan sehari-hari disertai waktu     </v>
          </cell>
          <cell r="BN12">
            <v>79.5</v>
          </cell>
          <cell r="BO12" t="str">
            <v>B</v>
          </cell>
          <cell r="BP12" t="str">
            <v xml:space="preserve">Mampu      kdperlu pembinaan dalam     kd   </v>
          </cell>
          <cell r="BQ12">
            <v>77.5</v>
          </cell>
          <cell r="BR12" t="str">
            <v>B</v>
          </cell>
          <cell r="BS12" t="str">
            <v xml:space="preserve">Mampu  Terampil mengoperasikan ikon-ikon text box, shapes, clip art, picture dan insert tabel    perlu pembinaan dalam   Menunjukkan ikon untuk membuat gambar dan teks     </v>
          </cell>
          <cell r="BT12" t="str">
            <v xml:space="preserve">Mampu  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12" t="str">
            <v>Drumband</v>
          </cell>
          <cell r="BV12" t="str">
            <v>baik sekali</v>
          </cell>
          <cell r="BW12">
            <v>0</v>
          </cell>
          <cell r="BX12">
            <v>0</v>
          </cell>
          <cell r="BY12" t="str">
            <v>2 hari</v>
          </cell>
          <cell r="BZ12" t="str">
            <v>1 hari</v>
          </cell>
          <cell r="CA12" t="str">
            <v>1 hari</v>
          </cell>
          <cell r="CB12" t="str">
            <v xml:space="preserve">Alhamdulillah, ananda selama satu semester ini sudah banyak peningkatan dalam prestasi belajarnya, mohon ditingkatkan lagi prestasinya. Jangan lupa sholat lima waktu dan selalu berdo'a. </v>
          </cell>
          <cell r="CC12" t="str">
            <v>134 cm</v>
          </cell>
          <cell r="CD12" t="str">
            <v>25 kg</v>
          </cell>
          <cell r="CE12" t="str">
            <v>Baik, normal</v>
          </cell>
          <cell r="CF12" t="str">
            <v>Baik, normal</v>
          </cell>
          <cell r="CG12" t="str">
            <v>Taring atas dan bawah karies. Geraham bawah karies</v>
          </cell>
          <cell r="CH12" t="str">
            <v xml:space="preserve">Lomba Hifdzul Qur'an Jus'amma </v>
          </cell>
          <cell r="CI12" t="str">
            <v>Juara III pada kegiatan Pondok Romadhon SD Islam Tompokersan 1435 H</v>
          </cell>
          <cell r="CJ12" t="str">
            <v>Lomba mengarang dengan tema Ibuku Tersayang</v>
          </cell>
          <cell r="CK12" t="str">
            <v>Juara harapan 2 pada peringatan Hari Ibu SD Islam Tompokersan, jenjang kelas 4</v>
          </cell>
        </row>
        <row r="13">
          <cell r="B13">
            <v>4847</v>
          </cell>
          <cell r="C13" t="str">
            <v>Fino Rizhata Alfaraby</v>
          </cell>
          <cell r="D13" t="str">
            <v xml:space="preserve">Menunjukkan sikap     yang sangat menonjol. perlu pembinaan dalam     </v>
          </cell>
          <cell r="E13" t="str">
            <v xml:space="preserve">Menunjukkan sikap   suka bekerjasama, membantu teman yang kesulitan,    Perlu bimbingan dalam sikapberani dan percaya diri ketika mengunkapkan pendapat.      </v>
          </cell>
          <cell r="F13">
            <v>80</v>
          </cell>
          <cell r="G13" t="str">
            <v>B</v>
          </cell>
          <cell r="H13" t="str">
            <v xml:space="preserve">Mampu Mengetahui makna Q.S. Al-Kaafiruun dengan benar,      perlu pembinaan dalam       Mengetahui kisah Nabi Muhammad saw. </v>
          </cell>
          <cell r="I13">
            <v>77.75</v>
          </cell>
          <cell r="J13" t="str">
            <v>B</v>
          </cell>
          <cell r="K13" t="str">
            <v xml:space="preserve">Mampu mengenal simbol-simbol sila Pancasila dalam lambang negara “Garuda Pancasila”     perlu pembinaan dalam     mengenal keberagaman karateristik individu di rumah dan di sekolah   </v>
          </cell>
          <cell r="L13">
            <v>81.2</v>
          </cell>
          <cell r="M13" t="str">
            <v>B</v>
          </cell>
          <cell r="N13"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13">
            <v>77.666666666666671</v>
          </cell>
          <cell r="P13" t="str">
            <v>B</v>
          </cell>
          <cell r="Q13"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13">
            <v>79.666666666666671</v>
          </cell>
          <cell r="S13" t="str">
            <v>B</v>
          </cell>
          <cell r="T13" t="str">
            <v xml:space="preserve">Mampu   mengenal unsur-unsur gerak, bagian-bagian gerak anggota tubuh dan level gerak dalam menari   perlu pembinaan dalam       mengenal karya seni budaya benda dan bahasa daerah setempat </v>
          </cell>
          <cell r="U13">
            <v>79.666666666666671</v>
          </cell>
          <cell r="V13" t="str">
            <v>B</v>
          </cell>
          <cell r="W13"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13">
            <v>81.666666666666671</v>
          </cell>
          <cell r="Y13" t="str">
            <v>B</v>
          </cell>
          <cell r="Z13"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13">
            <v>77.5</v>
          </cell>
          <cell r="AB13" t="str">
            <v>B</v>
          </cell>
          <cell r="AC13"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13">
            <v>77.5</v>
          </cell>
          <cell r="AE13" t="str">
            <v>B</v>
          </cell>
          <cell r="AF13"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13">
            <v>81.666666666666671</v>
          </cell>
          <cell r="AH13" t="str">
            <v>B</v>
          </cell>
          <cell r="AI13" t="str">
            <v xml:space="preserve">Mampu  Memahami amaliah NU    perlu pembinaan dalam     memahami kepribadian NU   </v>
          </cell>
          <cell r="AJ13">
            <v>83.5</v>
          </cell>
          <cell r="AK13" t="str">
            <v>B</v>
          </cell>
          <cell r="AL13" t="str">
            <v xml:space="preserve">Mampu Mengenal software pengolah kata dengan ikon-ikon pendukung     perlu pembinaan dalam    Mengenal fungsi ikon-ikon pendukung pengolah kata (word processing)    </v>
          </cell>
          <cell r="AM13">
            <v>79.833333333333329</v>
          </cell>
          <cell r="AN13" t="str">
            <v>B</v>
          </cell>
          <cell r="AO13" t="str">
            <v xml:space="preserve">Mampu Membaca Q.S. al-Kaafiruun dengan jelas dan benar Menyebutkan arti Q.S. al-Kaafiruun dengan jelas dan benar   perlu pembinaan dalam       Menceritakan kisah keteladanan Nabi Muhammad saw. </v>
          </cell>
          <cell r="AP13">
            <v>77.75</v>
          </cell>
          <cell r="AQ13" t="str">
            <v>B</v>
          </cell>
          <cell r="AR13"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13">
            <v>80.2</v>
          </cell>
          <cell r="AT13" t="str">
            <v>B</v>
          </cell>
          <cell r="AU13"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menyampaikan teks terima kasih mengenai sikap kasih sayang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13">
            <v>79.833333333333329</v>
          </cell>
          <cell r="AW13" t="str">
            <v>B</v>
          </cell>
          <cell r="AX13" t="str">
            <v xml:space="preserve">Mampu0 mengemukakan kembali dengan kalimat sendiri dan memecahkan masalah yang berkaitan dengan penjumlahan dan pengurangan terkait dengan aktivitas sehari-hari serta memeriksa kebenarannya   perlu pembinaan dalam     membentuk berbagai bangun datar dengan menggunakan papan berpaku atau media lainnya </v>
          </cell>
          <cell r="AY13">
            <v>79.833333333333329</v>
          </cell>
          <cell r="AZ13" t="str">
            <v>B</v>
          </cell>
          <cell r="BA13" t="str">
            <v>Mampu menggambar ekspresi dengan mengolah garis, warna dan bentuk berdasarkan hasil pengamatan di lingkungan sekitar  Membentuk karya seni ekspresi dari bahan lunak  perlu pembinaan dalam        memainkan pola irama lagu bertanda birama dua dengan tepuk dan gerak</v>
          </cell>
          <cell r="BB13">
            <v>79.833333333333329</v>
          </cell>
          <cell r="BC13" t="str">
            <v>B</v>
          </cell>
          <cell r="BD13" t="str">
            <v>Mampu mempraktikkan pola gerak dasar lokomotor sesuai dengan dimensi anggota tubuh yang digunakan, arah, ruang gerak, hubungan dan usaha, dalam berbagai bentuk permainan sederhana dan atau tradisional.  mempraktikkan aktivitas pengembangan kebugaran jasmani untuk melatih keseimbangan dan kecepatan tubuh melalui permainan sederhanadan dan atau tradisional.  perlu pembinaan dalam        mempraktikkan penggunaan pola gerak dasar lokomotor dan non-lokomotor sesuai dengan irama (ketukan) tanpa/dengan musik dalam aktivitas gerak rimtik.</v>
          </cell>
          <cell r="BE13">
            <v>81.666666666666671</v>
          </cell>
          <cell r="BF13" t="str">
            <v>B</v>
          </cell>
          <cell r="BG13" t="str">
            <v xml:space="preserve">Mampu  menceritakan isi tembang macapat.     perlu pembinaan dalam     menanggapi teks lisan maupun tulis yang memuat ungkapan tradisional Jawa/ Madura (paribasan, bebasan, saloka)   </v>
          </cell>
          <cell r="BH13">
            <v>83.5</v>
          </cell>
          <cell r="BI13" t="str">
            <v>B</v>
          </cell>
          <cell r="BJ13" t="str">
            <v xml:space="preserve">Mampu Menulis kalimat order, request dan prohibition dengan baik sesuai dengan rumus      perlu pembinaan dalam    Membuat percakapan tentang aktifitas berbelanja dan mempraktikkan di depan kelas berpasang-pasangan    </v>
          </cell>
          <cell r="BK13">
            <v>83.5</v>
          </cell>
          <cell r="BL13" t="str">
            <v>B</v>
          </cell>
          <cell r="BM13" t="str">
            <v xml:space="preserve">Mampu Memahami wacana tertulis dalam bentuk paparan atau bacaan tentang kegiatan sehari-hari disertai waktu     perlu pembinaan dalam    Menuliskan kata atau ungkapan pendek  sederhana tentang kegiatan sehari-hari disertai waktu    </v>
          </cell>
          <cell r="BN13">
            <v>79.833333333333329</v>
          </cell>
          <cell r="BO13" t="str">
            <v>B</v>
          </cell>
          <cell r="BP13" t="str">
            <v>Mampu kd  kd  perlu pembinaan dalam        kd</v>
          </cell>
          <cell r="BQ13">
            <v>83.5</v>
          </cell>
          <cell r="BR13" t="str">
            <v>B</v>
          </cell>
          <cell r="BS13" t="str">
            <v xml:space="preserve">Mampu Menunjukkan ikon untuk membuat gambar dan teks     perlu pembinaan dalam    Terampil mengoperasikan ikon-ikon text box, shapes, clip art, picture dan insert tabel    </v>
          </cell>
          <cell r="BT13" t="str">
            <v xml:space="preserve">Perlu pembinaan dalam  Mengetahui simpul mati, simpul hidup, simpul anyam, simpul pangkal dan simpul jangkarMengetahui tetang Semaphore, Morse, Sandi dan tekspram serta dapat menyebutkan tanda pengenal pada seragam pramuka dan melaksanakan penempuhan SKU golongan Siaga </v>
          </cell>
          <cell r="BU13" t="str">
            <v>Catur</v>
          </cell>
          <cell r="BV13" t="str">
            <v>Baik</v>
          </cell>
          <cell r="BW13">
            <v>0</v>
          </cell>
          <cell r="BX13">
            <v>0</v>
          </cell>
          <cell r="BY13">
            <v>0</v>
          </cell>
          <cell r="BZ13">
            <v>0</v>
          </cell>
          <cell r="CA13">
            <v>0</v>
          </cell>
          <cell r="CB13" t="str">
            <v xml:space="preserve">Ananda selama satu semester masih kurang dalam konsentrasi belajarnya, ulangi terus pelajaran yang sudah ananda peroleh di sekolah ketika di rumah. Tingkatkan terus prestasi abelajar nanda. Jangan lupa sholat lima waktu dan selalu berdo'a. </v>
          </cell>
          <cell r="CC13" t="str">
            <v>139 cm</v>
          </cell>
          <cell r="CD13" t="str">
            <v>32 kg</v>
          </cell>
          <cell r="CE13" t="str">
            <v>Baik, normal</v>
          </cell>
          <cell r="CF13" t="str">
            <v>Baik, normal</v>
          </cell>
          <cell r="CG13" t="str">
            <v>Geraham atas karies</v>
          </cell>
          <cell r="CH13">
            <v>0</v>
          </cell>
          <cell r="CI13">
            <v>0</v>
          </cell>
          <cell r="CJ13">
            <v>0</v>
          </cell>
          <cell r="CK13">
            <v>0</v>
          </cell>
        </row>
        <row r="14">
          <cell r="B14">
            <v>4848</v>
          </cell>
          <cell r="C14" t="str">
            <v>Gieva Afra Az - Zahra</v>
          </cell>
          <cell r="D14" t="str">
            <v xml:space="preserve">Menunjukkan sikap     yang sangat menonjol. perlu pembinaan dalam     </v>
          </cell>
          <cell r="E14" t="str">
            <v xml:space="preserve">Menunjukkan sikap   suka bekerjasama, membantu teman yang kesulitan,    Perlu bimbingan dalam sikapberani dan percaya diri ketika mengunkapkan pendapat.      </v>
          </cell>
          <cell r="F14">
            <v>79.833333333333329</v>
          </cell>
          <cell r="G14" t="str">
            <v>B</v>
          </cell>
          <cell r="H14" t="str">
            <v xml:space="preserve">Mampu   Memahami hikmah beriman kepada Hari Akhir yang dapat membentuk perilaku akhlak mulia
   perlu pembinaan dalam      Memahami hikmah berzakat sebagai implementasi rukun Islam  </v>
          </cell>
          <cell r="I14">
            <v>80</v>
          </cell>
          <cell r="J14" t="str">
            <v>B</v>
          </cell>
          <cell r="K14" t="str">
            <v xml:space="preserve">Mampu mengenal simbol-simbol sila Pancasila dalam lambang negara “Garuda Pancasila”     perlu pembinaan dalam    mengenal tata tertib dan aturan yang berlaku dalam kehidupan sehari-hari di rumah dan sekolah mengenal arti bersatu dalam keberagaman di rumah dan sekolah  </v>
          </cell>
          <cell r="L14">
            <v>82</v>
          </cell>
          <cell r="M14" t="str">
            <v>B</v>
          </cell>
          <cell r="N14"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petunjuk/arahan tentang perawatan tubuh serta pemeliharaan kesehatan dan kebugaran tubuh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v>
          </cell>
          <cell r="O14">
            <v>81.333333333333329</v>
          </cell>
          <cell r="P14" t="str">
            <v>B</v>
          </cell>
          <cell r="Q14" t="str">
            <v xml:space="preserve">Mampu mengenal lambang bilangan dan mendeskripsikan kemunculan bilangan dengan bahasa yang sederhana   menunjukkan pemahaman tentang besaran dengan menghitung maju sampai 100 dan mundur dari 20  perlu pembinaan dalam    mengenal bilangan asli sampai 99 dengan menggunakan benda-benda yang ada di sekitar rumah, sekolah, atau tempat bermain  mengenal bangun datar dan bangun ruang menggunakan benda-benda yang ada di sekitar rumah, sekolah, atau tempat bermain. </v>
          </cell>
          <cell r="R14">
            <v>80.666666666666671</v>
          </cell>
          <cell r="S14" t="str">
            <v>B</v>
          </cell>
          <cell r="T14" t="str">
            <v xml:space="preserve">Mampu      menggambar ekspresi dengan mengolah garis, warna dan bentuk berdasarkan hasil pengamatan di lingkungan sekitarperlu pembinaan dalam      mengamati berbagai bahan, alat serta fungsinya dalam membuat prakarya  </v>
          </cell>
          <cell r="U14">
            <v>79.166666666666671</v>
          </cell>
          <cell r="V14" t="str">
            <v>B</v>
          </cell>
          <cell r="W14" t="str">
            <v xml:space="preserve">Mampu    mengetahui konsep bergerak secara seimbang dan cepat dalam rangka pengembangan kebugaran jasmani melalui permainan sederhana dan atau tradisional.  perlu pembinaan dalam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14">
            <v>80</v>
          </cell>
          <cell r="Y14" t="str">
            <v>B</v>
          </cell>
          <cell r="Z14"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14">
            <v>82</v>
          </cell>
          <cell r="AB14" t="str">
            <v>B</v>
          </cell>
          <cell r="AC14" t="str">
            <v xml:space="preserve">Mampu Mengenal, memahami dan mengidentifikasi macam-macam kalimat (order, request, and prohibition)     perlu pembinaan dalam     Mengenal, memahami dan mengidentifikasi macam-macam compass at the map and traffic sign   </v>
          </cell>
          <cell r="AD14">
            <v>82</v>
          </cell>
          <cell r="AE14" t="str">
            <v>B</v>
          </cell>
          <cell r="AF14"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14">
            <v>80</v>
          </cell>
          <cell r="AH14" t="str">
            <v>B</v>
          </cell>
          <cell r="AI14" t="str">
            <v xml:space="preserve">Mampu Mengenal sejarah munculnya Ahlus Sunnah wal Jama'ah     perlu pembinaan dalam     memahami kepribadian NU   </v>
          </cell>
          <cell r="AJ14">
            <v>75.5</v>
          </cell>
          <cell r="AK14" t="str">
            <v>C</v>
          </cell>
          <cell r="AL14" t="str">
            <v xml:space="preserve">Mampu Mengenal software pengolah kata dengan ikon-ikon pendukung     perlu pembinaan dalam    Mengenal fungsi ikon-ikon pendukung pengolah kata (word processing)    </v>
          </cell>
          <cell r="AM14">
            <v>84</v>
          </cell>
          <cell r="AN14" t="str">
            <v>B</v>
          </cell>
          <cell r="AO14" t="str">
            <v xml:space="preserve">Mampu      Menceritakan kisah keteladanan sahabat-sahabat Nabi Muhammad saw.perlu pembinaan dalam      Mencontohkan perilaku toleran dan simpati sebagai implementasi dari pemahaman Q.S. al-Kaafiruun  </v>
          </cell>
          <cell r="AP14">
            <v>76</v>
          </cell>
          <cell r="AQ14" t="str">
            <v>B</v>
          </cell>
          <cell r="AR14" t="str">
            <v xml:space="preserve">Mampu Mengamati dan menceritakan perilaku di sekitar rumah dan sekolah dan mengaitkannya dengan pengenalannya terhadap salah satu simbol sila Pancasila     perlu pembinaan dalam      Melaksanakan tata tertib di rumah dan sekolah    </v>
          </cell>
          <cell r="AS14">
            <v>81</v>
          </cell>
          <cell r="AT14" t="str">
            <v>B</v>
          </cell>
          <cell r="AU14" t="str">
            <v xml:space="preserve">Mampu   mempraktikkan teks arahan/petunjuk tentang merawat tubuh serta kesehatan dan kebugaran tubuh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14">
            <v>80.166666666666671</v>
          </cell>
          <cell r="AW14" t="str">
            <v>B</v>
          </cell>
          <cell r="AX14" t="str">
            <v xml:space="preserve">Mampu menggunakan benda konkrit untuk menelusuri pecahan dan jumlah uang     perlu pembinaan dalam    mendeskripsikan, mengembangkan, dan membuat pola yang berulang  </v>
          </cell>
          <cell r="AY14">
            <v>80.166666666666671</v>
          </cell>
          <cell r="AZ14" t="str">
            <v>B</v>
          </cell>
          <cell r="BA14" t="str">
            <v xml:space="preserve">Mampu   menggambar dengan memanfaatkan beragam media kering   perlu pembinaan dalam       menyanyikan lagu anak-anak dan memperagakan tepuk birama dengan gerak </v>
          </cell>
          <cell r="BB14">
            <v>80.166666666666671</v>
          </cell>
          <cell r="BC14" t="str">
            <v>B</v>
          </cell>
          <cell r="BD14" t="str">
            <v xml:space="preserve">Mampu  mempraktikkan pola gerak dasar non-lokomotor sesuai dengan dimensi anggota tubuh yang digunakan, arah, ruang gerak, hubungan, dan usaha,dalam berbagai bentuk permainan sederhana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14">
            <v>80</v>
          </cell>
          <cell r="BF14" t="str">
            <v>B</v>
          </cell>
          <cell r="BG14"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14">
            <v>75.5</v>
          </cell>
          <cell r="BI14" t="str">
            <v>C</v>
          </cell>
          <cell r="BJ14" t="str">
            <v xml:space="preserve">Mampu Menulis kalimat order, request dan prohibition dengan baik sesuai dengan rumus      perlu pembinaan dalam    Membuat percakapan tentang aktifitas berbelanja dan mempraktikkan di depan kelas berpasang-pasangan    </v>
          </cell>
          <cell r="BK14">
            <v>75.5</v>
          </cell>
          <cell r="BL14" t="str">
            <v>C</v>
          </cell>
          <cell r="BM14" t="str">
            <v xml:space="preserve">Mampu Memahami wacana tertulis dalam bentuk paparan atau bacaan tentang kegiatan sehari-hari disertai waktu     perlu pembinaan dalam    Menuliskan kata atau ungkapan pendek  sederhana tentang kegiatan sehari-hari disertai waktu    </v>
          </cell>
          <cell r="BN14">
            <v>80.166666666666671</v>
          </cell>
          <cell r="BO14" t="str">
            <v>B</v>
          </cell>
          <cell r="BP14" t="str">
            <v xml:space="preserve">Mampu   kd   perlu pembinaan dalam       kd </v>
          </cell>
          <cell r="BQ14">
            <v>75.5</v>
          </cell>
          <cell r="BR14" t="str">
            <v>C</v>
          </cell>
          <cell r="BS14" t="str">
            <v xml:space="preserve">Mampu Menunjukkan ikon untuk membuat gambar dan teks     perlu pembinaan dalam    Terampil mengoperasikan ikon-ikon text box, shapes, clip art, picture dan insert tabel    </v>
          </cell>
          <cell r="BT14"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14" t="str">
            <v>Drumband</v>
          </cell>
          <cell r="BV14" t="str">
            <v>baik sekali</v>
          </cell>
          <cell r="BW14">
            <v>0</v>
          </cell>
          <cell r="BX14">
            <v>0</v>
          </cell>
          <cell r="BY14" t="str">
            <v>1 hari</v>
          </cell>
          <cell r="BZ14" t="str">
            <v>1 hari</v>
          </cell>
          <cell r="CA14" t="str">
            <v>1 hari</v>
          </cell>
          <cell r="CB14" t="str">
            <v xml:space="preserve">Alhamdulillah, ananda selama satu semester ini sudah banyak peningkatan dalam prestasi belajarnya, mohon ditingkatkan lagi prestasinya. Jangan lupa sholat lima waktu dan selalu berdo'a. </v>
          </cell>
          <cell r="CC14" t="str">
            <v>136 cm</v>
          </cell>
          <cell r="CD14" t="str">
            <v>31 kg</v>
          </cell>
          <cell r="CE14" t="str">
            <v>Baik, normal</v>
          </cell>
          <cell r="CF14" t="str">
            <v>gangguan pada tonsil</v>
          </cell>
          <cell r="CG14" t="str">
            <v>Geraham atas kanan karies, dan taring atas persistensi</v>
          </cell>
          <cell r="CH14">
            <v>0</v>
          </cell>
          <cell r="CI14">
            <v>0</v>
          </cell>
          <cell r="CJ14">
            <v>0</v>
          </cell>
          <cell r="CK14">
            <v>0</v>
          </cell>
        </row>
        <row r="15">
          <cell r="B15">
            <v>4851</v>
          </cell>
          <cell r="C15" t="str">
            <v>Hana Aulia Prayitno</v>
          </cell>
          <cell r="D15" t="str">
            <v xml:space="preserve">Menunjukkan sikap     yang sangat menonjol. perlu pembinaan dalam     </v>
          </cell>
          <cell r="E15" t="str">
            <v xml:space="preserve">Menunjukkan sikap   suka bekerjasama, membantu teman yang kesulitan,    Perlu bimbingan dalam sikapberani dan percaya diri ketika mengunkapkan pendapat.      </v>
          </cell>
          <cell r="F15">
            <v>78.5</v>
          </cell>
          <cell r="G15" t="str">
            <v>B</v>
          </cell>
          <cell r="H15" t="str">
            <v xml:space="preserve">Mampu   Memahami hikmah beriman kepada Hari Akhir yang dapat membentuk perilaku akhlak mulia
   perlu pembinaan dalam   Mengetahui makna Q.S. Al-Kaafiruun dengan benar,      </v>
          </cell>
          <cell r="I15">
            <v>79</v>
          </cell>
          <cell r="J15" t="str">
            <v>B</v>
          </cell>
          <cell r="K15" t="str">
            <v xml:space="preserve">Mampu mengenal simbol-simbol sila Pancasila dalam lambang negara “Garuda Pancasila”     perlu pembinaan dalam      mengenal arti bersatu dalam keberagaman di rumah dan sekolah  </v>
          </cell>
          <cell r="L15">
            <v>78.599999999999994</v>
          </cell>
          <cell r="M15" t="str">
            <v>B</v>
          </cell>
          <cell r="N15" t="str">
            <v xml:space="preserve">Mampu   mengenal teks terima kasih tentang sikap kasih sayang dengan bantuan guru atau teman dalam bahasa Indonesia lisan dan tulis yang dapat diisi dengan kosakata bahasa daerah untuk membantu pemahaman   perlu pembinaan dalam       Mengenal teks diagram/label tentang anggota keluarga dan kerabat dengan bantuan guru atau teman dalam bahasa Indonesia lisan dan tulis yang dapat diisi dengan kosakata bahasa daerah untuk membantu pemahaman </v>
          </cell>
          <cell r="O15">
            <v>80.833333333333329</v>
          </cell>
          <cell r="P15" t="str">
            <v>B</v>
          </cell>
          <cell r="Q15" t="str">
            <v xml:space="preserve">Mampu mengenal lambang bilangan dan mendeskripsikan kemunculan bilangan dengan bahasa yang sederhana   menunjukkan pemahaman tentang besaran dengan menghitung maju sampai 100 dan mundur dari 20  perlu pembinaan dalam       mengenal bangun datar dan bangun ruang menggunakan benda-benda yang ada di sekitar rumah, sekolah, atau tempat bermain. </v>
          </cell>
          <cell r="R15">
            <v>82.666666666666671</v>
          </cell>
          <cell r="S15" t="str">
            <v>B</v>
          </cell>
          <cell r="T15" t="str">
            <v xml:space="preserve">Mampu  mengenal  pola irama lagu bervariasi menggunakan alat musik ritmis   menggambar ekspresi dengan mengolah garis, warna dan bentuk berdasarkan hasil pengamatan di lingkungan sekitarperlu pembinaan dalam    mengenal cara dan hasil karya seni ekspresi     </v>
          </cell>
          <cell r="U15">
            <v>77</v>
          </cell>
          <cell r="V15" t="str">
            <v>B</v>
          </cell>
          <cell r="W15"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15">
            <v>85.333333333333329</v>
          </cell>
          <cell r="Y15" t="str">
            <v>B</v>
          </cell>
          <cell r="Z15" t="str">
            <v xml:space="preserve">Mampu mengenal, memahami, dan mengidentifikasiteks informasi yang diperoleh dari berbagai media berbahasa daerah secara lisan/ tulis     perlu pembinaan dalam    mengenal, memahami, dan mengidentifikasi teks  tembang macapat sesuai dengan kaidah    </v>
          </cell>
          <cell r="AA15">
            <v>83.5</v>
          </cell>
          <cell r="AB15" t="str">
            <v>B</v>
          </cell>
          <cell r="AC15" t="str">
            <v xml:space="preserve">Mampu Mengenal, memahami dan mengidentifikasi macam-macam kalimat (order, request, and prohibition)     perlu pembinaan dalam    Mengenal, memahami dan mengidentifikasi macam-macam weather and season based on the country    </v>
          </cell>
          <cell r="AD15">
            <v>83.5</v>
          </cell>
          <cell r="AE15" t="str">
            <v>B</v>
          </cell>
          <cell r="AF15"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peralatan sekolah dengan menggunakan pola kalimat yang meliputi kata tanya + isim isyarah (kata tunjuk) orang atau benda yang dekat (haadza, haadzihi) + alam + isim mufrad    </v>
          </cell>
          <cell r="AG15">
            <v>85.333333333333329</v>
          </cell>
          <cell r="AH15" t="str">
            <v>B</v>
          </cell>
          <cell r="AI15" t="str">
            <v xml:space="preserve">Mampu Mengenal sejarah munculnya Ahlus Sunnah wal Jama'ah     perlu pembinaan dalam    Memahami amaliah NU    </v>
          </cell>
          <cell r="AJ15">
            <v>82.5</v>
          </cell>
          <cell r="AK15" t="str">
            <v>B</v>
          </cell>
          <cell r="AL15" t="str">
            <v xml:space="preserve">Mampu  Mengenal fungsi ikon-ikon pendukung pengolah kata (word processing)    perlu pembinaan dalam   Mengenal software pengolah kata dengan ikon-ikon pendukung     </v>
          </cell>
          <cell r="AM15">
            <v>78</v>
          </cell>
          <cell r="AN15" t="str">
            <v>B</v>
          </cell>
          <cell r="AO15" t="str">
            <v>Mampu  Menulis Q.S. al-Kaafiruun dengan jelas dan benar    perlu pembinaan dalam        Menceritakan kisah keteladanan sahabat-sahabat Nabi Muhammad saw.</v>
          </cell>
          <cell r="AP15">
            <v>78.5</v>
          </cell>
          <cell r="AQ15" t="str">
            <v>B</v>
          </cell>
          <cell r="AR15" t="str">
            <v xml:space="preserve">Mampu    Melaksanakan tata tertib di rumah dan sekolah    perlu pembinaan dalam      Mengamati dan menceriterakan kebersamaan dalam keberagaman di rumah dan sekolah   </v>
          </cell>
          <cell r="AS15">
            <v>80.400000000000006</v>
          </cell>
          <cell r="AT15" t="str">
            <v>B</v>
          </cell>
          <cell r="AU15"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15">
            <v>78.833333333333329</v>
          </cell>
          <cell r="AW15" t="str">
            <v>B</v>
          </cell>
          <cell r="AX15" t="str">
            <v xml:space="preserve">Mampu menggunakan benda konkrit untuk menelusuri pecahan dan jumlah uang     perlu pembinaan dalam 0     </v>
          </cell>
          <cell r="AY15">
            <v>78.833333333333329</v>
          </cell>
          <cell r="AZ15" t="str">
            <v>B</v>
          </cell>
          <cell r="BA15" t="str">
            <v xml:space="preserve">Mampu   menggambar dengan memanfaatkan beragam media kering   perlu pembinaan dalam   menggambar ekspresi dengan mengolah garis, warna dan bentuk berdasarkan hasil pengamatan di lingkungan sekitar     </v>
          </cell>
          <cell r="BB15">
            <v>78.833333333333329</v>
          </cell>
          <cell r="BC15" t="str">
            <v>B</v>
          </cell>
          <cell r="BD15"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15">
            <v>85.333333333333329</v>
          </cell>
          <cell r="BF15" t="str">
            <v>B</v>
          </cell>
          <cell r="BG15" t="str">
            <v xml:space="preserve">Mampu menyampaikan dan menagggapi informasi yang diperoleh dari berbagai media berbahasa daerah secara lisan dan tulisan.      perlu pembinaan dalam    menceritakan isi tembang macapat.     </v>
          </cell>
          <cell r="BH15">
            <v>82.5</v>
          </cell>
          <cell r="BI15" t="str">
            <v>B</v>
          </cell>
          <cell r="BJ15" t="str">
            <v xml:space="preserve">Mampu  Membuat percakapan tentang aktifitas berbelanja dan mempraktikkan di depan kelas berpasang-pasangan    perlu pembinaan dalam   Menulis kalimat order, request dan prohibition dengan baik sesuai dengan rumus      </v>
          </cell>
          <cell r="BK15">
            <v>82.5</v>
          </cell>
          <cell r="BL15" t="str">
            <v>B</v>
          </cell>
          <cell r="BM15" t="str">
            <v xml:space="preserve">Mampu  Menuliskan kata atau ungkapan pendek  sederhana tentang kegiatan sehari-hari disertai waktu    perlu pembinaan dalam   Memahami wacana tertulis dalam bentuk paparan atau bacaan tentang kegiatan sehari-hari disertai waktu     </v>
          </cell>
          <cell r="BN15">
            <v>78.833333333333329</v>
          </cell>
          <cell r="BO15" t="str">
            <v>B</v>
          </cell>
          <cell r="BP15" t="str">
            <v xml:space="preserve">Mampu   kd   perlu pembinaan dalam   kd     </v>
          </cell>
          <cell r="BQ15">
            <v>82.5</v>
          </cell>
          <cell r="BR15" t="str">
            <v>B</v>
          </cell>
          <cell r="BS15" t="str">
            <v xml:space="preserve">Mampu  Terampil mengoperasikan ikon-ikon text box, shapes, clip art, picture dan insert tabel    perlu pembinaan dalam   Menunjukkan ikon untuk membuat gambar dan teks     </v>
          </cell>
          <cell r="BT15"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5" t="str">
            <v>Drumband</v>
          </cell>
          <cell r="BV15" t="str">
            <v>baik sekali</v>
          </cell>
          <cell r="BW15">
            <v>0</v>
          </cell>
          <cell r="BX15">
            <v>0</v>
          </cell>
          <cell r="BY15" t="str">
            <v>2 hari</v>
          </cell>
          <cell r="BZ15" t="str">
            <v>2 hari</v>
          </cell>
          <cell r="CA15" t="str">
            <v>2 hari</v>
          </cell>
          <cell r="CB15" t="str">
            <v xml:space="preserve">Alhamdulillah, ananda selama satu semester ini sudah banyak peningkatan dalam prestasi belajarnya, mohon ditingkatkan lagi prestasinya. Jangan lupa sholat lima waktu dan selalu berdo'a. </v>
          </cell>
          <cell r="CC15" t="str">
            <v>138 cm</v>
          </cell>
          <cell r="CD15" t="str">
            <v>37 kg</v>
          </cell>
          <cell r="CE15" t="str">
            <v>Baik, normal</v>
          </cell>
          <cell r="CF15" t="str">
            <v>Baik, normal</v>
          </cell>
          <cell r="CG15" t="str">
            <v>Bagus</v>
          </cell>
          <cell r="CH15">
            <v>0</v>
          </cell>
          <cell r="CI15">
            <v>0</v>
          </cell>
          <cell r="CJ15">
            <v>0</v>
          </cell>
          <cell r="CK15">
            <v>0</v>
          </cell>
        </row>
        <row r="16">
          <cell r="B16">
            <v>4854</v>
          </cell>
          <cell r="C16" t="str">
            <v>Isma Nur Hayati</v>
          </cell>
          <cell r="D16" t="str">
            <v xml:space="preserve">Menunjukkan sikap     yang sangat menonjol. perlu pembinaan dalam     </v>
          </cell>
          <cell r="E16" t="str">
            <v xml:space="preserve">Menunjukkan sikap   suka bekerjasama, membantu teman yang kesulitan,    Perlu bimbingan dalam sikapberani dan percaya diri ketika mengunkapkan pendapat.      </v>
          </cell>
          <cell r="F16">
            <v>81.166666666666671</v>
          </cell>
          <cell r="G16" t="str">
            <v>B</v>
          </cell>
          <cell r="H16" t="str">
            <v xml:space="preserve">Mampu  Mengerti makna Asma'ul Husna : as-Samad, al- Muqtadir, al-Muqaddim, al-Baqi  Mengetahui kisah Nabi Muhammad saw. perlu pembinaan dalam      Memahami hikmah berzakat sebagai implementasi rukun Islam  </v>
          </cell>
          <cell r="I16">
            <v>82.25</v>
          </cell>
          <cell r="J16" t="str">
            <v>B</v>
          </cell>
          <cell r="K16" t="str">
            <v xml:space="preserve">Mampu   mengenal keberagaman karateristik individu di rumah dan di sekolahmengenal arti bersatu dalam keberagaman di rumah dan sekolah  perlu pembinaan dalam    mengenal tata tertib dan aturan yang berlaku dalam kehidupan sehari-hari di rumah dan sekolah    </v>
          </cell>
          <cell r="L16">
            <v>80.400000000000006</v>
          </cell>
          <cell r="M16" t="str">
            <v>B</v>
          </cell>
          <cell r="N16"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16">
            <v>83</v>
          </cell>
          <cell r="P16" t="str">
            <v>B</v>
          </cell>
          <cell r="Q16" t="str">
            <v xml:space="preserve">Mampu   mengenal dan memprediksi pola-pola bilangan sederhana menggunakan gambar-gambar/benda konkrit mengenal bangun datar dan bangun ruang menggunakan benda-benda yang ada di sekitar rumah, sekolah, atau tempat bermain.menemukan bangun yang membentuk pola pengubinan sederhanaperlu pembinaan dalam    mengenal bilangan asli sampai 99 dengan menggunakan benda-benda yang ada di sekitar rumah, sekolah, atau tempat bermain    </v>
          </cell>
          <cell r="R16">
            <v>84</v>
          </cell>
          <cell r="S16" t="str">
            <v>B</v>
          </cell>
          <cell r="T16" t="str">
            <v xml:space="preserve">Mampu    mengamati berbagai bahan, alat serta fungsinya dalam membuat prakarya  perlu pembinaan dalam    mengenal  pola irama lagu bervariasi menggunakan alat musik ritmis    </v>
          </cell>
          <cell r="U16">
            <v>82.666666666666671</v>
          </cell>
          <cell r="V16" t="str">
            <v>B</v>
          </cell>
          <cell r="W16" t="str">
            <v xml:space="preserve">Mampu  mengetahui konsep gerak dasar non-lokomotor sesuai dengan dimensi  anggota tubuh yang digunakan, arah, ruang  gerak, hubungan, dan usaha, dalam berbagai bentuk permainan sederhana dan atau permainan tradisional.mengetahui konsep gerak dasar manipulatif sesuai dengan dimensi anggota tubuh yang  digunakan, arah, ruang  gerak, hubungan, dan usaha, dalam berbagai bentuk permainan sederhana dan atau permainan tradisional.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16">
            <v>82</v>
          </cell>
          <cell r="Y16" t="str">
            <v>B</v>
          </cell>
          <cell r="Z16"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16">
            <v>80.5</v>
          </cell>
          <cell r="AB16" t="str">
            <v>B</v>
          </cell>
          <cell r="AC16" t="str">
            <v xml:space="preserve">Mampu   Mengenal, memahami dan mengidentifikasi macam-macam compass at the map and traffic sign   perlu pembinaan dalam      Mengenal, memahami dan mengidentifikasi shopping activity (how to ask price, show the price, bargain, accept and refuse to bargain, etc)  </v>
          </cell>
          <cell r="AD16">
            <v>80.5</v>
          </cell>
          <cell r="AE16" t="str">
            <v>B</v>
          </cell>
          <cell r="AF16" t="str">
            <v xml:space="preserve">Mampu   Memahami wacana dalam bentuk paparan tentang perkenalan diri(2) dengan menggunakan pola kalimat yang meliputi dhamir (kata ganti) ana, anta, anti, huwa, hiya + isim mufrad mu’annats/mudzakkar    perlu pembinaan dalam      Memahami wacana dalam bentuk paparan tentang profesi dengan menggunakan pola kalimat isim isyarah/ dhamir + profesi  </v>
          </cell>
          <cell r="AG16">
            <v>82</v>
          </cell>
          <cell r="AH16" t="str">
            <v>B</v>
          </cell>
          <cell r="AI16" t="str">
            <v xml:space="preserve">Mampu   memahami kepribadian NU   perlu pembinaan dalam   Mengenal sejarah munculnya Ahlus Sunnah wal Jama'ah     </v>
          </cell>
          <cell r="AJ16">
            <v>84.5</v>
          </cell>
          <cell r="AK16" t="str">
            <v>B</v>
          </cell>
          <cell r="AL16" t="str">
            <v xml:space="preserve">Mampu  Mengenal fungsi ikon-ikon pendukung pengolah kata (word processing)    perlu pembinaan dalam   Mengenal software pengolah kata dengan ikon-ikon pendukung     </v>
          </cell>
          <cell r="AM16">
            <v>79.5</v>
          </cell>
          <cell r="AN16" t="str">
            <v>B</v>
          </cell>
          <cell r="AO16" t="str">
            <v xml:space="preserve">Mampu    Mencontohkan perilaku toleran dan simpati sebagai implementasi dari pemahaman Q.S. al-Kaafiruun  perlu pembinaan dalam       Menceritakan kisah keteladanan Nabi Muhammad saw. </v>
          </cell>
          <cell r="AP16">
            <v>86.75</v>
          </cell>
          <cell r="AQ16" t="str">
            <v>B</v>
          </cell>
          <cell r="AR16" t="str">
            <v xml:space="preserve">Mampu    Melaksanakan tata tertib di rumah dan sekolah    perlu pembinaan dalam   Mengamati dan menceritakan perilaku di sekitar rumah dan sekolah dan mengaitkannya dengan pengenalannya terhadap salah satu simbol sila Pancasila     </v>
          </cell>
          <cell r="AS16">
            <v>80</v>
          </cell>
          <cell r="AT16" t="str">
            <v>B</v>
          </cell>
          <cell r="AU16" t="str">
            <v xml:space="preserve">Mampu    menyampaikan teks cerita diri/personal tentang keluarga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16">
            <v>81.5</v>
          </cell>
          <cell r="AW16" t="str">
            <v>B</v>
          </cell>
          <cell r="AX16" t="str">
            <v xml:space="preserve">Mampu   mendeskripsikan, mengembangkan, dan membuat pola yang berulang  perlu pembinaan dalam     membentuk berbagai bangun datar dengan menggunakan papan berpaku atau media lainnya </v>
          </cell>
          <cell r="AY16">
            <v>81.5</v>
          </cell>
          <cell r="AZ16" t="str">
            <v>B</v>
          </cell>
          <cell r="BA16" t="str">
            <v>Mampu     menyanyikan lagu anak-anak dan memperagakan tepuk birama dengan gerak perlu pembinaan dalam        memainkan pola irama lagu bertanda birama dua dengan tepuk dan gerak</v>
          </cell>
          <cell r="BB16">
            <v>81.5</v>
          </cell>
          <cell r="BC16" t="str">
            <v>B</v>
          </cell>
          <cell r="BD16" t="str">
            <v>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penggunaan pola gerak dasar lokomotor dan non-lokomotor sesuai dengan irama (ketukan) tanpa/dengan musik dalam aktivitas gerak rimtik.</v>
          </cell>
          <cell r="BE16">
            <v>82</v>
          </cell>
          <cell r="BF16" t="str">
            <v>B</v>
          </cell>
          <cell r="BG16"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16">
            <v>84.5</v>
          </cell>
          <cell r="BI16" t="str">
            <v>B</v>
          </cell>
          <cell r="BJ16" t="str">
            <v xml:space="preserve">Mampu  Membuat percakapan tentang aktifitas berbelanja dan mempraktikkan di depan kelas berpasang-pasangan    perlu pembinaan dalam   Menulis kalimat order, request dan prohibition dengan baik sesuai dengan rumus      </v>
          </cell>
          <cell r="BK16">
            <v>84.5</v>
          </cell>
          <cell r="BL16" t="str">
            <v>B</v>
          </cell>
          <cell r="BM16" t="str">
            <v xml:space="preserve">Mampu  Menuliskan kata atau ungkapan pendek  sederhana tentang kegiatan sehari-hari disertai waktu    perlu pembinaan dalam   Memahami wacana tertulis dalam bentuk paparan atau bacaan tentang kegiatan sehari-hari disertai waktu     </v>
          </cell>
          <cell r="BN16">
            <v>81.5</v>
          </cell>
          <cell r="BO16" t="str">
            <v>B</v>
          </cell>
          <cell r="BP16" t="str">
            <v>Mampu     kd perlu pembinaan dalam        kd</v>
          </cell>
          <cell r="BQ16">
            <v>84.5</v>
          </cell>
          <cell r="BR16" t="str">
            <v>B</v>
          </cell>
          <cell r="BS16" t="str">
            <v xml:space="preserve">Mampu  Terampil mengoperasikan ikon-ikon text box, shapes, clip art, picture dan insert tabel    perlu pembinaan dalam   Menunjukkan ikon untuk membuat gambar dan teks     </v>
          </cell>
          <cell r="BT16"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6" t="str">
            <v>Drumband</v>
          </cell>
          <cell r="BV16" t="str">
            <v>baik sekali</v>
          </cell>
          <cell r="BW16">
            <v>0</v>
          </cell>
          <cell r="BX16">
            <v>0</v>
          </cell>
          <cell r="BY16">
            <v>0</v>
          </cell>
          <cell r="BZ16">
            <v>0</v>
          </cell>
          <cell r="CA16">
            <v>0</v>
          </cell>
          <cell r="CB16" t="str">
            <v xml:space="preserve">Alhamdulillah, ananda selama satu semester ini sudah banyak peningkatan dalam prestasi belajarnya, mohon ditingkatkan lagi prestasinya. Jangan lupa sholat lima waktu dan selalu berdo'a. </v>
          </cell>
          <cell r="CC16" t="str">
            <v>128 cm</v>
          </cell>
          <cell r="CD16" t="str">
            <v>30 kg</v>
          </cell>
          <cell r="CE16" t="str">
            <v>Baik, normal</v>
          </cell>
          <cell r="CF16" t="str">
            <v>Baik, normal</v>
          </cell>
          <cell r="CG16" t="str">
            <v>Geraham kiri bawah karies</v>
          </cell>
          <cell r="CH16" t="str">
            <v>Lomba Bercerita Bebas</v>
          </cell>
          <cell r="CI16" t="str">
            <v>Juara 2 (class meeting semester 1)</v>
          </cell>
          <cell r="CJ16">
            <v>0</v>
          </cell>
          <cell r="CK16">
            <v>0</v>
          </cell>
        </row>
        <row r="17">
          <cell r="B17">
            <v>4856</v>
          </cell>
          <cell r="C17" t="str">
            <v>Kamila Aptasari Poerwanto</v>
          </cell>
          <cell r="D17" t="str">
            <v xml:space="preserve">Menunjukkan sikap     yang sangat menonjol. perlu pembinaan dalam     </v>
          </cell>
          <cell r="E17" t="str">
            <v xml:space="preserve">Menunjukkan sikap   suka bekerjasama, membantu teman yang kesulitan,    Perlu bimbingan dalam sikapberani dan percaya diri ketika mengunkapkan pendapat.      </v>
          </cell>
          <cell r="F17">
            <v>86.833333333333329</v>
          </cell>
          <cell r="G17" t="str">
            <v>B</v>
          </cell>
          <cell r="H17" t="str">
            <v xml:space="preserve">Mampu Mengetahui makna Q.S. Al-Kaafiruun dengan benar,      perlu pembinaan dalam     Memahami hikmah beriman kepada Hari Akhir yang dapat membentuk perilaku akhlak mulia
   </v>
          </cell>
          <cell r="I17">
            <v>85.75</v>
          </cell>
          <cell r="J17" t="str">
            <v>B</v>
          </cell>
          <cell r="K17" t="str">
            <v xml:space="preserve">Mampu    mengenal arti bersatu dalam keberagaman di rumah dan sekolah  perlu pembinaan dalam   mengenal simbol-simbol sila Pancasila dalam lambang negara “Garuda Pancasila”     </v>
          </cell>
          <cell r="L17">
            <v>81.8</v>
          </cell>
          <cell r="M17" t="str">
            <v>B</v>
          </cell>
          <cell r="N17" t="str">
            <v xml:space="preserve">Mampu     Mengenal teks diagram/label tentang anggota keluarga dan kerabat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17">
            <v>84.333333333333329</v>
          </cell>
          <cell r="P17" t="str">
            <v>B</v>
          </cell>
          <cell r="Q17" t="str">
            <v xml:space="preserve">Mampu     mengenal bangun datar dan bangun ruang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17">
            <v>81.833333333333329</v>
          </cell>
          <cell r="S17" t="str">
            <v>B</v>
          </cell>
          <cell r="T17" t="str">
            <v xml:space="preserve">Mampu  mengenal cara dan hasil karya seni ekspresi  mengamati berbagai bahan, alat serta fungsinya dalam membuat prakarya  perlu pembinaan dalam    mengenal  pola irama lagu bervariasi menggunakan alat musik ritmis    </v>
          </cell>
          <cell r="U17">
            <v>88.666666666666671</v>
          </cell>
          <cell r="V17" t="str">
            <v>B</v>
          </cell>
          <cell r="W17" t="str">
            <v xml:space="preserve">Mampu mengetahui konsep gerak dasar lokomotor sesuai dengan dimensi anggota tubuh yang digunakan, arah, ruang  gerak, hubungan, dan usaha, dalam berbagai bentuk permainan sederhana dan atau tradisional.     perlu pembinaan dalam      mengetahui konsep bergerak secara seimbang dan cepat dalam rangka pengembangan kebugaran jasmani melalui permainan sederhana dan atau tradisional.  </v>
          </cell>
          <cell r="X17">
            <v>79</v>
          </cell>
          <cell r="Y17" t="str">
            <v>B</v>
          </cell>
          <cell r="Z17"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17">
            <v>78.25</v>
          </cell>
          <cell r="AB17" t="str">
            <v>B</v>
          </cell>
          <cell r="AC17" t="str">
            <v xml:space="preserve">Mampu   Mengenal, memahami dan mengidentifikasi macam-macam compass at the map and traffic sign   perlu pembinaan dalam   Mengenal, memahami dan mengidentifikasi macam-macam kalimat (order, request, and prohibition)     </v>
          </cell>
          <cell r="AD17">
            <v>78.25</v>
          </cell>
          <cell r="AE17" t="str">
            <v>B</v>
          </cell>
          <cell r="AF17"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17">
            <v>79</v>
          </cell>
          <cell r="AH17" t="str">
            <v>B</v>
          </cell>
          <cell r="AI17" t="str">
            <v xml:space="preserve">Mampu   memahami kepribadian NU   perlu pembinaan dalam   Mengenal sejarah munculnya Ahlus Sunnah wal Jama'ah     </v>
          </cell>
          <cell r="AJ17">
            <v>84.5</v>
          </cell>
          <cell r="AK17" t="str">
            <v>B</v>
          </cell>
          <cell r="AL17" t="str">
            <v xml:space="preserve">Mampu  Mengenal fungsi ikon-ikon pendukung pengolah kata (word processing)    perlu pembinaan dalam   Mengenal software pengolah kata dengan ikon-ikon pendukung     </v>
          </cell>
          <cell r="AM17">
            <v>81.5</v>
          </cell>
          <cell r="AN17" t="str">
            <v>B</v>
          </cell>
          <cell r="AO17" t="str">
            <v xml:space="preserve">Mampu Membaca Q.S. al-Kaafiruun dengan jelas dan benar     perlu pembinaan dalam    Menulis Q.S. al-Kaafiruun dengan jelas dan benar    </v>
          </cell>
          <cell r="AP17">
            <v>86.75</v>
          </cell>
          <cell r="AQ17" t="str">
            <v>B</v>
          </cell>
          <cell r="AR17" t="str">
            <v xml:space="preserve">Mampu    Melaksanakan tata tertib di rumah dan sekolah Mengamati dan menceriterakan kebersamaan dalam keberagaman di rumah dan sekolah   perlu pembinaan dalam   Mengamati dan menceritakan perilaku di sekitar rumah dan sekolah dan mengaitkannya dengan pengenalannya terhadap salah satu simbol sila Pancasila     </v>
          </cell>
          <cell r="AS17">
            <v>82.2</v>
          </cell>
          <cell r="AT17" t="str">
            <v>B</v>
          </cell>
          <cell r="AU17"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17">
            <v>83.666666666666671</v>
          </cell>
          <cell r="AW17" t="str">
            <v>B</v>
          </cell>
          <cell r="AX17" t="str">
            <v xml:space="preserve">Mampu0     perlu pembinaan dalam  menggunakan benda konkrit untuk menelusuri pecahan dan jumlah uang     </v>
          </cell>
          <cell r="AY17">
            <v>83.666666666666671</v>
          </cell>
          <cell r="AZ17" t="str">
            <v>B</v>
          </cell>
          <cell r="BA17" t="str">
            <v xml:space="preserve">Mampu menggambar ekspresi dengan mengolah garis, warna dan bentuk berdasarkan hasil pengamatan di lingkungan sekitar     perlu pembinaan dalam     menggambar dengan memanfaatkan beragam media kering   </v>
          </cell>
          <cell r="BB17">
            <v>83.666666666666671</v>
          </cell>
          <cell r="BC17" t="str">
            <v>B</v>
          </cell>
          <cell r="BD17" t="str">
            <v xml:space="preserve">Mampu mempraktikkan pola gerak dasar lokomotor sesuai dengan dimensi anggota tubuh yang digunakan, arah, ruang gerak, hubungan dan usaha, dalam berbagai bentuk permainan sederhana dan atau tradisional.     perlu pembinaan dalam    mempraktikkan pola gerak dasar non-lokomotor sesuai dengan dimensi anggota tubuh yang digunakan, arah, ruang gerak, hubungan, dan usaha,dalam berbagai bentuk permainan sederhana dan atau tradisional.    </v>
          </cell>
          <cell r="BE17">
            <v>79</v>
          </cell>
          <cell r="BF17" t="str">
            <v>B</v>
          </cell>
          <cell r="BG17"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17">
            <v>84.5</v>
          </cell>
          <cell r="BI17" t="str">
            <v>B</v>
          </cell>
          <cell r="BJ17" t="str">
            <v xml:space="preserve">Mampu  Membuat percakapan tentang aktifitas berbelanja dan mempraktikkan di depan kelas berpasang-pasangan    perlu pembinaan dalam   Menulis kalimat order, request dan prohibition dengan baik sesuai dengan rumus      </v>
          </cell>
          <cell r="BK17">
            <v>84.5</v>
          </cell>
          <cell r="BL17" t="str">
            <v>B</v>
          </cell>
          <cell r="BM17" t="str">
            <v xml:space="preserve">Mampu  Menuliskan kata atau ungkapan pendek  sederhana tentang kegiatan sehari-hari disertai waktu    perlu pembinaan dalam   Memahami wacana tertulis dalam bentuk paparan atau bacaan tentang kegiatan sehari-hari disertai waktu     </v>
          </cell>
          <cell r="BN17">
            <v>83.666666666666671</v>
          </cell>
          <cell r="BO17" t="str">
            <v>B</v>
          </cell>
          <cell r="BP17" t="str">
            <v xml:space="preserve">Mampu kd     perlu pembinaan dalam     kd   </v>
          </cell>
          <cell r="BQ17">
            <v>84.5</v>
          </cell>
          <cell r="BR17" t="str">
            <v>B</v>
          </cell>
          <cell r="BS17" t="str">
            <v xml:space="preserve">Mampu  Terampil mengoperasikan ikon-ikon text box, shapes, clip art, picture dan insert tabel    perlu pembinaan dalam   Menunjukkan ikon untuk membuat gambar dan teks     </v>
          </cell>
          <cell r="BT17" t="str">
            <v xml:space="preserve"> 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7" t="str">
            <v>Drumband</v>
          </cell>
          <cell r="BV17" t="str">
            <v>baik sekali</v>
          </cell>
          <cell r="BW17">
            <v>0</v>
          </cell>
          <cell r="BX17">
            <v>0</v>
          </cell>
          <cell r="BY17" t="str">
            <v>9 hari</v>
          </cell>
          <cell r="BZ17">
            <v>0</v>
          </cell>
          <cell r="CA17">
            <v>0</v>
          </cell>
          <cell r="CB17" t="str">
            <v xml:space="preserve">Alhamdulillah, ananda selama satu semester ini sudah banyak peningkatan dalam prestasi belajarnya, mohon ditingkatkan lagi prestasinya. Jangan lupa sholat lima waktu dan selalu berdo'a. </v>
          </cell>
          <cell r="CC17" t="str">
            <v>148 cm</v>
          </cell>
          <cell r="CD17" t="str">
            <v>30 kg</v>
          </cell>
          <cell r="CE17" t="str">
            <v>Baik, normal</v>
          </cell>
          <cell r="CF17" t="str">
            <v>Baik, normal</v>
          </cell>
          <cell r="CG17" t="str">
            <v xml:space="preserve">Geraham kanan bawah karies. </v>
          </cell>
          <cell r="CH17">
            <v>0</v>
          </cell>
          <cell r="CI17">
            <v>0</v>
          </cell>
          <cell r="CJ17">
            <v>0</v>
          </cell>
          <cell r="CK17">
            <v>0</v>
          </cell>
        </row>
        <row r="18">
          <cell r="B18">
            <v>4857</v>
          </cell>
          <cell r="C18" t="str">
            <v>Kartika Maulidia</v>
          </cell>
          <cell r="D18" t="str">
            <v xml:space="preserve">Menunjukkan sikap     yang sangat menonjol. perlu pembinaan dalam     </v>
          </cell>
          <cell r="E18" t="str">
            <v xml:space="preserve">Menunjukkan sikap   suka bekerjasama, membantu teman yang kesulitan,    Perlu bimbingan dalam sikapberani dan percaya diri ketika mengunkapkan pendapat.      </v>
          </cell>
          <cell r="F18">
            <v>78</v>
          </cell>
          <cell r="G18" t="str">
            <v>B</v>
          </cell>
          <cell r="H18" t="str">
            <v xml:space="preserve">Mampu    Memahami hikmah berzakat sebagai implementasi rukun Islam  perlu pembinaan dalam   Mengetahui makna Q.S. Al-Kaafiruun dengan benar,      </v>
          </cell>
          <cell r="I18">
            <v>84</v>
          </cell>
          <cell r="J18" t="str">
            <v>B</v>
          </cell>
          <cell r="K18"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18">
            <v>89</v>
          </cell>
          <cell r="M18" t="str">
            <v>B</v>
          </cell>
          <cell r="N18"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18">
            <v>81.666666666666671</v>
          </cell>
          <cell r="P18" t="str">
            <v>B</v>
          </cell>
          <cell r="Q18"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18">
            <v>82</v>
          </cell>
          <cell r="S18" t="str">
            <v>B</v>
          </cell>
          <cell r="T18" t="str">
            <v xml:space="preserve">Mampu  mengenal cara dan hasil karya seni ekspresi     perlu pembinaan dalam       mengenal karya seni budaya benda dan bahasa daerah setempat </v>
          </cell>
          <cell r="U18">
            <v>79.833333333333329</v>
          </cell>
          <cell r="V18" t="str">
            <v>B</v>
          </cell>
          <cell r="W18"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18">
            <v>82.333333333333329</v>
          </cell>
          <cell r="Y18" t="str">
            <v>B</v>
          </cell>
          <cell r="Z18" t="str">
            <v xml:space="preserve">Mampu  mengenal, memahami, dan mengidentifikasi teks  tembang macapat sesuai dengan kaidah    perlu pembinaan dalam   mengenal, memahami, dan mengidentifikasiteks informasi yang diperoleh dari berbagai media berbahasa daerah secara lisan/ tulis     </v>
          </cell>
          <cell r="AA18">
            <v>79.5</v>
          </cell>
          <cell r="AB18" t="str">
            <v>B</v>
          </cell>
          <cell r="AC18"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18">
            <v>79.5</v>
          </cell>
          <cell r="AE18" t="str">
            <v>B</v>
          </cell>
          <cell r="AF18"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18">
            <v>82.333333333333329</v>
          </cell>
          <cell r="AH18" t="str">
            <v>B</v>
          </cell>
          <cell r="AI18" t="str">
            <v xml:space="preserve">Mampu  Memahami amaliah NU    perlu pembinaan dalam   Mengenal sejarah munculnya Ahlus Sunnah wal Jama'ah     </v>
          </cell>
          <cell r="AJ18">
            <v>84.5</v>
          </cell>
          <cell r="AK18" t="str">
            <v>B</v>
          </cell>
          <cell r="AL18" t="str">
            <v xml:space="preserve">Mampu Mengenal software pengolah kata dengan ikon-ikon pendukung     perlu pembinaan dalam    Mengenal fungsi ikon-ikon pendukung pengolah kata (word processing)    </v>
          </cell>
          <cell r="AM18">
            <v>78.833333333333329</v>
          </cell>
          <cell r="AN18" t="str">
            <v>B</v>
          </cell>
          <cell r="AO18" t="str">
            <v xml:space="preserve">Mampu   Menyebutkan arti Q.S. al-Kaafiruun dengan jelas dan benar  Menceritakan kisah keteladanan sahabat-sahabat Nabi Muhammad saw.perlu pembinaan dalam   Membaca Q.S. al-Kaafiruun dengan jelas dan benar     </v>
          </cell>
          <cell r="AP18">
            <v>84</v>
          </cell>
          <cell r="AQ18" t="str">
            <v>B</v>
          </cell>
          <cell r="AR18" t="str">
            <v xml:space="preserve">Mampu    Mengamati dan menceriterakan kebersamaan dalam keberagaman di rumah dan sekolah   perlu pembinaan dalam      Mengamati dan menceriterakan keberagaman karateristik individu di rumah dan sekolah  </v>
          </cell>
          <cell r="AS18">
            <v>76.8</v>
          </cell>
          <cell r="AT18" t="str">
            <v>B</v>
          </cell>
          <cell r="AU18" t="str">
            <v xml:space="preserve">Mampu   menyampaikan teks terima kasih mengenai sikap kasih sayang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18">
            <v>79.166666666666671</v>
          </cell>
          <cell r="AW18" t="str">
            <v>B</v>
          </cell>
          <cell r="AX18" t="str">
            <v xml:space="preserve">Mampu  mengemukakan kembali dengan kalimat sendiri dan memecahkan masalah yang berkaitan dengan penjumlahan dan pengurangan terkait dengan aktivitas sehari-hari serta memeriksa kebenarannya   perlu pembinaan dalam 0     </v>
          </cell>
          <cell r="AY18">
            <v>79.166666666666671</v>
          </cell>
          <cell r="AZ18" t="str">
            <v>B</v>
          </cell>
          <cell r="BA18" t="str">
            <v xml:space="preserve">Mampu  membuat karya seni ekspresi dengan memanfaatkan berbagai teknik cetak sederhana menggunakan bahan alam    perlu pembinaan dalam   menggambar ekspresi dengan mengolah garis, warna dan bentuk berdasarkan hasil pengamatan di lingkungan sekitar     </v>
          </cell>
          <cell r="BB18">
            <v>79.166666666666671</v>
          </cell>
          <cell r="BC18" t="str">
            <v>B</v>
          </cell>
          <cell r="BD18" t="str">
            <v xml:space="preserve">Mampu   mempraktikkan pola gerak dasar manipulatif sesuai dengan dimensi anggota tubuh yang digunakan, arah, ruang gerak, hubungan, dan usaha, dalam berbagai bentuk permainan sederhana dan atau permainan tradisional.   perlu pembinaan dalam   mempraktikkan pola gerak dasar lokomotor sesuai dengan dimensi anggota tubuh yang digunakan, arah, ruang gerak, hubungan dan usaha, dalam berbagai bentuk permainan sederhana dan atau tradisional.     </v>
          </cell>
          <cell r="BE18">
            <v>82.333333333333329</v>
          </cell>
          <cell r="BF18" t="str">
            <v>B</v>
          </cell>
          <cell r="BG18" t="str">
            <v xml:space="preserve">Mampu  menceritakan isi tembang macapat.     perlu pembinaan dalam   menyampaikan dan menagggapi informasi yang diperoleh dari berbagai media berbahasa daerah secara lisan dan tulisan.      </v>
          </cell>
          <cell r="BH18">
            <v>84.5</v>
          </cell>
          <cell r="BI18" t="str">
            <v>B</v>
          </cell>
          <cell r="BJ18" t="str">
            <v xml:space="preserve">Mampu Menulis kalimat order, request dan prohibition dengan baik sesuai dengan rumus      perlu pembinaan dalam    Membuat percakapan tentang aktifitas berbelanja dan mempraktikkan di depan kelas berpasang-pasangan    </v>
          </cell>
          <cell r="BK18">
            <v>84.5</v>
          </cell>
          <cell r="BL18" t="str">
            <v>B</v>
          </cell>
          <cell r="BM18" t="str">
            <v xml:space="preserve">Mampu Memahami wacana tertulis dalam bentuk paparan atau bacaan tentang kegiatan sehari-hari disertai waktu     perlu pembinaan dalam    Menuliskan kata atau ungkapan pendek  sederhana tentang kegiatan sehari-hari disertai waktu    </v>
          </cell>
          <cell r="BN18">
            <v>79.166666666666671</v>
          </cell>
          <cell r="BO18" t="str">
            <v>B</v>
          </cell>
          <cell r="BP18" t="str">
            <v xml:space="preserve">Mampu  kd    perlu pembinaan dalam   kd     </v>
          </cell>
          <cell r="BQ18">
            <v>84.5</v>
          </cell>
          <cell r="BR18" t="str">
            <v>B</v>
          </cell>
          <cell r="BS18" t="str">
            <v xml:space="preserve">Mampu Menunjukkan ikon untuk membuat gambar dan teks     perlu pembinaan dalam    Terampil mengoperasikan ikon-ikon text box, shapes, clip art, picture dan insert tabel    </v>
          </cell>
          <cell r="BT18"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8" t="str">
            <v>Drumband</v>
          </cell>
          <cell r="BV18" t="str">
            <v>baik sekali</v>
          </cell>
          <cell r="BW18">
            <v>0</v>
          </cell>
          <cell r="BX18">
            <v>0</v>
          </cell>
          <cell r="BY18" t="str">
            <v>3 hari</v>
          </cell>
          <cell r="BZ18" t="str">
            <v>1 hari</v>
          </cell>
          <cell r="CA18">
            <v>0</v>
          </cell>
          <cell r="CB18" t="str">
            <v xml:space="preserve">Alhamdulillah, ananda selama satu semester ini sudah banyak peningkatan dalam prestasi belajarnya, mohon ditingkatkan lagi konsentrasi dalam mengikuti pembelajaran. Jangan lupa sholat lima waktu dan selalu berdo'a. </v>
          </cell>
          <cell r="CC18" t="str">
            <v>133 cm</v>
          </cell>
          <cell r="CD18" t="str">
            <v>30 kg</v>
          </cell>
          <cell r="CE18" t="str">
            <v>Baik, normal</v>
          </cell>
          <cell r="CF18" t="str">
            <v>Baik, normal</v>
          </cell>
          <cell r="CG18" t="str">
            <v xml:space="preserve">Geraham kanan bawah karies. </v>
          </cell>
          <cell r="CH18">
            <v>0</v>
          </cell>
          <cell r="CI18">
            <v>0</v>
          </cell>
          <cell r="CJ18">
            <v>0</v>
          </cell>
          <cell r="CK18">
            <v>0</v>
          </cell>
        </row>
        <row r="19">
          <cell r="B19">
            <v>4863</v>
          </cell>
          <cell r="C19" t="str">
            <v>Mohamad Izaky Prianggawan</v>
          </cell>
          <cell r="D19" t="str">
            <v xml:space="preserve">Menunjukkan sikap     yang sangat menonjol. perlu pembinaan dalam     </v>
          </cell>
          <cell r="E19" t="str">
            <v xml:space="preserve">Menunjukkan sikap   suka bekerjasama, membantu teman yang kesulitan,    Perlu bimbingan dalam sikapberani dan percaya diri ketika mengunkapkan pendapat.      </v>
          </cell>
          <cell r="F19">
            <v>82.5</v>
          </cell>
          <cell r="G19" t="str">
            <v>B</v>
          </cell>
          <cell r="H19" t="str">
            <v xml:space="preserve">Mampu     Mengetahui kisah Nabi Muhammad saw. perlu pembinaan dalam      Memahami hikmah berzakat sebagai implementasi rukun Islam  </v>
          </cell>
          <cell r="I19">
            <v>79</v>
          </cell>
          <cell r="J19" t="str">
            <v>B</v>
          </cell>
          <cell r="K19" t="str">
            <v xml:space="preserve">Mampu   mengenal keberagaman karateristik individu di rumah dan di sekolah   perlu pembinaan dalam    mengenal tata tertib dan aturan yang berlaku dalam kehidupan sehari-hari di rumah dan sekolah    </v>
          </cell>
          <cell r="L19">
            <v>78.400000000000006</v>
          </cell>
          <cell r="M19" t="str">
            <v>B</v>
          </cell>
          <cell r="N19" t="str">
            <v xml:space="preserve">Mampu    Mengenal teks cerita diri/personal tentang keberadaan keluarga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19">
            <v>81.166666666666671</v>
          </cell>
          <cell r="P19" t="str">
            <v>B</v>
          </cell>
          <cell r="Q19" t="str">
            <v xml:space="preserve">Mampu   mengenal dan memprediksi pola-pola bilangan sederhana menggunakan gambar-gambar/benda konkrit  menemukan bangun yang membentuk pola pengubinan sederhanaperlu pembinaan dalam    mengenal bilangan asli sampai 99 dengan menggunakan benda-benda yang ada di sekitar rumah, sekolah, atau tempat bermain    </v>
          </cell>
          <cell r="R19">
            <v>86</v>
          </cell>
          <cell r="S19" t="str">
            <v>B</v>
          </cell>
          <cell r="T19" t="str">
            <v xml:space="preserve">Mampu  mengenal  pola irama lagu bervariasi menggunakan alat musik ritmis    perlu pembinaan dalam      mengamati berbagai bahan, alat serta fungsinya dalam membuat prakarya  </v>
          </cell>
          <cell r="U19">
            <v>82.5</v>
          </cell>
          <cell r="V19" t="str">
            <v>B</v>
          </cell>
          <cell r="W19" t="str">
            <v xml:space="preserve">Mampu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19">
            <v>88.333333333333329</v>
          </cell>
          <cell r="Y19" t="str">
            <v>B</v>
          </cell>
          <cell r="Z19"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19">
            <v>88.5</v>
          </cell>
          <cell r="AB19" t="str">
            <v>B</v>
          </cell>
          <cell r="AC19" t="str">
            <v xml:space="preserve">Mampu Mengenal, memahami dan mengidentifikasi macam-macam kalimat (order, request, and prohibition)     perlu pembinaan dalam     Mengenal, memahami dan mengidentifikasi macam-macam compass at the map and traffic sign   </v>
          </cell>
          <cell r="AD19">
            <v>88.5</v>
          </cell>
          <cell r="AE19" t="str">
            <v>B</v>
          </cell>
          <cell r="AF19"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19">
            <v>88.333333333333329</v>
          </cell>
          <cell r="AH19" t="str">
            <v>B</v>
          </cell>
          <cell r="AI19" t="str">
            <v xml:space="preserve">Mampu Mengenal sejarah munculnya Ahlus Sunnah wal Jama'ah     perlu pembinaan dalam     memahami kepribadian NU   </v>
          </cell>
          <cell r="AJ19">
            <v>83.5</v>
          </cell>
          <cell r="AK19" t="str">
            <v>B</v>
          </cell>
          <cell r="AL19" t="str">
            <v xml:space="preserve">Mampu Mengenal software pengolah kata dengan ikon-ikon pendukung     perlu pembinaan dalam    Mengenal fungsi ikon-ikon pendukung pengolah kata (word processing)    </v>
          </cell>
          <cell r="AM19">
            <v>88.333333333333329</v>
          </cell>
          <cell r="AN19" t="str">
            <v>B</v>
          </cell>
          <cell r="AO19" t="str">
            <v xml:space="preserve">Mampu  Menulis Q.S. al-Kaafiruun dengan jelas dan benar    perlu pembinaan dalam      Mencontohkan perilaku toleran dan simpati sebagai implementasi dari pemahaman Q.S. al-Kaafiruun  </v>
          </cell>
          <cell r="AP19">
            <v>85</v>
          </cell>
          <cell r="AQ19" t="str">
            <v>B</v>
          </cell>
          <cell r="AR19" t="str">
            <v xml:space="preserve">Mampu    Mengamati dan menceriterakan keberagaman karateristik individu di rumah dan sekolah  perlu pembinaan dalam      Melaksanakan tata tertib di rumah dan sekolah    </v>
          </cell>
          <cell r="AS19">
            <v>88.6</v>
          </cell>
          <cell r="AT19" t="str">
            <v>B</v>
          </cell>
          <cell r="AU19" t="str">
            <v xml:space="preserve">Mampu   mempraktikkan teks arahan/petunjuk tentang merawat tubuh serta kesehatan dan kebugaran tubuh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19">
            <v>87.166666666666671</v>
          </cell>
          <cell r="AW19" t="str">
            <v>B</v>
          </cell>
          <cell r="AX19" t="str">
            <v xml:space="preserve">Mampu menggunakan benda konkrit untuk menelusuri pecahan dan jumlah uang     perlu pembinaan dalam    mendeskripsikan, mengembangkan, dan membuat pola yang berulang  </v>
          </cell>
          <cell r="AY19">
            <v>87.166666666666671</v>
          </cell>
          <cell r="AZ19" t="str">
            <v>B</v>
          </cell>
          <cell r="BA19" t="str">
            <v xml:space="preserve">Mampu   menggambar dengan memanfaatkan beragam media kering   perlu pembinaan dalam       menyanyikan lagu anak-anak dan memperagakan tepuk birama dengan gerak </v>
          </cell>
          <cell r="BB19">
            <v>87.166666666666671</v>
          </cell>
          <cell r="BC19" t="str">
            <v>B</v>
          </cell>
          <cell r="BD19" t="str">
            <v xml:space="preserve">Mampu  mempraktikkan pola gerak dasar non-lokomotor sesuai dengan dimensi anggota tubuh yang digunakan, arah, ruang gerak, hubungan, dan usaha,dalam berbagai bentuk permainan sederhana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19">
            <v>88.333333333333329</v>
          </cell>
          <cell r="BF19" t="str">
            <v>B</v>
          </cell>
          <cell r="BG19"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19">
            <v>83.5</v>
          </cell>
          <cell r="BI19" t="str">
            <v>B</v>
          </cell>
          <cell r="BJ19" t="str">
            <v xml:space="preserve">Mampu Menulis kalimat order, request dan prohibition dengan baik sesuai dengan rumus      perlu pembinaan dalam    Membuat percakapan tentang aktifitas berbelanja dan mempraktikkan di depan kelas berpasang-pasangan    </v>
          </cell>
          <cell r="BK19">
            <v>83.5</v>
          </cell>
          <cell r="BL19" t="str">
            <v>B</v>
          </cell>
          <cell r="BM19" t="str">
            <v xml:space="preserve">Mampu Memahami wacana tertulis dalam bentuk paparan atau bacaan tentang kegiatan sehari-hari disertai waktu     perlu pembinaan dalam    Menuliskan kata atau ungkapan pendek  sederhana tentang kegiatan sehari-hari disertai waktu    </v>
          </cell>
          <cell r="BN19">
            <v>87.166666666666671</v>
          </cell>
          <cell r="BO19" t="str">
            <v>B</v>
          </cell>
          <cell r="BP19" t="str">
            <v xml:space="preserve">Mampu   kd   perlu pembinaan dalam       kd </v>
          </cell>
          <cell r="BQ19">
            <v>83.5</v>
          </cell>
          <cell r="BR19" t="str">
            <v>B</v>
          </cell>
          <cell r="BS19" t="str">
            <v xml:space="preserve">Mampu Menunjukkan ikon untuk membuat gambar dan teks     perlu pembinaan dalam    Terampil mengoperasikan ikon-ikon text box, shapes, clip art, picture dan insert tabel    </v>
          </cell>
          <cell r="BT19" t="str">
            <v xml:space="preserve">Rajin dan giat mengikuti Perindukan Siaga sekurang-kurangnya 10 kali latihan berturut-turut, dapat menunjukkan sikap disiplin dan dapt melakukan PBB dengan benar     namun, perlu pembinaan dalam  Mengetahui simpul mati, simpul hidup, simpul anyam, simpul pangkal dan simpul jangkarMengetahui tetang Semaphore, Morse, Sandi dan tekspram serta dapat menyebutkan tanda pengenal pada seragam pramuka dan melaksanakan penempuhan SKU golongan Siaga </v>
          </cell>
          <cell r="BU19" t="str">
            <v>Drumband</v>
          </cell>
          <cell r="BV19" t="str">
            <v>baik sekali</v>
          </cell>
          <cell r="BW19">
            <v>0</v>
          </cell>
          <cell r="BX19">
            <v>0</v>
          </cell>
          <cell r="BY19">
            <v>0</v>
          </cell>
          <cell r="BZ19" t="str">
            <v>2 hari</v>
          </cell>
          <cell r="CA19">
            <v>0</v>
          </cell>
          <cell r="CB19" t="str">
            <v xml:space="preserve">Alhamdulillah, ananda selama satu semester ini sudah banyak peningkatan dalam prestasi belajarnya, mohon ditingkatkan konsentrasi ketika pembelajaran  agar prestasi ananda lebih baik lagi.  Jangan lupa sholat lima waktu dan selalu berdo'a. </v>
          </cell>
          <cell r="CC19" t="str">
            <v>135 cm</v>
          </cell>
          <cell r="CD19" t="str">
            <v>39 kg</v>
          </cell>
          <cell r="CE19" t="str">
            <v>Baik, normal</v>
          </cell>
          <cell r="CF19" t="str">
            <v>Baik, normal</v>
          </cell>
          <cell r="CG19" t="str">
            <v xml:space="preserve">Geraham  karies. </v>
          </cell>
          <cell r="CH19">
            <v>0</v>
          </cell>
          <cell r="CI19">
            <v>0</v>
          </cell>
          <cell r="CJ19">
            <v>0</v>
          </cell>
          <cell r="CK19">
            <v>0</v>
          </cell>
        </row>
        <row r="20">
          <cell r="B20">
            <v>4866</v>
          </cell>
          <cell r="C20" t="str">
            <v>Muhammad Syarifuddin Allaam Sugiharto</v>
          </cell>
          <cell r="D20" t="str">
            <v xml:space="preserve">Menunjukkan sikap     yang sangat menonjol. perlu pembinaan dalam     </v>
          </cell>
          <cell r="E20" t="str">
            <v xml:space="preserve">Menunjukkan sikap   suka bekerjasama, membantu teman yang kesulitan,    Perlu bimbingan dalam sikapberani dan percaya diri ketika mengunkapkan pendapat.      </v>
          </cell>
          <cell r="F20">
            <v>79.5</v>
          </cell>
          <cell r="G20" t="str">
            <v>B</v>
          </cell>
          <cell r="H20" t="str">
            <v xml:space="preserve">Mampu   Memahami hikmah beriman kepada Hari Akhir yang dapat membentuk perilaku akhlak mulia
   perlu pembinaan dalam   Mengetahui makna Q.S. Al-Kaafiruun dengan benar,      </v>
          </cell>
          <cell r="I20">
            <v>82.5</v>
          </cell>
          <cell r="J20" t="str">
            <v>B</v>
          </cell>
          <cell r="K20" t="str">
            <v xml:space="preserve">Mampu mengenal simbol-simbol sila Pancasila dalam lambang negara “Garuda Pancasila”     perlu pembinaan dalam    mengenal tata tertib dan aturan yang berlaku dalam kehidupan sehari-hari di rumah dan sekolah mengenal arti bersatu dalam keberagaman di rumah dan sekolah  </v>
          </cell>
          <cell r="L20">
            <v>79.599999999999994</v>
          </cell>
          <cell r="M20" t="str">
            <v>B</v>
          </cell>
          <cell r="N20"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20">
            <v>84.666666666666671</v>
          </cell>
          <cell r="P20" t="str">
            <v>B</v>
          </cell>
          <cell r="Q20" t="str">
            <v xml:space="preserve">Mampu mengenal lambang bilangan dan mendeskripsikan kemunculan bilangan dengan bahasa yang sederhana   menunjukkan pemahaman tentang besaran dengan menghitung maju sampai 100 dan mundur dari 20  perlu pembinaan dalam    mengenal bilangan asli sampai 99 dengan menggunakan benda-benda yang ada di sekitar rumah, sekolah, atau tempat bermain  mengenal bangun datar dan bangun ruang menggunakan benda-benda yang ada di sekitar rumah, sekolah, atau tempat bermain. </v>
          </cell>
          <cell r="R20">
            <v>79.166666666666671</v>
          </cell>
          <cell r="S20" t="str">
            <v>B</v>
          </cell>
          <cell r="T20" t="str">
            <v xml:space="preserve">Mampu      menggambar ekspresi dengan mengolah garis, warna dan bentuk berdasarkan hasil pengamatan di lingkungan sekitarperlu pembinaan dalam    mengenal  pola irama lagu bervariasi menggunakan alat musik ritmis    </v>
          </cell>
          <cell r="U20">
            <v>78.833333333333329</v>
          </cell>
          <cell r="V20" t="str">
            <v>B</v>
          </cell>
          <cell r="W20"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20">
            <v>73.666666666666671</v>
          </cell>
          <cell r="Y20" t="str">
            <v>C</v>
          </cell>
          <cell r="Z20"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20">
            <v>78</v>
          </cell>
          <cell r="AB20" t="str">
            <v>B</v>
          </cell>
          <cell r="AC20" t="str">
            <v xml:space="preserve">Mampu    Mengenal, memahami dan mengidentifikasi shopping activity (how to ask price, show the price, bargain, accept and refuse to bargain, etc)  perlu pembinaan dalam   Mengenal, memahami dan mengidentifikasi macam-macam kalimat (order, request, and prohibition)     </v>
          </cell>
          <cell r="AD20">
            <v>78</v>
          </cell>
          <cell r="AE20" t="str">
            <v>B</v>
          </cell>
          <cell r="AF20" t="str">
            <v xml:space="preserve">Mampu    Memahami wacana dalam bentuk paparan tentang profesi dengan menggunakan pola kalimat isim isyarah/ dhamir + profesi  perlu pembinaan dalam   Memahami wacana dalam bentuk paparan tentang perkenalan diri (1) dengan menggunakan pola kalimat yang meliputi isim isyarah (kata tunjuk) orang atau benda yang dekat (haadza, haadzihi) + alam + isim mufrad     </v>
          </cell>
          <cell r="AG20">
            <v>73.666666666666671</v>
          </cell>
          <cell r="AH20" t="str">
            <v>C</v>
          </cell>
          <cell r="AI20" t="str">
            <v xml:space="preserve">Mampu   memahami kepribadian NU   perlu pembinaan dalam   Mengenal sejarah munculnya Ahlus Sunnah wal Jama'ah     </v>
          </cell>
          <cell r="AJ20">
            <v>77.5</v>
          </cell>
          <cell r="AK20" t="str">
            <v>B</v>
          </cell>
          <cell r="AL20" t="str">
            <v xml:space="preserve">Mampu  Mengenal fungsi ikon-ikon pendukung pengolah kata (word processing)    perlu pembinaan dalam   Mengenal software pengolah kata dengan ikon-ikon pendukung     </v>
          </cell>
          <cell r="AM20">
            <v>75.5</v>
          </cell>
          <cell r="AN20" t="str">
            <v>C</v>
          </cell>
          <cell r="AO20" t="str">
            <v xml:space="preserve">Mampu     Menceritakan kisah keteladanan Nabi Muhammad saw. perlu pembinaan dalam   Membaca Q.S. al-Kaafiruun dengan jelas dan benar     </v>
          </cell>
          <cell r="AP20">
            <v>79.5</v>
          </cell>
          <cell r="AQ20" t="str">
            <v>B</v>
          </cell>
          <cell r="AR20" t="str">
            <v xml:space="preserve">Mampu    Mengamati dan menceriterakan keberagaman karateristik individu di rumah dan sekolah  perlu pembinaan dalam      Mengamati dan menceriterakan kebersamaan dalam keberagaman di rumah dan sekolah   </v>
          </cell>
          <cell r="AS20">
            <v>75.400000000000006</v>
          </cell>
          <cell r="AT20" t="str">
            <v>C</v>
          </cell>
          <cell r="AU20" t="str">
            <v xml:space="preserve">Mampu     membuat teks diagram/label  tentang anggota keluarga dan kerabat secara mandiri dalam bahasa Indonesia lisan dan tulis yang dapat diisi dengan kosa kat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20">
            <v>75.5</v>
          </cell>
          <cell r="AW20" t="str">
            <v>C</v>
          </cell>
          <cell r="AX20" t="str">
            <v xml:space="preserve">Mampu    membentuk berbagai bangun datar dengan menggunakan papan berpaku atau media lainnya perlu pembinaan dalam 0     </v>
          </cell>
          <cell r="AY20">
            <v>75.5</v>
          </cell>
          <cell r="AZ20" t="str">
            <v>C</v>
          </cell>
          <cell r="BA20" t="str">
            <v xml:space="preserve">Mampu      memainkan pola irama lagu bertanda birama dua dengan tepuk dan gerakperlu pembinaan dalam   menggambar ekspresi dengan mengolah garis, warna dan bentuk berdasarkan hasil pengamatan di lingkungan sekitar     </v>
          </cell>
          <cell r="BB20">
            <v>75.5</v>
          </cell>
          <cell r="BC20" t="str">
            <v>C</v>
          </cell>
          <cell r="BD20" t="str">
            <v xml:space="preserve">Mampu      mempraktikkan penggunaan pola gerak dasar lokomotor dan non-lokomotor sesuai dengan irama (ketukan) tanpa/dengan musik dalam aktivitas gerak rimtik.perlu pembinaan dalam   mempraktikkan pola gerak dasar lokomotor sesuai dengan dimensi anggota tubuh yang digunakan, arah, ruang gerak, hubungan dan usaha, dalam berbagai bentuk permainan sederhana dan atau tradisional.     </v>
          </cell>
          <cell r="BE20">
            <v>73.666666666666671</v>
          </cell>
          <cell r="BF20" t="str">
            <v>C</v>
          </cell>
          <cell r="BG20"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20">
            <v>77.5</v>
          </cell>
          <cell r="BI20" t="str">
            <v>B</v>
          </cell>
          <cell r="BJ20" t="str">
            <v xml:space="preserve">Mampu  Membuat percakapan tentang aktifitas berbelanja dan mempraktikkan di depan kelas berpasang-pasangan    perlu pembinaan dalam   Menulis kalimat order, request dan prohibition dengan baik sesuai dengan rumus      </v>
          </cell>
          <cell r="BK20">
            <v>77.5</v>
          </cell>
          <cell r="BL20" t="str">
            <v>B</v>
          </cell>
          <cell r="BM20" t="str">
            <v xml:space="preserve">Mampu  Menuliskan kata atau ungkapan pendek  sederhana tentang kegiatan sehari-hari disertai waktu    perlu pembinaan dalam   Memahami wacana tertulis dalam bentuk paparan atau bacaan tentang kegiatan sehari-hari disertai waktu     </v>
          </cell>
          <cell r="BN20">
            <v>75.5</v>
          </cell>
          <cell r="BO20" t="str">
            <v>C</v>
          </cell>
          <cell r="BP20" t="str">
            <v xml:space="preserve">Mampu      kdperlu pembinaan dalam   kd     </v>
          </cell>
          <cell r="BQ20">
            <v>77.5</v>
          </cell>
          <cell r="BR20" t="str">
            <v>B</v>
          </cell>
          <cell r="BS20" t="str">
            <v xml:space="preserve">Mampu  Terampil mengoperasikan ikon-ikon text box, shapes, clip art, picture dan insert tabel    perlu pembinaan dalam   Menunjukkan ikon untuk membuat gambar dan teks     </v>
          </cell>
          <cell r="BT20" t="str">
            <v xml:space="preserve"> 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20" t="str">
            <v>Catur</v>
          </cell>
          <cell r="BV20" t="str">
            <v>baik sekali</v>
          </cell>
          <cell r="BW20">
            <v>0</v>
          </cell>
          <cell r="BX20">
            <v>0</v>
          </cell>
          <cell r="BY20" t="str">
            <v>8 hari</v>
          </cell>
          <cell r="BZ20">
            <v>0</v>
          </cell>
          <cell r="CA20">
            <v>0</v>
          </cell>
          <cell r="CB20" t="str">
            <v xml:space="preserve">Alhamdulillah, ananda selama satu semester ini sudah banyak peningkatan dalam prestasi belajarnya, mohon ditingkatkan lagi prestasinya. Jangan lupa sholat lima waktu dan selalu berdo'a. </v>
          </cell>
          <cell r="CC20" t="str">
            <v>130 cm</v>
          </cell>
          <cell r="CD20" t="str">
            <v>30 kg</v>
          </cell>
          <cell r="CE20" t="str">
            <v>Baik, normal</v>
          </cell>
          <cell r="CF20" t="str">
            <v>Baik, normal</v>
          </cell>
          <cell r="CG20" t="str">
            <v xml:space="preserve">Geraham  karies. </v>
          </cell>
          <cell r="CH20" t="str">
            <v xml:space="preserve">Lomba Hifdzul Qur'an Jus'amma </v>
          </cell>
          <cell r="CI20" t="str">
            <v>Juara Harapan I pada kegiatan Pondok Romadhon SD Islam Tompokersan 1435 H</v>
          </cell>
          <cell r="CJ20">
            <v>0</v>
          </cell>
          <cell r="CK20">
            <v>0</v>
          </cell>
        </row>
        <row r="21">
          <cell r="B21">
            <v>4868</v>
          </cell>
          <cell r="C21" t="str">
            <v xml:space="preserve">Muhammad Bintang Ramadhan </v>
          </cell>
          <cell r="D21" t="str">
            <v xml:space="preserve">Menunjukkan sikap     yang sangat menonjol. perlu pembinaan dalam     </v>
          </cell>
          <cell r="E21" t="str">
            <v xml:space="preserve">Menunjukkan sikap   suka bekerjasama, membantu teman yang kesulitan,    Perlu bimbingan dalam sikapberani dan percaya diri ketika mengunkapkan pendapat.      </v>
          </cell>
          <cell r="F21">
            <v>80</v>
          </cell>
          <cell r="G21" t="str">
            <v>B</v>
          </cell>
          <cell r="H21" t="str">
            <v xml:space="preserve">Mampu Mengetahui makna Q.S. Al-Kaafiruun dengan benar,      perlu pembinaan dalam       Mengetahui kisah Nabi Muhammad saw. </v>
          </cell>
          <cell r="I21">
            <v>72.75</v>
          </cell>
          <cell r="J21" t="str">
            <v>C</v>
          </cell>
          <cell r="K21" t="str">
            <v xml:space="preserve">Mampu mengenal simbol-simbol sila Pancasila dalam lambang negara “Garuda Pancasila”     perlu pembinaan dalam     mengenal keberagaman karateristik individu di rumah dan di sekolah   </v>
          </cell>
          <cell r="L21">
            <v>77.599999999999994</v>
          </cell>
          <cell r="M21" t="str">
            <v>B</v>
          </cell>
          <cell r="N21"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21">
            <v>72.166666666666671</v>
          </cell>
          <cell r="P21" t="str">
            <v>C</v>
          </cell>
          <cell r="Q21"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21">
            <v>79.5</v>
          </cell>
          <cell r="S21" t="str">
            <v>B</v>
          </cell>
          <cell r="T21" t="str">
            <v xml:space="preserve">Mampu   mengenal unsur-unsur gerak, bagian-bagian gerak anggota tubuh dan level gerak dalam menari   perlu pembinaan dalam       mengenal karya seni budaya benda dan bahasa daerah setempat </v>
          </cell>
          <cell r="U21">
            <v>79.666666666666671</v>
          </cell>
          <cell r="V21" t="str">
            <v>B</v>
          </cell>
          <cell r="W21"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21">
            <v>85.666666666666671</v>
          </cell>
          <cell r="Y21" t="str">
            <v>B</v>
          </cell>
          <cell r="Z21"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21">
            <v>80.5</v>
          </cell>
          <cell r="AB21" t="str">
            <v>B</v>
          </cell>
          <cell r="AC21"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21">
            <v>80.5</v>
          </cell>
          <cell r="AE21" t="str">
            <v>B</v>
          </cell>
          <cell r="AF21"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21">
            <v>85.666666666666671</v>
          </cell>
          <cell r="AH21" t="str">
            <v>B</v>
          </cell>
          <cell r="AI21" t="str">
            <v xml:space="preserve">Mampu  Memahami amaliah NU    perlu pembinaan dalam     memahami kepribadian NU   </v>
          </cell>
          <cell r="AJ21">
            <v>84</v>
          </cell>
          <cell r="AK21" t="str">
            <v>B</v>
          </cell>
          <cell r="AL21" t="str">
            <v xml:space="preserve">Mampu Mengenal software pengolah kata dengan ikon-ikon pendukung     perlu pembinaan dalam    Mengenal fungsi ikon-ikon pendukung pengolah kata (word processing)    </v>
          </cell>
          <cell r="AM21">
            <v>85.5</v>
          </cell>
          <cell r="AN21" t="str">
            <v>B</v>
          </cell>
          <cell r="AO21" t="str">
            <v xml:space="preserve">Mampu Membaca Q.S. al-Kaafiruun dengan jelas dan benar     perlu pembinaan dalam       Menceritakan kisah keteladanan Nabi Muhammad saw. </v>
          </cell>
          <cell r="AP21">
            <v>77</v>
          </cell>
          <cell r="AQ21" t="str">
            <v>B</v>
          </cell>
          <cell r="AR21"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21">
            <v>84</v>
          </cell>
          <cell r="AT21" t="str">
            <v>B</v>
          </cell>
          <cell r="AU21"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21">
            <v>83</v>
          </cell>
          <cell r="AW21" t="str">
            <v>B</v>
          </cell>
          <cell r="AX21" t="str">
            <v xml:space="preserve">Mampu0     perlu pembinaan dalam     membentuk berbagai bangun datar dengan menggunakan papan berpaku atau media lainnya </v>
          </cell>
          <cell r="AY21">
            <v>83</v>
          </cell>
          <cell r="AZ21" t="str">
            <v>B</v>
          </cell>
          <cell r="BA21" t="str">
            <v>Mampu menggambar ekspresi dengan mengolah garis, warna dan bentuk berdasarkan hasil pengamatan di lingkungan sekitar     perlu pembinaan dalam        memainkan pola irama lagu bertanda birama dua dengan tepuk dan gerak</v>
          </cell>
          <cell r="BB21">
            <v>83</v>
          </cell>
          <cell r="BC21" t="str">
            <v>B</v>
          </cell>
          <cell r="BD21" t="str">
            <v>Mampu mempraktikkan pola gerak dasar lokomotor sesuai dengan dimensi anggota tubuh yang digunakan, arah, ruang gerak, hubungan dan usaha, dalam berbagai bentuk permainan sederhana dan atau tradisional.     perlu pembinaan dalam        mempraktikkan penggunaan pola gerak dasar lokomotor dan non-lokomotor sesuai dengan irama (ketukan) tanpa/dengan musik dalam aktivitas gerak rimtik.</v>
          </cell>
          <cell r="BE21">
            <v>85.666666666666671</v>
          </cell>
          <cell r="BF21" t="str">
            <v>B</v>
          </cell>
          <cell r="BG21" t="str">
            <v xml:space="preserve">Mampu  menceritakan isi tembang macapat.     perlu pembinaan dalam     menanggapi teks lisan maupun tulis yang memuat ungkapan tradisional Jawa/ Madura (paribasan, bebasan, saloka)   </v>
          </cell>
          <cell r="BH21">
            <v>84</v>
          </cell>
          <cell r="BI21" t="str">
            <v>B</v>
          </cell>
          <cell r="BJ21" t="str">
            <v xml:space="preserve">Mampu Menulis kalimat order, request dan prohibition dengan baik sesuai dengan rumus      perlu pembinaan dalam    Membuat percakapan tentang aktifitas berbelanja dan mempraktikkan di depan kelas berpasang-pasangan    </v>
          </cell>
          <cell r="BK21">
            <v>84</v>
          </cell>
          <cell r="BL21" t="str">
            <v>B</v>
          </cell>
          <cell r="BM21" t="str">
            <v xml:space="preserve">Mampu Memahami wacana tertulis dalam bentuk paparan atau bacaan tentang kegiatan sehari-hari disertai waktu     perlu pembinaan dalam    Menuliskan kata atau ungkapan pendek  sederhana tentang kegiatan sehari-hari disertai waktu    </v>
          </cell>
          <cell r="BN21">
            <v>83</v>
          </cell>
          <cell r="BO21" t="str">
            <v>B</v>
          </cell>
          <cell r="BP21" t="str">
            <v>Mampu kd     perlu pembinaan dalam        kd</v>
          </cell>
          <cell r="BQ21">
            <v>84</v>
          </cell>
          <cell r="BR21" t="str">
            <v>B</v>
          </cell>
          <cell r="BS21" t="str">
            <v xml:space="preserve">Mampu Menunjukkan ikon untuk membuat gambar dan teks     perlu pembinaan dalam    Terampil mengoperasikan ikon-ikon text box, shapes, clip art, picture dan insert tabel    </v>
          </cell>
          <cell r="BT21" t="str">
            <v xml:space="preserve">Perlu pembinaan dalam   Mengetahui tetang Semaphore, Morse, Sandi dan tekspram serta dapat menyebutkan tanda pengenal pada seragam pramuka dan melaksanakan penempuhan SKU golongan Siaga </v>
          </cell>
          <cell r="BU21" t="str">
            <v>Drumband</v>
          </cell>
          <cell r="BV21" t="str">
            <v>baik sekali</v>
          </cell>
          <cell r="BW21">
            <v>0</v>
          </cell>
          <cell r="BX21">
            <v>0</v>
          </cell>
          <cell r="BY21" t="str">
            <v>1 hari</v>
          </cell>
          <cell r="BZ21">
            <v>0</v>
          </cell>
          <cell r="CA21">
            <v>0</v>
          </cell>
          <cell r="CB21" t="str">
            <v xml:space="preserve">Alhamdulillah, ananda selama satu semester ini sudah banyak peningkatan dalam prestasi belajarnya, mohon ditingkatkan lagi prestasinya. Jangan lupa sholat lima waktu dan selalu berdo'a. </v>
          </cell>
          <cell r="CC21" t="str">
            <v>128 cm</v>
          </cell>
          <cell r="CD21" t="str">
            <v>23 kg</v>
          </cell>
          <cell r="CE21" t="str">
            <v>Baik, normal</v>
          </cell>
          <cell r="CF21" t="str">
            <v>Baik, normal</v>
          </cell>
          <cell r="CG21" t="str">
            <v>Geraham bawah kiri karies</v>
          </cell>
          <cell r="CH21" t="str">
            <v>Futsal</v>
          </cell>
          <cell r="CI21" t="str">
            <v>Juara 1 (class meeting semester 1)</v>
          </cell>
          <cell r="CJ21">
            <v>0</v>
          </cell>
          <cell r="CK21">
            <v>0</v>
          </cell>
        </row>
        <row r="22">
          <cell r="B22">
            <v>4871</v>
          </cell>
          <cell r="C22" t="str">
            <v>Muhammad Galfin Al Farisy</v>
          </cell>
          <cell r="D22" t="str">
            <v xml:space="preserve">Menunjukkan sikap     yang sangat menonjol. perlu pembinaan dalam     </v>
          </cell>
          <cell r="E22" t="str">
            <v xml:space="preserve">Menunjukkan sikap   suka bekerjasama, membantu teman yang kesulitan,    Perlu bimbingan dalam sikapberani dan percaya diri ketika mengunkapkan pendapat.      </v>
          </cell>
          <cell r="F22">
            <v>82.333333333333329</v>
          </cell>
          <cell r="G22" t="str">
            <v>B</v>
          </cell>
          <cell r="H22" t="str">
            <v xml:space="preserve">Mampu  Mengerti makna Asma'ul Husna : as-Samad, al- Muqtadir, al-Muqaddim, al-Baqi    perlu pembinaan dalam     Memahami hikmah beriman kepada Hari Akhir yang dapat membentuk perilaku akhlak mulia
   </v>
          </cell>
          <cell r="I22">
            <v>80.75</v>
          </cell>
          <cell r="J22" t="str">
            <v>B</v>
          </cell>
          <cell r="K22" t="str">
            <v xml:space="preserve">Mampu  mengenal tata tertib dan aturan yang berlaku dalam kehidupan sehari-hari di rumah dan sekolah    perlu pembinaan dalam   mengenal simbol-simbol sila Pancasila dalam lambang negara “Garuda Pancasila”     </v>
          </cell>
          <cell r="L22">
            <v>83.2</v>
          </cell>
          <cell r="M22" t="str">
            <v>B</v>
          </cell>
          <cell r="N22"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22">
            <v>79.833333333333329</v>
          </cell>
          <cell r="P22" t="str">
            <v>B</v>
          </cell>
          <cell r="Q22" t="str">
            <v xml:space="preserve">Mampu  mengenal bilangan asli sampai 99 dengan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22">
            <v>78</v>
          </cell>
          <cell r="S22" t="str">
            <v>B</v>
          </cell>
          <cell r="T22" t="str">
            <v xml:space="preserve">Mampu    mengamati berbagai bahan, alat serta fungsinya dalam membuat prakarya  perlu pembinaan dalam    mengenal  pola irama lagu bervariasi menggunakan alat musik ritmis    </v>
          </cell>
          <cell r="U22">
            <v>82</v>
          </cell>
          <cell r="V22" t="str">
            <v>B</v>
          </cell>
          <cell r="W22" t="str">
            <v xml:space="preserve">Mampu   mengetahui konsep gerak dasar manipulatif sesuai dengan dimensi anggota tubuh yang  digunakan, arah, ruang  gerak, hubungan, dan usaha, dalam berbagai bentuk permainan sederhana dan atau permainan tradisional.   perlu pembinaan dalam      mengetahui konsep bergerak secara seimbang dan cepat dalam rangka pengembangan kebugaran jasmani melalui permainan sederhana dan atau tradisional.  </v>
          </cell>
          <cell r="X22">
            <v>78</v>
          </cell>
          <cell r="Y22" t="str">
            <v>B</v>
          </cell>
          <cell r="Z22"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22">
            <v>77.5</v>
          </cell>
          <cell r="AB22" t="str">
            <v>B</v>
          </cell>
          <cell r="AC22" t="str">
            <v xml:space="preserve">Mampu   Mengenal, memahami dan mengidentifikasi macam-macam compass at the map and traffic sign   perlu pembinaan dalam   Mengenal, memahami dan mengidentifikasi macam-macam kalimat (order, request, and prohibition)     </v>
          </cell>
          <cell r="AD22">
            <v>77.5</v>
          </cell>
          <cell r="AE22" t="str">
            <v>B</v>
          </cell>
          <cell r="AF22"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22">
            <v>78</v>
          </cell>
          <cell r="AH22" t="str">
            <v>B</v>
          </cell>
          <cell r="AI22" t="str">
            <v xml:space="preserve">Mampu   memahami kepribadian NU   perlu pembinaan dalam   Mengenal sejarah munculnya Ahlus Sunnah wal Jama'ah     </v>
          </cell>
          <cell r="AJ22">
            <v>84.5</v>
          </cell>
          <cell r="AK22" t="str">
            <v>B</v>
          </cell>
          <cell r="AL22" t="str">
            <v xml:space="preserve">Mampu  Mengenal fungsi ikon-ikon pendukung pengolah kata (word processing)    perlu pembinaan dalam   Mengenal software pengolah kata dengan ikon-ikon pendukung     </v>
          </cell>
          <cell r="AM22">
            <v>79.166666666666671</v>
          </cell>
          <cell r="AN22" t="str">
            <v>B</v>
          </cell>
          <cell r="AO22" t="str">
            <v xml:space="preserve">Mampu    Mencontohkan perilaku toleran dan simpati sebagai implementasi dari pemahaman Q.S. al-Kaafiruun  perlu pembinaan dalam    Menulis Q.S. al-Kaafiruun dengan jelas dan benar    </v>
          </cell>
          <cell r="AP22">
            <v>81.75</v>
          </cell>
          <cell r="AQ22" t="str">
            <v>B</v>
          </cell>
          <cell r="AR22" t="str">
            <v xml:space="preserve">Mampu    Melaksanakan tata tertib di rumah dan sekolah    perlu pembinaan dalam   Mengamati dan menceritakan perilaku di sekitar rumah dan sekolah dan mengaitkannya dengan pengenalannya terhadap salah satu simbol sila Pancasila  Mengamati dan menceriterakan kebersamaan dalam keberagaman di rumah dan sekolah   </v>
          </cell>
          <cell r="AS22">
            <v>77.599999999999994</v>
          </cell>
          <cell r="AT22" t="str">
            <v>B</v>
          </cell>
          <cell r="AU22" t="str">
            <v xml:space="preserve">Mampu    menyampaikan teks cerita diri/personal tentang keluarga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22">
            <v>77.666666666666671</v>
          </cell>
          <cell r="AW22" t="str">
            <v>B</v>
          </cell>
          <cell r="AX22" t="str">
            <v xml:space="preserve">Mampu   mendeskripsikan, mengembangkan, dan membuat pola yang berulang  perlu pembinaan dalam  menggunakan benda konkrit untuk menelusuri pecahan dan jumlah uang     </v>
          </cell>
          <cell r="AY22">
            <v>77.666666666666671</v>
          </cell>
          <cell r="AZ22" t="str">
            <v>B</v>
          </cell>
          <cell r="BA22" t="str">
            <v xml:space="preserve">Mampu     menyanyikan lagu anak-anak dan memperagakan tepuk birama dengan gerak perlu pembinaan dalam     menggambar dengan memanfaatkan beragam media kering   </v>
          </cell>
          <cell r="BB22">
            <v>77.666666666666671</v>
          </cell>
          <cell r="BC22" t="str">
            <v>B</v>
          </cell>
          <cell r="BD22" t="str">
            <v xml:space="preserve">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pola gerak dasar non-lokomotor sesuai dengan dimensi anggota tubuh yang digunakan, arah, ruang gerak, hubungan, dan usaha,dalam berbagai bentuk permainan sederhana dan atau tradisional.    </v>
          </cell>
          <cell r="BE22">
            <v>78</v>
          </cell>
          <cell r="BF22" t="str">
            <v>B</v>
          </cell>
          <cell r="BG22"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22">
            <v>84.5</v>
          </cell>
          <cell r="BI22" t="str">
            <v>B</v>
          </cell>
          <cell r="BJ22" t="str">
            <v xml:space="preserve">Mampu  Membuat percakapan tentang aktifitas berbelanja dan mempraktikkan di depan kelas berpasang-pasangan    perlu pembinaan dalam   Menulis kalimat order, request dan prohibition dengan baik sesuai dengan rumus      </v>
          </cell>
          <cell r="BK22">
            <v>84.5</v>
          </cell>
          <cell r="BL22" t="str">
            <v>B</v>
          </cell>
          <cell r="BM22" t="str">
            <v xml:space="preserve">Mampu  Menuliskan kata atau ungkapan pendek  sederhana tentang kegiatan sehari-hari disertai waktu    perlu pembinaan dalam   Memahami wacana tertulis dalam bentuk paparan atau bacaan tentang kegiatan sehari-hari disertai waktu     </v>
          </cell>
          <cell r="BN22">
            <v>77.666666666666671</v>
          </cell>
          <cell r="BO22" t="str">
            <v>B</v>
          </cell>
          <cell r="BP22" t="str">
            <v xml:space="preserve">Mampu     kd perlu pembinaan dalam     kd   </v>
          </cell>
          <cell r="BQ22">
            <v>84.5</v>
          </cell>
          <cell r="BR22" t="str">
            <v>B</v>
          </cell>
          <cell r="BS22" t="str">
            <v xml:space="preserve">Mampu  Terampil mengoperasikan ikon-ikon text box, shapes, clip art, picture dan insert tabel    perlu pembinaan dalam   Menunjukkan ikon untuk membuat gambar dan teks     </v>
          </cell>
          <cell r="BT22" t="str">
            <v xml:space="preserve">Perlu pembinaan dalam  Mengetahui simpul mati, simpul hidup, simpul anyam, simpul pangkal dan simpul jangkarMengetahui tetang Semaphore, Morse, Sandi dan tekspram serta dapat menyebutkan tanda pengenal pada seragam pramuka dan melaksanakan penempuhan SKU golongan Siaga </v>
          </cell>
          <cell r="BU22" t="str">
            <v>Futsal</v>
          </cell>
          <cell r="BV22" t="str">
            <v>baik sekali</v>
          </cell>
          <cell r="BW22">
            <v>0</v>
          </cell>
          <cell r="BX22">
            <v>0</v>
          </cell>
          <cell r="BY22" t="str">
            <v>4 hari</v>
          </cell>
          <cell r="BZ22">
            <v>0</v>
          </cell>
          <cell r="CA22">
            <v>0</v>
          </cell>
          <cell r="CB22" t="str">
            <v xml:space="preserve">Alhamdulillah, ananda selama satu semester ini sudah banyak peningkatan dalam prestasi belajarnya, mohon ditingkatkan lagi prestasinya. Jangan lupa sholat lima waktu dan selalu berdo'a. </v>
          </cell>
          <cell r="CC22" t="str">
            <v>152 cm</v>
          </cell>
          <cell r="CD22" t="str">
            <v>60 kg</v>
          </cell>
          <cell r="CE22" t="str">
            <v>Baik, normal</v>
          </cell>
          <cell r="CF22" t="str">
            <v>Baik, normal</v>
          </cell>
          <cell r="CG22" t="str">
            <v>Bagus</v>
          </cell>
          <cell r="CH22" t="str">
            <v>Futsal</v>
          </cell>
          <cell r="CI22" t="str">
            <v>Juara 1 (class meeting semester 1)</v>
          </cell>
          <cell r="CJ22">
            <v>0</v>
          </cell>
          <cell r="CK22">
            <v>0</v>
          </cell>
        </row>
        <row r="23">
          <cell r="B23">
            <v>4873</v>
          </cell>
          <cell r="C23" t="str">
            <v>Muhammad Nazil Raihan Hadi</v>
          </cell>
          <cell r="D23" t="str">
            <v xml:space="preserve">Menunjukkan sikap     yang sangat menonjol. perlu pembinaan dalam     </v>
          </cell>
          <cell r="E23" t="str">
            <v xml:space="preserve">Menunjukkan sikap   suka bekerjasama, membantu teman yang kesulitan,    Perlu bimbingan dalam sikapberani dan percaya diri ketika mengunkapkan pendapat.      </v>
          </cell>
          <cell r="F23">
            <v>78</v>
          </cell>
          <cell r="G23" t="str">
            <v>B</v>
          </cell>
          <cell r="H23" t="str">
            <v xml:space="preserve">Mampu    Memahami hikmah berzakat sebagai implementasi rukun Islam  perlu pembinaan dalam   Mengetahui makna Q.S. Al-Kaafiruun dengan benar,      </v>
          </cell>
          <cell r="I23">
            <v>84</v>
          </cell>
          <cell r="J23" t="str">
            <v>B</v>
          </cell>
          <cell r="K23"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23">
            <v>85</v>
          </cell>
          <cell r="M23" t="str">
            <v>B</v>
          </cell>
          <cell r="N23" t="str">
            <v xml:space="preserve">Mampu   mengenal teks petunjuk/arahan tentang perawatan tubuh serta pemeliharaan kesehatan dan kebugaran tubuh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23">
            <v>81.666666666666671</v>
          </cell>
          <cell r="P23" t="str">
            <v>B</v>
          </cell>
          <cell r="Q23"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23">
            <v>85.333333333333329</v>
          </cell>
          <cell r="S23" t="str">
            <v>B</v>
          </cell>
          <cell r="T23" t="str">
            <v xml:space="preserve">Mampu  mengenal  pola irama lagu bervariasi menggunakan alat musik ritmis    perlu pembinaan dalam       mengenal karya seni budaya benda dan bahasa daerah setempat </v>
          </cell>
          <cell r="U23">
            <v>79.833333333333329</v>
          </cell>
          <cell r="V23" t="str">
            <v>B</v>
          </cell>
          <cell r="W23"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23">
            <v>89</v>
          </cell>
          <cell r="Y23" t="str">
            <v>B</v>
          </cell>
          <cell r="Z23"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23">
            <v>84.5</v>
          </cell>
          <cell r="AB23" t="str">
            <v>B</v>
          </cell>
          <cell r="AC23" t="str">
            <v xml:space="preserve">Mampu Mengenal, memahami dan mengidentifikasi macam-macam kalimat (order, request, and prohibition)     perlu pembinaan dalam      Mengenal, memahami dan mengidentifikasi shopping activity (how to ask price, show the price, bargain, accept and refuse to bargain, etc)  </v>
          </cell>
          <cell r="AD23">
            <v>84.5</v>
          </cell>
          <cell r="AE23" t="str">
            <v>B</v>
          </cell>
          <cell r="AF23"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profesi dengan menggunakan pola kalimat isim isyarah/ dhamir + profesi  </v>
          </cell>
          <cell r="AG23">
            <v>89</v>
          </cell>
          <cell r="AH23" t="str">
            <v>B</v>
          </cell>
          <cell r="AI23" t="str">
            <v xml:space="preserve">Mampu Mengenal sejarah munculnya Ahlus Sunnah wal Jama'ah     perlu pembinaan dalam     memahami kepribadian NU   </v>
          </cell>
          <cell r="AJ23">
            <v>84.5</v>
          </cell>
          <cell r="AK23" t="str">
            <v>B</v>
          </cell>
          <cell r="AL23" t="str">
            <v xml:space="preserve">Mampu Mengenal software pengolah kata dengan ikon-ikon pendukung     perlu pembinaan dalam    Mengenal fungsi ikon-ikon pendukung pengolah kata (word processing)    </v>
          </cell>
          <cell r="AM23">
            <v>77.666666666666671</v>
          </cell>
          <cell r="AN23" t="str">
            <v>B</v>
          </cell>
          <cell r="AO23" t="str">
            <v>Mampu  Menulis Q.S. al-Kaafiruun dengan jelas dan benar    perlu pembinaan dalam        Menceritakan kisah keteladanan sahabat-sahabat Nabi Muhammad saw.</v>
          </cell>
          <cell r="AP23">
            <v>84</v>
          </cell>
          <cell r="AQ23" t="str">
            <v>B</v>
          </cell>
          <cell r="AR23" t="str">
            <v xml:space="preserve">Mampu    Mengamati dan menceriterakan kebersamaan dalam keberagaman di rumah dan sekolah   perlu pembinaan dalam      Mengamati dan menceriterakan keberagaman karateristik individu di rumah dan sekolah  </v>
          </cell>
          <cell r="AS23">
            <v>80.8</v>
          </cell>
          <cell r="AT23" t="str">
            <v>B</v>
          </cell>
          <cell r="AU23"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23">
            <v>82.5</v>
          </cell>
          <cell r="AW23" t="str">
            <v>B</v>
          </cell>
          <cell r="AX23" t="str">
            <v xml:space="preserve">Mampu menggunakan benda konkrit untuk menelusuri pecahan dan jumlah uang     perlu pembinaan dalam 0     </v>
          </cell>
          <cell r="AY23">
            <v>82.5</v>
          </cell>
          <cell r="AZ23" t="str">
            <v>B</v>
          </cell>
          <cell r="BA23" t="str">
            <v xml:space="preserve">Mampu   menggambar dengan memanfaatkan beragam media kering   perlu pembinaan dalam   menggambar ekspresi dengan mengolah garis, warna dan bentuk berdasarkan hasil pengamatan di lingkungan sekitar     </v>
          </cell>
          <cell r="BB23">
            <v>82.5</v>
          </cell>
          <cell r="BC23" t="str">
            <v>B</v>
          </cell>
          <cell r="BD23"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23">
            <v>89</v>
          </cell>
          <cell r="BF23" t="str">
            <v>B</v>
          </cell>
          <cell r="BG23"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23">
            <v>84.5</v>
          </cell>
          <cell r="BI23" t="str">
            <v>B</v>
          </cell>
          <cell r="BJ23" t="str">
            <v xml:space="preserve">Mampu Menulis kalimat order, request dan prohibition dengan baik sesuai dengan rumus      perlu pembinaan dalam    Membuat percakapan tentang aktifitas berbelanja dan mempraktikkan di depan kelas berpasang-pasangan    </v>
          </cell>
          <cell r="BK23">
            <v>84.5</v>
          </cell>
          <cell r="BL23" t="str">
            <v>B</v>
          </cell>
          <cell r="BM23" t="str">
            <v xml:space="preserve">Mampu Memahami wacana tertulis dalam bentuk paparan atau bacaan tentang kegiatan sehari-hari disertai waktu     perlu pembinaan dalam    Menuliskan kata atau ungkapan pendek  sederhana tentang kegiatan sehari-hari disertai waktu    </v>
          </cell>
          <cell r="BN23">
            <v>82.5</v>
          </cell>
          <cell r="BO23" t="str">
            <v>B</v>
          </cell>
          <cell r="BP23" t="str">
            <v xml:space="preserve">Mampu   kd   perlu pembinaan dalam   kd     </v>
          </cell>
          <cell r="BQ23">
            <v>84.5</v>
          </cell>
          <cell r="BR23" t="str">
            <v>B</v>
          </cell>
          <cell r="BS23" t="str">
            <v xml:space="preserve">Mampu Menunjukkan ikon untuk membuat gambar dan teks     perlu pembinaan dalam    Terampil mengoperasikan ikon-ikon text box, shapes, clip art, picture dan insert tabel    </v>
          </cell>
          <cell r="BT23"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23" t="str">
            <v>Drumband</v>
          </cell>
          <cell r="BV23" t="str">
            <v>baik sekali</v>
          </cell>
          <cell r="BW23">
            <v>0</v>
          </cell>
          <cell r="BX23">
            <v>0</v>
          </cell>
          <cell r="BY23" t="str">
            <v>3 hari</v>
          </cell>
          <cell r="BZ23">
            <v>0</v>
          </cell>
          <cell r="CA23">
            <v>0</v>
          </cell>
          <cell r="CB23" t="str">
            <v xml:space="preserve">Alhamdulillah, ananda selama satu semester ini sudah banyak peningkatan dalam prestasi belajarnya, mohon ditingkatkan konsentrasi ketika pembelajaran  agar prestasi ananda lebih baik lagi.  Jangan lupa sholat lima waktu dan selalu berdo'a. </v>
          </cell>
          <cell r="CC23" t="str">
            <v>126 cm</v>
          </cell>
          <cell r="CD23" t="str">
            <v>21 kg</v>
          </cell>
          <cell r="CE23" t="str">
            <v>Baik, normal</v>
          </cell>
          <cell r="CF23" t="str">
            <v>Baik, normal</v>
          </cell>
          <cell r="CG23" t="str">
            <v xml:space="preserve">Geraham atas kanan-kiri karies, Geraham bawah kanan-kiri karies dan sisa akar. </v>
          </cell>
          <cell r="CH23">
            <v>0</v>
          </cell>
          <cell r="CI23">
            <v>0</v>
          </cell>
          <cell r="CJ23">
            <v>0</v>
          </cell>
          <cell r="CK23">
            <v>0</v>
          </cell>
        </row>
        <row r="24">
          <cell r="B24">
            <v>4878</v>
          </cell>
          <cell r="C24" t="str">
            <v>Nur Dian Alamanda</v>
          </cell>
          <cell r="D24" t="str">
            <v xml:space="preserve">Menunjukkan sikap     yang sangat menonjol. perlu pembinaan dalam     </v>
          </cell>
          <cell r="E24" t="str">
            <v xml:space="preserve">Menunjukkan sikap   suka bekerjasama, membantu teman yang kesulitan,    Perlu bimbingan dalam sikapberani dan percaya diri ketika mengunkapkan pendapat.      </v>
          </cell>
          <cell r="F24">
            <v>78</v>
          </cell>
          <cell r="G24" t="str">
            <v>B</v>
          </cell>
          <cell r="H24" t="str">
            <v xml:space="preserve">Mampu  Mengerti makna Asma'ul Husna : as-Samad, al- Muqtadir, al-Muqaddim, al-Baqi    perlu pembinaan dalam      Memahami hikmah berzakat sebagai implementasi rukun Islam  </v>
          </cell>
          <cell r="I24">
            <v>74.75</v>
          </cell>
          <cell r="J24" t="str">
            <v>C</v>
          </cell>
          <cell r="K24" t="str">
            <v xml:space="preserve">Mampu    mengenal arti bersatu dalam keberagaman di rumah dan sekolah  perlu pembinaan dalam    mengenal tata tertib dan aturan yang berlaku dalam kehidupan sehari-hari di rumah dan sekolah    </v>
          </cell>
          <cell r="L24">
            <v>78.400000000000006</v>
          </cell>
          <cell r="M24" t="str">
            <v>B</v>
          </cell>
          <cell r="N24" t="str">
            <v xml:space="preserve">Mampu    Mengenal teks cerita diri/personal tentang keberadaan keluarga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24">
            <v>75.5</v>
          </cell>
          <cell r="P24" t="str">
            <v>C</v>
          </cell>
          <cell r="Q24" t="str">
            <v xml:space="preserve">Mampu     mengenal bangun datar dan bangun ruang menggunakan benda-benda yang ada di sekitar rumah, sekolah, atau tempat bermain. perlu pembinaan dalam    mengenal bilangan asli sampai 99 dengan menggunakan benda-benda yang ada di sekitar rumah, sekolah, atau tempat bermain    </v>
          </cell>
          <cell r="R24">
            <v>79.833333333333329</v>
          </cell>
          <cell r="S24" t="str">
            <v>B</v>
          </cell>
          <cell r="T24" t="str">
            <v>Mampu   mengenal unsur-unsur gerak, bagian-bagian gerak anggota tubuh dan level gerak dalam menari   perlu pembinaan dalam      mengamati berbagai bahan, alat serta fungsinya dalam membuat prakarya menggambar ekspresi dengan mengolah garis, warna dan bentuk berdasarkan hasil pengamatan di lingkungan sekitar</v>
          </cell>
          <cell r="U24">
            <v>78</v>
          </cell>
          <cell r="V24" t="str">
            <v>B</v>
          </cell>
          <cell r="W24" t="str">
            <v xml:space="preserve">Mampu   mengetahui konsep gerak dasar manipulatif sesuai dengan dimensi anggota tubuh yang  digunakan, arah, ruang  gerak, hubungan, dan usaha, dalam berbagai bentuk permainan sederhana dan atau permainan tradisional.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24">
            <v>81.666666666666671</v>
          </cell>
          <cell r="Y24" t="str">
            <v>B</v>
          </cell>
          <cell r="Z24"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24">
            <v>83.5</v>
          </cell>
          <cell r="AB24" t="str">
            <v>B</v>
          </cell>
          <cell r="AC24" t="str">
            <v xml:space="preserve">Mampu  Mengenal, memahami dan mengidentifikasi macam-macam weather and season based on the country    perlu pembinaan dalam     Mengenal, memahami dan mengidentifikasi macam-macam compass at the map and traffic sign   </v>
          </cell>
          <cell r="AD24">
            <v>83.5</v>
          </cell>
          <cell r="AE24" t="str">
            <v>B</v>
          </cell>
          <cell r="AF24"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24">
            <v>81.666666666666671</v>
          </cell>
          <cell r="AH24" t="str">
            <v>B</v>
          </cell>
          <cell r="AI24" t="str">
            <v xml:space="preserve">Mampu  Memahami amaliah NU    perlu pembinaan dalam     memahami kepribadian NU   </v>
          </cell>
          <cell r="AJ24">
            <v>83.5</v>
          </cell>
          <cell r="AK24" t="str">
            <v>B</v>
          </cell>
          <cell r="AL24" t="str">
            <v xml:space="preserve">Mampu Mengenal software pengolah kata dengan ikon-ikon pendukung     perlu pembinaan dalam    Mengenal fungsi ikon-ikon pendukung pengolah kata (word processing)    </v>
          </cell>
          <cell r="AM24">
            <v>82</v>
          </cell>
          <cell r="AN24" t="str">
            <v>B</v>
          </cell>
          <cell r="AO24" t="str">
            <v xml:space="preserve">Mampu   Menyebutkan arti Q.S. al-Kaafiruun dengan jelas dan benar   perlu pembinaan dalam      Mencontohkan perilaku toleran dan simpati sebagai implementasi dari pemahaman Q.S. al-Kaafiruun  </v>
          </cell>
          <cell r="AP24">
            <v>81.25</v>
          </cell>
          <cell r="AQ24" t="str">
            <v>B</v>
          </cell>
          <cell r="AR24" t="str">
            <v xml:space="preserve">Mampu Mengamati dan menceritakan perilaku di sekitar rumah dan sekolah dan mengaitkannya dengan pengenalannya terhadap salah satu simbol sila Pancasila     perlu pembinaan dalam      Melaksanakan tata tertib di rumah dan sekolah    </v>
          </cell>
          <cell r="AS24">
            <v>82.4</v>
          </cell>
          <cell r="AT24" t="str">
            <v>B</v>
          </cell>
          <cell r="AU24" t="str">
            <v xml:space="preserve">Mampu   menyampaikan teks terima kasih mengenai sikap kasih sayang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24">
            <v>82</v>
          </cell>
          <cell r="AW24" t="str">
            <v>B</v>
          </cell>
          <cell r="AX24" t="str">
            <v xml:space="preserve">Mampu  mengemukakan kembali dengan kalimat sendiri dan memecahkan masalah yang berkaitan dengan penjumlahan dan pengurangan terkait dengan aktivitas sehari-hari serta memeriksa kebenarannya   perlu pembinaan dalam    mendeskripsikan, mengembangkan, dan membuat pola yang berulang  </v>
          </cell>
          <cell r="AY24">
            <v>82</v>
          </cell>
          <cell r="AZ24" t="str">
            <v>B</v>
          </cell>
          <cell r="BA24" t="str">
            <v xml:space="preserve">Mampu    Membentuk karya seni ekspresi dari bahan lunak  perlu pembinaan dalam       menyanyikan lagu anak-anak dan memperagakan tepuk birama dengan gerak </v>
          </cell>
          <cell r="BB24">
            <v>82</v>
          </cell>
          <cell r="BC24" t="str">
            <v>B</v>
          </cell>
          <cell r="BD24" t="str">
            <v xml:space="preserve">Mampu    mempraktikkan aktivitas pengembangan kebugaran jasmani untuk melatih keseimbangan dan kecepatan tubuh melalui permainan sederhanadan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24">
            <v>81.666666666666671</v>
          </cell>
          <cell r="BF24" t="str">
            <v>B</v>
          </cell>
          <cell r="BG24" t="str">
            <v xml:space="preserve">Mampu  menceritakan isi tembang macapat.     perlu pembinaan dalam     menanggapi teks lisan maupun tulis yang memuat ungkapan tradisional Jawa/ Madura (paribasan, bebasan, saloka)   </v>
          </cell>
          <cell r="BH24">
            <v>83.5</v>
          </cell>
          <cell r="BI24" t="str">
            <v>B</v>
          </cell>
          <cell r="BJ24" t="str">
            <v xml:space="preserve">Mampu Menulis kalimat order, request dan prohibition dengan baik sesuai dengan rumus      perlu pembinaan dalam    Membuat percakapan tentang aktifitas berbelanja dan mempraktikkan di depan kelas berpasang-pasangan    </v>
          </cell>
          <cell r="BK24">
            <v>83.5</v>
          </cell>
          <cell r="BL24" t="str">
            <v>B</v>
          </cell>
          <cell r="BM24" t="str">
            <v xml:space="preserve">Mampu Memahami wacana tertulis dalam bentuk paparan atau bacaan tentang kegiatan sehari-hari disertai waktu     perlu pembinaan dalam    Menuliskan kata atau ungkapan pendek  sederhana tentang kegiatan sehari-hari disertai waktu    </v>
          </cell>
          <cell r="BN24">
            <v>82</v>
          </cell>
          <cell r="BO24" t="str">
            <v>B</v>
          </cell>
          <cell r="BP24" t="str">
            <v xml:space="preserve">Mampu    kd  perlu pembinaan dalam       kd </v>
          </cell>
          <cell r="BQ24">
            <v>83.5</v>
          </cell>
          <cell r="BR24" t="str">
            <v>B</v>
          </cell>
          <cell r="BS24" t="str">
            <v xml:space="preserve">Mampu Menunjukkan ikon untuk membuat gambar dan teks     perlu pembinaan dalam    Terampil mengoperasikan ikon-ikon text box, shapes, clip art, picture dan insert tabel    </v>
          </cell>
          <cell r="BT24" t="str">
            <v xml:space="preserve"> 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24" t="str">
            <v>Drumband</v>
          </cell>
          <cell r="BV24" t="str">
            <v>baik sekali</v>
          </cell>
          <cell r="BW24">
            <v>0</v>
          </cell>
          <cell r="BX24">
            <v>0</v>
          </cell>
          <cell r="BY24">
            <v>0</v>
          </cell>
          <cell r="BZ24">
            <v>0</v>
          </cell>
          <cell r="CA24">
            <v>0</v>
          </cell>
          <cell r="CB24" t="str">
            <v xml:space="preserve">Alhamdulillah, ananda selama satu semester ini sudah banyak peningkatan dalam prestasi belajarnya, mohon ditingkatkan lagi prestasinya. Jangan lupa sholat lima waktu dan selalu berdo'a. </v>
          </cell>
          <cell r="CC24" t="str">
            <v>140 cm</v>
          </cell>
          <cell r="CD24" t="str">
            <v>30 kg</v>
          </cell>
          <cell r="CE24" t="str">
            <v>Baik, normal</v>
          </cell>
          <cell r="CF24" t="str">
            <v>Baik, normal</v>
          </cell>
          <cell r="CG24" t="str">
            <v>Geraham kanan atas karies, geraham bawah kanan-kiri karies</v>
          </cell>
          <cell r="CH24">
            <v>0</v>
          </cell>
          <cell r="CI24">
            <v>0</v>
          </cell>
          <cell r="CJ24">
            <v>0</v>
          </cell>
          <cell r="CK24">
            <v>0</v>
          </cell>
        </row>
        <row r="25">
          <cell r="B25">
            <v>4882</v>
          </cell>
          <cell r="C25" t="str">
            <v>Qoriatul Ardisyah Nur Faidah</v>
          </cell>
          <cell r="D25" t="str">
            <v xml:space="preserve">Menunjukkan sikap     yang sangat menonjol. perlu pembinaan dalam     </v>
          </cell>
          <cell r="E25" t="str">
            <v xml:space="preserve">Menunjukkan sikap   suka bekerjasama, membantu teman yang kesulitan,    Perlu bimbingan dalam sikapberani dan percaya diri ketika mengunkapkan pendapat.      </v>
          </cell>
          <cell r="F25">
            <v>84.5</v>
          </cell>
          <cell r="G25" t="str">
            <v>B</v>
          </cell>
          <cell r="H25" t="str">
            <v xml:space="preserve">Mampu     Mengetahui kisah Nabi Muhammad saw. perlu pembinaan dalam     Memahami hikmah beriman kepada Hari Akhir yang dapat membentuk perilaku akhlak mulia
   </v>
          </cell>
          <cell r="I25">
            <v>83.5</v>
          </cell>
          <cell r="J25" t="str">
            <v>B</v>
          </cell>
          <cell r="K25" t="str">
            <v xml:space="preserve">Mampu   mengenal keberagaman karateristik individu di rumah dan di sekolah   perlu pembinaan dalam   mengenal simbol-simbol sila Pancasila dalam lambang negara “Garuda Pancasila”     </v>
          </cell>
          <cell r="L25">
            <v>77.2</v>
          </cell>
          <cell r="M25" t="str">
            <v>B</v>
          </cell>
          <cell r="N25"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25">
            <v>84</v>
          </cell>
          <cell r="P25" t="str">
            <v>B</v>
          </cell>
          <cell r="Q25" t="str">
            <v xml:space="preserve">Mampu   mengenal dan memprediksi pola-pola bilangan sederhana menggunakan gambar-gambar/benda konkrit  menemukan bangun yang membentuk pola pengubinan sederhanaperlu pembinaan dalam   mengenal lambang bilangan dan mendeskripsikan kemunculan bilangan dengan bahasa yang sederhana   menunjukkan pemahaman tentang besaran dengan menghitung maju sampai 100 dan mundur dari 20  </v>
          </cell>
          <cell r="R25">
            <v>77.833333333333329</v>
          </cell>
          <cell r="S25" t="str">
            <v>B</v>
          </cell>
          <cell r="T25" t="str">
            <v xml:space="preserve">Mampu     mengenal karya seni budaya benda dan bahasa daerah setempat perlu pembinaan dalam    mengenal  pola irama lagu bervariasi menggunakan alat musik ritmis    </v>
          </cell>
          <cell r="U25">
            <v>83.833333333333329</v>
          </cell>
          <cell r="V25" t="str">
            <v>B</v>
          </cell>
          <cell r="W25" t="str">
            <v xml:space="preserve">Mampu      mengetahui konsep penggunaan pola gerak dasar lokomotor dan non-lokomotor sesuai dengan irama (ketukan) tanpa/ dengan musik dalam aktivitas gerak rimtik. perlu pembinaan dalam      mengetahui konsep bergerak secara seimbang dan cepat dalam rangka pengembangan kebugaran jasmani melalui permainan sederhana dan atau tradisional.  </v>
          </cell>
          <cell r="X25">
            <v>73.666666666666671</v>
          </cell>
          <cell r="Y25" t="str">
            <v>C</v>
          </cell>
          <cell r="Z25"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25">
            <v>78</v>
          </cell>
          <cell r="AB25" t="str">
            <v>B</v>
          </cell>
          <cell r="AC25" t="str">
            <v xml:space="preserve">Mampu    Mengenal, memahami dan mengidentifikasi shopping activity (how to ask price, show the price, bargain, accept and refuse to bargain, etc)  perlu pembinaan dalam   Mengenal, memahami dan mengidentifikasi macam-macam kalimat (order, request, and prohibition)     </v>
          </cell>
          <cell r="AD25">
            <v>78</v>
          </cell>
          <cell r="AE25" t="str">
            <v>B</v>
          </cell>
          <cell r="AF25" t="str">
            <v xml:space="preserve">Mampu    Memahami wacana dalam bentuk paparan tentang profesi dengan menggunakan pola kalimat isim isyarah/ dhamir + profesi  perlu pembinaan dalam   Memahami wacana dalam bentuk paparan tentang perkenalan diri (1) dengan menggunakan pola kalimat yang meliputi isim isyarah (kata tunjuk) orang atau benda yang dekat (haadza, haadzihi) + alam + isim mufrad     </v>
          </cell>
          <cell r="AG25">
            <v>73.666666666666671</v>
          </cell>
          <cell r="AH25" t="str">
            <v>C</v>
          </cell>
          <cell r="AI25" t="str">
            <v xml:space="preserve">Mampu   memahami kepribadian NU   perlu pembinaan dalam   Mengenal sejarah munculnya Ahlus Sunnah wal Jama'ah     </v>
          </cell>
          <cell r="AJ25">
            <v>77.5</v>
          </cell>
          <cell r="AK25" t="str">
            <v>B</v>
          </cell>
          <cell r="AL25" t="str">
            <v xml:space="preserve">Mampu  Mengenal fungsi ikon-ikon pendukung pengolah kata (word processing)    perlu pembinaan dalam   Mengenal software pengolah kata dengan ikon-ikon pendukung     </v>
          </cell>
          <cell r="AM25">
            <v>79.5</v>
          </cell>
          <cell r="AN25" t="str">
            <v>B</v>
          </cell>
          <cell r="AO25" t="str">
            <v xml:space="preserve">Mampu     Menceritakan kisah keteladanan Nabi Muhammad saw. perlu pembinaan dalam    Menulis Q.S. al-Kaafiruun dengan jelas dan benar    </v>
          </cell>
          <cell r="AP25">
            <v>82.5</v>
          </cell>
          <cell r="AQ25" t="str">
            <v>B</v>
          </cell>
          <cell r="AR25" t="str">
            <v xml:space="preserve">Mampu    Mengamati dan menceriterakan keberagaman karateristik individu di rumah dan sekolah  perlu pembinaan dalam      Mengamati dan menceriterakan kebersamaan dalam keberagaman di rumah dan sekolah   </v>
          </cell>
          <cell r="AS25">
            <v>80.2</v>
          </cell>
          <cell r="AT25" t="str">
            <v>B</v>
          </cell>
          <cell r="AU25" t="str">
            <v xml:space="preserve">Mampu     membuat teks diagram/label  tentang anggota keluarga dan kerabat secara mandiri dalam bahasa Indonesia lisan dan tulis yang dapat diisi dengan kosa kat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25">
            <v>79.5</v>
          </cell>
          <cell r="AW25" t="str">
            <v>B</v>
          </cell>
          <cell r="AX25" t="str">
            <v xml:space="preserve">Mampu    membentuk berbagai bangun datar dengan menggunakan papan berpaku atau media lainnya perlu pembinaan dalam  menggunakan benda konkrit untuk menelusuri pecahan dan jumlah uang     </v>
          </cell>
          <cell r="AY25">
            <v>79.5</v>
          </cell>
          <cell r="AZ25" t="str">
            <v>B</v>
          </cell>
          <cell r="BA25" t="str">
            <v xml:space="preserve">Mampu      memainkan pola irama lagu bertanda birama dua dengan tepuk dan gerakperlu pembinaan dalam     menggambar dengan memanfaatkan beragam media kering   </v>
          </cell>
          <cell r="BB25">
            <v>79.5</v>
          </cell>
          <cell r="BC25" t="str">
            <v>B</v>
          </cell>
          <cell r="BD25" t="str">
            <v xml:space="preserve">Mampu      mempraktikkan penggunaan pola gerak dasar lokomotor dan non-lokomotor sesuai dengan irama (ketukan) tanpa/dengan musik dalam aktivitas gerak rimtik.perlu pembinaan dalam    mempraktikkan pola gerak dasar non-lokomotor sesuai dengan dimensi anggota tubuh yang digunakan, arah, ruang gerak, hubungan, dan usaha,dalam berbagai bentuk permainan sederhana dan atau tradisional.    </v>
          </cell>
          <cell r="BE25">
            <v>73.666666666666671</v>
          </cell>
          <cell r="BF25" t="str">
            <v>C</v>
          </cell>
          <cell r="BG25"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25">
            <v>77.5</v>
          </cell>
          <cell r="BI25" t="str">
            <v>B</v>
          </cell>
          <cell r="BJ25" t="str">
            <v xml:space="preserve">Mampu  Membuat percakapan tentang aktifitas berbelanja dan mempraktikkan di depan kelas berpasang-pasangan    perlu pembinaan dalam   Menulis kalimat order, request dan prohibition dengan baik sesuai dengan rumus      </v>
          </cell>
          <cell r="BK25">
            <v>77.5</v>
          </cell>
          <cell r="BL25" t="str">
            <v>B</v>
          </cell>
          <cell r="BM25" t="str">
            <v xml:space="preserve">Mampu  Menuliskan kata atau ungkapan pendek  sederhana tentang kegiatan sehari-hari disertai waktu    perlu pembinaan dalam   Memahami wacana tertulis dalam bentuk paparan atau bacaan tentang kegiatan sehari-hari disertai waktu     </v>
          </cell>
          <cell r="BN25">
            <v>79.5</v>
          </cell>
          <cell r="BO25" t="str">
            <v>B</v>
          </cell>
          <cell r="BP25" t="str">
            <v xml:space="preserve">Mampu      kdperlu pembinaan dalam     kd   </v>
          </cell>
          <cell r="BQ25">
            <v>77.5</v>
          </cell>
          <cell r="BR25" t="str">
            <v>B</v>
          </cell>
          <cell r="BS25" t="str">
            <v xml:space="preserve">Mampu  Terampil mengoperasikan ikon-ikon text box, shapes, clip art, picture dan insert tabel    perlu pembinaan dalam   Menunjukkan ikon untuk membuat gambar dan teks     </v>
          </cell>
          <cell r="BT25" t="str">
            <v xml:space="preserve"> 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25" t="str">
            <v>Lukis</v>
          </cell>
          <cell r="BV25" t="str">
            <v>baik sekali</v>
          </cell>
          <cell r="BW25">
            <v>0</v>
          </cell>
          <cell r="BX25">
            <v>0</v>
          </cell>
          <cell r="BY25" t="str">
            <v>4 hari</v>
          </cell>
          <cell r="BZ25">
            <v>0</v>
          </cell>
          <cell r="CA25">
            <v>0</v>
          </cell>
          <cell r="CB25" t="str">
            <v xml:space="preserve">Alhamdulillah, ananda selama satu semester ini sudah banyak peningkatan dalam prestasi belajarnya, mohon ditingkatkan lagi prestasinya. Jangan lupa sholat lima waktu dan selalu berdo'a. </v>
          </cell>
          <cell r="CC25" t="str">
            <v>136 cm</v>
          </cell>
          <cell r="CD25" t="str">
            <v>29 kg</v>
          </cell>
          <cell r="CE25" t="str">
            <v>Baik, normal</v>
          </cell>
          <cell r="CF25" t="str">
            <v>Baik, normal</v>
          </cell>
          <cell r="CG25" t="str">
            <v>Geraham bawah kiri karies</v>
          </cell>
          <cell r="CH25">
            <v>0</v>
          </cell>
          <cell r="CI25">
            <v>0</v>
          </cell>
          <cell r="CJ25">
            <v>0</v>
          </cell>
          <cell r="CK25">
            <v>0</v>
          </cell>
        </row>
        <row r="26">
          <cell r="B26">
            <v>4884</v>
          </cell>
          <cell r="C26" t="str">
            <v xml:space="preserve">Queenta Nindya Maharani </v>
          </cell>
          <cell r="D26" t="str">
            <v xml:space="preserve">Menunjukkan sikap     yang sangat menonjol. perlu pembinaan dalam     </v>
          </cell>
          <cell r="E26" t="str">
            <v xml:space="preserve">Menunjukkan sikap   suka bekerjasama, membantu teman yang kesulitan,    Perlu bimbingan dalam sikapberani dan percaya diri ketika mengunkapkan pendapat.      </v>
          </cell>
          <cell r="F26">
            <v>80</v>
          </cell>
          <cell r="G26" t="str">
            <v>B</v>
          </cell>
          <cell r="H26" t="str">
            <v xml:space="preserve">Mampu Mengetahui makna Q.S. Al-Kaafiruun dengan benar,      perlu pembinaan dalam       Mengetahui kisah Nabi Muhammad saw. </v>
          </cell>
          <cell r="I26">
            <v>77.75</v>
          </cell>
          <cell r="J26" t="str">
            <v>B</v>
          </cell>
          <cell r="K26" t="str">
            <v xml:space="preserve">Mampu mengenal simbol-simbol sila Pancasila dalam lambang negara “Garuda Pancasila”     perlu pembinaan dalam     mengenal keberagaman karateristik individu di rumah dan di sekolah   </v>
          </cell>
          <cell r="L26">
            <v>81.2</v>
          </cell>
          <cell r="M26" t="str">
            <v>B</v>
          </cell>
          <cell r="N26"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26">
            <v>77.666666666666671</v>
          </cell>
          <cell r="P26" t="str">
            <v>B</v>
          </cell>
          <cell r="Q26"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26">
            <v>79.666666666666671</v>
          </cell>
          <cell r="S26" t="str">
            <v>B</v>
          </cell>
          <cell r="T26" t="str">
            <v xml:space="preserve">Mampu   mengenal unsur-unsur gerak, bagian-bagian gerak anggota tubuh dan level gerak dalam menari   perlu pembinaan dalam       mengenal karya seni budaya benda dan bahasa daerah setempat </v>
          </cell>
          <cell r="U26">
            <v>79.666666666666671</v>
          </cell>
          <cell r="V26" t="str">
            <v>B</v>
          </cell>
          <cell r="W26"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26">
            <v>81.666666666666671</v>
          </cell>
          <cell r="Y26" t="str">
            <v>B</v>
          </cell>
          <cell r="Z26"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26">
            <v>77.5</v>
          </cell>
          <cell r="AB26" t="str">
            <v>B</v>
          </cell>
          <cell r="AC26"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26">
            <v>77.5</v>
          </cell>
          <cell r="AE26" t="str">
            <v>B</v>
          </cell>
          <cell r="AF26"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26">
            <v>81.666666666666671</v>
          </cell>
          <cell r="AH26" t="str">
            <v>B</v>
          </cell>
          <cell r="AI26" t="str">
            <v xml:space="preserve">Mampu  Memahami amaliah NU    perlu pembinaan dalam     memahami kepribadian NU   </v>
          </cell>
          <cell r="AJ26">
            <v>83.5</v>
          </cell>
          <cell r="AK26" t="str">
            <v>B</v>
          </cell>
          <cell r="AL26" t="str">
            <v xml:space="preserve">Mampu Mengenal software pengolah kata dengan ikon-ikon pendukung     perlu pembinaan dalam    Mengenal fungsi ikon-ikon pendukung pengolah kata (word processing)    </v>
          </cell>
          <cell r="AM26">
            <v>79.833333333333329</v>
          </cell>
          <cell r="AN26" t="str">
            <v>B</v>
          </cell>
          <cell r="AO26" t="str">
            <v xml:space="preserve">Mampu Membaca Q.S. al-Kaafiruun dengan jelas dan benar Menyebutkan arti Q.S. al-Kaafiruun dengan jelas dan benar   perlu pembinaan dalam       Menceritakan kisah keteladanan Nabi Muhammad saw. </v>
          </cell>
          <cell r="AP26">
            <v>77.75</v>
          </cell>
          <cell r="AQ26" t="str">
            <v>B</v>
          </cell>
          <cell r="AR26"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26">
            <v>80.2</v>
          </cell>
          <cell r="AT26" t="str">
            <v>B</v>
          </cell>
          <cell r="AU26"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menyampaikan teks terima kasih mengenai sikap kasih sayang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26">
            <v>79.833333333333329</v>
          </cell>
          <cell r="AW26" t="str">
            <v>B</v>
          </cell>
          <cell r="AX26" t="str">
            <v xml:space="preserve">Mampu0 mengemukakan kembali dengan kalimat sendiri dan memecahkan masalah yang berkaitan dengan penjumlahan dan pengurangan terkait dengan aktivitas sehari-hari serta memeriksa kebenarannya   perlu pembinaan dalam     membentuk berbagai bangun datar dengan menggunakan papan berpaku atau media lainnya </v>
          </cell>
          <cell r="AY26">
            <v>79.833333333333329</v>
          </cell>
          <cell r="AZ26" t="str">
            <v>B</v>
          </cell>
          <cell r="BA26" t="str">
            <v>Mampu menggambar ekspresi dengan mengolah garis, warna dan bentuk berdasarkan hasil pengamatan di lingkungan sekitar  Membentuk karya seni ekspresi dari bahan lunak  perlu pembinaan dalam        memainkan pola irama lagu bertanda birama dua dengan tepuk dan gerak</v>
          </cell>
          <cell r="BB26">
            <v>79.833333333333329</v>
          </cell>
          <cell r="BC26" t="str">
            <v>B</v>
          </cell>
          <cell r="BD26" t="str">
            <v>Mampu mempraktikkan pola gerak dasar lokomotor sesuai dengan dimensi anggota tubuh yang digunakan, arah, ruang gerak, hubungan dan usaha, dalam berbagai bentuk permainan sederhana dan atau tradisional.  mempraktikkan aktivitas pengembangan kebugaran jasmani untuk melatih keseimbangan dan kecepatan tubuh melalui permainan sederhanadan dan atau tradisional.  perlu pembinaan dalam        mempraktikkan penggunaan pola gerak dasar lokomotor dan non-lokomotor sesuai dengan irama (ketukan) tanpa/dengan musik dalam aktivitas gerak rimtik.</v>
          </cell>
          <cell r="BE26">
            <v>81.666666666666671</v>
          </cell>
          <cell r="BF26" t="str">
            <v>B</v>
          </cell>
          <cell r="BG26" t="str">
            <v xml:space="preserve">Mampu  menceritakan isi tembang macapat.     perlu pembinaan dalam     menanggapi teks lisan maupun tulis yang memuat ungkapan tradisional Jawa/ Madura (paribasan, bebasan, saloka)   </v>
          </cell>
          <cell r="BH26">
            <v>83.5</v>
          </cell>
          <cell r="BI26" t="str">
            <v>B</v>
          </cell>
          <cell r="BJ26" t="str">
            <v xml:space="preserve">Mampu Menulis kalimat order, request dan prohibition dengan baik sesuai dengan rumus      perlu pembinaan dalam    Membuat percakapan tentang aktifitas berbelanja dan mempraktikkan di depan kelas berpasang-pasangan    </v>
          </cell>
          <cell r="BK26">
            <v>83.5</v>
          </cell>
          <cell r="BL26" t="str">
            <v>B</v>
          </cell>
          <cell r="BM26" t="str">
            <v xml:space="preserve">Mampu Memahami wacana tertulis dalam bentuk paparan atau bacaan tentang kegiatan sehari-hari disertai waktu     perlu pembinaan dalam    Menuliskan kata atau ungkapan pendek  sederhana tentang kegiatan sehari-hari disertai waktu    </v>
          </cell>
          <cell r="BN26">
            <v>79.833333333333329</v>
          </cell>
          <cell r="BO26" t="str">
            <v>B</v>
          </cell>
          <cell r="BP26" t="str">
            <v>Mampu kd  kd  perlu pembinaan dalam        kd</v>
          </cell>
          <cell r="BQ26">
            <v>83.5</v>
          </cell>
          <cell r="BR26" t="str">
            <v>B</v>
          </cell>
          <cell r="BS26" t="str">
            <v xml:space="preserve">Mampu Menunjukkan ikon untuk membuat gambar dan teks     perlu pembinaan dalam    Terampil mengoperasikan ikon-ikon text box, shapes, clip art, picture dan insert tabel    </v>
          </cell>
          <cell r="BT26"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26" t="str">
            <v>Lukis</v>
          </cell>
          <cell r="BV26" t="str">
            <v>baik sekali</v>
          </cell>
          <cell r="BW26">
            <v>0</v>
          </cell>
          <cell r="BX26">
            <v>0</v>
          </cell>
          <cell r="BY26">
            <v>0</v>
          </cell>
          <cell r="BZ26">
            <v>0</v>
          </cell>
          <cell r="CA26" t="str">
            <v>1 hari</v>
          </cell>
          <cell r="CB26" t="str">
            <v xml:space="preserve">Alhamdulillah, ananda selama satu semester ini sudah banyak peningkatan dalam prestasi belajarnya, mohon ditingkatkan lagi prestasinya. Jangan lupa sholat lima waktu dan selalu berdo'a. </v>
          </cell>
          <cell r="CC26" t="str">
            <v>128 cm</v>
          </cell>
          <cell r="CD26" t="str">
            <v>26 kg</v>
          </cell>
          <cell r="CE26" t="str">
            <v>Baik, normal</v>
          </cell>
          <cell r="CF26" t="str">
            <v>Baik, normal</v>
          </cell>
          <cell r="CG26" t="str">
            <v>Geraham atas kanan karies</v>
          </cell>
          <cell r="CH26" t="str">
            <v>Lomba mengarang dengan tema Ibuku Tersayang</v>
          </cell>
          <cell r="CI26" t="str">
            <v>Juara harapan 1 pada sekolah jenjang kelas 4</v>
          </cell>
          <cell r="CJ26">
            <v>0</v>
          </cell>
          <cell r="CK26">
            <v>0</v>
          </cell>
        </row>
        <row r="27">
          <cell r="B27">
            <v>4885</v>
          </cell>
          <cell r="C27" t="str">
            <v xml:space="preserve">Raden Galen Bratasena </v>
          </cell>
          <cell r="D27" t="str">
            <v xml:space="preserve">Menunjukkan sikap     yang sangat menonjol. perlu pembinaan dalam     </v>
          </cell>
          <cell r="E27" t="str">
            <v xml:space="preserve">Menunjukkan sikap   suka bekerjasama, membantu teman yang kesulitan,    Perlu bimbingan dalam sikapberani dan percaya diri ketika mengunkapkan pendapat.      </v>
          </cell>
          <cell r="F27">
            <v>79.833333333333329</v>
          </cell>
          <cell r="G27" t="str">
            <v>B</v>
          </cell>
          <cell r="H27" t="str">
            <v xml:space="preserve">Mampu   Memahami hikmah beriman kepada Hari Akhir yang dapat membentuk perilaku akhlak mulia
   perlu pembinaan dalam      Memahami hikmah berzakat sebagai implementasi rukun Islam  </v>
          </cell>
          <cell r="I27">
            <v>80</v>
          </cell>
          <cell r="J27" t="str">
            <v>B</v>
          </cell>
          <cell r="K27" t="str">
            <v xml:space="preserve">Mampu mengenal simbol-simbol sila Pancasila dalam lambang negara “Garuda Pancasila”     perlu pembinaan dalam    mengenal tata tertib dan aturan yang berlaku dalam kehidupan sehari-hari di rumah dan sekolah mengenal arti bersatu dalam keberagaman di rumah dan sekolah  </v>
          </cell>
          <cell r="L27">
            <v>82</v>
          </cell>
          <cell r="M27" t="str">
            <v>B</v>
          </cell>
          <cell r="N27"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petunjuk/arahan tentang perawatan tubuh serta pemeliharaan kesehatan dan kebugaran tubuh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v>
          </cell>
          <cell r="O27">
            <v>81.333333333333329</v>
          </cell>
          <cell r="P27" t="str">
            <v>B</v>
          </cell>
          <cell r="Q27" t="str">
            <v xml:space="preserve">Mampu mengenal lambang bilangan dan mendeskripsikan kemunculan bilangan dengan bahasa yang sederhana   menunjukkan pemahaman tentang besaran dengan menghitung maju sampai 100 dan mundur dari 20  perlu pembinaan dalam    mengenal bilangan asli sampai 99 dengan menggunakan benda-benda yang ada di sekitar rumah, sekolah, atau tempat bermain  mengenal bangun datar dan bangun ruang menggunakan benda-benda yang ada di sekitar rumah, sekolah, atau tempat bermain. </v>
          </cell>
          <cell r="R27">
            <v>80.666666666666671</v>
          </cell>
          <cell r="S27" t="str">
            <v>B</v>
          </cell>
          <cell r="T27" t="str">
            <v xml:space="preserve">Mampu      menggambar ekspresi dengan mengolah garis, warna dan bentuk berdasarkan hasil pengamatan di lingkungan sekitarperlu pembinaan dalam      mengamati berbagai bahan, alat serta fungsinya dalam membuat prakarya  </v>
          </cell>
          <cell r="U27">
            <v>79.166666666666671</v>
          </cell>
          <cell r="V27" t="str">
            <v>B</v>
          </cell>
          <cell r="W27" t="str">
            <v xml:space="preserve">Mampu    mengetahui konsep bergerak secara seimbang dan cepat dalam rangka pengembangan kebugaran jasmani melalui permainan sederhana dan atau tradisional.  perlu pembinaan dalam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27">
            <v>80</v>
          </cell>
          <cell r="Y27" t="str">
            <v>B</v>
          </cell>
          <cell r="Z27"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27">
            <v>82</v>
          </cell>
          <cell r="AB27" t="str">
            <v>B</v>
          </cell>
          <cell r="AC27" t="str">
            <v xml:space="preserve">Mampu Mengenal, memahami dan mengidentifikasi macam-macam kalimat (order, request, and prohibition)     perlu pembinaan dalam     Mengenal, memahami dan mengidentifikasi macam-macam compass at the map and traffic sign   </v>
          </cell>
          <cell r="AD27">
            <v>82</v>
          </cell>
          <cell r="AE27" t="str">
            <v>B</v>
          </cell>
          <cell r="AF27"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27">
            <v>80</v>
          </cell>
          <cell r="AH27" t="str">
            <v>B</v>
          </cell>
          <cell r="AI27" t="str">
            <v xml:space="preserve">Mampu Mengenal sejarah munculnya Ahlus Sunnah wal Jama'ah     perlu pembinaan dalam     memahami kepribadian NU   </v>
          </cell>
          <cell r="AJ27">
            <v>75.5</v>
          </cell>
          <cell r="AK27" t="str">
            <v>C</v>
          </cell>
          <cell r="AL27" t="str">
            <v xml:space="preserve">Mampu Mengenal software pengolah kata dengan ikon-ikon pendukung     perlu pembinaan dalam    Mengenal fungsi ikon-ikon pendukung pengolah kata (word processing)    </v>
          </cell>
          <cell r="AM27">
            <v>84</v>
          </cell>
          <cell r="AN27" t="str">
            <v>B</v>
          </cell>
          <cell r="AO27" t="str">
            <v xml:space="preserve">Mampu      Menceritakan kisah keteladanan sahabat-sahabat Nabi Muhammad saw.perlu pembinaan dalam      Mencontohkan perilaku toleran dan simpati sebagai implementasi dari pemahaman Q.S. al-Kaafiruun  </v>
          </cell>
          <cell r="AP27">
            <v>76</v>
          </cell>
          <cell r="AQ27" t="str">
            <v>B</v>
          </cell>
          <cell r="AR27" t="str">
            <v xml:space="preserve">Mampu Mengamati dan menceritakan perilaku di sekitar rumah dan sekolah dan mengaitkannya dengan pengenalannya terhadap salah satu simbol sila Pancasila     perlu pembinaan dalam      Melaksanakan tata tertib di rumah dan sekolah    </v>
          </cell>
          <cell r="AS27">
            <v>81</v>
          </cell>
          <cell r="AT27" t="str">
            <v>B</v>
          </cell>
          <cell r="AU27" t="str">
            <v xml:space="preserve">Mampu   mempraktikkan teks arahan/petunjuk tentang merawat tubuh serta kesehatan dan kebugaran tubuh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27">
            <v>80.166666666666671</v>
          </cell>
          <cell r="AW27" t="str">
            <v>B</v>
          </cell>
          <cell r="AX27" t="str">
            <v xml:space="preserve">Mampu menggunakan benda konkrit untuk menelusuri pecahan dan jumlah uang     perlu pembinaan dalam    mendeskripsikan, mengembangkan, dan membuat pola yang berulang  </v>
          </cell>
          <cell r="AY27">
            <v>80.166666666666671</v>
          </cell>
          <cell r="AZ27" t="str">
            <v>B</v>
          </cell>
          <cell r="BA27" t="str">
            <v xml:space="preserve">Mampu   menggambar dengan memanfaatkan beragam media kering   perlu pembinaan dalam       menyanyikan lagu anak-anak dan memperagakan tepuk birama dengan gerak </v>
          </cell>
          <cell r="BB27">
            <v>80.166666666666671</v>
          </cell>
          <cell r="BC27" t="str">
            <v>B</v>
          </cell>
          <cell r="BD27" t="str">
            <v xml:space="preserve">Mampu  mempraktikkan pola gerak dasar non-lokomotor sesuai dengan dimensi anggota tubuh yang digunakan, arah, ruang gerak, hubungan, dan usaha,dalam berbagai bentuk permainan sederhana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27">
            <v>80</v>
          </cell>
          <cell r="BF27" t="str">
            <v>B</v>
          </cell>
          <cell r="BG27"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27">
            <v>75.5</v>
          </cell>
          <cell r="BI27" t="str">
            <v>C</v>
          </cell>
          <cell r="BJ27" t="str">
            <v xml:space="preserve">Mampu Menulis kalimat order, request dan prohibition dengan baik sesuai dengan rumus      perlu pembinaan dalam    Membuat percakapan tentang aktifitas berbelanja dan mempraktikkan di depan kelas berpasang-pasangan    </v>
          </cell>
          <cell r="BK27">
            <v>75.5</v>
          </cell>
          <cell r="BL27" t="str">
            <v>C</v>
          </cell>
          <cell r="BM27" t="str">
            <v xml:space="preserve">Mampu Memahami wacana tertulis dalam bentuk paparan atau bacaan tentang kegiatan sehari-hari disertai waktu     perlu pembinaan dalam    Menuliskan kata atau ungkapan pendek  sederhana tentang kegiatan sehari-hari disertai waktu    </v>
          </cell>
          <cell r="BN27">
            <v>80.166666666666671</v>
          </cell>
          <cell r="BO27" t="str">
            <v>B</v>
          </cell>
          <cell r="BP27" t="str">
            <v xml:space="preserve">Mampu   kd   perlu pembinaan dalam       kd </v>
          </cell>
          <cell r="BQ27">
            <v>75.5</v>
          </cell>
          <cell r="BR27" t="str">
            <v>C</v>
          </cell>
          <cell r="BS27" t="str">
            <v xml:space="preserve">Mampu Menunjukkan ikon untuk membuat gambar dan teks     perlu pembinaan dalam    Terampil mengoperasikan ikon-ikon text box, shapes, clip art, picture dan insert tabel    </v>
          </cell>
          <cell r="BT27" t="str">
            <v xml:space="preserve">Mampu  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27" t="str">
            <v>Drumband</v>
          </cell>
          <cell r="BV27" t="str">
            <v>baik sekali</v>
          </cell>
          <cell r="BW27">
            <v>0</v>
          </cell>
          <cell r="BX27">
            <v>0</v>
          </cell>
          <cell r="BY27" t="str">
            <v>2 hari</v>
          </cell>
          <cell r="BZ27" t="str">
            <v>3 hari</v>
          </cell>
          <cell r="CA27">
            <v>0</v>
          </cell>
          <cell r="CB27" t="str">
            <v xml:space="preserve">Alhamdulillah, ananda selama satu semester ini sudah banyak peningkatan dalam prestasi belajarnya, mohon ditingkatkan lagi prestasinya. Jangan lupa sholat lima waktu dan selalu berdo'a. </v>
          </cell>
          <cell r="CC27" t="str">
            <v>128 cm</v>
          </cell>
          <cell r="CD27" t="str">
            <v>21 kg</v>
          </cell>
          <cell r="CE27" t="str">
            <v>Baik, normal</v>
          </cell>
          <cell r="CF27" t="str">
            <v>Baik, normal</v>
          </cell>
          <cell r="CG27" t="str">
            <v>Taring bawah kanan persistensi</v>
          </cell>
          <cell r="CH27">
            <v>0</v>
          </cell>
          <cell r="CI27">
            <v>0</v>
          </cell>
          <cell r="CJ27">
            <v>0</v>
          </cell>
          <cell r="CK27">
            <v>0</v>
          </cell>
        </row>
        <row r="28">
          <cell r="B28">
            <v>4888</v>
          </cell>
          <cell r="C28" t="str">
            <v>Rifki Ardiansyah Abdul Qodir</v>
          </cell>
          <cell r="D28" t="str">
            <v xml:space="preserve">Menunjukkan sikap     yang sangat menonjol. perlu pembinaan dalam     </v>
          </cell>
          <cell r="E28" t="str">
            <v xml:space="preserve">Menunjukkan sikap   suka bekerjasama, membantu teman yang kesulitan,    Perlu bimbingan dalam sikapberani dan percaya diri ketika mengunkapkan pendapat.      </v>
          </cell>
          <cell r="F28">
            <v>78.5</v>
          </cell>
          <cell r="G28" t="str">
            <v>B</v>
          </cell>
          <cell r="H28" t="str">
            <v xml:space="preserve">Mampu   Memahami hikmah beriman kepada Hari Akhir yang dapat membentuk perilaku akhlak mulia
   perlu pembinaan dalam   Mengetahui makna Q.S. Al-Kaafiruun dengan benar,      </v>
          </cell>
          <cell r="I28">
            <v>79</v>
          </cell>
          <cell r="J28" t="str">
            <v>B</v>
          </cell>
          <cell r="K28" t="str">
            <v xml:space="preserve">Mampu mengenal simbol-simbol sila Pancasila dalam lambang negara “Garuda Pancasila”     perlu pembinaan dalam      mengenal arti bersatu dalam keberagaman di rumah dan sekolah  </v>
          </cell>
          <cell r="L28">
            <v>78.599999999999994</v>
          </cell>
          <cell r="M28" t="str">
            <v>B</v>
          </cell>
          <cell r="N28" t="str">
            <v xml:space="preserve">Mampu   mengenal teks terima kasih tentang sikap kasih sayang dengan bantuan guru atau teman dalam bahasa Indonesia lisan dan tulis yang dapat diisi dengan kosakata bahasa daerah untuk membantu pemahaman   perlu pembinaan dalam       Mengenal teks diagram/label tentang anggota keluarga dan kerabat dengan bantuan guru atau teman dalam bahasa Indonesia lisan dan tulis yang dapat diisi dengan kosakata bahasa daerah untuk membantu pemahaman </v>
          </cell>
          <cell r="O28">
            <v>80.833333333333329</v>
          </cell>
          <cell r="P28" t="str">
            <v>B</v>
          </cell>
          <cell r="Q28" t="str">
            <v xml:space="preserve">Mampu mengenal lambang bilangan dan mendeskripsikan kemunculan bilangan dengan bahasa yang sederhana   menunjukkan pemahaman tentang besaran dengan menghitung maju sampai 100 dan mundur dari 20  perlu pembinaan dalam       mengenal bangun datar dan bangun ruang menggunakan benda-benda yang ada di sekitar rumah, sekolah, atau tempat bermain. </v>
          </cell>
          <cell r="R28">
            <v>82.666666666666671</v>
          </cell>
          <cell r="S28" t="str">
            <v>B</v>
          </cell>
          <cell r="T28" t="str">
            <v xml:space="preserve">Mampu  mengenal  pola irama lagu bervariasi menggunakan alat musik ritmis   menggambar ekspresi dengan mengolah garis, warna dan bentuk berdasarkan hasil pengamatan di lingkungan sekitarperlu pembinaan dalam    mengenal cara dan hasil karya seni ekspresi     </v>
          </cell>
          <cell r="U28">
            <v>77</v>
          </cell>
          <cell r="V28" t="str">
            <v>B</v>
          </cell>
          <cell r="W28"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28">
            <v>85.333333333333329</v>
          </cell>
          <cell r="Y28" t="str">
            <v>B</v>
          </cell>
          <cell r="Z28" t="str">
            <v xml:space="preserve">Mampu mengenal, memahami, dan mengidentifikasiteks informasi yang diperoleh dari berbagai media berbahasa daerah secara lisan/ tulis     perlu pembinaan dalam    mengenal, memahami, dan mengidentifikasi teks  tembang macapat sesuai dengan kaidah    </v>
          </cell>
          <cell r="AA28">
            <v>83.5</v>
          </cell>
          <cell r="AB28" t="str">
            <v>B</v>
          </cell>
          <cell r="AC28" t="str">
            <v xml:space="preserve">Mampu Mengenal, memahami dan mengidentifikasi macam-macam kalimat (order, request, and prohibition)     perlu pembinaan dalam    Mengenal, memahami dan mengidentifikasi macam-macam weather and season based on the country    </v>
          </cell>
          <cell r="AD28">
            <v>83.5</v>
          </cell>
          <cell r="AE28" t="str">
            <v>B</v>
          </cell>
          <cell r="AF28"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peralatan sekolah dengan menggunakan pola kalimat yang meliputi kata tanya + isim isyarah (kata tunjuk) orang atau benda yang dekat (haadza, haadzihi) + alam + isim mufrad    </v>
          </cell>
          <cell r="AG28">
            <v>85.333333333333329</v>
          </cell>
          <cell r="AH28" t="str">
            <v>B</v>
          </cell>
          <cell r="AI28" t="str">
            <v xml:space="preserve">Mampu Mengenal sejarah munculnya Ahlus Sunnah wal Jama'ah     perlu pembinaan dalam    Memahami amaliah NU    </v>
          </cell>
          <cell r="AJ28">
            <v>82.5</v>
          </cell>
          <cell r="AK28" t="str">
            <v>B</v>
          </cell>
          <cell r="AL28" t="str">
            <v xml:space="preserve">Mampu  Mengenal fungsi ikon-ikon pendukung pengolah kata (word processing)    perlu pembinaan dalam   Mengenal software pengolah kata dengan ikon-ikon pendukung     </v>
          </cell>
          <cell r="AM28">
            <v>78</v>
          </cell>
          <cell r="AN28" t="str">
            <v>B</v>
          </cell>
          <cell r="AO28" t="str">
            <v>Mampu  Menulis Q.S. al-Kaafiruun dengan jelas dan benar    perlu pembinaan dalam        Menceritakan kisah keteladanan sahabat-sahabat Nabi Muhammad saw.</v>
          </cell>
          <cell r="AP28">
            <v>78.5</v>
          </cell>
          <cell r="AQ28" t="str">
            <v>B</v>
          </cell>
          <cell r="AR28" t="str">
            <v xml:space="preserve">Mampu    Melaksanakan tata tertib di rumah dan sekolah    perlu pembinaan dalam      Mengamati dan menceriterakan kebersamaan dalam keberagaman di rumah dan sekolah   </v>
          </cell>
          <cell r="AS28">
            <v>80.400000000000006</v>
          </cell>
          <cell r="AT28" t="str">
            <v>B</v>
          </cell>
          <cell r="AU28"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28">
            <v>78.833333333333329</v>
          </cell>
          <cell r="AW28" t="str">
            <v>B</v>
          </cell>
          <cell r="AX28" t="str">
            <v xml:space="preserve">Mampu menggunakan benda konkrit untuk menelusuri pecahan dan jumlah uang     perlu pembinaan dalam 0     </v>
          </cell>
          <cell r="AY28">
            <v>78.833333333333329</v>
          </cell>
          <cell r="AZ28" t="str">
            <v>B</v>
          </cell>
          <cell r="BA28" t="str">
            <v xml:space="preserve">Mampu   menggambar dengan memanfaatkan beragam media kering   perlu pembinaan dalam   menggambar ekspresi dengan mengolah garis, warna dan bentuk berdasarkan hasil pengamatan di lingkungan sekitar     </v>
          </cell>
          <cell r="BB28">
            <v>78.833333333333329</v>
          </cell>
          <cell r="BC28" t="str">
            <v>B</v>
          </cell>
          <cell r="BD28"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28">
            <v>85.333333333333329</v>
          </cell>
          <cell r="BF28" t="str">
            <v>B</v>
          </cell>
          <cell r="BG28" t="str">
            <v xml:space="preserve">Mampu menyampaikan dan menagggapi informasi yang diperoleh dari berbagai media berbahasa daerah secara lisan dan tulisan.      perlu pembinaan dalam    menceritakan isi tembang macapat.     </v>
          </cell>
          <cell r="BH28">
            <v>82.5</v>
          </cell>
          <cell r="BI28" t="str">
            <v>B</v>
          </cell>
          <cell r="BJ28" t="str">
            <v xml:space="preserve">Mampu  Membuat percakapan tentang aktifitas berbelanja dan mempraktikkan di depan kelas berpasang-pasangan    perlu pembinaan dalam   Menulis kalimat order, request dan prohibition dengan baik sesuai dengan rumus      </v>
          </cell>
          <cell r="BK28">
            <v>82.5</v>
          </cell>
          <cell r="BL28" t="str">
            <v>B</v>
          </cell>
          <cell r="BM28" t="str">
            <v xml:space="preserve">Mampu  Menuliskan kata atau ungkapan pendek  sederhana tentang kegiatan sehari-hari disertai waktu    perlu pembinaan dalam   Memahami wacana tertulis dalam bentuk paparan atau bacaan tentang kegiatan sehari-hari disertai waktu     </v>
          </cell>
          <cell r="BN28">
            <v>78.833333333333329</v>
          </cell>
          <cell r="BO28" t="str">
            <v>B</v>
          </cell>
          <cell r="BP28" t="str">
            <v xml:space="preserve">Mampu   kd   perlu pembinaan dalam   kd     </v>
          </cell>
          <cell r="BQ28">
            <v>82.5</v>
          </cell>
          <cell r="BR28" t="str">
            <v>B</v>
          </cell>
          <cell r="BS28" t="str">
            <v xml:space="preserve">Mampu  Terampil mengoperasikan ikon-ikon text box, shapes, clip art, picture dan insert tabel    perlu pembinaan dalam   Menunjukkan ikon untuk membuat gambar dan teks     </v>
          </cell>
          <cell r="BT28" t="str">
            <v xml:space="preserve">Perlu pembinaan dalam Rajin dan giat mengikuti Perindukan Siaga sekurang-kurangnya 10 kali latihan berturut-turut, dapat menunjukkan sikap disiplin dan dapt melakukan PBB dengan benarMengetahui simpul mati, simpul hidup, simpul anyam, simpul pangkal dan simpul jangkarMengetahui tetang Semaphore, Morse, Sandi dan tekspram serta dapat menyebutkan tanda pengenal pada seragam pramuka dan melaksanakan penempuhan SKU golongan Siaga </v>
          </cell>
          <cell r="BU28" t="str">
            <v>Lukis</v>
          </cell>
          <cell r="BV28" t="str">
            <v>baik</v>
          </cell>
          <cell r="BW28">
            <v>0</v>
          </cell>
          <cell r="BX28">
            <v>0</v>
          </cell>
          <cell r="BY28" t="str">
            <v>1 hari</v>
          </cell>
          <cell r="BZ28" t="str">
            <v>2 hari</v>
          </cell>
          <cell r="CA28" t="str">
            <v>1 hari</v>
          </cell>
          <cell r="CB28" t="str">
            <v xml:space="preserve">Alhamdulillah, ananda selama satu semester ini sudah banyak peningkatan dalam prestasi belajarnya, mohon ditingkatkan lagi konsentrasi dalam mengikuti pembelajaran. Jangan lupa sholat lima waktu dan selalu berdo'a. </v>
          </cell>
          <cell r="CC28" t="str">
            <v>130 cm</v>
          </cell>
          <cell r="CD28" t="str">
            <v>24 kg</v>
          </cell>
          <cell r="CE28" t="str">
            <v>Baik, normal</v>
          </cell>
          <cell r="CF28" t="str">
            <v>Baik, normal</v>
          </cell>
          <cell r="CG28" t="str">
            <v>Geraham atas kiri karies</v>
          </cell>
          <cell r="CH28">
            <v>0</v>
          </cell>
          <cell r="CI28">
            <v>0</v>
          </cell>
          <cell r="CJ28">
            <v>0</v>
          </cell>
          <cell r="CK28">
            <v>0</v>
          </cell>
        </row>
        <row r="29">
          <cell r="B29">
            <v>4889</v>
          </cell>
          <cell r="C29" t="str">
            <v>Rivaldy Ali Arta</v>
          </cell>
          <cell r="D29" t="str">
            <v xml:space="preserve">Menunjukkan sikap     yang sangat menonjol. perlu pembinaan dalam     </v>
          </cell>
          <cell r="E29" t="str">
            <v xml:space="preserve">Menunjukkan sikap   suka bekerjasama, membantu teman yang kesulitan,    Perlu bimbingan dalam sikapberani dan percaya diri ketika mengunkapkan pendapat.      </v>
          </cell>
          <cell r="F29">
            <v>82.5</v>
          </cell>
          <cell r="G29" t="str">
            <v>B</v>
          </cell>
          <cell r="H29" t="str">
            <v xml:space="preserve">Mampu     Mengetahui kisah Nabi Muhammad saw. perlu pembinaan dalam      Memahami hikmah berzakat sebagai implementasi rukun Islam  </v>
          </cell>
          <cell r="I29">
            <v>81.25</v>
          </cell>
          <cell r="J29" t="str">
            <v>B</v>
          </cell>
          <cell r="K29" t="str">
            <v xml:space="preserve">Mampu   mengenal keberagaman karateristik individu di rumah dan di sekolah   perlu pembinaan dalam    mengenal tata tertib dan aturan yang berlaku dalam kehidupan sehari-hari di rumah dan sekolah    </v>
          </cell>
          <cell r="L29">
            <v>80.400000000000006</v>
          </cell>
          <cell r="M29" t="str">
            <v>B</v>
          </cell>
          <cell r="N29"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29">
            <v>82.666666666666671</v>
          </cell>
          <cell r="P29" t="str">
            <v>B</v>
          </cell>
          <cell r="Q29" t="str">
            <v xml:space="preserve">Mampu   mengenal dan memprediksi pola-pola bilangan sederhana menggunakan gambar-gambar/benda konkrit  menemukan bangun yang membentuk pola pengubinan sederhanaperlu pembinaan dalam    mengenal bilangan asli sampai 99 dengan menggunakan benda-benda yang ada di sekitar rumah, sekolah, atau tempat bermain    </v>
          </cell>
          <cell r="R29">
            <v>84.333333333333329</v>
          </cell>
          <cell r="S29" t="str">
            <v>B</v>
          </cell>
          <cell r="T29" t="str">
            <v xml:space="preserve">Mampu     mengenal karya seni budaya benda dan bahasa daerah setempat perlu pembinaan dalam    mengenal  pola irama lagu bervariasi menggunakan alat musik ritmis    </v>
          </cell>
          <cell r="U29">
            <v>84</v>
          </cell>
          <cell r="V29" t="str">
            <v>B</v>
          </cell>
          <cell r="W29" t="str">
            <v xml:space="preserve">Mampu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29">
            <v>82</v>
          </cell>
          <cell r="Y29" t="str">
            <v>B</v>
          </cell>
          <cell r="Z29"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29">
            <v>80.5</v>
          </cell>
          <cell r="AB29" t="str">
            <v>B</v>
          </cell>
          <cell r="AC29" t="str">
            <v xml:space="preserve">Mampu   Mengenal, memahami dan mengidentifikasi macam-macam compass at the map and traffic sign   perlu pembinaan dalam      Mengenal, memahami dan mengidentifikasi shopping activity (how to ask price, show the price, bargain, accept and refuse to bargain, etc)  </v>
          </cell>
          <cell r="AD29">
            <v>80.5</v>
          </cell>
          <cell r="AE29" t="str">
            <v>B</v>
          </cell>
          <cell r="AF29" t="str">
            <v xml:space="preserve">Mampu   Memahami wacana dalam bentuk paparan tentang perkenalan diri(2) dengan menggunakan pola kalimat yang meliputi dhamir (kata ganti) ana, anta, anti, huwa, hiya + isim mufrad mu’annats/mudzakkar    perlu pembinaan dalam      Memahami wacana dalam bentuk paparan tentang profesi dengan menggunakan pola kalimat isim isyarah/ dhamir + profesi  </v>
          </cell>
          <cell r="AG29">
            <v>82</v>
          </cell>
          <cell r="AH29" t="str">
            <v>B</v>
          </cell>
          <cell r="AI29" t="str">
            <v xml:space="preserve">Mampu   memahami kepribadian NU   perlu pembinaan dalam   Mengenal sejarah munculnya Ahlus Sunnah wal Jama'ah     </v>
          </cell>
          <cell r="AJ29">
            <v>84.5</v>
          </cell>
          <cell r="AK29" t="str">
            <v>B</v>
          </cell>
          <cell r="AL29" t="str">
            <v xml:space="preserve">Mampu  Mengenal fungsi ikon-ikon pendukung pengolah kata (word processing)    perlu pembinaan dalam   Mengenal software pengolah kata dengan ikon-ikon pendukung     </v>
          </cell>
          <cell r="AM29">
            <v>81.333333333333329</v>
          </cell>
          <cell r="AN29" t="str">
            <v>B</v>
          </cell>
          <cell r="AO29" t="str">
            <v xml:space="preserve">Mampu    Mencontohkan perilaku toleran dan simpati sebagai implementasi dari pemahaman Q.S. al-Kaafiruun  perlu pembinaan dalam       Menceritakan kisah keteladanan Nabi Muhammad saw. </v>
          </cell>
          <cell r="AP29">
            <v>87.75</v>
          </cell>
          <cell r="AQ29" t="str">
            <v>B</v>
          </cell>
          <cell r="AR29" t="str">
            <v xml:space="preserve">Mampu    Mengamati dan menceriterakan keberagaman karateristik individu di rumah dan sekolah  perlu pembinaan dalam   Mengamati dan menceritakan perilaku di sekitar rumah dan sekolah dan mengaitkannya dengan pengenalannya terhadap salah satu simbol sila Pancasila     </v>
          </cell>
          <cell r="AS29">
            <v>82.2</v>
          </cell>
          <cell r="AT29" t="str">
            <v>B</v>
          </cell>
          <cell r="AU29" t="str">
            <v xml:space="preserve">Mampu    menyampaikan teks cerita diri/personal tentang keluarga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29">
            <v>83.333333333333329</v>
          </cell>
          <cell r="AW29" t="str">
            <v>B</v>
          </cell>
          <cell r="AX29" t="str">
            <v xml:space="preserve">Mampu   mendeskripsikan, mengembangkan, dan membuat pola yang berulang  perlu pembinaan dalam     membentuk berbagai bangun datar dengan menggunakan papan berpaku atau media lainnya </v>
          </cell>
          <cell r="AY29">
            <v>83.333333333333329</v>
          </cell>
          <cell r="AZ29" t="str">
            <v>B</v>
          </cell>
          <cell r="BA29" t="str">
            <v>Mampu     menyanyikan lagu anak-anak dan memperagakan tepuk birama dengan gerak perlu pembinaan dalam        memainkan pola irama lagu bertanda birama dua dengan tepuk dan gerak</v>
          </cell>
          <cell r="BB29">
            <v>83.333333333333329</v>
          </cell>
          <cell r="BC29" t="str">
            <v>B</v>
          </cell>
          <cell r="BD29" t="str">
            <v>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penggunaan pola gerak dasar lokomotor dan non-lokomotor sesuai dengan irama (ketukan) tanpa/dengan musik dalam aktivitas gerak rimtik.</v>
          </cell>
          <cell r="BE29">
            <v>82</v>
          </cell>
          <cell r="BF29" t="str">
            <v>B</v>
          </cell>
          <cell r="BG29"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29">
            <v>84.5</v>
          </cell>
          <cell r="BI29" t="str">
            <v>B</v>
          </cell>
          <cell r="BJ29" t="str">
            <v xml:space="preserve">Mampu  Membuat percakapan tentang aktifitas berbelanja dan mempraktikkan di depan kelas berpasang-pasangan    perlu pembinaan dalam   Menulis kalimat order, request dan prohibition dengan baik sesuai dengan rumus      </v>
          </cell>
          <cell r="BK29">
            <v>84.5</v>
          </cell>
          <cell r="BL29" t="str">
            <v>B</v>
          </cell>
          <cell r="BM29" t="str">
            <v xml:space="preserve">Mampu  Menuliskan kata atau ungkapan pendek  sederhana tentang kegiatan sehari-hari disertai waktu    perlu pembinaan dalam   Memahami wacana tertulis dalam bentuk paparan atau bacaan tentang kegiatan sehari-hari disertai waktu     </v>
          </cell>
          <cell r="BN29">
            <v>83.333333333333329</v>
          </cell>
          <cell r="BO29" t="str">
            <v>B</v>
          </cell>
          <cell r="BP29" t="str">
            <v>Mampu     kd perlu pembinaan dalam        kd</v>
          </cell>
          <cell r="BQ29">
            <v>84.5</v>
          </cell>
          <cell r="BR29" t="str">
            <v>B</v>
          </cell>
          <cell r="BS29" t="str">
            <v xml:space="preserve">Mampu  Terampil mengoperasikan ikon-ikon text box, shapes, clip art, picture dan insert tabel    perlu pembinaan dalam   Menunjukkan ikon untuk membuat gambar dan teks     </v>
          </cell>
          <cell r="BT29" t="str">
            <v xml:space="preserve">Perlu pembinaan dalam   Mengetahui tetang Semaphore, Morse, Sandi dan tekspram serta dapat menyebutkan tanda pengenal pada seragam pramuka dan melaksanakan penempuhan SKU golongan Siaga </v>
          </cell>
          <cell r="BU29" t="str">
            <v>Lukis</v>
          </cell>
          <cell r="BV29" t="str">
            <v>baik</v>
          </cell>
          <cell r="BW29">
            <v>0</v>
          </cell>
          <cell r="BX29">
            <v>0</v>
          </cell>
          <cell r="BY29" t="str">
            <v>2 hari</v>
          </cell>
          <cell r="BZ29" t="str">
            <v>7 hari</v>
          </cell>
          <cell r="CA29" t="str">
            <v>2 hari</v>
          </cell>
          <cell r="CB29" t="str">
            <v xml:space="preserve">Alhamdulillah, ananda selama satu semester ini sudah banyak peningkatan dalam prestasi belajarnya, mohon ditingkatkan lagi prestasinya. Jangan lupa sholat lima waktu dan selalu berdo'a. </v>
          </cell>
          <cell r="CC29" t="str">
            <v>138 cm</v>
          </cell>
          <cell r="CD29" t="str">
            <v>33 kg</v>
          </cell>
          <cell r="CE29" t="str">
            <v>Baik, normal</v>
          </cell>
          <cell r="CF29" t="str">
            <v>Baik, normal</v>
          </cell>
          <cell r="CG29" t="str">
            <v>Geraham atas kiri karies</v>
          </cell>
          <cell r="CH29">
            <v>0</v>
          </cell>
          <cell r="CI29">
            <v>0</v>
          </cell>
          <cell r="CJ29">
            <v>0</v>
          </cell>
          <cell r="CK29">
            <v>0</v>
          </cell>
        </row>
        <row r="30">
          <cell r="B30">
            <v>4890</v>
          </cell>
          <cell r="C30" t="str">
            <v>Riyan Saidi</v>
          </cell>
          <cell r="D30" t="str">
            <v xml:space="preserve">Menunjukkan sikap     yang sangat menonjol. perlu pembinaan dalam     </v>
          </cell>
          <cell r="E30" t="str">
            <v xml:space="preserve">Menunjukkan sikap   suka bekerjasama, membantu teman yang kesulitan,    Perlu bimbingan dalam sikapberani dan percaya diri ketika mengunkapkan pendapat.      </v>
          </cell>
          <cell r="F30">
            <v>79.5</v>
          </cell>
          <cell r="G30" t="str">
            <v>B</v>
          </cell>
          <cell r="H30" t="str">
            <v xml:space="preserve">Mampu   Memahami hikmah beriman kepada Hari Akhir yang dapat membentuk perilaku akhlak mulia
   perlu pembinaan dalam   Mengetahui makna Q.S. Al-Kaafiruun dengan benar,      </v>
          </cell>
          <cell r="I30">
            <v>86.25</v>
          </cell>
          <cell r="J30" t="str">
            <v>B</v>
          </cell>
          <cell r="K30" t="str">
            <v xml:space="preserve">Mampu mengenal simbol-simbol sila Pancasila dalam lambang negara “Garuda Pancasila”  mengenal arti bersatu dalam keberagaman di rumah dan sekolah  perlu pembinaan dalam    mengenal tata tertib dan aturan yang berlaku dalam kehidupan sehari-hari di rumah dan sekolah    </v>
          </cell>
          <cell r="L30">
            <v>82.6</v>
          </cell>
          <cell r="M30" t="str">
            <v>B</v>
          </cell>
          <cell r="N30" t="str">
            <v xml:space="preserve">Mampu     Mengenal teks diagram/label tentang anggota keluarga dan kerabat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30">
            <v>87.166666666666671</v>
          </cell>
          <cell r="P30" t="str">
            <v>B</v>
          </cell>
          <cell r="Q30" t="str">
            <v xml:space="preserve">Mampu mengenal lambang bilangan dan mendeskripsikan kemunculan bilangan dengan bahasa yang sederhana   menunjukkan pemahaman tentang besaran dengan menghitung maju sampai 100 dan mundur dari 20mengenal bangun datar dan bangun ruang menggunakan benda-benda yang ada di sekitar rumah, sekolah, atau tempat bermain. perlu pembinaan dalam    mengenal bilangan asli sampai 99 dengan menggunakan benda-benda yang ada di sekitar rumah, sekolah, atau tempat bermain    </v>
          </cell>
          <cell r="R30">
            <v>84.333333333333329</v>
          </cell>
          <cell r="S30" t="str">
            <v>B</v>
          </cell>
          <cell r="T30" t="str">
            <v xml:space="preserve">Mampu  mengenal cara dan hasil karya seni ekspresi  mengamati berbagai bahan, alat serta fungsinya dalam membuat prakarya menggambar ekspresi dengan mengolah garis, warna dan bentuk berdasarkan hasil pengamatan di lingkungan sekitarperlu pembinaan dalam    mengenal  pola irama lagu bervariasi menggunakan alat musik ritmis    </v>
          </cell>
          <cell r="U30">
            <v>81.333333333333329</v>
          </cell>
          <cell r="V30" t="str">
            <v>B</v>
          </cell>
          <cell r="W30" t="str">
            <v xml:space="preserve">Mampu  mengetahui konsep gerak dasar non-lokomotor sesuai dengan dimensi  anggota tubuh yang digunakan, arah, ruang  gerak, hubungan, dan usaha, dalam berbagai bentuk permainan sederhana dan atau permainan tradisional.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30">
            <v>79</v>
          </cell>
          <cell r="Y30" t="str">
            <v>B</v>
          </cell>
          <cell r="Z30"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30">
            <v>78.25</v>
          </cell>
          <cell r="AB30" t="str">
            <v>B</v>
          </cell>
          <cell r="AC30" t="str">
            <v xml:space="preserve">Mampu   Mengenal, memahami dan mengidentifikasi macam-macam compass at the map and traffic sign   perlu pembinaan dalam   Mengenal, memahami dan mengidentifikasi macam-macam kalimat (order, request, and prohibition)     </v>
          </cell>
          <cell r="AD30">
            <v>78.25</v>
          </cell>
          <cell r="AE30" t="str">
            <v>B</v>
          </cell>
          <cell r="AF30"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30">
            <v>79</v>
          </cell>
          <cell r="AH30" t="str">
            <v>B</v>
          </cell>
          <cell r="AI30" t="str">
            <v xml:space="preserve">Mampu   memahami kepribadian NU   perlu pembinaan dalam   Mengenal sejarah munculnya Ahlus Sunnah wal Jama'ah     </v>
          </cell>
          <cell r="AJ30">
            <v>84.5</v>
          </cell>
          <cell r="AK30" t="str">
            <v>B</v>
          </cell>
          <cell r="AL30" t="str">
            <v xml:space="preserve">Mampu  Mengenal fungsi ikon-ikon pendukung pengolah kata (word processing)    perlu pembinaan dalam   Mengenal software pengolah kata dengan ikon-ikon pendukung     </v>
          </cell>
          <cell r="AM30">
            <v>76</v>
          </cell>
          <cell r="AN30" t="str">
            <v>B</v>
          </cell>
          <cell r="AO30" t="str">
            <v xml:space="preserve">Mampu    Mencontohkan perilaku toleran dan simpati sebagai implementasi dari pemahaman Q.S. al-Kaafiruun  perlu pembinaan dalam   Membaca Q.S. al-Kaafiruun dengan jelas dan benar     </v>
          </cell>
          <cell r="AP30">
            <v>86.75</v>
          </cell>
          <cell r="AQ30" t="str">
            <v>B</v>
          </cell>
          <cell r="AR30" t="str">
            <v xml:space="preserve">Mampu    Melaksanakan tata tertib di rumah dan sekolah Mengamati dan menceriterakan kebersamaan dalam keberagaman di rumah dan sekolah   perlu pembinaan dalam   Mengamati dan menceritakan perilaku di sekitar rumah dan sekolah dan mengaitkannya dengan pengenalannya terhadap salah satu simbol sila Pancasila     </v>
          </cell>
          <cell r="AS30">
            <v>75.599999999999994</v>
          </cell>
          <cell r="AT30" t="str">
            <v>C</v>
          </cell>
          <cell r="AU30" t="str">
            <v xml:space="preserve">Mampu    menyampaikan teks cerita diri/personal tentang keluarga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30">
            <v>78.166666666666671</v>
          </cell>
          <cell r="AW30" t="str">
            <v>B</v>
          </cell>
          <cell r="AX30" t="str">
            <v xml:space="preserve">Mampu   mendeskripsikan, mengembangkan, dan membuat pola yang berulang  perlu pembinaan dalam 0     </v>
          </cell>
          <cell r="AY30">
            <v>78.166666666666671</v>
          </cell>
          <cell r="AZ30" t="str">
            <v>B</v>
          </cell>
          <cell r="BA30" t="str">
            <v xml:space="preserve">Mampu  membuat karya seni ekspresi dengan memanfaatkan berbagai teknik cetak sederhana menggunakan bahan alam  menyanyikan lagu anak-anak dan memperagakan tepuk birama dengan gerak perlu pembinaan dalam   menggambar ekspresi dengan mengolah garis, warna dan bentuk berdasarkan hasil pengamatan di lingkungan sekitar     </v>
          </cell>
          <cell r="BB30">
            <v>78.166666666666671</v>
          </cell>
          <cell r="BC30" t="str">
            <v>B</v>
          </cell>
          <cell r="BD30" t="str">
            <v xml:space="preserve">Mampu   mempraktikkan pola gerak dasar manipulatif sesuai dengan dimensi anggota tubuh yang digunakan, arah, ruang gerak, hubungan, dan usaha, dalam berbagai bentuk permainan sederhana dan atau permainan tradisional.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pola gerak dasar lokomotor sesuai dengan dimensi anggota tubuh yang digunakan, arah, ruang gerak, hubungan dan usaha, dalam berbagai bentuk permainan sederhana dan atau tradisional.     </v>
          </cell>
          <cell r="BE30">
            <v>79</v>
          </cell>
          <cell r="BF30" t="str">
            <v>B</v>
          </cell>
          <cell r="BG30"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30">
            <v>84.5</v>
          </cell>
          <cell r="BI30" t="str">
            <v>B</v>
          </cell>
          <cell r="BJ30" t="str">
            <v xml:space="preserve">Mampu  Membuat percakapan tentang aktifitas berbelanja dan mempraktikkan di depan kelas berpasang-pasangan    perlu pembinaan dalam   Menulis kalimat order, request dan prohibition dengan baik sesuai dengan rumus      </v>
          </cell>
          <cell r="BK30">
            <v>84.5</v>
          </cell>
          <cell r="BL30" t="str">
            <v>B</v>
          </cell>
          <cell r="BM30" t="str">
            <v xml:space="preserve">Mampu  Menuliskan kata atau ungkapan pendek  sederhana tentang kegiatan sehari-hari disertai waktu    perlu pembinaan dalam   Memahami wacana tertulis dalam bentuk paparan atau bacaan tentang kegiatan sehari-hari disertai waktu     </v>
          </cell>
          <cell r="BN30">
            <v>78.166666666666671</v>
          </cell>
          <cell r="BO30" t="str">
            <v>B</v>
          </cell>
          <cell r="BP30" t="str">
            <v xml:space="preserve">Mampu  kd  kd perlu pembinaan dalam   kd     </v>
          </cell>
          <cell r="BQ30">
            <v>84.5</v>
          </cell>
          <cell r="BR30" t="str">
            <v>B</v>
          </cell>
          <cell r="BS30" t="str">
            <v xml:space="preserve">Mampu  Terampil mengoperasikan ikon-ikon text box, shapes, clip art, picture dan insert tabel    perlu pembinaan dalam   Menunjukkan ikon untuk membuat gambar dan teks     </v>
          </cell>
          <cell r="BT30" t="str">
            <v xml:space="preserve">Perlu pembinaan dalam  Mengetahui simpul mati, simpul hidup, simpul anyam, simpul pangkal dan simpul jangkarMengetahui tetang Semaphore, Morse, Sandi dan tekspram serta dapat menyebutkan tanda pengenal pada seragam pramuka dan melaksanakan penempuhan SKU golongan Siaga </v>
          </cell>
          <cell r="BU30" t="str">
            <v>Drumband</v>
          </cell>
          <cell r="BV30" t="str">
            <v>baik sekali</v>
          </cell>
          <cell r="BW30">
            <v>0</v>
          </cell>
          <cell r="BX30">
            <v>0</v>
          </cell>
          <cell r="BY30" t="str">
            <v>5 hari</v>
          </cell>
          <cell r="BZ30">
            <v>0</v>
          </cell>
          <cell r="CA30">
            <v>0</v>
          </cell>
          <cell r="CB30" t="str">
            <v xml:space="preserve">Alhamdulillah, ananda selama satu semester ini sudah banyak peningkatan dalam prestasi belajarnya, mohon ditingkatkan lagi prestasinya. Jangan lupa sholat lima waktu dan selalu berdo'a. </v>
          </cell>
          <cell r="CC30" t="str">
            <v>147 cm</v>
          </cell>
          <cell r="CD30" t="str">
            <v>38 kg</v>
          </cell>
          <cell r="CE30" t="str">
            <v>Baik, normal</v>
          </cell>
          <cell r="CF30" t="str">
            <v>Baik, normal</v>
          </cell>
          <cell r="CG30" t="str">
            <v>Bagus</v>
          </cell>
          <cell r="CH30">
            <v>0</v>
          </cell>
          <cell r="CI30">
            <v>0</v>
          </cell>
          <cell r="CJ30">
            <v>0</v>
          </cell>
          <cell r="CK30">
            <v>0</v>
          </cell>
        </row>
        <row r="31">
          <cell r="B31">
            <v>4894</v>
          </cell>
          <cell r="C31" t="str">
            <v>Siti Mudmainah</v>
          </cell>
          <cell r="D31" t="str">
            <v xml:space="preserve">Menunjukkan sikap     yang sangat menonjol. perlu pembinaan dalam     </v>
          </cell>
          <cell r="E31" t="str">
            <v xml:space="preserve">Menunjukkan sikap   suka bekerjasama, membantu teman yang kesulitan,    Perlu bimbingan dalam sikapberani dan percaya diri ketika mengunkapkan pendapat.      </v>
          </cell>
          <cell r="F31">
            <v>80</v>
          </cell>
          <cell r="G31" t="str">
            <v>B</v>
          </cell>
          <cell r="H31" t="str">
            <v xml:space="preserve">Mampu Mengetahui makna Q.S. Al-Kaafiruun dengan benar,      perlu pembinaan dalam       Mengetahui kisah Nabi Muhammad saw. </v>
          </cell>
          <cell r="I31">
            <v>76</v>
          </cell>
          <cell r="J31" t="str">
            <v>B</v>
          </cell>
          <cell r="K31" t="str">
            <v xml:space="preserve">Mampu    mengenal arti bersatu dalam keberagaman di rumah dan sekolah  perlu pembinaan dalam     mengenal keberagaman karateristik individu di rumah dan di sekolah   </v>
          </cell>
          <cell r="L31">
            <v>80.2</v>
          </cell>
          <cell r="M31" t="str">
            <v>B</v>
          </cell>
          <cell r="N31" t="str">
            <v xml:space="preserve">Mampu   mengenal teks terima kasih tentang sikap kasih sayang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31">
            <v>74.333333333333329</v>
          </cell>
          <cell r="P31" t="str">
            <v>C</v>
          </cell>
          <cell r="Q31" t="str">
            <v>Mampu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31">
            <v>81.666666666666671</v>
          </cell>
          <cell r="S31" t="str">
            <v>B</v>
          </cell>
          <cell r="T31" t="str">
            <v xml:space="preserve">Mampu  mengenal cara dan hasil karya seni ekspresi     perlu pembinaan dalam       mengenal karya seni budaya benda dan bahasa daerah setempat </v>
          </cell>
          <cell r="U31">
            <v>81.833333333333329</v>
          </cell>
          <cell r="V31" t="str">
            <v>B</v>
          </cell>
          <cell r="W31"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31">
            <v>85.666666666666671</v>
          </cell>
          <cell r="Y31" t="str">
            <v>B</v>
          </cell>
          <cell r="Z31"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31">
            <v>80.5</v>
          </cell>
          <cell r="AB31" t="str">
            <v>B</v>
          </cell>
          <cell r="AC31"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31">
            <v>80.5</v>
          </cell>
          <cell r="AE31" t="str">
            <v>B</v>
          </cell>
          <cell r="AF31"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31">
            <v>85.666666666666671</v>
          </cell>
          <cell r="AH31" t="str">
            <v>B</v>
          </cell>
          <cell r="AI31" t="str">
            <v xml:space="preserve">Mampu  Memahami amaliah NU    perlu pembinaan dalam     memahami kepribadian NU   </v>
          </cell>
          <cell r="AJ31">
            <v>84</v>
          </cell>
          <cell r="AK31" t="str">
            <v>B</v>
          </cell>
          <cell r="AL31" t="str">
            <v xml:space="preserve">Mampu Mengenal software pengolah kata dengan ikon-ikon pendukung     perlu pembinaan dalam    Mengenal fungsi ikon-ikon pendukung pengolah kata (word processing)    </v>
          </cell>
          <cell r="AM31">
            <v>85.5</v>
          </cell>
          <cell r="AN31" t="str">
            <v>B</v>
          </cell>
          <cell r="AO31" t="str">
            <v xml:space="preserve">Mampu Membaca Q.S. al-Kaafiruun dengan jelas dan benar     perlu pembinaan dalam       Menceritakan kisah keteladanan Nabi Muhammad saw. </v>
          </cell>
          <cell r="AP31">
            <v>80.25</v>
          </cell>
          <cell r="AQ31" t="str">
            <v>B</v>
          </cell>
          <cell r="AR31" t="str">
            <v xml:space="preserve">Mampu    Mengamati dan menceriterakan kebersamaan dalam keberagaman di rumah dan sekolah   perlu pembinaan dalam      Mengamati dan menceriterakan keberagaman karateristik individu di rumah dan sekolah  </v>
          </cell>
          <cell r="AS31">
            <v>84</v>
          </cell>
          <cell r="AT31" t="str">
            <v>B</v>
          </cell>
          <cell r="AU31"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31">
            <v>85.166666666666671</v>
          </cell>
          <cell r="AW31" t="str">
            <v>B</v>
          </cell>
          <cell r="AX31" t="str">
            <v xml:space="preserve">Mampu0     perlu pembinaan dalam     membentuk berbagai bangun datar dengan menggunakan papan berpaku atau media lainnya </v>
          </cell>
          <cell r="AY31">
            <v>85.166666666666671</v>
          </cell>
          <cell r="AZ31" t="str">
            <v>B</v>
          </cell>
          <cell r="BA31" t="str">
            <v>Mampu menggambar ekspresi dengan mengolah garis, warna dan bentuk berdasarkan hasil pengamatan di lingkungan sekitar     perlu pembinaan dalam        memainkan pola irama lagu bertanda birama dua dengan tepuk dan gerak</v>
          </cell>
          <cell r="BB31">
            <v>85.166666666666671</v>
          </cell>
          <cell r="BC31" t="str">
            <v>B</v>
          </cell>
          <cell r="BD31" t="str">
            <v>Mampu mempraktikkan pola gerak dasar lokomotor sesuai dengan dimensi anggota tubuh yang digunakan, arah, ruang gerak, hubungan dan usaha, dalam berbagai bentuk permainan sederhana dan atau tradisional.     perlu pembinaan dalam        mempraktikkan penggunaan pola gerak dasar lokomotor dan non-lokomotor sesuai dengan irama (ketukan) tanpa/dengan musik dalam aktivitas gerak rimtik.</v>
          </cell>
          <cell r="BE31">
            <v>85.666666666666671</v>
          </cell>
          <cell r="BF31" t="str">
            <v>B</v>
          </cell>
          <cell r="BG31" t="str">
            <v xml:space="preserve">Mampu  menceritakan isi tembang macapat.     perlu pembinaan dalam     menanggapi teks lisan maupun tulis yang memuat ungkapan tradisional Jawa/ Madura (paribasan, bebasan, saloka)   </v>
          </cell>
          <cell r="BH31">
            <v>84</v>
          </cell>
          <cell r="BI31" t="str">
            <v>B</v>
          </cell>
          <cell r="BJ31" t="str">
            <v xml:space="preserve">Mampu Menulis kalimat order, request dan prohibition dengan baik sesuai dengan rumus      perlu pembinaan dalam    Membuat percakapan tentang aktifitas berbelanja dan mempraktikkan di depan kelas berpasang-pasangan    </v>
          </cell>
          <cell r="BK31">
            <v>84</v>
          </cell>
          <cell r="BL31" t="str">
            <v>B</v>
          </cell>
          <cell r="BM31" t="str">
            <v xml:space="preserve">Mampu Memahami wacana tertulis dalam bentuk paparan atau bacaan tentang kegiatan sehari-hari disertai waktu     perlu pembinaan dalam    Menuliskan kata atau ungkapan pendek  sederhana tentang kegiatan sehari-hari disertai waktu    </v>
          </cell>
          <cell r="BN31">
            <v>85.166666666666671</v>
          </cell>
          <cell r="BO31" t="str">
            <v>B</v>
          </cell>
          <cell r="BP31" t="str">
            <v>Mampu kd     perlu pembinaan dalam        kd</v>
          </cell>
          <cell r="BQ31">
            <v>84</v>
          </cell>
          <cell r="BR31" t="str">
            <v>B</v>
          </cell>
          <cell r="BS31" t="str">
            <v xml:space="preserve">Mampu Menunjukkan ikon untuk membuat gambar dan teks     perlu pembinaan dalam    Terampil mengoperasikan ikon-ikon text box, shapes, clip art, picture dan insert tabel    </v>
          </cell>
          <cell r="BT31"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31" t="str">
            <v>Membatik</v>
          </cell>
          <cell r="BV31" t="str">
            <v>baik</v>
          </cell>
          <cell r="BW31">
            <v>0</v>
          </cell>
          <cell r="BX31">
            <v>0</v>
          </cell>
          <cell r="BY31" t="str">
            <v>1 hari</v>
          </cell>
          <cell r="BZ31">
            <v>0</v>
          </cell>
          <cell r="CA31">
            <v>0</v>
          </cell>
          <cell r="CB31" t="str">
            <v xml:space="preserve">Alhamdulillah, ananda selama satu semester ini sudah banyak peningkatan dalam prestasi belajarnya, mohon ditingkatkan lagi prestasinya. Jangan lupa sholat lima waktu dan selalu berdo'a. </v>
          </cell>
          <cell r="CC31" t="str">
            <v>146 cm</v>
          </cell>
          <cell r="CD31" t="str">
            <v>48 kg</v>
          </cell>
          <cell r="CE31" t="str">
            <v>Serumen (+)</v>
          </cell>
          <cell r="CF31" t="str">
            <v>Baik, normal</v>
          </cell>
          <cell r="CG31" t="str">
            <v>Gigi geraham sisa akar</v>
          </cell>
          <cell r="CH31" t="str">
            <v>Lomba mengarang dengan tema Ibuku Tersayang</v>
          </cell>
          <cell r="CI31" t="str">
            <v>Juara 2 pada sekolah jenjang kelas 4</v>
          </cell>
          <cell r="CJ31">
            <v>0</v>
          </cell>
          <cell r="CK31">
            <v>0</v>
          </cell>
        </row>
        <row r="32">
          <cell r="B32">
            <v>4896</v>
          </cell>
          <cell r="C32" t="str">
            <v>Siti Zamira Rafidah</v>
          </cell>
          <cell r="D32" t="str">
            <v xml:space="preserve">Menunjukkan sikap     yang sangat menonjol. perlu pembinaan dalam     </v>
          </cell>
          <cell r="E32" t="str">
            <v xml:space="preserve">Menunjukkan sikap   suka bekerjasama, membantu teman yang kesulitan,    Perlu bimbingan dalam sikapberani dan percaya diri ketika mengunkapkan pendapat.      </v>
          </cell>
          <cell r="F32">
            <v>82.333333333333329</v>
          </cell>
          <cell r="G32" t="str">
            <v>B</v>
          </cell>
          <cell r="H32" t="str">
            <v xml:space="preserve">Mampu  Mengerti makna Asma'ul Husna : as-Samad, al- Muqtadir, al-Muqaddim, al-Baqi    perlu pembinaan dalam     Memahami hikmah beriman kepada Hari Akhir yang dapat membentuk perilaku akhlak mulia
   </v>
          </cell>
          <cell r="I32">
            <v>80.75</v>
          </cell>
          <cell r="J32" t="str">
            <v>B</v>
          </cell>
          <cell r="K32" t="str">
            <v xml:space="preserve">Mampu  mengenal tata tertib dan aturan yang berlaku dalam kehidupan sehari-hari di rumah dan sekolah    perlu pembinaan dalam   mengenal simbol-simbol sila Pancasila dalam lambang negara “Garuda Pancasila”     </v>
          </cell>
          <cell r="L32">
            <v>77.599999999999994</v>
          </cell>
          <cell r="M32" t="str">
            <v>B</v>
          </cell>
          <cell r="N32"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32">
            <v>79.833333333333329</v>
          </cell>
          <cell r="P32" t="str">
            <v>B</v>
          </cell>
          <cell r="Q32" t="str">
            <v xml:space="preserve">Mampu  mengenal bilangan asli sampai 99 dengan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32">
            <v>78</v>
          </cell>
          <cell r="S32" t="str">
            <v>B</v>
          </cell>
          <cell r="T32" t="str">
            <v xml:space="preserve">Mampu    mengamati berbagai bahan, alat serta fungsinya dalam membuat prakarya  perlu pembinaan dalam    mengenal  pola irama lagu bervariasi menggunakan alat musik ritmis    </v>
          </cell>
          <cell r="U32">
            <v>82</v>
          </cell>
          <cell r="V32" t="str">
            <v>B</v>
          </cell>
          <cell r="W32" t="str">
            <v xml:space="preserve">Mampu   mengetahui konsep gerak dasar manipulatif sesuai dengan dimensi anggota tubuh yang  digunakan, arah, ruang  gerak, hubungan, dan usaha, dalam berbagai bentuk permainan sederhana dan atau permainan tradisional.   perlu pembinaan dalam      mengetahui konsep bergerak secara seimbang dan cepat dalam rangka pengembangan kebugaran jasmani melalui permainan sederhana dan atau tradisional.  </v>
          </cell>
          <cell r="X32">
            <v>78</v>
          </cell>
          <cell r="Y32" t="str">
            <v>B</v>
          </cell>
          <cell r="Z32"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32">
            <v>77.5</v>
          </cell>
          <cell r="AB32" t="str">
            <v>B</v>
          </cell>
          <cell r="AC32" t="str">
            <v xml:space="preserve">Mampu   Mengenal, memahami dan mengidentifikasi macam-macam compass at the map and traffic sign   perlu pembinaan dalam   Mengenal, memahami dan mengidentifikasi macam-macam kalimat (order, request, and prohibition)     </v>
          </cell>
          <cell r="AD32">
            <v>77.5</v>
          </cell>
          <cell r="AE32" t="str">
            <v>B</v>
          </cell>
          <cell r="AF32"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32">
            <v>78</v>
          </cell>
          <cell r="AH32" t="str">
            <v>B</v>
          </cell>
          <cell r="AI32" t="str">
            <v xml:space="preserve">Mampu   memahami kepribadian NU   perlu pembinaan dalam   Mengenal sejarah munculnya Ahlus Sunnah wal Jama'ah     </v>
          </cell>
          <cell r="AJ32">
            <v>84.5</v>
          </cell>
          <cell r="AK32" t="str">
            <v>B</v>
          </cell>
          <cell r="AL32" t="str">
            <v xml:space="preserve">Mampu  Mengenal fungsi ikon-ikon pendukung pengolah kata (word processing)    perlu pembinaan dalam   Mengenal software pengolah kata dengan ikon-ikon pendukung     </v>
          </cell>
          <cell r="AM32">
            <v>79.166666666666671</v>
          </cell>
          <cell r="AN32" t="str">
            <v>B</v>
          </cell>
          <cell r="AO32" t="str">
            <v xml:space="preserve">Mampu    Mencontohkan perilaku toleran dan simpati sebagai implementasi dari pemahaman Q.S. al-Kaafiruun  perlu pembinaan dalam    Menulis Q.S. al-Kaafiruun dengan jelas dan benar    </v>
          </cell>
          <cell r="AP32">
            <v>81.75</v>
          </cell>
          <cell r="AQ32" t="str">
            <v>B</v>
          </cell>
          <cell r="AR32" t="str">
            <v xml:space="preserve">Mampu    Melaksanakan tata tertib di rumah dan sekolah    perlu pembinaan dalam   Mengamati dan menceritakan perilaku di sekitar rumah dan sekolah dan mengaitkannya dengan pengenalannya terhadap salah satu simbol sila Pancasila  Mengamati dan menceriterakan kebersamaan dalam keberagaman di rumah dan sekolah   </v>
          </cell>
          <cell r="AS32">
            <v>77.599999999999994</v>
          </cell>
          <cell r="AT32" t="str">
            <v>B</v>
          </cell>
          <cell r="AU32" t="str">
            <v xml:space="preserve">Mampu    menyampaikan teks cerita diri/personal tentang keluarga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32">
            <v>77.666666666666671</v>
          </cell>
          <cell r="AW32" t="str">
            <v>B</v>
          </cell>
          <cell r="AX32" t="str">
            <v xml:space="preserve">Mampu   mendeskripsikan, mengembangkan, dan membuat pola yang berulang  perlu pembinaan dalam  menggunakan benda konkrit untuk menelusuri pecahan dan jumlah uang     </v>
          </cell>
          <cell r="AY32">
            <v>77.666666666666671</v>
          </cell>
          <cell r="AZ32" t="str">
            <v>B</v>
          </cell>
          <cell r="BA32" t="str">
            <v xml:space="preserve">Mampu     menyanyikan lagu anak-anak dan memperagakan tepuk birama dengan gerak perlu pembinaan dalam     menggambar dengan memanfaatkan beragam media kering   </v>
          </cell>
          <cell r="BB32">
            <v>77.666666666666671</v>
          </cell>
          <cell r="BC32" t="str">
            <v>B</v>
          </cell>
          <cell r="BD32" t="str">
            <v xml:space="preserve">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pola gerak dasar non-lokomotor sesuai dengan dimensi anggota tubuh yang digunakan, arah, ruang gerak, hubungan, dan usaha,dalam berbagai bentuk permainan sederhana dan atau tradisional.    </v>
          </cell>
          <cell r="BE32">
            <v>78</v>
          </cell>
          <cell r="BF32" t="str">
            <v>B</v>
          </cell>
          <cell r="BG32"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32">
            <v>84.5</v>
          </cell>
          <cell r="BI32" t="str">
            <v>B</v>
          </cell>
          <cell r="BJ32" t="str">
            <v xml:space="preserve">Mampu  Membuat percakapan tentang aktifitas berbelanja dan mempraktikkan di depan kelas berpasang-pasangan    perlu pembinaan dalam   Menulis kalimat order, request dan prohibition dengan baik sesuai dengan rumus      </v>
          </cell>
          <cell r="BK32">
            <v>84.5</v>
          </cell>
          <cell r="BL32" t="str">
            <v>B</v>
          </cell>
          <cell r="BM32" t="str">
            <v xml:space="preserve">Mampu  Menuliskan kata atau ungkapan pendek  sederhana tentang kegiatan sehari-hari disertai waktu    perlu pembinaan dalam   Memahami wacana tertulis dalam bentuk paparan atau bacaan tentang kegiatan sehari-hari disertai waktu     </v>
          </cell>
          <cell r="BN32">
            <v>77.666666666666671</v>
          </cell>
          <cell r="BO32" t="str">
            <v>B</v>
          </cell>
          <cell r="BP32" t="str">
            <v xml:space="preserve">Mampu     kd perlu pembinaan dalam     kd   </v>
          </cell>
          <cell r="BQ32">
            <v>84.5</v>
          </cell>
          <cell r="BR32" t="str">
            <v>B</v>
          </cell>
          <cell r="BS32" t="str">
            <v xml:space="preserve">Mampu  Terampil mengoperasikan ikon-ikon text box, shapes, clip art, picture dan insert tabel    perlu pembinaan dalam   Menunjukkan ikon untuk membuat gambar dan teks     </v>
          </cell>
          <cell r="BT32"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32" t="str">
            <v>Drumband</v>
          </cell>
          <cell r="BV32" t="str">
            <v>baik sekali</v>
          </cell>
          <cell r="BW32">
            <v>0</v>
          </cell>
          <cell r="BX32">
            <v>0</v>
          </cell>
          <cell r="BY32" t="str">
            <v>3 hari</v>
          </cell>
          <cell r="BZ32">
            <v>0</v>
          </cell>
          <cell r="CA32" t="str">
            <v>2 hari</v>
          </cell>
          <cell r="CB32" t="str">
            <v xml:space="preserve">Alhamdulillah, ananda selama satu semester ini sudah banyak peningkatan dalam prestasi belajarnya, mohon ditingkatkan lagi prestasinya. Jangan lupa sholat lima waktu dan selalu berdo'a. </v>
          </cell>
          <cell r="CC32" t="str">
            <v>139 cm</v>
          </cell>
          <cell r="CD32" t="str">
            <v>38 kg</v>
          </cell>
          <cell r="CE32" t="str">
            <v>Baik, normal</v>
          </cell>
          <cell r="CF32" t="str">
            <v>Baik, normal</v>
          </cell>
          <cell r="CG32" t="str">
            <v>Bagus</v>
          </cell>
          <cell r="CH32">
            <v>0</v>
          </cell>
          <cell r="CI32">
            <v>0</v>
          </cell>
          <cell r="CJ32">
            <v>0</v>
          </cell>
          <cell r="CK32">
            <v>0</v>
          </cell>
        </row>
        <row r="33">
          <cell r="B33">
            <v>4898</v>
          </cell>
          <cell r="C33" t="str">
            <v>Talitha Azaria Maulida</v>
          </cell>
          <cell r="D33" t="str">
            <v xml:space="preserve">Menunjukkan sikap     yang sangat menonjol. perlu pembinaan dalam     </v>
          </cell>
          <cell r="E33" t="str">
            <v xml:space="preserve">Menunjukkan sikap   suka bekerjasama, membantu teman yang kesulitan,    Perlu bimbingan dalam sikapberani dan percaya diri ketika mengunkapkan pendapat.      </v>
          </cell>
          <cell r="F33">
            <v>78</v>
          </cell>
          <cell r="G33" t="str">
            <v>B</v>
          </cell>
          <cell r="H33" t="str">
            <v xml:space="preserve">Mampu    Memahami hikmah berzakat sebagai implementasi rukun Islam  perlu pembinaan dalam   Mengetahui makna Q.S. Al-Kaafiruun dengan benar,      </v>
          </cell>
          <cell r="I33">
            <v>84</v>
          </cell>
          <cell r="J33" t="str">
            <v>B</v>
          </cell>
          <cell r="K33"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33">
            <v>85.8</v>
          </cell>
          <cell r="M33" t="str">
            <v>B</v>
          </cell>
          <cell r="N33"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33">
            <v>81.666666666666671</v>
          </cell>
          <cell r="P33" t="str">
            <v>B</v>
          </cell>
          <cell r="Q33"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33">
            <v>85.333333333333329</v>
          </cell>
          <cell r="S33" t="str">
            <v>B</v>
          </cell>
          <cell r="T33" t="str">
            <v xml:space="preserve">Mampu  mengenal  pola irama lagu bervariasi menggunakan alat musik ritmis    perlu pembinaan dalam       mengenal karya seni budaya benda dan bahasa daerah setempat </v>
          </cell>
          <cell r="U33">
            <v>79.833333333333329</v>
          </cell>
          <cell r="V33" t="str">
            <v>B</v>
          </cell>
          <cell r="W33"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33">
            <v>89</v>
          </cell>
          <cell r="Y33" t="str">
            <v>B</v>
          </cell>
          <cell r="Z33"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33">
            <v>84.5</v>
          </cell>
          <cell r="AB33" t="str">
            <v>B</v>
          </cell>
          <cell r="AC33" t="str">
            <v xml:space="preserve">Mampu Mengenal, memahami dan mengidentifikasi macam-macam kalimat (order, request, and prohibition)     perlu pembinaan dalam      Mengenal, memahami dan mengidentifikasi shopping activity (how to ask price, show the price, bargain, accept and refuse to bargain, etc)  </v>
          </cell>
          <cell r="AD33">
            <v>84.5</v>
          </cell>
          <cell r="AE33" t="str">
            <v>B</v>
          </cell>
          <cell r="AF33"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profesi dengan menggunakan pola kalimat isim isyarah/ dhamir + profesi  </v>
          </cell>
          <cell r="AG33">
            <v>89</v>
          </cell>
          <cell r="AH33" t="str">
            <v>B</v>
          </cell>
          <cell r="AI33" t="str">
            <v xml:space="preserve">Mampu Mengenal sejarah munculnya Ahlus Sunnah wal Jama'ah     perlu pembinaan dalam     memahami kepribadian NU   </v>
          </cell>
          <cell r="AJ33">
            <v>84.5</v>
          </cell>
          <cell r="AK33" t="str">
            <v>B</v>
          </cell>
          <cell r="AL33" t="str">
            <v xml:space="preserve">Mampu Mengenal software pengolah kata dengan ikon-ikon pendukung     perlu pembinaan dalam    Mengenal fungsi ikon-ikon pendukung pengolah kata (word processing)    </v>
          </cell>
          <cell r="AM33">
            <v>77.666666666666671</v>
          </cell>
          <cell r="AN33" t="str">
            <v>B</v>
          </cell>
          <cell r="AO33" t="str">
            <v>Mampu  Menulis Q.S. al-Kaafiruun dengan jelas dan benar    perlu pembinaan dalam        Menceritakan kisah keteladanan sahabat-sahabat Nabi Muhammad saw.</v>
          </cell>
          <cell r="AP33">
            <v>84</v>
          </cell>
          <cell r="AQ33" t="str">
            <v>B</v>
          </cell>
          <cell r="AR33" t="str">
            <v xml:space="preserve">Mampu    Mengamati dan menceriterakan kebersamaan dalam keberagaman di rumah dan sekolah   perlu pembinaan dalam      Mengamati dan menceriterakan keberagaman karateristik individu di rumah dan sekolah  </v>
          </cell>
          <cell r="AS33">
            <v>80.8</v>
          </cell>
          <cell r="AT33" t="str">
            <v>B</v>
          </cell>
          <cell r="AU33"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33">
            <v>82.5</v>
          </cell>
          <cell r="AW33" t="str">
            <v>B</v>
          </cell>
          <cell r="AX33" t="str">
            <v xml:space="preserve">Mampu menggunakan benda konkrit untuk menelusuri pecahan dan jumlah uang     perlu pembinaan dalam 0     </v>
          </cell>
          <cell r="AY33">
            <v>82.5</v>
          </cell>
          <cell r="AZ33" t="str">
            <v>B</v>
          </cell>
          <cell r="BA33" t="str">
            <v xml:space="preserve">Mampu   menggambar dengan memanfaatkan beragam media kering   perlu pembinaan dalam   menggambar ekspresi dengan mengolah garis, warna dan bentuk berdasarkan hasil pengamatan di lingkungan sekitar     </v>
          </cell>
          <cell r="BB33">
            <v>82.5</v>
          </cell>
          <cell r="BC33" t="str">
            <v>B</v>
          </cell>
          <cell r="BD33"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33">
            <v>89</v>
          </cell>
          <cell r="BF33" t="str">
            <v>B</v>
          </cell>
          <cell r="BG33"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33">
            <v>84.5</v>
          </cell>
          <cell r="BI33" t="str">
            <v>B</v>
          </cell>
          <cell r="BJ33" t="str">
            <v xml:space="preserve">Mampu Menulis kalimat order, request dan prohibition dengan baik sesuai dengan rumus      perlu pembinaan dalam    Membuat percakapan tentang aktifitas berbelanja dan mempraktikkan di depan kelas berpasang-pasangan    </v>
          </cell>
          <cell r="BK33">
            <v>84.5</v>
          </cell>
          <cell r="BL33" t="str">
            <v>B</v>
          </cell>
          <cell r="BM33" t="str">
            <v xml:space="preserve">Mampu Memahami wacana tertulis dalam bentuk paparan atau bacaan tentang kegiatan sehari-hari disertai waktu     perlu pembinaan dalam    Menuliskan kata atau ungkapan pendek  sederhana tentang kegiatan sehari-hari disertai waktu    </v>
          </cell>
          <cell r="BN33">
            <v>82.5</v>
          </cell>
          <cell r="BO33" t="str">
            <v>B</v>
          </cell>
          <cell r="BP33" t="str">
            <v xml:space="preserve">Mampu   kd   perlu pembinaan dalam   kd     </v>
          </cell>
          <cell r="BQ33">
            <v>84.5</v>
          </cell>
          <cell r="BR33" t="str">
            <v>B</v>
          </cell>
          <cell r="BS33" t="str">
            <v xml:space="preserve">Mampu Menunjukkan ikon untuk membuat gambar dan teks     perlu pembinaan dalam    Terampil mengoperasikan ikon-ikon text box, shapes, clip art, picture dan insert tabel    </v>
          </cell>
          <cell r="BT33"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33" t="str">
            <v>Membatik</v>
          </cell>
          <cell r="BV33" t="str">
            <v xml:space="preserve">baik </v>
          </cell>
          <cell r="BW33">
            <v>0</v>
          </cell>
          <cell r="BX33">
            <v>0</v>
          </cell>
          <cell r="BY33" t="str">
            <v>1 hari</v>
          </cell>
          <cell r="BZ33">
            <v>0</v>
          </cell>
          <cell r="CA33">
            <v>0</v>
          </cell>
          <cell r="CB33" t="str">
            <v xml:space="preserve">Alhamdulillah, ananda selama satu semester ini sudah banyak peningkatan dalam prestasi belajarnya, mohon ditingkatkan lagi prestasinya. Jangan lupa sholat lima waktu dan selalu berdo'a. </v>
          </cell>
          <cell r="CC33" t="str">
            <v>139 cm</v>
          </cell>
          <cell r="CD33" t="str">
            <v>35 kg</v>
          </cell>
          <cell r="CE33" t="str">
            <v>Baik, normal</v>
          </cell>
          <cell r="CF33" t="str">
            <v>Baik, normal</v>
          </cell>
          <cell r="CG33" t="str">
            <v>Geraham persistensi</v>
          </cell>
          <cell r="CH33">
            <v>0</v>
          </cell>
          <cell r="CI33">
            <v>0</v>
          </cell>
          <cell r="CJ33">
            <v>0</v>
          </cell>
          <cell r="CK33">
            <v>0</v>
          </cell>
        </row>
        <row r="34">
          <cell r="B34">
            <v>4904</v>
          </cell>
          <cell r="C34" t="str">
            <v xml:space="preserve">Yusril Arzaqi Ardi Surya </v>
          </cell>
          <cell r="D34" t="str">
            <v xml:space="preserve">Menunjukkan sikap     yang sangat menonjol. perlu pembinaan dalam     </v>
          </cell>
          <cell r="E34" t="str">
            <v xml:space="preserve">Menunjukkan sikap   suka bekerjasama, membantu teman yang kesulitan,    Perlu bimbingan dalam sikapberani dan percaya diri ketika mengunkapkan pendapat.      </v>
          </cell>
          <cell r="F34">
            <v>78</v>
          </cell>
          <cell r="G34" t="str">
            <v>B</v>
          </cell>
          <cell r="H34" t="str">
            <v xml:space="preserve">Mampu  Mengerti makna Asma'ul Husna : as-Samad, al- Muqtadir, al-Muqaddim, al-Baqi    perlu pembinaan dalam      Memahami hikmah berzakat sebagai implementasi rukun Islam  </v>
          </cell>
          <cell r="I34">
            <v>74.75</v>
          </cell>
          <cell r="J34" t="str">
            <v>C</v>
          </cell>
          <cell r="K34" t="str">
            <v xml:space="preserve">Mampu    mengenal arti bersatu dalam keberagaman di rumah dan sekolah  perlu pembinaan dalam    mengenal tata tertib dan aturan yang berlaku dalam kehidupan sehari-hari di rumah dan sekolah    </v>
          </cell>
          <cell r="L34">
            <v>82.8</v>
          </cell>
          <cell r="M34" t="str">
            <v>B</v>
          </cell>
          <cell r="N34"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34">
            <v>75.5</v>
          </cell>
          <cell r="P34" t="str">
            <v>C</v>
          </cell>
          <cell r="Q34" t="str">
            <v xml:space="preserve">Mampu     mengenal bangun datar dan bangun ruang menggunakan benda-benda yang ada di sekitar rumah, sekolah, atau tempat bermain. perlu pembinaan dalam    mengenal bilangan asli sampai 99 dengan menggunakan benda-benda yang ada di sekitar rumah, sekolah, atau tempat bermain    </v>
          </cell>
          <cell r="R34">
            <v>79.833333333333329</v>
          </cell>
          <cell r="S34" t="str">
            <v>B</v>
          </cell>
          <cell r="T34" t="str">
            <v>Mampu   mengenal unsur-unsur gerak, bagian-bagian gerak anggota tubuh dan level gerak dalam menari   perlu pembinaan dalam      mengamati berbagai bahan, alat serta fungsinya dalam membuat prakarya menggambar ekspresi dengan mengolah garis, warna dan bentuk berdasarkan hasil pengamatan di lingkungan sekitar</v>
          </cell>
          <cell r="U34">
            <v>78</v>
          </cell>
          <cell r="V34" t="str">
            <v>B</v>
          </cell>
          <cell r="W34" t="str">
            <v xml:space="preserve">Mampu   mengetahui konsep gerak dasar manipulatif sesuai dengan dimensi anggota tubuh yang  digunakan, arah, ruang  gerak, hubungan, dan usaha, dalam berbagai bentuk permainan sederhana dan atau permainan tradisional.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34">
            <v>81.666666666666671</v>
          </cell>
          <cell r="Y34" t="str">
            <v>B</v>
          </cell>
          <cell r="Z34"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34">
            <v>83.5</v>
          </cell>
          <cell r="AB34" t="str">
            <v>B</v>
          </cell>
          <cell r="AC34" t="str">
            <v xml:space="preserve">Mampu  Mengenal, memahami dan mengidentifikasi macam-macam weather and season based on the country    perlu pembinaan dalam     Mengenal, memahami dan mengidentifikasi macam-macam compass at the map and traffic sign   </v>
          </cell>
          <cell r="AD34">
            <v>83.5</v>
          </cell>
          <cell r="AE34" t="str">
            <v>B</v>
          </cell>
          <cell r="AF34"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34">
            <v>81.666666666666671</v>
          </cell>
          <cell r="AH34" t="str">
            <v>B</v>
          </cell>
          <cell r="AI34" t="str">
            <v xml:space="preserve">Mampu  Memahami amaliah NU    perlu pembinaan dalam     memahami kepribadian NU   </v>
          </cell>
          <cell r="AJ34">
            <v>83.5</v>
          </cell>
          <cell r="AK34" t="str">
            <v>B</v>
          </cell>
          <cell r="AL34" t="str">
            <v xml:space="preserve">Mampu Mengenal software pengolah kata dengan ikon-ikon pendukung     perlu pembinaan dalam    Mengenal fungsi ikon-ikon pendukung pengolah kata (word processing)    </v>
          </cell>
          <cell r="AM34">
            <v>82</v>
          </cell>
          <cell r="AN34" t="str">
            <v>B</v>
          </cell>
          <cell r="AO34" t="str">
            <v xml:space="preserve">Mampu   Menyebutkan arti Q.S. al-Kaafiruun dengan jelas dan benar   perlu pembinaan dalam      Mencontohkan perilaku toleran dan simpati sebagai implementasi dari pemahaman Q.S. al-Kaafiruun  </v>
          </cell>
          <cell r="AP34">
            <v>81.25</v>
          </cell>
          <cell r="AQ34" t="str">
            <v>B</v>
          </cell>
          <cell r="AR34" t="str">
            <v xml:space="preserve">Mampu Mengamati dan menceritakan perilaku di sekitar rumah dan sekolah dan mengaitkannya dengan pengenalannya terhadap salah satu simbol sila Pancasila     perlu pembinaan dalam      Melaksanakan tata tertib di rumah dan sekolah    </v>
          </cell>
          <cell r="AS34">
            <v>82.4</v>
          </cell>
          <cell r="AT34" t="str">
            <v>B</v>
          </cell>
          <cell r="AU34" t="str">
            <v xml:space="preserve">Mampu   menyampaikan teks terima kasih mengenai sikap kasih sayang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34">
            <v>82</v>
          </cell>
          <cell r="AW34" t="str">
            <v>B</v>
          </cell>
          <cell r="AX34" t="str">
            <v xml:space="preserve">Mampu  mengemukakan kembali dengan kalimat sendiri dan memecahkan masalah yang berkaitan dengan penjumlahan dan pengurangan terkait dengan aktivitas sehari-hari serta memeriksa kebenarannya   perlu pembinaan dalam    mendeskripsikan, mengembangkan, dan membuat pola yang berulang  </v>
          </cell>
          <cell r="AY34">
            <v>82</v>
          </cell>
          <cell r="AZ34" t="str">
            <v>B</v>
          </cell>
          <cell r="BA34" t="str">
            <v xml:space="preserve">Mampu    Membentuk karya seni ekspresi dari bahan lunak  perlu pembinaan dalam       menyanyikan lagu anak-anak dan memperagakan tepuk birama dengan gerak </v>
          </cell>
          <cell r="BB34">
            <v>82</v>
          </cell>
          <cell r="BC34" t="str">
            <v>B</v>
          </cell>
          <cell r="BD34" t="str">
            <v xml:space="preserve">Mampu    mempraktikkan aktivitas pengembangan kebugaran jasmani untuk melatih keseimbangan dan kecepatan tubuh melalui permainan sederhanadan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34">
            <v>81.666666666666671</v>
          </cell>
          <cell r="BF34" t="str">
            <v>B</v>
          </cell>
          <cell r="BG34" t="str">
            <v xml:space="preserve">Mampu  menceritakan isi tembang macapat.     perlu pembinaan dalam     menanggapi teks lisan maupun tulis yang memuat ungkapan tradisional Jawa/ Madura (paribasan, bebasan, saloka)   </v>
          </cell>
          <cell r="BH34">
            <v>83.5</v>
          </cell>
          <cell r="BI34" t="str">
            <v>B</v>
          </cell>
          <cell r="BJ34" t="str">
            <v xml:space="preserve">Mampu Menulis kalimat order, request dan prohibition dengan baik sesuai dengan rumus      perlu pembinaan dalam    Membuat percakapan tentang aktifitas berbelanja dan mempraktikkan di depan kelas berpasang-pasangan    </v>
          </cell>
          <cell r="BK34">
            <v>83.5</v>
          </cell>
          <cell r="BL34" t="str">
            <v>B</v>
          </cell>
          <cell r="BM34" t="str">
            <v xml:space="preserve">Mampu Memahami wacana tertulis dalam bentuk paparan atau bacaan tentang kegiatan sehari-hari disertai waktu     perlu pembinaan dalam    Menuliskan kata atau ungkapan pendek  sederhana tentang kegiatan sehari-hari disertai waktu    </v>
          </cell>
          <cell r="BN34">
            <v>82</v>
          </cell>
          <cell r="BO34" t="str">
            <v>B</v>
          </cell>
          <cell r="BP34" t="str">
            <v xml:space="preserve">Mampu    kd  perlu pembinaan dalam       kd </v>
          </cell>
          <cell r="BQ34">
            <v>83.5</v>
          </cell>
          <cell r="BR34" t="str">
            <v>B</v>
          </cell>
          <cell r="BS34" t="str">
            <v xml:space="preserve">Mampu Menunjukkan ikon untuk membuat gambar dan teks     perlu pembinaan dalam    Terampil mengoperasikan ikon-ikon text box, shapes, clip art, picture dan insert tabel    </v>
          </cell>
          <cell r="BT34"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34" t="str">
            <v>Futsal</v>
          </cell>
          <cell r="BV34" t="str">
            <v>baik sekali</v>
          </cell>
          <cell r="BW34">
            <v>0</v>
          </cell>
          <cell r="BX34">
            <v>0</v>
          </cell>
          <cell r="BY34" t="str">
            <v>1 hari</v>
          </cell>
          <cell r="BZ34" t="str">
            <v>2 hari</v>
          </cell>
          <cell r="CA34" t="str">
            <v>1 hari</v>
          </cell>
          <cell r="CB34" t="str">
            <v xml:space="preserve">Alhamdulillah, ananda selama satu semester ini sudah banyak peningkatan dalam prestasi belajarnya, mohon ditingkatkan lagi prestasinya. Jangan lupa sholat lima waktu dan selalu berdo'a. </v>
          </cell>
          <cell r="CC34" t="str">
            <v>136 cm</v>
          </cell>
          <cell r="CD34" t="str">
            <v>33 kg</v>
          </cell>
          <cell r="CE34" t="str">
            <v>Baik, normal</v>
          </cell>
          <cell r="CF34" t="str">
            <v>Baik, normal</v>
          </cell>
          <cell r="CG34" t="str">
            <v>Bagus</v>
          </cell>
          <cell r="CH34" t="str">
            <v>Futsal</v>
          </cell>
          <cell r="CI34" t="str">
            <v>Juara 1 (class meeting semester 1)</v>
          </cell>
          <cell r="CJ34">
            <v>0</v>
          </cell>
          <cell r="CK34">
            <v>0</v>
          </cell>
        </row>
        <row r="35">
          <cell r="B35">
            <v>4905</v>
          </cell>
          <cell r="C35" t="str">
            <v>Zainur Rohman</v>
          </cell>
          <cell r="D35" t="str">
            <v xml:space="preserve">Menunjukkan sikap     yang sangat menonjol. perlu pembinaan dalam     </v>
          </cell>
          <cell r="E35" t="str">
            <v xml:space="preserve">Menunjukkan sikap   suka bekerjasama, membantu teman yang kesulitan,    Perlu bimbingan dalam sikapberani dan percaya diri ketika mengunkapkan pendapat.      </v>
          </cell>
          <cell r="F35">
            <v>83.833333333333329</v>
          </cell>
          <cell r="G35" t="str">
            <v>B</v>
          </cell>
          <cell r="H35" t="str">
            <v xml:space="preserve">Mampu     Mengetahui kisah Nabi Muhammad saw. perlu pembinaan dalam     Memahami hikmah beriman kepada Hari Akhir yang dapat membentuk perilaku akhlak mulia
   </v>
          </cell>
          <cell r="I35">
            <v>83.5</v>
          </cell>
          <cell r="J35" t="str">
            <v>B</v>
          </cell>
          <cell r="K35" t="str">
            <v xml:space="preserve">Mampu   mengenal keberagaman karateristik individu di rumah dan di sekolah   perlu pembinaan dalam   mengenal simbol-simbol sila Pancasila dalam lambang negara “Garuda Pancasila”     </v>
          </cell>
          <cell r="L35">
            <v>77.599999999999994</v>
          </cell>
          <cell r="M35" t="str">
            <v>B</v>
          </cell>
          <cell r="N35" t="str">
            <v xml:space="preserve">Mampu    Mengenal teks cerita diri/personal tentang keberadaan keluarga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35">
            <v>84</v>
          </cell>
          <cell r="P35" t="str">
            <v>B</v>
          </cell>
          <cell r="Q35" t="str">
            <v xml:space="preserve">Mampu   mengenal dan memprediksi pola-pola bilangan sederhana menggunakan gambar-gambar/benda konkrit  menemukan bangun yang membentuk pola pengubinan sederhanaperlu pembinaan dalam   mengenal lambang bilangan dan mendeskripsikan kemunculan bilangan dengan bahasa yang sederhana   menunjukkan pemahaman tentang besaran dengan menghitung maju sampai 100 dan mundur dari 20  </v>
          </cell>
          <cell r="R35">
            <v>77.833333333333329</v>
          </cell>
          <cell r="S35" t="str">
            <v>B</v>
          </cell>
          <cell r="T35" t="str">
            <v xml:space="preserve">Mampu     mengenal karya seni budaya benda dan bahasa daerah setempat perlu pembinaan dalam    mengenal  pola irama lagu bervariasi menggunakan alat musik ritmis    </v>
          </cell>
          <cell r="U35">
            <v>83.833333333333329</v>
          </cell>
          <cell r="V35" t="str">
            <v>B</v>
          </cell>
          <cell r="W35" t="str">
            <v xml:space="preserve">Mampu      mengetahui konsep penggunaan pola gerak dasar lokomotor dan non-lokomotor sesuai dengan irama (ketukan) tanpa/ dengan musik dalam aktivitas gerak rimtik. perlu pembinaan dalam      mengetahui konsep bergerak secara seimbang dan cepat dalam rangka pengembangan kebugaran jasmani melalui permainan sederhana dan atau tradisional.  </v>
          </cell>
          <cell r="X35">
            <v>73.666666666666671</v>
          </cell>
          <cell r="Y35" t="str">
            <v>C</v>
          </cell>
          <cell r="Z35"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35">
            <v>78</v>
          </cell>
          <cell r="AB35" t="str">
            <v>B</v>
          </cell>
          <cell r="AC35" t="str">
            <v xml:space="preserve">Mampu    Mengenal, memahami dan mengidentifikasi shopping activity (how to ask price, show the price, bargain, accept and refuse to bargain, etc)  perlu pembinaan dalam   Mengenal, memahami dan mengidentifikasi macam-macam kalimat (order, request, and prohibition)     </v>
          </cell>
          <cell r="AD35">
            <v>78</v>
          </cell>
          <cell r="AE35" t="str">
            <v>B</v>
          </cell>
          <cell r="AF35" t="str">
            <v xml:space="preserve">Mampu    Memahami wacana dalam bentuk paparan tentang profesi dengan menggunakan pola kalimat isim isyarah/ dhamir + profesi  perlu pembinaan dalam   Memahami wacana dalam bentuk paparan tentang perkenalan diri (1) dengan menggunakan pola kalimat yang meliputi isim isyarah (kata tunjuk) orang atau benda yang dekat (haadza, haadzihi) + alam + isim mufrad     </v>
          </cell>
          <cell r="AG35">
            <v>73.666666666666671</v>
          </cell>
          <cell r="AH35" t="str">
            <v>C</v>
          </cell>
          <cell r="AI35" t="str">
            <v xml:space="preserve">Mampu   memahami kepribadian NU   perlu pembinaan dalam   Mengenal sejarah munculnya Ahlus Sunnah wal Jama'ah     </v>
          </cell>
          <cell r="AJ35">
            <v>77.5</v>
          </cell>
          <cell r="AK35" t="str">
            <v>B</v>
          </cell>
          <cell r="AL35" t="str">
            <v xml:space="preserve">Mampu  Mengenal fungsi ikon-ikon pendukung pengolah kata (word processing)    perlu pembinaan dalam   Mengenal software pengolah kata dengan ikon-ikon pendukung     </v>
          </cell>
          <cell r="AM35">
            <v>79.5</v>
          </cell>
          <cell r="AN35" t="str">
            <v>B</v>
          </cell>
          <cell r="AO35" t="str">
            <v xml:space="preserve">Mampu     Menceritakan kisah keteladanan Nabi Muhammad saw. perlu pembinaan dalam    Menulis Q.S. al-Kaafiruun dengan jelas dan benar    </v>
          </cell>
          <cell r="AP35">
            <v>82.5</v>
          </cell>
          <cell r="AQ35" t="str">
            <v>B</v>
          </cell>
          <cell r="AR35" t="str">
            <v xml:space="preserve">Mampu    Mengamati dan menceriterakan keberagaman karateristik individu di rumah dan sekolah  perlu pembinaan dalam      Mengamati dan menceriterakan kebersamaan dalam keberagaman di rumah dan sekolah   </v>
          </cell>
          <cell r="AS35">
            <v>80.2</v>
          </cell>
          <cell r="AT35" t="str">
            <v>B</v>
          </cell>
          <cell r="AU35" t="str">
            <v xml:space="preserve">Mampu     membuat teks diagram/label  tentang anggota keluarga dan kerabat secara mandiri dalam bahasa Indonesia lisan dan tulis yang dapat diisi dengan kosa kat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35">
            <v>79.5</v>
          </cell>
          <cell r="AW35" t="str">
            <v>B</v>
          </cell>
          <cell r="AX35" t="str">
            <v xml:space="preserve">Mampu    membentuk berbagai bangun datar dengan menggunakan papan berpaku atau media lainnya perlu pembinaan dalam  menggunakan benda konkrit untuk menelusuri pecahan dan jumlah uang     </v>
          </cell>
          <cell r="AY35">
            <v>79.5</v>
          </cell>
          <cell r="AZ35" t="str">
            <v>B</v>
          </cell>
          <cell r="BA35" t="str">
            <v xml:space="preserve">Mampu      memainkan pola irama lagu bertanda birama dua dengan tepuk dan gerakperlu pembinaan dalam     menggambar dengan memanfaatkan beragam media kering   </v>
          </cell>
          <cell r="BB35">
            <v>79.5</v>
          </cell>
          <cell r="BC35" t="str">
            <v>B</v>
          </cell>
          <cell r="BD35" t="str">
            <v xml:space="preserve">Mampu      mempraktikkan penggunaan pola gerak dasar lokomotor dan non-lokomotor sesuai dengan irama (ketukan) tanpa/dengan musik dalam aktivitas gerak rimtik.perlu pembinaan dalam    mempraktikkan pola gerak dasar non-lokomotor sesuai dengan dimensi anggota tubuh yang digunakan, arah, ruang gerak, hubungan, dan usaha,dalam berbagai bentuk permainan sederhana dan atau tradisional.    </v>
          </cell>
          <cell r="BE35">
            <v>73.666666666666671</v>
          </cell>
          <cell r="BF35" t="str">
            <v>C</v>
          </cell>
          <cell r="BG35"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35">
            <v>77.5</v>
          </cell>
          <cell r="BI35" t="str">
            <v>B</v>
          </cell>
          <cell r="BJ35" t="str">
            <v xml:space="preserve">Mampu  Membuat percakapan tentang aktifitas berbelanja dan mempraktikkan di depan kelas berpasang-pasangan    perlu pembinaan dalam   Menulis kalimat order, request dan prohibition dengan baik sesuai dengan rumus      </v>
          </cell>
          <cell r="BK35">
            <v>77.5</v>
          </cell>
          <cell r="BL35" t="str">
            <v>B</v>
          </cell>
          <cell r="BM35" t="str">
            <v xml:space="preserve">Mampu  Menuliskan kata atau ungkapan pendek  sederhana tentang kegiatan sehari-hari disertai waktu    perlu pembinaan dalam   Memahami wacana tertulis dalam bentuk paparan atau bacaan tentang kegiatan sehari-hari disertai waktu     </v>
          </cell>
          <cell r="BN35">
            <v>79.5</v>
          </cell>
          <cell r="BO35" t="str">
            <v>B</v>
          </cell>
          <cell r="BP35" t="str">
            <v xml:space="preserve">Mampu      kdperlu pembinaan dalam     kd   </v>
          </cell>
          <cell r="BQ35">
            <v>77.5</v>
          </cell>
          <cell r="BR35" t="str">
            <v>B</v>
          </cell>
          <cell r="BS35" t="str">
            <v xml:space="preserve">Mampu  Terampil mengoperasikan ikon-ikon text box, shapes, clip art, picture dan insert tabel    perlu pembinaan dalam   Menunjukkan ikon untuk membuat gambar dan teks     </v>
          </cell>
          <cell r="BT35" t="str">
            <v xml:space="preserve">Mampu  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35" t="str">
            <v>Futsal</v>
          </cell>
          <cell r="BV35" t="str">
            <v>baik sekali</v>
          </cell>
          <cell r="BW35">
            <v>0</v>
          </cell>
          <cell r="BX35">
            <v>0</v>
          </cell>
          <cell r="BY35" t="str">
            <v>6 hari</v>
          </cell>
          <cell r="BZ35" t="str">
            <v>3 hari</v>
          </cell>
          <cell r="CA35">
            <v>0</v>
          </cell>
          <cell r="CB35" t="str">
            <v xml:space="preserve">Alhamdulillah, ananda selama satu semester ini sudah banyak peningkatan dalam prestasi belajarnya, mohon ditingkatkan lagi konsentrasi dalam mengikuti pembelajaran. Jangan lupa sholat lima waktu dan selalu berdo'a. </v>
          </cell>
          <cell r="CC35" t="str">
            <v>135 cm</v>
          </cell>
          <cell r="CD35" t="str">
            <v>29 kg</v>
          </cell>
          <cell r="CE35" t="str">
            <v>Baik, normal</v>
          </cell>
          <cell r="CF35" t="str">
            <v>Baik, normal</v>
          </cell>
          <cell r="CG35" t="str">
            <v xml:space="preserve">geraham atas kanan karies, dan geraham bawah kanan dan kiri karies. </v>
          </cell>
          <cell r="CH35" t="str">
            <v>Futsal</v>
          </cell>
          <cell r="CI35" t="str">
            <v>Juara 1 (class meeting semester 1)</v>
          </cell>
          <cell r="CJ35">
            <v>0</v>
          </cell>
          <cell r="CK35">
            <v>0</v>
          </cell>
        </row>
        <row r="36">
          <cell r="B36">
            <v>0</v>
          </cell>
          <cell r="C36">
            <v>0</v>
          </cell>
          <cell r="D36" t="str">
            <v xml:space="preserve">Menunjukkan sikap     yang sangat menonjol. perlu pembinaan dalam     </v>
          </cell>
          <cell r="E36" t="str">
            <v xml:space="preserve">Menunjukkan sikap       Perlu bimbingan dalam sikap      </v>
          </cell>
          <cell r="F36">
            <v>78.5</v>
          </cell>
          <cell r="G36" t="str">
            <v>B</v>
          </cell>
          <cell r="H36" t="str">
            <v xml:space="preserve">Mampu Mengetahui makna Q.S. Al-Kaafiruun dengan benar,      perlu pembinaan dalam       Mengetahui kisah Nabi Muhammad saw. </v>
          </cell>
          <cell r="I36">
            <v>77.75</v>
          </cell>
          <cell r="J36" t="str">
            <v>B</v>
          </cell>
          <cell r="K36" t="str">
            <v xml:space="preserve">Mampu mengenal simbol-simbol sila Pancasila dalam lambang negara “Garuda Pancasila”     perlu pembinaan dalam     mengenal keberagaman karateristik individu di rumah dan di sekolah   </v>
          </cell>
          <cell r="L36">
            <v>77.599999999999994</v>
          </cell>
          <cell r="M36" t="str">
            <v>B</v>
          </cell>
          <cell r="N36"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36">
            <v>77.666666666666671</v>
          </cell>
          <cell r="P36" t="str">
            <v>B</v>
          </cell>
          <cell r="Q36"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36">
            <v>79.666666666666671</v>
          </cell>
          <cell r="S36" t="str">
            <v>B</v>
          </cell>
          <cell r="T36" t="str">
            <v xml:space="preserve">Mampu   mengenal unsur-unsur gerak, bagian-bagian gerak anggota tubuh dan level gerak dalam menari   perlu pembinaan dalam       mengenal karya seni budaya benda dan bahasa daerah setempat </v>
          </cell>
          <cell r="U36">
            <v>79.666666666666671</v>
          </cell>
          <cell r="V36" t="str">
            <v>B</v>
          </cell>
          <cell r="W36"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36">
            <v>81.666666666666671</v>
          </cell>
          <cell r="Y36" t="str">
            <v>B</v>
          </cell>
          <cell r="Z36"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36">
            <v>77.5</v>
          </cell>
          <cell r="AB36" t="str">
            <v>B</v>
          </cell>
          <cell r="AC36"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36">
            <v>77.5</v>
          </cell>
          <cell r="AE36" t="str">
            <v>B</v>
          </cell>
          <cell r="AF36"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36">
            <v>81.666666666666671</v>
          </cell>
          <cell r="AH36" t="str">
            <v>B</v>
          </cell>
          <cell r="AI36" t="str">
            <v xml:space="preserve">Mampu  Memahami amaliah NU    perlu pembinaan dalam     memahami kepribadian NU   </v>
          </cell>
          <cell r="AJ36">
            <v>83.5</v>
          </cell>
          <cell r="AK36" t="str">
            <v>B</v>
          </cell>
          <cell r="AL36" t="str">
            <v xml:space="preserve">Mampu Mengenal software pengolah kata dengan ikon-ikon pendukung     perlu pembinaan dalam    Mengenal fungsi ikon-ikon pendukung pengolah kata (word processing)    </v>
          </cell>
          <cell r="AM36">
            <v>79.833333333333329</v>
          </cell>
          <cell r="AN36" t="str">
            <v>B</v>
          </cell>
          <cell r="AO36" t="str">
            <v xml:space="preserve">Mampu Membaca Q.S. al-Kaafiruun dengan jelas dan benar Menyebutkan arti Q.S. al-Kaafiruun dengan jelas dan benar   perlu pembinaan dalam       Menceritakan kisah keteladanan Nabi Muhammad saw. </v>
          </cell>
          <cell r="AP36">
            <v>77.75</v>
          </cell>
          <cell r="AQ36" t="str">
            <v>B</v>
          </cell>
          <cell r="AR36"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36">
            <v>80.2</v>
          </cell>
          <cell r="AT36" t="str">
            <v>B</v>
          </cell>
          <cell r="AU36"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menyampaikan teks terima kasih mengenai sikap kasih sayang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36">
            <v>79.833333333333329</v>
          </cell>
          <cell r="AW36" t="str">
            <v>B</v>
          </cell>
          <cell r="AX36" t="str">
            <v xml:space="preserve">Mampu0 mengemukakan kembali dengan kalimat sendiri dan memecahkan masalah yang berkaitan dengan penjumlahan dan pengurangan terkait dengan aktivitas sehari-hari serta memeriksa kebenarannya   perlu pembinaan dalam     membentuk berbagai bangun datar dengan menggunakan papan berpaku atau media lainnya </v>
          </cell>
          <cell r="AY36">
            <v>79.833333333333329</v>
          </cell>
          <cell r="AZ36" t="str">
            <v>B</v>
          </cell>
          <cell r="BA36" t="str">
            <v>Mampu menggambar ekspresi dengan mengolah garis, warna dan bentuk berdasarkan hasil pengamatan di lingkungan sekitar  Membentuk karya seni ekspresi dari bahan lunak  perlu pembinaan dalam        memainkan pola irama lagu bertanda birama dua dengan tepuk dan gerak</v>
          </cell>
          <cell r="BB36">
            <v>79.833333333333329</v>
          </cell>
          <cell r="BC36" t="str">
            <v>B</v>
          </cell>
          <cell r="BD36" t="str">
            <v>Mampu mempraktikkan pola gerak dasar lokomotor sesuai dengan dimensi anggota tubuh yang digunakan, arah, ruang gerak, hubungan dan usaha, dalam berbagai bentuk permainan sederhana dan atau tradisional.  mempraktikkan aktivitas pengembangan kebugaran jasmani untuk melatih keseimbangan dan kecepatan tubuh melalui permainan sederhanadan dan atau tradisional.  perlu pembinaan dalam        mempraktikkan penggunaan pola gerak dasar lokomotor dan non-lokomotor sesuai dengan irama (ketukan) tanpa/dengan musik dalam aktivitas gerak rimtik.</v>
          </cell>
          <cell r="BE36">
            <v>81.666666666666671</v>
          </cell>
          <cell r="BF36" t="str">
            <v>B</v>
          </cell>
          <cell r="BG36" t="str">
            <v xml:space="preserve">Mampu  menceritakan isi tembang macapat.     perlu pembinaan dalam     menanggapi teks lisan maupun tulis yang memuat ungkapan tradisional Jawa/ Madura (paribasan, bebasan, saloka)   </v>
          </cell>
          <cell r="BH36">
            <v>83.5</v>
          </cell>
          <cell r="BI36" t="str">
            <v>B</v>
          </cell>
          <cell r="BJ36" t="str">
            <v xml:space="preserve">Mampu Menulis kalimat order, request dan prohibition dengan baik sesuai dengan rumus      perlu pembinaan dalam    Membuat percakapan tentang aktifitas berbelanja dan mempraktikkan di depan kelas berpasang-pasangan    </v>
          </cell>
          <cell r="BK36">
            <v>83.5</v>
          </cell>
          <cell r="BL36" t="str">
            <v>B</v>
          </cell>
          <cell r="BM36" t="str">
            <v xml:space="preserve">Mampu Memahami wacana tertulis dalam bentuk paparan atau bacaan tentang kegiatan sehari-hari disertai waktu     perlu pembinaan dalam    Menuliskan kata atau ungkapan pendek  sederhana tentang kegiatan sehari-hari disertai waktu    </v>
          </cell>
          <cell r="BN36">
            <v>79.833333333333329</v>
          </cell>
          <cell r="BO36" t="str">
            <v>B</v>
          </cell>
          <cell r="BP36" t="str">
            <v>Mampu kd  kd  perlu pembinaan dalam        kd</v>
          </cell>
          <cell r="BQ36">
            <v>83.5</v>
          </cell>
          <cell r="BR36" t="str">
            <v>B</v>
          </cell>
          <cell r="BS36" t="str">
            <v xml:space="preserve">Mampu Menunjukkan ikon untuk membuat gambar dan teks     perlu pembinaan dalam    Terampil mengoperasikan ikon-ikon text box, shapes, clip art, picture dan insert tabel    </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row>
        <row r="37">
          <cell r="B37">
            <v>0</v>
          </cell>
          <cell r="C37">
            <v>0</v>
          </cell>
          <cell r="D37" t="str">
            <v xml:space="preserve">Menunjukkan sikap     yang sangat menonjol. perlu pembinaan dalam     </v>
          </cell>
          <cell r="E37" t="str">
            <v xml:space="preserve">Menunjukkan sikap       Perlu bimbingan dalam sikap      </v>
          </cell>
          <cell r="F37">
            <v>81.333333333333329</v>
          </cell>
          <cell r="G37" t="str">
            <v>B</v>
          </cell>
          <cell r="H37" t="str">
            <v xml:space="preserve">Mampu   Memahami hikmah beriman kepada Hari Akhir yang dapat membentuk perilaku akhlak mulia
   perlu pembinaan dalam      Memahami hikmah berzakat sebagai implementasi rukun Islam  </v>
          </cell>
          <cell r="I37">
            <v>80</v>
          </cell>
          <cell r="J37" t="str">
            <v>B</v>
          </cell>
          <cell r="K37" t="str">
            <v xml:space="preserve">Mampu mengenal simbol-simbol sila Pancasila dalam lambang negara “Garuda Pancasila”     perlu pembinaan dalam    mengenal tata tertib dan aturan yang berlaku dalam kehidupan sehari-hari di rumah dan sekolah mengenal arti bersatu dalam keberagaman di rumah dan sekolah  </v>
          </cell>
          <cell r="L37">
            <v>80.8</v>
          </cell>
          <cell r="M37" t="str">
            <v>B</v>
          </cell>
          <cell r="N37"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37">
            <v>81.333333333333329</v>
          </cell>
          <cell r="P37" t="str">
            <v>B</v>
          </cell>
          <cell r="Q37" t="str">
            <v xml:space="preserve">Mampu mengenal lambang bilangan dan mendeskripsikan kemunculan bilangan dengan bahasa yang sederhana   menunjukkan pemahaman tentang besaran dengan menghitung maju sampai 100 dan mundur dari 20  perlu pembinaan dalam    mengenal bilangan asli sampai 99 dengan menggunakan benda-benda yang ada di sekitar rumah, sekolah, atau tempat bermain  mengenal bangun datar dan bangun ruang menggunakan benda-benda yang ada di sekitar rumah, sekolah, atau tempat bermain. </v>
          </cell>
          <cell r="R37">
            <v>80.666666666666671</v>
          </cell>
          <cell r="S37" t="str">
            <v>B</v>
          </cell>
          <cell r="T37" t="str">
            <v xml:space="preserve">Mampu      menggambar ekspresi dengan mengolah garis, warna dan bentuk berdasarkan hasil pengamatan di lingkungan sekitarperlu pembinaan dalam      mengamati berbagai bahan, alat serta fungsinya dalam membuat prakarya  </v>
          </cell>
          <cell r="U37">
            <v>79.166666666666671</v>
          </cell>
          <cell r="V37" t="str">
            <v>B</v>
          </cell>
          <cell r="W37" t="str">
            <v xml:space="preserve">Mampu    mengetahui konsep bergerak secara seimbang dan cepat dalam rangka pengembangan kebugaran jasmani melalui permainan sederhana dan atau tradisional.  perlu pembinaan dalam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37">
            <v>80</v>
          </cell>
          <cell r="Y37" t="str">
            <v>B</v>
          </cell>
          <cell r="Z37"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37">
            <v>82</v>
          </cell>
          <cell r="AB37" t="str">
            <v>B</v>
          </cell>
          <cell r="AC37" t="str">
            <v xml:space="preserve">Mampu Mengenal, memahami dan mengidentifikasi macam-macam kalimat (order, request, and prohibition)     perlu pembinaan dalam     Mengenal, memahami dan mengidentifikasi macam-macam compass at the map and traffic sign   </v>
          </cell>
          <cell r="AD37">
            <v>82</v>
          </cell>
          <cell r="AE37" t="str">
            <v>B</v>
          </cell>
          <cell r="AF37"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37">
            <v>80</v>
          </cell>
          <cell r="AH37" t="str">
            <v>B</v>
          </cell>
          <cell r="AI37" t="str">
            <v xml:space="preserve">Mampu Mengenal sejarah munculnya Ahlus Sunnah wal Jama'ah     perlu pembinaan dalam     memahami kepribadian NU   </v>
          </cell>
          <cell r="AJ37">
            <v>75.5</v>
          </cell>
          <cell r="AK37" t="str">
            <v>C</v>
          </cell>
          <cell r="AL37" t="str">
            <v xml:space="preserve">Mampu Mengenal software pengolah kata dengan ikon-ikon pendukung     perlu pembinaan dalam    Mengenal fungsi ikon-ikon pendukung pengolah kata (word processing)    </v>
          </cell>
          <cell r="AM37">
            <v>84</v>
          </cell>
          <cell r="AN37" t="str">
            <v>B</v>
          </cell>
          <cell r="AO37" t="str">
            <v xml:space="preserve">Mampu      Menceritakan kisah keteladanan sahabat-sahabat Nabi Muhammad saw.perlu pembinaan dalam      Mencontohkan perilaku toleran dan simpati sebagai implementasi dari pemahaman Q.S. al-Kaafiruun  </v>
          </cell>
          <cell r="AP37">
            <v>76</v>
          </cell>
          <cell r="AQ37" t="str">
            <v>B</v>
          </cell>
          <cell r="AR37" t="str">
            <v xml:space="preserve">Mampu Mengamati dan menceritakan perilaku di sekitar rumah dan sekolah dan mengaitkannya dengan pengenalannya terhadap salah satu simbol sila Pancasila     perlu pembinaan dalam      Melaksanakan tata tertib di rumah dan sekolah    </v>
          </cell>
          <cell r="AS37">
            <v>81</v>
          </cell>
          <cell r="AT37" t="str">
            <v>B</v>
          </cell>
          <cell r="AU37" t="str">
            <v xml:space="preserve">Mampu   mempraktikkan teks arahan/petunjuk tentang merawat tubuh serta kesehatan dan kebugaran tubuh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37">
            <v>80.166666666666671</v>
          </cell>
          <cell r="AW37" t="str">
            <v>B</v>
          </cell>
          <cell r="AX37" t="str">
            <v xml:space="preserve">Mampu menggunakan benda konkrit untuk menelusuri pecahan dan jumlah uang     perlu pembinaan dalam    mendeskripsikan, mengembangkan, dan membuat pola yang berulang  </v>
          </cell>
          <cell r="AY37">
            <v>80.166666666666671</v>
          </cell>
          <cell r="AZ37" t="str">
            <v>B</v>
          </cell>
          <cell r="BA37" t="str">
            <v xml:space="preserve">Mampu   menggambar dengan memanfaatkan beragam media kering   perlu pembinaan dalam       menyanyikan lagu anak-anak dan memperagakan tepuk birama dengan gerak </v>
          </cell>
          <cell r="BB37">
            <v>80.166666666666671</v>
          </cell>
          <cell r="BC37" t="str">
            <v>B</v>
          </cell>
          <cell r="BD37" t="str">
            <v xml:space="preserve">Mampu  mempraktikkan pola gerak dasar non-lokomotor sesuai dengan dimensi anggota tubuh yang digunakan, arah, ruang gerak, hubungan, dan usaha,dalam berbagai bentuk permainan sederhana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37">
            <v>80</v>
          </cell>
          <cell r="BF37" t="str">
            <v>B</v>
          </cell>
          <cell r="BG37"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37">
            <v>75.5</v>
          </cell>
          <cell r="BI37" t="str">
            <v>C</v>
          </cell>
          <cell r="BJ37" t="str">
            <v xml:space="preserve">Mampu Menulis kalimat order, request dan prohibition dengan baik sesuai dengan rumus      perlu pembinaan dalam    Membuat percakapan tentang aktifitas berbelanja dan mempraktikkan di depan kelas berpasang-pasangan    </v>
          </cell>
          <cell r="BK37">
            <v>75.5</v>
          </cell>
          <cell r="BL37" t="str">
            <v>C</v>
          </cell>
          <cell r="BM37" t="str">
            <v xml:space="preserve">Mampu Memahami wacana tertulis dalam bentuk paparan atau bacaan tentang kegiatan sehari-hari disertai waktu     perlu pembinaan dalam    Menuliskan kata atau ungkapan pendek  sederhana tentang kegiatan sehari-hari disertai waktu    </v>
          </cell>
          <cell r="BN37">
            <v>80.166666666666671</v>
          </cell>
          <cell r="BO37" t="str">
            <v>B</v>
          </cell>
          <cell r="BP37" t="str">
            <v xml:space="preserve">Mampu   kd   perlu pembinaan dalam       kd </v>
          </cell>
          <cell r="BQ37">
            <v>75.5</v>
          </cell>
          <cell r="BR37" t="str">
            <v>C</v>
          </cell>
          <cell r="BS37" t="str">
            <v xml:space="preserve">Mampu Menunjukkan ikon untuk membuat gambar dan teks     perlu pembinaan dalam    Terampil mengoperasikan ikon-ikon text box, shapes, clip art, picture dan insert tabel    </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row>
        <row r="38">
          <cell r="B38">
            <v>0</v>
          </cell>
          <cell r="C38">
            <v>0</v>
          </cell>
          <cell r="D38" t="str">
            <v xml:space="preserve">Menunjukkan sikap     yang sangat menonjol. perlu pembinaan dalam     </v>
          </cell>
          <cell r="E38" t="str">
            <v xml:space="preserve">Menunjukkan sikap       Perlu bimbingan dalam sikap      </v>
          </cell>
          <cell r="F38">
            <v>80.333333333333329</v>
          </cell>
          <cell r="G38" t="str">
            <v>B</v>
          </cell>
          <cell r="H38" t="str">
            <v xml:space="preserve">Mampu   Memahami hikmah beriman kepada Hari Akhir yang dapat membentuk perilaku akhlak mulia
  Mengetahui kisah keteladanan sahabat-sahabat Nabi Muhammad saw.perlu pembinaan dalam   Mengetahui makna Q.S. Al-Kaafiruun dengan benar,      </v>
          </cell>
          <cell r="I38">
            <v>79</v>
          </cell>
          <cell r="J38" t="str">
            <v>B</v>
          </cell>
          <cell r="K38" t="str">
            <v xml:space="preserve">Mampu mengenal simbol-simbol sila Pancasila dalam lambang negara “Garuda Pancasila”     perlu pembinaan dalam      mengenal arti bersatu dalam keberagaman di rumah dan sekolah  </v>
          </cell>
          <cell r="L38">
            <v>81</v>
          </cell>
          <cell r="M38" t="str">
            <v>B</v>
          </cell>
          <cell r="N38"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diagram/label tentang anggota keluarga dan kerabat dengan bantuan guru atau teman dalam bahasa Indonesia lisan dan tulis yang dapat diisi dengan kosakata bahasa daerah untuk membantu pemahaman </v>
          </cell>
          <cell r="O38">
            <v>80.833333333333329</v>
          </cell>
          <cell r="P38" t="str">
            <v>B</v>
          </cell>
          <cell r="Q38" t="str">
            <v xml:space="preserve">Mampu mengenal lambang bilangan dan mendeskripsikan kemunculan bilangan dengan bahasa yang sederhana   menunjukkan pemahaman tentang besaran dengan menghitung maju sampai 100 dan mundur dari 20  perlu pembinaan dalam       mengenal bangun datar dan bangun ruang menggunakan benda-benda yang ada di sekitar rumah, sekolah, atau tempat bermain. </v>
          </cell>
          <cell r="R38">
            <v>82.666666666666671</v>
          </cell>
          <cell r="S38" t="str">
            <v>B</v>
          </cell>
          <cell r="T38" t="str">
            <v xml:space="preserve">Mampu  mengenal  pola irama lagu bervariasi menggunakan alat musik ritmis   menggambar ekspresi dengan mengolah garis, warna dan bentuk berdasarkan hasil pengamatan di lingkungan sekitarperlu pembinaan dalam    mengenal cara dan hasil karya seni ekspresi     </v>
          </cell>
          <cell r="U38">
            <v>77</v>
          </cell>
          <cell r="V38" t="str">
            <v>B</v>
          </cell>
          <cell r="W38"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38">
            <v>85.333333333333329</v>
          </cell>
          <cell r="Y38" t="str">
            <v>B</v>
          </cell>
          <cell r="Z38" t="str">
            <v xml:space="preserve">Mampu mengenal, memahami, dan mengidentifikasiteks informasi yang diperoleh dari berbagai media berbahasa daerah secara lisan/ tulis     perlu pembinaan dalam    mengenal, memahami, dan mengidentifikasi teks  tembang macapat sesuai dengan kaidah    </v>
          </cell>
          <cell r="AA38">
            <v>83.5</v>
          </cell>
          <cell r="AB38" t="str">
            <v>B</v>
          </cell>
          <cell r="AC38" t="str">
            <v xml:space="preserve">Mampu Mengenal, memahami dan mengidentifikasi macam-macam kalimat (order, request, and prohibition)     perlu pembinaan dalam    Mengenal, memahami dan mengidentifikasi macam-macam weather and season based on the country    </v>
          </cell>
          <cell r="AD38">
            <v>83.5</v>
          </cell>
          <cell r="AE38" t="str">
            <v>B</v>
          </cell>
          <cell r="AF38"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peralatan sekolah dengan menggunakan pola kalimat yang meliputi kata tanya + isim isyarah (kata tunjuk) orang atau benda yang dekat (haadza, haadzihi) + alam + isim mufrad    </v>
          </cell>
          <cell r="AG38">
            <v>85.333333333333329</v>
          </cell>
          <cell r="AH38" t="str">
            <v>B</v>
          </cell>
          <cell r="AI38" t="str">
            <v xml:space="preserve">Mampu Mengenal sejarah munculnya Ahlus Sunnah wal Jama'ah     perlu pembinaan dalam    Memahami amaliah NU    </v>
          </cell>
          <cell r="AJ38">
            <v>82.5</v>
          </cell>
          <cell r="AK38" t="str">
            <v>B</v>
          </cell>
          <cell r="AL38" t="str">
            <v xml:space="preserve">Mampu  Mengenal fungsi ikon-ikon pendukung pengolah kata (word processing)    perlu pembinaan dalam   Mengenal software pengolah kata dengan ikon-ikon pendukung     </v>
          </cell>
          <cell r="AM38">
            <v>78</v>
          </cell>
          <cell r="AN38" t="str">
            <v>B</v>
          </cell>
          <cell r="AO38" t="str">
            <v>Mampu  Menulis Q.S. al-Kaafiruun dengan jelas dan benar    perlu pembinaan dalam        Menceritakan kisah keteladanan sahabat-sahabat Nabi Muhammad saw.</v>
          </cell>
          <cell r="AP38">
            <v>78.5</v>
          </cell>
          <cell r="AQ38" t="str">
            <v>B</v>
          </cell>
          <cell r="AR38" t="str">
            <v xml:space="preserve">Mampu    Melaksanakan tata tertib di rumah dan sekolah    perlu pembinaan dalam      Mengamati dan menceriterakan kebersamaan dalam keberagaman di rumah dan sekolah   </v>
          </cell>
          <cell r="AS38">
            <v>80.400000000000006</v>
          </cell>
          <cell r="AT38" t="str">
            <v>B</v>
          </cell>
          <cell r="AU38"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38">
            <v>78.833333333333329</v>
          </cell>
          <cell r="AW38" t="str">
            <v>B</v>
          </cell>
          <cell r="AX38" t="str">
            <v xml:space="preserve">Mampu menggunakan benda konkrit untuk menelusuri pecahan dan jumlah uang     perlu pembinaan dalam 0     </v>
          </cell>
          <cell r="AY38">
            <v>78.833333333333329</v>
          </cell>
          <cell r="AZ38" t="str">
            <v>B</v>
          </cell>
          <cell r="BA38" t="str">
            <v xml:space="preserve">Mampu   menggambar dengan memanfaatkan beragam media kering   perlu pembinaan dalam   menggambar ekspresi dengan mengolah garis, warna dan bentuk berdasarkan hasil pengamatan di lingkungan sekitar     </v>
          </cell>
          <cell r="BB38">
            <v>78.833333333333329</v>
          </cell>
          <cell r="BC38" t="str">
            <v>B</v>
          </cell>
          <cell r="BD38"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38">
            <v>85.333333333333329</v>
          </cell>
          <cell r="BF38" t="str">
            <v>B</v>
          </cell>
          <cell r="BG38" t="str">
            <v xml:space="preserve">Mampu menyampaikan dan menagggapi informasi yang diperoleh dari berbagai media berbahasa daerah secara lisan dan tulisan.      perlu pembinaan dalam    menceritakan isi tembang macapat.     </v>
          </cell>
          <cell r="BH38">
            <v>82.5</v>
          </cell>
          <cell r="BI38" t="str">
            <v>B</v>
          </cell>
          <cell r="BJ38" t="str">
            <v xml:space="preserve">Mampu  Membuat percakapan tentang aktifitas berbelanja dan mempraktikkan di depan kelas berpasang-pasangan    perlu pembinaan dalam   Menulis kalimat order, request dan prohibition dengan baik sesuai dengan rumus      </v>
          </cell>
          <cell r="BK38">
            <v>82.5</v>
          </cell>
          <cell r="BL38" t="str">
            <v>B</v>
          </cell>
          <cell r="BM38" t="str">
            <v xml:space="preserve">Mampu  Menuliskan kata atau ungkapan pendek  sederhana tentang kegiatan sehari-hari disertai waktu    perlu pembinaan dalam   Memahami wacana tertulis dalam bentuk paparan atau bacaan tentang kegiatan sehari-hari disertai waktu     </v>
          </cell>
          <cell r="BN38">
            <v>78.833333333333329</v>
          </cell>
          <cell r="BO38" t="str">
            <v>B</v>
          </cell>
          <cell r="BP38" t="str">
            <v xml:space="preserve">Mampu   kd   perlu pembinaan dalam   kd     </v>
          </cell>
          <cell r="BQ38">
            <v>82.5</v>
          </cell>
          <cell r="BR38" t="str">
            <v>B</v>
          </cell>
          <cell r="BS38" t="str">
            <v xml:space="preserve">Mampu  Terampil mengoperasikan ikon-ikon text box, shapes, clip art, picture dan insert tabel    perlu pembinaan dalam   Menunjukkan ikon untuk membuat gambar dan teks     </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row>
        <row r="39">
          <cell r="B39">
            <v>0</v>
          </cell>
          <cell r="C39">
            <v>0</v>
          </cell>
          <cell r="D39" t="str">
            <v xml:space="preserve">Menunjukkan sikap     yang sangat menonjol. perlu pembinaan dalam     </v>
          </cell>
          <cell r="E39" t="str">
            <v xml:space="preserve">Menunjukkan sikap       Perlu bimbingan dalam sikap      </v>
          </cell>
          <cell r="F39">
            <v>78.666666666666671</v>
          </cell>
          <cell r="G39" t="str">
            <v>B</v>
          </cell>
          <cell r="H39" t="str">
            <v>Mampu  Mengerti makna Asma'ul Husna : as-Samad, al- Muqtadir, al-Muqaddim, al-Baqi  Mengetahui kisah Nabi Muhammad saw. perlu pembinaan dalam        Mengetahui kisah keteladanan sahabat-sahabat Nabi Muhammad saw.</v>
          </cell>
          <cell r="I39">
            <v>82.25</v>
          </cell>
          <cell r="J39" t="str">
            <v>B</v>
          </cell>
          <cell r="K39" t="str">
            <v xml:space="preserve">Mampu   mengenal keberagaman karateristik individu di rumah dan di sekolahmengenal arti bersatu dalam keberagaman di rumah dan sekolah  perlu pembinaan dalam    mengenal tata tertib dan aturan yang berlaku dalam kehidupan sehari-hari di rumah dan sekolah    </v>
          </cell>
          <cell r="L39">
            <v>82.2</v>
          </cell>
          <cell r="M39" t="str">
            <v>B</v>
          </cell>
          <cell r="N39" t="str">
            <v xml:space="preserve">Mampu   mengenal teks terima kasih tentang sikap kasih sayang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39">
            <v>83</v>
          </cell>
          <cell r="P39" t="str">
            <v>B</v>
          </cell>
          <cell r="Q39" t="str">
            <v xml:space="preserve">Mampu   mengenal dan memprediksi pola-pola bilangan sederhana menggunakan gambar-gambar/benda konkrit mengenal bangun datar dan bangun ruang menggunakan benda-benda yang ada di sekitar rumah, sekolah, atau tempat bermain.menemukan bangun yang membentuk pola pengubinan sederhanaperlu pembinaan dalam    mengenal bilangan asli sampai 99 dengan menggunakan benda-benda yang ada di sekitar rumah, sekolah, atau tempat bermain    </v>
          </cell>
          <cell r="R39">
            <v>84</v>
          </cell>
          <cell r="S39" t="str">
            <v>B</v>
          </cell>
          <cell r="T39" t="str">
            <v xml:space="preserve">Mampu    mengamati berbagai bahan, alat serta fungsinya dalam membuat prakarya  perlu pembinaan dalam    mengenal  pola irama lagu bervariasi menggunakan alat musik ritmis    </v>
          </cell>
          <cell r="U39">
            <v>82.666666666666671</v>
          </cell>
          <cell r="V39" t="str">
            <v>B</v>
          </cell>
          <cell r="W39" t="str">
            <v xml:space="preserve">Mampu  mengetahui konsep gerak dasar non-lokomotor sesuai dengan dimensi  anggota tubuh yang digunakan, arah, ruang  gerak, hubungan, dan usaha, dalam berbagai bentuk permainan sederhana dan atau permainan tradisional.mengetahui konsep gerak dasar manipulatif sesuai dengan dimensi anggota tubuh yang  digunakan, arah, ruang  gerak, hubungan, dan usaha, dalam berbagai bentuk permainan sederhana dan atau permainan tradisional.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39">
            <v>82</v>
          </cell>
          <cell r="Y39" t="str">
            <v>B</v>
          </cell>
          <cell r="Z39"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39">
            <v>80.5</v>
          </cell>
          <cell r="AB39" t="str">
            <v>B</v>
          </cell>
          <cell r="AC39" t="str">
            <v xml:space="preserve">Mampu   Mengenal, memahami dan mengidentifikasi macam-macam compass at the map and traffic sign   perlu pembinaan dalam      Mengenal, memahami dan mengidentifikasi shopping activity (how to ask price, show the price, bargain, accept and refuse to bargain, etc)  </v>
          </cell>
          <cell r="AD39">
            <v>80.5</v>
          </cell>
          <cell r="AE39" t="str">
            <v>B</v>
          </cell>
          <cell r="AF39" t="str">
            <v xml:space="preserve">Mampu   Memahami wacana dalam bentuk paparan tentang perkenalan diri(2) dengan menggunakan pola kalimat yang meliputi dhamir (kata ganti) ana, anta, anti, huwa, hiya + isim mufrad mu’annats/mudzakkar    perlu pembinaan dalam      Memahami wacana dalam bentuk paparan tentang profesi dengan menggunakan pola kalimat isim isyarah/ dhamir + profesi  </v>
          </cell>
          <cell r="AG39">
            <v>82</v>
          </cell>
          <cell r="AH39" t="str">
            <v>B</v>
          </cell>
          <cell r="AI39" t="str">
            <v xml:space="preserve">Mampu   memahami kepribadian NU   perlu pembinaan dalam   Mengenal sejarah munculnya Ahlus Sunnah wal Jama'ah     </v>
          </cell>
          <cell r="AJ39">
            <v>84.5</v>
          </cell>
          <cell r="AK39" t="str">
            <v>B</v>
          </cell>
          <cell r="AL39" t="str">
            <v xml:space="preserve">Mampu  Mengenal fungsi ikon-ikon pendukung pengolah kata (word processing)    perlu pembinaan dalam   Mengenal software pengolah kata dengan ikon-ikon pendukung     </v>
          </cell>
          <cell r="AM39">
            <v>79.5</v>
          </cell>
          <cell r="AN39" t="str">
            <v>B</v>
          </cell>
          <cell r="AO39" t="str">
            <v xml:space="preserve">Mampu    Mencontohkan perilaku toleran dan simpati sebagai implementasi dari pemahaman Q.S. al-Kaafiruun  perlu pembinaan dalam       Menceritakan kisah keteladanan Nabi Muhammad saw. </v>
          </cell>
          <cell r="AP39">
            <v>86.75</v>
          </cell>
          <cell r="AQ39" t="str">
            <v>B</v>
          </cell>
          <cell r="AR39" t="str">
            <v xml:space="preserve">Mampu    Melaksanakan tata tertib di rumah dan sekolah    perlu pembinaan dalam   Mengamati dan menceritakan perilaku di sekitar rumah dan sekolah dan mengaitkannya dengan pengenalannya terhadap salah satu simbol sila Pancasila     </v>
          </cell>
          <cell r="AS39">
            <v>80</v>
          </cell>
          <cell r="AT39" t="str">
            <v>B</v>
          </cell>
          <cell r="AU39" t="str">
            <v xml:space="preserve">Mampu    menyampaikan teks cerita diri/personal tentang keluarga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39">
            <v>81.5</v>
          </cell>
          <cell r="AW39" t="str">
            <v>B</v>
          </cell>
          <cell r="AX39" t="str">
            <v xml:space="preserve">Mampu   mendeskripsikan, mengembangkan, dan membuat pola yang berulang  perlu pembinaan dalam     membentuk berbagai bangun datar dengan menggunakan papan berpaku atau media lainnya </v>
          </cell>
          <cell r="AY39">
            <v>81.5</v>
          </cell>
          <cell r="AZ39" t="str">
            <v>B</v>
          </cell>
          <cell r="BA39" t="str">
            <v>Mampu     menyanyikan lagu anak-anak dan memperagakan tepuk birama dengan gerak perlu pembinaan dalam        memainkan pola irama lagu bertanda birama dua dengan tepuk dan gerak</v>
          </cell>
          <cell r="BB39">
            <v>81.5</v>
          </cell>
          <cell r="BC39" t="str">
            <v>B</v>
          </cell>
          <cell r="BD39" t="str">
            <v>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penggunaan pola gerak dasar lokomotor dan non-lokomotor sesuai dengan irama (ketukan) tanpa/dengan musik dalam aktivitas gerak rimtik.</v>
          </cell>
          <cell r="BE39">
            <v>82</v>
          </cell>
          <cell r="BF39" t="str">
            <v>B</v>
          </cell>
          <cell r="BG39"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39">
            <v>84.5</v>
          </cell>
          <cell r="BI39" t="str">
            <v>B</v>
          </cell>
          <cell r="BJ39" t="str">
            <v xml:space="preserve">Mampu  Membuat percakapan tentang aktifitas berbelanja dan mempraktikkan di depan kelas berpasang-pasangan    perlu pembinaan dalam   Menulis kalimat order, request dan prohibition dengan baik sesuai dengan rumus      </v>
          </cell>
          <cell r="BK39">
            <v>84.5</v>
          </cell>
          <cell r="BL39" t="str">
            <v>B</v>
          </cell>
          <cell r="BM39" t="str">
            <v xml:space="preserve">Mampu  Menuliskan kata atau ungkapan pendek  sederhana tentang kegiatan sehari-hari disertai waktu    perlu pembinaan dalam   Memahami wacana tertulis dalam bentuk paparan atau bacaan tentang kegiatan sehari-hari disertai waktu     </v>
          </cell>
          <cell r="BN39">
            <v>81.5</v>
          </cell>
          <cell r="BO39" t="str">
            <v>B</v>
          </cell>
          <cell r="BP39" t="str">
            <v>Mampu     kd perlu pembinaan dalam        kd</v>
          </cell>
          <cell r="BQ39">
            <v>84.5</v>
          </cell>
          <cell r="BR39" t="str">
            <v>B</v>
          </cell>
          <cell r="BS39" t="str">
            <v xml:space="preserve">Mampu  Terampil mengoperasikan ikon-ikon text box, shapes, clip art, picture dan insert tabel    perlu pembinaan dalam   Menunjukkan ikon untuk membuat gambar dan teks     </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row>
        <row r="40">
          <cell r="B40">
            <v>0</v>
          </cell>
          <cell r="C40">
            <v>0</v>
          </cell>
          <cell r="D40" t="str">
            <v xml:space="preserve">Menunjukkan sikap     yang sangat menonjol. perlu pembinaan dalam     </v>
          </cell>
          <cell r="E40" t="str">
            <v xml:space="preserve">Menunjukkan sikap       Perlu bimbingan dalam sikap      </v>
          </cell>
          <cell r="F40">
            <v>88.166666666666671</v>
          </cell>
          <cell r="G40" t="str">
            <v>B</v>
          </cell>
          <cell r="H40" t="str">
            <v xml:space="preserve">Mampu Mengetahui makna Q.S. Al-Kaafiruun dengan benar,      perlu pembinaan dalam     Memahami hikmah beriman kepada Hari Akhir yang dapat membentuk perilaku akhlak mulia
   </v>
          </cell>
          <cell r="I40">
            <v>85.75</v>
          </cell>
          <cell r="J40" t="str">
            <v>B</v>
          </cell>
          <cell r="K40" t="str">
            <v xml:space="preserve">Mampu    mengenal arti bersatu dalam keberagaman di rumah dan sekolah  perlu pembinaan dalam   mengenal simbol-simbol sila Pancasila dalam lambang negara “Garuda Pancasila”     </v>
          </cell>
          <cell r="L40">
            <v>80.8</v>
          </cell>
          <cell r="M40" t="str">
            <v>B</v>
          </cell>
          <cell r="N40" t="str">
            <v xml:space="preserve">Mampu   mengenal teks terima kasih tentang sikap kasih sayang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40">
            <v>84.333333333333329</v>
          </cell>
          <cell r="P40" t="str">
            <v>B</v>
          </cell>
          <cell r="Q40" t="str">
            <v xml:space="preserve">Mampu     mengenal bangun datar dan bangun ruang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40">
            <v>81.833333333333329</v>
          </cell>
          <cell r="S40" t="str">
            <v>B</v>
          </cell>
          <cell r="T40" t="str">
            <v xml:space="preserve">Mampu  mengenal cara dan hasil karya seni ekspresi  mengamati berbagai bahan, alat serta fungsinya dalam membuat prakarya  perlu pembinaan dalam    mengenal  pola irama lagu bervariasi menggunakan alat musik ritmis    </v>
          </cell>
          <cell r="U40">
            <v>88.666666666666671</v>
          </cell>
          <cell r="V40" t="str">
            <v>B</v>
          </cell>
          <cell r="W40" t="str">
            <v xml:space="preserve">Mampu mengetahui konsep gerak dasar lokomotor sesuai dengan dimensi anggota tubuh yang digunakan, arah, ruang  gerak, hubungan, dan usaha, dalam berbagai bentuk permainan sederhana dan atau tradisional.     perlu pembinaan dalam      mengetahui konsep bergerak secara seimbang dan cepat dalam rangka pengembangan kebugaran jasmani melalui permainan sederhana dan atau tradisional.  </v>
          </cell>
          <cell r="X40">
            <v>79</v>
          </cell>
          <cell r="Y40" t="str">
            <v>B</v>
          </cell>
          <cell r="Z40"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40">
            <v>78.25</v>
          </cell>
          <cell r="AB40" t="str">
            <v>B</v>
          </cell>
          <cell r="AC40" t="str">
            <v xml:space="preserve">Mampu   Mengenal, memahami dan mengidentifikasi macam-macam compass at the map and traffic sign   perlu pembinaan dalam   Mengenal, memahami dan mengidentifikasi macam-macam kalimat (order, request, and prohibition)     </v>
          </cell>
          <cell r="AD40">
            <v>78.25</v>
          </cell>
          <cell r="AE40" t="str">
            <v>B</v>
          </cell>
          <cell r="AF40"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40">
            <v>79</v>
          </cell>
          <cell r="AH40" t="str">
            <v>B</v>
          </cell>
          <cell r="AI40" t="str">
            <v xml:space="preserve">Mampu   memahami kepribadian NU   perlu pembinaan dalam   Mengenal sejarah munculnya Ahlus Sunnah wal Jama'ah     </v>
          </cell>
          <cell r="AJ40">
            <v>84.5</v>
          </cell>
          <cell r="AK40" t="str">
            <v>B</v>
          </cell>
          <cell r="AL40" t="str">
            <v xml:space="preserve">Mampu  Mengenal fungsi ikon-ikon pendukung pengolah kata (word processing)    perlu pembinaan dalam   Mengenal software pengolah kata dengan ikon-ikon pendukung     </v>
          </cell>
          <cell r="AM40">
            <v>81.5</v>
          </cell>
          <cell r="AN40" t="str">
            <v>B</v>
          </cell>
          <cell r="AO40" t="str">
            <v xml:space="preserve">Mampu Membaca Q.S. al-Kaafiruun dengan jelas dan benar     perlu pembinaan dalam    Menulis Q.S. al-Kaafiruun dengan jelas dan benar    </v>
          </cell>
          <cell r="AP40">
            <v>86.75</v>
          </cell>
          <cell r="AQ40" t="str">
            <v>B</v>
          </cell>
          <cell r="AR40" t="str">
            <v xml:space="preserve">Mampu    Melaksanakan tata tertib di rumah dan sekolah Mengamati dan menceriterakan kebersamaan dalam keberagaman di rumah dan sekolah   perlu pembinaan dalam   Mengamati dan menceritakan perilaku di sekitar rumah dan sekolah dan mengaitkannya dengan pengenalannya terhadap salah satu simbol sila Pancasila     </v>
          </cell>
          <cell r="AS40">
            <v>82.2</v>
          </cell>
          <cell r="AT40" t="str">
            <v>B</v>
          </cell>
          <cell r="AU40"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40">
            <v>83.666666666666671</v>
          </cell>
          <cell r="AW40" t="str">
            <v>B</v>
          </cell>
          <cell r="AX40" t="str">
            <v xml:space="preserve">Mampu0     perlu pembinaan dalam  menggunakan benda konkrit untuk menelusuri pecahan dan jumlah uang     </v>
          </cell>
          <cell r="AY40">
            <v>83.666666666666671</v>
          </cell>
          <cell r="AZ40" t="str">
            <v>B</v>
          </cell>
          <cell r="BA40" t="str">
            <v xml:space="preserve">Mampu menggambar ekspresi dengan mengolah garis, warna dan bentuk berdasarkan hasil pengamatan di lingkungan sekitar     perlu pembinaan dalam     menggambar dengan memanfaatkan beragam media kering   </v>
          </cell>
          <cell r="BB40">
            <v>83.666666666666671</v>
          </cell>
          <cell r="BC40" t="str">
            <v>B</v>
          </cell>
          <cell r="BD40" t="str">
            <v xml:space="preserve">Mampu mempraktikkan pola gerak dasar lokomotor sesuai dengan dimensi anggota tubuh yang digunakan, arah, ruang gerak, hubungan dan usaha, dalam berbagai bentuk permainan sederhana dan atau tradisional.     perlu pembinaan dalam    mempraktikkan pola gerak dasar non-lokomotor sesuai dengan dimensi anggota tubuh yang digunakan, arah, ruang gerak, hubungan, dan usaha,dalam berbagai bentuk permainan sederhana dan atau tradisional.    </v>
          </cell>
          <cell r="BE40">
            <v>79</v>
          </cell>
          <cell r="BF40" t="str">
            <v>B</v>
          </cell>
          <cell r="BG40"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40">
            <v>84.5</v>
          </cell>
          <cell r="BI40" t="str">
            <v>B</v>
          </cell>
          <cell r="BJ40" t="str">
            <v xml:space="preserve">Mampu  Membuat percakapan tentang aktifitas berbelanja dan mempraktikkan di depan kelas berpasang-pasangan    perlu pembinaan dalam   Menulis kalimat order, request dan prohibition dengan baik sesuai dengan rumus      </v>
          </cell>
          <cell r="BK40">
            <v>84.5</v>
          </cell>
          <cell r="BL40" t="str">
            <v>B</v>
          </cell>
          <cell r="BM40" t="str">
            <v xml:space="preserve">Mampu  Menuliskan kata atau ungkapan pendek  sederhana tentang kegiatan sehari-hari disertai waktu    perlu pembinaan dalam   Memahami wacana tertulis dalam bentuk paparan atau bacaan tentang kegiatan sehari-hari disertai waktu     </v>
          </cell>
          <cell r="BN40">
            <v>83.666666666666671</v>
          </cell>
          <cell r="BO40" t="str">
            <v>B</v>
          </cell>
          <cell r="BP40" t="str">
            <v xml:space="preserve">Mampu kd     perlu pembinaan dalam     kd   </v>
          </cell>
          <cell r="BQ40">
            <v>84.5</v>
          </cell>
          <cell r="BR40" t="str">
            <v>B</v>
          </cell>
          <cell r="BS40" t="str">
            <v xml:space="preserve">Mampu  Terampil mengoperasikan ikon-ikon text box, shapes, clip art, picture dan insert tabel    perlu pembinaan dalam   Menunjukkan ikon untuk membuat gambar dan teks     </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row>
        <row r="41">
          <cell r="B41">
            <v>0</v>
          </cell>
          <cell r="C41">
            <v>0</v>
          </cell>
          <cell r="D41" t="str">
            <v xml:space="preserve">Menunjukkan sikap     yang sangat menonjol. perlu pembinaan dalam     </v>
          </cell>
          <cell r="E41" t="str">
            <v xml:space="preserve">Menunjukkan sikap       Perlu bimbingan dalam sikap      </v>
          </cell>
          <cell r="F41">
            <v>77.666666666666671</v>
          </cell>
          <cell r="G41" t="str">
            <v>B</v>
          </cell>
          <cell r="H41" t="str">
            <v xml:space="preserve">Mampu    Memahami hikmah berzakat sebagai implementasi rukun Islam  perlu pembinaan dalam   Mengetahui makna Q.S. Al-Kaafiruun dengan benar,      </v>
          </cell>
          <cell r="I41">
            <v>84</v>
          </cell>
          <cell r="J41" t="str">
            <v>B</v>
          </cell>
          <cell r="K41"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41">
            <v>81.8</v>
          </cell>
          <cell r="M41" t="str">
            <v>B</v>
          </cell>
          <cell r="N41" t="str">
            <v xml:space="preserve">Mampu     Mengenal teks diagram/label tentang anggota keluarga dan kerabat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41">
            <v>81.666666666666671</v>
          </cell>
          <cell r="P41" t="str">
            <v>B</v>
          </cell>
          <cell r="Q41"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41">
            <v>82</v>
          </cell>
          <cell r="S41" t="str">
            <v>B</v>
          </cell>
          <cell r="T41" t="str">
            <v xml:space="preserve">Mampu  mengenal cara dan hasil karya seni ekspresi     perlu pembinaan dalam       mengenal karya seni budaya benda dan bahasa daerah setempat </v>
          </cell>
          <cell r="U41">
            <v>79.833333333333329</v>
          </cell>
          <cell r="V41" t="str">
            <v>B</v>
          </cell>
          <cell r="W41"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41">
            <v>82.333333333333329</v>
          </cell>
          <cell r="Y41" t="str">
            <v>B</v>
          </cell>
          <cell r="Z41" t="str">
            <v xml:space="preserve">Mampu  mengenal, memahami, dan mengidentifikasi teks  tembang macapat sesuai dengan kaidah    perlu pembinaan dalam   mengenal, memahami, dan mengidentifikasiteks informasi yang diperoleh dari berbagai media berbahasa daerah secara lisan/ tulis     </v>
          </cell>
          <cell r="AA41">
            <v>79.5</v>
          </cell>
          <cell r="AB41" t="str">
            <v>B</v>
          </cell>
          <cell r="AC41"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41">
            <v>79.5</v>
          </cell>
          <cell r="AE41" t="str">
            <v>B</v>
          </cell>
          <cell r="AF41"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41">
            <v>82.333333333333329</v>
          </cell>
          <cell r="AH41" t="str">
            <v>B</v>
          </cell>
          <cell r="AI41" t="str">
            <v xml:space="preserve">Mampu  Memahami amaliah NU    perlu pembinaan dalam   Mengenal sejarah munculnya Ahlus Sunnah wal Jama'ah     </v>
          </cell>
          <cell r="AJ41">
            <v>84.5</v>
          </cell>
          <cell r="AK41" t="str">
            <v>B</v>
          </cell>
          <cell r="AL41" t="str">
            <v xml:space="preserve">Mampu Mengenal software pengolah kata dengan ikon-ikon pendukung     perlu pembinaan dalam    Mengenal fungsi ikon-ikon pendukung pengolah kata (word processing)    </v>
          </cell>
          <cell r="AM41">
            <v>78.833333333333329</v>
          </cell>
          <cell r="AN41" t="str">
            <v>B</v>
          </cell>
          <cell r="AO41" t="str">
            <v xml:space="preserve">Mampu   Menyebutkan arti Q.S. al-Kaafiruun dengan jelas dan benar  Menceritakan kisah keteladanan sahabat-sahabat Nabi Muhammad saw.perlu pembinaan dalam   Membaca Q.S. al-Kaafiruun dengan jelas dan benar     </v>
          </cell>
          <cell r="AP41">
            <v>84</v>
          </cell>
          <cell r="AQ41" t="str">
            <v>B</v>
          </cell>
          <cell r="AR41" t="str">
            <v xml:space="preserve">Mampu    Mengamati dan menceriterakan kebersamaan dalam keberagaman di rumah dan sekolah   perlu pembinaan dalam      Mengamati dan menceriterakan keberagaman karateristik individu di rumah dan sekolah  </v>
          </cell>
          <cell r="AS41">
            <v>76.8</v>
          </cell>
          <cell r="AT41" t="str">
            <v>B</v>
          </cell>
          <cell r="AU41" t="str">
            <v xml:space="preserve">Mampu   menyampaikan teks terima kasih mengenai sikap kasih sayang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41">
            <v>79.166666666666671</v>
          </cell>
          <cell r="AW41" t="str">
            <v>B</v>
          </cell>
          <cell r="AX41" t="str">
            <v xml:space="preserve">Mampu  mengemukakan kembali dengan kalimat sendiri dan memecahkan masalah yang berkaitan dengan penjumlahan dan pengurangan terkait dengan aktivitas sehari-hari serta memeriksa kebenarannya   perlu pembinaan dalam 0     </v>
          </cell>
          <cell r="AY41">
            <v>79.166666666666671</v>
          </cell>
          <cell r="AZ41" t="str">
            <v>B</v>
          </cell>
          <cell r="BA41" t="str">
            <v xml:space="preserve">Mampu  membuat karya seni ekspresi dengan memanfaatkan berbagai teknik cetak sederhana menggunakan bahan alam    perlu pembinaan dalam   menggambar ekspresi dengan mengolah garis, warna dan bentuk berdasarkan hasil pengamatan di lingkungan sekitar     </v>
          </cell>
          <cell r="BB41">
            <v>79.166666666666671</v>
          </cell>
          <cell r="BC41" t="str">
            <v>B</v>
          </cell>
          <cell r="BD41" t="str">
            <v xml:space="preserve">Mampu   mempraktikkan pola gerak dasar manipulatif sesuai dengan dimensi anggota tubuh yang digunakan, arah, ruang gerak, hubungan, dan usaha, dalam berbagai bentuk permainan sederhana dan atau permainan tradisional.   perlu pembinaan dalam   mempraktikkan pola gerak dasar lokomotor sesuai dengan dimensi anggota tubuh yang digunakan, arah, ruang gerak, hubungan dan usaha, dalam berbagai bentuk permainan sederhana dan atau tradisional.     </v>
          </cell>
          <cell r="BE41">
            <v>82.333333333333329</v>
          </cell>
          <cell r="BF41" t="str">
            <v>B</v>
          </cell>
          <cell r="BG41" t="str">
            <v xml:space="preserve">Mampu  menceritakan isi tembang macapat.     perlu pembinaan dalam   menyampaikan dan menagggapi informasi yang diperoleh dari berbagai media berbahasa daerah secara lisan dan tulisan.      </v>
          </cell>
          <cell r="BH41">
            <v>84.5</v>
          </cell>
          <cell r="BI41" t="str">
            <v>B</v>
          </cell>
          <cell r="BJ41" t="str">
            <v xml:space="preserve">Mampu Menulis kalimat order, request dan prohibition dengan baik sesuai dengan rumus      perlu pembinaan dalam    Membuat percakapan tentang aktifitas berbelanja dan mempraktikkan di depan kelas berpasang-pasangan    </v>
          </cell>
          <cell r="BK41">
            <v>84.5</v>
          </cell>
          <cell r="BL41" t="str">
            <v>B</v>
          </cell>
          <cell r="BM41" t="str">
            <v xml:space="preserve">Mampu Memahami wacana tertulis dalam bentuk paparan atau bacaan tentang kegiatan sehari-hari disertai waktu     perlu pembinaan dalam    Menuliskan kata atau ungkapan pendek  sederhana tentang kegiatan sehari-hari disertai waktu    </v>
          </cell>
          <cell r="BN41">
            <v>79.166666666666671</v>
          </cell>
          <cell r="BO41" t="str">
            <v>B</v>
          </cell>
          <cell r="BP41" t="str">
            <v xml:space="preserve">Mampu  kd    perlu pembinaan dalam   kd     </v>
          </cell>
          <cell r="BQ41">
            <v>84.5</v>
          </cell>
          <cell r="BR41" t="str">
            <v>B</v>
          </cell>
          <cell r="BS41" t="str">
            <v xml:space="preserve">Mampu Menunjukkan ikon untuk membuat gambar dan teks     perlu pembinaan dalam    Terampil mengoperasikan ikon-ikon text box, shapes, clip art, picture dan insert tabel    </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row>
      </sheetData>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kangmartho.com/" TargetMode="External"/><Relationship Id="rId1" Type="http://schemas.openxmlformats.org/officeDocument/2006/relationships/hyperlink" Target="http://www.aplikasidigital.com/"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hyperlink" Target="https://www.youtube.com/watch?v=QnKMz6afshM&amp;t=86s" TargetMode="External"/><Relationship Id="rId1" Type="http://schemas.openxmlformats.org/officeDocument/2006/relationships/hyperlink" Target="http://www.kangmartho.com/" TargetMode="External"/><Relationship Id="rId4"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4.xml"/><Relationship Id="rId1" Type="http://schemas.openxmlformats.org/officeDocument/2006/relationships/printerSettings" Target="../printerSettings/printerSettings35.bin"/><Relationship Id="rId4" Type="http://schemas.openxmlformats.org/officeDocument/2006/relationships/ctrlProp" Target="../ctrlProps/ctrlProp2.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5.xml"/><Relationship Id="rId1" Type="http://schemas.openxmlformats.org/officeDocument/2006/relationships/printerSettings" Target="../printerSettings/printerSettings36.bin"/><Relationship Id="rId4" Type="http://schemas.openxmlformats.org/officeDocument/2006/relationships/ctrlProp" Target="../ctrlProps/ctrlProp3.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6.xml"/><Relationship Id="rId1" Type="http://schemas.openxmlformats.org/officeDocument/2006/relationships/printerSettings" Target="../printerSettings/printerSettings37.bin"/><Relationship Id="rId4" Type="http://schemas.openxmlformats.org/officeDocument/2006/relationships/ctrlProp" Target="../ctrlProps/ctrlProp4.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8.xml"/><Relationship Id="rId1" Type="http://schemas.openxmlformats.org/officeDocument/2006/relationships/printerSettings" Target="../printerSettings/printerSettings39.bin"/><Relationship Id="rId4" Type="http://schemas.openxmlformats.org/officeDocument/2006/relationships/ctrlProp" Target="../ctrlProps/ctrlProp5.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0.xml"/><Relationship Id="rId1" Type="http://schemas.openxmlformats.org/officeDocument/2006/relationships/printerSettings" Target="../printerSettings/printerSettings41.bin"/><Relationship Id="rId4" Type="http://schemas.openxmlformats.org/officeDocument/2006/relationships/ctrlProp" Target="../ctrlProps/ctrlProp6.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2.xml"/><Relationship Id="rId1" Type="http://schemas.openxmlformats.org/officeDocument/2006/relationships/printerSettings" Target="../printerSettings/printerSettings43.bin"/><Relationship Id="rId4" Type="http://schemas.openxmlformats.org/officeDocument/2006/relationships/ctrlProp" Target="../ctrlProps/ctrlProp7.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3.xml"/><Relationship Id="rId1" Type="http://schemas.openxmlformats.org/officeDocument/2006/relationships/printerSettings" Target="../printerSettings/printerSettings44.bin"/><Relationship Id="rId4" Type="http://schemas.openxmlformats.org/officeDocument/2006/relationships/ctrlProp" Target="../ctrlProps/ctrlProp8.x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45.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46.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47.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48.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G1:XFC27"/>
  <sheetViews>
    <sheetView showRowColHeaders="0" workbookViewId="0"/>
  </sheetViews>
  <sheetFormatPr defaultColWidth="0" defaultRowHeight="15" customHeight="1" zeroHeight="1"/>
  <cols>
    <col min="1" max="1" width="16.140625" style="24" customWidth="1"/>
    <col min="2" max="5" width="9.140625" style="24" customWidth="1"/>
    <col min="6" max="6" width="10.5703125" style="24" customWidth="1"/>
    <col min="7" max="7" width="3.28515625" style="24" customWidth="1"/>
    <col min="8" max="8" width="3" style="24" customWidth="1"/>
    <col min="9" max="9" width="20.7109375" style="24" customWidth="1"/>
    <col min="10" max="10" width="33.7109375" style="24" customWidth="1"/>
    <col min="11" max="11" width="2.7109375" style="24" customWidth="1"/>
    <col min="12" max="12" width="3.140625" style="24" customWidth="1"/>
    <col min="13" max="14" width="9.140625" style="24" customWidth="1"/>
    <col min="15" max="15" width="16.85546875" style="24" customWidth="1"/>
    <col min="16" max="17" width="9.140625" style="24" customWidth="1"/>
    <col min="18" max="18" width="10.5703125" style="24" customWidth="1"/>
    <col min="19" max="16383" width="9.140625" style="24" hidden="1"/>
    <col min="16384" max="16384" width="7.85546875" style="24" customWidth="1"/>
  </cols>
  <sheetData>
    <row r="1" spans="7:12"/>
    <row r="2" spans="7:12"/>
    <row r="3" spans="7:12"/>
    <row r="4" spans="7:12"/>
    <row r="5" spans="7:12">
      <c r="H5" s="381"/>
      <c r="I5" s="381"/>
      <c r="J5" s="381"/>
      <c r="K5" s="381"/>
    </row>
    <row r="6" spans="7:12">
      <c r="H6" s="381"/>
      <c r="I6" s="381"/>
      <c r="J6" s="381"/>
      <c r="K6" s="381"/>
    </row>
    <row r="7" spans="7:12">
      <c r="H7" s="381"/>
      <c r="I7" s="381"/>
      <c r="J7" s="381"/>
      <c r="K7" s="381"/>
    </row>
    <row r="8" spans="7:12" ht="21">
      <c r="H8" s="381"/>
      <c r="I8" s="842" t="s">
        <v>431</v>
      </c>
      <c r="J8" s="842"/>
      <c r="K8" s="381"/>
    </row>
    <row r="9" spans="7:12">
      <c r="H9" s="381"/>
      <c r="I9" s="843" t="s">
        <v>432</v>
      </c>
      <c r="J9" s="843"/>
      <c r="K9" s="381"/>
    </row>
    <row r="10" spans="7:12">
      <c r="H10" s="381"/>
      <c r="I10" s="843"/>
      <c r="J10" s="843"/>
      <c r="K10" s="381"/>
    </row>
    <row r="11" spans="7:12">
      <c r="H11" s="381"/>
      <c r="I11" s="381"/>
      <c r="J11" s="381"/>
      <c r="K11" s="381"/>
    </row>
    <row r="12" spans="7:12" ht="26.25">
      <c r="G12" s="844" t="s">
        <v>433</v>
      </c>
      <c r="H12" s="844"/>
      <c r="I12" s="844"/>
      <c r="J12" s="844"/>
      <c r="K12" s="844"/>
      <c r="L12" s="844"/>
    </row>
    <row r="13" spans="7:12">
      <c r="H13" s="381"/>
      <c r="I13" s="381"/>
      <c r="J13" s="381"/>
      <c r="K13" s="381"/>
    </row>
    <row r="14" spans="7:12">
      <c r="H14" s="381"/>
      <c r="I14" s="382" t="s">
        <v>434</v>
      </c>
      <c r="J14" s="383" t="s">
        <v>435</v>
      </c>
      <c r="K14" s="381"/>
    </row>
    <row r="15" spans="7:12">
      <c r="H15" s="381"/>
      <c r="I15" s="384"/>
      <c r="J15" s="385"/>
      <c r="K15" s="381"/>
    </row>
    <row r="16" spans="7:12">
      <c r="H16" s="381"/>
      <c r="I16" s="382" t="s">
        <v>436</v>
      </c>
      <c r="J16" s="383" t="s">
        <v>437</v>
      </c>
      <c r="K16" s="381"/>
    </row>
    <row r="17" spans="8:11">
      <c r="H17" s="386"/>
      <c r="I17" s="386"/>
      <c r="J17" s="386"/>
      <c r="K17" s="386"/>
    </row>
    <row r="18" spans="8:11">
      <c r="H18" s="386"/>
      <c r="I18" s="386"/>
      <c r="J18" s="386"/>
      <c r="K18" s="386"/>
    </row>
    <row r="19" spans="8:11">
      <c r="H19" s="386"/>
      <c r="I19" s="386"/>
      <c r="J19" s="386"/>
      <c r="K19" s="386"/>
    </row>
    <row r="20" spans="8:11">
      <c r="H20" s="386"/>
      <c r="I20" s="845" t="s">
        <v>469</v>
      </c>
      <c r="J20" s="845"/>
      <c r="K20" s="386"/>
    </row>
    <row r="21" spans="8:11">
      <c r="H21" s="386"/>
      <c r="I21" s="845"/>
      <c r="J21" s="845"/>
      <c r="K21" s="386"/>
    </row>
    <row r="22" spans="8:11"/>
    <row r="23" spans="8:11"/>
    <row r="24" spans="8:11"/>
    <row r="25" spans="8:11"/>
    <row r="26" spans="8:11"/>
    <row r="27" spans="8:11"/>
  </sheetData>
  <sheetProtection algorithmName="SHA-512" hashValue="9E4g+cd9eAc6gsazE8D3/UZJRpAEiTlhrHzWPlXb4vy0SCVgU3+wzt30lOZNtSWr+cCWBa6eqRXw+H7kLl+7gA==" saltValue="NtOz782Ffw8CHYAe8IDSfQ==" spinCount="100000" sheet="1" objects="1" scenarios="1"/>
  <mergeCells count="5">
    <mergeCell ref="I8:J8"/>
    <mergeCell ref="I9:J9"/>
    <mergeCell ref="I10:J10"/>
    <mergeCell ref="G12:L12"/>
    <mergeCell ref="I20:J2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D72"/>
  <sheetViews>
    <sheetView showRowColHeaders="0" tabSelected="1" workbookViewId="0">
      <pane xSplit="2" ySplit="6" topLeftCell="C7" activePane="bottomRight" state="frozen"/>
      <selection pane="topRight" activeCell="C1" sqref="C1"/>
      <selection pane="bottomLeft" activeCell="A7" sqref="A7"/>
      <selection pane="bottomRight" sqref="A1:B1"/>
    </sheetView>
  </sheetViews>
  <sheetFormatPr defaultColWidth="0" defaultRowHeight="15" zeroHeight="1"/>
  <cols>
    <col min="1" max="1" width="11.28515625" style="24" customWidth="1"/>
    <col min="2" max="2" width="18.42578125" style="24" customWidth="1"/>
    <col min="3" max="3" width="4" style="24" customWidth="1"/>
    <col min="4" max="4" width="25.28515625" style="24" customWidth="1"/>
    <col min="5" max="5" width="4.7109375" style="24" customWidth="1"/>
    <col min="6" max="6" width="7.5703125" style="24" customWidth="1"/>
    <col min="7" max="7" width="19.140625" style="24" customWidth="1"/>
    <col min="8" max="8" width="4.28515625" style="24" customWidth="1"/>
    <col min="9" max="9" width="7" style="24" customWidth="1"/>
    <col min="10" max="10" width="19.28515625" style="24" customWidth="1"/>
    <col min="11" max="11" width="3.7109375" style="24" customWidth="1"/>
    <col min="12" max="12" width="6.7109375" style="24" customWidth="1"/>
    <col min="13" max="13" width="17.7109375" style="24" customWidth="1"/>
    <col min="14" max="14" width="4.140625" style="24" customWidth="1"/>
    <col min="15" max="15" width="8" style="24" customWidth="1"/>
    <col min="16" max="16" width="18.42578125" style="24" customWidth="1"/>
    <col min="17" max="17" width="2.28515625" style="24" customWidth="1"/>
    <col min="18" max="18" width="3.28515625" style="24" customWidth="1"/>
    <col min="19" max="19" width="9.140625" style="104" customWidth="1"/>
    <col min="20" max="20" width="5.42578125" style="104" hidden="1" customWidth="1"/>
    <col min="21" max="21" width="9.140625" style="104" hidden="1" customWidth="1"/>
    <col min="22" max="22" width="8.7109375" style="104" hidden="1" customWidth="1"/>
    <col min="23" max="23" width="9.140625" style="104" hidden="1" customWidth="1"/>
    <col min="24" max="24" width="4.85546875" style="104" hidden="1" customWidth="1"/>
    <col min="25" max="25" width="5.5703125" style="104" hidden="1" customWidth="1"/>
    <col min="26" max="28" width="0" style="24" hidden="1" customWidth="1"/>
    <col min="29" max="16384" width="9.140625" style="24" hidden="1"/>
  </cols>
  <sheetData>
    <row r="1" spans="1:16384" ht="30.75" customHeight="1">
      <c r="A1" s="847" t="s">
        <v>906</v>
      </c>
      <c r="B1" s="847"/>
      <c r="C1" s="374" t="s">
        <v>430</v>
      </c>
      <c r="D1" s="375" t="str">
        <f>E10</f>
        <v>SDN UJUNG ASPAL 01</v>
      </c>
      <c r="E1" s="375"/>
      <c r="F1" s="375"/>
      <c r="G1" s="375"/>
      <c r="H1" s="375"/>
      <c r="I1" s="860" t="s">
        <v>1202</v>
      </c>
      <c r="J1" s="860"/>
      <c r="K1" s="860"/>
      <c r="L1" s="860"/>
      <c r="M1" s="860"/>
      <c r="N1" s="860"/>
      <c r="O1" s="860"/>
      <c r="P1" s="860"/>
      <c r="Q1" s="860"/>
      <c r="R1" s="375"/>
      <c r="S1" s="376"/>
      <c r="T1" s="377"/>
      <c r="U1" s="377"/>
      <c r="V1" s="377"/>
      <c r="W1" s="377"/>
      <c r="X1" s="377"/>
      <c r="Z1" s="224"/>
      <c r="AA1" s="224"/>
    </row>
    <row r="2" spans="1:16384" ht="4.5" customHeight="1">
      <c r="A2" s="387"/>
      <c r="B2" s="387"/>
      <c r="C2" s="235"/>
      <c r="D2" s="390"/>
      <c r="E2" s="390"/>
      <c r="F2" s="390"/>
      <c r="G2" s="390"/>
      <c r="H2" s="390"/>
      <c r="I2" s="390"/>
      <c r="J2" s="390"/>
      <c r="K2" s="228"/>
      <c r="L2" s="228"/>
      <c r="M2" s="228"/>
      <c r="N2" s="228"/>
      <c r="O2" s="228"/>
      <c r="P2" s="228"/>
      <c r="Q2" s="228"/>
      <c r="R2" s="228"/>
      <c r="S2" s="294"/>
      <c r="T2" s="379"/>
      <c r="U2" s="379"/>
      <c r="V2" s="379"/>
      <c r="W2" s="379"/>
      <c r="X2" s="379"/>
      <c r="Z2" s="224"/>
      <c r="AA2" s="224"/>
    </row>
    <row r="3" spans="1:16384" ht="14.25" customHeight="1">
      <c r="A3" s="387"/>
      <c r="B3" s="695"/>
      <c r="C3" s="235"/>
      <c r="D3" s="391" t="s">
        <v>466</v>
      </c>
      <c r="E3" s="390"/>
      <c r="F3" s="848" t="s">
        <v>439</v>
      </c>
      <c r="G3" s="392" t="s">
        <v>440</v>
      </c>
      <c r="H3" s="390"/>
      <c r="I3" s="850" t="s">
        <v>441</v>
      </c>
      <c r="J3" s="393" t="s">
        <v>438</v>
      </c>
      <c r="K3" s="390"/>
      <c r="L3" s="852" t="s">
        <v>442</v>
      </c>
      <c r="M3" s="394" t="s">
        <v>443</v>
      </c>
      <c r="N3" s="228"/>
      <c r="O3" s="854" t="s">
        <v>444</v>
      </c>
      <c r="P3" s="395" t="s">
        <v>445</v>
      </c>
      <c r="Q3" s="395"/>
      <c r="R3" s="228"/>
      <c r="S3" s="294"/>
      <c r="T3" s="379"/>
      <c r="U3" s="379"/>
      <c r="V3" s="379"/>
      <c r="W3" s="379"/>
      <c r="X3" s="379"/>
      <c r="Z3" s="224"/>
      <c r="AA3" s="224"/>
    </row>
    <row r="4" spans="1:16384" ht="12.75" customHeight="1">
      <c r="A4" s="387"/>
      <c r="B4" s="696" t="str">
        <f>E16</f>
        <v>SITI PONIMAH,M.Pd</v>
      </c>
      <c r="C4" s="235"/>
      <c r="D4" s="391" t="s">
        <v>467</v>
      </c>
      <c r="E4" s="390"/>
      <c r="F4" s="849"/>
      <c r="G4" s="392" t="s">
        <v>446</v>
      </c>
      <c r="H4" s="390"/>
      <c r="I4" s="851"/>
      <c r="J4" s="393" t="s">
        <v>447</v>
      </c>
      <c r="K4" s="390"/>
      <c r="L4" s="853"/>
      <c r="M4" s="394" t="s">
        <v>448</v>
      </c>
      <c r="N4" s="228"/>
      <c r="O4" s="855"/>
      <c r="P4" s="395" t="s">
        <v>35</v>
      </c>
      <c r="Q4" s="395"/>
      <c r="R4" s="228"/>
      <c r="S4" s="294"/>
      <c r="T4" s="379"/>
      <c r="U4" s="379"/>
      <c r="V4" s="379"/>
      <c r="W4" s="379"/>
      <c r="X4" s="379"/>
      <c r="Z4" s="224"/>
      <c r="AA4" s="224"/>
    </row>
    <row r="5" spans="1:16384" ht="14.25" customHeight="1">
      <c r="A5" s="387"/>
      <c r="B5" s="698" t="str">
        <f>CONCATENATE("Guru Kelas ",E14)</f>
        <v>Guru Kelas 4 (Empat)</v>
      </c>
      <c r="C5" s="235"/>
      <c r="D5" s="856">
        <f>SISWA!AU56</f>
        <v>50</v>
      </c>
      <c r="E5" s="390"/>
      <c r="F5" s="849"/>
      <c r="G5" s="857">
        <f>COUNTA('KI3'!B4:B19)</f>
        <v>8</v>
      </c>
      <c r="H5" s="390"/>
      <c r="I5" s="851"/>
      <c r="J5" s="858">
        <f>KKM!Y10</f>
        <v>3</v>
      </c>
      <c r="K5" s="390"/>
      <c r="L5" s="853"/>
      <c r="M5" s="859">
        <f>KKM!D8</f>
        <v>70</v>
      </c>
      <c r="N5" s="228"/>
      <c r="O5" s="855"/>
      <c r="P5" s="862">
        <f>AVERAGE(O11:P17)</f>
        <v>0.87111111111111117</v>
      </c>
      <c r="Q5" s="395"/>
      <c r="R5" s="228"/>
      <c r="S5" s="294"/>
      <c r="T5" s="379"/>
      <c r="U5" s="379"/>
      <c r="V5" s="379"/>
      <c r="W5" s="379"/>
      <c r="X5" s="379"/>
      <c r="Z5" s="224"/>
      <c r="AA5" s="224"/>
    </row>
    <row r="6" spans="1:16384" ht="14.25" customHeight="1">
      <c r="A6" s="387"/>
      <c r="B6" s="389"/>
      <c r="C6" s="235"/>
      <c r="D6" s="856"/>
      <c r="E6" s="390"/>
      <c r="F6" s="396"/>
      <c r="G6" s="857"/>
      <c r="H6" s="390"/>
      <c r="I6" s="397"/>
      <c r="J6" s="858"/>
      <c r="K6" s="390"/>
      <c r="L6" s="398"/>
      <c r="M6" s="859"/>
      <c r="N6" s="228"/>
      <c r="O6" s="224"/>
      <c r="P6" s="863"/>
      <c r="Q6" s="395"/>
      <c r="R6" s="228"/>
      <c r="S6" s="294"/>
      <c r="T6" s="379"/>
      <c r="U6" s="379"/>
      <c r="V6" s="379"/>
      <c r="W6" s="379"/>
      <c r="X6" s="379"/>
      <c r="Z6" s="224"/>
      <c r="AA6" s="224"/>
    </row>
    <row r="7" spans="1:16384" ht="6" customHeight="1">
      <c r="A7" s="387"/>
      <c r="B7" s="388"/>
      <c r="C7" s="235"/>
      <c r="D7" s="390"/>
      <c r="E7" s="390"/>
      <c r="F7" s="390"/>
      <c r="G7" s="390"/>
      <c r="H7" s="390"/>
      <c r="I7" s="390"/>
      <c r="J7" s="390"/>
      <c r="K7" s="390"/>
      <c r="L7" s="228"/>
      <c r="M7" s="228"/>
      <c r="N7" s="228"/>
      <c r="O7" s="228"/>
      <c r="P7" s="228"/>
      <c r="Q7" s="228"/>
      <c r="R7" s="228"/>
      <c r="S7" s="225"/>
      <c r="Z7" s="225"/>
      <c r="AA7" s="225"/>
      <c r="AB7" s="225"/>
      <c r="AC7" s="225"/>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A7" s="225"/>
      <c r="BB7" s="225"/>
      <c r="BC7" s="225"/>
      <c r="BD7" s="225"/>
      <c r="BE7" s="225"/>
      <c r="BF7" s="225"/>
      <c r="BG7" s="225"/>
      <c r="BH7" s="225"/>
      <c r="BI7" s="225"/>
      <c r="BJ7" s="225"/>
      <c r="BK7" s="225"/>
      <c r="BL7" s="225"/>
      <c r="BM7" s="225"/>
      <c r="BN7" s="225"/>
      <c r="BO7" s="225"/>
      <c r="BP7" s="225"/>
      <c r="BQ7" s="225"/>
      <c r="BR7" s="225"/>
      <c r="BS7" s="225"/>
      <c r="BT7" s="225"/>
      <c r="BU7" s="225"/>
      <c r="BV7" s="225"/>
      <c r="BW7" s="225"/>
      <c r="BX7" s="225"/>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c r="DA7" s="225"/>
      <c r="DB7" s="225"/>
      <c r="DC7" s="225"/>
      <c r="DD7" s="225"/>
      <c r="DE7" s="225"/>
      <c r="DF7" s="225"/>
      <c r="DG7" s="225"/>
      <c r="DH7" s="225"/>
      <c r="DI7" s="225"/>
      <c r="DJ7" s="225"/>
      <c r="DK7" s="225"/>
      <c r="DL7" s="225"/>
      <c r="DM7" s="225"/>
      <c r="DN7" s="225"/>
      <c r="DO7" s="225"/>
      <c r="DP7" s="225"/>
      <c r="DQ7" s="225"/>
      <c r="DR7" s="225"/>
      <c r="DS7" s="225"/>
      <c r="DT7" s="225"/>
      <c r="DU7" s="225"/>
      <c r="DV7" s="225"/>
      <c r="DW7" s="225"/>
      <c r="DX7" s="225"/>
      <c r="DY7" s="225"/>
      <c r="DZ7" s="225"/>
      <c r="EA7" s="225"/>
      <c r="EB7" s="225"/>
      <c r="EC7" s="225"/>
      <c r="ED7" s="225"/>
      <c r="EE7" s="225"/>
      <c r="EF7" s="225"/>
      <c r="EG7" s="225"/>
      <c r="EH7" s="225"/>
      <c r="EI7" s="225"/>
      <c r="EJ7" s="225"/>
      <c r="EK7" s="225"/>
      <c r="EL7" s="225"/>
      <c r="EM7" s="225"/>
      <c r="EN7" s="225"/>
      <c r="EO7" s="225"/>
      <c r="EP7" s="225"/>
      <c r="EQ7" s="225"/>
      <c r="ER7" s="225"/>
      <c r="ES7" s="225"/>
      <c r="ET7" s="225"/>
      <c r="EU7" s="225"/>
      <c r="EV7" s="225"/>
      <c r="EW7" s="225"/>
      <c r="EX7" s="225"/>
      <c r="EY7" s="225"/>
      <c r="EZ7" s="225"/>
      <c r="FA7" s="225"/>
      <c r="FB7" s="225"/>
      <c r="FC7" s="225"/>
      <c r="FD7" s="225"/>
      <c r="FE7" s="225"/>
      <c r="FF7" s="225"/>
      <c r="FG7" s="225"/>
      <c r="FH7" s="225"/>
      <c r="FI7" s="225"/>
      <c r="FJ7" s="225"/>
      <c r="FK7" s="225"/>
      <c r="FL7" s="225"/>
      <c r="FM7" s="225"/>
      <c r="FN7" s="225"/>
      <c r="FO7" s="225"/>
      <c r="FP7" s="225"/>
      <c r="FQ7" s="225"/>
      <c r="FR7" s="225"/>
      <c r="FS7" s="225"/>
      <c r="FT7" s="225"/>
      <c r="FU7" s="225"/>
      <c r="FV7" s="225"/>
      <c r="FW7" s="225"/>
      <c r="FX7" s="225"/>
      <c r="FY7" s="225"/>
      <c r="FZ7" s="225"/>
      <c r="GA7" s="225"/>
      <c r="GB7" s="225"/>
      <c r="GC7" s="225"/>
      <c r="GD7" s="225"/>
      <c r="GE7" s="225"/>
      <c r="GF7" s="225"/>
      <c r="GG7" s="225"/>
      <c r="GH7" s="225"/>
      <c r="GI7" s="225"/>
      <c r="GJ7" s="225"/>
      <c r="GK7" s="225"/>
      <c r="GL7" s="225"/>
      <c r="GM7" s="225"/>
      <c r="GN7" s="225"/>
      <c r="GO7" s="225"/>
      <c r="GP7" s="225"/>
      <c r="GQ7" s="225"/>
      <c r="GR7" s="225"/>
      <c r="GS7" s="225"/>
      <c r="GT7" s="225"/>
      <c r="GU7" s="225"/>
      <c r="GV7" s="225"/>
      <c r="GW7" s="225"/>
      <c r="GX7" s="225"/>
      <c r="GY7" s="225"/>
      <c r="GZ7" s="225"/>
      <c r="HA7" s="225"/>
      <c r="HB7" s="225"/>
      <c r="HC7" s="225"/>
      <c r="HD7" s="225"/>
      <c r="HE7" s="225"/>
      <c r="HF7" s="225"/>
      <c r="HG7" s="225"/>
      <c r="HH7" s="225"/>
      <c r="HI7" s="225"/>
      <c r="HJ7" s="225"/>
      <c r="HK7" s="225"/>
      <c r="HL7" s="225"/>
      <c r="HM7" s="225"/>
      <c r="HN7" s="225"/>
      <c r="HO7" s="225"/>
      <c r="HP7" s="225"/>
      <c r="HQ7" s="225"/>
      <c r="HR7" s="225"/>
      <c r="HS7" s="225"/>
      <c r="HT7" s="225"/>
      <c r="HU7" s="225"/>
      <c r="HV7" s="225"/>
      <c r="HW7" s="225"/>
      <c r="HX7" s="225"/>
      <c r="HY7" s="225"/>
      <c r="HZ7" s="225"/>
      <c r="IA7" s="225"/>
      <c r="IB7" s="225"/>
      <c r="IC7" s="225"/>
      <c r="ID7" s="225"/>
      <c r="IE7" s="225"/>
      <c r="IF7" s="225"/>
      <c r="IG7" s="225"/>
      <c r="IH7" s="225"/>
      <c r="II7" s="225"/>
      <c r="IJ7" s="225"/>
      <c r="IK7" s="225"/>
      <c r="IL7" s="225"/>
      <c r="IM7" s="225"/>
      <c r="IN7" s="225"/>
      <c r="IO7" s="225"/>
      <c r="IP7" s="225"/>
      <c r="IQ7" s="225"/>
      <c r="IR7" s="225"/>
      <c r="IS7" s="225"/>
      <c r="IT7" s="225"/>
      <c r="IU7" s="225"/>
      <c r="IV7" s="225"/>
      <c r="IW7" s="225"/>
      <c r="IX7" s="225"/>
      <c r="IY7" s="225"/>
      <c r="IZ7" s="225"/>
      <c r="JA7" s="225"/>
      <c r="JB7" s="225"/>
      <c r="JC7" s="225"/>
      <c r="JD7" s="225"/>
      <c r="JE7" s="225"/>
      <c r="JF7" s="225"/>
      <c r="JG7" s="225"/>
      <c r="JH7" s="225"/>
      <c r="JI7" s="225"/>
      <c r="JJ7" s="225"/>
      <c r="JK7" s="225"/>
      <c r="JL7" s="225"/>
      <c r="JM7" s="225"/>
      <c r="JN7" s="225"/>
      <c r="JO7" s="225"/>
      <c r="JP7" s="225"/>
      <c r="JQ7" s="225"/>
      <c r="JR7" s="225"/>
      <c r="JS7" s="225"/>
      <c r="JT7" s="225"/>
      <c r="JU7" s="225"/>
      <c r="JV7" s="225"/>
      <c r="JW7" s="225"/>
      <c r="JX7" s="225"/>
      <c r="JY7" s="225"/>
      <c r="JZ7" s="225"/>
      <c r="KA7" s="225"/>
      <c r="KB7" s="225"/>
      <c r="KC7" s="225"/>
      <c r="KD7" s="225"/>
      <c r="KE7" s="225"/>
      <c r="KF7" s="225"/>
      <c r="KG7" s="225"/>
      <c r="KH7" s="225"/>
      <c r="KI7" s="225"/>
      <c r="KJ7" s="225"/>
      <c r="KK7" s="225"/>
      <c r="KL7" s="225"/>
      <c r="KM7" s="225"/>
      <c r="KN7" s="225"/>
      <c r="KO7" s="225"/>
      <c r="KP7" s="225"/>
      <c r="KQ7" s="225"/>
      <c r="KR7" s="225"/>
      <c r="KS7" s="225"/>
      <c r="KT7" s="225"/>
      <c r="KU7" s="225"/>
      <c r="KV7" s="225"/>
      <c r="KW7" s="225"/>
      <c r="KX7" s="225"/>
      <c r="KY7" s="225"/>
      <c r="KZ7" s="225"/>
      <c r="LA7" s="225"/>
      <c r="LB7" s="225"/>
      <c r="LC7" s="225"/>
      <c r="LD7" s="225"/>
      <c r="LE7" s="225"/>
      <c r="LF7" s="225"/>
      <c r="LG7" s="225"/>
      <c r="LH7" s="225"/>
      <c r="LI7" s="225"/>
      <c r="LJ7" s="225"/>
      <c r="LK7" s="225"/>
      <c r="LL7" s="225"/>
      <c r="LM7" s="225"/>
      <c r="LN7" s="225"/>
      <c r="LO7" s="225"/>
      <c r="LP7" s="225"/>
      <c r="LQ7" s="225"/>
      <c r="LR7" s="225"/>
      <c r="LS7" s="225"/>
      <c r="LT7" s="225"/>
      <c r="LU7" s="225"/>
      <c r="LV7" s="225"/>
      <c r="LW7" s="225"/>
      <c r="LX7" s="225"/>
      <c r="LY7" s="225"/>
      <c r="LZ7" s="225"/>
      <c r="MA7" s="225"/>
      <c r="MB7" s="225"/>
      <c r="MC7" s="225"/>
      <c r="MD7" s="225"/>
      <c r="ME7" s="225"/>
      <c r="MF7" s="225"/>
      <c r="MG7" s="225"/>
      <c r="MH7" s="225"/>
      <c r="MI7" s="225"/>
      <c r="MJ7" s="225"/>
      <c r="MK7" s="225"/>
      <c r="ML7" s="225"/>
      <c r="MM7" s="225"/>
      <c r="MN7" s="225"/>
      <c r="MO7" s="225"/>
      <c r="MP7" s="225"/>
      <c r="MQ7" s="225"/>
      <c r="MR7" s="225"/>
      <c r="MS7" s="225"/>
      <c r="MT7" s="225"/>
      <c r="MU7" s="225"/>
      <c r="MV7" s="225"/>
      <c r="MW7" s="225"/>
      <c r="MX7" s="225"/>
      <c r="MY7" s="225"/>
      <c r="MZ7" s="225"/>
      <c r="NA7" s="225"/>
      <c r="NB7" s="225"/>
      <c r="NC7" s="225"/>
      <c r="ND7" s="225"/>
      <c r="NE7" s="225"/>
      <c r="NF7" s="225"/>
      <c r="NG7" s="225"/>
      <c r="NH7" s="225"/>
      <c r="NI7" s="225"/>
      <c r="NJ7" s="225"/>
      <c r="NK7" s="225"/>
      <c r="NL7" s="225"/>
      <c r="NM7" s="225"/>
      <c r="NN7" s="225"/>
      <c r="NO7" s="225"/>
      <c r="NP7" s="225"/>
      <c r="NQ7" s="225"/>
      <c r="NR7" s="225"/>
      <c r="NS7" s="225"/>
      <c r="NT7" s="225"/>
      <c r="NU7" s="225"/>
      <c r="NV7" s="225"/>
      <c r="NW7" s="225"/>
      <c r="NX7" s="225"/>
      <c r="NY7" s="225"/>
      <c r="NZ7" s="225"/>
      <c r="OA7" s="225"/>
      <c r="OB7" s="225"/>
      <c r="OC7" s="225"/>
      <c r="OD7" s="225"/>
      <c r="OE7" s="225"/>
      <c r="OF7" s="225"/>
      <c r="OG7" s="225"/>
      <c r="OH7" s="225"/>
      <c r="OI7" s="225"/>
      <c r="OJ7" s="225"/>
      <c r="OK7" s="225"/>
      <c r="OL7" s="225"/>
      <c r="OM7" s="225"/>
      <c r="ON7" s="225"/>
      <c r="OO7" s="225"/>
      <c r="OP7" s="225"/>
      <c r="OQ7" s="225"/>
      <c r="OR7" s="225"/>
      <c r="OS7" s="225"/>
      <c r="OT7" s="225"/>
      <c r="OU7" s="225"/>
      <c r="OV7" s="225"/>
      <c r="OW7" s="225"/>
      <c r="OX7" s="225"/>
      <c r="OY7" s="225"/>
      <c r="OZ7" s="225"/>
      <c r="PA7" s="225"/>
      <c r="PB7" s="225"/>
      <c r="PC7" s="225"/>
      <c r="PD7" s="225"/>
      <c r="PE7" s="225"/>
      <c r="PF7" s="225"/>
      <c r="PG7" s="225"/>
      <c r="PH7" s="225"/>
      <c r="PI7" s="225"/>
      <c r="PJ7" s="225"/>
      <c r="PK7" s="225"/>
      <c r="PL7" s="225"/>
      <c r="PM7" s="225"/>
      <c r="PN7" s="225"/>
      <c r="PO7" s="225"/>
      <c r="PP7" s="225"/>
      <c r="PQ7" s="225"/>
      <c r="PR7" s="225"/>
      <c r="PS7" s="225"/>
      <c r="PT7" s="225"/>
      <c r="PU7" s="225"/>
      <c r="PV7" s="225"/>
      <c r="PW7" s="225"/>
      <c r="PX7" s="225"/>
      <c r="PY7" s="225"/>
      <c r="PZ7" s="225"/>
      <c r="QA7" s="225"/>
      <c r="QB7" s="225"/>
      <c r="QC7" s="225"/>
      <c r="QD7" s="225"/>
      <c r="QE7" s="225"/>
      <c r="QF7" s="225"/>
      <c r="QG7" s="225"/>
      <c r="QH7" s="225"/>
      <c r="QI7" s="225"/>
      <c r="QJ7" s="225"/>
      <c r="QK7" s="225"/>
      <c r="QL7" s="225"/>
      <c r="QM7" s="225"/>
      <c r="QN7" s="225"/>
      <c r="QO7" s="225"/>
      <c r="QP7" s="225"/>
      <c r="QQ7" s="225"/>
      <c r="QR7" s="225"/>
      <c r="QS7" s="225"/>
      <c r="QT7" s="225"/>
      <c r="QU7" s="225"/>
      <c r="QV7" s="225"/>
      <c r="QW7" s="225"/>
      <c r="QX7" s="225"/>
      <c r="QY7" s="225"/>
      <c r="QZ7" s="225"/>
      <c r="RA7" s="225"/>
      <c r="RB7" s="225"/>
      <c r="RC7" s="225"/>
      <c r="RD7" s="225"/>
      <c r="RE7" s="225"/>
      <c r="RF7" s="225"/>
      <c r="RG7" s="225"/>
      <c r="RH7" s="225"/>
      <c r="RI7" s="225"/>
      <c r="RJ7" s="225"/>
      <c r="RK7" s="225"/>
      <c r="RL7" s="225"/>
      <c r="RM7" s="225"/>
      <c r="RN7" s="225"/>
      <c r="RO7" s="225"/>
      <c r="RP7" s="225"/>
      <c r="RQ7" s="225"/>
      <c r="RR7" s="225"/>
      <c r="RS7" s="225"/>
      <c r="RT7" s="225"/>
      <c r="RU7" s="225"/>
      <c r="RV7" s="225"/>
      <c r="RW7" s="225"/>
      <c r="RX7" s="225"/>
      <c r="RY7" s="225"/>
      <c r="RZ7" s="225"/>
      <c r="SA7" s="225"/>
      <c r="SB7" s="225"/>
      <c r="SC7" s="225"/>
      <c r="SD7" s="225"/>
      <c r="SE7" s="225"/>
      <c r="SF7" s="225"/>
      <c r="SG7" s="225"/>
      <c r="SH7" s="225"/>
      <c r="SI7" s="225"/>
      <c r="SJ7" s="225"/>
      <c r="SK7" s="225"/>
      <c r="SL7" s="225"/>
      <c r="SM7" s="225"/>
      <c r="SN7" s="225"/>
      <c r="SO7" s="225"/>
      <c r="SP7" s="225"/>
      <c r="SQ7" s="225"/>
      <c r="SR7" s="225"/>
      <c r="SS7" s="225"/>
      <c r="ST7" s="225"/>
      <c r="SU7" s="225"/>
      <c r="SV7" s="225"/>
      <c r="SW7" s="225"/>
      <c r="SX7" s="225"/>
      <c r="SY7" s="225"/>
      <c r="SZ7" s="225"/>
      <c r="TA7" s="225"/>
      <c r="TB7" s="225"/>
      <c r="TC7" s="225"/>
      <c r="TD7" s="225"/>
      <c r="TE7" s="225"/>
      <c r="TF7" s="225"/>
      <c r="TG7" s="225"/>
      <c r="TH7" s="225"/>
      <c r="TI7" s="225"/>
      <c r="TJ7" s="225"/>
      <c r="TK7" s="225"/>
      <c r="TL7" s="225"/>
      <c r="TM7" s="225"/>
      <c r="TN7" s="225"/>
      <c r="TO7" s="225"/>
      <c r="TP7" s="225"/>
      <c r="TQ7" s="225"/>
      <c r="TR7" s="225"/>
      <c r="TS7" s="225"/>
      <c r="TT7" s="225"/>
      <c r="TU7" s="225"/>
      <c r="TV7" s="225"/>
      <c r="TW7" s="225"/>
      <c r="TX7" s="225"/>
      <c r="TY7" s="225"/>
      <c r="TZ7" s="225"/>
      <c r="UA7" s="225"/>
      <c r="UB7" s="225"/>
      <c r="UC7" s="225"/>
      <c r="UD7" s="225"/>
      <c r="UE7" s="225"/>
      <c r="UF7" s="225"/>
      <c r="UG7" s="225"/>
      <c r="UH7" s="225"/>
      <c r="UI7" s="225"/>
      <c r="UJ7" s="225"/>
      <c r="UK7" s="225"/>
      <c r="UL7" s="225"/>
      <c r="UM7" s="225"/>
      <c r="UN7" s="225"/>
      <c r="UO7" s="225"/>
      <c r="UP7" s="225"/>
      <c r="UQ7" s="225"/>
      <c r="UR7" s="225"/>
      <c r="US7" s="225"/>
      <c r="UT7" s="225"/>
      <c r="UU7" s="225"/>
      <c r="UV7" s="225"/>
      <c r="UW7" s="225"/>
      <c r="UX7" s="225"/>
      <c r="UY7" s="225"/>
      <c r="UZ7" s="225"/>
      <c r="VA7" s="225"/>
      <c r="VB7" s="225"/>
      <c r="VC7" s="225"/>
      <c r="VD7" s="225"/>
      <c r="VE7" s="225"/>
      <c r="VF7" s="225"/>
      <c r="VG7" s="225"/>
      <c r="VH7" s="225"/>
      <c r="VI7" s="225"/>
      <c r="VJ7" s="225"/>
      <c r="VK7" s="225"/>
      <c r="VL7" s="225"/>
      <c r="VM7" s="225"/>
      <c r="VN7" s="225"/>
      <c r="VO7" s="225"/>
      <c r="VP7" s="225"/>
      <c r="VQ7" s="225"/>
      <c r="VR7" s="225"/>
      <c r="VS7" s="225"/>
      <c r="VT7" s="225"/>
      <c r="VU7" s="225"/>
      <c r="VV7" s="225"/>
      <c r="VW7" s="225"/>
      <c r="VX7" s="225"/>
      <c r="VY7" s="225"/>
      <c r="VZ7" s="225"/>
      <c r="WA7" s="225"/>
      <c r="WB7" s="225"/>
      <c r="WC7" s="225"/>
      <c r="WD7" s="225"/>
      <c r="WE7" s="225"/>
      <c r="WF7" s="225"/>
      <c r="WG7" s="225"/>
      <c r="WH7" s="225"/>
      <c r="WI7" s="225"/>
      <c r="WJ7" s="225"/>
      <c r="WK7" s="225"/>
      <c r="WL7" s="225"/>
      <c r="WM7" s="225"/>
      <c r="WN7" s="225"/>
      <c r="WO7" s="225"/>
      <c r="WP7" s="225"/>
      <c r="WQ7" s="225"/>
      <c r="WR7" s="225"/>
      <c r="WS7" s="225"/>
      <c r="WT7" s="225"/>
      <c r="WU7" s="225"/>
      <c r="WV7" s="225"/>
      <c r="WW7" s="225"/>
      <c r="WX7" s="225"/>
      <c r="WY7" s="225"/>
      <c r="WZ7" s="225"/>
      <c r="XA7" s="225"/>
      <c r="XB7" s="225"/>
      <c r="XC7" s="225"/>
      <c r="XD7" s="225"/>
      <c r="XE7" s="225"/>
      <c r="XF7" s="225"/>
      <c r="XG7" s="225"/>
      <c r="XH7" s="225"/>
      <c r="XI7" s="225"/>
      <c r="XJ7" s="225"/>
      <c r="XK7" s="225"/>
      <c r="XL7" s="225"/>
      <c r="XM7" s="225"/>
      <c r="XN7" s="225"/>
      <c r="XO7" s="225"/>
      <c r="XP7" s="225"/>
      <c r="XQ7" s="225"/>
      <c r="XR7" s="225"/>
      <c r="XS7" s="225"/>
      <c r="XT7" s="225"/>
      <c r="XU7" s="225"/>
      <c r="XV7" s="225"/>
      <c r="XW7" s="225"/>
      <c r="XX7" s="225"/>
      <c r="XY7" s="225"/>
      <c r="XZ7" s="225"/>
      <c r="YA7" s="225"/>
      <c r="YB7" s="225"/>
      <c r="YC7" s="225"/>
      <c r="YD7" s="225"/>
      <c r="YE7" s="225"/>
      <c r="YF7" s="225"/>
      <c r="YG7" s="225"/>
      <c r="YH7" s="225"/>
      <c r="YI7" s="225"/>
      <c r="YJ7" s="225"/>
      <c r="YK7" s="225"/>
      <c r="YL7" s="225"/>
      <c r="YM7" s="225"/>
      <c r="YN7" s="225"/>
      <c r="YO7" s="225"/>
      <c r="YP7" s="225"/>
      <c r="YQ7" s="225"/>
      <c r="YR7" s="225"/>
      <c r="YS7" s="225"/>
      <c r="YT7" s="225"/>
      <c r="YU7" s="225"/>
      <c r="YV7" s="225"/>
      <c r="YW7" s="225"/>
      <c r="YX7" s="225"/>
      <c r="YY7" s="225"/>
      <c r="YZ7" s="225"/>
      <c r="ZA7" s="225"/>
      <c r="ZB7" s="225"/>
      <c r="ZC7" s="225"/>
      <c r="ZD7" s="225"/>
      <c r="ZE7" s="225"/>
      <c r="ZF7" s="225"/>
      <c r="ZG7" s="225"/>
      <c r="ZH7" s="225"/>
      <c r="ZI7" s="225"/>
      <c r="ZJ7" s="225"/>
      <c r="ZK7" s="225"/>
      <c r="ZL7" s="225"/>
      <c r="ZM7" s="225"/>
      <c r="ZN7" s="225"/>
      <c r="ZO7" s="225"/>
      <c r="ZP7" s="225"/>
      <c r="ZQ7" s="225"/>
      <c r="ZR7" s="225"/>
      <c r="ZS7" s="225"/>
      <c r="ZT7" s="225"/>
      <c r="ZU7" s="225"/>
      <c r="ZV7" s="225"/>
      <c r="ZW7" s="225"/>
      <c r="ZX7" s="225"/>
      <c r="ZY7" s="225"/>
      <c r="ZZ7" s="225"/>
      <c r="AAA7" s="225"/>
      <c r="AAB7" s="225"/>
      <c r="AAC7" s="225"/>
      <c r="AAD7" s="225"/>
      <c r="AAE7" s="225"/>
      <c r="AAF7" s="225"/>
      <c r="AAG7" s="225"/>
      <c r="AAH7" s="225"/>
      <c r="AAI7" s="225"/>
      <c r="AAJ7" s="225"/>
      <c r="AAK7" s="225"/>
      <c r="AAL7" s="225"/>
      <c r="AAM7" s="225"/>
      <c r="AAN7" s="225"/>
      <c r="AAO7" s="225"/>
      <c r="AAP7" s="225"/>
      <c r="AAQ7" s="225"/>
      <c r="AAR7" s="225"/>
      <c r="AAS7" s="225"/>
      <c r="AAT7" s="225"/>
      <c r="AAU7" s="225"/>
      <c r="AAV7" s="225"/>
      <c r="AAW7" s="225"/>
      <c r="AAX7" s="225"/>
      <c r="AAY7" s="225"/>
      <c r="AAZ7" s="225"/>
      <c r="ABA7" s="225"/>
      <c r="ABB7" s="225"/>
      <c r="ABC7" s="225"/>
      <c r="ABD7" s="225"/>
      <c r="ABE7" s="225"/>
      <c r="ABF7" s="225"/>
      <c r="ABG7" s="225"/>
      <c r="ABH7" s="225"/>
      <c r="ABI7" s="225"/>
      <c r="ABJ7" s="225"/>
      <c r="ABK7" s="225"/>
      <c r="ABL7" s="225"/>
      <c r="ABM7" s="225"/>
      <c r="ABN7" s="225"/>
      <c r="ABO7" s="225"/>
      <c r="ABP7" s="225"/>
      <c r="ABQ7" s="225"/>
      <c r="ABR7" s="225"/>
      <c r="ABS7" s="225"/>
      <c r="ABT7" s="225"/>
      <c r="ABU7" s="225"/>
      <c r="ABV7" s="225"/>
      <c r="ABW7" s="225"/>
      <c r="ABX7" s="225"/>
      <c r="ABY7" s="225"/>
      <c r="ABZ7" s="225"/>
      <c r="ACA7" s="225"/>
      <c r="ACB7" s="225"/>
      <c r="ACC7" s="225"/>
      <c r="ACD7" s="225"/>
      <c r="ACE7" s="225"/>
      <c r="ACF7" s="225"/>
      <c r="ACG7" s="225"/>
      <c r="ACH7" s="225"/>
      <c r="ACI7" s="225"/>
      <c r="ACJ7" s="225"/>
      <c r="ACK7" s="225"/>
      <c r="ACL7" s="225"/>
      <c r="ACM7" s="225"/>
      <c r="ACN7" s="225"/>
      <c r="ACO7" s="225"/>
      <c r="ACP7" s="225"/>
      <c r="ACQ7" s="225"/>
      <c r="ACR7" s="225"/>
      <c r="ACS7" s="225"/>
      <c r="ACT7" s="225"/>
      <c r="ACU7" s="225"/>
      <c r="ACV7" s="225"/>
      <c r="ACW7" s="225"/>
      <c r="ACX7" s="225"/>
      <c r="ACY7" s="225"/>
      <c r="ACZ7" s="225"/>
      <c r="ADA7" s="225"/>
      <c r="ADB7" s="225"/>
      <c r="ADC7" s="225"/>
      <c r="ADD7" s="225"/>
      <c r="ADE7" s="225"/>
      <c r="ADF7" s="225"/>
      <c r="ADG7" s="225"/>
      <c r="ADH7" s="225"/>
      <c r="ADI7" s="225"/>
      <c r="ADJ7" s="225"/>
      <c r="ADK7" s="225"/>
      <c r="ADL7" s="225"/>
      <c r="ADM7" s="225"/>
      <c r="ADN7" s="225"/>
      <c r="ADO7" s="225"/>
      <c r="ADP7" s="225"/>
      <c r="ADQ7" s="225"/>
      <c r="ADR7" s="225"/>
      <c r="ADS7" s="225"/>
      <c r="ADT7" s="225"/>
      <c r="ADU7" s="225"/>
      <c r="ADV7" s="225"/>
      <c r="ADW7" s="225"/>
      <c r="ADX7" s="225"/>
      <c r="ADY7" s="225"/>
      <c r="ADZ7" s="225"/>
      <c r="AEA7" s="225"/>
      <c r="AEB7" s="225"/>
      <c r="AEC7" s="225"/>
      <c r="AED7" s="225"/>
      <c r="AEE7" s="225"/>
      <c r="AEF7" s="225"/>
      <c r="AEG7" s="225"/>
      <c r="AEH7" s="225"/>
      <c r="AEI7" s="225"/>
      <c r="AEJ7" s="225"/>
      <c r="AEK7" s="225"/>
      <c r="AEL7" s="225"/>
      <c r="AEM7" s="225"/>
      <c r="AEN7" s="225"/>
      <c r="AEO7" s="225"/>
      <c r="AEP7" s="225"/>
      <c r="AEQ7" s="225"/>
      <c r="AER7" s="225"/>
      <c r="AES7" s="225"/>
      <c r="AET7" s="225"/>
      <c r="AEU7" s="225"/>
      <c r="AEV7" s="225"/>
      <c r="AEW7" s="225"/>
      <c r="AEX7" s="225"/>
      <c r="AEY7" s="225"/>
      <c r="AEZ7" s="225"/>
      <c r="AFA7" s="225"/>
      <c r="AFB7" s="225"/>
      <c r="AFC7" s="225"/>
      <c r="AFD7" s="225"/>
      <c r="AFE7" s="225"/>
      <c r="AFF7" s="225"/>
      <c r="AFG7" s="225"/>
      <c r="AFH7" s="225"/>
      <c r="AFI7" s="225"/>
      <c r="AFJ7" s="225"/>
      <c r="AFK7" s="225"/>
      <c r="AFL7" s="225"/>
      <c r="AFM7" s="225"/>
      <c r="AFN7" s="225"/>
      <c r="AFO7" s="225"/>
      <c r="AFP7" s="225"/>
      <c r="AFQ7" s="225"/>
      <c r="AFR7" s="225"/>
      <c r="AFS7" s="225"/>
      <c r="AFT7" s="225"/>
      <c r="AFU7" s="225"/>
      <c r="AFV7" s="225"/>
      <c r="AFW7" s="225"/>
      <c r="AFX7" s="225"/>
      <c r="AFY7" s="225"/>
      <c r="AFZ7" s="225"/>
      <c r="AGA7" s="225"/>
      <c r="AGB7" s="225"/>
      <c r="AGC7" s="225"/>
      <c r="AGD7" s="225"/>
      <c r="AGE7" s="225"/>
      <c r="AGF7" s="225"/>
      <c r="AGG7" s="225"/>
      <c r="AGH7" s="225"/>
      <c r="AGI7" s="225"/>
      <c r="AGJ7" s="225"/>
      <c r="AGK7" s="225"/>
      <c r="AGL7" s="225"/>
      <c r="AGM7" s="225"/>
      <c r="AGN7" s="225"/>
      <c r="AGO7" s="225"/>
      <c r="AGP7" s="225"/>
      <c r="AGQ7" s="225"/>
      <c r="AGR7" s="225"/>
      <c r="AGS7" s="225"/>
      <c r="AGT7" s="225"/>
      <c r="AGU7" s="225"/>
      <c r="AGV7" s="225"/>
      <c r="AGW7" s="225"/>
      <c r="AGX7" s="225"/>
      <c r="AGY7" s="225"/>
      <c r="AGZ7" s="225"/>
      <c r="AHA7" s="225"/>
      <c r="AHB7" s="225"/>
      <c r="AHC7" s="225"/>
      <c r="AHD7" s="225"/>
      <c r="AHE7" s="225"/>
      <c r="AHF7" s="225"/>
      <c r="AHG7" s="225"/>
      <c r="AHH7" s="225"/>
      <c r="AHI7" s="225"/>
      <c r="AHJ7" s="225"/>
      <c r="AHK7" s="225"/>
      <c r="AHL7" s="225"/>
      <c r="AHM7" s="225"/>
      <c r="AHN7" s="225"/>
      <c r="AHO7" s="225"/>
      <c r="AHP7" s="225"/>
      <c r="AHQ7" s="225"/>
      <c r="AHR7" s="225"/>
      <c r="AHS7" s="225"/>
      <c r="AHT7" s="225"/>
      <c r="AHU7" s="225"/>
      <c r="AHV7" s="225"/>
      <c r="AHW7" s="225"/>
      <c r="AHX7" s="225"/>
      <c r="AHY7" s="225"/>
      <c r="AHZ7" s="225"/>
      <c r="AIA7" s="225"/>
      <c r="AIB7" s="225"/>
      <c r="AIC7" s="225"/>
      <c r="AID7" s="225"/>
      <c r="AIE7" s="225"/>
      <c r="AIF7" s="225"/>
      <c r="AIG7" s="225"/>
      <c r="AIH7" s="225"/>
      <c r="AII7" s="225"/>
      <c r="AIJ7" s="225"/>
      <c r="AIK7" s="225"/>
      <c r="AIL7" s="225"/>
      <c r="AIM7" s="225"/>
      <c r="AIN7" s="225"/>
      <c r="AIO7" s="225"/>
      <c r="AIP7" s="225"/>
      <c r="AIQ7" s="225"/>
      <c r="AIR7" s="225"/>
      <c r="AIS7" s="225"/>
      <c r="AIT7" s="225"/>
      <c r="AIU7" s="225"/>
      <c r="AIV7" s="225"/>
      <c r="AIW7" s="225"/>
      <c r="AIX7" s="225"/>
      <c r="AIY7" s="225"/>
      <c r="AIZ7" s="225"/>
      <c r="AJA7" s="225"/>
      <c r="AJB7" s="225"/>
      <c r="AJC7" s="225"/>
      <c r="AJD7" s="225"/>
      <c r="AJE7" s="225"/>
      <c r="AJF7" s="225"/>
      <c r="AJG7" s="225"/>
      <c r="AJH7" s="225"/>
      <c r="AJI7" s="225"/>
      <c r="AJJ7" s="225"/>
      <c r="AJK7" s="225"/>
      <c r="AJL7" s="225"/>
      <c r="AJM7" s="225"/>
      <c r="AJN7" s="225"/>
      <c r="AJO7" s="225"/>
      <c r="AJP7" s="225"/>
      <c r="AJQ7" s="225"/>
      <c r="AJR7" s="225"/>
      <c r="AJS7" s="225"/>
      <c r="AJT7" s="225"/>
      <c r="AJU7" s="225"/>
      <c r="AJV7" s="225"/>
      <c r="AJW7" s="225"/>
      <c r="AJX7" s="225"/>
      <c r="AJY7" s="225"/>
      <c r="AJZ7" s="225"/>
      <c r="AKA7" s="225"/>
      <c r="AKB7" s="225"/>
      <c r="AKC7" s="225"/>
      <c r="AKD7" s="225"/>
      <c r="AKE7" s="225"/>
      <c r="AKF7" s="225"/>
      <c r="AKG7" s="225"/>
      <c r="AKH7" s="225"/>
      <c r="AKI7" s="225"/>
      <c r="AKJ7" s="225"/>
      <c r="AKK7" s="225"/>
      <c r="AKL7" s="225"/>
      <c r="AKM7" s="225"/>
      <c r="AKN7" s="225"/>
      <c r="AKO7" s="225"/>
      <c r="AKP7" s="225"/>
      <c r="AKQ7" s="225"/>
      <c r="AKR7" s="225"/>
      <c r="AKS7" s="225"/>
      <c r="AKT7" s="225"/>
      <c r="AKU7" s="225"/>
      <c r="AKV7" s="225"/>
      <c r="AKW7" s="225"/>
      <c r="AKX7" s="225"/>
      <c r="AKY7" s="225"/>
      <c r="AKZ7" s="225"/>
      <c r="ALA7" s="225"/>
      <c r="ALB7" s="225"/>
      <c r="ALC7" s="225"/>
      <c r="ALD7" s="225"/>
      <c r="ALE7" s="225"/>
      <c r="ALF7" s="225"/>
      <c r="ALG7" s="225"/>
      <c r="ALH7" s="225"/>
      <c r="ALI7" s="225"/>
      <c r="ALJ7" s="225"/>
      <c r="ALK7" s="225"/>
      <c r="ALL7" s="225"/>
      <c r="ALM7" s="225"/>
      <c r="ALN7" s="225"/>
      <c r="ALO7" s="225"/>
      <c r="ALP7" s="225"/>
      <c r="ALQ7" s="225"/>
      <c r="ALR7" s="225"/>
      <c r="ALS7" s="225"/>
      <c r="ALT7" s="225"/>
      <c r="ALU7" s="225"/>
      <c r="ALV7" s="225"/>
      <c r="ALW7" s="225"/>
      <c r="ALX7" s="225"/>
      <c r="ALY7" s="225"/>
      <c r="ALZ7" s="225"/>
      <c r="AMA7" s="225"/>
      <c r="AMB7" s="225"/>
      <c r="AMC7" s="225"/>
      <c r="AMD7" s="225"/>
      <c r="AME7" s="225"/>
      <c r="AMF7" s="225"/>
      <c r="AMG7" s="225"/>
      <c r="AMH7" s="225"/>
      <c r="AMI7" s="225"/>
      <c r="AMJ7" s="225"/>
      <c r="AMK7" s="225"/>
      <c r="AML7" s="225"/>
      <c r="AMM7" s="225"/>
      <c r="AMN7" s="225"/>
      <c r="AMO7" s="225"/>
      <c r="AMP7" s="225"/>
      <c r="AMQ7" s="225"/>
      <c r="AMR7" s="225"/>
      <c r="AMS7" s="225"/>
      <c r="AMT7" s="225"/>
      <c r="AMU7" s="225"/>
      <c r="AMV7" s="225"/>
      <c r="AMW7" s="225"/>
      <c r="AMX7" s="225"/>
      <c r="AMY7" s="225"/>
      <c r="AMZ7" s="225"/>
      <c r="ANA7" s="225"/>
      <c r="ANB7" s="225"/>
      <c r="ANC7" s="225"/>
      <c r="AND7" s="225"/>
      <c r="ANE7" s="225"/>
      <c r="ANF7" s="225"/>
      <c r="ANG7" s="225"/>
      <c r="ANH7" s="225"/>
      <c r="ANI7" s="225"/>
      <c r="ANJ7" s="225"/>
      <c r="ANK7" s="225"/>
      <c r="ANL7" s="225"/>
      <c r="ANM7" s="225"/>
      <c r="ANN7" s="225"/>
      <c r="ANO7" s="225"/>
      <c r="ANP7" s="225"/>
      <c r="ANQ7" s="225"/>
      <c r="ANR7" s="225"/>
      <c r="ANS7" s="225"/>
      <c r="ANT7" s="225"/>
      <c r="ANU7" s="225"/>
      <c r="ANV7" s="225"/>
      <c r="ANW7" s="225"/>
      <c r="ANX7" s="225"/>
      <c r="ANY7" s="225"/>
      <c r="ANZ7" s="225"/>
      <c r="AOA7" s="225"/>
      <c r="AOB7" s="225"/>
      <c r="AOC7" s="225"/>
      <c r="AOD7" s="225"/>
      <c r="AOE7" s="225"/>
      <c r="AOF7" s="225"/>
      <c r="AOG7" s="225"/>
      <c r="AOH7" s="225"/>
      <c r="AOI7" s="225"/>
      <c r="AOJ7" s="225"/>
      <c r="AOK7" s="225"/>
      <c r="AOL7" s="225"/>
      <c r="AOM7" s="225"/>
      <c r="AON7" s="225"/>
      <c r="AOO7" s="225"/>
      <c r="AOP7" s="225"/>
      <c r="AOQ7" s="225"/>
      <c r="AOR7" s="225"/>
      <c r="AOS7" s="225"/>
      <c r="AOT7" s="225"/>
      <c r="AOU7" s="225"/>
      <c r="AOV7" s="225"/>
      <c r="AOW7" s="225"/>
      <c r="AOX7" s="225"/>
      <c r="AOY7" s="225"/>
      <c r="AOZ7" s="225"/>
      <c r="APA7" s="225"/>
      <c r="APB7" s="225"/>
      <c r="APC7" s="225"/>
      <c r="APD7" s="225"/>
      <c r="APE7" s="225"/>
      <c r="APF7" s="225"/>
      <c r="APG7" s="225"/>
      <c r="APH7" s="225"/>
      <c r="API7" s="225"/>
      <c r="APJ7" s="225"/>
      <c r="APK7" s="225"/>
      <c r="APL7" s="225"/>
      <c r="APM7" s="225"/>
      <c r="APN7" s="225"/>
      <c r="APO7" s="225"/>
      <c r="APP7" s="225"/>
      <c r="APQ7" s="225"/>
      <c r="APR7" s="225"/>
      <c r="APS7" s="225"/>
      <c r="APT7" s="225"/>
      <c r="APU7" s="225"/>
      <c r="APV7" s="225"/>
      <c r="APW7" s="225"/>
      <c r="APX7" s="225"/>
      <c r="APY7" s="225"/>
      <c r="APZ7" s="225"/>
      <c r="AQA7" s="225"/>
      <c r="AQB7" s="225"/>
      <c r="AQC7" s="225"/>
      <c r="AQD7" s="225"/>
      <c r="AQE7" s="225"/>
      <c r="AQF7" s="225"/>
      <c r="AQG7" s="225"/>
      <c r="AQH7" s="225"/>
      <c r="AQI7" s="225"/>
      <c r="AQJ7" s="225"/>
      <c r="AQK7" s="225"/>
      <c r="AQL7" s="225"/>
      <c r="AQM7" s="225"/>
      <c r="AQN7" s="225"/>
      <c r="AQO7" s="225"/>
      <c r="AQP7" s="225"/>
      <c r="AQQ7" s="225"/>
      <c r="AQR7" s="225"/>
      <c r="AQS7" s="225"/>
      <c r="AQT7" s="225"/>
      <c r="AQU7" s="225"/>
      <c r="AQV7" s="225"/>
      <c r="AQW7" s="225"/>
      <c r="AQX7" s="225"/>
      <c r="AQY7" s="225"/>
      <c r="AQZ7" s="225"/>
      <c r="ARA7" s="225"/>
      <c r="ARB7" s="225"/>
      <c r="ARC7" s="225"/>
      <c r="ARD7" s="225"/>
      <c r="ARE7" s="225"/>
      <c r="ARF7" s="225"/>
      <c r="ARG7" s="225"/>
      <c r="ARH7" s="225"/>
      <c r="ARI7" s="225"/>
      <c r="ARJ7" s="225"/>
      <c r="ARK7" s="225"/>
      <c r="ARL7" s="225"/>
      <c r="ARM7" s="225"/>
      <c r="ARN7" s="225"/>
      <c r="ARO7" s="225"/>
      <c r="ARP7" s="225"/>
      <c r="ARQ7" s="225"/>
      <c r="ARR7" s="225"/>
      <c r="ARS7" s="225"/>
      <c r="ART7" s="225"/>
      <c r="ARU7" s="225"/>
      <c r="ARV7" s="225"/>
      <c r="ARW7" s="225"/>
      <c r="ARX7" s="225"/>
      <c r="ARY7" s="225"/>
      <c r="ARZ7" s="225"/>
      <c r="ASA7" s="225"/>
      <c r="ASB7" s="225"/>
      <c r="ASC7" s="225"/>
      <c r="ASD7" s="225"/>
      <c r="ASE7" s="225"/>
      <c r="ASF7" s="225"/>
      <c r="ASG7" s="225"/>
      <c r="ASH7" s="225"/>
      <c r="ASI7" s="225"/>
      <c r="ASJ7" s="225"/>
      <c r="ASK7" s="225"/>
      <c r="ASL7" s="225"/>
      <c r="ASM7" s="225"/>
      <c r="ASN7" s="225"/>
      <c r="ASO7" s="225"/>
      <c r="ASP7" s="225"/>
      <c r="ASQ7" s="225"/>
      <c r="ASR7" s="225"/>
      <c r="ASS7" s="225"/>
      <c r="AST7" s="225"/>
      <c r="ASU7" s="225"/>
      <c r="ASV7" s="225"/>
      <c r="ASW7" s="225"/>
      <c r="ASX7" s="225"/>
      <c r="ASY7" s="225"/>
      <c r="ASZ7" s="225"/>
      <c r="ATA7" s="225"/>
      <c r="ATB7" s="225"/>
      <c r="ATC7" s="225"/>
      <c r="ATD7" s="225"/>
      <c r="ATE7" s="225"/>
      <c r="ATF7" s="225"/>
      <c r="ATG7" s="225"/>
      <c r="ATH7" s="225"/>
      <c r="ATI7" s="225"/>
      <c r="ATJ7" s="225"/>
      <c r="ATK7" s="225"/>
      <c r="ATL7" s="225"/>
      <c r="ATM7" s="225"/>
      <c r="ATN7" s="225"/>
      <c r="ATO7" s="225"/>
      <c r="ATP7" s="225"/>
      <c r="ATQ7" s="225"/>
      <c r="ATR7" s="225"/>
      <c r="ATS7" s="225"/>
      <c r="ATT7" s="225"/>
      <c r="ATU7" s="225"/>
      <c r="ATV7" s="225"/>
      <c r="ATW7" s="225"/>
      <c r="ATX7" s="225"/>
      <c r="ATY7" s="225"/>
      <c r="ATZ7" s="225"/>
      <c r="AUA7" s="225"/>
      <c r="AUB7" s="225"/>
      <c r="AUC7" s="225"/>
      <c r="AUD7" s="225"/>
      <c r="AUE7" s="225"/>
      <c r="AUF7" s="225"/>
      <c r="AUG7" s="225"/>
      <c r="AUH7" s="225"/>
      <c r="AUI7" s="225"/>
      <c r="AUJ7" s="225"/>
      <c r="AUK7" s="225"/>
      <c r="AUL7" s="225"/>
      <c r="AUM7" s="225"/>
      <c r="AUN7" s="225"/>
      <c r="AUO7" s="225"/>
      <c r="AUP7" s="225"/>
      <c r="AUQ7" s="225"/>
      <c r="AUR7" s="225"/>
      <c r="AUS7" s="225"/>
      <c r="AUT7" s="225"/>
      <c r="AUU7" s="225"/>
      <c r="AUV7" s="225"/>
      <c r="AUW7" s="225"/>
      <c r="AUX7" s="225"/>
      <c r="AUY7" s="225"/>
      <c r="AUZ7" s="225"/>
      <c r="AVA7" s="225"/>
      <c r="AVB7" s="225"/>
      <c r="AVC7" s="225"/>
      <c r="AVD7" s="225"/>
      <c r="AVE7" s="225"/>
      <c r="AVF7" s="225"/>
      <c r="AVG7" s="225"/>
      <c r="AVH7" s="225"/>
      <c r="AVI7" s="225"/>
      <c r="AVJ7" s="225"/>
      <c r="AVK7" s="225"/>
      <c r="AVL7" s="225"/>
      <c r="AVM7" s="225"/>
      <c r="AVN7" s="225"/>
      <c r="AVO7" s="225"/>
      <c r="AVP7" s="225"/>
      <c r="AVQ7" s="225"/>
      <c r="AVR7" s="225"/>
      <c r="AVS7" s="225"/>
      <c r="AVT7" s="225"/>
      <c r="AVU7" s="225"/>
      <c r="AVV7" s="225"/>
      <c r="AVW7" s="225"/>
      <c r="AVX7" s="225"/>
      <c r="AVY7" s="225"/>
      <c r="AVZ7" s="225"/>
      <c r="AWA7" s="225"/>
      <c r="AWB7" s="225"/>
      <c r="AWC7" s="225"/>
      <c r="AWD7" s="225"/>
      <c r="AWE7" s="225"/>
      <c r="AWF7" s="225"/>
      <c r="AWG7" s="225"/>
      <c r="AWH7" s="225"/>
      <c r="AWI7" s="225"/>
      <c r="AWJ7" s="225"/>
      <c r="AWK7" s="225"/>
      <c r="AWL7" s="225"/>
      <c r="AWM7" s="225"/>
      <c r="AWN7" s="225"/>
      <c r="AWO7" s="225"/>
      <c r="AWP7" s="225"/>
      <c r="AWQ7" s="225"/>
      <c r="AWR7" s="225"/>
      <c r="AWS7" s="225"/>
      <c r="AWT7" s="225"/>
      <c r="AWU7" s="225"/>
      <c r="AWV7" s="225"/>
      <c r="AWW7" s="225"/>
      <c r="AWX7" s="225"/>
      <c r="AWY7" s="225"/>
      <c r="AWZ7" s="225"/>
      <c r="AXA7" s="225"/>
      <c r="AXB7" s="225"/>
      <c r="AXC7" s="225"/>
      <c r="AXD7" s="225"/>
      <c r="AXE7" s="225"/>
      <c r="AXF7" s="225"/>
      <c r="AXG7" s="225"/>
      <c r="AXH7" s="225"/>
      <c r="AXI7" s="225"/>
      <c r="AXJ7" s="225"/>
      <c r="AXK7" s="225"/>
      <c r="AXL7" s="225"/>
      <c r="AXM7" s="225"/>
      <c r="AXN7" s="225"/>
      <c r="AXO7" s="225"/>
      <c r="AXP7" s="225"/>
      <c r="AXQ7" s="225"/>
      <c r="AXR7" s="225"/>
      <c r="AXS7" s="225"/>
      <c r="AXT7" s="225"/>
      <c r="AXU7" s="225"/>
      <c r="AXV7" s="225"/>
      <c r="AXW7" s="225"/>
      <c r="AXX7" s="225"/>
      <c r="AXY7" s="225"/>
      <c r="AXZ7" s="225"/>
      <c r="AYA7" s="225"/>
      <c r="AYB7" s="225"/>
      <c r="AYC7" s="225"/>
      <c r="AYD7" s="225"/>
      <c r="AYE7" s="225"/>
      <c r="AYF7" s="225"/>
      <c r="AYG7" s="225"/>
      <c r="AYH7" s="225"/>
      <c r="AYI7" s="225"/>
      <c r="AYJ7" s="225"/>
      <c r="AYK7" s="225"/>
      <c r="AYL7" s="225"/>
      <c r="AYM7" s="225"/>
      <c r="AYN7" s="225"/>
      <c r="AYO7" s="225"/>
      <c r="AYP7" s="225"/>
      <c r="AYQ7" s="225"/>
      <c r="AYR7" s="225"/>
      <c r="AYS7" s="225"/>
      <c r="AYT7" s="225"/>
      <c r="AYU7" s="225"/>
      <c r="AYV7" s="225"/>
      <c r="AYW7" s="225"/>
      <c r="AYX7" s="225"/>
      <c r="AYY7" s="225"/>
      <c r="AYZ7" s="225"/>
      <c r="AZA7" s="225"/>
      <c r="AZB7" s="225"/>
      <c r="AZC7" s="225"/>
      <c r="AZD7" s="225"/>
      <c r="AZE7" s="225"/>
      <c r="AZF7" s="225"/>
      <c r="AZG7" s="225"/>
      <c r="AZH7" s="225"/>
      <c r="AZI7" s="225"/>
      <c r="AZJ7" s="225"/>
      <c r="AZK7" s="225"/>
      <c r="AZL7" s="225"/>
      <c r="AZM7" s="225"/>
      <c r="AZN7" s="225"/>
      <c r="AZO7" s="225"/>
      <c r="AZP7" s="225"/>
      <c r="AZQ7" s="225"/>
      <c r="AZR7" s="225"/>
      <c r="AZS7" s="225"/>
      <c r="AZT7" s="225"/>
      <c r="AZU7" s="225"/>
      <c r="AZV7" s="225"/>
      <c r="AZW7" s="225"/>
      <c r="AZX7" s="225"/>
      <c r="AZY7" s="225"/>
      <c r="AZZ7" s="225"/>
      <c r="BAA7" s="225"/>
      <c r="BAB7" s="225"/>
      <c r="BAC7" s="225"/>
      <c r="BAD7" s="225"/>
      <c r="BAE7" s="225"/>
      <c r="BAF7" s="225"/>
      <c r="BAG7" s="225"/>
      <c r="BAH7" s="225"/>
      <c r="BAI7" s="225"/>
      <c r="BAJ7" s="225"/>
      <c r="BAK7" s="225"/>
      <c r="BAL7" s="225"/>
      <c r="BAM7" s="225"/>
      <c r="BAN7" s="225"/>
      <c r="BAO7" s="225"/>
      <c r="BAP7" s="225"/>
      <c r="BAQ7" s="225"/>
      <c r="BAR7" s="225"/>
      <c r="BAS7" s="225"/>
      <c r="BAT7" s="225"/>
      <c r="BAU7" s="225"/>
      <c r="BAV7" s="225"/>
      <c r="BAW7" s="225"/>
      <c r="BAX7" s="225"/>
      <c r="BAY7" s="225"/>
      <c r="BAZ7" s="225"/>
      <c r="BBA7" s="225"/>
      <c r="BBB7" s="225"/>
      <c r="BBC7" s="225"/>
      <c r="BBD7" s="225"/>
      <c r="BBE7" s="225"/>
      <c r="BBF7" s="225"/>
      <c r="BBG7" s="225"/>
      <c r="BBH7" s="225"/>
      <c r="BBI7" s="225"/>
      <c r="BBJ7" s="225"/>
      <c r="BBK7" s="225"/>
      <c r="BBL7" s="225"/>
      <c r="BBM7" s="225"/>
      <c r="BBN7" s="225"/>
      <c r="BBO7" s="225"/>
      <c r="BBP7" s="225"/>
      <c r="BBQ7" s="225"/>
      <c r="BBR7" s="225"/>
      <c r="BBS7" s="225"/>
      <c r="BBT7" s="225"/>
      <c r="BBU7" s="225"/>
      <c r="BBV7" s="225"/>
      <c r="BBW7" s="225"/>
      <c r="BBX7" s="225"/>
      <c r="BBY7" s="225"/>
      <c r="BBZ7" s="225"/>
      <c r="BCA7" s="225"/>
      <c r="BCB7" s="225"/>
      <c r="BCC7" s="225"/>
      <c r="BCD7" s="225"/>
      <c r="BCE7" s="225"/>
      <c r="BCF7" s="225"/>
      <c r="BCG7" s="225"/>
      <c r="BCH7" s="225"/>
      <c r="BCI7" s="225"/>
      <c r="BCJ7" s="225"/>
      <c r="BCK7" s="225"/>
      <c r="BCL7" s="225"/>
      <c r="BCM7" s="225"/>
      <c r="BCN7" s="225"/>
      <c r="BCO7" s="225"/>
      <c r="BCP7" s="225"/>
      <c r="BCQ7" s="225"/>
      <c r="BCR7" s="225"/>
      <c r="BCS7" s="225"/>
      <c r="BCT7" s="225"/>
      <c r="BCU7" s="225"/>
      <c r="BCV7" s="225"/>
      <c r="BCW7" s="225"/>
      <c r="BCX7" s="225"/>
      <c r="BCY7" s="225"/>
      <c r="BCZ7" s="225"/>
      <c r="BDA7" s="225"/>
      <c r="BDB7" s="225"/>
      <c r="BDC7" s="225"/>
      <c r="BDD7" s="225"/>
      <c r="BDE7" s="225"/>
      <c r="BDF7" s="225"/>
      <c r="BDG7" s="225"/>
      <c r="BDH7" s="225"/>
      <c r="BDI7" s="225"/>
      <c r="BDJ7" s="225"/>
      <c r="BDK7" s="225"/>
      <c r="BDL7" s="225"/>
      <c r="BDM7" s="225"/>
      <c r="BDN7" s="225"/>
      <c r="BDO7" s="225"/>
      <c r="BDP7" s="225"/>
      <c r="BDQ7" s="225"/>
      <c r="BDR7" s="225"/>
      <c r="BDS7" s="225"/>
      <c r="BDT7" s="225"/>
      <c r="BDU7" s="225"/>
      <c r="BDV7" s="225"/>
      <c r="BDW7" s="225"/>
      <c r="BDX7" s="225"/>
      <c r="BDY7" s="225"/>
      <c r="BDZ7" s="225"/>
      <c r="BEA7" s="225"/>
      <c r="BEB7" s="225"/>
      <c r="BEC7" s="225"/>
      <c r="BED7" s="225"/>
      <c r="BEE7" s="225"/>
      <c r="BEF7" s="225"/>
      <c r="BEG7" s="225"/>
      <c r="BEH7" s="225"/>
      <c r="BEI7" s="225"/>
      <c r="BEJ7" s="225"/>
      <c r="BEK7" s="225"/>
      <c r="BEL7" s="225"/>
      <c r="BEM7" s="225"/>
      <c r="BEN7" s="225"/>
      <c r="BEO7" s="225"/>
      <c r="BEP7" s="225"/>
      <c r="BEQ7" s="225"/>
      <c r="BER7" s="225"/>
      <c r="BES7" s="225"/>
      <c r="BET7" s="225"/>
      <c r="BEU7" s="225"/>
      <c r="BEV7" s="225"/>
      <c r="BEW7" s="225"/>
      <c r="BEX7" s="225"/>
      <c r="BEY7" s="225"/>
      <c r="BEZ7" s="225"/>
      <c r="BFA7" s="225"/>
      <c r="BFB7" s="225"/>
      <c r="BFC7" s="225"/>
      <c r="BFD7" s="225"/>
      <c r="BFE7" s="225"/>
      <c r="BFF7" s="225"/>
      <c r="BFG7" s="225"/>
      <c r="BFH7" s="225"/>
      <c r="BFI7" s="225"/>
      <c r="BFJ7" s="225"/>
      <c r="BFK7" s="225"/>
      <c r="BFL7" s="225"/>
      <c r="BFM7" s="225"/>
      <c r="BFN7" s="225"/>
      <c r="BFO7" s="225"/>
      <c r="BFP7" s="225"/>
      <c r="BFQ7" s="225"/>
      <c r="BFR7" s="225"/>
      <c r="BFS7" s="225"/>
      <c r="BFT7" s="225"/>
      <c r="BFU7" s="225"/>
      <c r="BFV7" s="225"/>
      <c r="BFW7" s="225"/>
      <c r="BFX7" s="225"/>
      <c r="BFY7" s="225"/>
      <c r="BFZ7" s="225"/>
      <c r="BGA7" s="225"/>
      <c r="BGB7" s="225"/>
      <c r="BGC7" s="225"/>
      <c r="BGD7" s="225"/>
      <c r="BGE7" s="225"/>
      <c r="BGF7" s="225"/>
      <c r="BGG7" s="225"/>
      <c r="BGH7" s="225"/>
      <c r="BGI7" s="225"/>
      <c r="BGJ7" s="225"/>
      <c r="BGK7" s="225"/>
      <c r="BGL7" s="225"/>
      <c r="BGM7" s="225"/>
      <c r="BGN7" s="225"/>
      <c r="BGO7" s="225"/>
      <c r="BGP7" s="225"/>
      <c r="BGQ7" s="225"/>
      <c r="BGR7" s="225"/>
      <c r="BGS7" s="225"/>
      <c r="BGT7" s="225"/>
      <c r="BGU7" s="225"/>
      <c r="BGV7" s="225"/>
      <c r="BGW7" s="225"/>
      <c r="BGX7" s="225"/>
      <c r="BGY7" s="225"/>
      <c r="BGZ7" s="225"/>
      <c r="BHA7" s="225"/>
      <c r="BHB7" s="225"/>
      <c r="BHC7" s="225"/>
      <c r="BHD7" s="225"/>
      <c r="BHE7" s="225"/>
      <c r="BHF7" s="225"/>
      <c r="BHG7" s="225"/>
      <c r="BHH7" s="225"/>
      <c r="BHI7" s="225"/>
      <c r="BHJ7" s="225"/>
      <c r="BHK7" s="225"/>
      <c r="BHL7" s="225"/>
      <c r="BHM7" s="225"/>
      <c r="BHN7" s="225"/>
      <c r="BHO7" s="225"/>
      <c r="BHP7" s="225"/>
      <c r="BHQ7" s="225"/>
      <c r="BHR7" s="225"/>
      <c r="BHS7" s="225"/>
      <c r="BHT7" s="225"/>
      <c r="BHU7" s="225"/>
      <c r="BHV7" s="225"/>
      <c r="BHW7" s="225"/>
      <c r="BHX7" s="225"/>
      <c r="BHY7" s="225"/>
      <c r="BHZ7" s="225"/>
      <c r="BIA7" s="225"/>
      <c r="BIB7" s="225"/>
      <c r="BIC7" s="225"/>
      <c r="BID7" s="225"/>
      <c r="BIE7" s="225"/>
      <c r="BIF7" s="225"/>
      <c r="BIG7" s="225"/>
      <c r="BIH7" s="225"/>
      <c r="BII7" s="225"/>
      <c r="BIJ7" s="225"/>
      <c r="BIK7" s="225"/>
      <c r="BIL7" s="225"/>
      <c r="BIM7" s="225"/>
      <c r="BIN7" s="225"/>
      <c r="BIO7" s="225"/>
      <c r="BIP7" s="225"/>
      <c r="BIQ7" s="225"/>
      <c r="BIR7" s="225"/>
      <c r="BIS7" s="225"/>
      <c r="BIT7" s="225"/>
      <c r="BIU7" s="225"/>
      <c r="BIV7" s="225"/>
      <c r="BIW7" s="225"/>
      <c r="BIX7" s="225"/>
      <c r="BIY7" s="225"/>
      <c r="BIZ7" s="225"/>
      <c r="BJA7" s="225"/>
      <c r="BJB7" s="225"/>
      <c r="BJC7" s="225"/>
      <c r="BJD7" s="225"/>
      <c r="BJE7" s="225"/>
      <c r="BJF7" s="225"/>
      <c r="BJG7" s="225"/>
      <c r="BJH7" s="225"/>
      <c r="BJI7" s="225"/>
      <c r="BJJ7" s="225"/>
      <c r="BJK7" s="225"/>
      <c r="BJL7" s="225"/>
      <c r="BJM7" s="225"/>
      <c r="BJN7" s="225"/>
      <c r="BJO7" s="225"/>
      <c r="BJP7" s="225"/>
      <c r="BJQ7" s="225"/>
      <c r="BJR7" s="225"/>
      <c r="BJS7" s="225"/>
      <c r="BJT7" s="225"/>
      <c r="BJU7" s="225"/>
      <c r="BJV7" s="225"/>
      <c r="BJW7" s="225"/>
      <c r="BJX7" s="225"/>
      <c r="BJY7" s="225"/>
      <c r="BJZ7" s="225"/>
      <c r="BKA7" s="225"/>
      <c r="BKB7" s="225"/>
      <c r="BKC7" s="225"/>
      <c r="BKD7" s="225"/>
      <c r="BKE7" s="225"/>
      <c r="BKF7" s="225"/>
      <c r="BKG7" s="225"/>
      <c r="BKH7" s="225"/>
      <c r="BKI7" s="225"/>
      <c r="BKJ7" s="225"/>
      <c r="BKK7" s="225"/>
      <c r="BKL7" s="225"/>
      <c r="BKM7" s="225"/>
      <c r="BKN7" s="225"/>
      <c r="BKO7" s="225"/>
      <c r="BKP7" s="225"/>
      <c r="BKQ7" s="225"/>
      <c r="BKR7" s="225"/>
      <c r="BKS7" s="225"/>
      <c r="BKT7" s="225"/>
      <c r="BKU7" s="225"/>
      <c r="BKV7" s="225"/>
      <c r="BKW7" s="225"/>
      <c r="BKX7" s="225"/>
      <c r="BKY7" s="225"/>
      <c r="BKZ7" s="225"/>
      <c r="BLA7" s="225"/>
      <c r="BLB7" s="225"/>
      <c r="BLC7" s="225"/>
      <c r="BLD7" s="225"/>
      <c r="BLE7" s="225"/>
      <c r="BLF7" s="225"/>
      <c r="BLG7" s="225"/>
      <c r="BLH7" s="225"/>
      <c r="BLI7" s="225"/>
      <c r="BLJ7" s="225"/>
      <c r="BLK7" s="225"/>
      <c r="BLL7" s="225"/>
      <c r="BLM7" s="225"/>
      <c r="BLN7" s="225"/>
      <c r="BLO7" s="225"/>
      <c r="BLP7" s="225"/>
      <c r="BLQ7" s="225"/>
      <c r="BLR7" s="225"/>
      <c r="BLS7" s="225"/>
      <c r="BLT7" s="225"/>
      <c r="BLU7" s="225"/>
      <c r="BLV7" s="225"/>
      <c r="BLW7" s="225"/>
      <c r="BLX7" s="225"/>
      <c r="BLY7" s="225"/>
      <c r="BLZ7" s="225"/>
      <c r="BMA7" s="225"/>
      <c r="BMB7" s="225"/>
      <c r="BMC7" s="225"/>
      <c r="BMD7" s="225"/>
      <c r="BME7" s="225"/>
      <c r="BMF7" s="225"/>
      <c r="BMG7" s="225"/>
      <c r="BMH7" s="225"/>
      <c r="BMI7" s="225"/>
      <c r="BMJ7" s="225"/>
      <c r="BMK7" s="225"/>
      <c r="BML7" s="225"/>
      <c r="BMM7" s="225"/>
      <c r="BMN7" s="225"/>
      <c r="BMO7" s="225"/>
      <c r="BMP7" s="225"/>
      <c r="BMQ7" s="225"/>
      <c r="BMR7" s="225"/>
      <c r="BMS7" s="225"/>
      <c r="BMT7" s="225"/>
      <c r="BMU7" s="225"/>
      <c r="BMV7" s="225"/>
      <c r="BMW7" s="225"/>
      <c r="BMX7" s="225"/>
      <c r="BMY7" s="225"/>
      <c r="BMZ7" s="225"/>
      <c r="BNA7" s="225"/>
      <c r="BNB7" s="225"/>
      <c r="BNC7" s="225"/>
      <c r="BND7" s="225"/>
      <c r="BNE7" s="225"/>
      <c r="BNF7" s="225"/>
      <c r="BNG7" s="225"/>
      <c r="BNH7" s="225"/>
      <c r="BNI7" s="225"/>
      <c r="BNJ7" s="225"/>
      <c r="BNK7" s="225"/>
      <c r="BNL7" s="225"/>
      <c r="BNM7" s="225"/>
      <c r="BNN7" s="225"/>
      <c r="BNO7" s="225"/>
      <c r="BNP7" s="225"/>
      <c r="BNQ7" s="225"/>
      <c r="BNR7" s="225"/>
      <c r="BNS7" s="225"/>
      <c r="BNT7" s="225"/>
      <c r="BNU7" s="225"/>
      <c r="BNV7" s="225"/>
      <c r="BNW7" s="225"/>
      <c r="BNX7" s="225"/>
      <c r="BNY7" s="225"/>
      <c r="BNZ7" s="225"/>
      <c r="BOA7" s="225"/>
      <c r="BOB7" s="225"/>
      <c r="BOC7" s="225"/>
      <c r="BOD7" s="225"/>
      <c r="BOE7" s="225"/>
      <c r="BOF7" s="225"/>
      <c r="BOG7" s="225"/>
      <c r="BOH7" s="225"/>
      <c r="BOI7" s="225"/>
      <c r="BOJ7" s="225"/>
      <c r="BOK7" s="225"/>
      <c r="BOL7" s="225"/>
      <c r="BOM7" s="225"/>
      <c r="BON7" s="225"/>
      <c r="BOO7" s="225"/>
      <c r="BOP7" s="225"/>
      <c r="BOQ7" s="225"/>
      <c r="BOR7" s="225"/>
      <c r="BOS7" s="225"/>
      <c r="BOT7" s="225"/>
      <c r="BOU7" s="225"/>
      <c r="BOV7" s="225"/>
      <c r="BOW7" s="225"/>
      <c r="BOX7" s="225"/>
      <c r="BOY7" s="225"/>
      <c r="BOZ7" s="225"/>
      <c r="BPA7" s="225"/>
      <c r="BPB7" s="225"/>
      <c r="BPC7" s="225"/>
      <c r="BPD7" s="225"/>
      <c r="BPE7" s="225"/>
      <c r="BPF7" s="225"/>
      <c r="BPG7" s="225"/>
      <c r="BPH7" s="225"/>
      <c r="BPI7" s="225"/>
      <c r="BPJ7" s="225"/>
      <c r="BPK7" s="225"/>
      <c r="BPL7" s="225"/>
      <c r="BPM7" s="225"/>
      <c r="BPN7" s="225"/>
      <c r="BPO7" s="225"/>
      <c r="BPP7" s="225"/>
      <c r="BPQ7" s="225"/>
      <c r="BPR7" s="225"/>
      <c r="BPS7" s="225"/>
      <c r="BPT7" s="225"/>
      <c r="BPU7" s="225"/>
      <c r="BPV7" s="225"/>
      <c r="BPW7" s="225"/>
      <c r="BPX7" s="225"/>
      <c r="BPY7" s="225"/>
      <c r="BPZ7" s="225"/>
      <c r="BQA7" s="225"/>
      <c r="BQB7" s="225"/>
      <c r="BQC7" s="225"/>
      <c r="BQD7" s="225"/>
      <c r="BQE7" s="225"/>
      <c r="BQF7" s="225"/>
      <c r="BQG7" s="225"/>
      <c r="BQH7" s="225"/>
      <c r="BQI7" s="225"/>
      <c r="BQJ7" s="225"/>
      <c r="BQK7" s="225"/>
      <c r="BQL7" s="225"/>
      <c r="BQM7" s="225"/>
      <c r="BQN7" s="225"/>
      <c r="BQO7" s="225"/>
      <c r="BQP7" s="225"/>
      <c r="BQQ7" s="225"/>
      <c r="BQR7" s="225"/>
      <c r="BQS7" s="225"/>
      <c r="BQT7" s="225"/>
      <c r="BQU7" s="225"/>
      <c r="BQV7" s="225"/>
      <c r="BQW7" s="225"/>
      <c r="BQX7" s="225"/>
      <c r="BQY7" s="225"/>
      <c r="BQZ7" s="225"/>
      <c r="BRA7" s="225"/>
      <c r="BRB7" s="225"/>
      <c r="BRC7" s="225"/>
      <c r="BRD7" s="225"/>
      <c r="BRE7" s="225"/>
      <c r="BRF7" s="225"/>
      <c r="BRG7" s="225"/>
      <c r="BRH7" s="225"/>
      <c r="BRI7" s="225"/>
      <c r="BRJ7" s="225"/>
      <c r="BRK7" s="225"/>
      <c r="BRL7" s="225"/>
      <c r="BRM7" s="225"/>
      <c r="BRN7" s="225"/>
      <c r="BRO7" s="225"/>
      <c r="BRP7" s="225"/>
      <c r="BRQ7" s="225"/>
      <c r="BRR7" s="225"/>
      <c r="BRS7" s="225"/>
      <c r="BRT7" s="225"/>
      <c r="BRU7" s="225"/>
      <c r="BRV7" s="225"/>
      <c r="BRW7" s="225"/>
      <c r="BRX7" s="225"/>
      <c r="BRY7" s="225"/>
      <c r="BRZ7" s="225"/>
      <c r="BSA7" s="225"/>
      <c r="BSB7" s="225"/>
      <c r="BSC7" s="225"/>
      <c r="BSD7" s="225"/>
      <c r="BSE7" s="225"/>
      <c r="BSF7" s="225"/>
      <c r="BSG7" s="225"/>
      <c r="BSH7" s="225"/>
      <c r="BSI7" s="225"/>
      <c r="BSJ7" s="225"/>
      <c r="BSK7" s="225"/>
      <c r="BSL7" s="225"/>
      <c r="BSM7" s="225"/>
      <c r="BSN7" s="225"/>
      <c r="BSO7" s="225"/>
      <c r="BSP7" s="225"/>
      <c r="BSQ7" s="225"/>
      <c r="BSR7" s="225"/>
      <c r="BSS7" s="225"/>
      <c r="BST7" s="225"/>
      <c r="BSU7" s="225"/>
      <c r="BSV7" s="225"/>
      <c r="BSW7" s="225"/>
      <c r="BSX7" s="225"/>
      <c r="BSY7" s="225"/>
      <c r="BSZ7" s="225"/>
      <c r="BTA7" s="225"/>
      <c r="BTB7" s="225"/>
      <c r="BTC7" s="225"/>
      <c r="BTD7" s="225"/>
      <c r="BTE7" s="225"/>
      <c r="BTF7" s="225"/>
      <c r="BTG7" s="225"/>
      <c r="BTH7" s="225"/>
      <c r="BTI7" s="225"/>
      <c r="BTJ7" s="225"/>
      <c r="BTK7" s="225"/>
      <c r="BTL7" s="225"/>
      <c r="BTM7" s="225"/>
      <c r="BTN7" s="225"/>
      <c r="BTO7" s="225"/>
      <c r="BTP7" s="225"/>
      <c r="BTQ7" s="225"/>
      <c r="BTR7" s="225"/>
      <c r="BTS7" s="225"/>
      <c r="BTT7" s="225"/>
      <c r="BTU7" s="225"/>
      <c r="BTV7" s="225"/>
      <c r="BTW7" s="225"/>
      <c r="BTX7" s="225"/>
      <c r="BTY7" s="225"/>
      <c r="BTZ7" s="225"/>
      <c r="BUA7" s="225"/>
      <c r="BUB7" s="225"/>
      <c r="BUC7" s="225"/>
      <c r="BUD7" s="225"/>
      <c r="BUE7" s="225"/>
      <c r="BUF7" s="225"/>
      <c r="BUG7" s="225"/>
      <c r="BUH7" s="225"/>
      <c r="BUI7" s="225"/>
      <c r="BUJ7" s="225"/>
      <c r="BUK7" s="225"/>
      <c r="BUL7" s="225"/>
      <c r="BUM7" s="225"/>
      <c r="BUN7" s="225"/>
      <c r="BUO7" s="225"/>
      <c r="BUP7" s="225"/>
      <c r="BUQ7" s="225"/>
      <c r="BUR7" s="225"/>
      <c r="BUS7" s="225"/>
      <c r="BUT7" s="225"/>
      <c r="BUU7" s="225"/>
      <c r="BUV7" s="225"/>
      <c r="BUW7" s="225"/>
      <c r="BUX7" s="225"/>
      <c r="BUY7" s="225"/>
      <c r="BUZ7" s="225"/>
      <c r="BVA7" s="225"/>
      <c r="BVB7" s="225"/>
      <c r="BVC7" s="225"/>
      <c r="BVD7" s="225"/>
      <c r="BVE7" s="225"/>
      <c r="BVF7" s="225"/>
      <c r="BVG7" s="225"/>
      <c r="BVH7" s="225"/>
      <c r="BVI7" s="225"/>
      <c r="BVJ7" s="225"/>
      <c r="BVK7" s="225"/>
      <c r="BVL7" s="225"/>
      <c r="BVM7" s="225"/>
      <c r="BVN7" s="225"/>
      <c r="BVO7" s="225"/>
      <c r="BVP7" s="225"/>
      <c r="BVQ7" s="225"/>
      <c r="BVR7" s="225"/>
      <c r="BVS7" s="225"/>
      <c r="BVT7" s="225"/>
      <c r="BVU7" s="225"/>
      <c r="BVV7" s="225"/>
      <c r="BVW7" s="225"/>
      <c r="BVX7" s="225"/>
      <c r="BVY7" s="225"/>
      <c r="BVZ7" s="225"/>
      <c r="BWA7" s="225"/>
      <c r="BWB7" s="225"/>
      <c r="BWC7" s="225"/>
      <c r="BWD7" s="225"/>
      <c r="BWE7" s="225"/>
      <c r="BWF7" s="225"/>
      <c r="BWG7" s="225"/>
      <c r="BWH7" s="225"/>
      <c r="BWI7" s="225"/>
      <c r="BWJ7" s="225"/>
      <c r="BWK7" s="225"/>
      <c r="BWL7" s="225"/>
      <c r="BWM7" s="225"/>
      <c r="BWN7" s="225"/>
      <c r="BWO7" s="225"/>
      <c r="BWP7" s="225"/>
      <c r="BWQ7" s="225"/>
      <c r="BWR7" s="225"/>
      <c r="BWS7" s="225"/>
      <c r="BWT7" s="225"/>
      <c r="BWU7" s="225"/>
      <c r="BWV7" s="225"/>
      <c r="BWW7" s="225"/>
      <c r="BWX7" s="225"/>
      <c r="BWY7" s="225"/>
      <c r="BWZ7" s="225"/>
      <c r="BXA7" s="225"/>
      <c r="BXB7" s="225"/>
      <c r="BXC7" s="225"/>
      <c r="BXD7" s="225"/>
      <c r="BXE7" s="225"/>
      <c r="BXF7" s="225"/>
      <c r="BXG7" s="225"/>
      <c r="BXH7" s="225"/>
      <c r="BXI7" s="225"/>
      <c r="BXJ7" s="225"/>
      <c r="BXK7" s="225"/>
      <c r="BXL7" s="225"/>
      <c r="BXM7" s="225"/>
      <c r="BXN7" s="225"/>
      <c r="BXO7" s="225"/>
      <c r="BXP7" s="225"/>
      <c r="BXQ7" s="225"/>
      <c r="BXR7" s="225"/>
      <c r="BXS7" s="225"/>
      <c r="BXT7" s="225"/>
      <c r="BXU7" s="225"/>
      <c r="BXV7" s="225"/>
      <c r="BXW7" s="225"/>
      <c r="BXX7" s="225"/>
      <c r="BXY7" s="225"/>
      <c r="BXZ7" s="225"/>
      <c r="BYA7" s="225"/>
      <c r="BYB7" s="225"/>
      <c r="BYC7" s="225"/>
      <c r="BYD7" s="225"/>
      <c r="BYE7" s="225"/>
      <c r="BYF7" s="225"/>
      <c r="BYG7" s="225"/>
      <c r="BYH7" s="225"/>
      <c r="BYI7" s="225"/>
      <c r="BYJ7" s="225"/>
      <c r="BYK7" s="225"/>
      <c r="BYL7" s="225"/>
      <c r="BYM7" s="225"/>
      <c r="BYN7" s="225"/>
      <c r="BYO7" s="225"/>
      <c r="BYP7" s="225"/>
      <c r="BYQ7" s="225"/>
      <c r="BYR7" s="225"/>
      <c r="BYS7" s="225"/>
      <c r="BYT7" s="225"/>
      <c r="BYU7" s="225"/>
      <c r="BYV7" s="225"/>
      <c r="BYW7" s="225"/>
      <c r="BYX7" s="225"/>
      <c r="BYY7" s="225"/>
      <c r="BYZ7" s="225"/>
      <c r="BZA7" s="225"/>
      <c r="BZB7" s="225"/>
      <c r="BZC7" s="225"/>
      <c r="BZD7" s="225"/>
      <c r="BZE7" s="225"/>
      <c r="BZF7" s="225"/>
      <c r="BZG7" s="225"/>
      <c r="BZH7" s="225"/>
      <c r="BZI7" s="225"/>
      <c r="BZJ7" s="225"/>
      <c r="BZK7" s="225"/>
      <c r="BZL7" s="225"/>
      <c r="BZM7" s="225"/>
      <c r="BZN7" s="225"/>
      <c r="BZO7" s="225"/>
      <c r="BZP7" s="225"/>
      <c r="BZQ7" s="225"/>
      <c r="BZR7" s="225"/>
      <c r="BZS7" s="225"/>
      <c r="BZT7" s="225"/>
      <c r="BZU7" s="225"/>
      <c r="BZV7" s="225"/>
      <c r="BZW7" s="225"/>
      <c r="BZX7" s="225"/>
      <c r="BZY7" s="225"/>
      <c r="BZZ7" s="225"/>
      <c r="CAA7" s="225"/>
      <c r="CAB7" s="225"/>
      <c r="CAC7" s="225"/>
      <c r="CAD7" s="225"/>
      <c r="CAE7" s="225"/>
      <c r="CAF7" s="225"/>
      <c r="CAG7" s="225"/>
      <c r="CAH7" s="225"/>
      <c r="CAI7" s="225"/>
      <c r="CAJ7" s="225"/>
      <c r="CAK7" s="225"/>
      <c r="CAL7" s="225"/>
      <c r="CAM7" s="225"/>
      <c r="CAN7" s="225"/>
      <c r="CAO7" s="225"/>
      <c r="CAP7" s="225"/>
      <c r="CAQ7" s="225"/>
      <c r="CAR7" s="225"/>
      <c r="CAS7" s="225"/>
      <c r="CAT7" s="225"/>
      <c r="CAU7" s="225"/>
      <c r="CAV7" s="225"/>
      <c r="CAW7" s="225"/>
      <c r="CAX7" s="225"/>
      <c r="CAY7" s="225"/>
      <c r="CAZ7" s="225"/>
      <c r="CBA7" s="225"/>
      <c r="CBB7" s="225"/>
      <c r="CBC7" s="225"/>
      <c r="CBD7" s="225"/>
      <c r="CBE7" s="225"/>
      <c r="CBF7" s="225"/>
      <c r="CBG7" s="225"/>
      <c r="CBH7" s="225"/>
      <c r="CBI7" s="225"/>
      <c r="CBJ7" s="225"/>
      <c r="CBK7" s="225"/>
      <c r="CBL7" s="225"/>
      <c r="CBM7" s="225"/>
      <c r="CBN7" s="225"/>
      <c r="CBO7" s="225"/>
      <c r="CBP7" s="225"/>
      <c r="CBQ7" s="225"/>
      <c r="CBR7" s="225"/>
      <c r="CBS7" s="225"/>
      <c r="CBT7" s="225"/>
      <c r="CBU7" s="225"/>
      <c r="CBV7" s="225"/>
      <c r="CBW7" s="225"/>
      <c r="CBX7" s="225"/>
      <c r="CBY7" s="225"/>
      <c r="CBZ7" s="225"/>
      <c r="CCA7" s="225"/>
      <c r="CCB7" s="225"/>
      <c r="CCC7" s="225"/>
      <c r="CCD7" s="225"/>
      <c r="CCE7" s="225"/>
      <c r="CCF7" s="225"/>
      <c r="CCG7" s="225"/>
      <c r="CCH7" s="225"/>
      <c r="CCI7" s="225"/>
      <c r="CCJ7" s="225"/>
      <c r="CCK7" s="225"/>
      <c r="CCL7" s="225"/>
      <c r="CCM7" s="225"/>
      <c r="CCN7" s="225"/>
      <c r="CCO7" s="225"/>
      <c r="CCP7" s="225"/>
      <c r="CCQ7" s="225"/>
      <c r="CCR7" s="225"/>
      <c r="CCS7" s="225"/>
      <c r="CCT7" s="225"/>
      <c r="CCU7" s="225"/>
      <c r="CCV7" s="225"/>
      <c r="CCW7" s="225"/>
      <c r="CCX7" s="225"/>
      <c r="CCY7" s="225"/>
      <c r="CCZ7" s="225"/>
      <c r="CDA7" s="225"/>
      <c r="CDB7" s="225"/>
      <c r="CDC7" s="225"/>
      <c r="CDD7" s="225"/>
      <c r="CDE7" s="225"/>
      <c r="CDF7" s="225"/>
      <c r="CDG7" s="225"/>
      <c r="CDH7" s="225"/>
      <c r="CDI7" s="225"/>
      <c r="CDJ7" s="225"/>
      <c r="CDK7" s="225"/>
      <c r="CDL7" s="225"/>
      <c r="CDM7" s="225"/>
      <c r="CDN7" s="225"/>
      <c r="CDO7" s="225"/>
      <c r="CDP7" s="225"/>
      <c r="CDQ7" s="225"/>
      <c r="CDR7" s="225"/>
      <c r="CDS7" s="225"/>
      <c r="CDT7" s="225"/>
      <c r="CDU7" s="225"/>
      <c r="CDV7" s="225"/>
      <c r="CDW7" s="225"/>
      <c r="CDX7" s="225"/>
      <c r="CDY7" s="225"/>
      <c r="CDZ7" s="225"/>
      <c r="CEA7" s="225"/>
      <c r="CEB7" s="225"/>
      <c r="CEC7" s="225"/>
      <c r="CED7" s="225"/>
      <c r="CEE7" s="225"/>
      <c r="CEF7" s="225"/>
      <c r="CEG7" s="225"/>
      <c r="CEH7" s="225"/>
      <c r="CEI7" s="225"/>
      <c r="CEJ7" s="225"/>
      <c r="CEK7" s="225"/>
      <c r="CEL7" s="225"/>
      <c r="CEM7" s="225"/>
      <c r="CEN7" s="225"/>
      <c r="CEO7" s="225"/>
      <c r="CEP7" s="225"/>
      <c r="CEQ7" s="225"/>
      <c r="CER7" s="225"/>
      <c r="CES7" s="225"/>
      <c r="CET7" s="225"/>
      <c r="CEU7" s="225"/>
      <c r="CEV7" s="225"/>
      <c r="CEW7" s="225"/>
      <c r="CEX7" s="225"/>
      <c r="CEY7" s="225"/>
      <c r="CEZ7" s="225"/>
      <c r="CFA7" s="225"/>
      <c r="CFB7" s="225"/>
      <c r="CFC7" s="225"/>
      <c r="CFD7" s="225"/>
      <c r="CFE7" s="225"/>
      <c r="CFF7" s="225"/>
      <c r="CFG7" s="225"/>
      <c r="CFH7" s="225"/>
      <c r="CFI7" s="225"/>
      <c r="CFJ7" s="225"/>
      <c r="CFK7" s="225"/>
      <c r="CFL7" s="225"/>
      <c r="CFM7" s="225"/>
      <c r="CFN7" s="225"/>
      <c r="CFO7" s="225"/>
      <c r="CFP7" s="225"/>
      <c r="CFQ7" s="225"/>
      <c r="CFR7" s="225"/>
      <c r="CFS7" s="225"/>
      <c r="CFT7" s="225"/>
      <c r="CFU7" s="225"/>
      <c r="CFV7" s="225"/>
      <c r="CFW7" s="225"/>
      <c r="CFX7" s="225"/>
      <c r="CFY7" s="225"/>
      <c r="CFZ7" s="225"/>
      <c r="CGA7" s="225"/>
      <c r="CGB7" s="225"/>
      <c r="CGC7" s="225"/>
      <c r="CGD7" s="225"/>
      <c r="CGE7" s="225"/>
      <c r="CGF7" s="225"/>
      <c r="CGG7" s="225"/>
      <c r="CGH7" s="225"/>
      <c r="CGI7" s="225"/>
      <c r="CGJ7" s="225"/>
      <c r="CGK7" s="225"/>
      <c r="CGL7" s="225"/>
      <c r="CGM7" s="225"/>
      <c r="CGN7" s="225"/>
      <c r="CGO7" s="225"/>
      <c r="CGP7" s="225"/>
      <c r="CGQ7" s="225"/>
      <c r="CGR7" s="225"/>
      <c r="CGS7" s="225"/>
      <c r="CGT7" s="225"/>
      <c r="CGU7" s="225"/>
      <c r="CGV7" s="225"/>
      <c r="CGW7" s="225"/>
      <c r="CGX7" s="225"/>
      <c r="CGY7" s="225"/>
      <c r="CGZ7" s="225"/>
      <c r="CHA7" s="225"/>
      <c r="CHB7" s="225"/>
      <c r="CHC7" s="225"/>
      <c r="CHD7" s="225"/>
      <c r="CHE7" s="225"/>
      <c r="CHF7" s="225"/>
      <c r="CHG7" s="225"/>
      <c r="CHH7" s="225"/>
      <c r="CHI7" s="225"/>
      <c r="CHJ7" s="225"/>
      <c r="CHK7" s="225"/>
      <c r="CHL7" s="225"/>
      <c r="CHM7" s="225"/>
      <c r="CHN7" s="225"/>
      <c r="CHO7" s="225"/>
      <c r="CHP7" s="225"/>
      <c r="CHQ7" s="225"/>
      <c r="CHR7" s="225"/>
      <c r="CHS7" s="225"/>
      <c r="CHT7" s="225"/>
      <c r="CHU7" s="225"/>
      <c r="CHV7" s="225"/>
      <c r="CHW7" s="225"/>
      <c r="CHX7" s="225"/>
      <c r="CHY7" s="225"/>
      <c r="CHZ7" s="225"/>
      <c r="CIA7" s="225"/>
      <c r="CIB7" s="225"/>
      <c r="CIC7" s="225"/>
      <c r="CID7" s="225"/>
      <c r="CIE7" s="225"/>
      <c r="CIF7" s="225"/>
      <c r="CIG7" s="225"/>
      <c r="CIH7" s="225"/>
      <c r="CII7" s="225"/>
      <c r="CIJ7" s="225"/>
      <c r="CIK7" s="225"/>
      <c r="CIL7" s="225"/>
      <c r="CIM7" s="225"/>
      <c r="CIN7" s="225"/>
      <c r="CIO7" s="225"/>
      <c r="CIP7" s="225"/>
      <c r="CIQ7" s="225"/>
      <c r="CIR7" s="225"/>
      <c r="CIS7" s="225"/>
      <c r="CIT7" s="225"/>
      <c r="CIU7" s="225"/>
      <c r="CIV7" s="225"/>
      <c r="CIW7" s="225"/>
      <c r="CIX7" s="225"/>
      <c r="CIY7" s="225"/>
      <c r="CIZ7" s="225"/>
      <c r="CJA7" s="225"/>
      <c r="CJB7" s="225"/>
      <c r="CJC7" s="225"/>
      <c r="CJD7" s="225"/>
      <c r="CJE7" s="225"/>
      <c r="CJF7" s="225"/>
      <c r="CJG7" s="225"/>
      <c r="CJH7" s="225"/>
      <c r="CJI7" s="225"/>
      <c r="CJJ7" s="225"/>
      <c r="CJK7" s="225"/>
      <c r="CJL7" s="225"/>
      <c r="CJM7" s="225"/>
      <c r="CJN7" s="225"/>
      <c r="CJO7" s="225"/>
      <c r="CJP7" s="225"/>
      <c r="CJQ7" s="225"/>
      <c r="CJR7" s="225"/>
      <c r="CJS7" s="225"/>
      <c r="CJT7" s="225"/>
      <c r="CJU7" s="225"/>
      <c r="CJV7" s="225"/>
      <c r="CJW7" s="225"/>
      <c r="CJX7" s="225"/>
      <c r="CJY7" s="225"/>
      <c r="CJZ7" s="225"/>
      <c r="CKA7" s="225"/>
      <c r="CKB7" s="225"/>
      <c r="CKC7" s="225"/>
      <c r="CKD7" s="225"/>
      <c r="CKE7" s="225"/>
      <c r="CKF7" s="225"/>
      <c r="CKG7" s="225"/>
      <c r="CKH7" s="225"/>
      <c r="CKI7" s="225"/>
      <c r="CKJ7" s="225"/>
      <c r="CKK7" s="225"/>
      <c r="CKL7" s="225"/>
      <c r="CKM7" s="225"/>
      <c r="CKN7" s="225"/>
      <c r="CKO7" s="225"/>
      <c r="CKP7" s="225"/>
      <c r="CKQ7" s="225"/>
      <c r="CKR7" s="225"/>
      <c r="CKS7" s="225"/>
      <c r="CKT7" s="225"/>
      <c r="CKU7" s="225"/>
      <c r="CKV7" s="225"/>
      <c r="CKW7" s="225"/>
      <c r="CKX7" s="225"/>
      <c r="CKY7" s="225"/>
      <c r="CKZ7" s="225"/>
      <c r="CLA7" s="225"/>
      <c r="CLB7" s="225"/>
      <c r="CLC7" s="225"/>
      <c r="CLD7" s="225"/>
      <c r="CLE7" s="225"/>
      <c r="CLF7" s="225"/>
      <c r="CLG7" s="225"/>
      <c r="CLH7" s="225"/>
      <c r="CLI7" s="225"/>
      <c r="CLJ7" s="225"/>
      <c r="CLK7" s="225"/>
      <c r="CLL7" s="225"/>
      <c r="CLM7" s="225"/>
      <c r="CLN7" s="225"/>
      <c r="CLO7" s="225"/>
      <c r="CLP7" s="225"/>
      <c r="CLQ7" s="225"/>
      <c r="CLR7" s="225"/>
      <c r="CLS7" s="225"/>
      <c r="CLT7" s="225"/>
      <c r="CLU7" s="225"/>
      <c r="CLV7" s="225"/>
      <c r="CLW7" s="225"/>
      <c r="CLX7" s="225"/>
      <c r="CLY7" s="225"/>
      <c r="CLZ7" s="225"/>
      <c r="CMA7" s="225"/>
      <c r="CMB7" s="225"/>
      <c r="CMC7" s="225"/>
      <c r="CMD7" s="225"/>
      <c r="CME7" s="225"/>
      <c r="CMF7" s="225"/>
      <c r="CMG7" s="225"/>
      <c r="CMH7" s="225"/>
      <c r="CMI7" s="225"/>
      <c r="CMJ7" s="225"/>
      <c r="CMK7" s="225"/>
      <c r="CML7" s="225"/>
      <c r="CMM7" s="225"/>
      <c r="CMN7" s="225"/>
      <c r="CMO7" s="225"/>
      <c r="CMP7" s="225"/>
      <c r="CMQ7" s="225"/>
      <c r="CMR7" s="225"/>
      <c r="CMS7" s="225"/>
      <c r="CMT7" s="225"/>
      <c r="CMU7" s="225"/>
      <c r="CMV7" s="225"/>
      <c r="CMW7" s="225"/>
      <c r="CMX7" s="225"/>
      <c r="CMY7" s="225"/>
      <c r="CMZ7" s="225"/>
      <c r="CNA7" s="225"/>
      <c r="CNB7" s="225"/>
      <c r="CNC7" s="225"/>
      <c r="CND7" s="225"/>
      <c r="CNE7" s="225"/>
      <c r="CNF7" s="225"/>
      <c r="CNG7" s="225"/>
      <c r="CNH7" s="225"/>
      <c r="CNI7" s="225"/>
      <c r="CNJ7" s="225"/>
      <c r="CNK7" s="225"/>
      <c r="CNL7" s="225"/>
      <c r="CNM7" s="225"/>
      <c r="CNN7" s="225"/>
      <c r="CNO7" s="225"/>
      <c r="CNP7" s="225"/>
      <c r="CNQ7" s="225"/>
      <c r="CNR7" s="225"/>
      <c r="CNS7" s="225"/>
      <c r="CNT7" s="225"/>
      <c r="CNU7" s="225"/>
      <c r="CNV7" s="225"/>
      <c r="CNW7" s="225"/>
      <c r="CNX7" s="225"/>
      <c r="CNY7" s="225"/>
      <c r="CNZ7" s="225"/>
      <c r="COA7" s="225"/>
      <c r="COB7" s="225"/>
      <c r="COC7" s="225"/>
      <c r="COD7" s="225"/>
      <c r="COE7" s="225"/>
      <c r="COF7" s="225"/>
      <c r="COG7" s="225"/>
      <c r="COH7" s="225"/>
      <c r="COI7" s="225"/>
      <c r="COJ7" s="225"/>
      <c r="COK7" s="225"/>
      <c r="COL7" s="225"/>
      <c r="COM7" s="225"/>
      <c r="CON7" s="225"/>
      <c r="COO7" s="225"/>
      <c r="COP7" s="225"/>
      <c r="COQ7" s="225"/>
      <c r="COR7" s="225"/>
      <c r="COS7" s="225"/>
      <c r="COT7" s="225"/>
      <c r="COU7" s="225"/>
      <c r="COV7" s="225"/>
      <c r="COW7" s="225"/>
      <c r="COX7" s="225"/>
      <c r="COY7" s="225"/>
      <c r="COZ7" s="225"/>
      <c r="CPA7" s="225"/>
      <c r="CPB7" s="225"/>
      <c r="CPC7" s="225"/>
      <c r="CPD7" s="225"/>
      <c r="CPE7" s="225"/>
      <c r="CPF7" s="225"/>
      <c r="CPG7" s="225"/>
      <c r="CPH7" s="225"/>
      <c r="CPI7" s="225"/>
      <c r="CPJ7" s="225"/>
      <c r="CPK7" s="225"/>
      <c r="CPL7" s="225"/>
      <c r="CPM7" s="225"/>
      <c r="CPN7" s="225"/>
      <c r="CPO7" s="225"/>
      <c r="CPP7" s="225"/>
      <c r="CPQ7" s="225"/>
      <c r="CPR7" s="225"/>
      <c r="CPS7" s="225"/>
      <c r="CPT7" s="225"/>
      <c r="CPU7" s="225"/>
      <c r="CPV7" s="225"/>
      <c r="CPW7" s="225"/>
      <c r="CPX7" s="225"/>
      <c r="CPY7" s="225"/>
      <c r="CPZ7" s="225"/>
      <c r="CQA7" s="225"/>
      <c r="CQB7" s="225"/>
      <c r="CQC7" s="225"/>
      <c r="CQD7" s="225"/>
      <c r="CQE7" s="225"/>
      <c r="CQF7" s="225"/>
      <c r="CQG7" s="225"/>
      <c r="CQH7" s="225"/>
      <c r="CQI7" s="225"/>
      <c r="CQJ7" s="225"/>
      <c r="CQK7" s="225"/>
      <c r="CQL7" s="225"/>
      <c r="CQM7" s="225"/>
      <c r="CQN7" s="225"/>
      <c r="CQO7" s="225"/>
      <c r="CQP7" s="225"/>
      <c r="CQQ7" s="225"/>
      <c r="CQR7" s="225"/>
      <c r="CQS7" s="225"/>
      <c r="CQT7" s="225"/>
      <c r="CQU7" s="225"/>
      <c r="CQV7" s="225"/>
      <c r="CQW7" s="225"/>
      <c r="CQX7" s="225"/>
      <c r="CQY7" s="225"/>
      <c r="CQZ7" s="225"/>
      <c r="CRA7" s="225"/>
      <c r="CRB7" s="225"/>
      <c r="CRC7" s="225"/>
      <c r="CRD7" s="225"/>
      <c r="CRE7" s="225"/>
      <c r="CRF7" s="225"/>
      <c r="CRG7" s="225"/>
      <c r="CRH7" s="225"/>
      <c r="CRI7" s="225"/>
      <c r="CRJ7" s="225"/>
      <c r="CRK7" s="225"/>
      <c r="CRL7" s="225"/>
      <c r="CRM7" s="225"/>
      <c r="CRN7" s="225"/>
      <c r="CRO7" s="225"/>
      <c r="CRP7" s="225"/>
      <c r="CRQ7" s="225"/>
      <c r="CRR7" s="225"/>
      <c r="CRS7" s="225"/>
      <c r="CRT7" s="225"/>
      <c r="CRU7" s="225"/>
      <c r="CRV7" s="225"/>
      <c r="CRW7" s="225"/>
      <c r="CRX7" s="225"/>
      <c r="CRY7" s="225"/>
      <c r="CRZ7" s="225"/>
      <c r="CSA7" s="225"/>
      <c r="CSB7" s="225"/>
      <c r="CSC7" s="225"/>
      <c r="CSD7" s="225"/>
      <c r="CSE7" s="225"/>
      <c r="CSF7" s="225"/>
      <c r="CSG7" s="225"/>
      <c r="CSH7" s="225"/>
      <c r="CSI7" s="225"/>
      <c r="CSJ7" s="225"/>
      <c r="CSK7" s="225"/>
      <c r="CSL7" s="225"/>
      <c r="CSM7" s="225"/>
      <c r="CSN7" s="225"/>
      <c r="CSO7" s="225"/>
      <c r="CSP7" s="225"/>
      <c r="CSQ7" s="225"/>
      <c r="CSR7" s="225"/>
      <c r="CSS7" s="225"/>
      <c r="CST7" s="225"/>
      <c r="CSU7" s="225"/>
      <c r="CSV7" s="225"/>
      <c r="CSW7" s="225"/>
      <c r="CSX7" s="225"/>
      <c r="CSY7" s="225"/>
      <c r="CSZ7" s="225"/>
      <c r="CTA7" s="225"/>
      <c r="CTB7" s="225"/>
      <c r="CTC7" s="225"/>
      <c r="CTD7" s="225"/>
      <c r="CTE7" s="225"/>
      <c r="CTF7" s="225"/>
      <c r="CTG7" s="225"/>
      <c r="CTH7" s="225"/>
      <c r="CTI7" s="225"/>
      <c r="CTJ7" s="225"/>
      <c r="CTK7" s="225"/>
      <c r="CTL7" s="225"/>
      <c r="CTM7" s="225"/>
      <c r="CTN7" s="225"/>
      <c r="CTO7" s="225"/>
      <c r="CTP7" s="225"/>
      <c r="CTQ7" s="225"/>
      <c r="CTR7" s="225"/>
      <c r="CTS7" s="225"/>
      <c r="CTT7" s="225"/>
      <c r="CTU7" s="225"/>
      <c r="CTV7" s="225"/>
      <c r="CTW7" s="225"/>
      <c r="CTX7" s="225"/>
      <c r="CTY7" s="225"/>
      <c r="CTZ7" s="225"/>
      <c r="CUA7" s="225"/>
      <c r="CUB7" s="225"/>
      <c r="CUC7" s="225"/>
      <c r="CUD7" s="225"/>
      <c r="CUE7" s="225"/>
      <c r="CUF7" s="225"/>
      <c r="CUG7" s="225"/>
      <c r="CUH7" s="225"/>
      <c r="CUI7" s="225"/>
      <c r="CUJ7" s="225"/>
      <c r="CUK7" s="225"/>
      <c r="CUL7" s="225"/>
      <c r="CUM7" s="225"/>
      <c r="CUN7" s="225"/>
      <c r="CUO7" s="225"/>
      <c r="CUP7" s="225"/>
      <c r="CUQ7" s="225"/>
      <c r="CUR7" s="225"/>
      <c r="CUS7" s="225"/>
      <c r="CUT7" s="225"/>
      <c r="CUU7" s="225"/>
      <c r="CUV7" s="225"/>
      <c r="CUW7" s="225"/>
      <c r="CUX7" s="225"/>
      <c r="CUY7" s="225"/>
      <c r="CUZ7" s="225"/>
      <c r="CVA7" s="225"/>
      <c r="CVB7" s="225"/>
      <c r="CVC7" s="225"/>
      <c r="CVD7" s="225"/>
      <c r="CVE7" s="225"/>
      <c r="CVF7" s="225"/>
      <c r="CVG7" s="225"/>
      <c r="CVH7" s="225"/>
      <c r="CVI7" s="225"/>
      <c r="CVJ7" s="225"/>
      <c r="CVK7" s="225"/>
      <c r="CVL7" s="225"/>
      <c r="CVM7" s="225"/>
      <c r="CVN7" s="225"/>
      <c r="CVO7" s="225"/>
      <c r="CVP7" s="225"/>
      <c r="CVQ7" s="225"/>
      <c r="CVR7" s="225"/>
      <c r="CVS7" s="225"/>
      <c r="CVT7" s="225"/>
      <c r="CVU7" s="225"/>
      <c r="CVV7" s="225"/>
      <c r="CVW7" s="225"/>
      <c r="CVX7" s="225"/>
      <c r="CVY7" s="225"/>
      <c r="CVZ7" s="225"/>
      <c r="CWA7" s="225"/>
      <c r="CWB7" s="225"/>
      <c r="CWC7" s="225"/>
      <c r="CWD7" s="225"/>
      <c r="CWE7" s="225"/>
      <c r="CWF7" s="225"/>
      <c r="CWG7" s="225"/>
      <c r="CWH7" s="225"/>
      <c r="CWI7" s="225"/>
      <c r="CWJ7" s="225"/>
      <c r="CWK7" s="225"/>
      <c r="CWL7" s="225"/>
      <c r="CWM7" s="225"/>
      <c r="CWN7" s="225"/>
      <c r="CWO7" s="225"/>
      <c r="CWP7" s="225"/>
      <c r="CWQ7" s="225"/>
      <c r="CWR7" s="225"/>
      <c r="CWS7" s="225"/>
      <c r="CWT7" s="225"/>
      <c r="CWU7" s="225"/>
      <c r="CWV7" s="225"/>
      <c r="CWW7" s="225"/>
      <c r="CWX7" s="225"/>
      <c r="CWY7" s="225"/>
      <c r="CWZ7" s="225"/>
      <c r="CXA7" s="225"/>
      <c r="CXB7" s="225"/>
      <c r="CXC7" s="225"/>
      <c r="CXD7" s="225"/>
      <c r="CXE7" s="225"/>
      <c r="CXF7" s="225"/>
      <c r="CXG7" s="225"/>
      <c r="CXH7" s="225"/>
      <c r="CXI7" s="225"/>
      <c r="CXJ7" s="225"/>
      <c r="CXK7" s="225"/>
      <c r="CXL7" s="225"/>
      <c r="CXM7" s="225"/>
      <c r="CXN7" s="225"/>
      <c r="CXO7" s="225"/>
      <c r="CXP7" s="225"/>
      <c r="CXQ7" s="225"/>
      <c r="CXR7" s="225"/>
      <c r="CXS7" s="225"/>
      <c r="CXT7" s="225"/>
      <c r="CXU7" s="225"/>
      <c r="CXV7" s="225"/>
      <c r="CXW7" s="225"/>
      <c r="CXX7" s="225"/>
      <c r="CXY7" s="225"/>
      <c r="CXZ7" s="225"/>
      <c r="CYA7" s="225"/>
      <c r="CYB7" s="225"/>
      <c r="CYC7" s="225"/>
      <c r="CYD7" s="225"/>
      <c r="CYE7" s="225"/>
      <c r="CYF7" s="225"/>
      <c r="CYG7" s="225"/>
      <c r="CYH7" s="225"/>
      <c r="CYI7" s="225"/>
      <c r="CYJ7" s="225"/>
      <c r="CYK7" s="225"/>
      <c r="CYL7" s="225"/>
      <c r="CYM7" s="225"/>
      <c r="CYN7" s="225"/>
      <c r="CYO7" s="225"/>
      <c r="CYP7" s="225"/>
      <c r="CYQ7" s="225"/>
      <c r="CYR7" s="225"/>
      <c r="CYS7" s="225"/>
      <c r="CYT7" s="225"/>
      <c r="CYU7" s="225"/>
      <c r="CYV7" s="225"/>
      <c r="CYW7" s="225"/>
      <c r="CYX7" s="225"/>
      <c r="CYY7" s="225"/>
      <c r="CYZ7" s="225"/>
      <c r="CZA7" s="225"/>
      <c r="CZB7" s="225"/>
      <c r="CZC7" s="225"/>
      <c r="CZD7" s="225"/>
      <c r="CZE7" s="225"/>
      <c r="CZF7" s="225"/>
      <c r="CZG7" s="225"/>
      <c r="CZH7" s="225"/>
      <c r="CZI7" s="225"/>
      <c r="CZJ7" s="225"/>
      <c r="CZK7" s="225"/>
      <c r="CZL7" s="225"/>
      <c r="CZM7" s="225"/>
      <c r="CZN7" s="225"/>
      <c r="CZO7" s="225"/>
      <c r="CZP7" s="225"/>
      <c r="CZQ7" s="225"/>
      <c r="CZR7" s="225"/>
      <c r="CZS7" s="225"/>
      <c r="CZT7" s="225"/>
      <c r="CZU7" s="225"/>
      <c r="CZV7" s="225"/>
      <c r="CZW7" s="225"/>
      <c r="CZX7" s="225"/>
      <c r="CZY7" s="225"/>
      <c r="CZZ7" s="225"/>
      <c r="DAA7" s="225"/>
      <c r="DAB7" s="225"/>
      <c r="DAC7" s="225"/>
      <c r="DAD7" s="225"/>
      <c r="DAE7" s="225"/>
      <c r="DAF7" s="225"/>
      <c r="DAG7" s="225"/>
      <c r="DAH7" s="225"/>
      <c r="DAI7" s="225"/>
      <c r="DAJ7" s="225"/>
      <c r="DAK7" s="225"/>
      <c r="DAL7" s="225"/>
      <c r="DAM7" s="225"/>
      <c r="DAN7" s="225"/>
      <c r="DAO7" s="225"/>
      <c r="DAP7" s="225"/>
      <c r="DAQ7" s="225"/>
      <c r="DAR7" s="225"/>
      <c r="DAS7" s="225"/>
      <c r="DAT7" s="225"/>
      <c r="DAU7" s="225"/>
      <c r="DAV7" s="225"/>
      <c r="DAW7" s="225"/>
      <c r="DAX7" s="225"/>
      <c r="DAY7" s="225"/>
      <c r="DAZ7" s="225"/>
      <c r="DBA7" s="225"/>
      <c r="DBB7" s="225"/>
      <c r="DBC7" s="225"/>
      <c r="DBD7" s="225"/>
      <c r="DBE7" s="225"/>
      <c r="DBF7" s="225"/>
      <c r="DBG7" s="225"/>
      <c r="DBH7" s="225"/>
      <c r="DBI7" s="225"/>
      <c r="DBJ7" s="225"/>
      <c r="DBK7" s="225"/>
      <c r="DBL7" s="225"/>
      <c r="DBM7" s="225"/>
      <c r="DBN7" s="225"/>
      <c r="DBO7" s="225"/>
      <c r="DBP7" s="225"/>
      <c r="DBQ7" s="225"/>
      <c r="DBR7" s="225"/>
      <c r="DBS7" s="225"/>
      <c r="DBT7" s="225"/>
      <c r="DBU7" s="225"/>
      <c r="DBV7" s="225"/>
      <c r="DBW7" s="225"/>
      <c r="DBX7" s="225"/>
      <c r="DBY7" s="225"/>
      <c r="DBZ7" s="225"/>
      <c r="DCA7" s="225"/>
      <c r="DCB7" s="225"/>
      <c r="DCC7" s="225"/>
      <c r="DCD7" s="225"/>
      <c r="DCE7" s="225"/>
      <c r="DCF7" s="225"/>
      <c r="DCG7" s="225"/>
      <c r="DCH7" s="225"/>
      <c r="DCI7" s="225"/>
      <c r="DCJ7" s="225"/>
      <c r="DCK7" s="225"/>
      <c r="DCL7" s="225"/>
      <c r="DCM7" s="225"/>
      <c r="DCN7" s="225"/>
      <c r="DCO7" s="225"/>
      <c r="DCP7" s="225"/>
      <c r="DCQ7" s="225"/>
      <c r="DCR7" s="225"/>
      <c r="DCS7" s="225"/>
      <c r="DCT7" s="225"/>
      <c r="DCU7" s="225"/>
      <c r="DCV7" s="225"/>
      <c r="DCW7" s="225"/>
      <c r="DCX7" s="225"/>
      <c r="DCY7" s="225"/>
      <c r="DCZ7" s="225"/>
      <c r="DDA7" s="225"/>
      <c r="DDB7" s="225"/>
      <c r="DDC7" s="225"/>
      <c r="DDD7" s="225"/>
      <c r="DDE7" s="225"/>
      <c r="DDF7" s="225"/>
      <c r="DDG7" s="225"/>
      <c r="DDH7" s="225"/>
      <c r="DDI7" s="225"/>
      <c r="DDJ7" s="225"/>
      <c r="DDK7" s="225"/>
      <c r="DDL7" s="225"/>
      <c r="DDM7" s="225"/>
      <c r="DDN7" s="225"/>
      <c r="DDO7" s="225"/>
      <c r="DDP7" s="225"/>
      <c r="DDQ7" s="225"/>
      <c r="DDR7" s="225"/>
      <c r="DDS7" s="225"/>
      <c r="DDT7" s="225"/>
      <c r="DDU7" s="225"/>
      <c r="DDV7" s="225"/>
      <c r="DDW7" s="225"/>
      <c r="DDX7" s="225"/>
      <c r="DDY7" s="225"/>
      <c r="DDZ7" s="225"/>
      <c r="DEA7" s="225"/>
      <c r="DEB7" s="225"/>
      <c r="DEC7" s="225"/>
      <c r="DED7" s="225"/>
      <c r="DEE7" s="225"/>
      <c r="DEF7" s="225"/>
      <c r="DEG7" s="225"/>
      <c r="DEH7" s="225"/>
      <c r="DEI7" s="225"/>
      <c r="DEJ7" s="225"/>
      <c r="DEK7" s="225"/>
      <c r="DEL7" s="225"/>
      <c r="DEM7" s="225"/>
      <c r="DEN7" s="225"/>
      <c r="DEO7" s="225"/>
      <c r="DEP7" s="225"/>
      <c r="DEQ7" s="225"/>
      <c r="DER7" s="225"/>
      <c r="DES7" s="225"/>
      <c r="DET7" s="225"/>
      <c r="DEU7" s="225"/>
      <c r="DEV7" s="225"/>
      <c r="DEW7" s="225"/>
      <c r="DEX7" s="225"/>
      <c r="DEY7" s="225"/>
      <c r="DEZ7" s="225"/>
      <c r="DFA7" s="225"/>
      <c r="DFB7" s="225"/>
      <c r="DFC7" s="225"/>
      <c r="DFD7" s="225"/>
      <c r="DFE7" s="225"/>
      <c r="DFF7" s="225"/>
      <c r="DFG7" s="225"/>
      <c r="DFH7" s="225"/>
      <c r="DFI7" s="225"/>
      <c r="DFJ7" s="225"/>
      <c r="DFK7" s="225"/>
      <c r="DFL7" s="225"/>
      <c r="DFM7" s="225"/>
      <c r="DFN7" s="225"/>
      <c r="DFO7" s="225"/>
      <c r="DFP7" s="225"/>
      <c r="DFQ7" s="225"/>
      <c r="DFR7" s="225"/>
      <c r="DFS7" s="225"/>
      <c r="DFT7" s="225"/>
      <c r="DFU7" s="225"/>
      <c r="DFV7" s="225"/>
      <c r="DFW7" s="225"/>
      <c r="DFX7" s="225"/>
      <c r="DFY7" s="225"/>
      <c r="DFZ7" s="225"/>
      <c r="DGA7" s="225"/>
      <c r="DGB7" s="225"/>
      <c r="DGC7" s="225"/>
      <c r="DGD7" s="225"/>
      <c r="DGE7" s="225"/>
      <c r="DGF7" s="225"/>
      <c r="DGG7" s="225"/>
      <c r="DGH7" s="225"/>
      <c r="DGI7" s="225"/>
      <c r="DGJ7" s="225"/>
      <c r="DGK7" s="225"/>
      <c r="DGL7" s="225"/>
      <c r="DGM7" s="225"/>
      <c r="DGN7" s="225"/>
      <c r="DGO7" s="225"/>
      <c r="DGP7" s="225"/>
      <c r="DGQ7" s="225"/>
      <c r="DGR7" s="225"/>
      <c r="DGS7" s="225"/>
      <c r="DGT7" s="225"/>
      <c r="DGU7" s="225"/>
      <c r="DGV7" s="225"/>
      <c r="DGW7" s="225"/>
      <c r="DGX7" s="225"/>
      <c r="DGY7" s="225"/>
      <c r="DGZ7" s="225"/>
      <c r="DHA7" s="225"/>
      <c r="DHB7" s="225"/>
      <c r="DHC7" s="225"/>
      <c r="DHD7" s="225"/>
      <c r="DHE7" s="225"/>
      <c r="DHF7" s="225"/>
      <c r="DHG7" s="225"/>
      <c r="DHH7" s="225"/>
      <c r="DHI7" s="225"/>
      <c r="DHJ7" s="225"/>
      <c r="DHK7" s="225"/>
      <c r="DHL7" s="225"/>
      <c r="DHM7" s="225"/>
      <c r="DHN7" s="225"/>
      <c r="DHO7" s="225"/>
      <c r="DHP7" s="225"/>
      <c r="DHQ7" s="225"/>
      <c r="DHR7" s="225"/>
      <c r="DHS7" s="225"/>
      <c r="DHT7" s="225"/>
      <c r="DHU7" s="225"/>
      <c r="DHV7" s="225"/>
      <c r="DHW7" s="225"/>
      <c r="DHX7" s="225"/>
      <c r="DHY7" s="225"/>
      <c r="DHZ7" s="225"/>
      <c r="DIA7" s="225"/>
      <c r="DIB7" s="225"/>
      <c r="DIC7" s="225"/>
      <c r="DID7" s="225"/>
      <c r="DIE7" s="225"/>
      <c r="DIF7" s="225"/>
      <c r="DIG7" s="225"/>
      <c r="DIH7" s="225"/>
      <c r="DII7" s="225"/>
      <c r="DIJ7" s="225"/>
      <c r="DIK7" s="225"/>
      <c r="DIL7" s="225"/>
      <c r="DIM7" s="225"/>
      <c r="DIN7" s="225"/>
      <c r="DIO7" s="225"/>
      <c r="DIP7" s="225"/>
      <c r="DIQ7" s="225"/>
      <c r="DIR7" s="225"/>
      <c r="DIS7" s="225"/>
      <c r="DIT7" s="225"/>
      <c r="DIU7" s="225"/>
      <c r="DIV7" s="225"/>
      <c r="DIW7" s="225"/>
      <c r="DIX7" s="225"/>
      <c r="DIY7" s="225"/>
      <c r="DIZ7" s="225"/>
      <c r="DJA7" s="225"/>
      <c r="DJB7" s="225"/>
      <c r="DJC7" s="225"/>
      <c r="DJD7" s="225"/>
      <c r="DJE7" s="225"/>
      <c r="DJF7" s="225"/>
      <c r="DJG7" s="225"/>
      <c r="DJH7" s="225"/>
      <c r="DJI7" s="225"/>
      <c r="DJJ7" s="225"/>
      <c r="DJK7" s="225"/>
      <c r="DJL7" s="225"/>
      <c r="DJM7" s="225"/>
      <c r="DJN7" s="225"/>
      <c r="DJO7" s="225"/>
      <c r="DJP7" s="225"/>
      <c r="DJQ7" s="225"/>
      <c r="DJR7" s="225"/>
      <c r="DJS7" s="225"/>
      <c r="DJT7" s="225"/>
      <c r="DJU7" s="225"/>
      <c r="DJV7" s="225"/>
      <c r="DJW7" s="225"/>
      <c r="DJX7" s="225"/>
      <c r="DJY7" s="225"/>
      <c r="DJZ7" s="225"/>
      <c r="DKA7" s="225"/>
      <c r="DKB7" s="225"/>
      <c r="DKC7" s="225"/>
      <c r="DKD7" s="225"/>
      <c r="DKE7" s="225"/>
      <c r="DKF7" s="225"/>
      <c r="DKG7" s="225"/>
      <c r="DKH7" s="225"/>
      <c r="DKI7" s="225"/>
      <c r="DKJ7" s="225"/>
      <c r="DKK7" s="225"/>
      <c r="DKL7" s="225"/>
      <c r="DKM7" s="225"/>
      <c r="DKN7" s="225"/>
      <c r="DKO7" s="225"/>
      <c r="DKP7" s="225"/>
      <c r="DKQ7" s="225"/>
      <c r="DKR7" s="225"/>
      <c r="DKS7" s="225"/>
      <c r="DKT7" s="225"/>
      <c r="DKU7" s="225"/>
      <c r="DKV7" s="225"/>
      <c r="DKW7" s="225"/>
      <c r="DKX7" s="225"/>
      <c r="DKY7" s="225"/>
      <c r="DKZ7" s="225"/>
      <c r="DLA7" s="225"/>
      <c r="DLB7" s="225"/>
      <c r="DLC7" s="225"/>
      <c r="DLD7" s="225"/>
      <c r="DLE7" s="225"/>
      <c r="DLF7" s="225"/>
      <c r="DLG7" s="225"/>
      <c r="DLH7" s="225"/>
      <c r="DLI7" s="225"/>
      <c r="DLJ7" s="225"/>
      <c r="DLK7" s="225"/>
      <c r="DLL7" s="225"/>
      <c r="DLM7" s="225"/>
      <c r="DLN7" s="225"/>
      <c r="DLO7" s="225"/>
      <c r="DLP7" s="225"/>
      <c r="DLQ7" s="225"/>
      <c r="DLR7" s="225"/>
      <c r="DLS7" s="225"/>
      <c r="DLT7" s="225"/>
      <c r="DLU7" s="225"/>
      <c r="DLV7" s="225"/>
      <c r="DLW7" s="225"/>
      <c r="DLX7" s="225"/>
      <c r="DLY7" s="225"/>
      <c r="DLZ7" s="225"/>
      <c r="DMA7" s="225"/>
      <c r="DMB7" s="225"/>
      <c r="DMC7" s="225"/>
      <c r="DMD7" s="225"/>
      <c r="DME7" s="225"/>
      <c r="DMF7" s="225"/>
      <c r="DMG7" s="225"/>
      <c r="DMH7" s="225"/>
      <c r="DMI7" s="225"/>
      <c r="DMJ7" s="225"/>
      <c r="DMK7" s="225"/>
      <c r="DML7" s="225"/>
      <c r="DMM7" s="225"/>
      <c r="DMN7" s="225"/>
      <c r="DMO7" s="225"/>
      <c r="DMP7" s="225"/>
      <c r="DMQ7" s="225"/>
      <c r="DMR7" s="225"/>
      <c r="DMS7" s="225"/>
      <c r="DMT7" s="225"/>
      <c r="DMU7" s="225"/>
      <c r="DMV7" s="225"/>
      <c r="DMW7" s="225"/>
      <c r="DMX7" s="225"/>
      <c r="DMY7" s="225"/>
      <c r="DMZ7" s="225"/>
      <c r="DNA7" s="225"/>
      <c r="DNB7" s="225"/>
      <c r="DNC7" s="225"/>
      <c r="DND7" s="225"/>
      <c r="DNE7" s="225"/>
      <c r="DNF7" s="225"/>
      <c r="DNG7" s="225"/>
      <c r="DNH7" s="225"/>
      <c r="DNI7" s="225"/>
      <c r="DNJ7" s="225"/>
      <c r="DNK7" s="225"/>
      <c r="DNL7" s="225"/>
      <c r="DNM7" s="225"/>
      <c r="DNN7" s="225"/>
      <c r="DNO7" s="225"/>
      <c r="DNP7" s="225"/>
      <c r="DNQ7" s="225"/>
      <c r="DNR7" s="225"/>
      <c r="DNS7" s="225"/>
      <c r="DNT7" s="225"/>
      <c r="DNU7" s="225"/>
      <c r="DNV7" s="225"/>
      <c r="DNW7" s="225"/>
      <c r="DNX7" s="225"/>
      <c r="DNY7" s="225"/>
      <c r="DNZ7" s="225"/>
      <c r="DOA7" s="225"/>
      <c r="DOB7" s="225"/>
      <c r="DOC7" s="225"/>
      <c r="DOD7" s="225"/>
      <c r="DOE7" s="225"/>
      <c r="DOF7" s="225"/>
      <c r="DOG7" s="225"/>
      <c r="DOH7" s="225"/>
      <c r="DOI7" s="225"/>
      <c r="DOJ7" s="225"/>
      <c r="DOK7" s="225"/>
      <c r="DOL7" s="225"/>
      <c r="DOM7" s="225"/>
      <c r="DON7" s="225"/>
      <c r="DOO7" s="225"/>
      <c r="DOP7" s="225"/>
      <c r="DOQ7" s="225"/>
      <c r="DOR7" s="225"/>
      <c r="DOS7" s="225"/>
      <c r="DOT7" s="225"/>
      <c r="DOU7" s="225"/>
      <c r="DOV7" s="225"/>
      <c r="DOW7" s="225"/>
      <c r="DOX7" s="225"/>
      <c r="DOY7" s="225"/>
      <c r="DOZ7" s="225"/>
      <c r="DPA7" s="225"/>
      <c r="DPB7" s="225"/>
      <c r="DPC7" s="225"/>
      <c r="DPD7" s="225"/>
      <c r="DPE7" s="225"/>
      <c r="DPF7" s="225"/>
      <c r="DPG7" s="225"/>
      <c r="DPH7" s="225"/>
      <c r="DPI7" s="225"/>
      <c r="DPJ7" s="225"/>
      <c r="DPK7" s="225"/>
      <c r="DPL7" s="225"/>
      <c r="DPM7" s="225"/>
      <c r="DPN7" s="225"/>
      <c r="DPO7" s="225"/>
      <c r="DPP7" s="225"/>
      <c r="DPQ7" s="225"/>
      <c r="DPR7" s="225"/>
      <c r="DPS7" s="225"/>
      <c r="DPT7" s="225"/>
      <c r="DPU7" s="225"/>
      <c r="DPV7" s="225"/>
      <c r="DPW7" s="225"/>
      <c r="DPX7" s="225"/>
      <c r="DPY7" s="225"/>
      <c r="DPZ7" s="225"/>
      <c r="DQA7" s="225"/>
      <c r="DQB7" s="225"/>
      <c r="DQC7" s="225"/>
      <c r="DQD7" s="225"/>
      <c r="DQE7" s="225"/>
      <c r="DQF7" s="225"/>
      <c r="DQG7" s="225"/>
      <c r="DQH7" s="225"/>
      <c r="DQI7" s="225"/>
      <c r="DQJ7" s="225"/>
      <c r="DQK7" s="225"/>
      <c r="DQL7" s="225"/>
      <c r="DQM7" s="225"/>
      <c r="DQN7" s="225"/>
      <c r="DQO7" s="225"/>
      <c r="DQP7" s="225"/>
      <c r="DQQ7" s="225"/>
      <c r="DQR7" s="225"/>
      <c r="DQS7" s="225"/>
      <c r="DQT7" s="225"/>
      <c r="DQU7" s="225"/>
      <c r="DQV7" s="225"/>
      <c r="DQW7" s="225"/>
      <c r="DQX7" s="225"/>
      <c r="DQY7" s="225"/>
      <c r="DQZ7" s="225"/>
      <c r="DRA7" s="225"/>
      <c r="DRB7" s="225"/>
      <c r="DRC7" s="225"/>
      <c r="DRD7" s="225"/>
      <c r="DRE7" s="225"/>
      <c r="DRF7" s="225"/>
      <c r="DRG7" s="225"/>
      <c r="DRH7" s="225"/>
      <c r="DRI7" s="225"/>
      <c r="DRJ7" s="225"/>
      <c r="DRK7" s="225"/>
      <c r="DRL7" s="225"/>
      <c r="DRM7" s="225"/>
      <c r="DRN7" s="225"/>
      <c r="DRO7" s="225"/>
      <c r="DRP7" s="225"/>
      <c r="DRQ7" s="225"/>
      <c r="DRR7" s="225"/>
      <c r="DRS7" s="225"/>
      <c r="DRT7" s="225"/>
      <c r="DRU7" s="225"/>
      <c r="DRV7" s="225"/>
      <c r="DRW7" s="225"/>
      <c r="DRX7" s="225"/>
      <c r="DRY7" s="225"/>
      <c r="DRZ7" s="225"/>
      <c r="DSA7" s="225"/>
      <c r="DSB7" s="225"/>
      <c r="DSC7" s="225"/>
      <c r="DSD7" s="225"/>
      <c r="DSE7" s="225"/>
      <c r="DSF7" s="225"/>
      <c r="DSG7" s="225"/>
      <c r="DSH7" s="225"/>
      <c r="DSI7" s="225"/>
      <c r="DSJ7" s="225"/>
      <c r="DSK7" s="225"/>
      <c r="DSL7" s="225"/>
      <c r="DSM7" s="225"/>
      <c r="DSN7" s="225"/>
      <c r="DSO7" s="225"/>
      <c r="DSP7" s="225"/>
      <c r="DSQ7" s="225"/>
      <c r="DSR7" s="225"/>
      <c r="DSS7" s="225"/>
      <c r="DST7" s="225"/>
      <c r="DSU7" s="225"/>
      <c r="DSV7" s="225"/>
      <c r="DSW7" s="225"/>
      <c r="DSX7" s="225"/>
      <c r="DSY7" s="225"/>
      <c r="DSZ7" s="225"/>
      <c r="DTA7" s="225"/>
      <c r="DTB7" s="225"/>
      <c r="DTC7" s="225"/>
      <c r="DTD7" s="225"/>
      <c r="DTE7" s="225"/>
      <c r="DTF7" s="225"/>
      <c r="DTG7" s="225"/>
      <c r="DTH7" s="225"/>
      <c r="DTI7" s="225"/>
      <c r="DTJ7" s="225"/>
      <c r="DTK7" s="225"/>
      <c r="DTL7" s="225"/>
      <c r="DTM7" s="225"/>
      <c r="DTN7" s="225"/>
      <c r="DTO7" s="225"/>
      <c r="DTP7" s="225"/>
      <c r="DTQ7" s="225"/>
      <c r="DTR7" s="225"/>
      <c r="DTS7" s="225"/>
      <c r="DTT7" s="225"/>
      <c r="DTU7" s="225"/>
      <c r="DTV7" s="225"/>
      <c r="DTW7" s="225"/>
      <c r="DTX7" s="225"/>
      <c r="DTY7" s="225"/>
      <c r="DTZ7" s="225"/>
      <c r="DUA7" s="225"/>
      <c r="DUB7" s="225"/>
      <c r="DUC7" s="225"/>
      <c r="DUD7" s="225"/>
      <c r="DUE7" s="225"/>
      <c r="DUF7" s="225"/>
      <c r="DUG7" s="225"/>
      <c r="DUH7" s="225"/>
      <c r="DUI7" s="225"/>
      <c r="DUJ7" s="225"/>
      <c r="DUK7" s="225"/>
      <c r="DUL7" s="225"/>
      <c r="DUM7" s="225"/>
      <c r="DUN7" s="225"/>
      <c r="DUO7" s="225"/>
      <c r="DUP7" s="225"/>
      <c r="DUQ7" s="225"/>
      <c r="DUR7" s="225"/>
      <c r="DUS7" s="225"/>
      <c r="DUT7" s="225"/>
      <c r="DUU7" s="225"/>
      <c r="DUV7" s="225"/>
      <c r="DUW7" s="225"/>
      <c r="DUX7" s="225"/>
      <c r="DUY7" s="225"/>
      <c r="DUZ7" s="225"/>
      <c r="DVA7" s="225"/>
      <c r="DVB7" s="225"/>
      <c r="DVC7" s="225"/>
      <c r="DVD7" s="225"/>
      <c r="DVE7" s="225"/>
      <c r="DVF7" s="225"/>
      <c r="DVG7" s="225"/>
      <c r="DVH7" s="225"/>
      <c r="DVI7" s="225"/>
      <c r="DVJ7" s="225"/>
      <c r="DVK7" s="225"/>
      <c r="DVL7" s="225"/>
      <c r="DVM7" s="225"/>
      <c r="DVN7" s="225"/>
      <c r="DVO7" s="225"/>
      <c r="DVP7" s="225"/>
      <c r="DVQ7" s="225"/>
      <c r="DVR7" s="225"/>
      <c r="DVS7" s="225"/>
      <c r="DVT7" s="225"/>
      <c r="DVU7" s="225"/>
      <c r="DVV7" s="225"/>
      <c r="DVW7" s="225"/>
      <c r="DVX7" s="225"/>
      <c r="DVY7" s="225"/>
      <c r="DVZ7" s="225"/>
      <c r="DWA7" s="225"/>
      <c r="DWB7" s="225"/>
      <c r="DWC7" s="225"/>
      <c r="DWD7" s="225"/>
      <c r="DWE7" s="225"/>
      <c r="DWF7" s="225"/>
      <c r="DWG7" s="225"/>
      <c r="DWH7" s="225"/>
      <c r="DWI7" s="225"/>
      <c r="DWJ7" s="225"/>
      <c r="DWK7" s="225"/>
      <c r="DWL7" s="225"/>
      <c r="DWM7" s="225"/>
      <c r="DWN7" s="225"/>
      <c r="DWO7" s="225"/>
      <c r="DWP7" s="225"/>
      <c r="DWQ7" s="225"/>
      <c r="DWR7" s="225"/>
      <c r="DWS7" s="225"/>
      <c r="DWT7" s="225"/>
      <c r="DWU7" s="225"/>
      <c r="DWV7" s="225"/>
      <c r="DWW7" s="225"/>
      <c r="DWX7" s="225"/>
      <c r="DWY7" s="225"/>
      <c r="DWZ7" s="225"/>
      <c r="DXA7" s="225"/>
      <c r="DXB7" s="225"/>
      <c r="DXC7" s="225"/>
      <c r="DXD7" s="225"/>
      <c r="DXE7" s="225"/>
      <c r="DXF7" s="225"/>
      <c r="DXG7" s="225"/>
      <c r="DXH7" s="225"/>
      <c r="DXI7" s="225"/>
      <c r="DXJ7" s="225"/>
      <c r="DXK7" s="225"/>
      <c r="DXL7" s="225"/>
      <c r="DXM7" s="225"/>
      <c r="DXN7" s="225"/>
      <c r="DXO7" s="225"/>
      <c r="DXP7" s="225"/>
      <c r="DXQ7" s="225"/>
      <c r="DXR7" s="225"/>
      <c r="DXS7" s="225"/>
      <c r="DXT7" s="225"/>
      <c r="DXU7" s="225"/>
      <c r="DXV7" s="225"/>
      <c r="DXW7" s="225"/>
      <c r="DXX7" s="225"/>
      <c r="DXY7" s="225"/>
      <c r="DXZ7" s="225"/>
      <c r="DYA7" s="225"/>
      <c r="DYB7" s="225"/>
      <c r="DYC7" s="225"/>
      <c r="DYD7" s="225"/>
      <c r="DYE7" s="225"/>
      <c r="DYF7" s="225"/>
      <c r="DYG7" s="225"/>
      <c r="DYH7" s="225"/>
      <c r="DYI7" s="225"/>
      <c r="DYJ7" s="225"/>
      <c r="DYK7" s="225"/>
      <c r="DYL7" s="225"/>
      <c r="DYM7" s="225"/>
      <c r="DYN7" s="225"/>
      <c r="DYO7" s="225"/>
      <c r="DYP7" s="225"/>
      <c r="DYQ7" s="225"/>
      <c r="DYR7" s="225"/>
      <c r="DYS7" s="225"/>
      <c r="DYT7" s="225"/>
      <c r="DYU7" s="225"/>
      <c r="DYV7" s="225"/>
      <c r="DYW7" s="225"/>
      <c r="DYX7" s="225"/>
      <c r="DYY7" s="225"/>
      <c r="DYZ7" s="225"/>
      <c r="DZA7" s="225"/>
      <c r="DZB7" s="225"/>
      <c r="DZC7" s="225"/>
      <c r="DZD7" s="225"/>
      <c r="DZE7" s="225"/>
      <c r="DZF7" s="225"/>
      <c r="DZG7" s="225"/>
      <c r="DZH7" s="225"/>
      <c r="DZI7" s="225"/>
      <c r="DZJ7" s="225"/>
      <c r="DZK7" s="225"/>
      <c r="DZL7" s="225"/>
      <c r="DZM7" s="225"/>
      <c r="DZN7" s="225"/>
      <c r="DZO7" s="225"/>
      <c r="DZP7" s="225"/>
      <c r="DZQ7" s="225"/>
      <c r="DZR7" s="225"/>
      <c r="DZS7" s="225"/>
      <c r="DZT7" s="225"/>
      <c r="DZU7" s="225"/>
      <c r="DZV7" s="225"/>
      <c r="DZW7" s="225"/>
      <c r="DZX7" s="225"/>
      <c r="DZY7" s="225"/>
      <c r="DZZ7" s="225"/>
      <c r="EAA7" s="225"/>
      <c r="EAB7" s="225"/>
      <c r="EAC7" s="225"/>
      <c r="EAD7" s="225"/>
      <c r="EAE7" s="225"/>
      <c r="EAF7" s="225"/>
      <c r="EAG7" s="225"/>
      <c r="EAH7" s="225"/>
      <c r="EAI7" s="225"/>
      <c r="EAJ7" s="225"/>
      <c r="EAK7" s="225"/>
      <c r="EAL7" s="225"/>
      <c r="EAM7" s="225"/>
      <c r="EAN7" s="225"/>
      <c r="EAO7" s="225"/>
      <c r="EAP7" s="225"/>
      <c r="EAQ7" s="225"/>
      <c r="EAR7" s="225"/>
      <c r="EAS7" s="225"/>
      <c r="EAT7" s="225"/>
      <c r="EAU7" s="225"/>
      <c r="EAV7" s="225"/>
      <c r="EAW7" s="225"/>
      <c r="EAX7" s="225"/>
      <c r="EAY7" s="225"/>
      <c r="EAZ7" s="225"/>
      <c r="EBA7" s="225"/>
      <c r="EBB7" s="225"/>
      <c r="EBC7" s="225"/>
      <c r="EBD7" s="225"/>
      <c r="EBE7" s="225"/>
      <c r="EBF7" s="225"/>
      <c r="EBG7" s="225"/>
      <c r="EBH7" s="225"/>
      <c r="EBI7" s="225"/>
      <c r="EBJ7" s="225"/>
      <c r="EBK7" s="225"/>
      <c r="EBL7" s="225"/>
      <c r="EBM7" s="225"/>
      <c r="EBN7" s="225"/>
      <c r="EBO7" s="225"/>
      <c r="EBP7" s="225"/>
      <c r="EBQ7" s="225"/>
      <c r="EBR7" s="225"/>
      <c r="EBS7" s="225"/>
      <c r="EBT7" s="225"/>
      <c r="EBU7" s="225"/>
      <c r="EBV7" s="225"/>
      <c r="EBW7" s="225"/>
      <c r="EBX7" s="225"/>
      <c r="EBY7" s="225"/>
      <c r="EBZ7" s="225"/>
      <c r="ECA7" s="225"/>
      <c r="ECB7" s="225"/>
      <c r="ECC7" s="225"/>
      <c r="ECD7" s="225"/>
      <c r="ECE7" s="225"/>
      <c r="ECF7" s="225"/>
      <c r="ECG7" s="225"/>
      <c r="ECH7" s="225"/>
      <c r="ECI7" s="225"/>
      <c r="ECJ7" s="225"/>
      <c r="ECK7" s="225"/>
      <c r="ECL7" s="225"/>
      <c r="ECM7" s="225"/>
      <c r="ECN7" s="225"/>
      <c r="ECO7" s="225"/>
      <c r="ECP7" s="225"/>
      <c r="ECQ7" s="225"/>
      <c r="ECR7" s="225"/>
      <c r="ECS7" s="225"/>
      <c r="ECT7" s="225"/>
      <c r="ECU7" s="225"/>
      <c r="ECV7" s="225"/>
      <c r="ECW7" s="225"/>
      <c r="ECX7" s="225"/>
      <c r="ECY7" s="225"/>
      <c r="ECZ7" s="225"/>
      <c r="EDA7" s="225"/>
      <c r="EDB7" s="225"/>
      <c r="EDC7" s="225"/>
      <c r="EDD7" s="225"/>
      <c r="EDE7" s="225"/>
      <c r="EDF7" s="225"/>
      <c r="EDG7" s="225"/>
      <c r="EDH7" s="225"/>
      <c r="EDI7" s="225"/>
      <c r="EDJ7" s="225"/>
      <c r="EDK7" s="225"/>
      <c r="EDL7" s="225"/>
      <c r="EDM7" s="225"/>
      <c r="EDN7" s="225"/>
      <c r="EDO7" s="225"/>
      <c r="EDP7" s="225"/>
      <c r="EDQ7" s="225"/>
      <c r="EDR7" s="225"/>
      <c r="EDS7" s="225"/>
      <c r="EDT7" s="225"/>
      <c r="EDU7" s="225"/>
      <c r="EDV7" s="225"/>
      <c r="EDW7" s="225"/>
      <c r="EDX7" s="225"/>
      <c r="EDY7" s="225"/>
      <c r="EDZ7" s="225"/>
      <c r="EEA7" s="225"/>
      <c r="EEB7" s="225"/>
      <c r="EEC7" s="225"/>
      <c r="EED7" s="225"/>
      <c r="EEE7" s="225"/>
      <c r="EEF7" s="225"/>
      <c r="EEG7" s="225"/>
      <c r="EEH7" s="225"/>
      <c r="EEI7" s="225"/>
      <c r="EEJ7" s="225"/>
      <c r="EEK7" s="225"/>
      <c r="EEL7" s="225"/>
      <c r="EEM7" s="225"/>
      <c r="EEN7" s="225"/>
      <c r="EEO7" s="225"/>
      <c r="EEP7" s="225"/>
      <c r="EEQ7" s="225"/>
      <c r="EER7" s="225"/>
      <c r="EES7" s="225"/>
      <c r="EET7" s="225"/>
      <c r="EEU7" s="225"/>
      <c r="EEV7" s="225"/>
      <c r="EEW7" s="225"/>
      <c r="EEX7" s="225"/>
      <c r="EEY7" s="225"/>
      <c r="EEZ7" s="225"/>
      <c r="EFA7" s="225"/>
      <c r="EFB7" s="225"/>
      <c r="EFC7" s="225"/>
      <c r="EFD7" s="225"/>
      <c r="EFE7" s="225"/>
      <c r="EFF7" s="225"/>
      <c r="EFG7" s="225"/>
      <c r="EFH7" s="225"/>
      <c r="EFI7" s="225"/>
      <c r="EFJ7" s="225"/>
      <c r="EFK7" s="225"/>
      <c r="EFL7" s="225"/>
      <c r="EFM7" s="225"/>
      <c r="EFN7" s="225"/>
      <c r="EFO7" s="225"/>
      <c r="EFP7" s="225"/>
      <c r="EFQ7" s="225"/>
      <c r="EFR7" s="225"/>
      <c r="EFS7" s="225"/>
      <c r="EFT7" s="225"/>
      <c r="EFU7" s="225"/>
      <c r="EFV7" s="225"/>
      <c r="EFW7" s="225"/>
      <c r="EFX7" s="225"/>
      <c r="EFY7" s="225"/>
      <c r="EFZ7" s="225"/>
      <c r="EGA7" s="225"/>
      <c r="EGB7" s="225"/>
      <c r="EGC7" s="225"/>
      <c r="EGD7" s="225"/>
      <c r="EGE7" s="225"/>
      <c r="EGF7" s="225"/>
      <c r="EGG7" s="225"/>
      <c r="EGH7" s="225"/>
      <c r="EGI7" s="225"/>
      <c r="EGJ7" s="225"/>
      <c r="EGK7" s="225"/>
      <c r="EGL7" s="225"/>
      <c r="EGM7" s="225"/>
      <c r="EGN7" s="225"/>
      <c r="EGO7" s="225"/>
      <c r="EGP7" s="225"/>
      <c r="EGQ7" s="225"/>
      <c r="EGR7" s="225"/>
      <c r="EGS7" s="225"/>
      <c r="EGT7" s="225"/>
      <c r="EGU7" s="225"/>
      <c r="EGV7" s="225"/>
      <c r="EGW7" s="225"/>
      <c r="EGX7" s="225"/>
      <c r="EGY7" s="225"/>
      <c r="EGZ7" s="225"/>
      <c r="EHA7" s="225"/>
      <c r="EHB7" s="225"/>
      <c r="EHC7" s="225"/>
      <c r="EHD7" s="225"/>
      <c r="EHE7" s="225"/>
      <c r="EHF7" s="225"/>
      <c r="EHG7" s="225"/>
      <c r="EHH7" s="225"/>
      <c r="EHI7" s="225"/>
      <c r="EHJ7" s="225"/>
      <c r="EHK7" s="225"/>
      <c r="EHL7" s="225"/>
      <c r="EHM7" s="225"/>
      <c r="EHN7" s="225"/>
      <c r="EHO7" s="225"/>
      <c r="EHP7" s="225"/>
      <c r="EHQ7" s="225"/>
      <c r="EHR7" s="225"/>
      <c r="EHS7" s="225"/>
      <c r="EHT7" s="225"/>
      <c r="EHU7" s="225"/>
      <c r="EHV7" s="225"/>
      <c r="EHW7" s="225"/>
      <c r="EHX7" s="225"/>
      <c r="EHY7" s="225"/>
      <c r="EHZ7" s="225"/>
      <c r="EIA7" s="225"/>
      <c r="EIB7" s="225"/>
      <c r="EIC7" s="225"/>
      <c r="EID7" s="225"/>
      <c r="EIE7" s="225"/>
      <c r="EIF7" s="225"/>
      <c r="EIG7" s="225"/>
      <c r="EIH7" s="225"/>
      <c r="EII7" s="225"/>
      <c r="EIJ7" s="225"/>
      <c r="EIK7" s="225"/>
      <c r="EIL7" s="225"/>
      <c r="EIM7" s="225"/>
      <c r="EIN7" s="225"/>
      <c r="EIO7" s="225"/>
      <c r="EIP7" s="225"/>
      <c r="EIQ7" s="225"/>
      <c r="EIR7" s="225"/>
      <c r="EIS7" s="225"/>
      <c r="EIT7" s="225"/>
      <c r="EIU7" s="225"/>
      <c r="EIV7" s="225"/>
      <c r="EIW7" s="225"/>
      <c r="EIX7" s="225"/>
      <c r="EIY7" s="225"/>
      <c r="EIZ7" s="225"/>
      <c r="EJA7" s="225"/>
      <c r="EJB7" s="225"/>
      <c r="EJC7" s="225"/>
      <c r="EJD7" s="225"/>
      <c r="EJE7" s="225"/>
      <c r="EJF7" s="225"/>
      <c r="EJG7" s="225"/>
      <c r="EJH7" s="225"/>
      <c r="EJI7" s="225"/>
      <c r="EJJ7" s="225"/>
      <c r="EJK7" s="225"/>
      <c r="EJL7" s="225"/>
      <c r="EJM7" s="225"/>
      <c r="EJN7" s="225"/>
      <c r="EJO7" s="225"/>
      <c r="EJP7" s="225"/>
      <c r="EJQ7" s="225"/>
      <c r="EJR7" s="225"/>
      <c r="EJS7" s="225"/>
      <c r="EJT7" s="225"/>
      <c r="EJU7" s="225"/>
      <c r="EJV7" s="225"/>
      <c r="EJW7" s="225"/>
      <c r="EJX7" s="225"/>
      <c r="EJY7" s="225"/>
      <c r="EJZ7" s="225"/>
      <c r="EKA7" s="225"/>
      <c r="EKB7" s="225"/>
      <c r="EKC7" s="225"/>
      <c r="EKD7" s="225"/>
      <c r="EKE7" s="225"/>
      <c r="EKF7" s="225"/>
      <c r="EKG7" s="225"/>
      <c r="EKH7" s="225"/>
      <c r="EKI7" s="225"/>
      <c r="EKJ7" s="225"/>
      <c r="EKK7" s="225"/>
      <c r="EKL7" s="225"/>
      <c r="EKM7" s="225"/>
      <c r="EKN7" s="225"/>
      <c r="EKO7" s="225"/>
      <c r="EKP7" s="225"/>
      <c r="EKQ7" s="225"/>
      <c r="EKR7" s="225"/>
      <c r="EKS7" s="225"/>
      <c r="EKT7" s="225"/>
      <c r="EKU7" s="225"/>
      <c r="EKV7" s="225"/>
      <c r="EKW7" s="225"/>
      <c r="EKX7" s="225"/>
      <c r="EKY7" s="225"/>
      <c r="EKZ7" s="225"/>
      <c r="ELA7" s="225"/>
      <c r="ELB7" s="225"/>
      <c r="ELC7" s="225"/>
      <c r="ELD7" s="225"/>
      <c r="ELE7" s="225"/>
      <c r="ELF7" s="225"/>
      <c r="ELG7" s="225"/>
      <c r="ELH7" s="225"/>
      <c r="ELI7" s="225"/>
      <c r="ELJ7" s="225"/>
      <c r="ELK7" s="225"/>
      <c r="ELL7" s="225"/>
      <c r="ELM7" s="225"/>
      <c r="ELN7" s="225"/>
      <c r="ELO7" s="225"/>
      <c r="ELP7" s="225"/>
      <c r="ELQ7" s="225"/>
      <c r="ELR7" s="225"/>
      <c r="ELS7" s="225"/>
      <c r="ELT7" s="225"/>
      <c r="ELU7" s="225"/>
      <c r="ELV7" s="225"/>
      <c r="ELW7" s="225"/>
      <c r="ELX7" s="225"/>
      <c r="ELY7" s="225"/>
      <c r="ELZ7" s="225"/>
      <c r="EMA7" s="225"/>
      <c r="EMB7" s="225"/>
      <c r="EMC7" s="225"/>
      <c r="EMD7" s="225"/>
      <c r="EME7" s="225"/>
      <c r="EMF7" s="225"/>
      <c r="EMG7" s="225"/>
      <c r="EMH7" s="225"/>
      <c r="EMI7" s="225"/>
      <c r="EMJ7" s="225"/>
      <c r="EMK7" s="225"/>
      <c r="EML7" s="225"/>
      <c r="EMM7" s="225"/>
      <c r="EMN7" s="225"/>
      <c r="EMO7" s="225"/>
      <c r="EMP7" s="225"/>
      <c r="EMQ7" s="225"/>
      <c r="EMR7" s="225"/>
      <c r="EMS7" s="225"/>
      <c r="EMT7" s="225"/>
      <c r="EMU7" s="225"/>
      <c r="EMV7" s="225"/>
      <c r="EMW7" s="225"/>
      <c r="EMX7" s="225"/>
      <c r="EMY7" s="225"/>
      <c r="EMZ7" s="225"/>
      <c r="ENA7" s="225"/>
      <c r="ENB7" s="225"/>
      <c r="ENC7" s="225"/>
      <c r="END7" s="225"/>
      <c r="ENE7" s="225"/>
      <c r="ENF7" s="225"/>
      <c r="ENG7" s="225"/>
      <c r="ENH7" s="225"/>
      <c r="ENI7" s="225"/>
      <c r="ENJ7" s="225"/>
      <c r="ENK7" s="225"/>
      <c r="ENL7" s="225"/>
      <c r="ENM7" s="225"/>
      <c r="ENN7" s="225"/>
      <c r="ENO7" s="225"/>
      <c r="ENP7" s="225"/>
      <c r="ENQ7" s="225"/>
      <c r="ENR7" s="225"/>
      <c r="ENS7" s="225"/>
      <c r="ENT7" s="225"/>
      <c r="ENU7" s="225"/>
      <c r="ENV7" s="225"/>
      <c r="ENW7" s="225"/>
      <c r="ENX7" s="225"/>
      <c r="ENY7" s="225"/>
      <c r="ENZ7" s="225"/>
      <c r="EOA7" s="225"/>
      <c r="EOB7" s="225"/>
      <c r="EOC7" s="225"/>
      <c r="EOD7" s="225"/>
      <c r="EOE7" s="225"/>
      <c r="EOF7" s="225"/>
      <c r="EOG7" s="225"/>
      <c r="EOH7" s="225"/>
      <c r="EOI7" s="225"/>
      <c r="EOJ7" s="225"/>
      <c r="EOK7" s="225"/>
      <c r="EOL7" s="225"/>
      <c r="EOM7" s="225"/>
      <c r="EON7" s="225"/>
      <c r="EOO7" s="225"/>
      <c r="EOP7" s="225"/>
      <c r="EOQ7" s="225"/>
      <c r="EOR7" s="225"/>
      <c r="EOS7" s="225"/>
      <c r="EOT7" s="225"/>
      <c r="EOU7" s="225"/>
      <c r="EOV7" s="225"/>
      <c r="EOW7" s="225"/>
      <c r="EOX7" s="225"/>
      <c r="EOY7" s="225"/>
      <c r="EOZ7" s="225"/>
      <c r="EPA7" s="225"/>
      <c r="EPB7" s="225"/>
      <c r="EPC7" s="225"/>
      <c r="EPD7" s="225"/>
      <c r="EPE7" s="225"/>
      <c r="EPF7" s="225"/>
      <c r="EPG7" s="225"/>
      <c r="EPH7" s="225"/>
      <c r="EPI7" s="225"/>
      <c r="EPJ7" s="225"/>
      <c r="EPK7" s="225"/>
      <c r="EPL7" s="225"/>
      <c r="EPM7" s="225"/>
      <c r="EPN7" s="225"/>
      <c r="EPO7" s="225"/>
      <c r="EPP7" s="225"/>
      <c r="EPQ7" s="225"/>
      <c r="EPR7" s="225"/>
      <c r="EPS7" s="225"/>
      <c r="EPT7" s="225"/>
      <c r="EPU7" s="225"/>
      <c r="EPV7" s="225"/>
      <c r="EPW7" s="225"/>
      <c r="EPX7" s="225"/>
      <c r="EPY7" s="225"/>
      <c r="EPZ7" s="225"/>
      <c r="EQA7" s="225"/>
      <c r="EQB7" s="225"/>
      <c r="EQC7" s="225"/>
      <c r="EQD7" s="225"/>
      <c r="EQE7" s="225"/>
      <c r="EQF7" s="225"/>
      <c r="EQG7" s="225"/>
      <c r="EQH7" s="225"/>
      <c r="EQI7" s="225"/>
      <c r="EQJ7" s="225"/>
      <c r="EQK7" s="225"/>
      <c r="EQL7" s="225"/>
      <c r="EQM7" s="225"/>
      <c r="EQN7" s="225"/>
      <c r="EQO7" s="225"/>
      <c r="EQP7" s="225"/>
      <c r="EQQ7" s="225"/>
      <c r="EQR7" s="225"/>
      <c r="EQS7" s="225"/>
      <c r="EQT7" s="225"/>
      <c r="EQU7" s="225"/>
      <c r="EQV7" s="225"/>
      <c r="EQW7" s="225"/>
      <c r="EQX7" s="225"/>
      <c r="EQY7" s="225"/>
      <c r="EQZ7" s="225"/>
      <c r="ERA7" s="225"/>
      <c r="ERB7" s="225"/>
      <c r="ERC7" s="225"/>
      <c r="ERD7" s="225"/>
      <c r="ERE7" s="225"/>
      <c r="ERF7" s="225"/>
      <c r="ERG7" s="225"/>
      <c r="ERH7" s="225"/>
      <c r="ERI7" s="225"/>
      <c r="ERJ7" s="225"/>
      <c r="ERK7" s="225"/>
      <c r="ERL7" s="225"/>
      <c r="ERM7" s="225"/>
      <c r="ERN7" s="225"/>
      <c r="ERO7" s="225"/>
      <c r="ERP7" s="225"/>
      <c r="ERQ7" s="225"/>
      <c r="ERR7" s="225"/>
      <c r="ERS7" s="225"/>
      <c r="ERT7" s="225"/>
      <c r="ERU7" s="225"/>
      <c r="ERV7" s="225"/>
      <c r="ERW7" s="225"/>
      <c r="ERX7" s="225"/>
      <c r="ERY7" s="225"/>
      <c r="ERZ7" s="225"/>
      <c r="ESA7" s="225"/>
      <c r="ESB7" s="225"/>
      <c r="ESC7" s="225"/>
      <c r="ESD7" s="225"/>
      <c r="ESE7" s="225"/>
      <c r="ESF7" s="225"/>
      <c r="ESG7" s="225"/>
      <c r="ESH7" s="225"/>
      <c r="ESI7" s="225"/>
      <c r="ESJ7" s="225"/>
      <c r="ESK7" s="225"/>
      <c r="ESL7" s="225"/>
      <c r="ESM7" s="225"/>
      <c r="ESN7" s="225"/>
      <c r="ESO7" s="225"/>
      <c r="ESP7" s="225"/>
      <c r="ESQ7" s="225"/>
      <c r="ESR7" s="225"/>
      <c r="ESS7" s="225"/>
      <c r="EST7" s="225"/>
      <c r="ESU7" s="225"/>
      <c r="ESV7" s="225"/>
      <c r="ESW7" s="225"/>
      <c r="ESX7" s="225"/>
      <c r="ESY7" s="225"/>
      <c r="ESZ7" s="225"/>
      <c r="ETA7" s="225"/>
      <c r="ETB7" s="225"/>
      <c r="ETC7" s="225"/>
      <c r="ETD7" s="225"/>
      <c r="ETE7" s="225"/>
      <c r="ETF7" s="225"/>
      <c r="ETG7" s="225"/>
      <c r="ETH7" s="225"/>
      <c r="ETI7" s="225"/>
      <c r="ETJ7" s="225"/>
      <c r="ETK7" s="225"/>
      <c r="ETL7" s="225"/>
      <c r="ETM7" s="225"/>
      <c r="ETN7" s="225"/>
      <c r="ETO7" s="225"/>
      <c r="ETP7" s="225"/>
      <c r="ETQ7" s="225"/>
      <c r="ETR7" s="225"/>
      <c r="ETS7" s="225"/>
      <c r="ETT7" s="225"/>
      <c r="ETU7" s="225"/>
      <c r="ETV7" s="225"/>
      <c r="ETW7" s="225"/>
      <c r="ETX7" s="225"/>
      <c r="ETY7" s="225"/>
      <c r="ETZ7" s="225"/>
      <c r="EUA7" s="225"/>
      <c r="EUB7" s="225"/>
      <c r="EUC7" s="225"/>
      <c r="EUD7" s="225"/>
      <c r="EUE7" s="225"/>
      <c r="EUF7" s="225"/>
      <c r="EUG7" s="225"/>
      <c r="EUH7" s="225"/>
      <c r="EUI7" s="225"/>
      <c r="EUJ7" s="225"/>
      <c r="EUK7" s="225"/>
      <c r="EUL7" s="225"/>
      <c r="EUM7" s="225"/>
      <c r="EUN7" s="225"/>
      <c r="EUO7" s="225"/>
      <c r="EUP7" s="225"/>
      <c r="EUQ7" s="225"/>
      <c r="EUR7" s="225"/>
      <c r="EUS7" s="225"/>
      <c r="EUT7" s="225"/>
      <c r="EUU7" s="225"/>
      <c r="EUV7" s="225"/>
      <c r="EUW7" s="225"/>
      <c r="EUX7" s="225"/>
      <c r="EUY7" s="225"/>
      <c r="EUZ7" s="225"/>
      <c r="EVA7" s="225"/>
      <c r="EVB7" s="225"/>
      <c r="EVC7" s="225"/>
      <c r="EVD7" s="225"/>
      <c r="EVE7" s="225"/>
      <c r="EVF7" s="225"/>
      <c r="EVG7" s="225"/>
      <c r="EVH7" s="225"/>
      <c r="EVI7" s="225"/>
      <c r="EVJ7" s="225"/>
      <c r="EVK7" s="225"/>
      <c r="EVL7" s="225"/>
      <c r="EVM7" s="225"/>
      <c r="EVN7" s="225"/>
      <c r="EVO7" s="225"/>
      <c r="EVP7" s="225"/>
      <c r="EVQ7" s="225"/>
      <c r="EVR7" s="225"/>
      <c r="EVS7" s="225"/>
      <c r="EVT7" s="225"/>
      <c r="EVU7" s="225"/>
      <c r="EVV7" s="225"/>
      <c r="EVW7" s="225"/>
      <c r="EVX7" s="225"/>
      <c r="EVY7" s="225"/>
      <c r="EVZ7" s="225"/>
      <c r="EWA7" s="225"/>
      <c r="EWB7" s="225"/>
      <c r="EWC7" s="225"/>
      <c r="EWD7" s="225"/>
      <c r="EWE7" s="225"/>
      <c r="EWF7" s="225"/>
      <c r="EWG7" s="225"/>
      <c r="EWH7" s="225"/>
      <c r="EWI7" s="225"/>
      <c r="EWJ7" s="225"/>
      <c r="EWK7" s="225"/>
      <c r="EWL7" s="225"/>
      <c r="EWM7" s="225"/>
      <c r="EWN7" s="225"/>
      <c r="EWO7" s="225"/>
      <c r="EWP7" s="225"/>
      <c r="EWQ7" s="225"/>
      <c r="EWR7" s="225"/>
      <c r="EWS7" s="225"/>
      <c r="EWT7" s="225"/>
      <c r="EWU7" s="225"/>
      <c r="EWV7" s="225"/>
      <c r="EWW7" s="225"/>
      <c r="EWX7" s="225"/>
      <c r="EWY7" s="225"/>
      <c r="EWZ7" s="225"/>
      <c r="EXA7" s="225"/>
      <c r="EXB7" s="225"/>
      <c r="EXC7" s="225"/>
      <c r="EXD7" s="225"/>
      <c r="EXE7" s="225"/>
      <c r="EXF7" s="225"/>
      <c r="EXG7" s="225"/>
      <c r="EXH7" s="225"/>
      <c r="EXI7" s="225"/>
      <c r="EXJ7" s="225"/>
      <c r="EXK7" s="225"/>
      <c r="EXL7" s="225"/>
      <c r="EXM7" s="225"/>
      <c r="EXN7" s="225"/>
      <c r="EXO7" s="225"/>
      <c r="EXP7" s="225"/>
      <c r="EXQ7" s="225"/>
      <c r="EXR7" s="225"/>
      <c r="EXS7" s="225"/>
      <c r="EXT7" s="225"/>
      <c r="EXU7" s="225"/>
      <c r="EXV7" s="225"/>
      <c r="EXW7" s="225"/>
      <c r="EXX7" s="225"/>
      <c r="EXY7" s="225"/>
      <c r="EXZ7" s="225"/>
      <c r="EYA7" s="225"/>
      <c r="EYB7" s="225"/>
      <c r="EYC7" s="225"/>
      <c r="EYD7" s="225"/>
      <c r="EYE7" s="225"/>
      <c r="EYF7" s="225"/>
      <c r="EYG7" s="225"/>
      <c r="EYH7" s="225"/>
      <c r="EYI7" s="225"/>
      <c r="EYJ7" s="225"/>
      <c r="EYK7" s="225"/>
      <c r="EYL7" s="225"/>
      <c r="EYM7" s="225"/>
      <c r="EYN7" s="225"/>
      <c r="EYO7" s="225"/>
      <c r="EYP7" s="225"/>
      <c r="EYQ7" s="225"/>
      <c r="EYR7" s="225"/>
      <c r="EYS7" s="225"/>
      <c r="EYT7" s="225"/>
      <c r="EYU7" s="225"/>
      <c r="EYV7" s="225"/>
      <c r="EYW7" s="225"/>
      <c r="EYX7" s="225"/>
      <c r="EYY7" s="225"/>
      <c r="EYZ7" s="225"/>
      <c r="EZA7" s="225"/>
      <c r="EZB7" s="225"/>
      <c r="EZC7" s="225"/>
      <c r="EZD7" s="225"/>
      <c r="EZE7" s="225"/>
      <c r="EZF7" s="225"/>
      <c r="EZG7" s="225"/>
      <c r="EZH7" s="225"/>
      <c r="EZI7" s="225"/>
      <c r="EZJ7" s="225"/>
      <c r="EZK7" s="225"/>
      <c r="EZL7" s="225"/>
      <c r="EZM7" s="225"/>
      <c r="EZN7" s="225"/>
      <c r="EZO7" s="225"/>
      <c r="EZP7" s="225"/>
      <c r="EZQ7" s="225"/>
      <c r="EZR7" s="225"/>
      <c r="EZS7" s="225"/>
      <c r="EZT7" s="225"/>
      <c r="EZU7" s="225"/>
      <c r="EZV7" s="225"/>
      <c r="EZW7" s="225"/>
      <c r="EZX7" s="225"/>
      <c r="EZY7" s="225"/>
      <c r="EZZ7" s="225"/>
      <c r="FAA7" s="225"/>
      <c r="FAB7" s="225"/>
      <c r="FAC7" s="225"/>
      <c r="FAD7" s="225"/>
      <c r="FAE7" s="225"/>
      <c r="FAF7" s="225"/>
      <c r="FAG7" s="225"/>
      <c r="FAH7" s="225"/>
      <c r="FAI7" s="225"/>
      <c r="FAJ7" s="225"/>
      <c r="FAK7" s="225"/>
      <c r="FAL7" s="225"/>
      <c r="FAM7" s="225"/>
      <c r="FAN7" s="225"/>
      <c r="FAO7" s="225"/>
      <c r="FAP7" s="225"/>
      <c r="FAQ7" s="225"/>
      <c r="FAR7" s="225"/>
      <c r="FAS7" s="225"/>
      <c r="FAT7" s="225"/>
      <c r="FAU7" s="225"/>
      <c r="FAV7" s="225"/>
      <c r="FAW7" s="225"/>
      <c r="FAX7" s="225"/>
      <c r="FAY7" s="225"/>
      <c r="FAZ7" s="225"/>
      <c r="FBA7" s="225"/>
      <c r="FBB7" s="225"/>
      <c r="FBC7" s="225"/>
      <c r="FBD7" s="225"/>
      <c r="FBE7" s="225"/>
      <c r="FBF7" s="225"/>
      <c r="FBG7" s="225"/>
      <c r="FBH7" s="225"/>
      <c r="FBI7" s="225"/>
      <c r="FBJ7" s="225"/>
      <c r="FBK7" s="225"/>
      <c r="FBL7" s="225"/>
      <c r="FBM7" s="225"/>
      <c r="FBN7" s="225"/>
      <c r="FBO7" s="225"/>
      <c r="FBP7" s="225"/>
      <c r="FBQ7" s="225"/>
      <c r="FBR7" s="225"/>
      <c r="FBS7" s="225"/>
      <c r="FBT7" s="225"/>
      <c r="FBU7" s="225"/>
      <c r="FBV7" s="225"/>
      <c r="FBW7" s="225"/>
      <c r="FBX7" s="225"/>
      <c r="FBY7" s="225"/>
      <c r="FBZ7" s="225"/>
      <c r="FCA7" s="225"/>
      <c r="FCB7" s="225"/>
      <c r="FCC7" s="225"/>
      <c r="FCD7" s="225"/>
      <c r="FCE7" s="225"/>
      <c r="FCF7" s="225"/>
      <c r="FCG7" s="225"/>
      <c r="FCH7" s="225"/>
      <c r="FCI7" s="225"/>
      <c r="FCJ7" s="225"/>
      <c r="FCK7" s="225"/>
      <c r="FCL7" s="225"/>
      <c r="FCM7" s="225"/>
      <c r="FCN7" s="225"/>
      <c r="FCO7" s="225"/>
      <c r="FCP7" s="225"/>
      <c r="FCQ7" s="225"/>
      <c r="FCR7" s="225"/>
      <c r="FCS7" s="225"/>
      <c r="FCT7" s="225"/>
      <c r="FCU7" s="225"/>
      <c r="FCV7" s="225"/>
      <c r="FCW7" s="225"/>
      <c r="FCX7" s="225"/>
      <c r="FCY7" s="225"/>
      <c r="FCZ7" s="225"/>
      <c r="FDA7" s="225"/>
      <c r="FDB7" s="225"/>
      <c r="FDC7" s="225"/>
      <c r="FDD7" s="225"/>
      <c r="FDE7" s="225"/>
      <c r="FDF7" s="225"/>
      <c r="FDG7" s="225"/>
      <c r="FDH7" s="225"/>
      <c r="FDI7" s="225"/>
      <c r="FDJ7" s="225"/>
      <c r="FDK7" s="225"/>
      <c r="FDL7" s="225"/>
      <c r="FDM7" s="225"/>
      <c r="FDN7" s="225"/>
      <c r="FDO7" s="225"/>
      <c r="FDP7" s="225"/>
      <c r="FDQ7" s="225"/>
      <c r="FDR7" s="225"/>
      <c r="FDS7" s="225"/>
      <c r="FDT7" s="225"/>
      <c r="FDU7" s="225"/>
      <c r="FDV7" s="225"/>
      <c r="FDW7" s="225"/>
      <c r="FDX7" s="225"/>
      <c r="FDY7" s="225"/>
      <c r="FDZ7" s="225"/>
      <c r="FEA7" s="225"/>
      <c r="FEB7" s="225"/>
      <c r="FEC7" s="225"/>
      <c r="FED7" s="225"/>
      <c r="FEE7" s="225"/>
      <c r="FEF7" s="225"/>
      <c r="FEG7" s="225"/>
      <c r="FEH7" s="225"/>
      <c r="FEI7" s="225"/>
      <c r="FEJ7" s="225"/>
      <c r="FEK7" s="225"/>
      <c r="FEL7" s="225"/>
      <c r="FEM7" s="225"/>
      <c r="FEN7" s="225"/>
      <c r="FEO7" s="225"/>
      <c r="FEP7" s="225"/>
      <c r="FEQ7" s="225"/>
      <c r="FER7" s="225"/>
      <c r="FES7" s="225"/>
      <c r="FET7" s="225"/>
      <c r="FEU7" s="225"/>
      <c r="FEV7" s="225"/>
      <c r="FEW7" s="225"/>
      <c r="FEX7" s="225"/>
      <c r="FEY7" s="225"/>
      <c r="FEZ7" s="225"/>
      <c r="FFA7" s="225"/>
      <c r="FFB7" s="225"/>
      <c r="FFC7" s="225"/>
      <c r="FFD7" s="225"/>
      <c r="FFE7" s="225"/>
      <c r="FFF7" s="225"/>
      <c r="FFG7" s="225"/>
      <c r="FFH7" s="225"/>
      <c r="FFI7" s="225"/>
      <c r="FFJ7" s="225"/>
      <c r="FFK7" s="225"/>
      <c r="FFL7" s="225"/>
      <c r="FFM7" s="225"/>
      <c r="FFN7" s="225"/>
      <c r="FFO7" s="225"/>
      <c r="FFP7" s="225"/>
      <c r="FFQ7" s="225"/>
      <c r="FFR7" s="225"/>
      <c r="FFS7" s="225"/>
      <c r="FFT7" s="225"/>
      <c r="FFU7" s="225"/>
      <c r="FFV7" s="225"/>
      <c r="FFW7" s="225"/>
      <c r="FFX7" s="225"/>
      <c r="FFY7" s="225"/>
      <c r="FFZ7" s="225"/>
      <c r="FGA7" s="225"/>
      <c r="FGB7" s="225"/>
      <c r="FGC7" s="225"/>
      <c r="FGD7" s="225"/>
      <c r="FGE7" s="225"/>
      <c r="FGF7" s="225"/>
      <c r="FGG7" s="225"/>
      <c r="FGH7" s="225"/>
      <c r="FGI7" s="225"/>
      <c r="FGJ7" s="225"/>
      <c r="FGK7" s="225"/>
      <c r="FGL7" s="225"/>
      <c r="FGM7" s="225"/>
      <c r="FGN7" s="225"/>
      <c r="FGO7" s="225"/>
      <c r="FGP7" s="225"/>
      <c r="FGQ7" s="225"/>
      <c r="FGR7" s="225"/>
      <c r="FGS7" s="225"/>
      <c r="FGT7" s="225"/>
      <c r="FGU7" s="225"/>
      <c r="FGV7" s="225"/>
      <c r="FGW7" s="225"/>
      <c r="FGX7" s="225"/>
      <c r="FGY7" s="225"/>
      <c r="FGZ7" s="225"/>
      <c r="FHA7" s="225"/>
      <c r="FHB7" s="225"/>
      <c r="FHC7" s="225"/>
      <c r="FHD7" s="225"/>
      <c r="FHE7" s="225"/>
      <c r="FHF7" s="225"/>
      <c r="FHG7" s="225"/>
      <c r="FHH7" s="225"/>
      <c r="FHI7" s="225"/>
      <c r="FHJ7" s="225"/>
      <c r="FHK7" s="225"/>
      <c r="FHL7" s="225"/>
      <c r="FHM7" s="225"/>
      <c r="FHN7" s="225"/>
      <c r="FHO7" s="225"/>
      <c r="FHP7" s="225"/>
      <c r="FHQ7" s="225"/>
      <c r="FHR7" s="225"/>
      <c r="FHS7" s="225"/>
      <c r="FHT7" s="225"/>
      <c r="FHU7" s="225"/>
      <c r="FHV7" s="225"/>
      <c r="FHW7" s="225"/>
      <c r="FHX7" s="225"/>
      <c r="FHY7" s="225"/>
      <c r="FHZ7" s="225"/>
      <c r="FIA7" s="225"/>
      <c r="FIB7" s="225"/>
      <c r="FIC7" s="225"/>
      <c r="FID7" s="225"/>
      <c r="FIE7" s="225"/>
      <c r="FIF7" s="225"/>
      <c r="FIG7" s="225"/>
      <c r="FIH7" s="225"/>
      <c r="FII7" s="225"/>
      <c r="FIJ7" s="225"/>
      <c r="FIK7" s="225"/>
      <c r="FIL7" s="225"/>
      <c r="FIM7" s="225"/>
      <c r="FIN7" s="225"/>
      <c r="FIO7" s="225"/>
      <c r="FIP7" s="225"/>
      <c r="FIQ7" s="225"/>
      <c r="FIR7" s="225"/>
      <c r="FIS7" s="225"/>
      <c r="FIT7" s="225"/>
      <c r="FIU7" s="225"/>
      <c r="FIV7" s="225"/>
      <c r="FIW7" s="225"/>
      <c r="FIX7" s="225"/>
      <c r="FIY7" s="225"/>
      <c r="FIZ7" s="225"/>
      <c r="FJA7" s="225"/>
      <c r="FJB7" s="225"/>
      <c r="FJC7" s="225"/>
      <c r="FJD7" s="225"/>
      <c r="FJE7" s="225"/>
      <c r="FJF7" s="225"/>
      <c r="FJG7" s="225"/>
      <c r="FJH7" s="225"/>
      <c r="FJI7" s="225"/>
      <c r="FJJ7" s="225"/>
      <c r="FJK7" s="225"/>
      <c r="FJL7" s="225"/>
      <c r="FJM7" s="225"/>
      <c r="FJN7" s="225"/>
      <c r="FJO7" s="225"/>
      <c r="FJP7" s="225"/>
      <c r="FJQ7" s="225"/>
      <c r="FJR7" s="225"/>
      <c r="FJS7" s="225"/>
      <c r="FJT7" s="225"/>
      <c r="FJU7" s="225"/>
      <c r="FJV7" s="225"/>
      <c r="FJW7" s="225"/>
      <c r="FJX7" s="225"/>
      <c r="FJY7" s="225"/>
      <c r="FJZ7" s="225"/>
      <c r="FKA7" s="225"/>
      <c r="FKB7" s="225"/>
      <c r="FKC7" s="225"/>
      <c r="FKD7" s="225"/>
      <c r="FKE7" s="225"/>
      <c r="FKF7" s="225"/>
      <c r="FKG7" s="225"/>
      <c r="FKH7" s="225"/>
      <c r="FKI7" s="225"/>
      <c r="FKJ7" s="225"/>
      <c r="FKK7" s="225"/>
      <c r="FKL7" s="225"/>
      <c r="FKM7" s="225"/>
      <c r="FKN7" s="225"/>
      <c r="FKO7" s="225"/>
      <c r="FKP7" s="225"/>
      <c r="FKQ7" s="225"/>
      <c r="FKR7" s="225"/>
      <c r="FKS7" s="225"/>
      <c r="FKT7" s="225"/>
      <c r="FKU7" s="225"/>
      <c r="FKV7" s="225"/>
      <c r="FKW7" s="225"/>
      <c r="FKX7" s="225"/>
      <c r="FKY7" s="225"/>
      <c r="FKZ7" s="225"/>
      <c r="FLA7" s="225"/>
      <c r="FLB7" s="225"/>
      <c r="FLC7" s="225"/>
      <c r="FLD7" s="225"/>
      <c r="FLE7" s="225"/>
      <c r="FLF7" s="225"/>
      <c r="FLG7" s="225"/>
      <c r="FLH7" s="225"/>
      <c r="FLI7" s="225"/>
      <c r="FLJ7" s="225"/>
      <c r="FLK7" s="225"/>
      <c r="FLL7" s="225"/>
      <c r="FLM7" s="225"/>
      <c r="FLN7" s="225"/>
      <c r="FLO7" s="225"/>
      <c r="FLP7" s="225"/>
      <c r="FLQ7" s="225"/>
      <c r="FLR7" s="225"/>
      <c r="FLS7" s="225"/>
      <c r="FLT7" s="225"/>
      <c r="FLU7" s="225"/>
      <c r="FLV7" s="225"/>
      <c r="FLW7" s="225"/>
      <c r="FLX7" s="225"/>
      <c r="FLY7" s="225"/>
      <c r="FLZ7" s="225"/>
      <c r="FMA7" s="225"/>
      <c r="FMB7" s="225"/>
      <c r="FMC7" s="225"/>
      <c r="FMD7" s="225"/>
      <c r="FME7" s="225"/>
      <c r="FMF7" s="225"/>
      <c r="FMG7" s="225"/>
      <c r="FMH7" s="225"/>
      <c r="FMI7" s="225"/>
      <c r="FMJ7" s="225"/>
      <c r="FMK7" s="225"/>
      <c r="FML7" s="225"/>
      <c r="FMM7" s="225"/>
      <c r="FMN7" s="225"/>
      <c r="FMO7" s="225"/>
      <c r="FMP7" s="225"/>
      <c r="FMQ7" s="225"/>
      <c r="FMR7" s="225"/>
      <c r="FMS7" s="225"/>
      <c r="FMT7" s="225"/>
      <c r="FMU7" s="225"/>
      <c r="FMV7" s="225"/>
      <c r="FMW7" s="225"/>
      <c r="FMX7" s="225"/>
      <c r="FMY7" s="225"/>
      <c r="FMZ7" s="225"/>
      <c r="FNA7" s="225"/>
      <c r="FNB7" s="225"/>
      <c r="FNC7" s="225"/>
      <c r="FND7" s="225"/>
      <c r="FNE7" s="225"/>
      <c r="FNF7" s="225"/>
      <c r="FNG7" s="225"/>
      <c r="FNH7" s="225"/>
      <c r="FNI7" s="225"/>
      <c r="FNJ7" s="225"/>
      <c r="FNK7" s="225"/>
      <c r="FNL7" s="225"/>
      <c r="FNM7" s="225"/>
      <c r="FNN7" s="225"/>
      <c r="FNO7" s="225"/>
      <c r="FNP7" s="225"/>
      <c r="FNQ7" s="225"/>
      <c r="FNR7" s="225"/>
      <c r="FNS7" s="225"/>
      <c r="FNT7" s="225"/>
      <c r="FNU7" s="225"/>
      <c r="FNV7" s="225"/>
      <c r="FNW7" s="225"/>
      <c r="FNX7" s="225"/>
      <c r="FNY7" s="225"/>
      <c r="FNZ7" s="225"/>
      <c r="FOA7" s="225"/>
      <c r="FOB7" s="225"/>
      <c r="FOC7" s="225"/>
      <c r="FOD7" s="225"/>
      <c r="FOE7" s="225"/>
      <c r="FOF7" s="225"/>
      <c r="FOG7" s="225"/>
      <c r="FOH7" s="225"/>
      <c r="FOI7" s="225"/>
      <c r="FOJ7" s="225"/>
      <c r="FOK7" s="225"/>
      <c r="FOL7" s="225"/>
      <c r="FOM7" s="225"/>
      <c r="FON7" s="225"/>
      <c r="FOO7" s="225"/>
      <c r="FOP7" s="225"/>
      <c r="FOQ7" s="225"/>
      <c r="FOR7" s="225"/>
      <c r="FOS7" s="225"/>
      <c r="FOT7" s="225"/>
      <c r="FOU7" s="225"/>
      <c r="FOV7" s="225"/>
      <c r="FOW7" s="225"/>
      <c r="FOX7" s="225"/>
      <c r="FOY7" s="225"/>
      <c r="FOZ7" s="225"/>
      <c r="FPA7" s="225"/>
      <c r="FPB7" s="225"/>
      <c r="FPC7" s="225"/>
      <c r="FPD7" s="225"/>
      <c r="FPE7" s="225"/>
      <c r="FPF7" s="225"/>
      <c r="FPG7" s="225"/>
      <c r="FPH7" s="225"/>
      <c r="FPI7" s="225"/>
      <c r="FPJ7" s="225"/>
      <c r="FPK7" s="225"/>
      <c r="FPL7" s="225"/>
      <c r="FPM7" s="225"/>
      <c r="FPN7" s="225"/>
      <c r="FPO7" s="225"/>
      <c r="FPP7" s="225"/>
      <c r="FPQ7" s="225"/>
      <c r="FPR7" s="225"/>
      <c r="FPS7" s="225"/>
      <c r="FPT7" s="225"/>
      <c r="FPU7" s="225"/>
      <c r="FPV7" s="225"/>
      <c r="FPW7" s="225"/>
      <c r="FPX7" s="225"/>
      <c r="FPY7" s="225"/>
      <c r="FPZ7" s="225"/>
      <c r="FQA7" s="225"/>
      <c r="FQB7" s="225"/>
      <c r="FQC7" s="225"/>
      <c r="FQD7" s="225"/>
      <c r="FQE7" s="225"/>
      <c r="FQF7" s="225"/>
      <c r="FQG7" s="225"/>
      <c r="FQH7" s="225"/>
      <c r="FQI7" s="225"/>
      <c r="FQJ7" s="225"/>
      <c r="FQK7" s="225"/>
      <c r="FQL7" s="225"/>
      <c r="FQM7" s="225"/>
      <c r="FQN7" s="225"/>
      <c r="FQO7" s="225"/>
      <c r="FQP7" s="225"/>
      <c r="FQQ7" s="225"/>
      <c r="FQR7" s="225"/>
      <c r="FQS7" s="225"/>
      <c r="FQT7" s="225"/>
      <c r="FQU7" s="225"/>
      <c r="FQV7" s="225"/>
      <c r="FQW7" s="225"/>
      <c r="FQX7" s="225"/>
      <c r="FQY7" s="225"/>
      <c r="FQZ7" s="225"/>
      <c r="FRA7" s="225"/>
      <c r="FRB7" s="225"/>
      <c r="FRC7" s="225"/>
      <c r="FRD7" s="225"/>
      <c r="FRE7" s="225"/>
      <c r="FRF7" s="225"/>
      <c r="FRG7" s="225"/>
      <c r="FRH7" s="225"/>
      <c r="FRI7" s="225"/>
      <c r="FRJ7" s="225"/>
      <c r="FRK7" s="225"/>
      <c r="FRL7" s="225"/>
      <c r="FRM7" s="225"/>
      <c r="FRN7" s="225"/>
      <c r="FRO7" s="225"/>
      <c r="FRP7" s="225"/>
      <c r="FRQ7" s="225"/>
      <c r="FRR7" s="225"/>
      <c r="FRS7" s="225"/>
      <c r="FRT7" s="225"/>
      <c r="FRU7" s="225"/>
      <c r="FRV7" s="225"/>
      <c r="FRW7" s="225"/>
      <c r="FRX7" s="225"/>
      <c r="FRY7" s="225"/>
      <c r="FRZ7" s="225"/>
      <c r="FSA7" s="225"/>
      <c r="FSB7" s="225"/>
      <c r="FSC7" s="225"/>
      <c r="FSD7" s="225"/>
      <c r="FSE7" s="225"/>
      <c r="FSF7" s="225"/>
      <c r="FSG7" s="225"/>
      <c r="FSH7" s="225"/>
      <c r="FSI7" s="225"/>
      <c r="FSJ7" s="225"/>
      <c r="FSK7" s="225"/>
      <c r="FSL7" s="225"/>
      <c r="FSM7" s="225"/>
      <c r="FSN7" s="225"/>
      <c r="FSO7" s="225"/>
      <c r="FSP7" s="225"/>
      <c r="FSQ7" s="225"/>
      <c r="FSR7" s="225"/>
      <c r="FSS7" s="225"/>
      <c r="FST7" s="225"/>
      <c r="FSU7" s="225"/>
      <c r="FSV7" s="225"/>
      <c r="FSW7" s="225"/>
      <c r="FSX7" s="225"/>
      <c r="FSY7" s="225"/>
      <c r="FSZ7" s="225"/>
      <c r="FTA7" s="225"/>
      <c r="FTB7" s="225"/>
      <c r="FTC7" s="225"/>
      <c r="FTD7" s="225"/>
      <c r="FTE7" s="225"/>
      <c r="FTF7" s="225"/>
      <c r="FTG7" s="225"/>
      <c r="FTH7" s="225"/>
      <c r="FTI7" s="225"/>
      <c r="FTJ7" s="225"/>
      <c r="FTK7" s="225"/>
      <c r="FTL7" s="225"/>
      <c r="FTM7" s="225"/>
      <c r="FTN7" s="225"/>
      <c r="FTO7" s="225"/>
      <c r="FTP7" s="225"/>
      <c r="FTQ7" s="225"/>
      <c r="FTR7" s="225"/>
      <c r="FTS7" s="225"/>
      <c r="FTT7" s="225"/>
      <c r="FTU7" s="225"/>
      <c r="FTV7" s="225"/>
      <c r="FTW7" s="225"/>
      <c r="FTX7" s="225"/>
      <c r="FTY7" s="225"/>
      <c r="FTZ7" s="225"/>
      <c r="FUA7" s="225"/>
      <c r="FUB7" s="225"/>
      <c r="FUC7" s="225"/>
      <c r="FUD7" s="225"/>
      <c r="FUE7" s="225"/>
      <c r="FUF7" s="225"/>
      <c r="FUG7" s="225"/>
      <c r="FUH7" s="225"/>
      <c r="FUI7" s="225"/>
      <c r="FUJ7" s="225"/>
      <c r="FUK7" s="225"/>
      <c r="FUL7" s="225"/>
      <c r="FUM7" s="225"/>
      <c r="FUN7" s="225"/>
      <c r="FUO7" s="225"/>
      <c r="FUP7" s="225"/>
      <c r="FUQ7" s="225"/>
      <c r="FUR7" s="225"/>
      <c r="FUS7" s="225"/>
      <c r="FUT7" s="225"/>
      <c r="FUU7" s="225"/>
      <c r="FUV7" s="225"/>
      <c r="FUW7" s="225"/>
      <c r="FUX7" s="225"/>
      <c r="FUY7" s="225"/>
      <c r="FUZ7" s="225"/>
      <c r="FVA7" s="225"/>
      <c r="FVB7" s="225"/>
      <c r="FVC7" s="225"/>
      <c r="FVD7" s="225"/>
      <c r="FVE7" s="225"/>
      <c r="FVF7" s="225"/>
      <c r="FVG7" s="225"/>
      <c r="FVH7" s="225"/>
      <c r="FVI7" s="225"/>
      <c r="FVJ7" s="225"/>
      <c r="FVK7" s="225"/>
      <c r="FVL7" s="225"/>
      <c r="FVM7" s="225"/>
      <c r="FVN7" s="225"/>
      <c r="FVO7" s="225"/>
      <c r="FVP7" s="225"/>
      <c r="FVQ7" s="225"/>
      <c r="FVR7" s="225"/>
      <c r="FVS7" s="225"/>
      <c r="FVT7" s="225"/>
      <c r="FVU7" s="225"/>
      <c r="FVV7" s="225"/>
      <c r="FVW7" s="225"/>
      <c r="FVX7" s="225"/>
      <c r="FVY7" s="225"/>
      <c r="FVZ7" s="225"/>
      <c r="FWA7" s="225"/>
      <c r="FWB7" s="225"/>
      <c r="FWC7" s="225"/>
      <c r="FWD7" s="225"/>
      <c r="FWE7" s="225"/>
      <c r="FWF7" s="225"/>
      <c r="FWG7" s="225"/>
      <c r="FWH7" s="225"/>
      <c r="FWI7" s="225"/>
      <c r="FWJ7" s="225"/>
      <c r="FWK7" s="225"/>
      <c r="FWL7" s="225"/>
      <c r="FWM7" s="225"/>
      <c r="FWN7" s="225"/>
      <c r="FWO7" s="225"/>
      <c r="FWP7" s="225"/>
      <c r="FWQ7" s="225"/>
      <c r="FWR7" s="225"/>
      <c r="FWS7" s="225"/>
      <c r="FWT7" s="225"/>
      <c r="FWU7" s="225"/>
      <c r="FWV7" s="225"/>
      <c r="FWW7" s="225"/>
      <c r="FWX7" s="225"/>
      <c r="FWY7" s="225"/>
      <c r="FWZ7" s="225"/>
      <c r="FXA7" s="225"/>
      <c r="FXB7" s="225"/>
      <c r="FXC7" s="225"/>
      <c r="FXD7" s="225"/>
      <c r="FXE7" s="225"/>
      <c r="FXF7" s="225"/>
      <c r="FXG7" s="225"/>
      <c r="FXH7" s="225"/>
      <c r="FXI7" s="225"/>
      <c r="FXJ7" s="225"/>
      <c r="FXK7" s="225"/>
      <c r="FXL7" s="225"/>
      <c r="FXM7" s="225"/>
      <c r="FXN7" s="225"/>
      <c r="FXO7" s="225"/>
      <c r="FXP7" s="225"/>
      <c r="FXQ7" s="225"/>
      <c r="FXR7" s="225"/>
      <c r="FXS7" s="225"/>
      <c r="FXT7" s="225"/>
      <c r="FXU7" s="225"/>
      <c r="FXV7" s="225"/>
      <c r="FXW7" s="225"/>
      <c r="FXX7" s="225"/>
      <c r="FXY7" s="225"/>
      <c r="FXZ7" s="225"/>
      <c r="FYA7" s="225"/>
      <c r="FYB7" s="225"/>
      <c r="FYC7" s="225"/>
      <c r="FYD7" s="225"/>
      <c r="FYE7" s="225"/>
      <c r="FYF7" s="225"/>
      <c r="FYG7" s="225"/>
      <c r="FYH7" s="225"/>
      <c r="FYI7" s="225"/>
      <c r="FYJ7" s="225"/>
      <c r="FYK7" s="225"/>
      <c r="FYL7" s="225"/>
      <c r="FYM7" s="225"/>
      <c r="FYN7" s="225"/>
      <c r="FYO7" s="225"/>
      <c r="FYP7" s="225"/>
      <c r="FYQ7" s="225"/>
      <c r="FYR7" s="225"/>
      <c r="FYS7" s="225"/>
      <c r="FYT7" s="225"/>
      <c r="FYU7" s="225"/>
      <c r="FYV7" s="225"/>
      <c r="FYW7" s="225"/>
      <c r="FYX7" s="225"/>
      <c r="FYY7" s="225"/>
      <c r="FYZ7" s="225"/>
      <c r="FZA7" s="225"/>
      <c r="FZB7" s="225"/>
      <c r="FZC7" s="225"/>
      <c r="FZD7" s="225"/>
      <c r="FZE7" s="225"/>
      <c r="FZF7" s="225"/>
      <c r="FZG7" s="225"/>
      <c r="FZH7" s="225"/>
      <c r="FZI7" s="225"/>
      <c r="FZJ7" s="225"/>
      <c r="FZK7" s="225"/>
      <c r="FZL7" s="225"/>
      <c r="FZM7" s="225"/>
      <c r="FZN7" s="225"/>
      <c r="FZO7" s="225"/>
      <c r="FZP7" s="225"/>
      <c r="FZQ7" s="225"/>
      <c r="FZR7" s="225"/>
      <c r="FZS7" s="225"/>
      <c r="FZT7" s="225"/>
      <c r="FZU7" s="225"/>
      <c r="FZV7" s="225"/>
      <c r="FZW7" s="225"/>
      <c r="FZX7" s="225"/>
      <c r="FZY7" s="225"/>
      <c r="FZZ7" s="225"/>
      <c r="GAA7" s="225"/>
      <c r="GAB7" s="225"/>
      <c r="GAC7" s="225"/>
      <c r="GAD7" s="225"/>
      <c r="GAE7" s="225"/>
      <c r="GAF7" s="225"/>
      <c r="GAG7" s="225"/>
      <c r="GAH7" s="225"/>
      <c r="GAI7" s="225"/>
      <c r="GAJ7" s="225"/>
      <c r="GAK7" s="225"/>
      <c r="GAL7" s="225"/>
      <c r="GAM7" s="225"/>
      <c r="GAN7" s="225"/>
      <c r="GAO7" s="225"/>
      <c r="GAP7" s="225"/>
      <c r="GAQ7" s="225"/>
      <c r="GAR7" s="225"/>
      <c r="GAS7" s="225"/>
      <c r="GAT7" s="225"/>
      <c r="GAU7" s="225"/>
      <c r="GAV7" s="225"/>
      <c r="GAW7" s="225"/>
      <c r="GAX7" s="225"/>
      <c r="GAY7" s="225"/>
      <c r="GAZ7" s="225"/>
      <c r="GBA7" s="225"/>
      <c r="GBB7" s="225"/>
      <c r="GBC7" s="225"/>
      <c r="GBD7" s="225"/>
      <c r="GBE7" s="225"/>
      <c r="GBF7" s="225"/>
      <c r="GBG7" s="225"/>
      <c r="GBH7" s="225"/>
      <c r="GBI7" s="225"/>
      <c r="GBJ7" s="225"/>
      <c r="GBK7" s="225"/>
      <c r="GBL7" s="225"/>
      <c r="GBM7" s="225"/>
      <c r="GBN7" s="225"/>
      <c r="GBO7" s="225"/>
      <c r="GBP7" s="225"/>
      <c r="GBQ7" s="225"/>
      <c r="GBR7" s="225"/>
      <c r="GBS7" s="225"/>
      <c r="GBT7" s="225"/>
      <c r="GBU7" s="225"/>
      <c r="GBV7" s="225"/>
      <c r="GBW7" s="225"/>
      <c r="GBX7" s="225"/>
      <c r="GBY7" s="225"/>
      <c r="GBZ7" s="225"/>
      <c r="GCA7" s="225"/>
      <c r="GCB7" s="225"/>
      <c r="GCC7" s="225"/>
      <c r="GCD7" s="225"/>
      <c r="GCE7" s="225"/>
      <c r="GCF7" s="225"/>
      <c r="GCG7" s="225"/>
      <c r="GCH7" s="225"/>
      <c r="GCI7" s="225"/>
      <c r="GCJ7" s="225"/>
      <c r="GCK7" s="225"/>
      <c r="GCL7" s="225"/>
      <c r="GCM7" s="225"/>
      <c r="GCN7" s="225"/>
      <c r="GCO7" s="225"/>
      <c r="GCP7" s="225"/>
      <c r="GCQ7" s="225"/>
      <c r="GCR7" s="225"/>
      <c r="GCS7" s="225"/>
      <c r="GCT7" s="225"/>
      <c r="GCU7" s="225"/>
      <c r="GCV7" s="225"/>
      <c r="GCW7" s="225"/>
      <c r="GCX7" s="225"/>
      <c r="GCY7" s="225"/>
      <c r="GCZ7" s="225"/>
      <c r="GDA7" s="225"/>
      <c r="GDB7" s="225"/>
      <c r="GDC7" s="225"/>
      <c r="GDD7" s="225"/>
      <c r="GDE7" s="225"/>
      <c r="GDF7" s="225"/>
      <c r="GDG7" s="225"/>
      <c r="GDH7" s="225"/>
      <c r="GDI7" s="225"/>
      <c r="GDJ7" s="225"/>
      <c r="GDK7" s="225"/>
      <c r="GDL7" s="225"/>
      <c r="GDM7" s="225"/>
      <c r="GDN7" s="225"/>
      <c r="GDO7" s="225"/>
      <c r="GDP7" s="225"/>
      <c r="GDQ7" s="225"/>
      <c r="GDR7" s="225"/>
      <c r="GDS7" s="225"/>
      <c r="GDT7" s="225"/>
      <c r="GDU7" s="225"/>
      <c r="GDV7" s="225"/>
      <c r="GDW7" s="225"/>
      <c r="GDX7" s="225"/>
      <c r="GDY7" s="225"/>
      <c r="GDZ7" s="225"/>
      <c r="GEA7" s="225"/>
      <c r="GEB7" s="225"/>
      <c r="GEC7" s="225"/>
      <c r="GED7" s="225"/>
      <c r="GEE7" s="225"/>
      <c r="GEF7" s="225"/>
      <c r="GEG7" s="225"/>
      <c r="GEH7" s="225"/>
      <c r="GEI7" s="225"/>
      <c r="GEJ7" s="225"/>
      <c r="GEK7" s="225"/>
      <c r="GEL7" s="225"/>
      <c r="GEM7" s="225"/>
      <c r="GEN7" s="225"/>
      <c r="GEO7" s="225"/>
      <c r="GEP7" s="225"/>
      <c r="GEQ7" s="225"/>
      <c r="GER7" s="225"/>
      <c r="GES7" s="225"/>
      <c r="GET7" s="225"/>
      <c r="GEU7" s="225"/>
      <c r="GEV7" s="225"/>
      <c r="GEW7" s="225"/>
      <c r="GEX7" s="225"/>
      <c r="GEY7" s="225"/>
      <c r="GEZ7" s="225"/>
      <c r="GFA7" s="225"/>
      <c r="GFB7" s="225"/>
      <c r="GFC7" s="225"/>
      <c r="GFD7" s="225"/>
      <c r="GFE7" s="225"/>
      <c r="GFF7" s="225"/>
      <c r="GFG7" s="225"/>
      <c r="GFH7" s="225"/>
      <c r="GFI7" s="225"/>
      <c r="GFJ7" s="225"/>
      <c r="GFK7" s="225"/>
      <c r="GFL7" s="225"/>
      <c r="GFM7" s="225"/>
      <c r="GFN7" s="225"/>
      <c r="GFO7" s="225"/>
      <c r="GFP7" s="225"/>
      <c r="GFQ7" s="225"/>
      <c r="GFR7" s="225"/>
      <c r="GFS7" s="225"/>
      <c r="GFT7" s="225"/>
      <c r="GFU7" s="225"/>
      <c r="GFV7" s="225"/>
      <c r="GFW7" s="225"/>
      <c r="GFX7" s="225"/>
      <c r="GFY7" s="225"/>
      <c r="GFZ7" s="225"/>
      <c r="GGA7" s="225"/>
      <c r="GGB7" s="225"/>
      <c r="GGC7" s="225"/>
      <c r="GGD7" s="225"/>
      <c r="GGE7" s="225"/>
      <c r="GGF7" s="225"/>
      <c r="GGG7" s="225"/>
      <c r="GGH7" s="225"/>
      <c r="GGI7" s="225"/>
      <c r="GGJ7" s="225"/>
      <c r="GGK7" s="225"/>
      <c r="GGL7" s="225"/>
      <c r="GGM7" s="225"/>
      <c r="GGN7" s="225"/>
      <c r="GGO7" s="225"/>
      <c r="GGP7" s="225"/>
      <c r="GGQ7" s="225"/>
      <c r="GGR7" s="225"/>
      <c r="GGS7" s="225"/>
      <c r="GGT7" s="225"/>
      <c r="GGU7" s="225"/>
      <c r="GGV7" s="225"/>
      <c r="GGW7" s="225"/>
      <c r="GGX7" s="225"/>
      <c r="GGY7" s="225"/>
      <c r="GGZ7" s="225"/>
      <c r="GHA7" s="225"/>
      <c r="GHB7" s="225"/>
      <c r="GHC7" s="225"/>
      <c r="GHD7" s="225"/>
      <c r="GHE7" s="225"/>
      <c r="GHF7" s="225"/>
      <c r="GHG7" s="225"/>
      <c r="GHH7" s="225"/>
      <c r="GHI7" s="225"/>
      <c r="GHJ7" s="225"/>
      <c r="GHK7" s="225"/>
      <c r="GHL7" s="225"/>
      <c r="GHM7" s="225"/>
      <c r="GHN7" s="225"/>
      <c r="GHO7" s="225"/>
      <c r="GHP7" s="225"/>
      <c r="GHQ7" s="225"/>
      <c r="GHR7" s="225"/>
      <c r="GHS7" s="225"/>
      <c r="GHT7" s="225"/>
      <c r="GHU7" s="225"/>
      <c r="GHV7" s="225"/>
      <c r="GHW7" s="225"/>
      <c r="GHX7" s="225"/>
      <c r="GHY7" s="225"/>
      <c r="GHZ7" s="225"/>
      <c r="GIA7" s="225"/>
      <c r="GIB7" s="225"/>
      <c r="GIC7" s="225"/>
      <c r="GID7" s="225"/>
      <c r="GIE7" s="225"/>
      <c r="GIF7" s="225"/>
      <c r="GIG7" s="225"/>
      <c r="GIH7" s="225"/>
      <c r="GII7" s="225"/>
      <c r="GIJ7" s="225"/>
      <c r="GIK7" s="225"/>
      <c r="GIL7" s="225"/>
      <c r="GIM7" s="225"/>
      <c r="GIN7" s="225"/>
      <c r="GIO7" s="225"/>
      <c r="GIP7" s="225"/>
      <c r="GIQ7" s="225"/>
      <c r="GIR7" s="225"/>
      <c r="GIS7" s="225"/>
      <c r="GIT7" s="225"/>
      <c r="GIU7" s="225"/>
      <c r="GIV7" s="225"/>
      <c r="GIW7" s="225"/>
      <c r="GIX7" s="225"/>
      <c r="GIY7" s="225"/>
      <c r="GIZ7" s="225"/>
      <c r="GJA7" s="225"/>
      <c r="GJB7" s="225"/>
      <c r="GJC7" s="225"/>
      <c r="GJD7" s="225"/>
      <c r="GJE7" s="225"/>
      <c r="GJF7" s="225"/>
      <c r="GJG7" s="225"/>
      <c r="GJH7" s="225"/>
      <c r="GJI7" s="225"/>
      <c r="GJJ7" s="225"/>
      <c r="GJK7" s="225"/>
      <c r="GJL7" s="225"/>
      <c r="GJM7" s="225"/>
      <c r="GJN7" s="225"/>
      <c r="GJO7" s="225"/>
      <c r="GJP7" s="225"/>
      <c r="GJQ7" s="225"/>
      <c r="GJR7" s="225"/>
      <c r="GJS7" s="225"/>
      <c r="GJT7" s="225"/>
      <c r="GJU7" s="225"/>
      <c r="GJV7" s="225"/>
      <c r="GJW7" s="225"/>
      <c r="GJX7" s="225"/>
      <c r="GJY7" s="225"/>
      <c r="GJZ7" s="225"/>
      <c r="GKA7" s="225"/>
      <c r="GKB7" s="225"/>
      <c r="GKC7" s="225"/>
      <c r="GKD7" s="225"/>
      <c r="GKE7" s="225"/>
      <c r="GKF7" s="225"/>
      <c r="GKG7" s="225"/>
      <c r="GKH7" s="225"/>
      <c r="GKI7" s="225"/>
      <c r="GKJ7" s="225"/>
      <c r="GKK7" s="225"/>
      <c r="GKL7" s="225"/>
      <c r="GKM7" s="225"/>
      <c r="GKN7" s="225"/>
      <c r="GKO7" s="225"/>
      <c r="GKP7" s="225"/>
      <c r="GKQ7" s="225"/>
      <c r="GKR7" s="225"/>
      <c r="GKS7" s="225"/>
      <c r="GKT7" s="225"/>
      <c r="GKU7" s="225"/>
      <c r="GKV7" s="225"/>
      <c r="GKW7" s="225"/>
      <c r="GKX7" s="225"/>
      <c r="GKY7" s="225"/>
      <c r="GKZ7" s="225"/>
      <c r="GLA7" s="225"/>
      <c r="GLB7" s="225"/>
      <c r="GLC7" s="225"/>
      <c r="GLD7" s="225"/>
      <c r="GLE7" s="225"/>
      <c r="GLF7" s="225"/>
      <c r="GLG7" s="225"/>
      <c r="GLH7" s="225"/>
      <c r="GLI7" s="225"/>
      <c r="GLJ7" s="225"/>
      <c r="GLK7" s="225"/>
      <c r="GLL7" s="225"/>
      <c r="GLM7" s="225"/>
      <c r="GLN7" s="225"/>
      <c r="GLO7" s="225"/>
      <c r="GLP7" s="225"/>
      <c r="GLQ7" s="225"/>
      <c r="GLR7" s="225"/>
      <c r="GLS7" s="225"/>
      <c r="GLT7" s="225"/>
      <c r="GLU7" s="225"/>
      <c r="GLV7" s="225"/>
      <c r="GLW7" s="225"/>
      <c r="GLX7" s="225"/>
      <c r="GLY7" s="225"/>
      <c r="GLZ7" s="225"/>
      <c r="GMA7" s="225"/>
      <c r="GMB7" s="225"/>
      <c r="GMC7" s="225"/>
      <c r="GMD7" s="225"/>
      <c r="GME7" s="225"/>
      <c r="GMF7" s="225"/>
      <c r="GMG7" s="225"/>
      <c r="GMH7" s="225"/>
      <c r="GMI7" s="225"/>
      <c r="GMJ7" s="225"/>
      <c r="GMK7" s="225"/>
      <c r="GML7" s="225"/>
      <c r="GMM7" s="225"/>
      <c r="GMN7" s="225"/>
      <c r="GMO7" s="225"/>
      <c r="GMP7" s="225"/>
      <c r="GMQ7" s="225"/>
      <c r="GMR7" s="225"/>
      <c r="GMS7" s="225"/>
      <c r="GMT7" s="225"/>
      <c r="GMU7" s="225"/>
      <c r="GMV7" s="225"/>
      <c r="GMW7" s="225"/>
      <c r="GMX7" s="225"/>
      <c r="GMY7" s="225"/>
      <c r="GMZ7" s="225"/>
      <c r="GNA7" s="225"/>
      <c r="GNB7" s="225"/>
      <c r="GNC7" s="225"/>
      <c r="GND7" s="225"/>
      <c r="GNE7" s="225"/>
      <c r="GNF7" s="225"/>
      <c r="GNG7" s="225"/>
      <c r="GNH7" s="225"/>
      <c r="GNI7" s="225"/>
      <c r="GNJ7" s="225"/>
      <c r="GNK7" s="225"/>
      <c r="GNL7" s="225"/>
      <c r="GNM7" s="225"/>
      <c r="GNN7" s="225"/>
      <c r="GNO7" s="225"/>
      <c r="GNP7" s="225"/>
      <c r="GNQ7" s="225"/>
      <c r="GNR7" s="225"/>
      <c r="GNS7" s="225"/>
      <c r="GNT7" s="225"/>
      <c r="GNU7" s="225"/>
      <c r="GNV7" s="225"/>
      <c r="GNW7" s="225"/>
      <c r="GNX7" s="225"/>
      <c r="GNY7" s="225"/>
      <c r="GNZ7" s="225"/>
      <c r="GOA7" s="225"/>
      <c r="GOB7" s="225"/>
      <c r="GOC7" s="225"/>
      <c r="GOD7" s="225"/>
      <c r="GOE7" s="225"/>
      <c r="GOF7" s="225"/>
      <c r="GOG7" s="225"/>
      <c r="GOH7" s="225"/>
      <c r="GOI7" s="225"/>
      <c r="GOJ7" s="225"/>
      <c r="GOK7" s="225"/>
      <c r="GOL7" s="225"/>
      <c r="GOM7" s="225"/>
      <c r="GON7" s="225"/>
      <c r="GOO7" s="225"/>
      <c r="GOP7" s="225"/>
      <c r="GOQ7" s="225"/>
      <c r="GOR7" s="225"/>
      <c r="GOS7" s="225"/>
      <c r="GOT7" s="225"/>
      <c r="GOU7" s="225"/>
      <c r="GOV7" s="225"/>
      <c r="GOW7" s="225"/>
      <c r="GOX7" s="225"/>
      <c r="GOY7" s="225"/>
      <c r="GOZ7" s="225"/>
      <c r="GPA7" s="225"/>
      <c r="GPB7" s="225"/>
      <c r="GPC7" s="225"/>
      <c r="GPD7" s="225"/>
      <c r="GPE7" s="225"/>
      <c r="GPF7" s="225"/>
      <c r="GPG7" s="225"/>
      <c r="GPH7" s="225"/>
      <c r="GPI7" s="225"/>
      <c r="GPJ7" s="225"/>
      <c r="GPK7" s="225"/>
      <c r="GPL7" s="225"/>
      <c r="GPM7" s="225"/>
      <c r="GPN7" s="225"/>
      <c r="GPO7" s="225"/>
      <c r="GPP7" s="225"/>
      <c r="GPQ7" s="225"/>
      <c r="GPR7" s="225"/>
      <c r="GPS7" s="225"/>
      <c r="GPT7" s="225"/>
      <c r="GPU7" s="225"/>
      <c r="GPV7" s="225"/>
      <c r="GPW7" s="225"/>
      <c r="GPX7" s="225"/>
      <c r="GPY7" s="225"/>
      <c r="GPZ7" s="225"/>
      <c r="GQA7" s="225"/>
      <c r="GQB7" s="225"/>
      <c r="GQC7" s="225"/>
      <c r="GQD7" s="225"/>
      <c r="GQE7" s="225"/>
      <c r="GQF7" s="225"/>
      <c r="GQG7" s="225"/>
      <c r="GQH7" s="225"/>
      <c r="GQI7" s="225"/>
      <c r="GQJ7" s="225"/>
      <c r="GQK7" s="225"/>
      <c r="GQL7" s="225"/>
      <c r="GQM7" s="225"/>
      <c r="GQN7" s="225"/>
      <c r="GQO7" s="225"/>
      <c r="GQP7" s="225"/>
      <c r="GQQ7" s="225"/>
      <c r="GQR7" s="225"/>
      <c r="GQS7" s="225"/>
      <c r="GQT7" s="225"/>
      <c r="GQU7" s="225"/>
      <c r="GQV7" s="225"/>
      <c r="GQW7" s="225"/>
      <c r="GQX7" s="225"/>
      <c r="GQY7" s="225"/>
      <c r="GQZ7" s="225"/>
      <c r="GRA7" s="225"/>
      <c r="GRB7" s="225"/>
      <c r="GRC7" s="225"/>
      <c r="GRD7" s="225"/>
      <c r="GRE7" s="225"/>
      <c r="GRF7" s="225"/>
      <c r="GRG7" s="225"/>
      <c r="GRH7" s="225"/>
      <c r="GRI7" s="225"/>
      <c r="GRJ7" s="225"/>
      <c r="GRK7" s="225"/>
      <c r="GRL7" s="225"/>
      <c r="GRM7" s="225"/>
      <c r="GRN7" s="225"/>
      <c r="GRO7" s="225"/>
      <c r="GRP7" s="225"/>
      <c r="GRQ7" s="225"/>
      <c r="GRR7" s="225"/>
      <c r="GRS7" s="225"/>
      <c r="GRT7" s="225"/>
      <c r="GRU7" s="225"/>
      <c r="GRV7" s="225"/>
      <c r="GRW7" s="225"/>
      <c r="GRX7" s="225"/>
      <c r="GRY7" s="225"/>
      <c r="GRZ7" s="225"/>
      <c r="GSA7" s="225"/>
      <c r="GSB7" s="225"/>
      <c r="GSC7" s="225"/>
      <c r="GSD7" s="225"/>
      <c r="GSE7" s="225"/>
      <c r="GSF7" s="225"/>
      <c r="GSG7" s="225"/>
      <c r="GSH7" s="225"/>
      <c r="GSI7" s="225"/>
      <c r="GSJ7" s="225"/>
      <c r="GSK7" s="225"/>
      <c r="GSL7" s="225"/>
      <c r="GSM7" s="225"/>
      <c r="GSN7" s="225"/>
      <c r="GSO7" s="225"/>
      <c r="GSP7" s="225"/>
      <c r="GSQ7" s="225"/>
      <c r="GSR7" s="225"/>
      <c r="GSS7" s="225"/>
      <c r="GST7" s="225"/>
      <c r="GSU7" s="225"/>
      <c r="GSV7" s="225"/>
      <c r="GSW7" s="225"/>
      <c r="GSX7" s="225"/>
      <c r="GSY7" s="225"/>
      <c r="GSZ7" s="225"/>
      <c r="GTA7" s="225"/>
      <c r="GTB7" s="225"/>
      <c r="GTC7" s="225"/>
      <c r="GTD7" s="225"/>
      <c r="GTE7" s="225"/>
      <c r="GTF7" s="225"/>
      <c r="GTG7" s="225"/>
      <c r="GTH7" s="225"/>
      <c r="GTI7" s="225"/>
      <c r="GTJ7" s="225"/>
      <c r="GTK7" s="225"/>
      <c r="GTL7" s="225"/>
      <c r="GTM7" s="225"/>
      <c r="GTN7" s="225"/>
      <c r="GTO7" s="225"/>
      <c r="GTP7" s="225"/>
      <c r="GTQ7" s="225"/>
      <c r="GTR7" s="225"/>
      <c r="GTS7" s="225"/>
      <c r="GTT7" s="225"/>
      <c r="GTU7" s="225"/>
      <c r="GTV7" s="225"/>
      <c r="GTW7" s="225"/>
      <c r="GTX7" s="225"/>
      <c r="GTY7" s="225"/>
      <c r="GTZ7" s="225"/>
      <c r="GUA7" s="225"/>
      <c r="GUB7" s="225"/>
      <c r="GUC7" s="225"/>
      <c r="GUD7" s="225"/>
      <c r="GUE7" s="225"/>
      <c r="GUF7" s="225"/>
      <c r="GUG7" s="225"/>
      <c r="GUH7" s="225"/>
      <c r="GUI7" s="225"/>
      <c r="GUJ7" s="225"/>
      <c r="GUK7" s="225"/>
      <c r="GUL7" s="225"/>
      <c r="GUM7" s="225"/>
      <c r="GUN7" s="225"/>
      <c r="GUO7" s="225"/>
      <c r="GUP7" s="225"/>
      <c r="GUQ7" s="225"/>
      <c r="GUR7" s="225"/>
      <c r="GUS7" s="225"/>
      <c r="GUT7" s="225"/>
      <c r="GUU7" s="225"/>
      <c r="GUV7" s="225"/>
      <c r="GUW7" s="225"/>
      <c r="GUX7" s="225"/>
      <c r="GUY7" s="225"/>
      <c r="GUZ7" s="225"/>
      <c r="GVA7" s="225"/>
      <c r="GVB7" s="225"/>
      <c r="GVC7" s="225"/>
      <c r="GVD7" s="225"/>
      <c r="GVE7" s="225"/>
      <c r="GVF7" s="225"/>
      <c r="GVG7" s="225"/>
      <c r="GVH7" s="225"/>
      <c r="GVI7" s="225"/>
      <c r="GVJ7" s="225"/>
      <c r="GVK7" s="225"/>
      <c r="GVL7" s="225"/>
      <c r="GVM7" s="225"/>
      <c r="GVN7" s="225"/>
      <c r="GVO7" s="225"/>
      <c r="GVP7" s="225"/>
      <c r="GVQ7" s="225"/>
      <c r="GVR7" s="225"/>
      <c r="GVS7" s="225"/>
      <c r="GVT7" s="225"/>
      <c r="GVU7" s="225"/>
      <c r="GVV7" s="225"/>
      <c r="GVW7" s="225"/>
      <c r="GVX7" s="225"/>
      <c r="GVY7" s="225"/>
      <c r="GVZ7" s="225"/>
      <c r="GWA7" s="225"/>
      <c r="GWB7" s="225"/>
      <c r="GWC7" s="225"/>
      <c r="GWD7" s="225"/>
      <c r="GWE7" s="225"/>
      <c r="GWF7" s="225"/>
      <c r="GWG7" s="225"/>
      <c r="GWH7" s="225"/>
      <c r="GWI7" s="225"/>
      <c r="GWJ7" s="225"/>
      <c r="GWK7" s="225"/>
      <c r="GWL7" s="225"/>
      <c r="GWM7" s="225"/>
      <c r="GWN7" s="225"/>
      <c r="GWO7" s="225"/>
      <c r="GWP7" s="225"/>
      <c r="GWQ7" s="225"/>
      <c r="GWR7" s="225"/>
      <c r="GWS7" s="225"/>
      <c r="GWT7" s="225"/>
      <c r="GWU7" s="225"/>
      <c r="GWV7" s="225"/>
      <c r="GWW7" s="225"/>
      <c r="GWX7" s="225"/>
      <c r="GWY7" s="225"/>
      <c r="GWZ7" s="225"/>
      <c r="GXA7" s="225"/>
      <c r="GXB7" s="225"/>
      <c r="GXC7" s="225"/>
      <c r="GXD7" s="225"/>
      <c r="GXE7" s="225"/>
      <c r="GXF7" s="225"/>
      <c r="GXG7" s="225"/>
      <c r="GXH7" s="225"/>
      <c r="GXI7" s="225"/>
      <c r="GXJ7" s="225"/>
      <c r="GXK7" s="225"/>
      <c r="GXL7" s="225"/>
      <c r="GXM7" s="225"/>
      <c r="GXN7" s="225"/>
      <c r="GXO7" s="225"/>
      <c r="GXP7" s="225"/>
      <c r="GXQ7" s="225"/>
      <c r="GXR7" s="225"/>
      <c r="GXS7" s="225"/>
      <c r="GXT7" s="225"/>
      <c r="GXU7" s="225"/>
      <c r="GXV7" s="225"/>
      <c r="GXW7" s="225"/>
      <c r="GXX7" s="225"/>
      <c r="GXY7" s="225"/>
      <c r="GXZ7" s="225"/>
      <c r="GYA7" s="225"/>
      <c r="GYB7" s="225"/>
      <c r="GYC7" s="225"/>
      <c r="GYD7" s="225"/>
      <c r="GYE7" s="225"/>
      <c r="GYF7" s="225"/>
      <c r="GYG7" s="225"/>
      <c r="GYH7" s="225"/>
      <c r="GYI7" s="225"/>
      <c r="GYJ7" s="225"/>
      <c r="GYK7" s="225"/>
      <c r="GYL7" s="225"/>
      <c r="GYM7" s="225"/>
      <c r="GYN7" s="225"/>
      <c r="GYO7" s="225"/>
      <c r="GYP7" s="225"/>
      <c r="GYQ7" s="225"/>
      <c r="GYR7" s="225"/>
      <c r="GYS7" s="225"/>
      <c r="GYT7" s="225"/>
      <c r="GYU7" s="225"/>
      <c r="GYV7" s="225"/>
      <c r="GYW7" s="225"/>
      <c r="GYX7" s="225"/>
      <c r="GYY7" s="225"/>
      <c r="GYZ7" s="225"/>
      <c r="GZA7" s="225"/>
      <c r="GZB7" s="225"/>
      <c r="GZC7" s="225"/>
      <c r="GZD7" s="225"/>
      <c r="GZE7" s="225"/>
      <c r="GZF7" s="225"/>
      <c r="GZG7" s="225"/>
      <c r="GZH7" s="225"/>
      <c r="GZI7" s="225"/>
      <c r="GZJ7" s="225"/>
      <c r="GZK7" s="225"/>
      <c r="GZL7" s="225"/>
      <c r="GZM7" s="225"/>
      <c r="GZN7" s="225"/>
      <c r="GZO7" s="225"/>
      <c r="GZP7" s="225"/>
      <c r="GZQ7" s="225"/>
      <c r="GZR7" s="225"/>
      <c r="GZS7" s="225"/>
      <c r="GZT7" s="225"/>
      <c r="GZU7" s="225"/>
      <c r="GZV7" s="225"/>
      <c r="GZW7" s="225"/>
      <c r="GZX7" s="225"/>
      <c r="GZY7" s="225"/>
      <c r="GZZ7" s="225"/>
      <c r="HAA7" s="225"/>
      <c r="HAB7" s="225"/>
      <c r="HAC7" s="225"/>
      <c r="HAD7" s="225"/>
      <c r="HAE7" s="225"/>
      <c r="HAF7" s="225"/>
      <c r="HAG7" s="225"/>
      <c r="HAH7" s="225"/>
      <c r="HAI7" s="225"/>
      <c r="HAJ7" s="225"/>
      <c r="HAK7" s="225"/>
      <c r="HAL7" s="225"/>
      <c r="HAM7" s="225"/>
      <c r="HAN7" s="225"/>
      <c r="HAO7" s="225"/>
      <c r="HAP7" s="225"/>
      <c r="HAQ7" s="225"/>
      <c r="HAR7" s="225"/>
      <c r="HAS7" s="225"/>
      <c r="HAT7" s="225"/>
      <c r="HAU7" s="225"/>
      <c r="HAV7" s="225"/>
      <c r="HAW7" s="225"/>
      <c r="HAX7" s="225"/>
      <c r="HAY7" s="225"/>
      <c r="HAZ7" s="225"/>
      <c r="HBA7" s="225"/>
      <c r="HBB7" s="225"/>
      <c r="HBC7" s="225"/>
      <c r="HBD7" s="225"/>
      <c r="HBE7" s="225"/>
      <c r="HBF7" s="225"/>
      <c r="HBG7" s="225"/>
      <c r="HBH7" s="225"/>
      <c r="HBI7" s="225"/>
      <c r="HBJ7" s="225"/>
      <c r="HBK7" s="225"/>
      <c r="HBL7" s="225"/>
      <c r="HBM7" s="225"/>
      <c r="HBN7" s="225"/>
      <c r="HBO7" s="225"/>
      <c r="HBP7" s="225"/>
      <c r="HBQ7" s="225"/>
      <c r="HBR7" s="225"/>
      <c r="HBS7" s="225"/>
      <c r="HBT7" s="225"/>
      <c r="HBU7" s="225"/>
      <c r="HBV7" s="225"/>
      <c r="HBW7" s="225"/>
      <c r="HBX7" s="225"/>
      <c r="HBY7" s="225"/>
      <c r="HBZ7" s="225"/>
      <c r="HCA7" s="225"/>
      <c r="HCB7" s="225"/>
      <c r="HCC7" s="225"/>
      <c r="HCD7" s="225"/>
      <c r="HCE7" s="225"/>
      <c r="HCF7" s="225"/>
      <c r="HCG7" s="225"/>
      <c r="HCH7" s="225"/>
      <c r="HCI7" s="225"/>
      <c r="HCJ7" s="225"/>
      <c r="HCK7" s="225"/>
      <c r="HCL7" s="225"/>
      <c r="HCM7" s="225"/>
      <c r="HCN7" s="225"/>
      <c r="HCO7" s="225"/>
      <c r="HCP7" s="225"/>
      <c r="HCQ7" s="225"/>
      <c r="HCR7" s="225"/>
      <c r="HCS7" s="225"/>
      <c r="HCT7" s="225"/>
      <c r="HCU7" s="225"/>
      <c r="HCV7" s="225"/>
      <c r="HCW7" s="225"/>
      <c r="HCX7" s="225"/>
      <c r="HCY7" s="225"/>
      <c r="HCZ7" s="225"/>
      <c r="HDA7" s="225"/>
      <c r="HDB7" s="225"/>
      <c r="HDC7" s="225"/>
      <c r="HDD7" s="225"/>
      <c r="HDE7" s="225"/>
      <c r="HDF7" s="225"/>
      <c r="HDG7" s="225"/>
      <c r="HDH7" s="225"/>
      <c r="HDI7" s="225"/>
      <c r="HDJ7" s="225"/>
      <c r="HDK7" s="225"/>
      <c r="HDL7" s="225"/>
      <c r="HDM7" s="225"/>
      <c r="HDN7" s="225"/>
      <c r="HDO7" s="225"/>
      <c r="HDP7" s="225"/>
      <c r="HDQ7" s="225"/>
      <c r="HDR7" s="225"/>
      <c r="HDS7" s="225"/>
      <c r="HDT7" s="225"/>
      <c r="HDU7" s="225"/>
      <c r="HDV7" s="225"/>
      <c r="HDW7" s="225"/>
      <c r="HDX7" s="225"/>
      <c r="HDY7" s="225"/>
      <c r="HDZ7" s="225"/>
      <c r="HEA7" s="225"/>
      <c r="HEB7" s="225"/>
      <c r="HEC7" s="225"/>
      <c r="HED7" s="225"/>
      <c r="HEE7" s="225"/>
      <c r="HEF7" s="225"/>
      <c r="HEG7" s="225"/>
      <c r="HEH7" s="225"/>
      <c r="HEI7" s="225"/>
      <c r="HEJ7" s="225"/>
      <c r="HEK7" s="225"/>
      <c r="HEL7" s="225"/>
      <c r="HEM7" s="225"/>
      <c r="HEN7" s="225"/>
      <c r="HEO7" s="225"/>
      <c r="HEP7" s="225"/>
      <c r="HEQ7" s="225"/>
      <c r="HER7" s="225"/>
      <c r="HES7" s="225"/>
      <c r="HET7" s="225"/>
      <c r="HEU7" s="225"/>
      <c r="HEV7" s="225"/>
      <c r="HEW7" s="225"/>
      <c r="HEX7" s="225"/>
      <c r="HEY7" s="225"/>
      <c r="HEZ7" s="225"/>
      <c r="HFA7" s="225"/>
      <c r="HFB7" s="225"/>
      <c r="HFC7" s="225"/>
      <c r="HFD7" s="225"/>
      <c r="HFE7" s="225"/>
      <c r="HFF7" s="225"/>
      <c r="HFG7" s="225"/>
      <c r="HFH7" s="225"/>
      <c r="HFI7" s="225"/>
      <c r="HFJ7" s="225"/>
      <c r="HFK7" s="225"/>
      <c r="HFL7" s="225"/>
      <c r="HFM7" s="225"/>
      <c r="HFN7" s="225"/>
      <c r="HFO7" s="225"/>
      <c r="HFP7" s="225"/>
      <c r="HFQ7" s="225"/>
      <c r="HFR7" s="225"/>
      <c r="HFS7" s="225"/>
      <c r="HFT7" s="225"/>
      <c r="HFU7" s="225"/>
      <c r="HFV7" s="225"/>
      <c r="HFW7" s="225"/>
      <c r="HFX7" s="225"/>
      <c r="HFY7" s="225"/>
      <c r="HFZ7" s="225"/>
      <c r="HGA7" s="225"/>
      <c r="HGB7" s="225"/>
      <c r="HGC7" s="225"/>
      <c r="HGD7" s="225"/>
      <c r="HGE7" s="225"/>
      <c r="HGF7" s="225"/>
      <c r="HGG7" s="225"/>
      <c r="HGH7" s="225"/>
      <c r="HGI7" s="225"/>
      <c r="HGJ7" s="225"/>
      <c r="HGK7" s="225"/>
      <c r="HGL7" s="225"/>
      <c r="HGM7" s="225"/>
      <c r="HGN7" s="225"/>
      <c r="HGO7" s="225"/>
      <c r="HGP7" s="225"/>
      <c r="HGQ7" s="225"/>
      <c r="HGR7" s="225"/>
      <c r="HGS7" s="225"/>
      <c r="HGT7" s="225"/>
      <c r="HGU7" s="225"/>
      <c r="HGV7" s="225"/>
      <c r="HGW7" s="225"/>
      <c r="HGX7" s="225"/>
      <c r="HGY7" s="225"/>
      <c r="HGZ7" s="225"/>
      <c r="HHA7" s="225"/>
      <c r="HHB7" s="225"/>
      <c r="HHC7" s="225"/>
      <c r="HHD7" s="225"/>
      <c r="HHE7" s="225"/>
      <c r="HHF7" s="225"/>
      <c r="HHG7" s="225"/>
      <c r="HHH7" s="225"/>
      <c r="HHI7" s="225"/>
      <c r="HHJ7" s="225"/>
      <c r="HHK7" s="225"/>
      <c r="HHL7" s="225"/>
      <c r="HHM7" s="225"/>
      <c r="HHN7" s="225"/>
      <c r="HHO7" s="225"/>
      <c r="HHP7" s="225"/>
      <c r="HHQ7" s="225"/>
      <c r="HHR7" s="225"/>
      <c r="HHS7" s="225"/>
      <c r="HHT7" s="225"/>
      <c r="HHU7" s="225"/>
      <c r="HHV7" s="225"/>
      <c r="HHW7" s="225"/>
      <c r="HHX7" s="225"/>
      <c r="HHY7" s="225"/>
      <c r="HHZ7" s="225"/>
      <c r="HIA7" s="225"/>
      <c r="HIB7" s="225"/>
      <c r="HIC7" s="225"/>
      <c r="HID7" s="225"/>
      <c r="HIE7" s="225"/>
      <c r="HIF7" s="225"/>
      <c r="HIG7" s="225"/>
      <c r="HIH7" s="225"/>
      <c r="HII7" s="225"/>
      <c r="HIJ7" s="225"/>
      <c r="HIK7" s="225"/>
      <c r="HIL7" s="225"/>
      <c r="HIM7" s="225"/>
      <c r="HIN7" s="225"/>
      <c r="HIO7" s="225"/>
      <c r="HIP7" s="225"/>
      <c r="HIQ7" s="225"/>
      <c r="HIR7" s="225"/>
      <c r="HIS7" s="225"/>
      <c r="HIT7" s="225"/>
      <c r="HIU7" s="225"/>
      <c r="HIV7" s="225"/>
      <c r="HIW7" s="225"/>
      <c r="HIX7" s="225"/>
      <c r="HIY7" s="225"/>
      <c r="HIZ7" s="225"/>
      <c r="HJA7" s="225"/>
      <c r="HJB7" s="225"/>
      <c r="HJC7" s="225"/>
      <c r="HJD7" s="225"/>
      <c r="HJE7" s="225"/>
      <c r="HJF7" s="225"/>
      <c r="HJG7" s="225"/>
      <c r="HJH7" s="225"/>
      <c r="HJI7" s="225"/>
      <c r="HJJ7" s="225"/>
      <c r="HJK7" s="225"/>
      <c r="HJL7" s="225"/>
      <c r="HJM7" s="225"/>
      <c r="HJN7" s="225"/>
      <c r="HJO7" s="225"/>
      <c r="HJP7" s="225"/>
      <c r="HJQ7" s="225"/>
      <c r="HJR7" s="225"/>
      <c r="HJS7" s="225"/>
      <c r="HJT7" s="225"/>
      <c r="HJU7" s="225"/>
      <c r="HJV7" s="225"/>
      <c r="HJW7" s="225"/>
      <c r="HJX7" s="225"/>
      <c r="HJY7" s="225"/>
      <c r="HJZ7" s="225"/>
      <c r="HKA7" s="225"/>
      <c r="HKB7" s="225"/>
      <c r="HKC7" s="225"/>
      <c r="HKD7" s="225"/>
      <c r="HKE7" s="225"/>
      <c r="HKF7" s="225"/>
      <c r="HKG7" s="225"/>
      <c r="HKH7" s="225"/>
      <c r="HKI7" s="225"/>
      <c r="HKJ7" s="225"/>
      <c r="HKK7" s="225"/>
      <c r="HKL7" s="225"/>
      <c r="HKM7" s="225"/>
      <c r="HKN7" s="225"/>
      <c r="HKO7" s="225"/>
      <c r="HKP7" s="225"/>
      <c r="HKQ7" s="225"/>
      <c r="HKR7" s="225"/>
      <c r="HKS7" s="225"/>
      <c r="HKT7" s="225"/>
      <c r="HKU7" s="225"/>
      <c r="HKV7" s="225"/>
      <c r="HKW7" s="225"/>
      <c r="HKX7" s="225"/>
      <c r="HKY7" s="225"/>
      <c r="HKZ7" s="225"/>
      <c r="HLA7" s="225"/>
      <c r="HLB7" s="225"/>
      <c r="HLC7" s="225"/>
      <c r="HLD7" s="225"/>
      <c r="HLE7" s="225"/>
      <c r="HLF7" s="225"/>
      <c r="HLG7" s="225"/>
      <c r="HLH7" s="225"/>
      <c r="HLI7" s="225"/>
      <c r="HLJ7" s="225"/>
      <c r="HLK7" s="225"/>
      <c r="HLL7" s="225"/>
      <c r="HLM7" s="225"/>
      <c r="HLN7" s="225"/>
      <c r="HLO7" s="225"/>
      <c r="HLP7" s="225"/>
      <c r="HLQ7" s="225"/>
      <c r="HLR7" s="225"/>
      <c r="HLS7" s="225"/>
      <c r="HLT7" s="225"/>
      <c r="HLU7" s="225"/>
      <c r="HLV7" s="225"/>
      <c r="HLW7" s="225"/>
      <c r="HLX7" s="225"/>
      <c r="HLY7" s="225"/>
      <c r="HLZ7" s="225"/>
      <c r="HMA7" s="225"/>
      <c r="HMB7" s="225"/>
      <c r="HMC7" s="225"/>
      <c r="HMD7" s="225"/>
      <c r="HME7" s="225"/>
      <c r="HMF7" s="225"/>
      <c r="HMG7" s="225"/>
      <c r="HMH7" s="225"/>
      <c r="HMI7" s="225"/>
      <c r="HMJ7" s="225"/>
      <c r="HMK7" s="225"/>
      <c r="HML7" s="225"/>
      <c r="HMM7" s="225"/>
      <c r="HMN7" s="225"/>
      <c r="HMO7" s="225"/>
      <c r="HMP7" s="225"/>
      <c r="HMQ7" s="225"/>
      <c r="HMR7" s="225"/>
      <c r="HMS7" s="225"/>
      <c r="HMT7" s="225"/>
      <c r="HMU7" s="225"/>
      <c r="HMV7" s="225"/>
      <c r="HMW7" s="225"/>
      <c r="HMX7" s="225"/>
      <c r="HMY7" s="225"/>
      <c r="HMZ7" s="225"/>
      <c r="HNA7" s="225"/>
      <c r="HNB7" s="225"/>
      <c r="HNC7" s="225"/>
      <c r="HND7" s="225"/>
      <c r="HNE7" s="225"/>
      <c r="HNF7" s="225"/>
      <c r="HNG7" s="225"/>
      <c r="HNH7" s="225"/>
      <c r="HNI7" s="225"/>
      <c r="HNJ7" s="225"/>
      <c r="HNK7" s="225"/>
      <c r="HNL7" s="225"/>
      <c r="HNM7" s="225"/>
      <c r="HNN7" s="225"/>
      <c r="HNO7" s="225"/>
      <c r="HNP7" s="225"/>
      <c r="HNQ7" s="225"/>
      <c r="HNR7" s="225"/>
      <c r="HNS7" s="225"/>
      <c r="HNT7" s="225"/>
      <c r="HNU7" s="225"/>
      <c r="HNV7" s="225"/>
      <c r="HNW7" s="225"/>
      <c r="HNX7" s="225"/>
      <c r="HNY7" s="225"/>
      <c r="HNZ7" s="225"/>
      <c r="HOA7" s="225"/>
      <c r="HOB7" s="225"/>
      <c r="HOC7" s="225"/>
      <c r="HOD7" s="225"/>
      <c r="HOE7" s="225"/>
      <c r="HOF7" s="225"/>
      <c r="HOG7" s="225"/>
      <c r="HOH7" s="225"/>
      <c r="HOI7" s="225"/>
      <c r="HOJ7" s="225"/>
      <c r="HOK7" s="225"/>
      <c r="HOL7" s="225"/>
      <c r="HOM7" s="225"/>
      <c r="HON7" s="225"/>
      <c r="HOO7" s="225"/>
      <c r="HOP7" s="225"/>
      <c r="HOQ7" s="225"/>
      <c r="HOR7" s="225"/>
      <c r="HOS7" s="225"/>
      <c r="HOT7" s="225"/>
      <c r="HOU7" s="225"/>
      <c r="HOV7" s="225"/>
      <c r="HOW7" s="225"/>
      <c r="HOX7" s="225"/>
      <c r="HOY7" s="225"/>
      <c r="HOZ7" s="225"/>
      <c r="HPA7" s="225"/>
      <c r="HPB7" s="225"/>
      <c r="HPC7" s="225"/>
      <c r="HPD7" s="225"/>
      <c r="HPE7" s="225"/>
      <c r="HPF7" s="225"/>
      <c r="HPG7" s="225"/>
      <c r="HPH7" s="225"/>
      <c r="HPI7" s="225"/>
      <c r="HPJ7" s="225"/>
      <c r="HPK7" s="225"/>
      <c r="HPL7" s="225"/>
      <c r="HPM7" s="225"/>
      <c r="HPN7" s="225"/>
      <c r="HPO7" s="225"/>
      <c r="HPP7" s="225"/>
      <c r="HPQ7" s="225"/>
      <c r="HPR7" s="225"/>
      <c r="HPS7" s="225"/>
      <c r="HPT7" s="225"/>
      <c r="HPU7" s="225"/>
      <c r="HPV7" s="225"/>
      <c r="HPW7" s="225"/>
      <c r="HPX7" s="225"/>
      <c r="HPY7" s="225"/>
      <c r="HPZ7" s="225"/>
      <c r="HQA7" s="225"/>
      <c r="HQB7" s="225"/>
      <c r="HQC7" s="225"/>
      <c r="HQD7" s="225"/>
      <c r="HQE7" s="225"/>
      <c r="HQF7" s="225"/>
      <c r="HQG7" s="225"/>
      <c r="HQH7" s="225"/>
      <c r="HQI7" s="225"/>
      <c r="HQJ7" s="225"/>
      <c r="HQK7" s="225"/>
      <c r="HQL7" s="225"/>
      <c r="HQM7" s="225"/>
      <c r="HQN7" s="225"/>
      <c r="HQO7" s="225"/>
      <c r="HQP7" s="225"/>
      <c r="HQQ7" s="225"/>
      <c r="HQR7" s="225"/>
      <c r="HQS7" s="225"/>
      <c r="HQT7" s="225"/>
      <c r="HQU7" s="225"/>
      <c r="HQV7" s="225"/>
      <c r="HQW7" s="225"/>
      <c r="HQX7" s="225"/>
      <c r="HQY7" s="225"/>
      <c r="HQZ7" s="225"/>
      <c r="HRA7" s="225"/>
      <c r="HRB7" s="225"/>
      <c r="HRC7" s="225"/>
      <c r="HRD7" s="225"/>
      <c r="HRE7" s="225"/>
      <c r="HRF7" s="225"/>
      <c r="HRG7" s="225"/>
      <c r="HRH7" s="225"/>
      <c r="HRI7" s="225"/>
      <c r="HRJ7" s="225"/>
      <c r="HRK7" s="225"/>
      <c r="HRL7" s="225"/>
      <c r="HRM7" s="225"/>
      <c r="HRN7" s="225"/>
      <c r="HRO7" s="225"/>
      <c r="HRP7" s="225"/>
      <c r="HRQ7" s="225"/>
      <c r="HRR7" s="225"/>
      <c r="HRS7" s="225"/>
      <c r="HRT7" s="225"/>
      <c r="HRU7" s="225"/>
      <c r="HRV7" s="225"/>
      <c r="HRW7" s="225"/>
      <c r="HRX7" s="225"/>
      <c r="HRY7" s="225"/>
      <c r="HRZ7" s="225"/>
      <c r="HSA7" s="225"/>
      <c r="HSB7" s="225"/>
      <c r="HSC7" s="225"/>
      <c r="HSD7" s="225"/>
      <c r="HSE7" s="225"/>
      <c r="HSF7" s="225"/>
      <c r="HSG7" s="225"/>
      <c r="HSH7" s="225"/>
      <c r="HSI7" s="225"/>
      <c r="HSJ7" s="225"/>
      <c r="HSK7" s="225"/>
      <c r="HSL7" s="225"/>
      <c r="HSM7" s="225"/>
      <c r="HSN7" s="225"/>
      <c r="HSO7" s="225"/>
      <c r="HSP7" s="225"/>
      <c r="HSQ7" s="225"/>
      <c r="HSR7" s="225"/>
      <c r="HSS7" s="225"/>
      <c r="HST7" s="225"/>
      <c r="HSU7" s="225"/>
      <c r="HSV7" s="225"/>
      <c r="HSW7" s="225"/>
      <c r="HSX7" s="225"/>
      <c r="HSY7" s="225"/>
      <c r="HSZ7" s="225"/>
      <c r="HTA7" s="225"/>
      <c r="HTB7" s="225"/>
      <c r="HTC7" s="225"/>
      <c r="HTD7" s="225"/>
      <c r="HTE7" s="225"/>
      <c r="HTF7" s="225"/>
      <c r="HTG7" s="225"/>
      <c r="HTH7" s="225"/>
      <c r="HTI7" s="225"/>
      <c r="HTJ7" s="225"/>
      <c r="HTK7" s="225"/>
      <c r="HTL7" s="225"/>
      <c r="HTM7" s="225"/>
      <c r="HTN7" s="225"/>
      <c r="HTO7" s="225"/>
      <c r="HTP7" s="225"/>
      <c r="HTQ7" s="225"/>
      <c r="HTR7" s="225"/>
      <c r="HTS7" s="225"/>
      <c r="HTT7" s="225"/>
      <c r="HTU7" s="225"/>
      <c r="HTV7" s="225"/>
      <c r="HTW7" s="225"/>
      <c r="HTX7" s="225"/>
      <c r="HTY7" s="225"/>
      <c r="HTZ7" s="225"/>
      <c r="HUA7" s="225"/>
      <c r="HUB7" s="225"/>
      <c r="HUC7" s="225"/>
      <c r="HUD7" s="225"/>
      <c r="HUE7" s="225"/>
      <c r="HUF7" s="225"/>
      <c r="HUG7" s="225"/>
      <c r="HUH7" s="225"/>
      <c r="HUI7" s="225"/>
      <c r="HUJ7" s="225"/>
      <c r="HUK7" s="225"/>
      <c r="HUL7" s="225"/>
      <c r="HUM7" s="225"/>
      <c r="HUN7" s="225"/>
      <c r="HUO7" s="225"/>
      <c r="HUP7" s="225"/>
      <c r="HUQ7" s="225"/>
      <c r="HUR7" s="225"/>
      <c r="HUS7" s="225"/>
      <c r="HUT7" s="225"/>
      <c r="HUU7" s="225"/>
      <c r="HUV7" s="225"/>
      <c r="HUW7" s="225"/>
      <c r="HUX7" s="225"/>
      <c r="HUY7" s="225"/>
      <c r="HUZ7" s="225"/>
      <c r="HVA7" s="225"/>
      <c r="HVB7" s="225"/>
      <c r="HVC7" s="225"/>
      <c r="HVD7" s="225"/>
      <c r="HVE7" s="225"/>
      <c r="HVF7" s="225"/>
      <c r="HVG7" s="225"/>
      <c r="HVH7" s="225"/>
      <c r="HVI7" s="225"/>
      <c r="HVJ7" s="225"/>
      <c r="HVK7" s="225"/>
      <c r="HVL7" s="225"/>
      <c r="HVM7" s="225"/>
      <c r="HVN7" s="225"/>
      <c r="HVO7" s="225"/>
      <c r="HVP7" s="225"/>
      <c r="HVQ7" s="225"/>
      <c r="HVR7" s="225"/>
      <c r="HVS7" s="225"/>
      <c r="HVT7" s="225"/>
      <c r="HVU7" s="225"/>
      <c r="HVV7" s="225"/>
      <c r="HVW7" s="225"/>
      <c r="HVX7" s="225"/>
      <c r="HVY7" s="225"/>
      <c r="HVZ7" s="225"/>
      <c r="HWA7" s="225"/>
      <c r="HWB7" s="225"/>
      <c r="HWC7" s="225"/>
      <c r="HWD7" s="225"/>
      <c r="HWE7" s="225"/>
      <c r="HWF7" s="225"/>
      <c r="HWG7" s="225"/>
      <c r="HWH7" s="225"/>
      <c r="HWI7" s="225"/>
      <c r="HWJ7" s="225"/>
      <c r="HWK7" s="225"/>
      <c r="HWL7" s="225"/>
      <c r="HWM7" s="225"/>
      <c r="HWN7" s="225"/>
      <c r="HWO7" s="225"/>
      <c r="HWP7" s="225"/>
      <c r="HWQ7" s="225"/>
      <c r="HWR7" s="225"/>
      <c r="HWS7" s="225"/>
      <c r="HWT7" s="225"/>
      <c r="HWU7" s="225"/>
      <c r="HWV7" s="225"/>
      <c r="HWW7" s="225"/>
      <c r="HWX7" s="225"/>
      <c r="HWY7" s="225"/>
      <c r="HWZ7" s="225"/>
      <c r="HXA7" s="225"/>
      <c r="HXB7" s="225"/>
      <c r="HXC7" s="225"/>
      <c r="HXD7" s="225"/>
      <c r="HXE7" s="225"/>
      <c r="HXF7" s="225"/>
      <c r="HXG7" s="225"/>
      <c r="HXH7" s="225"/>
      <c r="HXI7" s="225"/>
      <c r="HXJ7" s="225"/>
      <c r="HXK7" s="225"/>
      <c r="HXL7" s="225"/>
      <c r="HXM7" s="225"/>
      <c r="HXN7" s="225"/>
      <c r="HXO7" s="225"/>
      <c r="HXP7" s="225"/>
      <c r="HXQ7" s="225"/>
      <c r="HXR7" s="225"/>
      <c r="HXS7" s="225"/>
      <c r="HXT7" s="225"/>
      <c r="HXU7" s="225"/>
      <c r="HXV7" s="225"/>
      <c r="HXW7" s="225"/>
      <c r="HXX7" s="225"/>
      <c r="HXY7" s="225"/>
      <c r="HXZ7" s="225"/>
      <c r="HYA7" s="225"/>
      <c r="HYB7" s="225"/>
      <c r="HYC7" s="225"/>
      <c r="HYD7" s="225"/>
      <c r="HYE7" s="225"/>
      <c r="HYF7" s="225"/>
      <c r="HYG7" s="225"/>
      <c r="HYH7" s="225"/>
      <c r="HYI7" s="225"/>
      <c r="HYJ7" s="225"/>
      <c r="HYK7" s="225"/>
      <c r="HYL7" s="225"/>
      <c r="HYM7" s="225"/>
      <c r="HYN7" s="225"/>
      <c r="HYO7" s="225"/>
      <c r="HYP7" s="225"/>
      <c r="HYQ7" s="225"/>
      <c r="HYR7" s="225"/>
      <c r="HYS7" s="225"/>
      <c r="HYT7" s="225"/>
      <c r="HYU7" s="225"/>
      <c r="HYV7" s="225"/>
      <c r="HYW7" s="225"/>
      <c r="HYX7" s="225"/>
      <c r="HYY7" s="225"/>
      <c r="HYZ7" s="225"/>
      <c r="HZA7" s="225"/>
      <c r="HZB7" s="225"/>
      <c r="HZC7" s="225"/>
      <c r="HZD7" s="225"/>
      <c r="HZE7" s="225"/>
      <c r="HZF7" s="225"/>
      <c r="HZG7" s="225"/>
      <c r="HZH7" s="225"/>
      <c r="HZI7" s="225"/>
      <c r="HZJ7" s="225"/>
      <c r="HZK7" s="225"/>
      <c r="HZL7" s="225"/>
      <c r="HZM7" s="225"/>
      <c r="HZN7" s="225"/>
      <c r="HZO7" s="225"/>
      <c r="HZP7" s="225"/>
      <c r="HZQ7" s="225"/>
      <c r="HZR7" s="225"/>
      <c r="HZS7" s="225"/>
      <c r="HZT7" s="225"/>
      <c r="HZU7" s="225"/>
      <c r="HZV7" s="225"/>
      <c r="HZW7" s="225"/>
      <c r="HZX7" s="225"/>
      <c r="HZY7" s="225"/>
      <c r="HZZ7" s="225"/>
      <c r="IAA7" s="225"/>
      <c r="IAB7" s="225"/>
      <c r="IAC7" s="225"/>
      <c r="IAD7" s="225"/>
      <c r="IAE7" s="225"/>
      <c r="IAF7" s="225"/>
      <c r="IAG7" s="225"/>
      <c r="IAH7" s="225"/>
      <c r="IAI7" s="225"/>
      <c r="IAJ7" s="225"/>
      <c r="IAK7" s="225"/>
      <c r="IAL7" s="225"/>
      <c r="IAM7" s="225"/>
      <c r="IAN7" s="225"/>
      <c r="IAO7" s="225"/>
      <c r="IAP7" s="225"/>
      <c r="IAQ7" s="225"/>
      <c r="IAR7" s="225"/>
      <c r="IAS7" s="225"/>
      <c r="IAT7" s="225"/>
      <c r="IAU7" s="225"/>
      <c r="IAV7" s="225"/>
      <c r="IAW7" s="225"/>
      <c r="IAX7" s="225"/>
      <c r="IAY7" s="225"/>
      <c r="IAZ7" s="225"/>
      <c r="IBA7" s="225"/>
      <c r="IBB7" s="225"/>
      <c r="IBC7" s="225"/>
      <c r="IBD7" s="225"/>
      <c r="IBE7" s="225"/>
      <c r="IBF7" s="225"/>
      <c r="IBG7" s="225"/>
      <c r="IBH7" s="225"/>
      <c r="IBI7" s="225"/>
      <c r="IBJ7" s="225"/>
      <c r="IBK7" s="225"/>
      <c r="IBL7" s="225"/>
      <c r="IBM7" s="225"/>
      <c r="IBN7" s="225"/>
      <c r="IBO7" s="225"/>
      <c r="IBP7" s="225"/>
      <c r="IBQ7" s="225"/>
      <c r="IBR7" s="225"/>
      <c r="IBS7" s="225"/>
      <c r="IBT7" s="225"/>
      <c r="IBU7" s="225"/>
      <c r="IBV7" s="225"/>
      <c r="IBW7" s="225"/>
      <c r="IBX7" s="225"/>
      <c r="IBY7" s="225"/>
      <c r="IBZ7" s="225"/>
      <c r="ICA7" s="225"/>
      <c r="ICB7" s="225"/>
      <c r="ICC7" s="225"/>
      <c r="ICD7" s="225"/>
      <c r="ICE7" s="225"/>
      <c r="ICF7" s="225"/>
      <c r="ICG7" s="225"/>
      <c r="ICH7" s="225"/>
      <c r="ICI7" s="225"/>
      <c r="ICJ7" s="225"/>
      <c r="ICK7" s="225"/>
      <c r="ICL7" s="225"/>
      <c r="ICM7" s="225"/>
      <c r="ICN7" s="225"/>
      <c r="ICO7" s="225"/>
      <c r="ICP7" s="225"/>
      <c r="ICQ7" s="225"/>
      <c r="ICR7" s="225"/>
      <c r="ICS7" s="225"/>
      <c r="ICT7" s="225"/>
      <c r="ICU7" s="225"/>
      <c r="ICV7" s="225"/>
      <c r="ICW7" s="225"/>
      <c r="ICX7" s="225"/>
      <c r="ICY7" s="225"/>
      <c r="ICZ7" s="225"/>
      <c r="IDA7" s="225"/>
      <c r="IDB7" s="225"/>
      <c r="IDC7" s="225"/>
      <c r="IDD7" s="225"/>
      <c r="IDE7" s="225"/>
      <c r="IDF7" s="225"/>
      <c r="IDG7" s="225"/>
      <c r="IDH7" s="225"/>
      <c r="IDI7" s="225"/>
      <c r="IDJ7" s="225"/>
      <c r="IDK7" s="225"/>
      <c r="IDL7" s="225"/>
      <c r="IDM7" s="225"/>
      <c r="IDN7" s="225"/>
      <c r="IDO7" s="225"/>
      <c r="IDP7" s="225"/>
      <c r="IDQ7" s="225"/>
      <c r="IDR7" s="225"/>
      <c r="IDS7" s="225"/>
      <c r="IDT7" s="225"/>
      <c r="IDU7" s="225"/>
      <c r="IDV7" s="225"/>
      <c r="IDW7" s="225"/>
      <c r="IDX7" s="225"/>
      <c r="IDY7" s="225"/>
      <c r="IDZ7" s="225"/>
      <c r="IEA7" s="225"/>
      <c r="IEB7" s="225"/>
      <c r="IEC7" s="225"/>
      <c r="IED7" s="225"/>
      <c r="IEE7" s="225"/>
      <c r="IEF7" s="225"/>
      <c r="IEG7" s="225"/>
      <c r="IEH7" s="225"/>
      <c r="IEI7" s="225"/>
      <c r="IEJ7" s="225"/>
      <c r="IEK7" s="225"/>
      <c r="IEL7" s="225"/>
      <c r="IEM7" s="225"/>
      <c r="IEN7" s="225"/>
      <c r="IEO7" s="225"/>
      <c r="IEP7" s="225"/>
      <c r="IEQ7" s="225"/>
      <c r="IER7" s="225"/>
      <c r="IES7" s="225"/>
      <c r="IET7" s="225"/>
      <c r="IEU7" s="225"/>
      <c r="IEV7" s="225"/>
      <c r="IEW7" s="225"/>
      <c r="IEX7" s="225"/>
      <c r="IEY7" s="225"/>
      <c r="IEZ7" s="225"/>
      <c r="IFA7" s="225"/>
      <c r="IFB7" s="225"/>
      <c r="IFC7" s="225"/>
      <c r="IFD7" s="225"/>
      <c r="IFE7" s="225"/>
      <c r="IFF7" s="225"/>
      <c r="IFG7" s="225"/>
      <c r="IFH7" s="225"/>
      <c r="IFI7" s="225"/>
      <c r="IFJ7" s="225"/>
      <c r="IFK7" s="225"/>
      <c r="IFL7" s="225"/>
      <c r="IFM7" s="225"/>
      <c r="IFN7" s="225"/>
      <c r="IFO7" s="225"/>
      <c r="IFP7" s="225"/>
      <c r="IFQ7" s="225"/>
      <c r="IFR7" s="225"/>
      <c r="IFS7" s="225"/>
      <c r="IFT7" s="225"/>
      <c r="IFU7" s="225"/>
      <c r="IFV7" s="225"/>
      <c r="IFW7" s="225"/>
      <c r="IFX7" s="225"/>
      <c r="IFY7" s="225"/>
      <c r="IFZ7" s="225"/>
      <c r="IGA7" s="225"/>
      <c r="IGB7" s="225"/>
      <c r="IGC7" s="225"/>
      <c r="IGD7" s="225"/>
      <c r="IGE7" s="225"/>
      <c r="IGF7" s="225"/>
      <c r="IGG7" s="225"/>
      <c r="IGH7" s="225"/>
      <c r="IGI7" s="225"/>
      <c r="IGJ7" s="225"/>
      <c r="IGK7" s="225"/>
      <c r="IGL7" s="225"/>
      <c r="IGM7" s="225"/>
      <c r="IGN7" s="225"/>
      <c r="IGO7" s="225"/>
      <c r="IGP7" s="225"/>
      <c r="IGQ7" s="225"/>
      <c r="IGR7" s="225"/>
      <c r="IGS7" s="225"/>
      <c r="IGT7" s="225"/>
      <c r="IGU7" s="225"/>
      <c r="IGV7" s="225"/>
      <c r="IGW7" s="225"/>
      <c r="IGX7" s="225"/>
      <c r="IGY7" s="225"/>
      <c r="IGZ7" s="225"/>
      <c r="IHA7" s="225"/>
      <c r="IHB7" s="225"/>
      <c r="IHC7" s="225"/>
      <c r="IHD7" s="225"/>
      <c r="IHE7" s="225"/>
      <c r="IHF7" s="225"/>
      <c r="IHG7" s="225"/>
      <c r="IHH7" s="225"/>
      <c r="IHI7" s="225"/>
      <c r="IHJ7" s="225"/>
      <c r="IHK7" s="225"/>
      <c r="IHL7" s="225"/>
      <c r="IHM7" s="225"/>
      <c r="IHN7" s="225"/>
      <c r="IHO7" s="225"/>
      <c r="IHP7" s="225"/>
      <c r="IHQ7" s="225"/>
      <c r="IHR7" s="225"/>
      <c r="IHS7" s="225"/>
      <c r="IHT7" s="225"/>
      <c r="IHU7" s="225"/>
      <c r="IHV7" s="225"/>
      <c r="IHW7" s="225"/>
      <c r="IHX7" s="225"/>
      <c r="IHY7" s="225"/>
      <c r="IHZ7" s="225"/>
      <c r="IIA7" s="225"/>
      <c r="IIB7" s="225"/>
      <c r="IIC7" s="225"/>
      <c r="IID7" s="225"/>
      <c r="IIE7" s="225"/>
      <c r="IIF7" s="225"/>
      <c r="IIG7" s="225"/>
      <c r="IIH7" s="225"/>
      <c r="III7" s="225"/>
      <c r="IIJ7" s="225"/>
      <c r="IIK7" s="225"/>
      <c r="IIL7" s="225"/>
      <c r="IIM7" s="225"/>
      <c r="IIN7" s="225"/>
      <c r="IIO7" s="225"/>
      <c r="IIP7" s="225"/>
      <c r="IIQ7" s="225"/>
      <c r="IIR7" s="225"/>
      <c r="IIS7" s="225"/>
      <c r="IIT7" s="225"/>
      <c r="IIU7" s="225"/>
      <c r="IIV7" s="225"/>
      <c r="IIW7" s="225"/>
      <c r="IIX7" s="225"/>
      <c r="IIY7" s="225"/>
      <c r="IIZ7" s="225"/>
      <c r="IJA7" s="225"/>
      <c r="IJB7" s="225"/>
      <c r="IJC7" s="225"/>
      <c r="IJD7" s="225"/>
      <c r="IJE7" s="225"/>
      <c r="IJF7" s="225"/>
      <c r="IJG7" s="225"/>
      <c r="IJH7" s="225"/>
      <c r="IJI7" s="225"/>
      <c r="IJJ7" s="225"/>
      <c r="IJK7" s="225"/>
      <c r="IJL7" s="225"/>
      <c r="IJM7" s="225"/>
      <c r="IJN7" s="225"/>
      <c r="IJO7" s="225"/>
      <c r="IJP7" s="225"/>
      <c r="IJQ7" s="225"/>
      <c r="IJR7" s="225"/>
      <c r="IJS7" s="225"/>
      <c r="IJT7" s="225"/>
      <c r="IJU7" s="225"/>
      <c r="IJV7" s="225"/>
      <c r="IJW7" s="225"/>
      <c r="IJX7" s="225"/>
      <c r="IJY7" s="225"/>
      <c r="IJZ7" s="225"/>
      <c r="IKA7" s="225"/>
      <c r="IKB7" s="225"/>
      <c r="IKC7" s="225"/>
      <c r="IKD7" s="225"/>
      <c r="IKE7" s="225"/>
      <c r="IKF7" s="225"/>
      <c r="IKG7" s="225"/>
      <c r="IKH7" s="225"/>
      <c r="IKI7" s="225"/>
      <c r="IKJ7" s="225"/>
      <c r="IKK7" s="225"/>
      <c r="IKL7" s="225"/>
      <c r="IKM7" s="225"/>
      <c r="IKN7" s="225"/>
      <c r="IKO7" s="225"/>
      <c r="IKP7" s="225"/>
      <c r="IKQ7" s="225"/>
      <c r="IKR7" s="225"/>
      <c r="IKS7" s="225"/>
      <c r="IKT7" s="225"/>
      <c r="IKU7" s="225"/>
      <c r="IKV7" s="225"/>
      <c r="IKW7" s="225"/>
      <c r="IKX7" s="225"/>
      <c r="IKY7" s="225"/>
      <c r="IKZ7" s="225"/>
      <c r="ILA7" s="225"/>
      <c r="ILB7" s="225"/>
      <c r="ILC7" s="225"/>
      <c r="ILD7" s="225"/>
      <c r="ILE7" s="225"/>
      <c r="ILF7" s="225"/>
      <c r="ILG7" s="225"/>
      <c r="ILH7" s="225"/>
      <c r="ILI7" s="225"/>
      <c r="ILJ7" s="225"/>
      <c r="ILK7" s="225"/>
      <c r="ILL7" s="225"/>
      <c r="ILM7" s="225"/>
      <c r="ILN7" s="225"/>
      <c r="ILO7" s="225"/>
      <c r="ILP7" s="225"/>
      <c r="ILQ7" s="225"/>
      <c r="ILR7" s="225"/>
      <c r="ILS7" s="225"/>
      <c r="ILT7" s="225"/>
      <c r="ILU7" s="225"/>
      <c r="ILV7" s="225"/>
      <c r="ILW7" s="225"/>
      <c r="ILX7" s="225"/>
      <c r="ILY7" s="225"/>
      <c r="ILZ7" s="225"/>
      <c r="IMA7" s="225"/>
      <c r="IMB7" s="225"/>
      <c r="IMC7" s="225"/>
      <c r="IMD7" s="225"/>
      <c r="IME7" s="225"/>
      <c r="IMF7" s="225"/>
      <c r="IMG7" s="225"/>
      <c r="IMH7" s="225"/>
      <c r="IMI7" s="225"/>
      <c r="IMJ7" s="225"/>
      <c r="IMK7" s="225"/>
      <c r="IML7" s="225"/>
      <c r="IMM7" s="225"/>
      <c r="IMN7" s="225"/>
      <c r="IMO7" s="225"/>
      <c r="IMP7" s="225"/>
      <c r="IMQ7" s="225"/>
      <c r="IMR7" s="225"/>
      <c r="IMS7" s="225"/>
      <c r="IMT7" s="225"/>
      <c r="IMU7" s="225"/>
      <c r="IMV7" s="225"/>
      <c r="IMW7" s="225"/>
      <c r="IMX7" s="225"/>
      <c r="IMY7" s="225"/>
      <c r="IMZ7" s="225"/>
      <c r="INA7" s="225"/>
      <c r="INB7" s="225"/>
      <c r="INC7" s="225"/>
      <c r="IND7" s="225"/>
      <c r="INE7" s="225"/>
      <c r="INF7" s="225"/>
      <c r="ING7" s="225"/>
      <c r="INH7" s="225"/>
      <c r="INI7" s="225"/>
      <c r="INJ7" s="225"/>
      <c r="INK7" s="225"/>
      <c r="INL7" s="225"/>
      <c r="INM7" s="225"/>
      <c r="INN7" s="225"/>
      <c r="INO7" s="225"/>
      <c r="INP7" s="225"/>
      <c r="INQ7" s="225"/>
      <c r="INR7" s="225"/>
      <c r="INS7" s="225"/>
      <c r="INT7" s="225"/>
      <c r="INU7" s="225"/>
      <c r="INV7" s="225"/>
      <c r="INW7" s="225"/>
      <c r="INX7" s="225"/>
      <c r="INY7" s="225"/>
      <c r="INZ7" s="225"/>
      <c r="IOA7" s="225"/>
      <c r="IOB7" s="225"/>
      <c r="IOC7" s="225"/>
      <c r="IOD7" s="225"/>
      <c r="IOE7" s="225"/>
      <c r="IOF7" s="225"/>
      <c r="IOG7" s="225"/>
      <c r="IOH7" s="225"/>
      <c r="IOI7" s="225"/>
      <c r="IOJ7" s="225"/>
      <c r="IOK7" s="225"/>
      <c r="IOL7" s="225"/>
      <c r="IOM7" s="225"/>
      <c r="ION7" s="225"/>
      <c r="IOO7" s="225"/>
      <c r="IOP7" s="225"/>
      <c r="IOQ7" s="225"/>
      <c r="IOR7" s="225"/>
      <c r="IOS7" s="225"/>
      <c r="IOT7" s="225"/>
      <c r="IOU7" s="225"/>
      <c r="IOV7" s="225"/>
      <c r="IOW7" s="225"/>
      <c r="IOX7" s="225"/>
      <c r="IOY7" s="225"/>
      <c r="IOZ7" s="225"/>
      <c r="IPA7" s="225"/>
      <c r="IPB7" s="225"/>
      <c r="IPC7" s="225"/>
      <c r="IPD7" s="225"/>
      <c r="IPE7" s="225"/>
      <c r="IPF7" s="225"/>
      <c r="IPG7" s="225"/>
      <c r="IPH7" s="225"/>
      <c r="IPI7" s="225"/>
      <c r="IPJ7" s="225"/>
      <c r="IPK7" s="225"/>
      <c r="IPL7" s="225"/>
      <c r="IPM7" s="225"/>
      <c r="IPN7" s="225"/>
      <c r="IPO7" s="225"/>
      <c r="IPP7" s="225"/>
      <c r="IPQ7" s="225"/>
      <c r="IPR7" s="225"/>
      <c r="IPS7" s="225"/>
      <c r="IPT7" s="225"/>
      <c r="IPU7" s="225"/>
      <c r="IPV7" s="225"/>
      <c r="IPW7" s="225"/>
      <c r="IPX7" s="225"/>
      <c r="IPY7" s="225"/>
      <c r="IPZ7" s="225"/>
      <c r="IQA7" s="225"/>
      <c r="IQB7" s="225"/>
      <c r="IQC7" s="225"/>
      <c r="IQD7" s="225"/>
      <c r="IQE7" s="225"/>
      <c r="IQF7" s="225"/>
      <c r="IQG7" s="225"/>
      <c r="IQH7" s="225"/>
      <c r="IQI7" s="225"/>
      <c r="IQJ7" s="225"/>
      <c r="IQK7" s="225"/>
      <c r="IQL7" s="225"/>
      <c r="IQM7" s="225"/>
      <c r="IQN7" s="225"/>
      <c r="IQO7" s="225"/>
      <c r="IQP7" s="225"/>
      <c r="IQQ7" s="225"/>
      <c r="IQR7" s="225"/>
      <c r="IQS7" s="225"/>
      <c r="IQT7" s="225"/>
      <c r="IQU7" s="225"/>
      <c r="IQV7" s="225"/>
      <c r="IQW7" s="225"/>
      <c r="IQX7" s="225"/>
      <c r="IQY7" s="225"/>
      <c r="IQZ7" s="225"/>
      <c r="IRA7" s="225"/>
      <c r="IRB7" s="225"/>
      <c r="IRC7" s="225"/>
      <c r="IRD7" s="225"/>
      <c r="IRE7" s="225"/>
      <c r="IRF7" s="225"/>
      <c r="IRG7" s="225"/>
      <c r="IRH7" s="225"/>
      <c r="IRI7" s="225"/>
      <c r="IRJ7" s="225"/>
      <c r="IRK7" s="225"/>
      <c r="IRL7" s="225"/>
      <c r="IRM7" s="225"/>
      <c r="IRN7" s="225"/>
      <c r="IRO7" s="225"/>
      <c r="IRP7" s="225"/>
      <c r="IRQ7" s="225"/>
      <c r="IRR7" s="225"/>
      <c r="IRS7" s="225"/>
      <c r="IRT7" s="225"/>
      <c r="IRU7" s="225"/>
      <c r="IRV7" s="225"/>
      <c r="IRW7" s="225"/>
      <c r="IRX7" s="225"/>
      <c r="IRY7" s="225"/>
      <c r="IRZ7" s="225"/>
      <c r="ISA7" s="225"/>
      <c r="ISB7" s="225"/>
      <c r="ISC7" s="225"/>
      <c r="ISD7" s="225"/>
      <c r="ISE7" s="225"/>
      <c r="ISF7" s="225"/>
      <c r="ISG7" s="225"/>
      <c r="ISH7" s="225"/>
      <c r="ISI7" s="225"/>
      <c r="ISJ7" s="225"/>
      <c r="ISK7" s="225"/>
      <c r="ISL7" s="225"/>
      <c r="ISM7" s="225"/>
      <c r="ISN7" s="225"/>
      <c r="ISO7" s="225"/>
      <c r="ISP7" s="225"/>
      <c r="ISQ7" s="225"/>
      <c r="ISR7" s="225"/>
      <c r="ISS7" s="225"/>
      <c r="IST7" s="225"/>
      <c r="ISU7" s="225"/>
      <c r="ISV7" s="225"/>
      <c r="ISW7" s="225"/>
      <c r="ISX7" s="225"/>
      <c r="ISY7" s="225"/>
      <c r="ISZ7" s="225"/>
      <c r="ITA7" s="225"/>
      <c r="ITB7" s="225"/>
      <c r="ITC7" s="225"/>
      <c r="ITD7" s="225"/>
      <c r="ITE7" s="225"/>
      <c r="ITF7" s="225"/>
      <c r="ITG7" s="225"/>
      <c r="ITH7" s="225"/>
      <c r="ITI7" s="225"/>
      <c r="ITJ7" s="225"/>
      <c r="ITK7" s="225"/>
      <c r="ITL7" s="225"/>
      <c r="ITM7" s="225"/>
      <c r="ITN7" s="225"/>
      <c r="ITO7" s="225"/>
      <c r="ITP7" s="225"/>
      <c r="ITQ7" s="225"/>
      <c r="ITR7" s="225"/>
      <c r="ITS7" s="225"/>
      <c r="ITT7" s="225"/>
      <c r="ITU7" s="225"/>
      <c r="ITV7" s="225"/>
      <c r="ITW7" s="225"/>
      <c r="ITX7" s="225"/>
      <c r="ITY7" s="225"/>
      <c r="ITZ7" s="225"/>
      <c r="IUA7" s="225"/>
      <c r="IUB7" s="225"/>
      <c r="IUC7" s="225"/>
      <c r="IUD7" s="225"/>
      <c r="IUE7" s="225"/>
      <c r="IUF7" s="225"/>
      <c r="IUG7" s="225"/>
      <c r="IUH7" s="225"/>
      <c r="IUI7" s="225"/>
      <c r="IUJ7" s="225"/>
      <c r="IUK7" s="225"/>
      <c r="IUL7" s="225"/>
      <c r="IUM7" s="225"/>
      <c r="IUN7" s="225"/>
      <c r="IUO7" s="225"/>
      <c r="IUP7" s="225"/>
      <c r="IUQ7" s="225"/>
      <c r="IUR7" s="225"/>
      <c r="IUS7" s="225"/>
      <c r="IUT7" s="225"/>
      <c r="IUU7" s="225"/>
      <c r="IUV7" s="225"/>
      <c r="IUW7" s="225"/>
      <c r="IUX7" s="225"/>
      <c r="IUY7" s="225"/>
      <c r="IUZ7" s="225"/>
      <c r="IVA7" s="225"/>
      <c r="IVB7" s="225"/>
      <c r="IVC7" s="225"/>
      <c r="IVD7" s="225"/>
      <c r="IVE7" s="225"/>
      <c r="IVF7" s="225"/>
      <c r="IVG7" s="225"/>
      <c r="IVH7" s="225"/>
      <c r="IVI7" s="225"/>
      <c r="IVJ7" s="225"/>
      <c r="IVK7" s="225"/>
      <c r="IVL7" s="225"/>
      <c r="IVM7" s="225"/>
      <c r="IVN7" s="225"/>
      <c r="IVO7" s="225"/>
      <c r="IVP7" s="225"/>
      <c r="IVQ7" s="225"/>
      <c r="IVR7" s="225"/>
      <c r="IVS7" s="225"/>
      <c r="IVT7" s="225"/>
      <c r="IVU7" s="225"/>
      <c r="IVV7" s="225"/>
      <c r="IVW7" s="225"/>
      <c r="IVX7" s="225"/>
      <c r="IVY7" s="225"/>
      <c r="IVZ7" s="225"/>
      <c r="IWA7" s="225"/>
      <c r="IWB7" s="225"/>
      <c r="IWC7" s="225"/>
      <c r="IWD7" s="225"/>
      <c r="IWE7" s="225"/>
      <c r="IWF7" s="225"/>
      <c r="IWG7" s="225"/>
      <c r="IWH7" s="225"/>
      <c r="IWI7" s="225"/>
      <c r="IWJ7" s="225"/>
      <c r="IWK7" s="225"/>
      <c r="IWL7" s="225"/>
      <c r="IWM7" s="225"/>
      <c r="IWN7" s="225"/>
      <c r="IWO7" s="225"/>
      <c r="IWP7" s="225"/>
      <c r="IWQ7" s="225"/>
      <c r="IWR7" s="225"/>
      <c r="IWS7" s="225"/>
      <c r="IWT7" s="225"/>
      <c r="IWU7" s="225"/>
      <c r="IWV7" s="225"/>
      <c r="IWW7" s="225"/>
      <c r="IWX7" s="225"/>
      <c r="IWY7" s="225"/>
      <c r="IWZ7" s="225"/>
      <c r="IXA7" s="225"/>
      <c r="IXB7" s="225"/>
      <c r="IXC7" s="225"/>
      <c r="IXD7" s="225"/>
      <c r="IXE7" s="225"/>
      <c r="IXF7" s="225"/>
      <c r="IXG7" s="225"/>
      <c r="IXH7" s="225"/>
      <c r="IXI7" s="225"/>
      <c r="IXJ7" s="225"/>
      <c r="IXK7" s="225"/>
      <c r="IXL7" s="225"/>
      <c r="IXM7" s="225"/>
      <c r="IXN7" s="225"/>
      <c r="IXO7" s="225"/>
      <c r="IXP7" s="225"/>
      <c r="IXQ7" s="225"/>
      <c r="IXR7" s="225"/>
      <c r="IXS7" s="225"/>
      <c r="IXT7" s="225"/>
      <c r="IXU7" s="225"/>
      <c r="IXV7" s="225"/>
      <c r="IXW7" s="225"/>
      <c r="IXX7" s="225"/>
      <c r="IXY7" s="225"/>
      <c r="IXZ7" s="225"/>
      <c r="IYA7" s="225"/>
      <c r="IYB7" s="225"/>
      <c r="IYC7" s="225"/>
      <c r="IYD7" s="225"/>
      <c r="IYE7" s="225"/>
      <c r="IYF7" s="225"/>
      <c r="IYG7" s="225"/>
      <c r="IYH7" s="225"/>
      <c r="IYI7" s="225"/>
      <c r="IYJ7" s="225"/>
      <c r="IYK7" s="225"/>
      <c r="IYL7" s="225"/>
      <c r="IYM7" s="225"/>
      <c r="IYN7" s="225"/>
      <c r="IYO7" s="225"/>
      <c r="IYP7" s="225"/>
      <c r="IYQ7" s="225"/>
      <c r="IYR7" s="225"/>
      <c r="IYS7" s="225"/>
      <c r="IYT7" s="225"/>
      <c r="IYU7" s="225"/>
      <c r="IYV7" s="225"/>
      <c r="IYW7" s="225"/>
      <c r="IYX7" s="225"/>
      <c r="IYY7" s="225"/>
      <c r="IYZ7" s="225"/>
      <c r="IZA7" s="225"/>
      <c r="IZB7" s="225"/>
      <c r="IZC7" s="225"/>
      <c r="IZD7" s="225"/>
      <c r="IZE7" s="225"/>
      <c r="IZF7" s="225"/>
      <c r="IZG7" s="225"/>
      <c r="IZH7" s="225"/>
      <c r="IZI7" s="225"/>
      <c r="IZJ7" s="225"/>
      <c r="IZK7" s="225"/>
      <c r="IZL7" s="225"/>
      <c r="IZM7" s="225"/>
      <c r="IZN7" s="225"/>
      <c r="IZO7" s="225"/>
      <c r="IZP7" s="225"/>
      <c r="IZQ7" s="225"/>
      <c r="IZR7" s="225"/>
      <c r="IZS7" s="225"/>
      <c r="IZT7" s="225"/>
      <c r="IZU7" s="225"/>
      <c r="IZV7" s="225"/>
      <c r="IZW7" s="225"/>
      <c r="IZX7" s="225"/>
      <c r="IZY7" s="225"/>
      <c r="IZZ7" s="225"/>
      <c r="JAA7" s="225"/>
      <c r="JAB7" s="225"/>
      <c r="JAC7" s="225"/>
      <c r="JAD7" s="225"/>
      <c r="JAE7" s="225"/>
      <c r="JAF7" s="225"/>
      <c r="JAG7" s="225"/>
      <c r="JAH7" s="225"/>
      <c r="JAI7" s="225"/>
      <c r="JAJ7" s="225"/>
      <c r="JAK7" s="225"/>
      <c r="JAL7" s="225"/>
      <c r="JAM7" s="225"/>
      <c r="JAN7" s="225"/>
      <c r="JAO7" s="225"/>
      <c r="JAP7" s="225"/>
      <c r="JAQ7" s="225"/>
      <c r="JAR7" s="225"/>
      <c r="JAS7" s="225"/>
      <c r="JAT7" s="225"/>
      <c r="JAU7" s="225"/>
      <c r="JAV7" s="225"/>
      <c r="JAW7" s="225"/>
      <c r="JAX7" s="225"/>
      <c r="JAY7" s="225"/>
      <c r="JAZ7" s="225"/>
      <c r="JBA7" s="225"/>
      <c r="JBB7" s="225"/>
      <c r="JBC7" s="225"/>
      <c r="JBD7" s="225"/>
      <c r="JBE7" s="225"/>
      <c r="JBF7" s="225"/>
      <c r="JBG7" s="225"/>
      <c r="JBH7" s="225"/>
      <c r="JBI7" s="225"/>
      <c r="JBJ7" s="225"/>
      <c r="JBK7" s="225"/>
      <c r="JBL7" s="225"/>
      <c r="JBM7" s="225"/>
      <c r="JBN7" s="225"/>
      <c r="JBO7" s="225"/>
      <c r="JBP7" s="225"/>
      <c r="JBQ7" s="225"/>
      <c r="JBR7" s="225"/>
      <c r="JBS7" s="225"/>
      <c r="JBT7" s="225"/>
      <c r="JBU7" s="225"/>
      <c r="JBV7" s="225"/>
      <c r="JBW7" s="225"/>
      <c r="JBX7" s="225"/>
      <c r="JBY7" s="225"/>
      <c r="JBZ7" s="225"/>
      <c r="JCA7" s="225"/>
      <c r="JCB7" s="225"/>
      <c r="JCC7" s="225"/>
      <c r="JCD7" s="225"/>
      <c r="JCE7" s="225"/>
      <c r="JCF7" s="225"/>
      <c r="JCG7" s="225"/>
      <c r="JCH7" s="225"/>
      <c r="JCI7" s="225"/>
      <c r="JCJ7" s="225"/>
      <c r="JCK7" s="225"/>
      <c r="JCL7" s="225"/>
      <c r="JCM7" s="225"/>
      <c r="JCN7" s="225"/>
      <c r="JCO7" s="225"/>
      <c r="JCP7" s="225"/>
      <c r="JCQ7" s="225"/>
      <c r="JCR7" s="225"/>
      <c r="JCS7" s="225"/>
      <c r="JCT7" s="225"/>
      <c r="JCU7" s="225"/>
      <c r="JCV7" s="225"/>
      <c r="JCW7" s="225"/>
      <c r="JCX7" s="225"/>
      <c r="JCY7" s="225"/>
      <c r="JCZ7" s="225"/>
      <c r="JDA7" s="225"/>
      <c r="JDB7" s="225"/>
      <c r="JDC7" s="225"/>
      <c r="JDD7" s="225"/>
      <c r="JDE7" s="225"/>
      <c r="JDF7" s="225"/>
      <c r="JDG7" s="225"/>
      <c r="JDH7" s="225"/>
      <c r="JDI7" s="225"/>
      <c r="JDJ7" s="225"/>
      <c r="JDK7" s="225"/>
      <c r="JDL7" s="225"/>
      <c r="JDM7" s="225"/>
      <c r="JDN7" s="225"/>
      <c r="JDO7" s="225"/>
      <c r="JDP7" s="225"/>
      <c r="JDQ7" s="225"/>
      <c r="JDR7" s="225"/>
      <c r="JDS7" s="225"/>
      <c r="JDT7" s="225"/>
      <c r="JDU7" s="225"/>
      <c r="JDV7" s="225"/>
      <c r="JDW7" s="225"/>
      <c r="JDX7" s="225"/>
      <c r="JDY7" s="225"/>
      <c r="JDZ7" s="225"/>
      <c r="JEA7" s="225"/>
      <c r="JEB7" s="225"/>
      <c r="JEC7" s="225"/>
      <c r="JED7" s="225"/>
      <c r="JEE7" s="225"/>
      <c r="JEF7" s="225"/>
      <c r="JEG7" s="225"/>
      <c r="JEH7" s="225"/>
      <c r="JEI7" s="225"/>
      <c r="JEJ7" s="225"/>
      <c r="JEK7" s="225"/>
      <c r="JEL7" s="225"/>
      <c r="JEM7" s="225"/>
      <c r="JEN7" s="225"/>
      <c r="JEO7" s="225"/>
      <c r="JEP7" s="225"/>
      <c r="JEQ7" s="225"/>
      <c r="JER7" s="225"/>
      <c r="JES7" s="225"/>
      <c r="JET7" s="225"/>
      <c r="JEU7" s="225"/>
      <c r="JEV7" s="225"/>
      <c r="JEW7" s="225"/>
      <c r="JEX7" s="225"/>
      <c r="JEY7" s="225"/>
      <c r="JEZ7" s="225"/>
      <c r="JFA7" s="225"/>
      <c r="JFB7" s="225"/>
      <c r="JFC7" s="225"/>
      <c r="JFD7" s="225"/>
      <c r="JFE7" s="225"/>
      <c r="JFF7" s="225"/>
      <c r="JFG7" s="225"/>
      <c r="JFH7" s="225"/>
      <c r="JFI7" s="225"/>
      <c r="JFJ7" s="225"/>
      <c r="JFK7" s="225"/>
      <c r="JFL7" s="225"/>
      <c r="JFM7" s="225"/>
      <c r="JFN7" s="225"/>
      <c r="JFO7" s="225"/>
      <c r="JFP7" s="225"/>
      <c r="JFQ7" s="225"/>
      <c r="JFR7" s="225"/>
      <c r="JFS7" s="225"/>
      <c r="JFT7" s="225"/>
      <c r="JFU7" s="225"/>
      <c r="JFV7" s="225"/>
      <c r="JFW7" s="225"/>
      <c r="JFX7" s="225"/>
      <c r="JFY7" s="225"/>
      <c r="JFZ7" s="225"/>
      <c r="JGA7" s="225"/>
      <c r="JGB7" s="225"/>
      <c r="JGC7" s="225"/>
      <c r="JGD7" s="225"/>
      <c r="JGE7" s="225"/>
      <c r="JGF7" s="225"/>
      <c r="JGG7" s="225"/>
      <c r="JGH7" s="225"/>
      <c r="JGI7" s="225"/>
      <c r="JGJ7" s="225"/>
      <c r="JGK7" s="225"/>
      <c r="JGL7" s="225"/>
      <c r="JGM7" s="225"/>
      <c r="JGN7" s="225"/>
      <c r="JGO7" s="225"/>
      <c r="JGP7" s="225"/>
      <c r="JGQ7" s="225"/>
      <c r="JGR7" s="225"/>
      <c r="JGS7" s="225"/>
      <c r="JGT7" s="225"/>
      <c r="JGU7" s="225"/>
      <c r="JGV7" s="225"/>
      <c r="JGW7" s="225"/>
      <c r="JGX7" s="225"/>
      <c r="JGY7" s="225"/>
      <c r="JGZ7" s="225"/>
      <c r="JHA7" s="225"/>
      <c r="JHB7" s="225"/>
      <c r="JHC7" s="225"/>
      <c r="JHD7" s="225"/>
      <c r="JHE7" s="225"/>
      <c r="JHF7" s="225"/>
      <c r="JHG7" s="225"/>
      <c r="JHH7" s="225"/>
      <c r="JHI7" s="225"/>
      <c r="JHJ7" s="225"/>
      <c r="JHK7" s="225"/>
      <c r="JHL7" s="225"/>
      <c r="JHM7" s="225"/>
      <c r="JHN7" s="225"/>
      <c r="JHO7" s="225"/>
      <c r="JHP7" s="225"/>
      <c r="JHQ7" s="225"/>
      <c r="JHR7" s="225"/>
      <c r="JHS7" s="225"/>
      <c r="JHT7" s="225"/>
      <c r="JHU7" s="225"/>
      <c r="JHV7" s="225"/>
      <c r="JHW7" s="225"/>
      <c r="JHX7" s="225"/>
      <c r="JHY7" s="225"/>
      <c r="JHZ7" s="225"/>
      <c r="JIA7" s="225"/>
      <c r="JIB7" s="225"/>
      <c r="JIC7" s="225"/>
      <c r="JID7" s="225"/>
      <c r="JIE7" s="225"/>
      <c r="JIF7" s="225"/>
      <c r="JIG7" s="225"/>
      <c r="JIH7" s="225"/>
      <c r="JII7" s="225"/>
      <c r="JIJ7" s="225"/>
      <c r="JIK7" s="225"/>
      <c r="JIL7" s="225"/>
      <c r="JIM7" s="225"/>
      <c r="JIN7" s="225"/>
      <c r="JIO7" s="225"/>
      <c r="JIP7" s="225"/>
      <c r="JIQ7" s="225"/>
      <c r="JIR7" s="225"/>
      <c r="JIS7" s="225"/>
      <c r="JIT7" s="225"/>
      <c r="JIU7" s="225"/>
      <c r="JIV7" s="225"/>
      <c r="JIW7" s="225"/>
      <c r="JIX7" s="225"/>
      <c r="JIY7" s="225"/>
      <c r="JIZ7" s="225"/>
      <c r="JJA7" s="225"/>
      <c r="JJB7" s="225"/>
      <c r="JJC7" s="225"/>
      <c r="JJD7" s="225"/>
      <c r="JJE7" s="225"/>
      <c r="JJF7" s="225"/>
      <c r="JJG7" s="225"/>
      <c r="JJH7" s="225"/>
      <c r="JJI7" s="225"/>
      <c r="JJJ7" s="225"/>
      <c r="JJK7" s="225"/>
      <c r="JJL7" s="225"/>
      <c r="JJM7" s="225"/>
      <c r="JJN7" s="225"/>
      <c r="JJO7" s="225"/>
      <c r="JJP7" s="225"/>
      <c r="JJQ7" s="225"/>
      <c r="JJR7" s="225"/>
      <c r="JJS7" s="225"/>
      <c r="JJT7" s="225"/>
      <c r="JJU7" s="225"/>
      <c r="JJV7" s="225"/>
      <c r="JJW7" s="225"/>
      <c r="JJX7" s="225"/>
      <c r="JJY7" s="225"/>
      <c r="JJZ7" s="225"/>
      <c r="JKA7" s="225"/>
      <c r="JKB7" s="225"/>
      <c r="JKC7" s="225"/>
      <c r="JKD7" s="225"/>
      <c r="JKE7" s="225"/>
      <c r="JKF7" s="225"/>
      <c r="JKG7" s="225"/>
      <c r="JKH7" s="225"/>
      <c r="JKI7" s="225"/>
      <c r="JKJ7" s="225"/>
      <c r="JKK7" s="225"/>
      <c r="JKL7" s="225"/>
      <c r="JKM7" s="225"/>
      <c r="JKN7" s="225"/>
      <c r="JKO7" s="225"/>
      <c r="JKP7" s="225"/>
      <c r="JKQ7" s="225"/>
      <c r="JKR7" s="225"/>
      <c r="JKS7" s="225"/>
      <c r="JKT7" s="225"/>
      <c r="JKU7" s="225"/>
      <c r="JKV7" s="225"/>
      <c r="JKW7" s="225"/>
      <c r="JKX7" s="225"/>
      <c r="JKY7" s="225"/>
      <c r="JKZ7" s="225"/>
      <c r="JLA7" s="225"/>
      <c r="JLB7" s="225"/>
      <c r="JLC7" s="225"/>
      <c r="JLD7" s="225"/>
      <c r="JLE7" s="225"/>
      <c r="JLF7" s="225"/>
      <c r="JLG7" s="225"/>
      <c r="JLH7" s="225"/>
      <c r="JLI7" s="225"/>
      <c r="JLJ7" s="225"/>
      <c r="JLK7" s="225"/>
      <c r="JLL7" s="225"/>
      <c r="JLM7" s="225"/>
      <c r="JLN7" s="225"/>
      <c r="JLO7" s="225"/>
      <c r="JLP7" s="225"/>
      <c r="JLQ7" s="225"/>
      <c r="JLR7" s="225"/>
      <c r="JLS7" s="225"/>
      <c r="JLT7" s="225"/>
      <c r="JLU7" s="225"/>
      <c r="JLV7" s="225"/>
      <c r="JLW7" s="225"/>
      <c r="JLX7" s="225"/>
      <c r="JLY7" s="225"/>
      <c r="JLZ7" s="225"/>
      <c r="JMA7" s="225"/>
      <c r="JMB7" s="225"/>
      <c r="JMC7" s="225"/>
      <c r="JMD7" s="225"/>
      <c r="JME7" s="225"/>
      <c r="JMF7" s="225"/>
      <c r="JMG7" s="225"/>
      <c r="JMH7" s="225"/>
      <c r="JMI7" s="225"/>
      <c r="JMJ7" s="225"/>
      <c r="JMK7" s="225"/>
      <c r="JML7" s="225"/>
      <c r="JMM7" s="225"/>
      <c r="JMN7" s="225"/>
      <c r="JMO7" s="225"/>
      <c r="JMP7" s="225"/>
      <c r="JMQ7" s="225"/>
      <c r="JMR7" s="225"/>
      <c r="JMS7" s="225"/>
      <c r="JMT7" s="225"/>
      <c r="JMU7" s="225"/>
      <c r="JMV7" s="225"/>
      <c r="JMW7" s="225"/>
      <c r="JMX7" s="225"/>
      <c r="JMY7" s="225"/>
      <c r="JMZ7" s="225"/>
      <c r="JNA7" s="225"/>
      <c r="JNB7" s="225"/>
      <c r="JNC7" s="225"/>
      <c r="JND7" s="225"/>
      <c r="JNE7" s="225"/>
      <c r="JNF7" s="225"/>
      <c r="JNG7" s="225"/>
      <c r="JNH7" s="225"/>
      <c r="JNI7" s="225"/>
      <c r="JNJ7" s="225"/>
      <c r="JNK7" s="225"/>
      <c r="JNL7" s="225"/>
      <c r="JNM7" s="225"/>
      <c r="JNN7" s="225"/>
      <c r="JNO7" s="225"/>
      <c r="JNP7" s="225"/>
      <c r="JNQ7" s="225"/>
      <c r="JNR7" s="225"/>
      <c r="JNS7" s="225"/>
      <c r="JNT7" s="225"/>
      <c r="JNU7" s="225"/>
      <c r="JNV7" s="225"/>
      <c r="JNW7" s="225"/>
      <c r="JNX7" s="225"/>
      <c r="JNY7" s="225"/>
      <c r="JNZ7" s="225"/>
      <c r="JOA7" s="225"/>
      <c r="JOB7" s="225"/>
      <c r="JOC7" s="225"/>
      <c r="JOD7" s="225"/>
      <c r="JOE7" s="225"/>
      <c r="JOF7" s="225"/>
      <c r="JOG7" s="225"/>
      <c r="JOH7" s="225"/>
      <c r="JOI7" s="225"/>
      <c r="JOJ7" s="225"/>
      <c r="JOK7" s="225"/>
      <c r="JOL7" s="225"/>
      <c r="JOM7" s="225"/>
      <c r="JON7" s="225"/>
      <c r="JOO7" s="225"/>
      <c r="JOP7" s="225"/>
      <c r="JOQ7" s="225"/>
      <c r="JOR7" s="225"/>
      <c r="JOS7" s="225"/>
      <c r="JOT7" s="225"/>
      <c r="JOU7" s="225"/>
      <c r="JOV7" s="225"/>
      <c r="JOW7" s="225"/>
      <c r="JOX7" s="225"/>
      <c r="JOY7" s="225"/>
      <c r="JOZ7" s="225"/>
      <c r="JPA7" s="225"/>
      <c r="JPB7" s="225"/>
      <c r="JPC7" s="225"/>
      <c r="JPD7" s="225"/>
      <c r="JPE7" s="225"/>
      <c r="JPF7" s="225"/>
      <c r="JPG7" s="225"/>
      <c r="JPH7" s="225"/>
      <c r="JPI7" s="225"/>
      <c r="JPJ7" s="225"/>
      <c r="JPK7" s="225"/>
      <c r="JPL7" s="225"/>
      <c r="JPM7" s="225"/>
      <c r="JPN7" s="225"/>
      <c r="JPO7" s="225"/>
      <c r="JPP7" s="225"/>
      <c r="JPQ7" s="225"/>
      <c r="JPR7" s="225"/>
      <c r="JPS7" s="225"/>
      <c r="JPT7" s="225"/>
      <c r="JPU7" s="225"/>
      <c r="JPV7" s="225"/>
      <c r="JPW7" s="225"/>
      <c r="JPX7" s="225"/>
      <c r="JPY7" s="225"/>
      <c r="JPZ7" s="225"/>
      <c r="JQA7" s="225"/>
      <c r="JQB7" s="225"/>
      <c r="JQC7" s="225"/>
      <c r="JQD7" s="225"/>
      <c r="JQE7" s="225"/>
      <c r="JQF7" s="225"/>
      <c r="JQG7" s="225"/>
      <c r="JQH7" s="225"/>
      <c r="JQI7" s="225"/>
      <c r="JQJ7" s="225"/>
      <c r="JQK7" s="225"/>
      <c r="JQL7" s="225"/>
      <c r="JQM7" s="225"/>
      <c r="JQN7" s="225"/>
      <c r="JQO7" s="225"/>
      <c r="JQP7" s="225"/>
      <c r="JQQ7" s="225"/>
      <c r="JQR7" s="225"/>
      <c r="JQS7" s="225"/>
      <c r="JQT7" s="225"/>
      <c r="JQU7" s="225"/>
      <c r="JQV7" s="225"/>
      <c r="JQW7" s="225"/>
      <c r="JQX7" s="225"/>
      <c r="JQY7" s="225"/>
      <c r="JQZ7" s="225"/>
      <c r="JRA7" s="225"/>
      <c r="JRB7" s="225"/>
      <c r="JRC7" s="225"/>
      <c r="JRD7" s="225"/>
      <c r="JRE7" s="225"/>
      <c r="JRF7" s="225"/>
      <c r="JRG7" s="225"/>
      <c r="JRH7" s="225"/>
      <c r="JRI7" s="225"/>
      <c r="JRJ7" s="225"/>
      <c r="JRK7" s="225"/>
      <c r="JRL7" s="225"/>
      <c r="JRM7" s="225"/>
      <c r="JRN7" s="225"/>
      <c r="JRO7" s="225"/>
      <c r="JRP7" s="225"/>
      <c r="JRQ7" s="225"/>
      <c r="JRR7" s="225"/>
      <c r="JRS7" s="225"/>
      <c r="JRT7" s="225"/>
      <c r="JRU7" s="225"/>
      <c r="JRV7" s="225"/>
      <c r="JRW7" s="225"/>
      <c r="JRX7" s="225"/>
      <c r="JRY7" s="225"/>
      <c r="JRZ7" s="225"/>
      <c r="JSA7" s="225"/>
      <c r="JSB7" s="225"/>
      <c r="JSC7" s="225"/>
      <c r="JSD7" s="225"/>
      <c r="JSE7" s="225"/>
      <c r="JSF7" s="225"/>
      <c r="JSG7" s="225"/>
      <c r="JSH7" s="225"/>
      <c r="JSI7" s="225"/>
      <c r="JSJ7" s="225"/>
      <c r="JSK7" s="225"/>
      <c r="JSL7" s="225"/>
      <c r="JSM7" s="225"/>
      <c r="JSN7" s="225"/>
      <c r="JSO7" s="225"/>
      <c r="JSP7" s="225"/>
      <c r="JSQ7" s="225"/>
      <c r="JSR7" s="225"/>
      <c r="JSS7" s="225"/>
      <c r="JST7" s="225"/>
      <c r="JSU7" s="225"/>
      <c r="JSV7" s="225"/>
      <c r="JSW7" s="225"/>
      <c r="JSX7" s="225"/>
      <c r="JSY7" s="225"/>
      <c r="JSZ7" s="225"/>
      <c r="JTA7" s="225"/>
      <c r="JTB7" s="225"/>
      <c r="JTC7" s="225"/>
      <c r="JTD7" s="225"/>
      <c r="JTE7" s="225"/>
      <c r="JTF7" s="225"/>
      <c r="JTG7" s="225"/>
      <c r="JTH7" s="225"/>
      <c r="JTI7" s="225"/>
      <c r="JTJ7" s="225"/>
      <c r="JTK7" s="225"/>
      <c r="JTL7" s="225"/>
      <c r="JTM7" s="225"/>
      <c r="JTN7" s="225"/>
      <c r="JTO7" s="225"/>
      <c r="JTP7" s="225"/>
      <c r="JTQ7" s="225"/>
      <c r="JTR7" s="225"/>
      <c r="JTS7" s="225"/>
      <c r="JTT7" s="225"/>
      <c r="JTU7" s="225"/>
      <c r="JTV7" s="225"/>
      <c r="JTW7" s="225"/>
      <c r="JTX7" s="225"/>
      <c r="JTY7" s="225"/>
      <c r="JTZ7" s="225"/>
      <c r="JUA7" s="225"/>
      <c r="JUB7" s="225"/>
      <c r="JUC7" s="225"/>
      <c r="JUD7" s="225"/>
      <c r="JUE7" s="225"/>
      <c r="JUF7" s="225"/>
      <c r="JUG7" s="225"/>
      <c r="JUH7" s="225"/>
      <c r="JUI7" s="225"/>
      <c r="JUJ7" s="225"/>
      <c r="JUK7" s="225"/>
      <c r="JUL7" s="225"/>
      <c r="JUM7" s="225"/>
      <c r="JUN7" s="225"/>
      <c r="JUO7" s="225"/>
      <c r="JUP7" s="225"/>
      <c r="JUQ7" s="225"/>
      <c r="JUR7" s="225"/>
      <c r="JUS7" s="225"/>
      <c r="JUT7" s="225"/>
      <c r="JUU7" s="225"/>
      <c r="JUV7" s="225"/>
      <c r="JUW7" s="225"/>
      <c r="JUX7" s="225"/>
      <c r="JUY7" s="225"/>
      <c r="JUZ7" s="225"/>
      <c r="JVA7" s="225"/>
      <c r="JVB7" s="225"/>
      <c r="JVC7" s="225"/>
      <c r="JVD7" s="225"/>
      <c r="JVE7" s="225"/>
      <c r="JVF7" s="225"/>
      <c r="JVG7" s="225"/>
      <c r="JVH7" s="225"/>
      <c r="JVI7" s="225"/>
      <c r="JVJ7" s="225"/>
      <c r="JVK7" s="225"/>
      <c r="JVL7" s="225"/>
      <c r="JVM7" s="225"/>
      <c r="JVN7" s="225"/>
      <c r="JVO7" s="225"/>
      <c r="JVP7" s="225"/>
      <c r="JVQ7" s="225"/>
      <c r="JVR7" s="225"/>
      <c r="JVS7" s="225"/>
      <c r="JVT7" s="225"/>
      <c r="JVU7" s="225"/>
      <c r="JVV7" s="225"/>
      <c r="JVW7" s="225"/>
      <c r="JVX7" s="225"/>
      <c r="JVY7" s="225"/>
      <c r="JVZ7" s="225"/>
      <c r="JWA7" s="225"/>
      <c r="JWB7" s="225"/>
      <c r="JWC7" s="225"/>
      <c r="JWD7" s="225"/>
      <c r="JWE7" s="225"/>
      <c r="JWF7" s="225"/>
      <c r="JWG7" s="225"/>
      <c r="JWH7" s="225"/>
      <c r="JWI7" s="225"/>
      <c r="JWJ7" s="225"/>
      <c r="JWK7" s="225"/>
      <c r="JWL7" s="225"/>
      <c r="JWM7" s="225"/>
      <c r="JWN7" s="225"/>
      <c r="JWO7" s="225"/>
      <c r="JWP7" s="225"/>
      <c r="JWQ7" s="225"/>
      <c r="JWR7" s="225"/>
      <c r="JWS7" s="225"/>
      <c r="JWT7" s="225"/>
      <c r="JWU7" s="225"/>
      <c r="JWV7" s="225"/>
      <c r="JWW7" s="225"/>
      <c r="JWX7" s="225"/>
      <c r="JWY7" s="225"/>
      <c r="JWZ7" s="225"/>
      <c r="JXA7" s="225"/>
      <c r="JXB7" s="225"/>
      <c r="JXC7" s="225"/>
      <c r="JXD7" s="225"/>
      <c r="JXE7" s="225"/>
      <c r="JXF7" s="225"/>
      <c r="JXG7" s="225"/>
      <c r="JXH7" s="225"/>
      <c r="JXI7" s="225"/>
      <c r="JXJ7" s="225"/>
      <c r="JXK7" s="225"/>
      <c r="JXL7" s="225"/>
      <c r="JXM7" s="225"/>
      <c r="JXN7" s="225"/>
      <c r="JXO7" s="225"/>
      <c r="JXP7" s="225"/>
      <c r="JXQ7" s="225"/>
      <c r="JXR7" s="225"/>
      <c r="JXS7" s="225"/>
      <c r="JXT7" s="225"/>
      <c r="JXU7" s="225"/>
      <c r="JXV7" s="225"/>
      <c r="JXW7" s="225"/>
      <c r="JXX7" s="225"/>
      <c r="JXY7" s="225"/>
      <c r="JXZ7" s="225"/>
      <c r="JYA7" s="225"/>
      <c r="JYB7" s="225"/>
      <c r="JYC7" s="225"/>
      <c r="JYD7" s="225"/>
      <c r="JYE7" s="225"/>
      <c r="JYF7" s="225"/>
      <c r="JYG7" s="225"/>
      <c r="JYH7" s="225"/>
      <c r="JYI7" s="225"/>
      <c r="JYJ7" s="225"/>
      <c r="JYK7" s="225"/>
      <c r="JYL7" s="225"/>
      <c r="JYM7" s="225"/>
      <c r="JYN7" s="225"/>
      <c r="JYO7" s="225"/>
      <c r="JYP7" s="225"/>
      <c r="JYQ7" s="225"/>
      <c r="JYR7" s="225"/>
      <c r="JYS7" s="225"/>
      <c r="JYT7" s="225"/>
      <c r="JYU7" s="225"/>
      <c r="JYV7" s="225"/>
      <c r="JYW7" s="225"/>
      <c r="JYX7" s="225"/>
      <c r="JYY7" s="225"/>
      <c r="JYZ7" s="225"/>
      <c r="JZA7" s="225"/>
      <c r="JZB7" s="225"/>
      <c r="JZC7" s="225"/>
      <c r="JZD7" s="225"/>
      <c r="JZE7" s="225"/>
      <c r="JZF7" s="225"/>
      <c r="JZG7" s="225"/>
      <c r="JZH7" s="225"/>
      <c r="JZI7" s="225"/>
      <c r="JZJ7" s="225"/>
      <c r="JZK7" s="225"/>
      <c r="JZL7" s="225"/>
      <c r="JZM7" s="225"/>
      <c r="JZN7" s="225"/>
      <c r="JZO7" s="225"/>
      <c r="JZP7" s="225"/>
      <c r="JZQ7" s="225"/>
      <c r="JZR7" s="225"/>
      <c r="JZS7" s="225"/>
      <c r="JZT7" s="225"/>
      <c r="JZU7" s="225"/>
      <c r="JZV7" s="225"/>
      <c r="JZW7" s="225"/>
      <c r="JZX7" s="225"/>
      <c r="JZY7" s="225"/>
      <c r="JZZ7" s="225"/>
      <c r="KAA7" s="225"/>
      <c r="KAB7" s="225"/>
      <c r="KAC7" s="225"/>
      <c r="KAD7" s="225"/>
      <c r="KAE7" s="225"/>
      <c r="KAF7" s="225"/>
      <c r="KAG7" s="225"/>
      <c r="KAH7" s="225"/>
      <c r="KAI7" s="225"/>
      <c r="KAJ7" s="225"/>
      <c r="KAK7" s="225"/>
      <c r="KAL7" s="225"/>
      <c r="KAM7" s="225"/>
      <c r="KAN7" s="225"/>
      <c r="KAO7" s="225"/>
      <c r="KAP7" s="225"/>
      <c r="KAQ7" s="225"/>
      <c r="KAR7" s="225"/>
      <c r="KAS7" s="225"/>
      <c r="KAT7" s="225"/>
      <c r="KAU7" s="225"/>
      <c r="KAV7" s="225"/>
      <c r="KAW7" s="225"/>
      <c r="KAX7" s="225"/>
      <c r="KAY7" s="225"/>
      <c r="KAZ7" s="225"/>
      <c r="KBA7" s="225"/>
      <c r="KBB7" s="225"/>
      <c r="KBC7" s="225"/>
      <c r="KBD7" s="225"/>
      <c r="KBE7" s="225"/>
      <c r="KBF7" s="225"/>
      <c r="KBG7" s="225"/>
      <c r="KBH7" s="225"/>
      <c r="KBI7" s="225"/>
      <c r="KBJ7" s="225"/>
      <c r="KBK7" s="225"/>
      <c r="KBL7" s="225"/>
      <c r="KBM7" s="225"/>
      <c r="KBN7" s="225"/>
      <c r="KBO7" s="225"/>
      <c r="KBP7" s="225"/>
      <c r="KBQ7" s="225"/>
      <c r="KBR7" s="225"/>
      <c r="KBS7" s="225"/>
      <c r="KBT7" s="225"/>
      <c r="KBU7" s="225"/>
      <c r="KBV7" s="225"/>
      <c r="KBW7" s="225"/>
      <c r="KBX7" s="225"/>
      <c r="KBY7" s="225"/>
      <c r="KBZ7" s="225"/>
      <c r="KCA7" s="225"/>
      <c r="KCB7" s="225"/>
      <c r="KCC7" s="225"/>
      <c r="KCD7" s="225"/>
      <c r="KCE7" s="225"/>
      <c r="KCF7" s="225"/>
      <c r="KCG7" s="225"/>
      <c r="KCH7" s="225"/>
      <c r="KCI7" s="225"/>
      <c r="KCJ7" s="225"/>
      <c r="KCK7" s="225"/>
      <c r="KCL7" s="225"/>
      <c r="KCM7" s="225"/>
      <c r="KCN7" s="225"/>
      <c r="KCO7" s="225"/>
      <c r="KCP7" s="225"/>
      <c r="KCQ7" s="225"/>
      <c r="KCR7" s="225"/>
      <c r="KCS7" s="225"/>
      <c r="KCT7" s="225"/>
      <c r="KCU7" s="225"/>
      <c r="KCV7" s="225"/>
      <c r="KCW7" s="225"/>
      <c r="KCX7" s="225"/>
      <c r="KCY7" s="225"/>
      <c r="KCZ7" s="225"/>
      <c r="KDA7" s="225"/>
      <c r="KDB7" s="225"/>
      <c r="KDC7" s="225"/>
      <c r="KDD7" s="225"/>
      <c r="KDE7" s="225"/>
      <c r="KDF7" s="225"/>
      <c r="KDG7" s="225"/>
      <c r="KDH7" s="225"/>
      <c r="KDI7" s="225"/>
      <c r="KDJ7" s="225"/>
      <c r="KDK7" s="225"/>
      <c r="KDL7" s="225"/>
      <c r="KDM7" s="225"/>
      <c r="KDN7" s="225"/>
      <c r="KDO7" s="225"/>
      <c r="KDP7" s="225"/>
      <c r="KDQ7" s="225"/>
      <c r="KDR7" s="225"/>
      <c r="KDS7" s="225"/>
      <c r="KDT7" s="225"/>
      <c r="KDU7" s="225"/>
      <c r="KDV7" s="225"/>
      <c r="KDW7" s="225"/>
      <c r="KDX7" s="225"/>
      <c r="KDY7" s="225"/>
      <c r="KDZ7" s="225"/>
      <c r="KEA7" s="225"/>
      <c r="KEB7" s="225"/>
      <c r="KEC7" s="225"/>
      <c r="KED7" s="225"/>
      <c r="KEE7" s="225"/>
      <c r="KEF7" s="225"/>
      <c r="KEG7" s="225"/>
      <c r="KEH7" s="225"/>
      <c r="KEI7" s="225"/>
      <c r="KEJ7" s="225"/>
      <c r="KEK7" s="225"/>
      <c r="KEL7" s="225"/>
      <c r="KEM7" s="225"/>
      <c r="KEN7" s="225"/>
      <c r="KEO7" s="225"/>
      <c r="KEP7" s="225"/>
      <c r="KEQ7" s="225"/>
      <c r="KER7" s="225"/>
      <c r="KES7" s="225"/>
      <c r="KET7" s="225"/>
      <c r="KEU7" s="225"/>
      <c r="KEV7" s="225"/>
      <c r="KEW7" s="225"/>
      <c r="KEX7" s="225"/>
      <c r="KEY7" s="225"/>
      <c r="KEZ7" s="225"/>
      <c r="KFA7" s="225"/>
      <c r="KFB7" s="225"/>
      <c r="KFC7" s="225"/>
      <c r="KFD7" s="225"/>
      <c r="KFE7" s="225"/>
      <c r="KFF7" s="225"/>
      <c r="KFG7" s="225"/>
      <c r="KFH7" s="225"/>
      <c r="KFI7" s="225"/>
      <c r="KFJ7" s="225"/>
      <c r="KFK7" s="225"/>
      <c r="KFL7" s="225"/>
      <c r="KFM7" s="225"/>
      <c r="KFN7" s="225"/>
      <c r="KFO7" s="225"/>
      <c r="KFP7" s="225"/>
      <c r="KFQ7" s="225"/>
      <c r="KFR7" s="225"/>
      <c r="KFS7" s="225"/>
      <c r="KFT7" s="225"/>
      <c r="KFU7" s="225"/>
      <c r="KFV7" s="225"/>
      <c r="KFW7" s="225"/>
      <c r="KFX7" s="225"/>
      <c r="KFY7" s="225"/>
      <c r="KFZ7" s="225"/>
      <c r="KGA7" s="225"/>
      <c r="KGB7" s="225"/>
      <c r="KGC7" s="225"/>
      <c r="KGD7" s="225"/>
      <c r="KGE7" s="225"/>
      <c r="KGF7" s="225"/>
      <c r="KGG7" s="225"/>
      <c r="KGH7" s="225"/>
      <c r="KGI7" s="225"/>
      <c r="KGJ7" s="225"/>
      <c r="KGK7" s="225"/>
      <c r="KGL7" s="225"/>
      <c r="KGM7" s="225"/>
      <c r="KGN7" s="225"/>
      <c r="KGO7" s="225"/>
      <c r="KGP7" s="225"/>
      <c r="KGQ7" s="225"/>
      <c r="KGR7" s="225"/>
      <c r="KGS7" s="225"/>
      <c r="KGT7" s="225"/>
      <c r="KGU7" s="225"/>
      <c r="KGV7" s="225"/>
      <c r="KGW7" s="225"/>
      <c r="KGX7" s="225"/>
      <c r="KGY7" s="225"/>
      <c r="KGZ7" s="225"/>
      <c r="KHA7" s="225"/>
      <c r="KHB7" s="225"/>
      <c r="KHC7" s="225"/>
      <c r="KHD7" s="225"/>
      <c r="KHE7" s="225"/>
      <c r="KHF7" s="225"/>
      <c r="KHG7" s="225"/>
      <c r="KHH7" s="225"/>
      <c r="KHI7" s="225"/>
      <c r="KHJ7" s="225"/>
      <c r="KHK7" s="225"/>
      <c r="KHL7" s="225"/>
      <c r="KHM7" s="225"/>
      <c r="KHN7" s="225"/>
      <c r="KHO7" s="225"/>
      <c r="KHP7" s="225"/>
      <c r="KHQ7" s="225"/>
      <c r="KHR7" s="225"/>
      <c r="KHS7" s="225"/>
      <c r="KHT7" s="225"/>
      <c r="KHU7" s="225"/>
      <c r="KHV7" s="225"/>
      <c r="KHW7" s="225"/>
      <c r="KHX7" s="225"/>
      <c r="KHY7" s="225"/>
      <c r="KHZ7" s="225"/>
      <c r="KIA7" s="225"/>
      <c r="KIB7" s="225"/>
      <c r="KIC7" s="225"/>
      <c r="KID7" s="225"/>
      <c r="KIE7" s="225"/>
      <c r="KIF7" s="225"/>
      <c r="KIG7" s="225"/>
      <c r="KIH7" s="225"/>
      <c r="KII7" s="225"/>
      <c r="KIJ7" s="225"/>
      <c r="KIK7" s="225"/>
      <c r="KIL7" s="225"/>
      <c r="KIM7" s="225"/>
      <c r="KIN7" s="225"/>
      <c r="KIO7" s="225"/>
      <c r="KIP7" s="225"/>
      <c r="KIQ7" s="225"/>
      <c r="KIR7" s="225"/>
      <c r="KIS7" s="225"/>
      <c r="KIT7" s="225"/>
      <c r="KIU7" s="225"/>
      <c r="KIV7" s="225"/>
      <c r="KIW7" s="225"/>
      <c r="KIX7" s="225"/>
      <c r="KIY7" s="225"/>
      <c r="KIZ7" s="225"/>
      <c r="KJA7" s="225"/>
      <c r="KJB7" s="225"/>
      <c r="KJC7" s="225"/>
      <c r="KJD7" s="225"/>
      <c r="KJE7" s="225"/>
      <c r="KJF7" s="225"/>
      <c r="KJG7" s="225"/>
      <c r="KJH7" s="225"/>
      <c r="KJI7" s="225"/>
      <c r="KJJ7" s="225"/>
      <c r="KJK7" s="225"/>
      <c r="KJL7" s="225"/>
      <c r="KJM7" s="225"/>
      <c r="KJN7" s="225"/>
      <c r="KJO7" s="225"/>
      <c r="KJP7" s="225"/>
      <c r="KJQ7" s="225"/>
      <c r="KJR7" s="225"/>
      <c r="KJS7" s="225"/>
      <c r="KJT7" s="225"/>
      <c r="KJU7" s="225"/>
      <c r="KJV7" s="225"/>
      <c r="KJW7" s="225"/>
      <c r="KJX7" s="225"/>
      <c r="KJY7" s="225"/>
      <c r="KJZ7" s="225"/>
      <c r="KKA7" s="225"/>
      <c r="KKB7" s="225"/>
      <c r="KKC7" s="225"/>
      <c r="KKD7" s="225"/>
      <c r="KKE7" s="225"/>
      <c r="KKF7" s="225"/>
      <c r="KKG7" s="225"/>
      <c r="KKH7" s="225"/>
      <c r="KKI7" s="225"/>
      <c r="KKJ7" s="225"/>
      <c r="KKK7" s="225"/>
      <c r="KKL7" s="225"/>
      <c r="KKM7" s="225"/>
      <c r="KKN7" s="225"/>
      <c r="KKO7" s="225"/>
      <c r="KKP7" s="225"/>
      <c r="KKQ7" s="225"/>
      <c r="KKR7" s="225"/>
      <c r="KKS7" s="225"/>
      <c r="KKT7" s="225"/>
      <c r="KKU7" s="225"/>
      <c r="KKV7" s="225"/>
      <c r="KKW7" s="225"/>
      <c r="KKX7" s="225"/>
      <c r="KKY7" s="225"/>
      <c r="KKZ7" s="225"/>
      <c r="KLA7" s="225"/>
      <c r="KLB7" s="225"/>
      <c r="KLC7" s="225"/>
      <c r="KLD7" s="225"/>
      <c r="KLE7" s="225"/>
      <c r="KLF7" s="225"/>
      <c r="KLG7" s="225"/>
      <c r="KLH7" s="225"/>
      <c r="KLI7" s="225"/>
      <c r="KLJ7" s="225"/>
      <c r="KLK7" s="225"/>
      <c r="KLL7" s="225"/>
      <c r="KLM7" s="225"/>
      <c r="KLN7" s="225"/>
      <c r="KLO7" s="225"/>
      <c r="KLP7" s="225"/>
      <c r="KLQ7" s="225"/>
      <c r="KLR7" s="225"/>
      <c r="KLS7" s="225"/>
      <c r="KLT7" s="225"/>
      <c r="KLU7" s="225"/>
      <c r="KLV7" s="225"/>
      <c r="KLW7" s="225"/>
      <c r="KLX7" s="225"/>
      <c r="KLY7" s="225"/>
      <c r="KLZ7" s="225"/>
      <c r="KMA7" s="225"/>
      <c r="KMB7" s="225"/>
      <c r="KMC7" s="225"/>
      <c r="KMD7" s="225"/>
      <c r="KME7" s="225"/>
      <c r="KMF7" s="225"/>
      <c r="KMG7" s="225"/>
      <c r="KMH7" s="225"/>
      <c r="KMI7" s="225"/>
      <c r="KMJ7" s="225"/>
      <c r="KMK7" s="225"/>
      <c r="KML7" s="225"/>
      <c r="KMM7" s="225"/>
      <c r="KMN7" s="225"/>
      <c r="KMO7" s="225"/>
      <c r="KMP7" s="225"/>
      <c r="KMQ7" s="225"/>
      <c r="KMR7" s="225"/>
      <c r="KMS7" s="225"/>
      <c r="KMT7" s="225"/>
      <c r="KMU7" s="225"/>
      <c r="KMV7" s="225"/>
      <c r="KMW7" s="225"/>
      <c r="KMX7" s="225"/>
      <c r="KMY7" s="225"/>
      <c r="KMZ7" s="225"/>
      <c r="KNA7" s="225"/>
      <c r="KNB7" s="225"/>
      <c r="KNC7" s="225"/>
      <c r="KND7" s="225"/>
      <c r="KNE7" s="225"/>
      <c r="KNF7" s="225"/>
      <c r="KNG7" s="225"/>
      <c r="KNH7" s="225"/>
      <c r="KNI7" s="225"/>
      <c r="KNJ7" s="225"/>
      <c r="KNK7" s="225"/>
      <c r="KNL7" s="225"/>
      <c r="KNM7" s="225"/>
      <c r="KNN7" s="225"/>
      <c r="KNO7" s="225"/>
      <c r="KNP7" s="225"/>
      <c r="KNQ7" s="225"/>
      <c r="KNR7" s="225"/>
      <c r="KNS7" s="225"/>
      <c r="KNT7" s="225"/>
      <c r="KNU7" s="225"/>
      <c r="KNV7" s="225"/>
      <c r="KNW7" s="225"/>
      <c r="KNX7" s="225"/>
      <c r="KNY7" s="225"/>
      <c r="KNZ7" s="225"/>
      <c r="KOA7" s="225"/>
      <c r="KOB7" s="225"/>
      <c r="KOC7" s="225"/>
      <c r="KOD7" s="225"/>
      <c r="KOE7" s="225"/>
      <c r="KOF7" s="225"/>
      <c r="KOG7" s="225"/>
      <c r="KOH7" s="225"/>
      <c r="KOI7" s="225"/>
      <c r="KOJ7" s="225"/>
      <c r="KOK7" s="225"/>
      <c r="KOL7" s="225"/>
      <c r="KOM7" s="225"/>
      <c r="KON7" s="225"/>
      <c r="KOO7" s="225"/>
      <c r="KOP7" s="225"/>
      <c r="KOQ7" s="225"/>
      <c r="KOR7" s="225"/>
      <c r="KOS7" s="225"/>
      <c r="KOT7" s="225"/>
      <c r="KOU7" s="225"/>
      <c r="KOV7" s="225"/>
      <c r="KOW7" s="225"/>
      <c r="KOX7" s="225"/>
      <c r="KOY7" s="225"/>
      <c r="KOZ7" s="225"/>
      <c r="KPA7" s="225"/>
      <c r="KPB7" s="225"/>
      <c r="KPC7" s="225"/>
      <c r="KPD7" s="225"/>
      <c r="KPE7" s="225"/>
      <c r="KPF7" s="225"/>
      <c r="KPG7" s="225"/>
      <c r="KPH7" s="225"/>
      <c r="KPI7" s="225"/>
      <c r="KPJ7" s="225"/>
      <c r="KPK7" s="225"/>
      <c r="KPL7" s="225"/>
      <c r="KPM7" s="225"/>
      <c r="KPN7" s="225"/>
      <c r="KPO7" s="225"/>
      <c r="KPP7" s="225"/>
      <c r="KPQ7" s="225"/>
      <c r="KPR7" s="225"/>
      <c r="KPS7" s="225"/>
      <c r="KPT7" s="225"/>
      <c r="KPU7" s="225"/>
      <c r="KPV7" s="225"/>
      <c r="KPW7" s="225"/>
      <c r="KPX7" s="225"/>
      <c r="KPY7" s="225"/>
      <c r="KPZ7" s="225"/>
      <c r="KQA7" s="225"/>
      <c r="KQB7" s="225"/>
      <c r="KQC7" s="225"/>
      <c r="KQD7" s="225"/>
      <c r="KQE7" s="225"/>
      <c r="KQF7" s="225"/>
      <c r="KQG7" s="225"/>
      <c r="KQH7" s="225"/>
      <c r="KQI7" s="225"/>
      <c r="KQJ7" s="225"/>
      <c r="KQK7" s="225"/>
      <c r="KQL7" s="225"/>
      <c r="KQM7" s="225"/>
      <c r="KQN7" s="225"/>
      <c r="KQO7" s="225"/>
      <c r="KQP7" s="225"/>
      <c r="KQQ7" s="225"/>
      <c r="KQR7" s="225"/>
      <c r="KQS7" s="225"/>
      <c r="KQT7" s="225"/>
      <c r="KQU7" s="225"/>
      <c r="KQV7" s="225"/>
      <c r="KQW7" s="225"/>
      <c r="KQX7" s="225"/>
      <c r="KQY7" s="225"/>
      <c r="KQZ7" s="225"/>
      <c r="KRA7" s="225"/>
      <c r="KRB7" s="225"/>
      <c r="KRC7" s="225"/>
      <c r="KRD7" s="225"/>
      <c r="KRE7" s="225"/>
      <c r="KRF7" s="225"/>
      <c r="KRG7" s="225"/>
      <c r="KRH7" s="225"/>
      <c r="KRI7" s="225"/>
      <c r="KRJ7" s="225"/>
      <c r="KRK7" s="225"/>
      <c r="KRL7" s="225"/>
      <c r="KRM7" s="225"/>
      <c r="KRN7" s="225"/>
      <c r="KRO7" s="225"/>
      <c r="KRP7" s="225"/>
      <c r="KRQ7" s="225"/>
      <c r="KRR7" s="225"/>
      <c r="KRS7" s="225"/>
      <c r="KRT7" s="225"/>
      <c r="KRU7" s="225"/>
      <c r="KRV7" s="225"/>
      <c r="KRW7" s="225"/>
      <c r="KRX7" s="225"/>
      <c r="KRY7" s="225"/>
      <c r="KRZ7" s="225"/>
      <c r="KSA7" s="225"/>
      <c r="KSB7" s="225"/>
      <c r="KSC7" s="225"/>
      <c r="KSD7" s="225"/>
      <c r="KSE7" s="225"/>
      <c r="KSF7" s="225"/>
      <c r="KSG7" s="225"/>
      <c r="KSH7" s="225"/>
      <c r="KSI7" s="225"/>
      <c r="KSJ7" s="225"/>
      <c r="KSK7" s="225"/>
      <c r="KSL7" s="225"/>
      <c r="KSM7" s="225"/>
      <c r="KSN7" s="225"/>
      <c r="KSO7" s="225"/>
      <c r="KSP7" s="225"/>
      <c r="KSQ7" s="225"/>
      <c r="KSR7" s="225"/>
      <c r="KSS7" s="225"/>
      <c r="KST7" s="225"/>
      <c r="KSU7" s="225"/>
      <c r="KSV7" s="225"/>
      <c r="KSW7" s="225"/>
      <c r="KSX7" s="225"/>
      <c r="KSY7" s="225"/>
      <c r="KSZ7" s="225"/>
      <c r="KTA7" s="225"/>
      <c r="KTB7" s="225"/>
      <c r="KTC7" s="225"/>
      <c r="KTD7" s="225"/>
      <c r="KTE7" s="225"/>
      <c r="KTF7" s="225"/>
      <c r="KTG7" s="225"/>
      <c r="KTH7" s="225"/>
      <c r="KTI7" s="225"/>
      <c r="KTJ7" s="225"/>
      <c r="KTK7" s="225"/>
      <c r="KTL7" s="225"/>
      <c r="KTM7" s="225"/>
      <c r="KTN7" s="225"/>
      <c r="KTO7" s="225"/>
      <c r="KTP7" s="225"/>
      <c r="KTQ7" s="225"/>
      <c r="KTR7" s="225"/>
      <c r="KTS7" s="225"/>
      <c r="KTT7" s="225"/>
      <c r="KTU7" s="225"/>
      <c r="KTV7" s="225"/>
      <c r="KTW7" s="225"/>
      <c r="KTX7" s="225"/>
      <c r="KTY7" s="225"/>
      <c r="KTZ7" s="225"/>
      <c r="KUA7" s="225"/>
      <c r="KUB7" s="225"/>
      <c r="KUC7" s="225"/>
      <c r="KUD7" s="225"/>
      <c r="KUE7" s="225"/>
      <c r="KUF7" s="225"/>
      <c r="KUG7" s="225"/>
      <c r="KUH7" s="225"/>
      <c r="KUI7" s="225"/>
      <c r="KUJ7" s="225"/>
      <c r="KUK7" s="225"/>
      <c r="KUL7" s="225"/>
      <c r="KUM7" s="225"/>
      <c r="KUN7" s="225"/>
      <c r="KUO7" s="225"/>
      <c r="KUP7" s="225"/>
      <c r="KUQ7" s="225"/>
      <c r="KUR7" s="225"/>
      <c r="KUS7" s="225"/>
      <c r="KUT7" s="225"/>
      <c r="KUU7" s="225"/>
      <c r="KUV7" s="225"/>
      <c r="KUW7" s="225"/>
      <c r="KUX7" s="225"/>
      <c r="KUY7" s="225"/>
      <c r="KUZ7" s="225"/>
      <c r="KVA7" s="225"/>
      <c r="KVB7" s="225"/>
      <c r="KVC7" s="225"/>
      <c r="KVD7" s="225"/>
      <c r="KVE7" s="225"/>
      <c r="KVF7" s="225"/>
      <c r="KVG7" s="225"/>
      <c r="KVH7" s="225"/>
      <c r="KVI7" s="225"/>
      <c r="KVJ7" s="225"/>
      <c r="KVK7" s="225"/>
      <c r="KVL7" s="225"/>
      <c r="KVM7" s="225"/>
      <c r="KVN7" s="225"/>
      <c r="KVO7" s="225"/>
      <c r="KVP7" s="225"/>
      <c r="KVQ7" s="225"/>
      <c r="KVR7" s="225"/>
      <c r="KVS7" s="225"/>
      <c r="KVT7" s="225"/>
      <c r="KVU7" s="225"/>
      <c r="KVV7" s="225"/>
      <c r="KVW7" s="225"/>
      <c r="KVX7" s="225"/>
      <c r="KVY7" s="225"/>
      <c r="KVZ7" s="225"/>
      <c r="KWA7" s="225"/>
      <c r="KWB7" s="225"/>
      <c r="KWC7" s="225"/>
      <c r="KWD7" s="225"/>
      <c r="KWE7" s="225"/>
      <c r="KWF7" s="225"/>
      <c r="KWG7" s="225"/>
      <c r="KWH7" s="225"/>
      <c r="KWI7" s="225"/>
      <c r="KWJ7" s="225"/>
      <c r="KWK7" s="225"/>
      <c r="KWL7" s="225"/>
      <c r="KWM7" s="225"/>
      <c r="KWN7" s="225"/>
      <c r="KWO7" s="225"/>
      <c r="KWP7" s="225"/>
      <c r="KWQ7" s="225"/>
      <c r="KWR7" s="225"/>
      <c r="KWS7" s="225"/>
      <c r="KWT7" s="225"/>
      <c r="KWU7" s="225"/>
      <c r="KWV7" s="225"/>
      <c r="KWW7" s="225"/>
      <c r="KWX7" s="225"/>
      <c r="KWY7" s="225"/>
      <c r="KWZ7" s="225"/>
      <c r="KXA7" s="225"/>
      <c r="KXB7" s="225"/>
      <c r="KXC7" s="225"/>
      <c r="KXD7" s="225"/>
      <c r="KXE7" s="225"/>
      <c r="KXF7" s="225"/>
      <c r="KXG7" s="225"/>
      <c r="KXH7" s="225"/>
      <c r="KXI7" s="225"/>
      <c r="KXJ7" s="225"/>
      <c r="KXK7" s="225"/>
      <c r="KXL7" s="225"/>
      <c r="KXM7" s="225"/>
      <c r="KXN7" s="225"/>
      <c r="KXO7" s="225"/>
      <c r="KXP7" s="225"/>
      <c r="KXQ7" s="225"/>
      <c r="KXR7" s="225"/>
      <c r="KXS7" s="225"/>
      <c r="KXT7" s="225"/>
      <c r="KXU7" s="225"/>
      <c r="KXV7" s="225"/>
      <c r="KXW7" s="225"/>
      <c r="KXX7" s="225"/>
      <c r="KXY7" s="225"/>
      <c r="KXZ7" s="225"/>
      <c r="KYA7" s="225"/>
      <c r="KYB7" s="225"/>
      <c r="KYC7" s="225"/>
      <c r="KYD7" s="225"/>
      <c r="KYE7" s="225"/>
      <c r="KYF7" s="225"/>
      <c r="KYG7" s="225"/>
      <c r="KYH7" s="225"/>
      <c r="KYI7" s="225"/>
      <c r="KYJ7" s="225"/>
      <c r="KYK7" s="225"/>
      <c r="KYL7" s="225"/>
      <c r="KYM7" s="225"/>
      <c r="KYN7" s="225"/>
      <c r="KYO7" s="225"/>
      <c r="KYP7" s="225"/>
      <c r="KYQ7" s="225"/>
      <c r="KYR7" s="225"/>
      <c r="KYS7" s="225"/>
      <c r="KYT7" s="225"/>
      <c r="KYU7" s="225"/>
      <c r="KYV7" s="225"/>
      <c r="KYW7" s="225"/>
      <c r="KYX7" s="225"/>
      <c r="KYY7" s="225"/>
      <c r="KYZ7" s="225"/>
      <c r="KZA7" s="225"/>
      <c r="KZB7" s="225"/>
      <c r="KZC7" s="225"/>
      <c r="KZD7" s="225"/>
      <c r="KZE7" s="225"/>
      <c r="KZF7" s="225"/>
      <c r="KZG7" s="225"/>
      <c r="KZH7" s="225"/>
      <c r="KZI7" s="225"/>
      <c r="KZJ7" s="225"/>
      <c r="KZK7" s="225"/>
      <c r="KZL7" s="225"/>
      <c r="KZM7" s="225"/>
      <c r="KZN7" s="225"/>
      <c r="KZO7" s="225"/>
      <c r="KZP7" s="225"/>
      <c r="KZQ7" s="225"/>
      <c r="KZR7" s="225"/>
      <c r="KZS7" s="225"/>
      <c r="KZT7" s="225"/>
      <c r="KZU7" s="225"/>
      <c r="KZV7" s="225"/>
      <c r="KZW7" s="225"/>
      <c r="KZX7" s="225"/>
      <c r="KZY7" s="225"/>
      <c r="KZZ7" s="225"/>
      <c r="LAA7" s="225"/>
      <c r="LAB7" s="225"/>
      <c r="LAC7" s="225"/>
      <c r="LAD7" s="225"/>
      <c r="LAE7" s="225"/>
      <c r="LAF7" s="225"/>
      <c r="LAG7" s="225"/>
      <c r="LAH7" s="225"/>
      <c r="LAI7" s="225"/>
      <c r="LAJ7" s="225"/>
      <c r="LAK7" s="225"/>
      <c r="LAL7" s="225"/>
      <c r="LAM7" s="225"/>
      <c r="LAN7" s="225"/>
      <c r="LAO7" s="225"/>
      <c r="LAP7" s="225"/>
      <c r="LAQ7" s="225"/>
      <c r="LAR7" s="225"/>
      <c r="LAS7" s="225"/>
      <c r="LAT7" s="225"/>
      <c r="LAU7" s="225"/>
      <c r="LAV7" s="225"/>
      <c r="LAW7" s="225"/>
      <c r="LAX7" s="225"/>
      <c r="LAY7" s="225"/>
      <c r="LAZ7" s="225"/>
      <c r="LBA7" s="225"/>
      <c r="LBB7" s="225"/>
      <c r="LBC7" s="225"/>
      <c r="LBD7" s="225"/>
      <c r="LBE7" s="225"/>
      <c r="LBF7" s="225"/>
      <c r="LBG7" s="225"/>
      <c r="LBH7" s="225"/>
      <c r="LBI7" s="225"/>
      <c r="LBJ7" s="225"/>
      <c r="LBK7" s="225"/>
      <c r="LBL7" s="225"/>
      <c r="LBM7" s="225"/>
      <c r="LBN7" s="225"/>
      <c r="LBO7" s="225"/>
      <c r="LBP7" s="225"/>
      <c r="LBQ7" s="225"/>
      <c r="LBR7" s="225"/>
      <c r="LBS7" s="225"/>
      <c r="LBT7" s="225"/>
      <c r="LBU7" s="225"/>
      <c r="LBV7" s="225"/>
      <c r="LBW7" s="225"/>
      <c r="LBX7" s="225"/>
      <c r="LBY7" s="225"/>
      <c r="LBZ7" s="225"/>
      <c r="LCA7" s="225"/>
      <c r="LCB7" s="225"/>
      <c r="LCC7" s="225"/>
      <c r="LCD7" s="225"/>
      <c r="LCE7" s="225"/>
      <c r="LCF7" s="225"/>
      <c r="LCG7" s="225"/>
      <c r="LCH7" s="225"/>
      <c r="LCI7" s="225"/>
      <c r="LCJ7" s="225"/>
      <c r="LCK7" s="225"/>
      <c r="LCL7" s="225"/>
      <c r="LCM7" s="225"/>
      <c r="LCN7" s="225"/>
      <c r="LCO7" s="225"/>
      <c r="LCP7" s="225"/>
      <c r="LCQ7" s="225"/>
      <c r="LCR7" s="225"/>
      <c r="LCS7" s="225"/>
      <c r="LCT7" s="225"/>
      <c r="LCU7" s="225"/>
      <c r="LCV7" s="225"/>
      <c r="LCW7" s="225"/>
      <c r="LCX7" s="225"/>
      <c r="LCY7" s="225"/>
      <c r="LCZ7" s="225"/>
      <c r="LDA7" s="225"/>
      <c r="LDB7" s="225"/>
      <c r="LDC7" s="225"/>
      <c r="LDD7" s="225"/>
      <c r="LDE7" s="225"/>
      <c r="LDF7" s="225"/>
      <c r="LDG7" s="225"/>
      <c r="LDH7" s="225"/>
      <c r="LDI7" s="225"/>
      <c r="LDJ7" s="225"/>
      <c r="LDK7" s="225"/>
      <c r="LDL7" s="225"/>
      <c r="LDM7" s="225"/>
      <c r="LDN7" s="225"/>
      <c r="LDO7" s="225"/>
      <c r="LDP7" s="225"/>
      <c r="LDQ7" s="225"/>
      <c r="LDR7" s="225"/>
      <c r="LDS7" s="225"/>
      <c r="LDT7" s="225"/>
      <c r="LDU7" s="225"/>
      <c r="LDV7" s="225"/>
      <c r="LDW7" s="225"/>
      <c r="LDX7" s="225"/>
      <c r="LDY7" s="225"/>
      <c r="LDZ7" s="225"/>
      <c r="LEA7" s="225"/>
      <c r="LEB7" s="225"/>
      <c r="LEC7" s="225"/>
      <c r="LED7" s="225"/>
      <c r="LEE7" s="225"/>
      <c r="LEF7" s="225"/>
      <c r="LEG7" s="225"/>
      <c r="LEH7" s="225"/>
      <c r="LEI7" s="225"/>
      <c r="LEJ7" s="225"/>
      <c r="LEK7" s="225"/>
      <c r="LEL7" s="225"/>
      <c r="LEM7" s="225"/>
      <c r="LEN7" s="225"/>
      <c r="LEO7" s="225"/>
      <c r="LEP7" s="225"/>
      <c r="LEQ7" s="225"/>
      <c r="LER7" s="225"/>
      <c r="LES7" s="225"/>
      <c r="LET7" s="225"/>
      <c r="LEU7" s="225"/>
      <c r="LEV7" s="225"/>
      <c r="LEW7" s="225"/>
      <c r="LEX7" s="225"/>
      <c r="LEY7" s="225"/>
      <c r="LEZ7" s="225"/>
      <c r="LFA7" s="225"/>
      <c r="LFB7" s="225"/>
      <c r="LFC7" s="225"/>
      <c r="LFD7" s="225"/>
      <c r="LFE7" s="225"/>
      <c r="LFF7" s="225"/>
      <c r="LFG7" s="225"/>
      <c r="LFH7" s="225"/>
      <c r="LFI7" s="225"/>
      <c r="LFJ7" s="225"/>
      <c r="LFK7" s="225"/>
      <c r="LFL7" s="225"/>
      <c r="LFM7" s="225"/>
      <c r="LFN7" s="225"/>
      <c r="LFO7" s="225"/>
      <c r="LFP7" s="225"/>
      <c r="LFQ7" s="225"/>
      <c r="LFR7" s="225"/>
      <c r="LFS7" s="225"/>
      <c r="LFT7" s="225"/>
      <c r="LFU7" s="225"/>
      <c r="LFV7" s="225"/>
      <c r="LFW7" s="225"/>
      <c r="LFX7" s="225"/>
      <c r="LFY7" s="225"/>
      <c r="LFZ7" s="225"/>
      <c r="LGA7" s="225"/>
      <c r="LGB7" s="225"/>
      <c r="LGC7" s="225"/>
      <c r="LGD7" s="225"/>
      <c r="LGE7" s="225"/>
      <c r="LGF7" s="225"/>
      <c r="LGG7" s="225"/>
      <c r="LGH7" s="225"/>
      <c r="LGI7" s="225"/>
      <c r="LGJ7" s="225"/>
      <c r="LGK7" s="225"/>
      <c r="LGL7" s="225"/>
      <c r="LGM7" s="225"/>
      <c r="LGN7" s="225"/>
      <c r="LGO7" s="225"/>
      <c r="LGP7" s="225"/>
      <c r="LGQ7" s="225"/>
      <c r="LGR7" s="225"/>
      <c r="LGS7" s="225"/>
      <c r="LGT7" s="225"/>
      <c r="LGU7" s="225"/>
      <c r="LGV7" s="225"/>
      <c r="LGW7" s="225"/>
      <c r="LGX7" s="225"/>
      <c r="LGY7" s="225"/>
      <c r="LGZ7" s="225"/>
      <c r="LHA7" s="225"/>
      <c r="LHB7" s="225"/>
      <c r="LHC7" s="225"/>
      <c r="LHD7" s="225"/>
      <c r="LHE7" s="225"/>
      <c r="LHF7" s="225"/>
      <c r="LHG7" s="225"/>
      <c r="LHH7" s="225"/>
      <c r="LHI7" s="225"/>
      <c r="LHJ7" s="225"/>
      <c r="LHK7" s="225"/>
      <c r="LHL7" s="225"/>
      <c r="LHM7" s="225"/>
      <c r="LHN7" s="225"/>
      <c r="LHO7" s="225"/>
      <c r="LHP7" s="225"/>
      <c r="LHQ7" s="225"/>
      <c r="LHR7" s="225"/>
      <c r="LHS7" s="225"/>
      <c r="LHT7" s="225"/>
      <c r="LHU7" s="225"/>
      <c r="LHV7" s="225"/>
      <c r="LHW7" s="225"/>
      <c r="LHX7" s="225"/>
      <c r="LHY7" s="225"/>
      <c r="LHZ7" s="225"/>
      <c r="LIA7" s="225"/>
      <c r="LIB7" s="225"/>
      <c r="LIC7" s="225"/>
      <c r="LID7" s="225"/>
      <c r="LIE7" s="225"/>
      <c r="LIF7" s="225"/>
      <c r="LIG7" s="225"/>
      <c r="LIH7" s="225"/>
      <c r="LII7" s="225"/>
      <c r="LIJ7" s="225"/>
      <c r="LIK7" s="225"/>
      <c r="LIL7" s="225"/>
      <c r="LIM7" s="225"/>
      <c r="LIN7" s="225"/>
      <c r="LIO7" s="225"/>
      <c r="LIP7" s="225"/>
      <c r="LIQ7" s="225"/>
      <c r="LIR7" s="225"/>
      <c r="LIS7" s="225"/>
      <c r="LIT7" s="225"/>
      <c r="LIU7" s="225"/>
      <c r="LIV7" s="225"/>
      <c r="LIW7" s="225"/>
      <c r="LIX7" s="225"/>
      <c r="LIY7" s="225"/>
      <c r="LIZ7" s="225"/>
      <c r="LJA7" s="225"/>
      <c r="LJB7" s="225"/>
      <c r="LJC7" s="225"/>
      <c r="LJD7" s="225"/>
      <c r="LJE7" s="225"/>
      <c r="LJF7" s="225"/>
      <c r="LJG7" s="225"/>
      <c r="LJH7" s="225"/>
      <c r="LJI7" s="225"/>
      <c r="LJJ7" s="225"/>
      <c r="LJK7" s="225"/>
      <c r="LJL7" s="225"/>
      <c r="LJM7" s="225"/>
      <c r="LJN7" s="225"/>
      <c r="LJO7" s="225"/>
      <c r="LJP7" s="225"/>
      <c r="LJQ7" s="225"/>
      <c r="LJR7" s="225"/>
      <c r="LJS7" s="225"/>
      <c r="LJT7" s="225"/>
      <c r="LJU7" s="225"/>
      <c r="LJV7" s="225"/>
      <c r="LJW7" s="225"/>
      <c r="LJX7" s="225"/>
      <c r="LJY7" s="225"/>
      <c r="LJZ7" s="225"/>
      <c r="LKA7" s="225"/>
      <c r="LKB7" s="225"/>
      <c r="LKC7" s="225"/>
      <c r="LKD7" s="225"/>
      <c r="LKE7" s="225"/>
      <c r="LKF7" s="225"/>
      <c r="LKG7" s="225"/>
      <c r="LKH7" s="225"/>
      <c r="LKI7" s="225"/>
      <c r="LKJ7" s="225"/>
      <c r="LKK7" s="225"/>
      <c r="LKL7" s="225"/>
      <c r="LKM7" s="225"/>
      <c r="LKN7" s="225"/>
      <c r="LKO7" s="225"/>
      <c r="LKP7" s="225"/>
      <c r="LKQ7" s="225"/>
      <c r="LKR7" s="225"/>
      <c r="LKS7" s="225"/>
      <c r="LKT7" s="225"/>
      <c r="LKU7" s="225"/>
      <c r="LKV7" s="225"/>
      <c r="LKW7" s="225"/>
      <c r="LKX7" s="225"/>
      <c r="LKY7" s="225"/>
      <c r="LKZ7" s="225"/>
      <c r="LLA7" s="225"/>
      <c r="LLB7" s="225"/>
      <c r="LLC7" s="225"/>
      <c r="LLD7" s="225"/>
      <c r="LLE7" s="225"/>
      <c r="LLF7" s="225"/>
      <c r="LLG7" s="225"/>
      <c r="LLH7" s="225"/>
      <c r="LLI7" s="225"/>
      <c r="LLJ7" s="225"/>
      <c r="LLK7" s="225"/>
      <c r="LLL7" s="225"/>
      <c r="LLM7" s="225"/>
      <c r="LLN7" s="225"/>
      <c r="LLO7" s="225"/>
      <c r="LLP7" s="225"/>
      <c r="LLQ7" s="225"/>
      <c r="LLR7" s="225"/>
      <c r="LLS7" s="225"/>
      <c r="LLT7" s="225"/>
      <c r="LLU7" s="225"/>
      <c r="LLV7" s="225"/>
      <c r="LLW7" s="225"/>
      <c r="LLX7" s="225"/>
      <c r="LLY7" s="225"/>
      <c r="LLZ7" s="225"/>
      <c r="LMA7" s="225"/>
      <c r="LMB7" s="225"/>
      <c r="LMC7" s="225"/>
      <c r="LMD7" s="225"/>
      <c r="LME7" s="225"/>
      <c r="LMF7" s="225"/>
      <c r="LMG7" s="225"/>
      <c r="LMH7" s="225"/>
      <c r="LMI7" s="225"/>
      <c r="LMJ7" s="225"/>
      <c r="LMK7" s="225"/>
      <c r="LML7" s="225"/>
      <c r="LMM7" s="225"/>
      <c r="LMN7" s="225"/>
      <c r="LMO7" s="225"/>
      <c r="LMP7" s="225"/>
      <c r="LMQ7" s="225"/>
      <c r="LMR7" s="225"/>
      <c r="LMS7" s="225"/>
      <c r="LMT7" s="225"/>
      <c r="LMU7" s="225"/>
      <c r="LMV7" s="225"/>
      <c r="LMW7" s="225"/>
      <c r="LMX7" s="225"/>
      <c r="LMY7" s="225"/>
      <c r="LMZ7" s="225"/>
      <c r="LNA7" s="225"/>
      <c r="LNB7" s="225"/>
      <c r="LNC7" s="225"/>
      <c r="LND7" s="225"/>
      <c r="LNE7" s="225"/>
      <c r="LNF7" s="225"/>
      <c r="LNG7" s="225"/>
      <c r="LNH7" s="225"/>
      <c r="LNI7" s="225"/>
      <c r="LNJ7" s="225"/>
      <c r="LNK7" s="225"/>
      <c r="LNL7" s="225"/>
      <c r="LNM7" s="225"/>
      <c r="LNN7" s="225"/>
      <c r="LNO7" s="225"/>
      <c r="LNP7" s="225"/>
      <c r="LNQ7" s="225"/>
      <c r="LNR7" s="225"/>
      <c r="LNS7" s="225"/>
      <c r="LNT7" s="225"/>
      <c r="LNU7" s="225"/>
      <c r="LNV7" s="225"/>
      <c r="LNW7" s="225"/>
      <c r="LNX7" s="225"/>
      <c r="LNY7" s="225"/>
      <c r="LNZ7" s="225"/>
      <c r="LOA7" s="225"/>
      <c r="LOB7" s="225"/>
      <c r="LOC7" s="225"/>
      <c r="LOD7" s="225"/>
      <c r="LOE7" s="225"/>
      <c r="LOF7" s="225"/>
      <c r="LOG7" s="225"/>
      <c r="LOH7" s="225"/>
      <c r="LOI7" s="225"/>
      <c r="LOJ7" s="225"/>
      <c r="LOK7" s="225"/>
      <c r="LOL7" s="225"/>
      <c r="LOM7" s="225"/>
      <c r="LON7" s="225"/>
      <c r="LOO7" s="225"/>
      <c r="LOP7" s="225"/>
      <c r="LOQ7" s="225"/>
      <c r="LOR7" s="225"/>
      <c r="LOS7" s="225"/>
      <c r="LOT7" s="225"/>
      <c r="LOU7" s="225"/>
      <c r="LOV7" s="225"/>
      <c r="LOW7" s="225"/>
      <c r="LOX7" s="225"/>
      <c r="LOY7" s="225"/>
      <c r="LOZ7" s="225"/>
      <c r="LPA7" s="225"/>
      <c r="LPB7" s="225"/>
      <c r="LPC7" s="225"/>
      <c r="LPD7" s="225"/>
      <c r="LPE7" s="225"/>
      <c r="LPF7" s="225"/>
      <c r="LPG7" s="225"/>
      <c r="LPH7" s="225"/>
      <c r="LPI7" s="225"/>
      <c r="LPJ7" s="225"/>
      <c r="LPK7" s="225"/>
      <c r="LPL7" s="225"/>
      <c r="LPM7" s="225"/>
      <c r="LPN7" s="225"/>
      <c r="LPO7" s="225"/>
      <c r="LPP7" s="225"/>
      <c r="LPQ7" s="225"/>
      <c r="LPR7" s="225"/>
      <c r="LPS7" s="225"/>
      <c r="LPT7" s="225"/>
      <c r="LPU7" s="225"/>
      <c r="LPV7" s="225"/>
      <c r="LPW7" s="225"/>
      <c r="LPX7" s="225"/>
      <c r="LPY7" s="225"/>
      <c r="LPZ7" s="225"/>
      <c r="LQA7" s="225"/>
      <c r="LQB7" s="225"/>
      <c r="LQC7" s="225"/>
      <c r="LQD7" s="225"/>
      <c r="LQE7" s="225"/>
      <c r="LQF7" s="225"/>
      <c r="LQG7" s="225"/>
      <c r="LQH7" s="225"/>
      <c r="LQI7" s="225"/>
      <c r="LQJ7" s="225"/>
      <c r="LQK7" s="225"/>
      <c r="LQL7" s="225"/>
      <c r="LQM7" s="225"/>
      <c r="LQN7" s="225"/>
      <c r="LQO7" s="225"/>
      <c r="LQP7" s="225"/>
      <c r="LQQ7" s="225"/>
      <c r="LQR7" s="225"/>
      <c r="LQS7" s="225"/>
      <c r="LQT7" s="225"/>
      <c r="LQU7" s="225"/>
      <c r="LQV7" s="225"/>
      <c r="LQW7" s="225"/>
      <c r="LQX7" s="225"/>
      <c r="LQY7" s="225"/>
      <c r="LQZ7" s="225"/>
      <c r="LRA7" s="225"/>
      <c r="LRB7" s="225"/>
      <c r="LRC7" s="225"/>
      <c r="LRD7" s="225"/>
      <c r="LRE7" s="225"/>
      <c r="LRF7" s="225"/>
      <c r="LRG7" s="225"/>
      <c r="LRH7" s="225"/>
      <c r="LRI7" s="225"/>
      <c r="LRJ7" s="225"/>
      <c r="LRK7" s="225"/>
      <c r="LRL7" s="225"/>
      <c r="LRM7" s="225"/>
      <c r="LRN7" s="225"/>
      <c r="LRO7" s="225"/>
      <c r="LRP7" s="225"/>
      <c r="LRQ7" s="225"/>
      <c r="LRR7" s="225"/>
      <c r="LRS7" s="225"/>
      <c r="LRT7" s="225"/>
      <c r="LRU7" s="225"/>
      <c r="LRV7" s="225"/>
      <c r="LRW7" s="225"/>
      <c r="LRX7" s="225"/>
      <c r="LRY7" s="225"/>
      <c r="LRZ7" s="225"/>
      <c r="LSA7" s="225"/>
      <c r="LSB7" s="225"/>
      <c r="LSC7" s="225"/>
      <c r="LSD7" s="225"/>
      <c r="LSE7" s="225"/>
      <c r="LSF7" s="225"/>
      <c r="LSG7" s="225"/>
      <c r="LSH7" s="225"/>
      <c r="LSI7" s="225"/>
      <c r="LSJ7" s="225"/>
      <c r="LSK7" s="225"/>
      <c r="LSL7" s="225"/>
      <c r="LSM7" s="225"/>
      <c r="LSN7" s="225"/>
      <c r="LSO7" s="225"/>
      <c r="LSP7" s="225"/>
      <c r="LSQ7" s="225"/>
      <c r="LSR7" s="225"/>
      <c r="LSS7" s="225"/>
      <c r="LST7" s="225"/>
      <c r="LSU7" s="225"/>
      <c r="LSV7" s="225"/>
      <c r="LSW7" s="225"/>
      <c r="LSX7" s="225"/>
      <c r="LSY7" s="225"/>
      <c r="LSZ7" s="225"/>
      <c r="LTA7" s="225"/>
      <c r="LTB7" s="225"/>
      <c r="LTC7" s="225"/>
      <c r="LTD7" s="225"/>
      <c r="LTE7" s="225"/>
      <c r="LTF7" s="225"/>
      <c r="LTG7" s="225"/>
      <c r="LTH7" s="225"/>
      <c r="LTI7" s="225"/>
      <c r="LTJ7" s="225"/>
      <c r="LTK7" s="225"/>
      <c r="LTL7" s="225"/>
      <c r="LTM7" s="225"/>
      <c r="LTN7" s="225"/>
      <c r="LTO7" s="225"/>
      <c r="LTP7" s="225"/>
      <c r="LTQ7" s="225"/>
      <c r="LTR7" s="225"/>
      <c r="LTS7" s="225"/>
      <c r="LTT7" s="225"/>
      <c r="LTU7" s="225"/>
      <c r="LTV7" s="225"/>
      <c r="LTW7" s="225"/>
      <c r="LTX7" s="225"/>
      <c r="LTY7" s="225"/>
      <c r="LTZ7" s="225"/>
      <c r="LUA7" s="225"/>
      <c r="LUB7" s="225"/>
      <c r="LUC7" s="225"/>
      <c r="LUD7" s="225"/>
      <c r="LUE7" s="225"/>
      <c r="LUF7" s="225"/>
      <c r="LUG7" s="225"/>
      <c r="LUH7" s="225"/>
      <c r="LUI7" s="225"/>
      <c r="LUJ7" s="225"/>
      <c r="LUK7" s="225"/>
      <c r="LUL7" s="225"/>
      <c r="LUM7" s="225"/>
      <c r="LUN7" s="225"/>
      <c r="LUO7" s="225"/>
      <c r="LUP7" s="225"/>
      <c r="LUQ7" s="225"/>
      <c r="LUR7" s="225"/>
      <c r="LUS7" s="225"/>
      <c r="LUT7" s="225"/>
      <c r="LUU7" s="225"/>
      <c r="LUV7" s="225"/>
      <c r="LUW7" s="225"/>
      <c r="LUX7" s="225"/>
      <c r="LUY7" s="225"/>
      <c r="LUZ7" s="225"/>
      <c r="LVA7" s="225"/>
      <c r="LVB7" s="225"/>
      <c r="LVC7" s="225"/>
      <c r="LVD7" s="225"/>
      <c r="LVE7" s="225"/>
      <c r="LVF7" s="225"/>
      <c r="LVG7" s="225"/>
      <c r="LVH7" s="225"/>
      <c r="LVI7" s="225"/>
      <c r="LVJ7" s="225"/>
      <c r="LVK7" s="225"/>
      <c r="LVL7" s="225"/>
      <c r="LVM7" s="225"/>
      <c r="LVN7" s="225"/>
      <c r="LVO7" s="225"/>
      <c r="LVP7" s="225"/>
      <c r="LVQ7" s="225"/>
      <c r="LVR7" s="225"/>
      <c r="LVS7" s="225"/>
      <c r="LVT7" s="225"/>
      <c r="LVU7" s="225"/>
      <c r="LVV7" s="225"/>
      <c r="LVW7" s="225"/>
      <c r="LVX7" s="225"/>
      <c r="LVY7" s="225"/>
      <c r="LVZ7" s="225"/>
      <c r="LWA7" s="225"/>
      <c r="LWB7" s="225"/>
      <c r="LWC7" s="225"/>
      <c r="LWD7" s="225"/>
      <c r="LWE7" s="225"/>
      <c r="LWF7" s="225"/>
      <c r="LWG7" s="225"/>
      <c r="LWH7" s="225"/>
      <c r="LWI7" s="225"/>
      <c r="LWJ7" s="225"/>
      <c r="LWK7" s="225"/>
      <c r="LWL7" s="225"/>
      <c r="LWM7" s="225"/>
      <c r="LWN7" s="225"/>
      <c r="LWO7" s="225"/>
      <c r="LWP7" s="225"/>
      <c r="LWQ7" s="225"/>
      <c r="LWR7" s="225"/>
      <c r="LWS7" s="225"/>
      <c r="LWT7" s="225"/>
      <c r="LWU7" s="225"/>
      <c r="LWV7" s="225"/>
      <c r="LWW7" s="225"/>
      <c r="LWX7" s="225"/>
      <c r="LWY7" s="225"/>
      <c r="LWZ7" s="225"/>
      <c r="LXA7" s="225"/>
      <c r="LXB7" s="225"/>
      <c r="LXC7" s="225"/>
      <c r="LXD7" s="225"/>
      <c r="LXE7" s="225"/>
      <c r="LXF7" s="225"/>
      <c r="LXG7" s="225"/>
      <c r="LXH7" s="225"/>
      <c r="LXI7" s="225"/>
      <c r="LXJ7" s="225"/>
      <c r="LXK7" s="225"/>
      <c r="LXL7" s="225"/>
      <c r="LXM7" s="225"/>
      <c r="LXN7" s="225"/>
      <c r="LXO7" s="225"/>
      <c r="LXP7" s="225"/>
      <c r="LXQ7" s="225"/>
      <c r="LXR7" s="225"/>
      <c r="LXS7" s="225"/>
      <c r="LXT7" s="225"/>
      <c r="LXU7" s="225"/>
      <c r="LXV7" s="225"/>
      <c r="LXW7" s="225"/>
      <c r="LXX7" s="225"/>
      <c r="LXY7" s="225"/>
      <c r="LXZ7" s="225"/>
      <c r="LYA7" s="225"/>
      <c r="LYB7" s="225"/>
      <c r="LYC7" s="225"/>
      <c r="LYD7" s="225"/>
      <c r="LYE7" s="225"/>
      <c r="LYF7" s="225"/>
      <c r="LYG7" s="225"/>
      <c r="LYH7" s="225"/>
      <c r="LYI7" s="225"/>
      <c r="LYJ7" s="225"/>
      <c r="LYK7" s="225"/>
      <c r="LYL7" s="225"/>
      <c r="LYM7" s="225"/>
      <c r="LYN7" s="225"/>
      <c r="LYO7" s="225"/>
      <c r="LYP7" s="225"/>
      <c r="LYQ7" s="225"/>
      <c r="LYR7" s="225"/>
      <c r="LYS7" s="225"/>
      <c r="LYT7" s="225"/>
      <c r="LYU7" s="225"/>
      <c r="LYV7" s="225"/>
      <c r="LYW7" s="225"/>
      <c r="LYX7" s="225"/>
      <c r="LYY7" s="225"/>
      <c r="LYZ7" s="225"/>
      <c r="LZA7" s="225"/>
      <c r="LZB7" s="225"/>
      <c r="LZC7" s="225"/>
      <c r="LZD7" s="225"/>
      <c r="LZE7" s="225"/>
      <c r="LZF7" s="225"/>
      <c r="LZG7" s="225"/>
      <c r="LZH7" s="225"/>
      <c r="LZI7" s="225"/>
      <c r="LZJ7" s="225"/>
      <c r="LZK7" s="225"/>
      <c r="LZL7" s="225"/>
      <c r="LZM7" s="225"/>
      <c r="LZN7" s="225"/>
      <c r="LZO7" s="225"/>
      <c r="LZP7" s="225"/>
      <c r="LZQ7" s="225"/>
      <c r="LZR7" s="225"/>
      <c r="LZS7" s="225"/>
      <c r="LZT7" s="225"/>
      <c r="LZU7" s="225"/>
      <c r="LZV7" s="225"/>
      <c r="LZW7" s="225"/>
      <c r="LZX7" s="225"/>
      <c r="LZY7" s="225"/>
      <c r="LZZ7" s="225"/>
      <c r="MAA7" s="225"/>
      <c r="MAB7" s="225"/>
      <c r="MAC7" s="225"/>
      <c r="MAD7" s="225"/>
      <c r="MAE7" s="225"/>
      <c r="MAF7" s="225"/>
      <c r="MAG7" s="225"/>
      <c r="MAH7" s="225"/>
      <c r="MAI7" s="225"/>
      <c r="MAJ7" s="225"/>
      <c r="MAK7" s="225"/>
      <c r="MAL7" s="225"/>
      <c r="MAM7" s="225"/>
      <c r="MAN7" s="225"/>
      <c r="MAO7" s="225"/>
      <c r="MAP7" s="225"/>
      <c r="MAQ7" s="225"/>
      <c r="MAR7" s="225"/>
      <c r="MAS7" s="225"/>
      <c r="MAT7" s="225"/>
      <c r="MAU7" s="225"/>
      <c r="MAV7" s="225"/>
      <c r="MAW7" s="225"/>
      <c r="MAX7" s="225"/>
      <c r="MAY7" s="225"/>
      <c r="MAZ7" s="225"/>
      <c r="MBA7" s="225"/>
      <c r="MBB7" s="225"/>
      <c r="MBC7" s="225"/>
      <c r="MBD7" s="225"/>
      <c r="MBE7" s="225"/>
      <c r="MBF7" s="225"/>
      <c r="MBG7" s="225"/>
      <c r="MBH7" s="225"/>
      <c r="MBI7" s="225"/>
      <c r="MBJ7" s="225"/>
      <c r="MBK7" s="225"/>
      <c r="MBL7" s="225"/>
      <c r="MBM7" s="225"/>
      <c r="MBN7" s="225"/>
      <c r="MBO7" s="225"/>
      <c r="MBP7" s="225"/>
      <c r="MBQ7" s="225"/>
      <c r="MBR7" s="225"/>
      <c r="MBS7" s="225"/>
      <c r="MBT7" s="225"/>
      <c r="MBU7" s="225"/>
      <c r="MBV7" s="225"/>
      <c r="MBW7" s="225"/>
      <c r="MBX7" s="225"/>
      <c r="MBY7" s="225"/>
      <c r="MBZ7" s="225"/>
      <c r="MCA7" s="225"/>
      <c r="MCB7" s="225"/>
      <c r="MCC7" s="225"/>
      <c r="MCD7" s="225"/>
      <c r="MCE7" s="225"/>
      <c r="MCF7" s="225"/>
      <c r="MCG7" s="225"/>
      <c r="MCH7" s="225"/>
      <c r="MCI7" s="225"/>
      <c r="MCJ7" s="225"/>
      <c r="MCK7" s="225"/>
      <c r="MCL7" s="225"/>
      <c r="MCM7" s="225"/>
      <c r="MCN7" s="225"/>
      <c r="MCO7" s="225"/>
      <c r="MCP7" s="225"/>
      <c r="MCQ7" s="225"/>
      <c r="MCR7" s="225"/>
      <c r="MCS7" s="225"/>
      <c r="MCT7" s="225"/>
      <c r="MCU7" s="225"/>
      <c r="MCV7" s="225"/>
      <c r="MCW7" s="225"/>
      <c r="MCX7" s="225"/>
      <c r="MCY7" s="225"/>
      <c r="MCZ7" s="225"/>
      <c r="MDA7" s="225"/>
      <c r="MDB7" s="225"/>
      <c r="MDC7" s="225"/>
      <c r="MDD7" s="225"/>
      <c r="MDE7" s="225"/>
      <c r="MDF7" s="225"/>
      <c r="MDG7" s="225"/>
      <c r="MDH7" s="225"/>
      <c r="MDI7" s="225"/>
      <c r="MDJ7" s="225"/>
      <c r="MDK7" s="225"/>
      <c r="MDL7" s="225"/>
      <c r="MDM7" s="225"/>
      <c r="MDN7" s="225"/>
      <c r="MDO7" s="225"/>
      <c r="MDP7" s="225"/>
      <c r="MDQ7" s="225"/>
      <c r="MDR7" s="225"/>
      <c r="MDS7" s="225"/>
      <c r="MDT7" s="225"/>
      <c r="MDU7" s="225"/>
      <c r="MDV7" s="225"/>
      <c r="MDW7" s="225"/>
      <c r="MDX7" s="225"/>
      <c r="MDY7" s="225"/>
      <c r="MDZ7" s="225"/>
      <c r="MEA7" s="225"/>
      <c r="MEB7" s="225"/>
      <c r="MEC7" s="225"/>
      <c r="MED7" s="225"/>
      <c r="MEE7" s="225"/>
      <c r="MEF7" s="225"/>
      <c r="MEG7" s="225"/>
      <c r="MEH7" s="225"/>
      <c r="MEI7" s="225"/>
      <c r="MEJ7" s="225"/>
      <c r="MEK7" s="225"/>
      <c r="MEL7" s="225"/>
      <c r="MEM7" s="225"/>
      <c r="MEN7" s="225"/>
      <c r="MEO7" s="225"/>
      <c r="MEP7" s="225"/>
      <c r="MEQ7" s="225"/>
      <c r="MER7" s="225"/>
      <c r="MES7" s="225"/>
      <c r="MET7" s="225"/>
      <c r="MEU7" s="225"/>
      <c r="MEV7" s="225"/>
      <c r="MEW7" s="225"/>
      <c r="MEX7" s="225"/>
      <c r="MEY7" s="225"/>
      <c r="MEZ7" s="225"/>
      <c r="MFA7" s="225"/>
      <c r="MFB7" s="225"/>
      <c r="MFC7" s="225"/>
      <c r="MFD7" s="225"/>
      <c r="MFE7" s="225"/>
      <c r="MFF7" s="225"/>
      <c r="MFG7" s="225"/>
      <c r="MFH7" s="225"/>
      <c r="MFI7" s="225"/>
      <c r="MFJ7" s="225"/>
      <c r="MFK7" s="225"/>
      <c r="MFL7" s="225"/>
      <c r="MFM7" s="225"/>
      <c r="MFN7" s="225"/>
      <c r="MFO7" s="225"/>
      <c r="MFP7" s="225"/>
      <c r="MFQ7" s="225"/>
      <c r="MFR7" s="225"/>
      <c r="MFS7" s="225"/>
      <c r="MFT7" s="225"/>
      <c r="MFU7" s="225"/>
      <c r="MFV7" s="225"/>
      <c r="MFW7" s="225"/>
      <c r="MFX7" s="225"/>
      <c r="MFY7" s="225"/>
      <c r="MFZ7" s="225"/>
      <c r="MGA7" s="225"/>
      <c r="MGB7" s="225"/>
      <c r="MGC7" s="225"/>
      <c r="MGD7" s="225"/>
      <c r="MGE7" s="225"/>
      <c r="MGF7" s="225"/>
      <c r="MGG7" s="225"/>
      <c r="MGH7" s="225"/>
      <c r="MGI7" s="225"/>
      <c r="MGJ7" s="225"/>
      <c r="MGK7" s="225"/>
      <c r="MGL7" s="225"/>
      <c r="MGM7" s="225"/>
      <c r="MGN7" s="225"/>
      <c r="MGO7" s="225"/>
      <c r="MGP7" s="225"/>
      <c r="MGQ7" s="225"/>
      <c r="MGR7" s="225"/>
      <c r="MGS7" s="225"/>
      <c r="MGT7" s="225"/>
      <c r="MGU7" s="225"/>
      <c r="MGV7" s="225"/>
      <c r="MGW7" s="225"/>
      <c r="MGX7" s="225"/>
      <c r="MGY7" s="225"/>
      <c r="MGZ7" s="225"/>
      <c r="MHA7" s="225"/>
      <c r="MHB7" s="225"/>
      <c r="MHC7" s="225"/>
      <c r="MHD7" s="225"/>
      <c r="MHE7" s="225"/>
      <c r="MHF7" s="225"/>
      <c r="MHG7" s="225"/>
      <c r="MHH7" s="225"/>
      <c r="MHI7" s="225"/>
      <c r="MHJ7" s="225"/>
      <c r="MHK7" s="225"/>
      <c r="MHL7" s="225"/>
      <c r="MHM7" s="225"/>
      <c r="MHN7" s="225"/>
      <c r="MHO7" s="225"/>
      <c r="MHP7" s="225"/>
      <c r="MHQ7" s="225"/>
      <c r="MHR7" s="225"/>
      <c r="MHS7" s="225"/>
      <c r="MHT7" s="225"/>
      <c r="MHU7" s="225"/>
      <c r="MHV7" s="225"/>
      <c r="MHW7" s="225"/>
      <c r="MHX7" s="225"/>
      <c r="MHY7" s="225"/>
      <c r="MHZ7" s="225"/>
      <c r="MIA7" s="225"/>
      <c r="MIB7" s="225"/>
      <c r="MIC7" s="225"/>
      <c r="MID7" s="225"/>
      <c r="MIE7" s="225"/>
      <c r="MIF7" s="225"/>
      <c r="MIG7" s="225"/>
      <c r="MIH7" s="225"/>
      <c r="MII7" s="225"/>
      <c r="MIJ7" s="225"/>
      <c r="MIK7" s="225"/>
      <c r="MIL7" s="225"/>
      <c r="MIM7" s="225"/>
      <c r="MIN7" s="225"/>
      <c r="MIO7" s="225"/>
      <c r="MIP7" s="225"/>
      <c r="MIQ7" s="225"/>
      <c r="MIR7" s="225"/>
      <c r="MIS7" s="225"/>
      <c r="MIT7" s="225"/>
      <c r="MIU7" s="225"/>
      <c r="MIV7" s="225"/>
      <c r="MIW7" s="225"/>
      <c r="MIX7" s="225"/>
      <c r="MIY7" s="225"/>
      <c r="MIZ7" s="225"/>
      <c r="MJA7" s="225"/>
      <c r="MJB7" s="225"/>
      <c r="MJC7" s="225"/>
      <c r="MJD7" s="225"/>
      <c r="MJE7" s="225"/>
      <c r="MJF7" s="225"/>
      <c r="MJG7" s="225"/>
      <c r="MJH7" s="225"/>
      <c r="MJI7" s="225"/>
      <c r="MJJ7" s="225"/>
      <c r="MJK7" s="225"/>
      <c r="MJL7" s="225"/>
      <c r="MJM7" s="225"/>
      <c r="MJN7" s="225"/>
      <c r="MJO7" s="225"/>
      <c r="MJP7" s="225"/>
      <c r="MJQ7" s="225"/>
      <c r="MJR7" s="225"/>
      <c r="MJS7" s="225"/>
      <c r="MJT7" s="225"/>
      <c r="MJU7" s="225"/>
      <c r="MJV7" s="225"/>
      <c r="MJW7" s="225"/>
      <c r="MJX7" s="225"/>
      <c r="MJY7" s="225"/>
      <c r="MJZ7" s="225"/>
      <c r="MKA7" s="225"/>
      <c r="MKB7" s="225"/>
      <c r="MKC7" s="225"/>
      <c r="MKD7" s="225"/>
      <c r="MKE7" s="225"/>
      <c r="MKF7" s="225"/>
      <c r="MKG7" s="225"/>
      <c r="MKH7" s="225"/>
      <c r="MKI7" s="225"/>
      <c r="MKJ7" s="225"/>
      <c r="MKK7" s="225"/>
      <c r="MKL7" s="225"/>
      <c r="MKM7" s="225"/>
      <c r="MKN7" s="225"/>
      <c r="MKO7" s="225"/>
      <c r="MKP7" s="225"/>
      <c r="MKQ7" s="225"/>
      <c r="MKR7" s="225"/>
      <c r="MKS7" s="225"/>
      <c r="MKT7" s="225"/>
      <c r="MKU7" s="225"/>
      <c r="MKV7" s="225"/>
      <c r="MKW7" s="225"/>
      <c r="MKX7" s="225"/>
      <c r="MKY7" s="225"/>
      <c r="MKZ7" s="225"/>
      <c r="MLA7" s="225"/>
      <c r="MLB7" s="225"/>
      <c r="MLC7" s="225"/>
      <c r="MLD7" s="225"/>
      <c r="MLE7" s="225"/>
      <c r="MLF7" s="225"/>
      <c r="MLG7" s="225"/>
      <c r="MLH7" s="225"/>
      <c r="MLI7" s="225"/>
      <c r="MLJ7" s="225"/>
      <c r="MLK7" s="225"/>
      <c r="MLL7" s="225"/>
      <c r="MLM7" s="225"/>
      <c r="MLN7" s="225"/>
      <c r="MLO7" s="225"/>
      <c r="MLP7" s="225"/>
      <c r="MLQ7" s="225"/>
      <c r="MLR7" s="225"/>
      <c r="MLS7" s="225"/>
      <c r="MLT7" s="225"/>
      <c r="MLU7" s="225"/>
      <c r="MLV7" s="225"/>
      <c r="MLW7" s="225"/>
      <c r="MLX7" s="225"/>
      <c r="MLY7" s="225"/>
      <c r="MLZ7" s="225"/>
      <c r="MMA7" s="225"/>
      <c r="MMB7" s="225"/>
      <c r="MMC7" s="225"/>
      <c r="MMD7" s="225"/>
      <c r="MME7" s="225"/>
      <c r="MMF7" s="225"/>
      <c r="MMG7" s="225"/>
      <c r="MMH7" s="225"/>
      <c r="MMI7" s="225"/>
      <c r="MMJ7" s="225"/>
      <c r="MMK7" s="225"/>
      <c r="MML7" s="225"/>
      <c r="MMM7" s="225"/>
      <c r="MMN7" s="225"/>
      <c r="MMO7" s="225"/>
      <c r="MMP7" s="225"/>
      <c r="MMQ7" s="225"/>
      <c r="MMR7" s="225"/>
      <c r="MMS7" s="225"/>
      <c r="MMT7" s="225"/>
      <c r="MMU7" s="225"/>
      <c r="MMV7" s="225"/>
      <c r="MMW7" s="225"/>
      <c r="MMX7" s="225"/>
      <c r="MMY7" s="225"/>
      <c r="MMZ7" s="225"/>
      <c r="MNA7" s="225"/>
      <c r="MNB7" s="225"/>
      <c r="MNC7" s="225"/>
      <c r="MND7" s="225"/>
      <c r="MNE7" s="225"/>
      <c r="MNF7" s="225"/>
      <c r="MNG7" s="225"/>
      <c r="MNH7" s="225"/>
      <c r="MNI7" s="225"/>
      <c r="MNJ7" s="225"/>
      <c r="MNK7" s="225"/>
      <c r="MNL7" s="225"/>
      <c r="MNM7" s="225"/>
      <c r="MNN7" s="225"/>
      <c r="MNO7" s="225"/>
      <c r="MNP7" s="225"/>
      <c r="MNQ7" s="225"/>
      <c r="MNR7" s="225"/>
      <c r="MNS7" s="225"/>
      <c r="MNT7" s="225"/>
      <c r="MNU7" s="225"/>
      <c r="MNV7" s="225"/>
      <c r="MNW7" s="225"/>
      <c r="MNX7" s="225"/>
      <c r="MNY7" s="225"/>
      <c r="MNZ7" s="225"/>
      <c r="MOA7" s="225"/>
      <c r="MOB7" s="225"/>
      <c r="MOC7" s="225"/>
      <c r="MOD7" s="225"/>
      <c r="MOE7" s="225"/>
      <c r="MOF7" s="225"/>
      <c r="MOG7" s="225"/>
      <c r="MOH7" s="225"/>
      <c r="MOI7" s="225"/>
      <c r="MOJ7" s="225"/>
      <c r="MOK7" s="225"/>
      <c r="MOL7" s="225"/>
      <c r="MOM7" s="225"/>
      <c r="MON7" s="225"/>
      <c r="MOO7" s="225"/>
      <c r="MOP7" s="225"/>
      <c r="MOQ7" s="225"/>
      <c r="MOR7" s="225"/>
      <c r="MOS7" s="225"/>
      <c r="MOT7" s="225"/>
      <c r="MOU7" s="225"/>
      <c r="MOV7" s="225"/>
      <c r="MOW7" s="225"/>
      <c r="MOX7" s="225"/>
      <c r="MOY7" s="225"/>
      <c r="MOZ7" s="225"/>
      <c r="MPA7" s="225"/>
      <c r="MPB7" s="225"/>
      <c r="MPC7" s="225"/>
      <c r="MPD7" s="225"/>
      <c r="MPE7" s="225"/>
      <c r="MPF7" s="225"/>
      <c r="MPG7" s="225"/>
      <c r="MPH7" s="225"/>
      <c r="MPI7" s="225"/>
      <c r="MPJ7" s="225"/>
      <c r="MPK7" s="225"/>
      <c r="MPL7" s="225"/>
      <c r="MPM7" s="225"/>
      <c r="MPN7" s="225"/>
      <c r="MPO7" s="225"/>
      <c r="MPP7" s="225"/>
      <c r="MPQ7" s="225"/>
      <c r="MPR7" s="225"/>
      <c r="MPS7" s="225"/>
      <c r="MPT7" s="225"/>
      <c r="MPU7" s="225"/>
      <c r="MPV7" s="225"/>
      <c r="MPW7" s="225"/>
      <c r="MPX7" s="225"/>
      <c r="MPY7" s="225"/>
      <c r="MPZ7" s="225"/>
      <c r="MQA7" s="225"/>
      <c r="MQB7" s="225"/>
      <c r="MQC7" s="225"/>
      <c r="MQD7" s="225"/>
      <c r="MQE7" s="225"/>
      <c r="MQF7" s="225"/>
      <c r="MQG7" s="225"/>
      <c r="MQH7" s="225"/>
      <c r="MQI7" s="225"/>
      <c r="MQJ7" s="225"/>
      <c r="MQK7" s="225"/>
      <c r="MQL7" s="225"/>
      <c r="MQM7" s="225"/>
      <c r="MQN7" s="225"/>
      <c r="MQO7" s="225"/>
      <c r="MQP7" s="225"/>
      <c r="MQQ7" s="225"/>
      <c r="MQR7" s="225"/>
      <c r="MQS7" s="225"/>
      <c r="MQT7" s="225"/>
      <c r="MQU7" s="225"/>
      <c r="MQV7" s="225"/>
      <c r="MQW7" s="225"/>
      <c r="MQX7" s="225"/>
      <c r="MQY7" s="225"/>
      <c r="MQZ7" s="225"/>
      <c r="MRA7" s="225"/>
      <c r="MRB7" s="225"/>
      <c r="MRC7" s="225"/>
      <c r="MRD7" s="225"/>
      <c r="MRE7" s="225"/>
      <c r="MRF7" s="225"/>
      <c r="MRG7" s="225"/>
      <c r="MRH7" s="225"/>
      <c r="MRI7" s="225"/>
      <c r="MRJ7" s="225"/>
      <c r="MRK7" s="225"/>
      <c r="MRL7" s="225"/>
      <c r="MRM7" s="225"/>
      <c r="MRN7" s="225"/>
      <c r="MRO7" s="225"/>
      <c r="MRP7" s="225"/>
      <c r="MRQ7" s="225"/>
      <c r="MRR7" s="225"/>
      <c r="MRS7" s="225"/>
      <c r="MRT7" s="225"/>
      <c r="MRU7" s="225"/>
      <c r="MRV7" s="225"/>
      <c r="MRW7" s="225"/>
      <c r="MRX7" s="225"/>
      <c r="MRY7" s="225"/>
      <c r="MRZ7" s="225"/>
      <c r="MSA7" s="225"/>
      <c r="MSB7" s="225"/>
      <c r="MSC7" s="225"/>
      <c r="MSD7" s="225"/>
      <c r="MSE7" s="225"/>
      <c r="MSF7" s="225"/>
      <c r="MSG7" s="225"/>
      <c r="MSH7" s="225"/>
      <c r="MSI7" s="225"/>
      <c r="MSJ7" s="225"/>
      <c r="MSK7" s="225"/>
      <c r="MSL7" s="225"/>
      <c r="MSM7" s="225"/>
      <c r="MSN7" s="225"/>
      <c r="MSO7" s="225"/>
      <c r="MSP7" s="225"/>
      <c r="MSQ7" s="225"/>
      <c r="MSR7" s="225"/>
      <c r="MSS7" s="225"/>
      <c r="MST7" s="225"/>
      <c r="MSU7" s="225"/>
      <c r="MSV7" s="225"/>
      <c r="MSW7" s="225"/>
      <c r="MSX7" s="225"/>
      <c r="MSY7" s="225"/>
      <c r="MSZ7" s="225"/>
      <c r="MTA7" s="225"/>
      <c r="MTB7" s="225"/>
      <c r="MTC7" s="225"/>
      <c r="MTD7" s="225"/>
      <c r="MTE7" s="225"/>
      <c r="MTF7" s="225"/>
      <c r="MTG7" s="225"/>
      <c r="MTH7" s="225"/>
      <c r="MTI7" s="225"/>
      <c r="MTJ7" s="225"/>
      <c r="MTK7" s="225"/>
      <c r="MTL7" s="225"/>
      <c r="MTM7" s="225"/>
      <c r="MTN7" s="225"/>
      <c r="MTO7" s="225"/>
      <c r="MTP7" s="225"/>
      <c r="MTQ7" s="225"/>
      <c r="MTR7" s="225"/>
      <c r="MTS7" s="225"/>
      <c r="MTT7" s="225"/>
      <c r="MTU7" s="225"/>
      <c r="MTV7" s="225"/>
      <c r="MTW7" s="225"/>
      <c r="MTX7" s="225"/>
      <c r="MTY7" s="225"/>
      <c r="MTZ7" s="225"/>
      <c r="MUA7" s="225"/>
      <c r="MUB7" s="225"/>
      <c r="MUC7" s="225"/>
      <c r="MUD7" s="225"/>
      <c r="MUE7" s="225"/>
      <c r="MUF7" s="225"/>
      <c r="MUG7" s="225"/>
      <c r="MUH7" s="225"/>
      <c r="MUI7" s="225"/>
      <c r="MUJ7" s="225"/>
      <c r="MUK7" s="225"/>
      <c r="MUL7" s="225"/>
      <c r="MUM7" s="225"/>
      <c r="MUN7" s="225"/>
      <c r="MUO7" s="225"/>
      <c r="MUP7" s="225"/>
      <c r="MUQ7" s="225"/>
      <c r="MUR7" s="225"/>
      <c r="MUS7" s="225"/>
      <c r="MUT7" s="225"/>
      <c r="MUU7" s="225"/>
      <c r="MUV7" s="225"/>
      <c r="MUW7" s="225"/>
      <c r="MUX7" s="225"/>
      <c r="MUY7" s="225"/>
      <c r="MUZ7" s="225"/>
      <c r="MVA7" s="225"/>
      <c r="MVB7" s="225"/>
      <c r="MVC7" s="225"/>
      <c r="MVD7" s="225"/>
      <c r="MVE7" s="225"/>
      <c r="MVF7" s="225"/>
      <c r="MVG7" s="225"/>
      <c r="MVH7" s="225"/>
      <c r="MVI7" s="225"/>
      <c r="MVJ7" s="225"/>
      <c r="MVK7" s="225"/>
      <c r="MVL7" s="225"/>
      <c r="MVM7" s="225"/>
      <c r="MVN7" s="225"/>
      <c r="MVO7" s="225"/>
      <c r="MVP7" s="225"/>
      <c r="MVQ7" s="225"/>
      <c r="MVR7" s="225"/>
      <c r="MVS7" s="225"/>
      <c r="MVT7" s="225"/>
      <c r="MVU7" s="225"/>
      <c r="MVV7" s="225"/>
      <c r="MVW7" s="225"/>
      <c r="MVX7" s="225"/>
      <c r="MVY7" s="225"/>
      <c r="MVZ7" s="225"/>
      <c r="MWA7" s="225"/>
      <c r="MWB7" s="225"/>
      <c r="MWC7" s="225"/>
      <c r="MWD7" s="225"/>
      <c r="MWE7" s="225"/>
      <c r="MWF7" s="225"/>
      <c r="MWG7" s="225"/>
      <c r="MWH7" s="225"/>
      <c r="MWI7" s="225"/>
      <c r="MWJ7" s="225"/>
      <c r="MWK7" s="225"/>
      <c r="MWL7" s="225"/>
      <c r="MWM7" s="225"/>
      <c r="MWN7" s="225"/>
      <c r="MWO7" s="225"/>
      <c r="MWP7" s="225"/>
      <c r="MWQ7" s="225"/>
      <c r="MWR7" s="225"/>
      <c r="MWS7" s="225"/>
      <c r="MWT7" s="225"/>
      <c r="MWU7" s="225"/>
      <c r="MWV7" s="225"/>
      <c r="MWW7" s="225"/>
      <c r="MWX7" s="225"/>
      <c r="MWY7" s="225"/>
      <c r="MWZ7" s="225"/>
      <c r="MXA7" s="225"/>
      <c r="MXB7" s="225"/>
      <c r="MXC7" s="225"/>
      <c r="MXD7" s="225"/>
      <c r="MXE7" s="225"/>
      <c r="MXF7" s="225"/>
      <c r="MXG7" s="225"/>
      <c r="MXH7" s="225"/>
      <c r="MXI7" s="225"/>
      <c r="MXJ7" s="225"/>
      <c r="MXK7" s="225"/>
      <c r="MXL7" s="225"/>
      <c r="MXM7" s="225"/>
      <c r="MXN7" s="225"/>
      <c r="MXO7" s="225"/>
      <c r="MXP7" s="225"/>
      <c r="MXQ7" s="225"/>
      <c r="MXR7" s="225"/>
      <c r="MXS7" s="225"/>
      <c r="MXT7" s="225"/>
      <c r="MXU7" s="225"/>
      <c r="MXV7" s="225"/>
      <c r="MXW7" s="225"/>
      <c r="MXX7" s="225"/>
      <c r="MXY7" s="225"/>
      <c r="MXZ7" s="225"/>
      <c r="MYA7" s="225"/>
      <c r="MYB7" s="225"/>
      <c r="MYC7" s="225"/>
      <c r="MYD7" s="225"/>
      <c r="MYE7" s="225"/>
      <c r="MYF7" s="225"/>
      <c r="MYG7" s="225"/>
      <c r="MYH7" s="225"/>
      <c r="MYI7" s="225"/>
      <c r="MYJ7" s="225"/>
      <c r="MYK7" s="225"/>
      <c r="MYL7" s="225"/>
      <c r="MYM7" s="225"/>
      <c r="MYN7" s="225"/>
      <c r="MYO7" s="225"/>
      <c r="MYP7" s="225"/>
      <c r="MYQ7" s="225"/>
      <c r="MYR7" s="225"/>
      <c r="MYS7" s="225"/>
      <c r="MYT7" s="225"/>
      <c r="MYU7" s="225"/>
      <c r="MYV7" s="225"/>
      <c r="MYW7" s="225"/>
      <c r="MYX7" s="225"/>
      <c r="MYY7" s="225"/>
      <c r="MYZ7" s="225"/>
      <c r="MZA7" s="225"/>
      <c r="MZB7" s="225"/>
      <c r="MZC7" s="225"/>
      <c r="MZD7" s="225"/>
      <c r="MZE7" s="225"/>
      <c r="MZF7" s="225"/>
      <c r="MZG7" s="225"/>
      <c r="MZH7" s="225"/>
      <c r="MZI7" s="225"/>
      <c r="MZJ7" s="225"/>
      <c r="MZK7" s="225"/>
      <c r="MZL7" s="225"/>
      <c r="MZM7" s="225"/>
      <c r="MZN7" s="225"/>
      <c r="MZO7" s="225"/>
      <c r="MZP7" s="225"/>
      <c r="MZQ7" s="225"/>
      <c r="MZR7" s="225"/>
      <c r="MZS7" s="225"/>
      <c r="MZT7" s="225"/>
      <c r="MZU7" s="225"/>
      <c r="MZV7" s="225"/>
      <c r="MZW7" s="225"/>
      <c r="MZX7" s="225"/>
      <c r="MZY7" s="225"/>
      <c r="MZZ7" s="225"/>
      <c r="NAA7" s="225"/>
      <c r="NAB7" s="225"/>
      <c r="NAC7" s="225"/>
      <c r="NAD7" s="225"/>
      <c r="NAE7" s="225"/>
      <c r="NAF7" s="225"/>
      <c r="NAG7" s="225"/>
      <c r="NAH7" s="225"/>
      <c r="NAI7" s="225"/>
      <c r="NAJ7" s="225"/>
      <c r="NAK7" s="225"/>
      <c r="NAL7" s="225"/>
      <c r="NAM7" s="225"/>
      <c r="NAN7" s="225"/>
      <c r="NAO7" s="225"/>
      <c r="NAP7" s="225"/>
      <c r="NAQ7" s="225"/>
      <c r="NAR7" s="225"/>
      <c r="NAS7" s="225"/>
      <c r="NAT7" s="225"/>
      <c r="NAU7" s="225"/>
      <c r="NAV7" s="225"/>
      <c r="NAW7" s="225"/>
      <c r="NAX7" s="225"/>
      <c r="NAY7" s="225"/>
      <c r="NAZ7" s="225"/>
      <c r="NBA7" s="225"/>
      <c r="NBB7" s="225"/>
      <c r="NBC7" s="225"/>
      <c r="NBD7" s="225"/>
      <c r="NBE7" s="225"/>
      <c r="NBF7" s="225"/>
      <c r="NBG7" s="225"/>
      <c r="NBH7" s="225"/>
      <c r="NBI7" s="225"/>
      <c r="NBJ7" s="225"/>
      <c r="NBK7" s="225"/>
      <c r="NBL7" s="225"/>
      <c r="NBM7" s="225"/>
      <c r="NBN7" s="225"/>
      <c r="NBO7" s="225"/>
      <c r="NBP7" s="225"/>
      <c r="NBQ7" s="225"/>
      <c r="NBR7" s="225"/>
      <c r="NBS7" s="225"/>
      <c r="NBT7" s="225"/>
      <c r="NBU7" s="225"/>
      <c r="NBV7" s="225"/>
      <c r="NBW7" s="225"/>
      <c r="NBX7" s="225"/>
      <c r="NBY7" s="225"/>
      <c r="NBZ7" s="225"/>
      <c r="NCA7" s="225"/>
      <c r="NCB7" s="225"/>
      <c r="NCC7" s="225"/>
      <c r="NCD7" s="225"/>
      <c r="NCE7" s="225"/>
      <c r="NCF7" s="225"/>
      <c r="NCG7" s="225"/>
      <c r="NCH7" s="225"/>
      <c r="NCI7" s="225"/>
      <c r="NCJ7" s="225"/>
      <c r="NCK7" s="225"/>
      <c r="NCL7" s="225"/>
      <c r="NCM7" s="225"/>
      <c r="NCN7" s="225"/>
      <c r="NCO7" s="225"/>
      <c r="NCP7" s="225"/>
      <c r="NCQ7" s="225"/>
      <c r="NCR7" s="225"/>
      <c r="NCS7" s="225"/>
      <c r="NCT7" s="225"/>
      <c r="NCU7" s="225"/>
      <c r="NCV7" s="225"/>
      <c r="NCW7" s="225"/>
      <c r="NCX7" s="225"/>
      <c r="NCY7" s="225"/>
      <c r="NCZ7" s="225"/>
      <c r="NDA7" s="225"/>
      <c r="NDB7" s="225"/>
      <c r="NDC7" s="225"/>
      <c r="NDD7" s="225"/>
      <c r="NDE7" s="225"/>
      <c r="NDF7" s="225"/>
      <c r="NDG7" s="225"/>
      <c r="NDH7" s="225"/>
      <c r="NDI7" s="225"/>
      <c r="NDJ7" s="225"/>
      <c r="NDK7" s="225"/>
      <c r="NDL7" s="225"/>
      <c r="NDM7" s="225"/>
      <c r="NDN7" s="225"/>
      <c r="NDO7" s="225"/>
      <c r="NDP7" s="225"/>
      <c r="NDQ7" s="225"/>
      <c r="NDR7" s="225"/>
      <c r="NDS7" s="225"/>
      <c r="NDT7" s="225"/>
      <c r="NDU7" s="225"/>
      <c r="NDV7" s="225"/>
      <c r="NDW7" s="225"/>
      <c r="NDX7" s="225"/>
      <c r="NDY7" s="225"/>
      <c r="NDZ7" s="225"/>
      <c r="NEA7" s="225"/>
      <c r="NEB7" s="225"/>
      <c r="NEC7" s="225"/>
      <c r="NED7" s="225"/>
      <c r="NEE7" s="225"/>
      <c r="NEF7" s="225"/>
      <c r="NEG7" s="225"/>
      <c r="NEH7" s="225"/>
      <c r="NEI7" s="225"/>
      <c r="NEJ7" s="225"/>
      <c r="NEK7" s="225"/>
      <c r="NEL7" s="225"/>
      <c r="NEM7" s="225"/>
      <c r="NEN7" s="225"/>
      <c r="NEO7" s="225"/>
      <c r="NEP7" s="225"/>
      <c r="NEQ7" s="225"/>
      <c r="NER7" s="225"/>
      <c r="NES7" s="225"/>
      <c r="NET7" s="225"/>
      <c r="NEU7" s="225"/>
      <c r="NEV7" s="225"/>
      <c r="NEW7" s="225"/>
      <c r="NEX7" s="225"/>
      <c r="NEY7" s="225"/>
      <c r="NEZ7" s="225"/>
      <c r="NFA7" s="225"/>
      <c r="NFB7" s="225"/>
      <c r="NFC7" s="225"/>
      <c r="NFD7" s="225"/>
      <c r="NFE7" s="225"/>
      <c r="NFF7" s="225"/>
      <c r="NFG7" s="225"/>
      <c r="NFH7" s="225"/>
      <c r="NFI7" s="225"/>
      <c r="NFJ7" s="225"/>
      <c r="NFK7" s="225"/>
      <c r="NFL7" s="225"/>
      <c r="NFM7" s="225"/>
      <c r="NFN7" s="225"/>
      <c r="NFO7" s="225"/>
      <c r="NFP7" s="225"/>
      <c r="NFQ7" s="225"/>
      <c r="NFR7" s="225"/>
      <c r="NFS7" s="225"/>
      <c r="NFT7" s="225"/>
      <c r="NFU7" s="225"/>
      <c r="NFV7" s="225"/>
      <c r="NFW7" s="225"/>
      <c r="NFX7" s="225"/>
      <c r="NFY7" s="225"/>
      <c r="NFZ7" s="225"/>
      <c r="NGA7" s="225"/>
      <c r="NGB7" s="225"/>
      <c r="NGC7" s="225"/>
      <c r="NGD7" s="225"/>
      <c r="NGE7" s="225"/>
      <c r="NGF7" s="225"/>
      <c r="NGG7" s="225"/>
      <c r="NGH7" s="225"/>
      <c r="NGI7" s="225"/>
      <c r="NGJ7" s="225"/>
      <c r="NGK7" s="225"/>
      <c r="NGL7" s="225"/>
      <c r="NGM7" s="225"/>
      <c r="NGN7" s="225"/>
      <c r="NGO7" s="225"/>
      <c r="NGP7" s="225"/>
      <c r="NGQ7" s="225"/>
      <c r="NGR7" s="225"/>
      <c r="NGS7" s="225"/>
      <c r="NGT7" s="225"/>
      <c r="NGU7" s="225"/>
      <c r="NGV7" s="225"/>
      <c r="NGW7" s="225"/>
      <c r="NGX7" s="225"/>
      <c r="NGY7" s="225"/>
      <c r="NGZ7" s="225"/>
      <c r="NHA7" s="225"/>
      <c r="NHB7" s="225"/>
      <c r="NHC7" s="225"/>
      <c r="NHD7" s="225"/>
      <c r="NHE7" s="225"/>
      <c r="NHF7" s="225"/>
      <c r="NHG7" s="225"/>
      <c r="NHH7" s="225"/>
      <c r="NHI7" s="225"/>
      <c r="NHJ7" s="225"/>
      <c r="NHK7" s="225"/>
      <c r="NHL7" s="225"/>
      <c r="NHM7" s="225"/>
      <c r="NHN7" s="225"/>
      <c r="NHO7" s="225"/>
      <c r="NHP7" s="225"/>
      <c r="NHQ7" s="225"/>
      <c r="NHR7" s="225"/>
      <c r="NHS7" s="225"/>
      <c r="NHT7" s="225"/>
      <c r="NHU7" s="225"/>
      <c r="NHV7" s="225"/>
      <c r="NHW7" s="225"/>
      <c r="NHX7" s="225"/>
      <c r="NHY7" s="225"/>
      <c r="NHZ7" s="225"/>
      <c r="NIA7" s="225"/>
      <c r="NIB7" s="225"/>
      <c r="NIC7" s="225"/>
      <c r="NID7" s="225"/>
      <c r="NIE7" s="225"/>
      <c r="NIF7" s="225"/>
      <c r="NIG7" s="225"/>
      <c r="NIH7" s="225"/>
      <c r="NII7" s="225"/>
      <c r="NIJ7" s="225"/>
      <c r="NIK7" s="225"/>
      <c r="NIL7" s="225"/>
      <c r="NIM7" s="225"/>
      <c r="NIN7" s="225"/>
      <c r="NIO7" s="225"/>
      <c r="NIP7" s="225"/>
      <c r="NIQ7" s="225"/>
      <c r="NIR7" s="225"/>
      <c r="NIS7" s="225"/>
      <c r="NIT7" s="225"/>
      <c r="NIU7" s="225"/>
      <c r="NIV7" s="225"/>
      <c r="NIW7" s="225"/>
      <c r="NIX7" s="225"/>
      <c r="NIY7" s="225"/>
      <c r="NIZ7" s="225"/>
      <c r="NJA7" s="225"/>
      <c r="NJB7" s="225"/>
      <c r="NJC7" s="225"/>
      <c r="NJD7" s="225"/>
      <c r="NJE7" s="225"/>
      <c r="NJF7" s="225"/>
      <c r="NJG7" s="225"/>
      <c r="NJH7" s="225"/>
      <c r="NJI7" s="225"/>
      <c r="NJJ7" s="225"/>
      <c r="NJK7" s="225"/>
      <c r="NJL7" s="225"/>
      <c r="NJM7" s="225"/>
      <c r="NJN7" s="225"/>
      <c r="NJO7" s="225"/>
      <c r="NJP7" s="225"/>
      <c r="NJQ7" s="225"/>
      <c r="NJR7" s="225"/>
      <c r="NJS7" s="225"/>
      <c r="NJT7" s="225"/>
      <c r="NJU7" s="225"/>
      <c r="NJV7" s="225"/>
      <c r="NJW7" s="225"/>
      <c r="NJX7" s="225"/>
      <c r="NJY7" s="225"/>
      <c r="NJZ7" s="225"/>
      <c r="NKA7" s="225"/>
      <c r="NKB7" s="225"/>
      <c r="NKC7" s="225"/>
      <c r="NKD7" s="225"/>
      <c r="NKE7" s="225"/>
      <c r="NKF7" s="225"/>
      <c r="NKG7" s="225"/>
      <c r="NKH7" s="225"/>
      <c r="NKI7" s="225"/>
      <c r="NKJ7" s="225"/>
      <c r="NKK7" s="225"/>
      <c r="NKL7" s="225"/>
      <c r="NKM7" s="225"/>
      <c r="NKN7" s="225"/>
      <c r="NKO7" s="225"/>
      <c r="NKP7" s="225"/>
      <c r="NKQ7" s="225"/>
      <c r="NKR7" s="225"/>
      <c r="NKS7" s="225"/>
      <c r="NKT7" s="225"/>
      <c r="NKU7" s="225"/>
      <c r="NKV7" s="225"/>
      <c r="NKW7" s="225"/>
      <c r="NKX7" s="225"/>
      <c r="NKY7" s="225"/>
      <c r="NKZ7" s="225"/>
      <c r="NLA7" s="225"/>
      <c r="NLB7" s="225"/>
      <c r="NLC7" s="225"/>
      <c r="NLD7" s="225"/>
      <c r="NLE7" s="225"/>
      <c r="NLF7" s="225"/>
      <c r="NLG7" s="225"/>
      <c r="NLH7" s="225"/>
      <c r="NLI7" s="225"/>
      <c r="NLJ7" s="225"/>
      <c r="NLK7" s="225"/>
      <c r="NLL7" s="225"/>
      <c r="NLM7" s="225"/>
      <c r="NLN7" s="225"/>
      <c r="NLO7" s="225"/>
      <c r="NLP7" s="225"/>
      <c r="NLQ7" s="225"/>
      <c r="NLR7" s="225"/>
      <c r="NLS7" s="225"/>
      <c r="NLT7" s="225"/>
      <c r="NLU7" s="225"/>
      <c r="NLV7" s="225"/>
      <c r="NLW7" s="225"/>
      <c r="NLX7" s="225"/>
      <c r="NLY7" s="225"/>
      <c r="NLZ7" s="225"/>
      <c r="NMA7" s="225"/>
      <c r="NMB7" s="225"/>
      <c r="NMC7" s="225"/>
      <c r="NMD7" s="225"/>
      <c r="NME7" s="225"/>
      <c r="NMF7" s="225"/>
      <c r="NMG7" s="225"/>
      <c r="NMH7" s="225"/>
      <c r="NMI7" s="225"/>
      <c r="NMJ7" s="225"/>
      <c r="NMK7" s="225"/>
      <c r="NML7" s="225"/>
      <c r="NMM7" s="225"/>
      <c r="NMN7" s="225"/>
      <c r="NMO7" s="225"/>
      <c r="NMP7" s="225"/>
      <c r="NMQ7" s="225"/>
      <c r="NMR7" s="225"/>
      <c r="NMS7" s="225"/>
      <c r="NMT7" s="225"/>
      <c r="NMU7" s="225"/>
      <c r="NMV7" s="225"/>
      <c r="NMW7" s="225"/>
      <c r="NMX7" s="225"/>
      <c r="NMY7" s="225"/>
      <c r="NMZ7" s="225"/>
      <c r="NNA7" s="225"/>
      <c r="NNB7" s="225"/>
      <c r="NNC7" s="225"/>
      <c r="NND7" s="225"/>
      <c r="NNE7" s="225"/>
      <c r="NNF7" s="225"/>
      <c r="NNG7" s="225"/>
      <c r="NNH7" s="225"/>
      <c r="NNI7" s="225"/>
      <c r="NNJ7" s="225"/>
      <c r="NNK7" s="225"/>
      <c r="NNL7" s="225"/>
      <c r="NNM7" s="225"/>
      <c r="NNN7" s="225"/>
      <c r="NNO7" s="225"/>
      <c r="NNP7" s="225"/>
      <c r="NNQ7" s="225"/>
      <c r="NNR7" s="225"/>
      <c r="NNS7" s="225"/>
      <c r="NNT7" s="225"/>
      <c r="NNU7" s="225"/>
      <c r="NNV7" s="225"/>
      <c r="NNW7" s="225"/>
      <c r="NNX7" s="225"/>
      <c r="NNY7" s="225"/>
      <c r="NNZ7" s="225"/>
      <c r="NOA7" s="225"/>
      <c r="NOB7" s="225"/>
      <c r="NOC7" s="225"/>
      <c r="NOD7" s="225"/>
      <c r="NOE7" s="225"/>
      <c r="NOF7" s="225"/>
      <c r="NOG7" s="225"/>
      <c r="NOH7" s="225"/>
      <c r="NOI7" s="225"/>
      <c r="NOJ7" s="225"/>
      <c r="NOK7" s="225"/>
      <c r="NOL7" s="225"/>
      <c r="NOM7" s="225"/>
      <c r="NON7" s="225"/>
      <c r="NOO7" s="225"/>
      <c r="NOP7" s="225"/>
      <c r="NOQ7" s="225"/>
      <c r="NOR7" s="225"/>
      <c r="NOS7" s="225"/>
      <c r="NOT7" s="225"/>
      <c r="NOU7" s="225"/>
      <c r="NOV7" s="225"/>
      <c r="NOW7" s="225"/>
      <c r="NOX7" s="225"/>
      <c r="NOY7" s="225"/>
      <c r="NOZ7" s="225"/>
      <c r="NPA7" s="225"/>
      <c r="NPB7" s="225"/>
      <c r="NPC7" s="225"/>
      <c r="NPD7" s="225"/>
      <c r="NPE7" s="225"/>
      <c r="NPF7" s="225"/>
      <c r="NPG7" s="225"/>
      <c r="NPH7" s="225"/>
      <c r="NPI7" s="225"/>
      <c r="NPJ7" s="225"/>
      <c r="NPK7" s="225"/>
      <c r="NPL7" s="225"/>
      <c r="NPM7" s="225"/>
      <c r="NPN7" s="225"/>
      <c r="NPO7" s="225"/>
      <c r="NPP7" s="225"/>
      <c r="NPQ7" s="225"/>
      <c r="NPR7" s="225"/>
      <c r="NPS7" s="225"/>
      <c r="NPT7" s="225"/>
      <c r="NPU7" s="225"/>
      <c r="NPV7" s="225"/>
      <c r="NPW7" s="225"/>
      <c r="NPX7" s="225"/>
      <c r="NPY7" s="225"/>
      <c r="NPZ7" s="225"/>
      <c r="NQA7" s="225"/>
      <c r="NQB7" s="225"/>
      <c r="NQC7" s="225"/>
      <c r="NQD7" s="225"/>
      <c r="NQE7" s="225"/>
      <c r="NQF7" s="225"/>
      <c r="NQG7" s="225"/>
      <c r="NQH7" s="225"/>
      <c r="NQI7" s="225"/>
      <c r="NQJ7" s="225"/>
      <c r="NQK7" s="225"/>
      <c r="NQL7" s="225"/>
      <c r="NQM7" s="225"/>
      <c r="NQN7" s="225"/>
      <c r="NQO7" s="225"/>
      <c r="NQP7" s="225"/>
      <c r="NQQ7" s="225"/>
      <c r="NQR7" s="225"/>
      <c r="NQS7" s="225"/>
      <c r="NQT7" s="225"/>
      <c r="NQU7" s="225"/>
      <c r="NQV7" s="225"/>
      <c r="NQW7" s="225"/>
      <c r="NQX7" s="225"/>
      <c r="NQY7" s="225"/>
      <c r="NQZ7" s="225"/>
      <c r="NRA7" s="225"/>
      <c r="NRB7" s="225"/>
      <c r="NRC7" s="225"/>
      <c r="NRD7" s="225"/>
      <c r="NRE7" s="225"/>
      <c r="NRF7" s="225"/>
      <c r="NRG7" s="225"/>
      <c r="NRH7" s="225"/>
      <c r="NRI7" s="225"/>
      <c r="NRJ7" s="225"/>
      <c r="NRK7" s="225"/>
      <c r="NRL7" s="225"/>
      <c r="NRM7" s="225"/>
      <c r="NRN7" s="225"/>
      <c r="NRO7" s="225"/>
      <c r="NRP7" s="225"/>
      <c r="NRQ7" s="225"/>
      <c r="NRR7" s="225"/>
      <c r="NRS7" s="225"/>
      <c r="NRT7" s="225"/>
      <c r="NRU7" s="225"/>
      <c r="NRV7" s="225"/>
      <c r="NRW7" s="225"/>
      <c r="NRX7" s="225"/>
      <c r="NRY7" s="225"/>
      <c r="NRZ7" s="225"/>
      <c r="NSA7" s="225"/>
      <c r="NSB7" s="225"/>
      <c r="NSC7" s="225"/>
      <c r="NSD7" s="225"/>
      <c r="NSE7" s="225"/>
      <c r="NSF7" s="225"/>
      <c r="NSG7" s="225"/>
      <c r="NSH7" s="225"/>
      <c r="NSI7" s="225"/>
      <c r="NSJ7" s="225"/>
      <c r="NSK7" s="225"/>
      <c r="NSL7" s="225"/>
      <c r="NSM7" s="225"/>
      <c r="NSN7" s="225"/>
      <c r="NSO7" s="225"/>
      <c r="NSP7" s="225"/>
      <c r="NSQ7" s="225"/>
      <c r="NSR7" s="225"/>
      <c r="NSS7" s="225"/>
      <c r="NST7" s="225"/>
      <c r="NSU7" s="225"/>
      <c r="NSV7" s="225"/>
      <c r="NSW7" s="225"/>
      <c r="NSX7" s="225"/>
      <c r="NSY7" s="225"/>
      <c r="NSZ7" s="225"/>
      <c r="NTA7" s="225"/>
      <c r="NTB7" s="225"/>
      <c r="NTC7" s="225"/>
      <c r="NTD7" s="225"/>
      <c r="NTE7" s="225"/>
      <c r="NTF7" s="225"/>
      <c r="NTG7" s="225"/>
      <c r="NTH7" s="225"/>
      <c r="NTI7" s="225"/>
      <c r="NTJ7" s="225"/>
      <c r="NTK7" s="225"/>
      <c r="NTL7" s="225"/>
      <c r="NTM7" s="225"/>
      <c r="NTN7" s="225"/>
      <c r="NTO7" s="225"/>
      <c r="NTP7" s="225"/>
      <c r="NTQ7" s="225"/>
      <c r="NTR7" s="225"/>
      <c r="NTS7" s="225"/>
      <c r="NTT7" s="225"/>
      <c r="NTU7" s="225"/>
      <c r="NTV7" s="225"/>
      <c r="NTW7" s="225"/>
      <c r="NTX7" s="225"/>
      <c r="NTY7" s="225"/>
      <c r="NTZ7" s="225"/>
      <c r="NUA7" s="225"/>
      <c r="NUB7" s="225"/>
      <c r="NUC7" s="225"/>
      <c r="NUD7" s="225"/>
      <c r="NUE7" s="225"/>
      <c r="NUF7" s="225"/>
      <c r="NUG7" s="225"/>
      <c r="NUH7" s="225"/>
      <c r="NUI7" s="225"/>
      <c r="NUJ7" s="225"/>
      <c r="NUK7" s="225"/>
      <c r="NUL7" s="225"/>
      <c r="NUM7" s="225"/>
      <c r="NUN7" s="225"/>
      <c r="NUO7" s="225"/>
      <c r="NUP7" s="225"/>
      <c r="NUQ7" s="225"/>
      <c r="NUR7" s="225"/>
      <c r="NUS7" s="225"/>
      <c r="NUT7" s="225"/>
      <c r="NUU7" s="225"/>
      <c r="NUV7" s="225"/>
      <c r="NUW7" s="225"/>
      <c r="NUX7" s="225"/>
      <c r="NUY7" s="225"/>
      <c r="NUZ7" s="225"/>
      <c r="NVA7" s="225"/>
      <c r="NVB7" s="225"/>
      <c r="NVC7" s="225"/>
      <c r="NVD7" s="225"/>
      <c r="NVE7" s="225"/>
      <c r="NVF7" s="225"/>
      <c r="NVG7" s="225"/>
      <c r="NVH7" s="225"/>
      <c r="NVI7" s="225"/>
      <c r="NVJ7" s="225"/>
      <c r="NVK7" s="225"/>
      <c r="NVL7" s="225"/>
      <c r="NVM7" s="225"/>
      <c r="NVN7" s="225"/>
      <c r="NVO7" s="225"/>
      <c r="NVP7" s="225"/>
      <c r="NVQ7" s="225"/>
      <c r="NVR7" s="225"/>
      <c r="NVS7" s="225"/>
      <c r="NVT7" s="225"/>
      <c r="NVU7" s="225"/>
      <c r="NVV7" s="225"/>
      <c r="NVW7" s="225"/>
      <c r="NVX7" s="225"/>
      <c r="NVY7" s="225"/>
      <c r="NVZ7" s="225"/>
      <c r="NWA7" s="225"/>
      <c r="NWB7" s="225"/>
      <c r="NWC7" s="225"/>
      <c r="NWD7" s="225"/>
      <c r="NWE7" s="225"/>
      <c r="NWF7" s="225"/>
      <c r="NWG7" s="225"/>
      <c r="NWH7" s="225"/>
      <c r="NWI7" s="225"/>
      <c r="NWJ7" s="225"/>
      <c r="NWK7" s="225"/>
      <c r="NWL7" s="225"/>
      <c r="NWM7" s="225"/>
      <c r="NWN7" s="225"/>
      <c r="NWO7" s="225"/>
      <c r="NWP7" s="225"/>
      <c r="NWQ7" s="225"/>
      <c r="NWR7" s="225"/>
      <c r="NWS7" s="225"/>
      <c r="NWT7" s="225"/>
      <c r="NWU7" s="225"/>
      <c r="NWV7" s="225"/>
      <c r="NWW7" s="225"/>
      <c r="NWX7" s="225"/>
      <c r="NWY7" s="225"/>
      <c r="NWZ7" s="225"/>
      <c r="NXA7" s="225"/>
      <c r="NXB7" s="225"/>
      <c r="NXC7" s="225"/>
      <c r="NXD7" s="225"/>
      <c r="NXE7" s="225"/>
      <c r="NXF7" s="225"/>
      <c r="NXG7" s="225"/>
      <c r="NXH7" s="225"/>
      <c r="NXI7" s="225"/>
      <c r="NXJ7" s="225"/>
      <c r="NXK7" s="225"/>
      <c r="NXL7" s="225"/>
      <c r="NXM7" s="225"/>
      <c r="NXN7" s="225"/>
      <c r="NXO7" s="225"/>
      <c r="NXP7" s="225"/>
      <c r="NXQ7" s="225"/>
      <c r="NXR7" s="225"/>
      <c r="NXS7" s="225"/>
      <c r="NXT7" s="225"/>
      <c r="NXU7" s="225"/>
      <c r="NXV7" s="225"/>
      <c r="NXW7" s="225"/>
      <c r="NXX7" s="225"/>
      <c r="NXY7" s="225"/>
      <c r="NXZ7" s="225"/>
      <c r="NYA7" s="225"/>
      <c r="NYB7" s="225"/>
      <c r="NYC7" s="225"/>
      <c r="NYD7" s="225"/>
      <c r="NYE7" s="225"/>
      <c r="NYF7" s="225"/>
      <c r="NYG7" s="225"/>
      <c r="NYH7" s="225"/>
      <c r="NYI7" s="225"/>
      <c r="NYJ7" s="225"/>
      <c r="NYK7" s="225"/>
      <c r="NYL7" s="225"/>
      <c r="NYM7" s="225"/>
      <c r="NYN7" s="225"/>
      <c r="NYO7" s="225"/>
      <c r="NYP7" s="225"/>
      <c r="NYQ7" s="225"/>
      <c r="NYR7" s="225"/>
      <c r="NYS7" s="225"/>
      <c r="NYT7" s="225"/>
      <c r="NYU7" s="225"/>
      <c r="NYV7" s="225"/>
      <c r="NYW7" s="225"/>
      <c r="NYX7" s="225"/>
      <c r="NYY7" s="225"/>
      <c r="NYZ7" s="225"/>
      <c r="NZA7" s="225"/>
      <c r="NZB7" s="225"/>
      <c r="NZC7" s="225"/>
      <c r="NZD7" s="225"/>
      <c r="NZE7" s="225"/>
      <c r="NZF7" s="225"/>
      <c r="NZG7" s="225"/>
      <c r="NZH7" s="225"/>
      <c r="NZI7" s="225"/>
      <c r="NZJ7" s="225"/>
      <c r="NZK7" s="225"/>
      <c r="NZL7" s="225"/>
      <c r="NZM7" s="225"/>
      <c r="NZN7" s="225"/>
      <c r="NZO7" s="225"/>
      <c r="NZP7" s="225"/>
      <c r="NZQ7" s="225"/>
      <c r="NZR7" s="225"/>
      <c r="NZS7" s="225"/>
      <c r="NZT7" s="225"/>
      <c r="NZU7" s="225"/>
      <c r="NZV7" s="225"/>
      <c r="NZW7" s="225"/>
      <c r="NZX7" s="225"/>
      <c r="NZY7" s="225"/>
      <c r="NZZ7" s="225"/>
      <c r="OAA7" s="225"/>
      <c r="OAB7" s="225"/>
      <c r="OAC7" s="225"/>
      <c r="OAD7" s="225"/>
      <c r="OAE7" s="225"/>
      <c r="OAF7" s="225"/>
      <c r="OAG7" s="225"/>
      <c r="OAH7" s="225"/>
      <c r="OAI7" s="225"/>
      <c r="OAJ7" s="225"/>
      <c r="OAK7" s="225"/>
      <c r="OAL7" s="225"/>
      <c r="OAM7" s="225"/>
      <c r="OAN7" s="225"/>
      <c r="OAO7" s="225"/>
      <c r="OAP7" s="225"/>
      <c r="OAQ7" s="225"/>
      <c r="OAR7" s="225"/>
      <c r="OAS7" s="225"/>
      <c r="OAT7" s="225"/>
      <c r="OAU7" s="225"/>
      <c r="OAV7" s="225"/>
      <c r="OAW7" s="225"/>
      <c r="OAX7" s="225"/>
      <c r="OAY7" s="225"/>
      <c r="OAZ7" s="225"/>
      <c r="OBA7" s="225"/>
      <c r="OBB7" s="225"/>
      <c r="OBC7" s="225"/>
      <c r="OBD7" s="225"/>
      <c r="OBE7" s="225"/>
      <c r="OBF7" s="225"/>
      <c r="OBG7" s="225"/>
      <c r="OBH7" s="225"/>
      <c r="OBI7" s="225"/>
      <c r="OBJ7" s="225"/>
      <c r="OBK7" s="225"/>
      <c r="OBL7" s="225"/>
      <c r="OBM7" s="225"/>
      <c r="OBN7" s="225"/>
      <c r="OBO7" s="225"/>
      <c r="OBP7" s="225"/>
      <c r="OBQ7" s="225"/>
      <c r="OBR7" s="225"/>
      <c r="OBS7" s="225"/>
      <c r="OBT7" s="225"/>
      <c r="OBU7" s="225"/>
      <c r="OBV7" s="225"/>
      <c r="OBW7" s="225"/>
      <c r="OBX7" s="225"/>
      <c r="OBY7" s="225"/>
      <c r="OBZ7" s="225"/>
      <c r="OCA7" s="225"/>
      <c r="OCB7" s="225"/>
      <c r="OCC7" s="225"/>
      <c r="OCD7" s="225"/>
      <c r="OCE7" s="225"/>
      <c r="OCF7" s="225"/>
      <c r="OCG7" s="225"/>
      <c r="OCH7" s="225"/>
      <c r="OCI7" s="225"/>
      <c r="OCJ7" s="225"/>
      <c r="OCK7" s="225"/>
      <c r="OCL7" s="225"/>
      <c r="OCM7" s="225"/>
      <c r="OCN7" s="225"/>
      <c r="OCO7" s="225"/>
      <c r="OCP7" s="225"/>
      <c r="OCQ7" s="225"/>
      <c r="OCR7" s="225"/>
      <c r="OCS7" s="225"/>
      <c r="OCT7" s="225"/>
      <c r="OCU7" s="225"/>
      <c r="OCV7" s="225"/>
      <c r="OCW7" s="225"/>
      <c r="OCX7" s="225"/>
      <c r="OCY7" s="225"/>
      <c r="OCZ7" s="225"/>
      <c r="ODA7" s="225"/>
      <c r="ODB7" s="225"/>
      <c r="ODC7" s="225"/>
      <c r="ODD7" s="225"/>
      <c r="ODE7" s="225"/>
      <c r="ODF7" s="225"/>
      <c r="ODG7" s="225"/>
      <c r="ODH7" s="225"/>
      <c r="ODI7" s="225"/>
      <c r="ODJ7" s="225"/>
      <c r="ODK7" s="225"/>
      <c r="ODL7" s="225"/>
      <c r="ODM7" s="225"/>
      <c r="ODN7" s="225"/>
      <c r="ODO7" s="225"/>
      <c r="ODP7" s="225"/>
      <c r="ODQ7" s="225"/>
      <c r="ODR7" s="225"/>
      <c r="ODS7" s="225"/>
      <c r="ODT7" s="225"/>
      <c r="ODU7" s="225"/>
      <c r="ODV7" s="225"/>
      <c r="ODW7" s="225"/>
      <c r="ODX7" s="225"/>
      <c r="ODY7" s="225"/>
      <c r="ODZ7" s="225"/>
      <c r="OEA7" s="225"/>
      <c r="OEB7" s="225"/>
      <c r="OEC7" s="225"/>
      <c r="OED7" s="225"/>
      <c r="OEE7" s="225"/>
      <c r="OEF7" s="225"/>
      <c r="OEG7" s="225"/>
      <c r="OEH7" s="225"/>
      <c r="OEI7" s="225"/>
      <c r="OEJ7" s="225"/>
      <c r="OEK7" s="225"/>
      <c r="OEL7" s="225"/>
      <c r="OEM7" s="225"/>
      <c r="OEN7" s="225"/>
      <c r="OEO7" s="225"/>
      <c r="OEP7" s="225"/>
      <c r="OEQ7" s="225"/>
      <c r="OER7" s="225"/>
      <c r="OES7" s="225"/>
      <c r="OET7" s="225"/>
      <c r="OEU7" s="225"/>
      <c r="OEV7" s="225"/>
      <c r="OEW7" s="225"/>
      <c r="OEX7" s="225"/>
      <c r="OEY7" s="225"/>
      <c r="OEZ7" s="225"/>
      <c r="OFA7" s="225"/>
      <c r="OFB7" s="225"/>
      <c r="OFC7" s="225"/>
      <c r="OFD7" s="225"/>
      <c r="OFE7" s="225"/>
      <c r="OFF7" s="225"/>
      <c r="OFG7" s="225"/>
      <c r="OFH7" s="225"/>
      <c r="OFI7" s="225"/>
      <c r="OFJ7" s="225"/>
      <c r="OFK7" s="225"/>
      <c r="OFL7" s="225"/>
      <c r="OFM7" s="225"/>
      <c r="OFN7" s="225"/>
      <c r="OFO7" s="225"/>
      <c r="OFP7" s="225"/>
      <c r="OFQ7" s="225"/>
      <c r="OFR7" s="225"/>
      <c r="OFS7" s="225"/>
      <c r="OFT7" s="225"/>
      <c r="OFU7" s="225"/>
      <c r="OFV7" s="225"/>
      <c r="OFW7" s="225"/>
      <c r="OFX7" s="225"/>
      <c r="OFY7" s="225"/>
      <c r="OFZ7" s="225"/>
      <c r="OGA7" s="225"/>
      <c r="OGB7" s="225"/>
      <c r="OGC7" s="225"/>
      <c r="OGD7" s="225"/>
      <c r="OGE7" s="225"/>
      <c r="OGF7" s="225"/>
      <c r="OGG7" s="225"/>
      <c r="OGH7" s="225"/>
      <c r="OGI7" s="225"/>
      <c r="OGJ7" s="225"/>
      <c r="OGK7" s="225"/>
      <c r="OGL7" s="225"/>
      <c r="OGM7" s="225"/>
      <c r="OGN7" s="225"/>
      <c r="OGO7" s="225"/>
      <c r="OGP7" s="225"/>
      <c r="OGQ7" s="225"/>
      <c r="OGR7" s="225"/>
      <c r="OGS7" s="225"/>
      <c r="OGT7" s="225"/>
      <c r="OGU7" s="225"/>
      <c r="OGV7" s="225"/>
      <c r="OGW7" s="225"/>
      <c r="OGX7" s="225"/>
      <c r="OGY7" s="225"/>
      <c r="OGZ7" s="225"/>
      <c r="OHA7" s="225"/>
      <c r="OHB7" s="225"/>
      <c r="OHC7" s="225"/>
      <c r="OHD7" s="225"/>
      <c r="OHE7" s="225"/>
      <c r="OHF7" s="225"/>
      <c r="OHG7" s="225"/>
      <c r="OHH7" s="225"/>
      <c r="OHI7" s="225"/>
      <c r="OHJ7" s="225"/>
      <c r="OHK7" s="225"/>
      <c r="OHL7" s="225"/>
      <c r="OHM7" s="225"/>
      <c r="OHN7" s="225"/>
      <c r="OHO7" s="225"/>
      <c r="OHP7" s="225"/>
      <c r="OHQ7" s="225"/>
      <c r="OHR7" s="225"/>
      <c r="OHS7" s="225"/>
      <c r="OHT7" s="225"/>
      <c r="OHU7" s="225"/>
      <c r="OHV7" s="225"/>
      <c r="OHW7" s="225"/>
      <c r="OHX7" s="225"/>
      <c r="OHY7" s="225"/>
      <c r="OHZ7" s="225"/>
      <c r="OIA7" s="225"/>
      <c r="OIB7" s="225"/>
      <c r="OIC7" s="225"/>
      <c r="OID7" s="225"/>
      <c r="OIE7" s="225"/>
      <c r="OIF7" s="225"/>
      <c r="OIG7" s="225"/>
      <c r="OIH7" s="225"/>
      <c r="OII7" s="225"/>
      <c r="OIJ7" s="225"/>
      <c r="OIK7" s="225"/>
      <c r="OIL7" s="225"/>
      <c r="OIM7" s="225"/>
      <c r="OIN7" s="225"/>
      <c r="OIO7" s="225"/>
      <c r="OIP7" s="225"/>
      <c r="OIQ7" s="225"/>
      <c r="OIR7" s="225"/>
      <c r="OIS7" s="225"/>
      <c r="OIT7" s="225"/>
      <c r="OIU7" s="225"/>
      <c r="OIV7" s="225"/>
      <c r="OIW7" s="225"/>
      <c r="OIX7" s="225"/>
      <c r="OIY7" s="225"/>
      <c r="OIZ7" s="225"/>
      <c r="OJA7" s="225"/>
      <c r="OJB7" s="225"/>
      <c r="OJC7" s="225"/>
      <c r="OJD7" s="225"/>
      <c r="OJE7" s="225"/>
      <c r="OJF7" s="225"/>
      <c r="OJG7" s="225"/>
      <c r="OJH7" s="225"/>
      <c r="OJI7" s="225"/>
      <c r="OJJ7" s="225"/>
      <c r="OJK7" s="225"/>
      <c r="OJL7" s="225"/>
      <c r="OJM7" s="225"/>
      <c r="OJN7" s="225"/>
      <c r="OJO7" s="225"/>
      <c r="OJP7" s="225"/>
      <c r="OJQ7" s="225"/>
      <c r="OJR7" s="225"/>
      <c r="OJS7" s="225"/>
      <c r="OJT7" s="225"/>
      <c r="OJU7" s="225"/>
      <c r="OJV7" s="225"/>
      <c r="OJW7" s="225"/>
      <c r="OJX7" s="225"/>
      <c r="OJY7" s="225"/>
      <c r="OJZ7" s="225"/>
      <c r="OKA7" s="225"/>
      <c r="OKB7" s="225"/>
      <c r="OKC7" s="225"/>
      <c r="OKD7" s="225"/>
      <c r="OKE7" s="225"/>
      <c r="OKF7" s="225"/>
      <c r="OKG7" s="225"/>
      <c r="OKH7" s="225"/>
      <c r="OKI7" s="225"/>
      <c r="OKJ7" s="225"/>
      <c r="OKK7" s="225"/>
      <c r="OKL7" s="225"/>
      <c r="OKM7" s="225"/>
      <c r="OKN7" s="225"/>
      <c r="OKO7" s="225"/>
      <c r="OKP7" s="225"/>
      <c r="OKQ7" s="225"/>
      <c r="OKR7" s="225"/>
      <c r="OKS7" s="225"/>
      <c r="OKT7" s="225"/>
      <c r="OKU7" s="225"/>
      <c r="OKV7" s="225"/>
      <c r="OKW7" s="225"/>
      <c r="OKX7" s="225"/>
      <c r="OKY7" s="225"/>
      <c r="OKZ7" s="225"/>
      <c r="OLA7" s="225"/>
      <c r="OLB7" s="225"/>
      <c r="OLC7" s="225"/>
      <c r="OLD7" s="225"/>
      <c r="OLE7" s="225"/>
      <c r="OLF7" s="225"/>
      <c r="OLG7" s="225"/>
      <c r="OLH7" s="225"/>
      <c r="OLI7" s="225"/>
      <c r="OLJ7" s="225"/>
      <c r="OLK7" s="225"/>
      <c r="OLL7" s="225"/>
      <c r="OLM7" s="225"/>
      <c r="OLN7" s="225"/>
      <c r="OLO7" s="225"/>
      <c r="OLP7" s="225"/>
      <c r="OLQ7" s="225"/>
      <c r="OLR7" s="225"/>
      <c r="OLS7" s="225"/>
      <c r="OLT7" s="225"/>
      <c r="OLU7" s="225"/>
      <c r="OLV7" s="225"/>
      <c r="OLW7" s="225"/>
      <c r="OLX7" s="225"/>
      <c r="OLY7" s="225"/>
      <c r="OLZ7" s="225"/>
      <c r="OMA7" s="225"/>
      <c r="OMB7" s="225"/>
      <c r="OMC7" s="225"/>
      <c r="OMD7" s="225"/>
      <c r="OME7" s="225"/>
      <c r="OMF7" s="225"/>
      <c r="OMG7" s="225"/>
      <c r="OMH7" s="225"/>
      <c r="OMI7" s="225"/>
      <c r="OMJ7" s="225"/>
      <c r="OMK7" s="225"/>
      <c r="OML7" s="225"/>
      <c r="OMM7" s="225"/>
      <c r="OMN7" s="225"/>
      <c r="OMO7" s="225"/>
      <c r="OMP7" s="225"/>
      <c r="OMQ7" s="225"/>
      <c r="OMR7" s="225"/>
      <c r="OMS7" s="225"/>
      <c r="OMT7" s="225"/>
      <c r="OMU7" s="225"/>
      <c r="OMV7" s="225"/>
      <c r="OMW7" s="225"/>
      <c r="OMX7" s="225"/>
      <c r="OMY7" s="225"/>
      <c r="OMZ7" s="225"/>
      <c r="ONA7" s="225"/>
      <c r="ONB7" s="225"/>
      <c r="ONC7" s="225"/>
      <c r="OND7" s="225"/>
      <c r="ONE7" s="225"/>
      <c r="ONF7" s="225"/>
      <c r="ONG7" s="225"/>
      <c r="ONH7" s="225"/>
      <c r="ONI7" s="225"/>
      <c r="ONJ7" s="225"/>
      <c r="ONK7" s="225"/>
      <c r="ONL7" s="225"/>
      <c r="ONM7" s="225"/>
      <c r="ONN7" s="225"/>
      <c r="ONO7" s="225"/>
      <c r="ONP7" s="225"/>
      <c r="ONQ7" s="225"/>
      <c r="ONR7" s="225"/>
      <c r="ONS7" s="225"/>
      <c r="ONT7" s="225"/>
      <c r="ONU7" s="225"/>
      <c r="ONV7" s="225"/>
      <c r="ONW7" s="225"/>
      <c r="ONX7" s="225"/>
      <c r="ONY7" s="225"/>
      <c r="ONZ7" s="225"/>
      <c r="OOA7" s="225"/>
      <c r="OOB7" s="225"/>
      <c r="OOC7" s="225"/>
      <c r="OOD7" s="225"/>
      <c r="OOE7" s="225"/>
      <c r="OOF7" s="225"/>
      <c r="OOG7" s="225"/>
      <c r="OOH7" s="225"/>
      <c r="OOI7" s="225"/>
      <c r="OOJ7" s="225"/>
      <c r="OOK7" s="225"/>
      <c r="OOL7" s="225"/>
      <c r="OOM7" s="225"/>
      <c r="OON7" s="225"/>
      <c r="OOO7" s="225"/>
      <c r="OOP7" s="225"/>
      <c r="OOQ7" s="225"/>
      <c r="OOR7" s="225"/>
      <c r="OOS7" s="225"/>
      <c r="OOT7" s="225"/>
      <c r="OOU7" s="225"/>
      <c r="OOV7" s="225"/>
      <c r="OOW7" s="225"/>
      <c r="OOX7" s="225"/>
      <c r="OOY7" s="225"/>
      <c r="OOZ7" s="225"/>
      <c r="OPA7" s="225"/>
      <c r="OPB7" s="225"/>
      <c r="OPC7" s="225"/>
      <c r="OPD7" s="225"/>
      <c r="OPE7" s="225"/>
      <c r="OPF7" s="225"/>
      <c r="OPG7" s="225"/>
      <c r="OPH7" s="225"/>
      <c r="OPI7" s="225"/>
      <c r="OPJ7" s="225"/>
      <c r="OPK7" s="225"/>
      <c r="OPL7" s="225"/>
      <c r="OPM7" s="225"/>
      <c r="OPN7" s="225"/>
      <c r="OPO7" s="225"/>
      <c r="OPP7" s="225"/>
      <c r="OPQ7" s="225"/>
      <c r="OPR7" s="225"/>
      <c r="OPS7" s="225"/>
      <c r="OPT7" s="225"/>
      <c r="OPU7" s="225"/>
      <c r="OPV7" s="225"/>
      <c r="OPW7" s="225"/>
      <c r="OPX7" s="225"/>
      <c r="OPY7" s="225"/>
      <c r="OPZ7" s="225"/>
      <c r="OQA7" s="225"/>
      <c r="OQB7" s="225"/>
      <c r="OQC7" s="225"/>
      <c r="OQD7" s="225"/>
      <c r="OQE7" s="225"/>
      <c r="OQF7" s="225"/>
      <c r="OQG7" s="225"/>
      <c r="OQH7" s="225"/>
      <c r="OQI7" s="225"/>
      <c r="OQJ7" s="225"/>
      <c r="OQK7" s="225"/>
      <c r="OQL7" s="225"/>
      <c r="OQM7" s="225"/>
      <c r="OQN7" s="225"/>
      <c r="OQO7" s="225"/>
      <c r="OQP7" s="225"/>
      <c r="OQQ7" s="225"/>
      <c r="OQR7" s="225"/>
      <c r="OQS7" s="225"/>
      <c r="OQT7" s="225"/>
      <c r="OQU7" s="225"/>
      <c r="OQV7" s="225"/>
      <c r="OQW7" s="225"/>
      <c r="OQX7" s="225"/>
      <c r="OQY7" s="225"/>
      <c r="OQZ7" s="225"/>
      <c r="ORA7" s="225"/>
      <c r="ORB7" s="225"/>
      <c r="ORC7" s="225"/>
      <c r="ORD7" s="225"/>
      <c r="ORE7" s="225"/>
      <c r="ORF7" s="225"/>
      <c r="ORG7" s="225"/>
      <c r="ORH7" s="225"/>
      <c r="ORI7" s="225"/>
      <c r="ORJ7" s="225"/>
      <c r="ORK7" s="225"/>
      <c r="ORL7" s="225"/>
      <c r="ORM7" s="225"/>
      <c r="ORN7" s="225"/>
      <c r="ORO7" s="225"/>
      <c r="ORP7" s="225"/>
      <c r="ORQ7" s="225"/>
      <c r="ORR7" s="225"/>
      <c r="ORS7" s="225"/>
      <c r="ORT7" s="225"/>
      <c r="ORU7" s="225"/>
      <c r="ORV7" s="225"/>
      <c r="ORW7" s="225"/>
      <c r="ORX7" s="225"/>
      <c r="ORY7" s="225"/>
      <c r="ORZ7" s="225"/>
      <c r="OSA7" s="225"/>
      <c r="OSB7" s="225"/>
      <c r="OSC7" s="225"/>
      <c r="OSD7" s="225"/>
      <c r="OSE7" s="225"/>
      <c r="OSF7" s="225"/>
      <c r="OSG7" s="225"/>
      <c r="OSH7" s="225"/>
      <c r="OSI7" s="225"/>
      <c r="OSJ7" s="225"/>
      <c r="OSK7" s="225"/>
      <c r="OSL7" s="225"/>
      <c r="OSM7" s="225"/>
      <c r="OSN7" s="225"/>
      <c r="OSO7" s="225"/>
      <c r="OSP7" s="225"/>
      <c r="OSQ7" s="225"/>
      <c r="OSR7" s="225"/>
      <c r="OSS7" s="225"/>
      <c r="OST7" s="225"/>
      <c r="OSU7" s="225"/>
      <c r="OSV7" s="225"/>
      <c r="OSW7" s="225"/>
      <c r="OSX7" s="225"/>
      <c r="OSY7" s="225"/>
      <c r="OSZ7" s="225"/>
      <c r="OTA7" s="225"/>
      <c r="OTB7" s="225"/>
      <c r="OTC7" s="225"/>
      <c r="OTD7" s="225"/>
      <c r="OTE7" s="225"/>
      <c r="OTF7" s="225"/>
      <c r="OTG7" s="225"/>
      <c r="OTH7" s="225"/>
      <c r="OTI7" s="225"/>
      <c r="OTJ7" s="225"/>
      <c r="OTK7" s="225"/>
      <c r="OTL7" s="225"/>
      <c r="OTM7" s="225"/>
      <c r="OTN7" s="225"/>
      <c r="OTO7" s="225"/>
      <c r="OTP7" s="225"/>
      <c r="OTQ7" s="225"/>
      <c r="OTR7" s="225"/>
      <c r="OTS7" s="225"/>
      <c r="OTT7" s="225"/>
      <c r="OTU7" s="225"/>
      <c r="OTV7" s="225"/>
      <c r="OTW7" s="225"/>
      <c r="OTX7" s="225"/>
      <c r="OTY7" s="225"/>
      <c r="OTZ7" s="225"/>
      <c r="OUA7" s="225"/>
      <c r="OUB7" s="225"/>
      <c r="OUC7" s="225"/>
      <c r="OUD7" s="225"/>
      <c r="OUE7" s="225"/>
      <c r="OUF7" s="225"/>
      <c r="OUG7" s="225"/>
      <c r="OUH7" s="225"/>
      <c r="OUI7" s="225"/>
      <c r="OUJ7" s="225"/>
      <c r="OUK7" s="225"/>
      <c r="OUL7" s="225"/>
      <c r="OUM7" s="225"/>
      <c r="OUN7" s="225"/>
      <c r="OUO7" s="225"/>
      <c r="OUP7" s="225"/>
      <c r="OUQ7" s="225"/>
      <c r="OUR7" s="225"/>
      <c r="OUS7" s="225"/>
      <c r="OUT7" s="225"/>
      <c r="OUU7" s="225"/>
      <c r="OUV7" s="225"/>
      <c r="OUW7" s="225"/>
      <c r="OUX7" s="225"/>
      <c r="OUY7" s="225"/>
      <c r="OUZ7" s="225"/>
      <c r="OVA7" s="225"/>
      <c r="OVB7" s="225"/>
      <c r="OVC7" s="225"/>
      <c r="OVD7" s="225"/>
      <c r="OVE7" s="225"/>
      <c r="OVF7" s="225"/>
      <c r="OVG7" s="225"/>
      <c r="OVH7" s="225"/>
      <c r="OVI7" s="225"/>
      <c r="OVJ7" s="225"/>
      <c r="OVK7" s="225"/>
      <c r="OVL7" s="225"/>
      <c r="OVM7" s="225"/>
      <c r="OVN7" s="225"/>
      <c r="OVO7" s="225"/>
      <c r="OVP7" s="225"/>
      <c r="OVQ7" s="225"/>
      <c r="OVR7" s="225"/>
      <c r="OVS7" s="225"/>
      <c r="OVT7" s="225"/>
      <c r="OVU7" s="225"/>
      <c r="OVV7" s="225"/>
      <c r="OVW7" s="225"/>
      <c r="OVX7" s="225"/>
      <c r="OVY7" s="225"/>
      <c r="OVZ7" s="225"/>
      <c r="OWA7" s="225"/>
      <c r="OWB7" s="225"/>
      <c r="OWC7" s="225"/>
      <c r="OWD7" s="225"/>
      <c r="OWE7" s="225"/>
      <c r="OWF7" s="225"/>
      <c r="OWG7" s="225"/>
      <c r="OWH7" s="225"/>
      <c r="OWI7" s="225"/>
      <c r="OWJ7" s="225"/>
      <c r="OWK7" s="225"/>
      <c r="OWL7" s="225"/>
      <c r="OWM7" s="225"/>
      <c r="OWN7" s="225"/>
      <c r="OWO7" s="225"/>
      <c r="OWP7" s="225"/>
      <c r="OWQ7" s="225"/>
      <c r="OWR7" s="225"/>
      <c r="OWS7" s="225"/>
      <c r="OWT7" s="225"/>
      <c r="OWU7" s="225"/>
      <c r="OWV7" s="225"/>
      <c r="OWW7" s="225"/>
      <c r="OWX7" s="225"/>
      <c r="OWY7" s="225"/>
      <c r="OWZ7" s="225"/>
      <c r="OXA7" s="225"/>
      <c r="OXB7" s="225"/>
      <c r="OXC7" s="225"/>
      <c r="OXD7" s="225"/>
      <c r="OXE7" s="225"/>
      <c r="OXF7" s="225"/>
      <c r="OXG7" s="225"/>
      <c r="OXH7" s="225"/>
      <c r="OXI7" s="225"/>
      <c r="OXJ7" s="225"/>
      <c r="OXK7" s="225"/>
      <c r="OXL7" s="225"/>
      <c r="OXM7" s="225"/>
      <c r="OXN7" s="225"/>
      <c r="OXO7" s="225"/>
      <c r="OXP7" s="225"/>
      <c r="OXQ7" s="225"/>
      <c r="OXR7" s="225"/>
      <c r="OXS7" s="225"/>
      <c r="OXT7" s="225"/>
      <c r="OXU7" s="225"/>
      <c r="OXV7" s="225"/>
      <c r="OXW7" s="225"/>
      <c r="OXX7" s="225"/>
      <c r="OXY7" s="225"/>
      <c r="OXZ7" s="225"/>
      <c r="OYA7" s="225"/>
      <c r="OYB7" s="225"/>
      <c r="OYC7" s="225"/>
      <c r="OYD7" s="225"/>
      <c r="OYE7" s="225"/>
      <c r="OYF7" s="225"/>
      <c r="OYG7" s="225"/>
      <c r="OYH7" s="225"/>
      <c r="OYI7" s="225"/>
      <c r="OYJ7" s="225"/>
      <c r="OYK7" s="225"/>
      <c r="OYL7" s="225"/>
      <c r="OYM7" s="225"/>
      <c r="OYN7" s="225"/>
      <c r="OYO7" s="225"/>
      <c r="OYP7" s="225"/>
      <c r="OYQ7" s="225"/>
      <c r="OYR7" s="225"/>
      <c r="OYS7" s="225"/>
      <c r="OYT7" s="225"/>
      <c r="OYU7" s="225"/>
      <c r="OYV7" s="225"/>
      <c r="OYW7" s="225"/>
      <c r="OYX7" s="225"/>
      <c r="OYY7" s="225"/>
      <c r="OYZ7" s="225"/>
      <c r="OZA7" s="225"/>
      <c r="OZB7" s="225"/>
      <c r="OZC7" s="225"/>
      <c r="OZD7" s="225"/>
      <c r="OZE7" s="225"/>
      <c r="OZF7" s="225"/>
      <c r="OZG7" s="225"/>
      <c r="OZH7" s="225"/>
      <c r="OZI7" s="225"/>
      <c r="OZJ7" s="225"/>
      <c r="OZK7" s="225"/>
      <c r="OZL7" s="225"/>
      <c r="OZM7" s="225"/>
      <c r="OZN7" s="225"/>
      <c r="OZO7" s="225"/>
      <c r="OZP7" s="225"/>
      <c r="OZQ7" s="225"/>
      <c r="OZR7" s="225"/>
      <c r="OZS7" s="225"/>
      <c r="OZT7" s="225"/>
      <c r="OZU7" s="225"/>
      <c r="OZV7" s="225"/>
      <c r="OZW7" s="225"/>
      <c r="OZX7" s="225"/>
      <c r="OZY7" s="225"/>
      <c r="OZZ7" s="225"/>
      <c r="PAA7" s="225"/>
      <c r="PAB7" s="225"/>
      <c r="PAC7" s="225"/>
      <c r="PAD7" s="225"/>
      <c r="PAE7" s="225"/>
      <c r="PAF7" s="225"/>
      <c r="PAG7" s="225"/>
      <c r="PAH7" s="225"/>
      <c r="PAI7" s="225"/>
      <c r="PAJ7" s="225"/>
      <c r="PAK7" s="225"/>
      <c r="PAL7" s="225"/>
      <c r="PAM7" s="225"/>
      <c r="PAN7" s="225"/>
      <c r="PAO7" s="225"/>
      <c r="PAP7" s="225"/>
      <c r="PAQ7" s="225"/>
      <c r="PAR7" s="225"/>
      <c r="PAS7" s="225"/>
      <c r="PAT7" s="225"/>
      <c r="PAU7" s="225"/>
      <c r="PAV7" s="225"/>
      <c r="PAW7" s="225"/>
      <c r="PAX7" s="225"/>
      <c r="PAY7" s="225"/>
      <c r="PAZ7" s="225"/>
      <c r="PBA7" s="225"/>
      <c r="PBB7" s="225"/>
      <c r="PBC7" s="225"/>
      <c r="PBD7" s="225"/>
      <c r="PBE7" s="225"/>
      <c r="PBF7" s="225"/>
      <c r="PBG7" s="225"/>
      <c r="PBH7" s="225"/>
      <c r="PBI7" s="225"/>
      <c r="PBJ7" s="225"/>
      <c r="PBK7" s="225"/>
      <c r="PBL7" s="225"/>
      <c r="PBM7" s="225"/>
      <c r="PBN7" s="225"/>
      <c r="PBO7" s="225"/>
      <c r="PBP7" s="225"/>
      <c r="PBQ7" s="225"/>
      <c r="PBR7" s="225"/>
      <c r="PBS7" s="225"/>
      <c r="PBT7" s="225"/>
      <c r="PBU7" s="225"/>
      <c r="PBV7" s="225"/>
      <c r="PBW7" s="225"/>
      <c r="PBX7" s="225"/>
      <c r="PBY7" s="225"/>
      <c r="PBZ7" s="225"/>
      <c r="PCA7" s="225"/>
      <c r="PCB7" s="225"/>
      <c r="PCC7" s="225"/>
      <c r="PCD7" s="225"/>
      <c r="PCE7" s="225"/>
      <c r="PCF7" s="225"/>
      <c r="PCG7" s="225"/>
      <c r="PCH7" s="225"/>
      <c r="PCI7" s="225"/>
      <c r="PCJ7" s="225"/>
      <c r="PCK7" s="225"/>
      <c r="PCL7" s="225"/>
      <c r="PCM7" s="225"/>
      <c r="PCN7" s="225"/>
      <c r="PCO7" s="225"/>
      <c r="PCP7" s="225"/>
      <c r="PCQ7" s="225"/>
      <c r="PCR7" s="225"/>
      <c r="PCS7" s="225"/>
      <c r="PCT7" s="225"/>
      <c r="PCU7" s="225"/>
      <c r="PCV7" s="225"/>
      <c r="PCW7" s="225"/>
      <c r="PCX7" s="225"/>
      <c r="PCY7" s="225"/>
      <c r="PCZ7" s="225"/>
      <c r="PDA7" s="225"/>
      <c r="PDB7" s="225"/>
      <c r="PDC7" s="225"/>
      <c r="PDD7" s="225"/>
      <c r="PDE7" s="225"/>
      <c r="PDF7" s="225"/>
      <c r="PDG7" s="225"/>
      <c r="PDH7" s="225"/>
      <c r="PDI7" s="225"/>
      <c r="PDJ7" s="225"/>
      <c r="PDK7" s="225"/>
      <c r="PDL7" s="225"/>
      <c r="PDM7" s="225"/>
      <c r="PDN7" s="225"/>
      <c r="PDO7" s="225"/>
      <c r="PDP7" s="225"/>
      <c r="PDQ7" s="225"/>
      <c r="PDR7" s="225"/>
      <c r="PDS7" s="225"/>
      <c r="PDT7" s="225"/>
      <c r="PDU7" s="225"/>
      <c r="PDV7" s="225"/>
      <c r="PDW7" s="225"/>
      <c r="PDX7" s="225"/>
      <c r="PDY7" s="225"/>
      <c r="PDZ7" s="225"/>
      <c r="PEA7" s="225"/>
      <c r="PEB7" s="225"/>
      <c r="PEC7" s="225"/>
      <c r="PED7" s="225"/>
      <c r="PEE7" s="225"/>
      <c r="PEF7" s="225"/>
      <c r="PEG7" s="225"/>
      <c r="PEH7" s="225"/>
      <c r="PEI7" s="225"/>
      <c r="PEJ7" s="225"/>
      <c r="PEK7" s="225"/>
      <c r="PEL7" s="225"/>
      <c r="PEM7" s="225"/>
      <c r="PEN7" s="225"/>
      <c r="PEO7" s="225"/>
      <c r="PEP7" s="225"/>
      <c r="PEQ7" s="225"/>
      <c r="PER7" s="225"/>
      <c r="PES7" s="225"/>
      <c r="PET7" s="225"/>
      <c r="PEU7" s="225"/>
      <c r="PEV7" s="225"/>
      <c r="PEW7" s="225"/>
      <c r="PEX7" s="225"/>
      <c r="PEY7" s="225"/>
      <c r="PEZ7" s="225"/>
      <c r="PFA7" s="225"/>
      <c r="PFB7" s="225"/>
      <c r="PFC7" s="225"/>
      <c r="PFD7" s="225"/>
      <c r="PFE7" s="225"/>
      <c r="PFF7" s="225"/>
      <c r="PFG7" s="225"/>
      <c r="PFH7" s="225"/>
      <c r="PFI7" s="225"/>
      <c r="PFJ7" s="225"/>
      <c r="PFK7" s="225"/>
      <c r="PFL7" s="225"/>
      <c r="PFM7" s="225"/>
      <c r="PFN7" s="225"/>
      <c r="PFO7" s="225"/>
      <c r="PFP7" s="225"/>
      <c r="PFQ7" s="225"/>
      <c r="PFR7" s="225"/>
      <c r="PFS7" s="225"/>
      <c r="PFT7" s="225"/>
      <c r="PFU7" s="225"/>
      <c r="PFV7" s="225"/>
      <c r="PFW7" s="225"/>
      <c r="PFX7" s="225"/>
      <c r="PFY7" s="225"/>
      <c r="PFZ7" s="225"/>
      <c r="PGA7" s="225"/>
      <c r="PGB7" s="225"/>
      <c r="PGC7" s="225"/>
      <c r="PGD7" s="225"/>
      <c r="PGE7" s="225"/>
      <c r="PGF7" s="225"/>
      <c r="PGG7" s="225"/>
      <c r="PGH7" s="225"/>
      <c r="PGI7" s="225"/>
      <c r="PGJ7" s="225"/>
      <c r="PGK7" s="225"/>
      <c r="PGL7" s="225"/>
      <c r="PGM7" s="225"/>
      <c r="PGN7" s="225"/>
      <c r="PGO7" s="225"/>
      <c r="PGP7" s="225"/>
      <c r="PGQ7" s="225"/>
      <c r="PGR7" s="225"/>
      <c r="PGS7" s="225"/>
      <c r="PGT7" s="225"/>
      <c r="PGU7" s="225"/>
      <c r="PGV7" s="225"/>
      <c r="PGW7" s="225"/>
      <c r="PGX7" s="225"/>
      <c r="PGY7" s="225"/>
      <c r="PGZ7" s="225"/>
      <c r="PHA7" s="225"/>
      <c r="PHB7" s="225"/>
      <c r="PHC7" s="225"/>
      <c r="PHD7" s="225"/>
      <c r="PHE7" s="225"/>
      <c r="PHF7" s="225"/>
      <c r="PHG7" s="225"/>
      <c r="PHH7" s="225"/>
      <c r="PHI7" s="225"/>
      <c r="PHJ7" s="225"/>
      <c r="PHK7" s="225"/>
      <c r="PHL7" s="225"/>
      <c r="PHM7" s="225"/>
      <c r="PHN7" s="225"/>
      <c r="PHO7" s="225"/>
      <c r="PHP7" s="225"/>
      <c r="PHQ7" s="225"/>
      <c r="PHR7" s="225"/>
      <c r="PHS7" s="225"/>
      <c r="PHT7" s="225"/>
      <c r="PHU7" s="225"/>
      <c r="PHV7" s="225"/>
      <c r="PHW7" s="225"/>
      <c r="PHX7" s="225"/>
      <c r="PHY7" s="225"/>
      <c r="PHZ7" s="225"/>
      <c r="PIA7" s="225"/>
      <c r="PIB7" s="225"/>
      <c r="PIC7" s="225"/>
      <c r="PID7" s="225"/>
      <c r="PIE7" s="225"/>
      <c r="PIF7" s="225"/>
      <c r="PIG7" s="225"/>
      <c r="PIH7" s="225"/>
      <c r="PII7" s="225"/>
      <c r="PIJ7" s="225"/>
      <c r="PIK7" s="225"/>
      <c r="PIL7" s="225"/>
      <c r="PIM7" s="225"/>
      <c r="PIN7" s="225"/>
      <c r="PIO7" s="225"/>
      <c r="PIP7" s="225"/>
      <c r="PIQ7" s="225"/>
      <c r="PIR7" s="225"/>
      <c r="PIS7" s="225"/>
      <c r="PIT7" s="225"/>
      <c r="PIU7" s="225"/>
      <c r="PIV7" s="225"/>
      <c r="PIW7" s="225"/>
      <c r="PIX7" s="225"/>
      <c r="PIY7" s="225"/>
      <c r="PIZ7" s="225"/>
      <c r="PJA7" s="225"/>
      <c r="PJB7" s="225"/>
      <c r="PJC7" s="225"/>
      <c r="PJD7" s="225"/>
      <c r="PJE7" s="225"/>
      <c r="PJF7" s="225"/>
      <c r="PJG7" s="225"/>
      <c r="PJH7" s="225"/>
      <c r="PJI7" s="225"/>
      <c r="PJJ7" s="225"/>
      <c r="PJK7" s="225"/>
      <c r="PJL7" s="225"/>
      <c r="PJM7" s="225"/>
      <c r="PJN7" s="225"/>
      <c r="PJO7" s="225"/>
      <c r="PJP7" s="225"/>
      <c r="PJQ7" s="225"/>
      <c r="PJR7" s="225"/>
      <c r="PJS7" s="225"/>
      <c r="PJT7" s="225"/>
      <c r="PJU7" s="225"/>
      <c r="PJV7" s="225"/>
      <c r="PJW7" s="225"/>
      <c r="PJX7" s="225"/>
      <c r="PJY7" s="225"/>
      <c r="PJZ7" s="225"/>
      <c r="PKA7" s="225"/>
      <c r="PKB7" s="225"/>
      <c r="PKC7" s="225"/>
      <c r="PKD7" s="225"/>
      <c r="PKE7" s="225"/>
      <c r="PKF7" s="225"/>
      <c r="PKG7" s="225"/>
      <c r="PKH7" s="225"/>
      <c r="PKI7" s="225"/>
      <c r="PKJ7" s="225"/>
      <c r="PKK7" s="225"/>
      <c r="PKL7" s="225"/>
      <c r="PKM7" s="225"/>
      <c r="PKN7" s="225"/>
      <c r="PKO7" s="225"/>
      <c r="PKP7" s="225"/>
      <c r="PKQ7" s="225"/>
      <c r="PKR7" s="225"/>
      <c r="PKS7" s="225"/>
      <c r="PKT7" s="225"/>
      <c r="PKU7" s="225"/>
      <c r="PKV7" s="225"/>
      <c r="PKW7" s="225"/>
      <c r="PKX7" s="225"/>
      <c r="PKY7" s="225"/>
      <c r="PKZ7" s="225"/>
      <c r="PLA7" s="225"/>
      <c r="PLB7" s="225"/>
      <c r="PLC7" s="225"/>
      <c r="PLD7" s="225"/>
      <c r="PLE7" s="225"/>
      <c r="PLF7" s="225"/>
      <c r="PLG7" s="225"/>
      <c r="PLH7" s="225"/>
      <c r="PLI7" s="225"/>
      <c r="PLJ7" s="225"/>
      <c r="PLK7" s="225"/>
      <c r="PLL7" s="225"/>
      <c r="PLM7" s="225"/>
      <c r="PLN7" s="225"/>
      <c r="PLO7" s="225"/>
      <c r="PLP7" s="225"/>
      <c r="PLQ7" s="225"/>
      <c r="PLR7" s="225"/>
      <c r="PLS7" s="225"/>
      <c r="PLT7" s="225"/>
      <c r="PLU7" s="225"/>
      <c r="PLV7" s="225"/>
      <c r="PLW7" s="225"/>
      <c r="PLX7" s="225"/>
      <c r="PLY7" s="225"/>
      <c r="PLZ7" s="225"/>
      <c r="PMA7" s="225"/>
      <c r="PMB7" s="225"/>
      <c r="PMC7" s="225"/>
      <c r="PMD7" s="225"/>
      <c r="PME7" s="225"/>
      <c r="PMF7" s="225"/>
      <c r="PMG7" s="225"/>
      <c r="PMH7" s="225"/>
      <c r="PMI7" s="225"/>
      <c r="PMJ7" s="225"/>
      <c r="PMK7" s="225"/>
      <c r="PML7" s="225"/>
      <c r="PMM7" s="225"/>
      <c r="PMN7" s="225"/>
      <c r="PMO7" s="225"/>
      <c r="PMP7" s="225"/>
      <c r="PMQ7" s="225"/>
      <c r="PMR7" s="225"/>
      <c r="PMS7" s="225"/>
      <c r="PMT7" s="225"/>
      <c r="PMU7" s="225"/>
      <c r="PMV7" s="225"/>
      <c r="PMW7" s="225"/>
      <c r="PMX7" s="225"/>
      <c r="PMY7" s="225"/>
      <c r="PMZ7" s="225"/>
      <c r="PNA7" s="225"/>
      <c r="PNB7" s="225"/>
      <c r="PNC7" s="225"/>
      <c r="PND7" s="225"/>
      <c r="PNE7" s="225"/>
      <c r="PNF7" s="225"/>
      <c r="PNG7" s="225"/>
      <c r="PNH7" s="225"/>
      <c r="PNI7" s="225"/>
      <c r="PNJ7" s="225"/>
      <c r="PNK7" s="225"/>
      <c r="PNL7" s="225"/>
      <c r="PNM7" s="225"/>
      <c r="PNN7" s="225"/>
      <c r="PNO7" s="225"/>
      <c r="PNP7" s="225"/>
      <c r="PNQ7" s="225"/>
      <c r="PNR7" s="225"/>
      <c r="PNS7" s="225"/>
      <c r="PNT7" s="225"/>
      <c r="PNU7" s="225"/>
      <c r="PNV7" s="225"/>
      <c r="PNW7" s="225"/>
      <c r="PNX7" s="225"/>
      <c r="PNY7" s="225"/>
      <c r="PNZ7" s="225"/>
      <c r="POA7" s="225"/>
      <c r="POB7" s="225"/>
      <c r="POC7" s="225"/>
      <c r="POD7" s="225"/>
      <c r="POE7" s="225"/>
      <c r="POF7" s="225"/>
      <c r="POG7" s="225"/>
      <c r="POH7" s="225"/>
      <c r="POI7" s="225"/>
      <c r="POJ7" s="225"/>
      <c r="POK7" s="225"/>
      <c r="POL7" s="225"/>
      <c r="POM7" s="225"/>
      <c r="PON7" s="225"/>
      <c r="POO7" s="225"/>
      <c r="POP7" s="225"/>
      <c r="POQ7" s="225"/>
      <c r="POR7" s="225"/>
      <c r="POS7" s="225"/>
      <c r="POT7" s="225"/>
      <c r="POU7" s="225"/>
      <c r="POV7" s="225"/>
      <c r="POW7" s="225"/>
      <c r="POX7" s="225"/>
      <c r="POY7" s="225"/>
      <c r="POZ7" s="225"/>
      <c r="PPA7" s="225"/>
      <c r="PPB7" s="225"/>
      <c r="PPC7" s="225"/>
      <c r="PPD7" s="225"/>
      <c r="PPE7" s="225"/>
      <c r="PPF7" s="225"/>
      <c r="PPG7" s="225"/>
      <c r="PPH7" s="225"/>
      <c r="PPI7" s="225"/>
      <c r="PPJ7" s="225"/>
      <c r="PPK7" s="225"/>
      <c r="PPL7" s="225"/>
      <c r="PPM7" s="225"/>
      <c r="PPN7" s="225"/>
      <c r="PPO7" s="225"/>
      <c r="PPP7" s="225"/>
      <c r="PPQ7" s="225"/>
      <c r="PPR7" s="225"/>
      <c r="PPS7" s="225"/>
      <c r="PPT7" s="225"/>
      <c r="PPU7" s="225"/>
      <c r="PPV7" s="225"/>
      <c r="PPW7" s="225"/>
      <c r="PPX7" s="225"/>
      <c r="PPY7" s="225"/>
      <c r="PPZ7" s="225"/>
      <c r="PQA7" s="225"/>
      <c r="PQB7" s="225"/>
      <c r="PQC7" s="225"/>
      <c r="PQD7" s="225"/>
      <c r="PQE7" s="225"/>
      <c r="PQF7" s="225"/>
      <c r="PQG7" s="225"/>
      <c r="PQH7" s="225"/>
      <c r="PQI7" s="225"/>
      <c r="PQJ7" s="225"/>
      <c r="PQK7" s="225"/>
      <c r="PQL7" s="225"/>
      <c r="PQM7" s="225"/>
      <c r="PQN7" s="225"/>
      <c r="PQO7" s="225"/>
      <c r="PQP7" s="225"/>
      <c r="PQQ7" s="225"/>
      <c r="PQR7" s="225"/>
      <c r="PQS7" s="225"/>
      <c r="PQT7" s="225"/>
      <c r="PQU7" s="225"/>
      <c r="PQV7" s="225"/>
      <c r="PQW7" s="225"/>
      <c r="PQX7" s="225"/>
      <c r="PQY7" s="225"/>
      <c r="PQZ7" s="225"/>
      <c r="PRA7" s="225"/>
      <c r="PRB7" s="225"/>
      <c r="PRC7" s="225"/>
      <c r="PRD7" s="225"/>
      <c r="PRE7" s="225"/>
      <c r="PRF7" s="225"/>
      <c r="PRG7" s="225"/>
      <c r="PRH7" s="225"/>
      <c r="PRI7" s="225"/>
      <c r="PRJ7" s="225"/>
      <c r="PRK7" s="225"/>
      <c r="PRL7" s="225"/>
      <c r="PRM7" s="225"/>
      <c r="PRN7" s="225"/>
      <c r="PRO7" s="225"/>
      <c r="PRP7" s="225"/>
      <c r="PRQ7" s="225"/>
      <c r="PRR7" s="225"/>
      <c r="PRS7" s="225"/>
      <c r="PRT7" s="225"/>
      <c r="PRU7" s="225"/>
      <c r="PRV7" s="225"/>
      <c r="PRW7" s="225"/>
      <c r="PRX7" s="225"/>
      <c r="PRY7" s="225"/>
      <c r="PRZ7" s="225"/>
      <c r="PSA7" s="225"/>
      <c r="PSB7" s="225"/>
      <c r="PSC7" s="225"/>
      <c r="PSD7" s="225"/>
      <c r="PSE7" s="225"/>
      <c r="PSF7" s="225"/>
      <c r="PSG7" s="225"/>
      <c r="PSH7" s="225"/>
      <c r="PSI7" s="225"/>
      <c r="PSJ7" s="225"/>
      <c r="PSK7" s="225"/>
      <c r="PSL7" s="225"/>
      <c r="PSM7" s="225"/>
      <c r="PSN7" s="225"/>
      <c r="PSO7" s="225"/>
      <c r="PSP7" s="225"/>
      <c r="PSQ7" s="225"/>
      <c r="PSR7" s="225"/>
      <c r="PSS7" s="225"/>
      <c r="PST7" s="225"/>
      <c r="PSU7" s="225"/>
      <c r="PSV7" s="225"/>
      <c r="PSW7" s="225"/>
      <c r="PSX7" s="225"/>
      <c r="PSY7" s="225"/>
      <c r="PSZ7" s="225"/>
      <c r="PTA7" s="225"/>
      <c r="PTB7" s="225"/>
      <c r="PTC7" s="225"/>
      <c r="PTD7" s="225"/>
      <c r="PTE7" s="225"/>
      <c r="PTF7" s="225"/>
      <c r="PTG7" s="225"/>
      <c r="PTH7" s="225"/>
      <c r="PTI7" s="225"/>
      <c r="PTJ7" s="225"/>
      <c r="PTK7" s="225"/>
      <c r="PTL7" s="225"/>
      <c r="PTM7" s="225"/>
      <c r="PTN7" s="225"/>
      <c r="PTO7" s="225"/>
      <c r="PTP7" s="225"/>
      <c r="PTQ7" s="225"/>
      <c r="PTR7" s="225"/>
      <c r="PTS7" s="225"/>
      <c r="PTT7" s="225"/>
      <c r="PTU7" s="225"/>
      <c r="PTV7" s="225"/>
      <c r="PTW7" s="225"/>
      <c r="PTX7" s="225"/>
      <c r="PTY7" s="225"/>
      <c r="PTZ7" s="225"/>
      <c r="PUA7" s="225"/>
      <c r="PUB7" s="225"/>
      <c r="PUC7" s="225"/>
      <c r="PUD7" s="225"/>
      <c r="PUE7" s="225"/>
      <c r="PUF7" s="225"/>
      <c r="PUG7" s="225"/>
      <c r="PUH7" s="225"/>
      <c r="PUI7" s="225"/>
      <c r="PUJ7" s="225"/>
      <c r="PUK7" s="225"/>
      <c r="PUL7" s="225"/>
      <c r="PUM7" s="225"/>
      <c r="PUN7" s="225"/>
      <c r="PUO7" s="225"/>
      <c r="PUP7" s="225"/>
      <c r="PUQ7" s="225"/>
      <c r="PUR7" s="225"/>
      <c r="PUS7" s="225"/>
      <c r="PUT7" s="225"/>
      <c r="PUU7" s="225"/>
      <c r="PUV7" s="225"/>
      <c r="PUW7" s="225"/>
      <c r="PUX7" s="225"/>
      <c r="PUY7" s="225"/>
      <c r="PUZ7" s="225"/>
      <c r="PVA7" s="225"/>
      <c r="PVB7" s="225"/>
      <c r="PVC7" s="225"/>
      <c r="PVD7" s="225"/>
      <c r="PVE7" s="225"/>
      <c r="PVF7" s="225"/>
      <c r="PVG7" s="225"/>
      <c r="PVH7" s="225"/>
      <c r="PVI7" s="225"/>
      <c r="PVJ7" s="225"/>
      <c r="PVK7" s="225"/>
      <c r="PVL7" s="225"/>
      <c r="PVM7" s="225"/>
      <c r="PVN7" s="225"/>
      <c r="PVO7" s="225"/>
      <c r="PVP7" s="225"/>
      <c r="PVQ7" s="225"/>
      <c r="PVR7" s="225"/>
      <c r="PVS7" s="225"/>
      <c r="PVT7" s="225"/>
      <c r="PVU7" s="225"/>
      <c r="PVV7" s="225"/>
      <c r="PVW7" s="225"/>
      <c r="PVX7" s="225"/>
      <c r="PVY7" s="225"/>
      <c r="PVZ7" s="225"/>
      <c r="PWA7" s="225"/>
      <c r="PWB7" s="225"/>
      <c r="PWC7" s="225"/>
      <c r="PWD7" s="225"/>
      <c r="PWE7" s="225"/>
      <c r="PWF7" s="225"/>
      <c r="PWG7" s="225"/>
      <c r="PWH7" s="225"/>
      <c r="PWI7" s="225"/>
      <c r="PWJ7" s="225"/>
      <c r="PWK7" s="225"/>
      <c r="PWL7" s="225"/>
      <c r="PWM7" s="225"/>
      <c r="PWN7" s="225"/>
      <c r="PWO7" s="225"/>
      <c r="PWP7" s="225"/>
      <c r="PWQ7" s="225"/>
      <c r="PWR7" s="225"/>
      <c r="PWS7" s="225"/>
      <c r="PWT7" s="225"/>
      <c r="PWU7" s="225"/>
      <c r="PWV7" s="225"/>
      <c r="PWW7" s="225"/>
      <c r="PWX7" s="225"/>
      <c r="PWY7" s="225"/>
      <c r="PWZ7" s="225"/>
      <c r="PXA7" s="225"/>
      <c r="PXB7" s="225"/>
      <c r="PXC7" s="225"/>
      <c r="PXD7" s="225"/>
      <c r="PXE7" s="225"/>
      <c r="PXF7" s="225"/>
      <c r="PXG7" s="225"/>
      <c r="PXH7" s="225"/>
      <c r="PXI7" s="225"/>
      <c r="PXJ7" s="225"/>
      <c r="PXK7" s="225"/>
      <c r="PXL7" s="225"/>
      <c r="PXM7" s="225"/>
      <c r="PXN7" s="225"/>
      <c r="PXO7" s="225"/>
      <c r="PXP7" s="225"/>
      <c r="PXQ7" s="225"/>
      <c r="PXR7" s="225"/>
      <c r="PXS7" s="225"/>
      <c r="PXT7" s="225"/>
      <c r="PXU7" s="225"/>
      <c r="PXV7" s="225"/>
      <c r="PXW7" s="225"/>
      <c r="PXX7" s="225"/>
      <c r="PXY7" s="225"/>
      <c r="PXZ7" s="225"/>
      <c r="PYA7" s="225"/>
      <c r="PYB7" s="225"/>
      <c r="PYC7" s="225"/>
      <c r="PYD7" s="225"/>
      <c r="PYE7" s="225"/>
      <c r="PYF7" s="225"/>
      <c r="PYG7" s="225"/>
      <c r="PYH7" s="225"/>
      <c r="PYI7" s="225"/>
      <c r="PYJ7" s="225"/>
      <c r="PYK7" s="225"/>
      <c r="PYL7" s="225"/>
      <c r="PYM7" s="225"/>
      <c r="PYN7" s="225"/>
      <c r="PYO7" s="225"/>
      <c r="PYP7" s="225"/>
      <c r="PYQ7" s="225"/>
      <c r="PYR7" s="225"/>
      <c r="PYS7" s="225"/>
      <c r="PYT7" s="225"/>
      <c r="PYU7" s="225"/>
      <c r="PYV7" s="225"/>
      <c r="PYW7" s="225"/>
      <c r="PYX7" s="225"/>
      <c r="PYY7" s="225"/>
      <c r="PYZ7" s="225"/>
      <c r="PZA7" s="225"/>
      <c r="PZB7" s="225"/>
      <c r="PZC7" s="225"/>
      <c r="PZD7" s="225"/>
      <c r="PZE7" s="225"/>
      <c r="PZF7" s="225"/>
      <c r="PZG7" s="225"/>
      <c r="PZH7" s="225"/>
      <c r="PZI7" s="225"/>
      <c r="PZJ7" s="225"/>
      <c r="PZK7" s="225"/>
      <c r="PZL7" s="225"/>
      <c r="PZM7" s="225"/>
      <c r="PZN7" s="225"/>
      <c r="PZO7" s="225"/>
      <c r="PZP7" s="225"/>
      <c r="PZQ7" s="225"/>
      <c r="PZR7" s="225"/>
      <c r="PZS7" s="225"/>
      <c r="PZT7" s="225"/>
      <c r="PZU7" s="225"/>
      <c r="PZV7" s="225"/>
      <c r="PZW7" s="225"/>
      <c r="PZX7" s="225"/>
      <c r="PZY7" s="225"/>
      <c r="PZZ7" s="225"/>
      <c r="QAA7" s="225"/>
      <c r="QAB7" s="225"/>
      <c r="QAC7" s="225"/>
      <c r="QAD7" s="225"/>
      <c r="QAE7" s="225"/>
      <c r="QAF7" s="225"/>
      <c r="QAG7" s="225"/>
      <c r="QAH7" s="225"/>
      <c r="QAI7" s="225"/>
      <c r="QAJ7" s="225"/>
      <c r="QAK7" s="225"/>
      <c r="QAL7" s="225"/>
      <c r="QAM7" s="225"/>
      <c r="QAN7" s="225"/>
      <c r="QAO7" s="225"/>
      <c r="QAP7" s="225"/>
      <c r="QAQ7" s="225"/>
      <c r="QAR7" s="225"/>
      <c r="QAS7" s="225"/>
      <c r="QAT7" s="225"/>
      <c r="QAU7" s="225"/>
      <c r="QAV7" s="225"/>
      <c r="QAW7" s="225"/>
      <c r="QAX7" s="225"/>
      <c r="QAY7" s="225"/>
      <c r="QAZ7" s="225"/>
      <c r="QBA7" s="225"/>
      <c r="QBB7" s="225"/>
      <c r="QBC7" s="225"/>
      <c r="QBD7" s="225"/>
      <c r="QBE7" s="225"/>
      <c r="QBF7" s="225"/>
      <c r="QBG7" s="225"/>
      <c r="QBH7" s="225"/>
      <c r="QBI7" s="225"/>
      <c r="QBJ7" s="225"/>
      <c r="QBK7" s="225"/>
      <c r="QBL7" s="225"/>
      <c r="QBM7" s="225"/>
      <c r="QBN7" s="225"/>
      <c r="QBO7" s="225"/>
      <c r="QBP7" s="225"/>
      <c r="QBQ7" s="225"/>
      <c r="QBR7" s="225"/>
      <c r="QBS7" s="225"/>
      <c r="QBT7" s="225"/>
      <c r="QBU7" s="225"/>
      <c r="QBV7" s="225"/>
      <c r="QBW7" s="225"/>
      <c r="QBX7" s="225"/>
      <c r="QBY7" s="225"/>
      <c r="QBZ7" s="225"/>
      <c r="QCA7" s="225"/>
      <c r="QCB7" s="225"/>
      <c r="QCC7" s="225"/>
      <c r="QCD7" s="225"/>
      <c r="QCE7" s="225"/>
      <c r="QCF7" s="225"/>
      <c r="QCG7" s="225"/>
      <c r="QCH7" s="225"/>
      <c r="QCI7" s="225"/>
      <c r="QCJ7" s="225"/>
      <c r="QCK7" s="225"/>
      <c r="QCL7" s="225"/>
      <c r="QCM7" s="225"/>
      <c r="QCN7" s="225"/>
      <c r="QCO7" s="225"/>
      <c r="QCP7" s="225"/>
      <c r="QCQ7" s="225"/>
      <c r="QCR7" s="225"/>
      <c r="QCS7" s="225"/>
      <c r="QCT7" s="225"/>
      <c r="QCU7" s="225"/>
      <c r="QCV7" s="225"/>
      <c r="QCW7" s="225"/>
      <c r="QCX7" s="225"/>
      <c r="QCY7" s="225"/>
      <c r="QCZ7" s="225"/>
      <c r="QDA7" s="225"/>
      <c r="QDB7" s="225"/>
      <c r="QDC7" s="225"/>
      <c r="QDD7" s="225"/>
      <c r="QDE7" s="225"/>
      <c r="QDF7" s="225"/>
      <c r="QDG7" s="225"/>
      <c r="QDH7" s="225"/>
      <c r="QDI7" s="225"/>
      <c r="QDJ7" s="225"/>
      <c r="QDK7" s="225"/>
      <c r="QDL7" s="225"/>
      <c r="QDM7" s="225"/>
      <c r="QDN7" s="225"/>
      <c r="QDO7" s="225"/>
      <c r="QDP7" s="225"/>
      <c r="QDQ7" s="225"/>
      <c r="QDR7" s="225"/>
      <c r="QDS7" s="225"/>
      <c r="QDT7" s="225"/>
      <c r="QDU7" s="225"/>
      <c r="QDV7" s="225"/>
      <c r="QDW7" s="225"/>
      <c r="QDX7" s="225"/>
      <c r="QDY7" s="225"/>
      <c r="QDZ7" s="225"/>
      <c r="QEA7" s="225"/>
      <c r="QEB7" s="225"/>
      <c r="QEC7" s="225"/>
      <c r="QED7" s="225"/>
      <c r="QEE7" s="225"/>
      <c r="QEF7" s="225"/>
      <c r="QEG7" s="225"/>
      <c r="QEH7" s="225"/>
      <c r="QEI7" s="225"/>
      <c r="QEJ7" s="225"/>
      <c r="QEK7" s="225"/>
      <c r="QEL7" s="225"/>
      <c r="QEM7" s="225"/>
      <c r="QEN7" s="225"/>
      <c r="QEO7" s="225"/>
      <c r="QEP7" s="225"/>
      <c r="QEQ7" s="225"/>
      <c r="QER7" s="225"/>
      <c r="QES7" s="225"/>
      <c r="QET7" s="225"/>
      <c r="QEU7" s="225"/>
      <c r="QEV7" s="225"/>
      <c r="QEW7" s="225"/>
      <c r="QEX7" s="225"/>
      <c r="QEY7" s="225"/>
      <c r="QEZ7" s="225"/>
      <c r="QFA7" s="225"/>
      <c r="QFB7" s="225"/>
      <c r="QFC7" s="225"/>
      <c r="QFD7" s="225"/>
      <c r="QFE7" s="225"/>
      <c r="QFF7" s="225"/>
      <c r="QFG7" s="225"/>
      <c r="QFH7" s="225"/>
      <c r="QFI7" s="225"/>
      <c r="QFJ7" s="225"/>
      <c r="QFK7" s="225"/>
      <c r="QFL7" s="225"/>
      <c r="QFM7" s="225"/>
      <c r="QFN7" s="225"/>
      <c r="QFO7" s="225"/>
      <c r="QFP7" s="225"/>
      <c r="QFQ7" s="225"/>
      <c r="QFR7" s="225"/>
      <c r="QFS7" s="225"/>
      <c r="QFT7" s="225"/>
      <c r="QFU7" s="225"/>
      <c r="QFV7" s="225"/>
      <c r="QFW7" s="225"/>
      <c r="QFX7" s="225"/>
      <c r="QFY7" s="225"/>
      <c r="QFZ7" s="225"/>
      <c r="QGA7" s="225"/>
      <c r="QGB7" s="225"/>
      <c r="QGC7" s="225"/>
      <c r="QGD7" s="225"/>
      <c r="QGE7" s="225"/>
      <c r="QGF7" s="225"/>
      <c r="QGG7" s="225"/>
      <c r="QGH7" s="225"/>
      <c r="QGI7" s="225"/>
      <c r="QGJ7" s="225"/>
      <c r="QGK7" s="225"/>
      <c r="QGL7" s="225"/>
      <c r="QGM7" s="225"/>
      <c r="QGN7" s="225"/>
      <c r="QGO7" s="225"/>
      <c r="QGP7" s="225"/>
      <c r="QGQ7" s="225"/>
      <c r="QGR7" s="225"/>
      <c r="QGS7" s="225"/>
      <c r="QGT7" s="225"/>
      <c r="QGU7" s="225"/>
      <c r="QGV7" s="225"/>
      <c r="QGW7" s="225"/>
      <c r="QGX7" s="225"/>
      <c r="QGY7" s="225"/>
      <c r="QGZ7" s="225"/>
      <c r="QHA7" s="225"/>
      <c r="QHB7" s="225"/>
      <c r="QHC7" s="225"/>
      <c r="QHD7" s="225"/>
      <c r="QHE7" s="225"/>
      <c r="QHF7" s="225"/>
      <c r="QHG7" s="225"/>
      <c r="QHH7" s="225"/>
      <c r="QHI7" s="225"/>
      <c r="QHJ7" s="225"/>
      <c r="QHK7" s="225"/>
      <c r="QHL7" s="225"/>
      <c r="QHM7" s="225"/>
      <c r="QHN7" s="225"/>
      <c r="QHO7" s="225"/>
      <c r="QHP7" s="225"/>
      <c r="QHQ7" s="225"/>
      <c r="QHR7" s="225"/>
      <c r="QHS7" s="225"/>
      <c r="QHT7" s="225"/>
      <c r="QHU7" s="225"/>
      <c r="QHV7" s="225"/>
      <c r="QHW7" s="225"/>
      <c r="QHX7" s="225"/>
      <c r="QHY7" s="225"/>
      <c r="QHZ7" s="225"/>
      <c r="QIA7" s="225"/>
      <c r="QIB7" s="225"/>
      <c r="QIC7" s="225"/>
      <c r="QID7" s="225"/>
      <c r="QIE7" s="225"/>
      <c r="QIF7" s="225"/>
      <c r="QIG7" s="225"/>
      <c r="QIH7" s="225"/>
      <c r="QII7" s="225"/>
      <c r="QIJ7" s="225"/>
      <c r="QIK7" s="225"/>
      <c r="QIL7" s="225"/>
      <c r="QIM7" s="225"/>
      <c r="QIN7" s="225"/>
      <c r="QIO7" s="225"/>
      <c r="QIP7" s="225"/>
      <c r="QIQ7" s="225"/>
      <c r="QIR7" s="225"/>
      <c r="QIS7" s="225"/>
      <c r="QIT7" s="225"/>
      <c r="QIU7" s="225"/>
      <c r="QIV7" s="225"/>
      <c r="QIW7" s="225"/>
      <c r="QIX7" s="225"/>
      <c r="QIY7" s="225"/>
      <c r="QIZ7" s="225"/>
      <c r="QJA7" s="225"/>
      <c r="QJB7" s="225"/>
      <c r="QJC7" s="225"/>
      <c r="QJD7" s="225"/>
      <c r="QJE7" s="225"/>
      <c r="QJF7" s="225"/>
      <c r="QJG7" s="225"/>
      <c r="QJH7" s="225"/>
      <c r="QJI7" s="225"/>
      <c r="QJJ7" s="225"/>
      <c r="QJK7" s="225"/>
      <c r="QJL7" s="225"/>
      <c r="QJM7" s="225"/>
      <c r="QJN7" s="225"/>
      <c r="QJO7" s="225"/>
      <c r="QJP7" s="225"/>
      <c r="QJQ7" s="225"/>
      <c r="QJR7" s="225"/>
      <c r="QJS7" s="225"/>
      <c r="QJT7" s="225"/>
      <c r="QJU7" s="225"/>
      <c r="QJV7" s="225"/>
      <c r="QJW7" s="225"/>
      <c r="QJX7" s="225"/>
      <c r="QJY7" s="225"/>
      <c r="QJZ7" s="225"/>
      <c r="QKA7" s="225"/>
      <c r="QKB7" s="225"/>
      <c r="QKC7" s="225"/>
      <c r="QKD7" s="225"/>
      <c r="QKE7" s="225"/>
      <c r="QKF7" s="225"/>
      <c r="QKG7" s="225"/>
      <c r="QKH7" s="225"/>
      <c r="QKI7" s="225"/>
      <c r="QKJ7" s="225"/>
      <c r="QKK7" s="225"/>
      <c r="QKL7" s="225"/>
      <c r="QKM7" s="225"/>
      <c r="QKN7" s="225"/>
      <c r="QKO7" s="225"/>
      <c r="QKP7" s="225"/>
      <c r="QKQ7" s="225"/>
      <c r="QKR7" s="225"/>
      <c r="QKS7" s="225"/>
      <c r="QKT7" s="225"/>
      <c r="QKU7" s="225"/>
      <c r="QKV7" s="225"/>
      <c r="QKW7" s="225"/>
      <c r="QKX7" s="225"/>
      <c r="QKY7" s="225"/>
      <c r="QKZ7" s="225"/>
      <c r="QLA7" s="225"/>
      <c r="QLB7" s="225"/>
      <c r="QLC7" s="225"/>
      <c r="QLD7" s="225"/>
      <c r="QLE7" s="225"/>
      <c r="QLF7" s="225"/>
      <c r="QLG7" s="225"/>
      <c r="QLH7" s="225"/>
      <c r="QLI7" s="225"/>
      <c r="QLJ7" s="225"/>
      <c r="QLK7" s="225"/>
      <c r="QLL7" s="225"/>
      <c r="QLM7" s="225"/>
      <c r="QLN7" s="225"/>
      <c r="QLO7" s="225"/>
      <c r="QLP7" s="225"/>
      <c r="QLQ7" s="225"/>
      <c r="QLR7" s="225"/>
      <c r="QLS7" s="225"/>
      <c r="QLT7" s="225"/>
      <c r="QLU7" s="225"/>
      <c r="QLV7" s="225"/>
      <c r="QLW7" s="225"/>
      <c r="QLX7" s="225"/>
      <c r="QLY7" s="225"/>
      <c r="QLZ7" s="225"/>
      <c r="QMA7" s="225"/>
      <c r="QMB7" s="225"/>
      <c r="QMC7" s="225"/>
      <c r="QMD7" s="225"/>
      <c r="QME7" s="225"/>
      <c r="QMF7" s="225"/>
      <c r="QMG7" s="225"/>
      <c r="QMH7" s="225"/>
      <c r="QMI7" s="225"/>
      <c r="QMJ7" s="225"/>
      <c r="QMK7" s="225"/>
      <c r="QML7" s="225"/>
      <c r="QMM7" s="225"/>
      <c r="QMN7" s="225"/>
      <c r="QMO7" s="225"/>
      <c r="QMP7" s="225"/>
      <c r="QMQ7" s="225"/>
      <c r="QMR7" s="225"/>
      <c r="QMS7" s="225"/>
      <c r="QMT7" s="225"/>
      <c r="QMU7" s="225"/>
      <c r="QMV7" s="225"/>
      <c r="QMW7" s="225"/>
      <c r="QMX7" s="225"/>
      <c r="QMY7" s="225"/>
      <c r="QMZ7" s="225"/>
      <c r="QNA7" s="225"/>
      <c r="QNB7" s="225"/>
      <c r="QNC7" s="225"/>
      <c r="QND7" s="225"/>
      <c r="QNE7" s="225"/>
      <c r="QNF7" s="225"/>
      <c r="QNG7" s="225"/>
      <c r="QNH7" s="225"/>
      <c r="QNI7" s="225"/>
      <c r="QNJ7" s="225"/>
      <c r="QNK7" s="225"/>
      <c r="QNL7" s="225"/>
      <c r="QNM7" s="225"/>
      <c r="QNN7" s="225"/>
      <c r="QNO7" s="225"/>
      <c r="QNP7" s="225"/>
      <c r="QNQ7" s="225"/>
      <c r="QNR7" s="225"/>
      <c r="QNS7" s="225"/>
      <c r="QNT7" s="225"/>
      <c r="QNU7" s="225"/>
      <c r="QNV7" s="225"/>
      <c r="QNW7" s="225"/>
      <c r="QNX7" s="225"/>
      <c r="QNY7" s="225"/>
      <c r="QNZ7" s="225"/>
      <c r="QOA7" s="225"/>
      <c r="QOB7" s="225"/>
      <c r="QOC7" s="225"/>
      <c r="QOD7" s="225"/>
      <c r="QOE7" s="225"/>
      <c r="QOF7" s="225"/>
      <c r="QOG7" s="225"/>
      <c r="QOH7" s="225"/>
      <c r="QOI7" s="225"/>
      <c r="QOJ7" s="225"/>
      <c r="QOK7" s="225"/>
      <c r="QOL7" s="225"/>
      <c r="QOM7" s="225"/>
      <c r="QON7" s="225"/>
      <c r="QOO7" s="225"/>
      <c r="QOP7" s="225"/>
      <c r="QOQ7" s="225"/>
      <c r="QOR7" s="225"/>
      <c r="QOS7" s="225"/>
      <c r="QOT7" s="225"/>
      <c r="QOU7" s="225"/>
      <c r="QOV7" s="225"/>
      <c r="QOW7" s="225"/>
      <c r="QOX7" s="225"/>
      <c r="QOY7" s="225"/>
      <c r="QOZ7" s="225"/>
      <c r="QPA7" s="225"/>
      <c r="QPB7" s="225"/>
      <c r="QPC7" s="225"/>
      <c r="QPD7" s="225"/>
      <c r="QPE7" s="225"/>
      <c r="QPF7" s="225"/>
      <c r="QPG7" s="225"/>
      <c r="QPH7" s="225"/>
      <c r="QPI7" s="225"/>
      <c r="QPJ7" s="225"/>
      <c r="QPK7" s="225"/>
      <c r="QPL7" s="225"/>
      <c r="QPM7" s="225"/>
      <c r="QPN7" s="225"/>
      <c r="QPO7" s="225"/>
      <c r="QPP7" s="225"/>
      <c r="QPQ7" s="225"/>
      <c r="QPR7" s="225"/>
      <c r="QPS7" s="225"/>
      <c r="QPT7" s="225"/>
      <c r="QPU7" s="225"/>
      <c r="QPV7" s="225"/>
      <c r="QPW7" s="225"/>
      <c r="QPX7" s="225"/>
      <c r="QPY7" s="225"/>
      <c r="QPZ7" s="225"/>
      <c r="QQA7" s="225"/>
      <c r="QQB7" s="225"/>
      <c r="QQC7" s="225"/>
      <c r="QQD7" s="225"/>
      <c r="QQE7" s="225"/>
      <c r="QQF7" s="225"/>
      <c r="QQG7" s="225"/>
      <c r="QQH7" s="225"/>
      <c r="QQI7" s="225"/>
      <c r="QQJ7" s="225"/>
      <c r="QQK7" s="225"/>
      <c r="QQL7" s="225"/>
      <c r="QQM7" s="225"/>
      <c r="QQN7" s="225"/>
      <c r="QQO7" s="225"/>
      <c r="QQP7" s="225"/>
      <c r="QQQ7" s="225"/>
      <c r="QQR7" s="225"/>
      <c r="QQS7" s="225"/>
      <c r="QQT7" s="225"/>
      <c r="QQU7" s="225"/>
      <c r="QQV7" s="225"/>
      <c r="QQW7" s="225"/>
      <c r="QQX7" s="225"/>
      <c r="QQY7" s="225"/>
      <c r="QQZ7" s="225"/>
      <c r="QRA7" s="225"/>
      <c r="QRB7" s="225"/>
      <c r="QRC7" s="225"/>
      <c r="QRD7" s="225"/>
      <c r="QRE7" s="225"/>
      <c r="QRF7" s="225"/>
      <c r="QRG7" s="225"/>
      <c r="QRH7" s="225"/>
      <c r="QRI7" s="225"/>
      <c r="QRJ7" s="225"/>
      <c r="QRK7" s="225"/>
      <c r="QRL7" s="225"/>
      <c r="QRM7" s="225"/>
      <c r="QRN7" s="225"/>
      <c r="QRO7" s="225"/>
      <c r="QRP7" s="225"/>
      <c r="QRQ7" s="225"/>
      <c r="QRR7" s="225"/>
      <c r="QRS7" s="225"/>
      <c r="QRT7" s="225"/>
      <c r="QRU7" s="225"/>
      <c r="QRV7" s="225"/>
      <c r="QRW7" s="225"/>
      <c r="QRX7" s="225"/>
      <c r="QRY7" s="225"/>
      <c r="QRZ7" s="225"/>
      <c r="QSA7" s="225"/>
      <c r="QSB7" s="225"/>
      <c r="QSC7" s="225"/>
      <c r="QSD7" s="225"/>
      <c r="QSE7" s="225"/>
      <c r="QSF7" s="225"/>
      <c r="QSG7" s="225"/>
      <c r="QSH7" s="225"/>
      <c r="QSI7" s="225"/>
      <c r="QSJ7" s="225"/>
      <c r="QSK7" s="225"/>
      <c r="QSL7" s="225"/>
      <c r="QSM7" s="225"/>
      <c r="QSN7" s="225"/>
      <c r="QSO7" s="225"/>
      <c r="QSP7" s="225"/>
      <c r="QSQ7" s="225"/>
      <c r="QSR7" s="225"/>
      <c r="QSS7" s="225"/>
      <c r="QST7" s="225"/>
      <c r="QSU7" s="225"/>
      <c r="QSV7" s="225"/>
      <c r="QSW7" s="225"/>
      <c r="QSX7" s="225"/>
      <c r="QSY7" s="225"/>
      <c r="QSZ7" s="225"/>
      <c r="QTA7" s="225"/>
      <c r="QTB7" s="225"/>
      <c r="QTC7" s="225"/>
      <c r="QTD7" s="225"/>
      <c r="QTE7" s="225"/>
      <c r="QTF7" s="225"/>
      <c r="QTG7" s="225"/>
      <c r="QTH7" s="225"/>
      <c r="QTI7" s="225"/>
      <c r="QTJ7" s="225"/>
      <c r="QTK7" s="225"/>
      <c r="QTL7" s="225"/>
      <c r="QTM7" s="225"/>
      <c r="QTN7" s="225"/>
      <c r="QTO7" s="225"/>
      <c r="QTP7" s="225"/>
      <c r="QTQ7" s="225"/>
      <c r="QTR7" s="225"/>
      <c r="QTS7" s="225"/>
      <c r="QTT7" s="225"/>
      <c r="QTU7" s="225"/>
      <c r="QTV7" s="225"/>
      <c r="QTW7" s="225"/>
      <c r="QTX7" s="225"/>
      <c r="QTY7" s="225"/>
      <c r="QTZ7" s="225"/>
      <c r="QUA7" s="225"/>
      <c r="QUB7" s="225"/>
      <c r="QUC7" s="225"/>
      <c r="QUD7" s="225"/>
      <c r="QUE7" s="225"/>
      <c r="QUF7" s="225"/>
      <c r="QUG7" s="225"/>
      <c r="QUH7" s="225"/>
      <c r="QUI7" s="225"/>
      <c r="QUJ7" s="225"/>
      <c r="QUK7" s="225"/>
      <c r="QUL7" s="225"/>
      <c r="QUM7" s="225"/>
      <c r="QUN7" s="225"/>
      <c r="QUO7" s="225"/>
      <c r="QUP7" s="225"/>
      <c r="QUQ7" s="225"/>
      <c r="QUR7" s="225"/>
      <c r="QUS7" s="225"/>
      <c r="QUT7" s="225"/>
      <c r="QUU7" s="225"/>
      <c r="QUV7" s="225"/>
      <c r="QUW7" s="225"/>
      <c r="QUX7" s="225"/>
      <c r="QUY7" s="225"/>
      <c r="QUZ7" s="225"/>
      <c r="QVA7" s="225"/>
      <c r="QVB7" s="225"/>
      <c r="QVC7" s="225"/>
      <c r="QVD7" s="225"/>
      <c r="QVE7" s="225"/>
      <c r="QVF7" s="225"/>
      <c r="QVG7" s="225"/>
      <c r="QVH7" s="225"/>
      <c r="QVI7" s="225"/>
      <c r="QVJ7" s="225"/>
      <c r="QVK7" s="225"/>
      <c r="QVL7" s="225"/>
      <c r="QVM7" s="225"/>
      <c r="QVN7" s="225"/>
      <c r="QVO7" s="225"/>
      <c r="QVP7" s="225"/>
      <c r="QVQ7" s="225"/>
      <c r="QVR7" s="225"/>
      <c r="QVS7" s="225"/>
      <c r="QVT7" s="225"/>
      <c r="QVU7" s="225"/>
      <c r="QVV7" s="225"/>
      <c r="QVW7" s="225"/>
      <c r="QVX7" s="225"/>
      <c r="QVY7" s="225"/>
      <c r="QVZ7" s="225"/>
      <c r="QWA7" s="225"/>
      <c r="QWB7" s="225"/>
      <c r="QWC7" s="225"/>
      <c r="QWD7" s="225"/>
      <c r="QWE7" s="225"/>
      <c r="QWF7" s="225"/>
      <c r="QWG7" s="225"/>
      <c r="QWH7" s="225"/>
      <c r="QWI7" s="225"/>
      <c r="QWJ7" s="225"/>
      <c r="QWK7" s="225"/>
      <c r="QWL7" s="225"/>
      <c r="QWM7" s="225"/>
      <c r="QWN7" s="225"/>
      <c r="QWO7" s="225"/>
      <c r="QWP7" s="225"/>
      <c r="QWQ7" s="225"/>
      <c r="QWR7" s="225"/>
      <c r="QWS7" s="225"/>
      <c r="QWT7" s="225"/>
      <c r="QWU7" s="225"/>
      <c r="QWV7" s="225"/>
      <c r="QWW7" s="225"/>
      <c r="QWX7" s="225"/>
      <c r="QWY7" s="225"/>
      <c r="QWZ7" s="225"/>
      <c r="QXA7" s="225"/>
      <c r="QXB7" s="225"/>
      <c r="QXC7" s="225"/>
      <c r="QXD7" s="225"/>
      <c r="QXE7" s="225"/>
      <c r="QXF7" s="225"/>
      <c r="QXG7" s="225"/>
      <c r="QXH7" s="225"/>
      <c r="QXI7" s="225"/>
      <c r="QXJ7" s="225"/>
      <c r="QXK7" s="225"/>
      <c r="QXL7" s="225"/>
      <c r="QXM7" s="225"/>
      <c r="QXN7" s="225"/>
      <c r="QXO7" s="225"/>
      <c r="QXP7" s="225"/>
      <c r="QXQ7" s="225"/>
      <c r="QXR7" s="225"/>
      <c r="QXS7" s="225"/>
      <c r="QXT7" s="225"/>
      <c r="QXU7" s="225"/>
      <c r="QXV7" s="225"/>
      <c r="QXW7" s="225"/>
      <c r="QXX7" s="225"/>
      <c r="QXY7" s="225"/>
      <c r="QXZ7" s="225"/>
      <c r="QYA7" s="225"/>
      <c r="QYB7" s="225"/>
      <c r="QYC7" s="225"/>
      <c r="QYD7" s="225"/>
      <c r="QYE7" s="225"/>
      <c r="QYF7" s="225"/>
      <c r="QYG7" s="225"/>
      <c r="QYH7" s="225"/>
      <c r="QYI7" s="225"/>
      <c r="QYJ7" s="225"/>
      <c r="QYK7" s="225"/>
      <c r="QYL7" s="225"/>
      <c r="QYM7" s="225"/>
      <c r="QYN7" s="225"/>
      <c r="QYO7" s="225"/>
      <c r="QYP7" s="225"/>
      <c r="QYQ7" s="225"/>
      <c r="QYR7" s="225"/>
      <c r="QYS7" s="225"/>
      <c r="QYT7" s="225"/>
      <c r="QYU7" s="225"/>
      <c r="QYV7" s="225"/>
      <c r="QYW7" s="225"/>
      <c r="QYX7" s="225"/>
      <c r="QYY7" s="225"/>
      <c r="QYZ7" s="225"/>
      <c r="QZA7" s="225"/>
      <c r="QZB7" s="225"/>
      <c r="QZC7" s="225"/>
      <c r="QZD7" s="225"/>
      <c r="QZE7" s="225"/>
      <c r="QZF7" s="225"/>
      <c r="QZG7" s="225"/>
      <c r="QZH7" s="225"/>
      <c r="QZI7" s="225"/>
      <c r="QZJ7" s="225"/>
      <c r="QZK7" s="225"/>
      <c r="QZL7" s="225"/>
      <c r="QZM7" s="225"/>
      <c r="QZN7" s="225"/>
      <c r="QZO7" s="225"/>
      <c r="QZP7" s="225"/>
      <c r="QZQ7" s="225"/>
      <c r="QZR7" s="225"/>
      <c r="QZS7" s="225"/>
      <c r="QZT7" s="225"/>
      <c r="QZU7" s="225"/>
      <c r="QZV7" s="225"/>
      <c r="QZW7" s="225"/>
      <c r="QZX7" s="225"/>
      <c r="QZY7" s="225"/>
      <c r="QZZ7" s="225"/>
      <c r="RAA7" s="225"/>
      <c r="RAB7" s="225"/>
      <c r="RAC7" s="225"/>
      <c r="RAD7" s="225"/>
      <c r="RAE7" s="225"/>
      <c r="RAF7" s="225"/>
      <c r="RAG7" s="225"/>
      <c r="RAH7" s="225"/>
      <c r="RAI7" s="225"/>
      <c r="RAJ7" s="225"/>
      <c r="RAK7" s="225"/>
      <c r="RAL7" s="225"/>
      <c r="RAM7" s="225"/>
      <c r="RAN7" s="225"/>
      <c r="RAO7" s="225"/>
      <c r="RAP7" s="225"/>
      <c r="RAQ7" s="225"/>
      <c r="RAR7" s="225"/>
      <c r="RAS7" s="225"/>
      <c r="RAT7" s="225"/>
      <c r="RAU7" s="225"/>
      <c r="RAV7" s="225"/>
      <c r="RAW7" s="225"/>
      <c r="RAX7" s="225"/>
      <c r="RAY7" s="225"/>
      <c r="RAZ7" s="225"/>
      <c r="RBA7" s="225"/>
      <c r="RBB7" s="225"/>
      <c r="RBC7" s="225"/>
      <c r="RBD7" s="225"/>
      <c r="RBE7" s="225"/>
      <c r="RBF7" s="225"/>
      <c r="RBG7" s="225"/>
      <c r="RBH7" s="225"/>
      <c r="RBI7" s="225"/>
      <c r="RBJ7" s="225"/>
      <c r="RBK7" s="225"/>
      <c r="RBL7" s="225"/>
      <c r="RBM7" s="225"/>
      <c r="RBN7" s="225"/>
      <c r="RBO7" s="225"/>
      <c r="RBP7" s="225"/>
      <c r="RBQ7" s="225"/>
      <c r="RBR7" s="225"/>
      <c r="RBS7" s="225"/>
      <c r="RBT7" s="225"/>
      <c r="RBU7" s="225"/>
      <c r="RBV7" s="225"/>
      <c r="RBW7" s="225"/>
      <c r="RBX7" s="225"/>
      <c r="RBY7" s="225"/>
      <c r="RBZ7" s="225"/>
      <c r="RCA7" s="225"/>
      <c r="RCB7" s="225"/>
      <c r="RCC7" s="225"/>
      <c r="RCD7" s="225"/>
      <c r="RCE7" s="225"/>
      <c r="RCF7" s="225"/>
      <c r="RCG7" s="225"/>
      <c r="RCH7" s="225"/>
      <c r="RCI7" s="225"/>
      <c r="RCJ7" s="225"/>
      <c r="RCK7" s="225"/>
      <c r="RCL7" s="225"/>
      <c r="RCM7" s="225"/>
      <c r="RCN7" s="225"/>
      <c r="RCO7" s="225"/>
      <c r="RCP7" s="225"/>
      <c r="RCQ7" s="225"/>
      <c r="RCR7" s="225"/>
      <c r="RCS7" s="225"/>
      <c r="RCT7" s="225"/>
      <c r="RCU7" s="225"/>
      <c r="RCV7" s="225"/>
      <c r="RCW7" s="225"/>
      <c r="RCX7" s="225"/>
      <c r="RCY7" s="225"/>
      <c r="RCZ7" s="225"/>
      <c r="RDA7" s="225"/>
      <c r="RDB7" s="225"/>
      <c r="RDC7" s="225"/>
      <c r="RDD7" s="225"/>
      <c r="RDE7" s="225"/>
      <c r="RDF7" s="225"/>
      <c r="RDG7" s="225"/>
      <c r="RDH7" s="225"/>
      <c r="RDI7" s="225"/>
      <c r="RDJ7" s="225"/>
      <c r="RDK7" s="225"/>
      <c r="RDL7" s="225"/>
      <c r="RDM7" s="225"/>
      <c r="RDN7" s="225"/>
      <c r="RDO7" s="225"/>
      <c r="RDP7" s="225"/>
      <c r="RDQ7" s="225"/>
      <c r="RDR7" s="225"/>
      <c r="RDS7" s="225"/>
      <c r="RDT7" s="225"/>
      <c r="RDU7" s="225"/>
      <c r="RDV7" s="225"/>
      <c r="RDW7" s="225"/>
      <c r="RDX7" s="225"/>
      <c r="RDY7" s="225"/>
      <c r="RDZ7" s="225"/>
      <c r="REA7" s="225"/>
      <c r="REB7" s="225"/>
      <c r="REC7" s="225"/>
      <c r="RED7" s="225"/>
      <c r="REE7" s="225"/>
      <c r="REF7" s="225"/>
      <c r="REG7" s="225"/>
      <c r="REH7" s="225"/>
      <c r="REI7" s="225"/>
      <c r="REJ7" s="225"/>
      <c r="REK7" s="225"/>
      <c r="REL7" s="225"/>
      <c r="REM7" s="225"/>
      <c r="REN7" s="225"/>
      <c r="REO7" s="225"/>
      <c r="REP7" s="225"/>
      <c r="REQ7" s="225"/>
      <c r="RER7" s="225"/>
      <c r="RES7" s="225"/>
      <c r="RET7" s="225"/>
      <c r="REU7" s="225"/>
      <c r="REV7" s="225"/>
      <c r="REW7" s="225"/>
      <c r="REX7" s="225"/>
      <c r="REY7" s="225"/>
      <c r="REZ7" s="225"/>
      <c r="RFA7" s="225"/>
      <c r="RFB7" s="225"/>
      <c r="RFC7" s="225"/>
      <c r="RFD7" s="225"/>
      <c r="RFE7" s="225"/>
      <c r="RFF7" s="225"/>
      <c r="RFG7" s="225"/>
      <c r="RFH7" s="225"/>
      <c r="RFI7" s="225"/>
      <c r="RFJ7" s="225"/>
      <c r="RFK7" s="225"/>
      <c r="RFL7" s="225"/>
      <c r="RFM7" s="225"/>
      <c r="RFN7" s="225"/>
      <c r="RFO7" s="225"/>
      <c r="RFP7" s="225"/>
      <c r="RFQ7" s="225"/>
      <c r="RFR7" s="225"/>
      <c r="RFS7" s="225"/>
      <c r="RFT7" s="225"/>
      <c r="RFU7" s="225"/>
      <c r="RFV7" s="225"/>
      <c r="RFW7" s="225"/>
      <c r="RFX7" s="225"/>
      <c r="RFY7" s="225"/>
      <c r="RFZ7" s="225"/>
      <c r="RGA7" s="225"/>
      <c r="RGB7" s="225"/>
      <c r="RGC7" s="225"/>
      <c r="RGD7" s="225"/>
      <c r="RGE7" s="225"/>
      <c r="RGF7" s="225"/>
      <c r="RGG7" s="225"/>
      <c r="RGH7" s="225"/>
      <c r="RGI7" s="225"/>
      <c r="RGJ7" s="225"/>
      <c r="RGK7" s="225"/>
      <c r="RGL7" s="225"/>
      <c r="RGM7" s="225"/>
      <c r="RGN7" s="225"/>
      <c r="RGO7" s="225"/>
      <c r="RGP7" s="225"/>
      <c r="RGQ7" s="225"/>
      <c r="RGR7" s="225"/>
      <c r="RGS7" s="225"/>
      <c r="RGT7" s="225"/>
      <c r="RGU7" s="225"/>
      <c r="RGV7" s="225"/>
      <c r="RGW7" s="225"/>
      <c r="RGX7" s="225"/>
      <c r="RGY7" s="225"/>
      <c r="RGZ7" s="225"/>
      <c r="RHA7" s="225"/>
      <c r="RHB7" s="225"/>
      <c r="RHC7" s="225"/>
      <c r="RHD7" s="225"/>
      <c r="RHE7" s="225"/>
      <c r="RHF7" s="225"/>
      <c r="RHG7" s="225"/>
      <c r="RHH7" s="225"/>
      <c r="RHI7" s="225"/>
      <c r="RHJ7" s="225"/>
      <c r="RHK7" s="225"/>
      <c r="RHL7" s="225"/>
      <c r="RHM7" s="225"/>
      <c r="RHN7" s="225"/>
      <c r="RHO7" s="225"/>
      <c r="RHP7" s="225"/>
      <c r="RHQ7" s="225"/>
      <c r="RHR7" s="225"/>
      <c r="RHS7" s="225"/>
      <c r="RHT7" s="225"/>
      <c r="RHU7" s="225"/>
      <c r="RHV7" s="225"/>
      <c r="RHW7" s="225"/>
      <c r="RHX7" s="225"/>
      <c r="RHY7" s="225"/>
      <c r="RHZ7" s="225"/>
      <c r="RIA7" s="225"/>
      <c r="RIB7" s="225"/>
      <c r="RIC7" s="225"/>
      <c r="RID7" s="225"/>
      <c r="RIE7" s="225"/>
      <c r="RIF7" s="225"/>
      <c r="RIG7" s="225"/>
      <c r="RIH7" s="225"/>
      <c r="RII7" s="225"/>
      <c r="RIJ7" s="225"/>
      <c r="RIK7" s="225"/>
      <c r="RIL7" s="225"/>
      <c r="RIM7" s="225"/>
      <c r="RIN7" s="225"/>
      <c r="RIO7" s="225"/>
      <c r="RIP7" s="225"/>
      <c r="RIQ7" s="225"/>
      <c r="RIR7" s="225"/>
      <c r="RIS7" s="225"/>
      <c r="RIT7" s="225"/>
      <c r="RIU7" s="225"/>
      <c r="RIV7" s="225"/>
      <c r="RIW7" s="225"/>
      <c r="RIX7" s="225"/>
      <c r="RIY7" s="225"/>
      <c r="RIZ7" s="225"/>
      <c r="RJA7" s="225"/>
      <c r="RJB7" s="225"/>
      <c r="RJC7" s="225"/>
      <c r="RJD7" s="225"/>
      <c r="RJE7" s="225"/>
      <c r="RJF7" s="225"/>
      <c r="RJG7" s="225"/>
      <c r="RJH7" s="225"/>
      <c r="RJI7" s="225"/>
      <c r="RJJ7" s="225"/>
      <c r="RJK7" s="225"/>
      <c r="RJL7" s="225"/>
      <c r="RJM7" s="225"/>
      <c r="RJN7" s="225"/>
      <c r="RJO7" s="225"/>
      <c r="RJP7" s="225"/>
      <c r="RJQ7" s="225"/>
      <c r="RJR7" s="225"/>
      <c r="RJS7" s="225"/>
      <c r="RJT7" s="225"/>
      <c r="RJU7" s="225"/>
      <c r="RJV7" s="225"/>
      <c r="RJW7" s="225"/>
      <c r="RJX7" s="225"/>
      <c r="RJY7" s="225"/>
      <c r="RJZ7" s="225"/>
      <c r="RKA7" s="225"/>
      <c r="RKB7" s="225"/>
      <c r="RKC7" s="225"/>
      <c r="RKD7" s="225"/>
      <c r="RKE7" s="225"/>
      <c r="RKF7" s="225"/>
      <c r="RKG7" s="225"/>
      <c r="RKH7" s="225"/>
      <c r="RKI7" s="225"/>
      <c r="RKJ7" s="225"/>
      <c r="RKK7" s="225"/>
      <c r="RKL7" s="225"/>
      <c r="RKM7" s="225"/>
      <c r="RKN7" s="225"/>
      <c r="RKO7" s="225"/>
      <c r="RKP7" s="225"/>
      <c r="RKQ7" s="225"/>
      <c r="RKR7" s="225"/>
      <c r="RKS7" s="225"/>
      <c r="RKT7" s="225"/>
      <c r="RKU7" s="225"/>
      <c r="RKV7" s="225"/>
      <c r="RKW7" s="225"/>
      <c r="RKX7" s="225"/>
      <c r="RKY7" s="225"/>
      <c r="RKZ7" s="225"/>
      <c r="RLA7" s="225"/>
      <c r="RLB7" s="225"/>
      <c r="RLC7" s="225"/>
      <c r="RLD7" s="225"/>
      <c r="RLE7" s="225"/>
      <c r="RLF7" s="225"/>
      <c r="RLG7" s="225"/>
      <c r="RLH7" s="225"/>
      <c r="RLI7" s="225"/>
      <c r="RLJ7" s="225"/>
      <c r="RLK7" s="225"/>
      <c r="RLL7" s="225"/>
      <c r="RLM7" s="225"/>
      <c r="RLN7" s="225"/>
      <c r="RLO7" s="225"/>
      <c r="RLP7" s="225"/>
      <c r="RLQ7" s="225"/>
      <c r="RLR7" s="225"/>
      <c r="RLS7" s="225"/>
      <c r="RLT7" s="225"/>
      <c r="RLU7" s="225"/>
      <c r="RLV7" s="225"/>
      <c r="RLW7" s="225"/>
      <c r="RLX7" s="225"/>
      <c r="RLY7" s="225"/>
      <c r="RLZ7" s="225"/>
      <c r="RMA7" s="225"/>
      <c r="RMB7" s="225"/>
      <c r="RMC7" s="225"/>
      <c r="RMD7" s="225"/>
      <c r="RME7" s="225"/>
      <c r="RMF7" s="225"/>
      <c r="RMG7" s="225"/>
      <c r="RMH7" s="225"/>
      <c r="RMI7" s="225"/>
      <c r="RMJ7" s="225"/>
      <c r="RMK7" s="225"/>
      <c r="RML7" s="225"/>
      <c r="RMM7" s="225"/>
      <c r="RMN7" s="225"/>
      <c r="RMO7" s="225"/>
      <c r="RMP7" s="225"/>
      <c r="RMQ7" s="225"/>
      <c r="RMR7" s="225"/>
      <c r="RMS7" s="225"/>
      <c r="RMT7" s="225"/>
      <c r="RMU7" s="225"/>
      <c r="RMV7" s="225"/>
      <c r="RMW7" s="225"/>
      <c r="RMX7" s="225"/>
      <c r="RMY7" s="225"/>
      <c r="RMZ7" s="225"/>
      <c r="RNA7" s="225"/>
      <c r="RNB7" s="225"/>
      <c r="RNC7" s="225"/>
      <c r="RND7" s="225"/>
      <c r="RNE7" s="225"/>
      <c r="RNF7" s="225"/>
      <c r="RNG7" s="225"/>
      <c r="RNH7" s="225"/>
      <c r="RNI7" s="225"/>
      <c r="RNJ7" s="225"/>
      <c r="RNK7" s="225"/>
      <c r="RNL7" s="225"/>
      <c r="RNM7" s="225"/>
      <c r="RNN7" s="225"/>
      <c r="RNO7" s="225"/>
      <c r="RNP7" s="225"/>
      <c r="RNQ7" s="225"/>
      <c r="RNR7" s="225"/>
      <c r="RNS7" s="225"/>
      <c r="RNT7" s="225"/>
      <c r="RNU7" s="225"/>
      <c r="RNV7" s="225"/>
      <c r="RNW7" s="225"/>
      <c r="RNX7" s="225"/>
      <c r="RNY7" s="225"/>
      <c r="RNZ7" s="225"/>
      <c r="ROA7" s="225"/>
      <c r="ROB7" s="225"/>
      <c r="ROC7" s="225"/>
      <c r="ROD7" s="225"/>
      <c r="ROE7" s="225"/>
      <c r="ROF7" s="225"/>
      <c r="ROG7" s="225"/>
      <c r="ROH7" s="225"/>
      <c r="ROI7" s="225"/>
      <c r="ROJ7" s="225"/>
      <c r="ROK7" s="225"/>
      <c r="ROL7" s="225"/>
      <c r="ROM7" s="225"/>
      <c r="RON7" s="225"/>
      <c r="ROO7" s="225"/>
      <c r="ROP7" s="225"/>
      <c r="ROQ7" s="225"/>
      <c r="ROR7" s="225"/>
      <c r="ROS7" s="225"/>
      <c r="ROT7" s="225"/>
      <c r="ROU7" s="225"/>
      <c r="ROV7" s="225"/>
      <c r="ROW7" s="225"/>
      <c r="ROX7" s="225"/>
      <c r="ROY7" s="225"/>
      <c r="ROZ7" s="225"/>
      <c r="RPA7" s="225"/>
      <c r="RPB7" s="225"/>
      <c r="RPC7" s="225"/>
      <c r="RPD7" s="225"/>
      <c r="RPE7" s="225"/>
      <c r="RPF7" s="225"/>
      <c r="RPG7" s="225"/>
      <c r="RPH7" s="225"/>
      <c r="RPI7" s="225"/>
      <c r="RPJ7" s="225"/>
      <c r="RPK7" s="225"/>
      <c r="RPL7" s="225"/>
      <c r="RPM7" s="225"/>
      <c r="RPN7" s="225"/>
      <c r="RPO7" s="225"/>
      <c r="RPP7" s="225"/>
      <c r="RPQ7" s="225"/>
      <c r="RPR7" s="225"/>
      <c r="RPS7" s="225"/>
      <c r="RPT7" s="225"/>
      <c r="RPU7" s="225"/>
      <c r="RPV7" s="225"/>
      <c r="RPW7" s="225"/>
      <c r="RPX7" s="225"/>
      <c r="RPY7" s="225"/>
      <c r="RPZ7" s="225"/>
      <c r="RQA7" s="225"/>
      <c r="RQB7" s="225"/>
      <c r="RQC7" s="225"/>
      <c r="RQD7" s="225"/>
      <c r="RQE7" s="225"/>
      <c r="RQF7" s="225"/>
      <c r="RQG7" s="225"/>
      <c r="RQH7" s="225"/>
      <c r="RQI7" s="225"/>
      <c r="RQJ7" s="225"/>
      <c r="RQK7" s="225"/>
      <c r="RQL7" s="225"/>
      <c r="RQM7" s="225"/>
      <c r="RQN7" s="225"/>
      <c r="RQO7" s="225"/>
      <c r="RQP7" s="225"/>
      <c r="RQQ7" s="225"/>
      <c r="RQR7" s="225"/>
      <c r="RQS7" s="225"/>
      <c r="RQT7" s="225"/>
      <c r="RQU7" s="225"/>
      <c r="RQV7" s="225"/>
      <c r="RQW7" s="225"/>
      <c r="RQX7" s="225"/>
      <c r="RQY7" s="225"/>
      <c r="RQZ7" s="225"/>
      <c r="RRA7" s="225"/>
      <c r="RRB7" s="225"/>
      <c r="RRC7" s="225"/>
      <c r="RRD7" s="225"/>
      <c r="RRE7" s="225"/>
      <c r="RRF7" s="225"/>
      <c r="RRG7" s="225"/>
      <c r="RRH7" s="225"/>
      <c r="RRI7" s="225"/>
      <c r="RRJ7" s="225"/>
      <c r="RRK7" s="225"/>
      <c r="RRL7" s="225"/>
      <c r="RRM7" s="225"/>
      <c r="RRN7" s="225"/>
      <c r="RRO7" s="225"/>
      <c r="RRP7" s="225"/>
      <c r="RRQ7" s="225"/>
      <c r="RRR7" s="225"/>
      <c r="RRS7" s="225"/>
      <c r="RRT7" s="225"/>
      <c r="RRU7" s="225"/>
      <c r="RRV7" s="225"/>
      <c r="RRW7" s="225"/>
      <c r="RRX7" s="225"/>
      <c r="RRY7" s="225"/>
      <c r="RRZ7" s="225"/>
      <c r="RSA7" s="225"/>
      <c r="RSB7" s="225"/>
      <c r="RSC7" s="225"/>
      <c r="RSD7" s="225"/>
      <c r="RSE7" s="225"/>
      <c r="RSF7" s="225"/>
      <c r="RSG7" s="225"/>
      <c r="RSH7" s="225"/>
      <c r="RSI7" s="225"/>
      <c r="RSJ7" s="225"/>
      <c r="RSK7" s="225"/>
      <c r="RSL7" s="225"/>
      <c r="RSM7" s="225"/>
      <c r="RSN7" s="225"/>
      <c r="RSO7" s="225"/>
      <c r="RSP7" s="225"/>
      <c r="RSQ7" s="225"/>
      <c r="RSR7" s="225"/>
      <c r="RSS7" s="225"/>
      <c r="RST7" s="225"/>
      <c r="RSU7" s="225"/>
      <c r="RSV7" s="225"/>
      <c r="RSW7" s="225"/>
      <c r="RSX7" s="225"/>
      <c r="RSY7" s="225"/>
      <c r="RSZ7" s="225"/>
      <c r="RTA7" s="225"/>
      <c r="RTB7" s="225"/>
      <c r="RTC7" s="225"/>
      <c r="RTD7" s="225"/>
      <c r="RTE7" s="225"/>
      <c r="RTF7" s="225"/>
      <c r="RTG7" s="225"/>
      <c r="RTH7" s="225"/>
      <c r="RTI7" s="225"/>
      <c r="RTJ7" s="225"/>
      <c r="RTK7" s="225"/>
      <c r="RTL7" s="225"/>
      <c r="RTM7" s="225"/>
      <c r="RTN7" s="225"/>
      <c r="RTO7" s="225"/>
      <c r="RTP7" s="225"/>
      <c r="RTQ7" s="225"/>
      <c r="RTR7" s="225"/>
      <c r="RTS7" s="225"/>
      <c r="RTT7" s="225"/>
      <c r="RTU7" s="225"/>
      <c r="RTV7" s="225"/>
      <c r="RTW7" s="225"/>
      <c r="RTX7" s="225"/>
      <c r="RTY7" s="225"/>
      <c r="RTZ7" s="225"/>
      <c r="RUA7" s="225"/>
      <c r="RUB7" s="225"/>
      <c r="RUC7" s="225"/>
      <c r="RUD7" s="225"/>
      <c r="RUE7" s="225"/>
      <c r="RUF7" s="225"/>
      <c r="RUG7" s="225"/>
      <c r="RUH7" s="225"/>
      <c r="RUI7" s="225"/>
      <c r="RUJ7" s="225"/>
      <c r="RUK7" s="225"/>
      <c r="RUL7" s="225"/>
      <c r="RUM7" s="225"/>
      <c r="RUN7" s="225"/>
      <c r="RUO7" s="225"/>
      <c r="RUP7" s="225"/>
      <c r="RUQ7" s="225"/>
      <c r="RUR7" s="225"/>
      <c r="RUS7" s="225"/>
      <c r="RUT7" s="225"/>
      <c r="RUU7" s="225"/>
      <c r="RUV7" s="225"/>
      <c r="RUW7" s="225"/>
      <c r="RUX7" s="225"/>
      <c r="RUY7" s="225"/>
      <c r="RUZ7" s="225"/>
      <c r="RVA7" s="225"/>
      <c r="RVB7" s="225"/>
      <c r="RVC7" s="225"/>
      <c r="RVD7" s="225"/>
      <c r="RVE7" s="225"/>
      <c r="RVF7" s="225"/>
      <c r="RVG7" s="225"/>
      <c r="RVH7" s="225"/>
      <c r="RVI7" s="225"/>
      <c r="RVJ7" s="225"/>
      <c r="RVK7" s="225"/>
      <c r="RVL7" s="225"/>
      <c r="RVM7" s="225"/>
      <c r="RVN7" s="225"/>
      <c r="RVO7" s="225"/>
      <c r="RVP7" s="225"/>
      <c r="RVQ7" s="225"/>
      <c r="RVR7" s="225"/>
      <c r="RVS7" s="225"/>
      <c r="RVT7" s="225"/>
      <c r="RVU7" s="225"/>
      <c r="RVV7" s="225"/>
      <c r="RVW7" s="225"/>
      <c r="RVX7" s="225"/>
      <c r="RVY7" s="225"/>
      <c r="RVZ7" s="225"/>
      <c r="RWA7" s="225"/>
      <c r="RWB7" s="225"/>
      <c r="RWC7" s="225"/>
      <c r="RWD7" s="225"/>
      <c r="RWE7" s="225"/>
      <c r="RWF7" s="225"/>
      <c r="RWG7" s="225"/>
      <c r="RWH7" s="225"/>
      <c r="RWI7" s="225"/>
      <c r="RWJ7" s="225"/>
      <c r="RWK7" s="225"/>
      <c r="RWL7" s="225"/>
      <c r="RWM7" s="225"/>
      <c r="RWN7" s="225"/>
      <c r="RWO7" s="225"/>
      <c r="RWP7" s="225"/>
      <c r="RWQ7" s="225"/>
      <c r="RWR7" s="225"/>
      <c r="RWS7" s="225"/>
      <c r="RWT7" s="225"/>
      <c r="RWU7" s="225"/>
      <c r="RWV7" s="225"/>
      <c r="RWW7" s="225"/>
      <c r="RWX7" s="225"/>
      <c r="RWY7" s="225"/>
      <c r="RWZ7" s="225"/>
      <c r="RXA7" s="225"/>
      <c r="RXB7" s="225"/>
      <c r="RXC7" s="225"/>
      <c r="RXD7" s="225"/>
      <c r="RXE7" s="225"/>
      <c r="RXF7" s="225"/>
      <c r="RXG7" s="225"/>
      <c r="RXH7" s="225"/>
      <c r="RXI7" s="225"/>
      <c r="RXJ7" s="225"/>
      <c r="RXK7" s="225"/>
      <c r="RXL7" s="225"/>
      <c r="RXM7" s="225"/>
      <c r="RXN7" s="225"/>
      <c r="RXO7" s="225"/>
      <c r="RXP7" s="225"/>
      <c r="RXQ7" s="225"/>
      <c r="RXR7" s="225"/>
      <c r="RXS7" s="225"/>
      <c r="RXT7" s="225"/>
      <c r="RXU7" s="225"/>
      <c r="RXV7" s="225"/>
      <c r="RXW7" s="225"/>
      <c r="RXX7" s="225"/>
      <c r="RXY7" s="225"/>
      <c r="RXZ7" s="225"/>
      <c r="RYA7" s="225"/>
      <c r="RYB7" s="225"/>
      <c r="RYC7" s="225"/>
      <c r="RYD7" s="225"/>
      <c r="RYE7" s="225"/>
      <c r="RYF7" s="225"/>
      <c r="RYG7" s="225"/>
      <c r="RYH7" s="225"/>
      <c r="RYI7" s="225"/>
      <c r="RYJ7" s="225"/>
      <c r="RYK7" s="225"/>
      <c r="RYL7" s="225"/>
      <c r="RYM7" s="225"/>
      <c r="RYN7" s="225"/>
      <c r="RYO7" s="225"/>
      <c r="RYP7" s="225"/>
      <c r="RYQ7" s="225"/>
      <c r="RYR7" s="225"/>
      <c r="RYS7" s="225"/>
      <c r="RYT7" s="225"/>
      <c r="RYU7" s="225"/>
      <c r="RYV7" s="225"/>
      <c r="RYW7" s="225"/>
      <c r="RYX7" s="225"/>
      <c r="RYY7" s="225"/>
      <c r="RYZ7" s="225"/>
      <c r="RZA7" s="225"/>
      <c r="RZB7" s="225"/>
      <c r="RZC7" s="225"/>
      <c r="RZD7" s="225"/>
      <c r="RZE7" s="225"/>
      <c r="RZF7" s="225"/>
      <c r="RZG7" s="225"/>
      <c r="RZH7" s="225"/>
      <c r="RZI7" s="225"/>
      <c r="RZJ7" s="225"/>
      <c r="RZK7" s="225"/>
      <c r="RZL7" s="225"/>
      <c r="RZM7" s="225"/>
      <c r="RZN7" s="225"/>
      <c r="RZO7" s="225"/>
      <c r="RZP7" s="225"/>
      <c r="RZQ7" s="225"/>
      <c r="RZR7" s="225"/>
      <c r="RZS7" s="225"/>
      <c r="RZT7" s="225"/>
      <c r="RZU7" s="225"/>
      <c r="RZV7" s="225"/>
      <c r="RZW7" s="225"/>
      <c r="RZX7" s="225"/>
      <c r="RZY7" s="225"/>
      <c r="RZZ7" s="225"/>
      <c r="SAA7" s="225"/>
      <c r="SAB7" s="225"/>
      <c r="SAC7" s="225"/>
      <c r="SAD7" s="225"/>
      <c r="SAE7" s="225"/>
      <c r="SAF7" s="225"/>
      <c r="SAG7" s="225"/>
      <c r="SAH7" s="225"/>
      <c r="SAI7" s="225"/>
      <c r="SAJ7" s="225"/>
      <c r="SAK7" s="225"/>
      <c r="SAL7" s="225"/>
      <c r="SAM7" s="225"/>
      <c r="SAN7" s="225"/>
      <c r="SAO7" s="225"/>
      <c r="SAP7" s="225"/>
      <c r="SAQ7" s="225"/>
      <c r="SAR7" s="225"/>
      <c r="SAS7" s="225"/>
      <c r="SAT7" s="225"/>
      <c r="SAU7" s="225"/>
      <c r="SAV7" s="225"/>
      <c r="SAW7" s="225"/>
      <c r="SAX7" s="225"/>
      <c r="SAY7" s="225"/>
      <c r="SAZ7" s="225"/>
      <c r="SBA7" s="225"/>
      <c r="SBB7" s="225"/>
      <c r="SBC7" s="225"/>
      <c r="SBD7" s="225"/>
      <c r="SBE7" s="225"/>
      <c r="SBF7" s="225"/>
      <c r="SBG7" s="225"/>
      <c r="SBH7" s="225"/>
      <c r="SBI7" s="225"/>
      <c r="SBJ7" s="225"/>
      <c r="SBK7" s="225"/>
      <c r="SBL7" s="225"/>
      <c r="SBM7" s="225"/>
      <c r="SBN7" s="225"/>
      <c r="SBO7" s="225"/>
      <c r="SBP7" s="225"/>
      <c r="SBQ7" s="225"/>
      <c r="SBR7" s="225"/>
      <c r="SBS7" s="225"/>
      <c r="SBT7" s="225"/>
      <c r="SBU7" s="225"/>
      <c r="SBV7" s="225"/>
      <c r="SBW7" s="225"/>
      <c r="SBX7" s="225"/>
      <c r="SBY7" s="225"/>
      <c r="SBZ7" s="225"/>
      <c r="SCA7" s="225"/>
      <c r="SCB7" s="225"/>
      <c r="SCC7" s="225"/>
      <c r="SCD7" s="225"/>
      <c r="SCE7" s="225"/>
      <c r="SCF7" s="225"/>
      <c r="SCG7" s="225"/>
      <c r="SCH7" s="225"/>
      <c r="SCI7" s="225"/>
      <c r="SCJ7" s="225"/>
      <c r="SCK7" s="225"/>
      <c r="SCL7" s="225"/>
      <c r="SCM7" s="225"/>
      <c r="SCN7" s="225"/>
      <c r="SCO7" s="225"/>
      <c r="SCP7" s="225"/>
      <c r="SCQ7" s="225"/>
      <c r="SCR7" s="225"/>
      <c r="SCS7" s="225"/>
      <c r="SCT7" s="225"/>
      <c r="SCU7" s="225"/>
      <c r="SCV7" s="225"/>
      <c r="SCW7" s="225"/>
      <c r="SCX7" s="225"/>
      <c r="SCY7" s="225"/>
      <c r="SCZ7" s="225"/>
      <c r="SDA7" s="225"/>
      <c r="SDB7" s="225"/>
      <c r="SDC7" s="225"/>
      <c r="SDD7" s="225"/>
      <c r="SDE7" s="225"/>
      <c r="SDF7" s="225"/>
      <c r="SDG7" s="225"/>
      <c r="SDH7" s="225"/>
      <c r="SDI7" s="225"/>
      <c r="SDJ7" s="225"/>
      <c r="SDK7" s="225"/>
      <c r="SDL7" s="225"/>
      <c r="SDM7" s="225"/>
      <c r="SDN7" s="225"/>
      <c r="SDO7" s="225"/>
      <c r="SDP7" s="225"/>
      <c r="SDQ7" s="225"/>
      <c r="SDR7" s="225"/>
      <c r="SDS7" s="225"/>
      <c r="SDT7" s="225"/>
      <c r="SDU7" s="225"/>
      <c r="SDV7" s="225"/>
      <c r="SDW7" s="225"/>
      <c r="SDX7" s="225"/>
      <c r="SDY7" s="225"/>
      <c r="SDZ7" s="225"/>
      <c r="SEA7" s="225"/>
      <c r="SEB7" s="225"/>
      <c r="SEC7" s="225"/>
      <c r="SED7" s="225"/>
      <c r="SEE7" s="225"/>
      <c r="SEF7" s="225"/>
      <c r="SEG7" s="225"/>
      <c r="SEH7" s="225"/>
      <c r="SEI7" s="225"/>
      <c r="SEJ7" s="225"/>
      <c r="SEK7" s="225"/>
      <c r="SEL7" s="225"/>
      <c r="SEM7" s="225"/>
      <c r="SEN7" s="225"/>
      <c r="SEO7" s="225"/>
      <c r="SEP7" s="225"/>
      <c r="SEQ7" s="225"/>
      <c r="SER7" s="225"/>
      <c r="SES7" s="225"/>
      <c r="SET7" s="225"/>
      <c r="SEU7" s="225"/>
      <c r="SEV7" s="225"/>
      <c r="SEW7" s="225"/>
      <c r="SEX7" s="225"/>
      <c r="SEY7" s="225"/>
      <c r="SEZ7" s="225"/>
      <c r="SFA7" s="225"/>
      <c r="SFB7" s="225"/>
      <c r="SFC7" s="225"/>
      <c r="SFD7" s="225"/>
      <c r="SFE7" s="225"/>
      <c r="SFF7" s="225"/>
      <c r="SFG7" s="225"/>
      <c r="SFH7" s="225"/>
      <c r="SFI7" s="225"/>
      <c r="SFJ7" s="225"/>
      <c r="SFK7" s="225"/>
      <c r="SFL7" s="225"/>
      <c r="SFM7" s="225"/>
      <c r="SFN7" s="225"/>
      <c r="SFO7" s="225"/>
      <c r="SFP7" s="225"/>
      <c r="SFQ7" s="225"/>
      <c r="SFR7" s="225"/>
      <c r="SFS7" s="225"/>
      <c r="SFT7" s="225"/>
      <c r="SFU7" s="225"/>
      <c r="SFV7" s="225"/>
      <c r="SFW7" s="225"/>
      <c r="SFX7" s="225"/>
      <c r="SFY7" s="225"/>
      <c r="SFZ7" s="225"/>
      <c r="SGA7" s="225"/>
      <c r="SGB7" s="225"/>
      <c r="SGC7" s="225"/>
      <c r="SGD7" s="225"/>
      <c r="SGE7" s="225"/>
      <c r="SGF7" s="225"/>
      <c r="SGG7" s="225"/>
      <c r="SGH7" s="225"/>
      <c r="SGI7" s="225"/>
      <c r="SGJ7" s="225"/>
      <c r="SGK7" s="225"/>
      <c r="SGL7" s="225"/>
      <c r="SGM7" s="225"/>
      <c r="SGN7" s="225"/>
      <c r="SGO7" s="225"/>
      <c r="SGP7" s="225"/>
      <c r="SGQ7" s="225"/>
      <c r="SGR7" s="225"/>
      <c r="SGS7" s="225"/>
      <c r="SGT7" s="225"/>
      <c r="SGU7" s="225"/>
      <c r="SGV7" s="225"/>
      <c r="SGW7" s="225"/>
      <c r="SGX7" s="225"/>
      <c r="SGY7" s="225"/>
      <c r="SGZ7" s="225"/>
      <c r="SHA7" s="225"/>
      <c r="SHB7" s="225"/>
      <c r="SHC7" s="225"/>
      <c r="SHD7" s="225"/>
      <c r="SHE7" s="225"/>
      <c r="SHF7" s="225"/>
      <c r="SHG7" s="225"/>
      <c r="SHH7" s="225"/>
      <c r="SHI7" s="225"/>
      <c r="SHJ7" s="225"/>
      <c r="SHK7" s="225"/>
      <c r="SHL7" s="225"/>
      <c r="SHM7" s="225"/>
      <c r="SHN7" s="225"/>
      <c r="SHO7" s="225"/>
      <c r="SHP7" s="225"/>
      <c r="SHQ7" s="225"/>
      <c r="SHR7" s="225"/>
      <c r="SHS7" s="225"/>
      <c r="SHT7" s="225"/>
      <c r="SHU7" s="225"/>
      <c r="SHV7" s="225"/>
      <c r="SHW7" s="225"/>
      <c r="SHX7" s="225"/>
      <c r="SHY7" s="225"/>
      <c r="SHZ7" s="225"/>
      <c r="SIA7" s="225"/>
      <c r="SIB7" s="225"/>
      <c r="SIC7" s="225"/>
      <c r="SID7" s="225"/>
      <c r="SIE7" s="225"/>
      <c r="SIF7" s="225"/>
      <c r="SIG7" s="225"/>
      <c r="SIH7" s="225"/>
      <c r="SII7" s="225"/>
      <c r="SIJ7" s="225"/>
      <c r="SIK7" s="225"/>
      <c r="SIL7" s="225"/>
      <c r="SIM7" s="225"/>
      <c r="SIN7" s="225"/>
      <c r="SIO7" s="225"/>
      <c r="SIP7" s="225"/>
      <c r="SIQ7" s="225"/>
      <c r="SIR7" s="225"/>
      <c r="SIS7" s="225"/>
      <c r="SIT7" s="225"/>
      <c r="SIU7" s="225"/>
      <c r="SIV7" s="225"/>
      <c r="SIW7" s="225"/>
      <c r="SIX7" s="225"/>
      <c r="SIY7" s="225"/>
      <c r="SIZ7" s="225"/>
      <c r="SJA7" s="225"/>
      <c r="SJB7" s="225"/>
      <c r="SJC7" s="225"/>
      <c r="SJD7" s="225"/>
      <c r="SJE7" s="225"/>
      <c r="SJF7" s="225"/>
      <c r="SJG7" s="225"/>
      <c r="SJH7" s="225"/>
      <c r="SJI7" s="225"/>
      <c r="SJJ7" s="225"/>
      <c r="SJK7" s="225"/>
      <c r="SJL7" s="225"/>
      <c r="SJM7" s="225"/>
      <c r="SJN7" s="225"/>
      <c r="SJO7" s="225"/>
      <c r="SJP7" s="225"/>
      <c r="SJQ7" s="225"/>
      <c r="SJR7" s="225"/>
      <c r="SJS7" s="225"/>
      <c r="SJT7" s="225"/>
      <c r="SJU7" s="225"/>
      <c r="SJV7" s="225"/>
      <c r="SJW7" s="225"/>
      <c r="SJX7" s="225"/>
      <c r="SJY7" s="225"/>
      <c r="SJZ7" s="225"/>
      <c r="SKA7" s="225"/>
      <c r="SKB7" s="225"/>
      <c r="SKC7" s="225"/>
      <c r="SKD7" s="225"/>
      <c r="SKE7" s="225"/>
      <c r="SKF7" s="225"/>
      <c r="SKG7" s="225"/>
      <c r="SKH7" s="225"/>
      <c r="SKI7" s="225"/>
      <c r="SKJ7" s="225"/>
      <c r="SKK7" s="225"/>
      <c r="SKL7" s="225"/>
      <c r="SKM7" s="225"/>
      <c r="SKN7" s="225"/>
      <c r="SKO7" s="225"/>
      <c r="SKP7" s="225"/>
      <c r="SKQ7" s="225"/>
      <c r="SKR7" s="225"/>
      <c r="SKS7" s="225"/>
      <c r="SKT7" s="225"/>
      <c r="SKU7" s="225"/>
      <c r="SKV7" s="225"/>
      <c r="SKW7" s="225"/>
      <c r="SKX7" s="225"/>
      <c r="SKY7" s="225"/>
      <c r="SKZ7" s="225"/>
      <c r="SLA7" s="225"/>
      <c r="SLB7" s="225"/>
      <c r="SLC7" s="225"/>
      <c r="SLD7" s="225"/>
      <c r="SLE7" s="225"/>
      <c r="SLF7" s="225"/>
      <c r="SLG7" s="225"/>
      <c r="SLH7" s="225"/>
      <c r="SLI7" s="225"/>
      <c r="SLJ7" s="225"/>
      <c r="SLK7" s="225"/>
      <c r="SLL7" s="225"/>
      <c r="SLM7" s="225"/>
      <c r="SLN7" s="225"/>
      <c r="SLO7" s="225"/>
      <c r="SLP7" s="225"/>
      <c r="SLQ7" s="225"/>
      <c r="SLR7" s="225"/>
      <c r="SLS7" s="225"/>
      <c r="SLT7" s="225"/>
      <c r="SLU7" s="225"/>
      <c r="SLV7" s="225"/>
      <c r="SLW7" s="225"/>
      <c r="SLX7" s="225"/>
      <c r="SLY7" s="225"/>
      <c r="SLZ7" s="225"/>
      <c r="SMA7" s="225"/>
      <c r="SMB7" s="225"/>
      <c r="SMC7" s="225"/>
      <c r="SMD7" s="225"/>
      <c r="SME7" s="225"/>
      <c r="SMF7" s="225"/>
      <c r="SMG7" s="225"/>
      <c r="SMH7" s="225"/>
      <c r="SMI7" s="225"/>
      <c r="SMJ7" s="225"/>
      <c r="SMK7" s="225"/>
      <c r="SML7" s="225"/>
      <c r="SMM7" s="225"/>
      <c r="SMN7" s="225"/>
      <c r="SMO7" s="225"/>
      <c r="SMP7" s="225"/>
      <c r="SMQ7" s="225"/>
      <c r="SMR7" s="225"/>
      <c r="SMS7" s="225"/>
      <c r="SMT7" s="225"/>
      <c r="SMU7" s="225"/>
      <c r="SMV7" s="225"/>
      <c r="SMW7" s="225"/>
      <c r="SMX7" s="225"/>
      <c r="SMY7" s="225"/>
      <c r="SMZ7" s="225"/>
      <c r="SNA7" s="225"/>
      <c r="SNB7" s="225"/>
      <c r="SNC7" s="225"/>
      <c r="SND7" s="225"/>
      <c r="SNE7" s="225"/>
      <c r="SNF7" s="225"/>
      <c r="SNG7" s="225"/>
      <c r="SNH7" s="225"/>
      <c r="SNI7" s="225"/>
      <c r="SNJ7" s="225"/>
      <c r="SNK7" s="225"/>
      <c r="SNL7" s="225"/>
      <c r="SNM7" s="225"/>
      <c r="SNN7" s="225"/>
      <c r="SNO7" s="225"/>
      <c r="SNP7" s="225"/>
      <c r="SNQ7" s="225"/>
      <c r="SNR7" s="225"/>
      <c r="SNS7" s="225"/>
      <c r="SNT7" s="225"/>
      <c r="SNU7" s="225"/>
      <c r="SNV7" s="225"/>
      <c r="SNW7" s="225"/>
      <c r="SNX7" s="225"/>
      <c r="SNY7" s="225"/>
      <c r="SNZ7" s="225"/>
      <c r="SOA7" s="225"/>
      <c r="SOB7" s="225"/>
      <c r="SOC7" s="225"/>
      <c r="SOD7" s="225"/>
      <c r="SOE7" s="225"/>
      <c r="SOF7" s="225"/>
      <c r="SOG7" s="225"/>
      <c r="SOH7" s="225"/>
      <c r="SOI7" s="225"/>
      <c r="SOJ7" s="225"/>
      <c r="SOK7" s="225"/>
      <c r="SOL7" s="225"/>
      <c r="SOM7" s="225"/>
      <c r="SON7" s="225"/>
      <c r="SOO7" s="225"/>
      <c r="SOP7" s="225"/>
      <c r="SOQ7" s="225"/>
      <c r="SOR7" s="225"/>
      <c r="SOS7" s="225"/>
      <c r="SOT7" s="225"/>
      <c r="SOU7" s="225"/>
      <c r="SOV7" s="225"/>
      <c r="SOW7" s="225"/>
      <c r="SOX7" s="225"/>
      <c r="SOY7" s="225"/>
      <c r="SOZ7" s="225"/>
      <c r="SPA7" s="225"/>
      <c r="SPB7" s="225"/>
      <c r="SPC7" s="225"/>
      <c r="SPD7" s="225"/>
      <c r="SPE7" s="225"/>
      <c r="SPF7" s="225"/>
      <c r="SPG7" s="225"/>
      <c r="SPH7" s="225"/>
      <c r="SPI7" s="225"/>
      <c r="SPJ7" s="225"/>
      <c r="SPK7" s="225"/>
      <c r="SPL7" s="225"/>
      <c r="SPM7" s="225"/>
      <c r="SPN7" s="225"/>
      <c r="SPO7" s="225"/>
      <c r="SPP7" s="225"/>
      <c r="SPQ7" s="225"/>
      <c r="SPR7" s="225"/>
      <c r="SPS7" s="225"/>
      <c r="SPT7" s="225"/>
      <c r="SPU7" s="225"/>
      <c r="SPV7" s="225"/>
      <c r="SPW7" s="225"/>
      <c r="SPX7" s="225"/>
      <c r="SPY7" s="225"/>
      <c r="SPZ7" s="225"/>
      <c r="SQA7" s="225"/>
      <c r="SQB7" s="225"/>
      <c r="SQC7" s="225"/>
      <c r="SQD7" s="225"/>
      <c r="SQE7" s="225"/>
      <c r="SQF7" s="225"/>
      <c r="SQG7" s="225"/>
      <c r="SQH7" s="225"/>
      <c r="SQI7" s="225"/>
      <c r="SQJ7" s="225"/>
      <c r="SQK7" s="225"/>
      <c r="SQL7" s="225"/>
      <c r="SQM7" s="225"/>
      <c r="SQN7" s="225"/>
      <c r="SQO7" s="225"/>
      <c r="SQP7" s="225"/>
      <c r="SQQ7" s="225"/>
      <c r="SQR7" s="225"/>
      <c r="SQS7" s="225"/>
      <c r="SQT7" s="225"/>
      <c r="SQU7" s="225"/>
      <c r="SQV7" s="225"/>
      <c r="SQW7" s="225"/>
      <c r="SQX7" s="225"/>
      <c r="SQY7" s="225"/>
      <c r="SQZ7" s="225"/>
      <c r="SRA7" s="225"/>
      <c r="SRB7" s="225"/>
      <c r="SRC7" s="225"/>
      <c r="SRD7" s="225"/>
      <c r="SRE7" s="225"/>
      <c r="SRF7" s="225"/>
      <c r="SRG7" s="225"/>
      <c r="SRH7" s="225"/>
      <c r="SRI7" s="225"/>
      <c r="SRJ7" s="225"/>
      <c r="SRK7" s="225"/>
      <c r="SRL7" s="225"/>
      <c r="SRM7" s="225"/>
      <c r="SRN7" s="225"/>
      <c r="SRO7" s="225"/>
      <c r="SRP7" s="225"/>
      <c r="SRQ7" s="225"/>
      <c r="SRR7" s="225"/>
      <c r="SRS7" s="225"/>
      <c r="SRT7" s="225"/>
      <c r="SRU7" s="225"/>
      <c r="SRV7" s="225"/>
      <c r="SRW7" s="225"/>
      <c r="SRX7" s="225"/>
      <c r="SRY7" s="225"/>
      <c r="SRZ7" s="225"/>
      <c r="SSA7" s="225"/>
      <c r="SSB7" s="225"/>
      <c r="SSC7" s="225"/>
      <c r="SSD7" s="225"/>
      <c r="SSE7" s="225"/>
      <c r="SSF7" s="225"/>
      <c r="SSG7" s="225"/>
      <c r="SSH7" s="225"/>
      <c r="SSI7" s="225"/>
      <c r="SSJ7" s="225"/>
      <c r="SSK7" s="225"/>
      <c r="SSL7" s="225"/>
      <c r="SSM7" s="225"/>
      <c r="SSN7" s="225"/>
      <c r="SSO7" s="225"/>
      <c r="SSP7" s="225"/>
      <c r="SSQ7" s="225"/>
      <c r="SSR7" s="225"/>
      <c r="SSS7" s="225"/>
      <c r="SST7" s="225"/>
      <c r="SSU7" s="225"/>
      <c r="SSV7" s="225"/>
      <c r="SSW7" s="225"/>
      <c r="SSX7" s="225"/>
      <c r="SSY7" s="225"/>
      <c r="SSZ7" s="225"/>
      <c r="STA7" s="225"/>
      <c r="STB7" s="225"/>
      <c r="STC7" s="225"/>
      <c r="STD7" s="225"/>
      <c r="STE7" s="225"/>
      <c r="STF7" s="225"/>
      <c r="STG7" s="225"/>
      <c r="STH7" s="225"/>
      <c r="STI7" s="225"/>
      <c r="STJ7" s="225"/>
      <c r="STK7" s="225"/>
      <c r="STL7" s="225"/>
      <c r="STM7" s="225"/>
      <c r="STN7" s="225"/>
      <c r="STO7" s="225"/>
      <c r="STP7" s="225"/>
      <c r="STQ7" s="225"/>
      <c r="STR7" s="225"/>
      <c r="STS7" s="225"/>
      <c r="STT7" s="225"/>
      <c r="STU7" s="225"/>
      <c r="STV7" s="225"/>
      <c r="STW7" s="225"/>
      <c r="STX7" s="225"/>
      <c r="STY7" s="225"/>
      <c r="STZ7" s="225"/>
      <c r="SUA7" s="225"/>
      <c r="SUB7" s="225"/>
      <c r="SUC7" s="225"/>
      <c r="SUD7" s="225"/>
      <c r="SUE7" s="225"/>
      <c r="SUF7" s="225"/>
      <c r="SUG7" s="225"/>
      <c r="SUH7" s="225"/>
      <c r="SUI7" s="225"/>
      <c r="SUJ7" s="225"/>
      <c r="SUK7" s="225"/>
      <c r="SUL7" s="225"/>
      <c r="SUM7" s="225"/>
      <c r="SUN7" s="225"/>
      <c r="SUO7" s="225"/>
      <c r="SUP7" s="225"/>
      <c r="SUQ7" s="225"/>
      <c r="SUR7" s="225"/>
      <c r="SUS7" s="225"/>
      <c r="SUT7" s="225"/>
      <c r="SUU7" s="225"/>
      <c r="SUV7" s="225"/>
      <c r="SUW7" s="225"/>
      <c r="SUX7" s="225"/>
      <c r="SUY7" s="225"/>
      <c r="SUZ7" s="225"/>
      <c r="SVA7" s="225"/>
      <c r="SVB7" s="225"/>
      <c r="SVC7" s="225"/>
      <c r="SVD7" s="225"/>
      <c r="SVE7" s="225"/>
      <c r="SVF7" s="225"/>
      <c r="SVG7" s="225"/>
      <c r="SVH7" s="225"/>
      <c r="SVI7" s="225"/>
      <c r="SVJ7" s="225"/>
      <c r="SVK7" s="225"/>
      <c r="SVL7" s="225"/>
      <c r="SVM7" s="225"/>
      <c r="SVN7" s="225"/>
      <c r="SVO7" s="225"/>
      <c r="SVP7" s="225"/>
      <c r="SVQ7" s="225"/>
      <c r="SVR7" s="225"/>
      <c r="SVS7" s="225"/>
      <c r="SVT7" s="225"/>
      <c r="SVU7" s="225"/>
      <c r="SVV7" s="225"/>
      <c r="SVW7" s="225"/>
      <c r="SVX7" s="225"/>
      <c r="SVY7" s="225"/>
      <c r="SVZ7" s="225"/>
      <c r="SWA7" s="225"/>
      <c r="SWB7" s="225"/>
      <c r="SWC7" s="225"/>
      <c r="SWD7" s="225"/>
      <c r="SWE7" s="225"/>
      <c r="SWF7" s="225"/>
      <c r="SWG7" s="225"/>
      <c r="SWH7" s="225"/>
      <c r="SWI7" s="225"/>
      <c r="SWJ7" s="225"/>
      <c r="SWK7" s="225"/>
      <c r="SWL7" s="225"/>
      <c r="SWM7" s="225"/>
      <c r="SWN7" s="225"/>
      <c r="SWO7" s="225"/>
      <c r="SWP7" s="225"/>
      <c r="SWQ7" s="225"/>
      <c r="SWR7" s="225"/>
      <c r="SWS7" s="225"/>
      <c r="SWT7" s="225"/>
      <c r="SWU7" s="225"/>
      <c r="SWV7" s="225"/>
      <c r="SWW7" s="225"/>
      <c r="SWX7" s="225"/>
      <c r="SWY7" s="225"/>
      <c r="SWZ7" s="225"/>
      <c r="SXA7" s="225"/>
      <c r="SXB7" s="225"/>
      <c r="SXC7" s="225"/>
      <c r="SXD7" s="225"/>
      <c r="SXE7" s="225"/>
      <c r="SXF7" s="225"/>
      <c r="SXG7" s="225"/>
      <c r="SXH7" s="225"/>
      <c r="SXI7" s="225"/>
      <c r="SXJ7" s="225"/>
      <c r="SXK7" s="225"/>
      <c r="SXL7" s="225"/>
      <c r="SXM7" s="225"/>
      <c r="SXN7" s="225"/>
      <c r="SXO7" s="225"/>
      <c r="SXP7" s="225"/>
      <c r="SXQ7" s="225"/>
      <c r="SXR7" s="225"/>
      <c r="SXS7" s="225"/>
      <c r="SXT7" s="225"/>
      <c r="SXU7" s="225"/>
      <c r="SXV7" s="225"/>
      <c r="SXW7" s="225"/>
      <c r="SXX7" s="225"/>
      <c r="SXY7" s="225"/>
      <c r="SXZ7" s="225"/>
      <c r="SYA7" s="225"/>
      <c r="SYB7" s="225"/>
      <c r="SYC7" s="225"/>
      <c r="SYD7" s="225"/>
      <c r="SYE7" s="225"/>
      <c r="SYF7" s="225"/>
      <c r="SYG7" s="225"/>
      <c r="SYH7" s="225"/>
      <c r="SYI7" s="225"/>
      <c r="SYJ7" s="225"/>
      <c r="SYK7" s="225"/>
      <c r="SYL7" s="225"/>
      <c r="SYM7" s="225"/>
      <c r="SYN7" s="225"/>
      <c r="SYO7" s="225"/>
      <c r="SYP7" s="225"/>
      <c r="SYQ7" s="225"/>
      <c r="SYR7" s="225"/>
      <c r="SYS7" s="225"/>
      <c r="SYT7" s="225"/>
      <c r="SYU7" s="225"/>
      <c r="SYV7" s="225"/>
      <c r="SYW7" s="225"/>
      <c r="SYX7" s="225"/>
      <c r="SYY7" s="225"/>
      <c r="SYZ7" s="225"/>
      <c r="SZA7" s="225"/>
      <c r="SZB7" s="225"/>
      <c r="SZC7" s="225"/>
      <c r="SZD7" s="225"/>
      <c r="SZE7" s="225"/>
      <c r="SZF7" s="225"/>
      <c r="SZG7" s="225"/>
      <c r="SZH7" s="225"/>
      <c r="SZI7" s="225"/>
      <c r="SZJ7" s="225"/>
      <c r="SZK7" s="225"/>
      <c r="SZL7" s="225"/>
      <c r="SZM7" s="225"/>
      <c r="SZN7" s="225"/>
      <c r="SZO7" s="225"/>
      <c r="SZP7" s="225"/>
      <c r="SZQ7" s="225"/>
      <c r="SZR7" s="225"/>
      <c r="SZS7" s="225"/>
      <c r="SZT7" s="225"/>
      <c r="SZU7" s="225"/>
      <c r="SZV7" s="225"/>
      <c r="SZW7" s="225"/>
      <c r="SZX7" s="225"/>
      <c r="SZY7" s="225"/>
      <c r="SZZ7" s="225"/>
      <c r="TAA7" s="225"/>
      <c r="TAB7" s="225"/>
      <c r="TAC7" s="225"/>
      <c r="TAD7" s="225"/>
      <c r="TAE7" s="225"/>
      <c r="TAF7" s="225"/>
      <c r="TAG7" s="225"/>
      <c r="TAH7" s="225"/>
      <c r="TAI7" s="225"/>
      <c r="TAJ7" s="225"/>
      <c r="TAK7" s="225"/>
      <c r="TAL7" s="225"/>
      <c r="TAM7" s="225"/>
      <c r="TAN7" s="225"/>
      <c r="TAO7" s="225"/>
      <c r="TAP7" s="225"/>
      <c r="TAQ7" s="225"/>
      <c r="TAR7" s="225"/>
      <c r="TAS7" s="225"/>
      <c r="TAT7" s="225"/>
      <c r="TAU7" s="225"/>
      <c r="TAV7" s="225"/>
      <c r="TAW7" s="225"/>
      <c r="TAX7" s="225"/>
      <c r="TAY7" s="225"/>
      <c r="TAZ7" s="225"/>
      <c r="TBA7" s="225"/>
      <c r="TBB7" s="225"/>
      <c r="TBC7" s="225"/>
      <c r="TBD7" s="225"/>
      <c r="TBE7" s="225"/>
      <c r="TBF7" s="225"/>
      <c r="TBG7" s="225"/>
      <c r="TBH7" s="225"/>
      <c r="TBI7" s="225"/>
      <c r="TBJ7" s="225"/>
      <c r="TBK7" s="225"/>
      <c r="TBL7" s="225"/>
      <c r="TBM7" s="225"/>
      <c r="TBN7" s="225"/>
      <c r="TBO7" s="225"/>
      <c r="TBP7" s="225"/>
      <c r="TBQ7" s="225"/>
      <c r="TBR7" s="225"/>
      <c r="TBS7" s="225"/>
      <c r="TBT7" s="225"/>
      <c r="TBU7" s="225"/>
      <c r="TBV7" s="225"/>
      <c r="TBW7" s="225"/>
      <c r="TBX7" s="225"/>
      <c r="TBY7" s="225"/>
      <c r="TBZ7" s="225"/>
      <c r="TCA7" s="225"/>
      <c r="TCB7" s="225"/>
      <c r="TCC7" s="225"/>
      <c r="TCD7" s="225"/>
      <c r="TCE7" s="225"/>
      <c r="TCF7" s="225"/>
      <c r="TCG7" s="225"/>
      <c r="TCH7" s="225"/>
      <c r="TCI7" s="225"/>
      <c r="TCJ7" s="225"/>
      <c r="TCK7" s="225"/>
      <c r="TCL7" s="225"/>
      <c r="TCM7" s="225"/>
      <c r="TCN7" s="225"/>
      <c r="TCO7" s="225"/>
      <c r="TCP7" s="225"/>
      <c r="TCQ7" s="225"/>
      <c r="TCR7" s="225"/>
      <c r="TCS7" s="225"/>
      <c r="TCT7" s="225"/>
      <c r="TCU7" s="225"/>
      <c r="TCV7" s="225"/>
      <c r="TCW7" s="225"/>
      <c r="TCX7" s="225"/>
      <c r="TCY7" s="225"/>
      <c r="TCZ7" s="225"/>
      <c r="TDA7" s="225"/>
      <c r="TDB7" s="225"/>
      <c r="TDC7" s="225"/>
      <c r="TDD7" s="225"/>
      <c r="TDE7" s="225"/>
      <c r="TDF7" s="225"/>
      <c r="TDG7" s="225"/>
      <c r="TDH7" s="225"/>
      <c r="TDI7" s="225"/>
      <c r="TDJ7" s="225"/>
      <c r="TDK7" s="225"/>
      <c r="TDL7" s="225"/>
      <c r="TDM7" s="225"/>
      <c r="TDN7" s="225"/>
      <c r="TDO7" s="225"/>
      <c r="TDP7" s="225"/>
      <c r="TDQ7" s="225"/>
      <c r="TDR7" s="225"/>
      <c r="TDS7" s="225"/>
      <c r="TDT7" s="225"/>
      <c r="TDU7" s="225"/>
      <c r="TDV7" s="225"/>
      <c r="TDW7" s="225"/>
      <c r="TDX7" s="225"/>
      <c r="TDY7" s="225"/>
      <c r="TDZ7" s="225"/>
      <c r="TEA7" s="225"/>
      <c r="TEB7" s="225"/>
      <c r="TEC7" s="225"/>
      <c r="TED7" s="225"/>
      <c r="TEE7" s="225"/>
      <c r="TEF7" s="225"/>
      <c r="TEG7" s="225"/>
      <c r="TEH7" s="225"/>
      <c r="TEI7" s="225"/>
      <c r="TEJ7" s="225"/>
      <c r="TEK7" s="225"/>
      <c r="TEL7" s="225"/>
      <c r="TEM7" s="225"/>
      <c r="TEN7" s="225"/>
      <c r="TEO7" s="225"/>
      <c r="TEP7" s="225"/>
      <c r="TEQ7" s="225"/>
      <c r="TER7" s="225"/>
      <c r="TES7" s="225"/>
      <c r="TET7" s="225"/>
      <c r="TEU7" s="225"/>
      <c r="TEV7" s="225"/>
      <c r="TEW7" s="225"/>
      <c r="TEX7" s="225"/>
      <c r="TEY7" s="225"/>
      <c r="TEZ7" s="225"/>
      <c r="TFA7" s="225"/>
      <c r="TFB7" s="225"/>
      <c r="TFC7" s="225"/>
      <c r="TFD7" s="225"/>
      <c r="TFE7" s="225"/>
      <c r="TFF7" s="225"/>
      <c r="TFG7" s="225"/>
      <c r="TFH7" s="225"/>
      <c r="TFI7" s="225"/>
      <c r="TFJ7" s="225"/>
      <c r="TFK7" s="225"/>
      <c r="TFL7" s="225"/>
      <c r="TFM7" s="225"/>
      <c r="TFN7" s="225"/>
      <c r="TFO7" s="225"/>
      <c r="TFP7" s="225"/>
      <c r="TFQ7" s="225"/>
      <c r="TFR7" s="225"/>
      <c r="TFS7" s="225"/>
      <c r="TFT7" s="225"/>
      <c r="TFU7" s="225"/>
      <c r="TFV7" s="225"/>
      <c r="TFW7" s="225"/>
      <c r="TFX7" s="225"/>
      <c r="TFY7" s="225"/>
      <c r="TFZ7" s="225"/>
      <c r="TGA7" s="225"/>
      <c r="TGB7" s="225"/>
      <c r="TGC7" s="225"/>
      <c r="TGD7" s="225"/>
      <c r="TGE7" s="225"/>
      <c r="TGF7" s="225"/>
      <c r="TGG7" s="225"/>
      <c r="TGH7" s="225"/>
      <c r="TGI7" s="225"/>
      <c r="TGJ7" s="225"/>
      <c r="TGK7" s="225"/>
      <c r="TGL7" s="225"/>
      <c r="TGM7" s="225"/>
      <c r="TGN7" s="225"/>
      <c r="TGO7" s="225"/>
      <c r="TGP7" s="225"/>
      <c r="TGQ7" s="225"/>
      <c r="TGR7" s="225"/>
      <c r="TGS7" s="225"/>
      <c r="TGT7" s="225"/>
      <c r="TGU7" s="225"/>
      <c r="TGV7" s="225"/>
      <c r="TGW7" s="225"/>
      <c r="TGX7" s="225"/>
      <c r="TGY7" s="225"/>
      <c r="TGZ7" s="225"/>
      <c r="THA7" s="225"/>
      <c r="THB7" s="225"/>
      <c r="THC7" s="225"/>
      <c r="THD7" s="225"/>
      <c r="THE7" s="225"/>
      <c r="THF7" s="225"/>
      <c r="THG7" s="225"/>
      <c r="THH7" s="225"/>
      <c r="THI7" s="225"/>
      <c r="THJ7" s="225"/>
      <c r="THK7" s="225"/>
      <c r="THL7" s="225"/>
      <c r="THM7" s="225"/>
      <c r="THN7" s="225"/>
      <c r="THO7" s="225"/>
      <c r="THP7" s="225"/>
      <c r="THQ7" s="225"/>
      <c r="THR7" s="225"/>
      <c r="THS7" s="225"/>
      <c r="THT7" s="225"/>
      <c r="THU7" s="225"/>
      <c r="THV7" s="225"/>
      <c r="THW7" s="225"/>
      <c r="THX7" s="225"/>
      <c r="THY7" s="225"/>
      <c r="THZ7" s="225"/>
      <c r="TIA7" s="225"/>
      <c r="TIB7" s="225"/>
      <c r="TIC7" s="225"/>
      <c r="TID7" s="225"/>
      <c r="TIE7" s="225"/>
      <c r="TIF7" s="225"/>
      <c r="TIG7" s="225"/>
      <c r="TIH7" s="225"/>
      <c r="TII7" s="225"/>
      <c r="TIJ7" s="225"/>
      <c r="TIK7" s="225"/>
      <c r="TIL7" s="225"/>
      <c r="TIM7" s="225"/>
      <c r="TIN7" s="225"/>
      <c r="TIO7" s="225"/>
      <c r="TIP7" s="225"/>
      <c r="TIQ7" s="225"/>
      <c r="TIR7" s="225"/>
      <c r="TIS7" s="225"/>
      <c r="TIT7" s="225"/>
      <c r="TIU7" s="225"/>
      <c r="TIV7" s="225"/>
      <c r="TIW7" s="225"/>
      <c r="TIX7" s="225"/>
      <c r="TIY7" s="225"/>
      <c r="TIZ7" s="225"/>
      <c r="TJA7" s="225"/>
      <c r="TJB7" s="225"/>
      <c r="TJC7" s="225"/>
      <c r="TJD7" s="225"/>
      <c r="TJE7" s="225"/>
      <c r="TJF7" s="225"/>
      <c r="TJG7" s="225"/>
      <c r="TJH7" s="225"/>
      <c r="TJI7" s="225"/>
      <c r="TJJ7" s="225"/>
      <c r="TJK7" s="225"/>
      <c r="TJL7" s="225"/>
      <c r="TJM7" s="225"/>
      <c r="TJN7" s="225"/>
      <c r="TJO7" s="225"/>
      <c r="TJP7" s="225"/>
      <c r="TJQ7" s="225"/>
      <c r="TJR7" s="225"/>
      <c r="TJS7" s="225"/>
      <c r="TJT7" s="225"/>
      <c r="TJU7" s="225"/>
      <c r="TJV7" s="225"/>
      <c r="TJW7" s="225"/>
      <c r="TJX7" s="225"/>
      <c r="TJY7" s="225"/>
      <c r="TJZ7" s="225"/>
      <c r="TKA7" s="225"/>
      <c r="TKB7" s="225"/>
      <c r="TKC7" s="225"/>
      <c r="TKD7" s="225"/>
      <c r="TKE7" s="225"/>
      <c r="TKF7" s="225"/>
      <c r="TKG7" s="225"/>
      <c r="TKH7" s="225"/>
      <c r="TKI7" s="225"/>
      <c r="TKJ7" s="225"/>
      <c r="TKK7" s="225"/>
      <c r="TKL7" s="225"/>
      <c r="TKM7" s="225"/>
      <c r="TKN7" s="225"/>
      <c r="TKO7" s="225"/>
      <c r="TKP7" s="225"/>
      <c r="TKQ7" s="225"/>
      <c r="TKR7" s="225"/>
      <c r="TKS7" s="225"/>
      <c r="TKT7" s="225"/>
      <c r="TKU7" s="225"/>
      <c r="TKV7" s="225"/>
      <c r="TKW7" s="225"/>
      <c r="TKX7" s="225"/>
      <c r="TKY7" s="225"/>
      <c r="TKZ7" s="225"/>
      <c r="TLA7" s="225"/>
      <c r="TLB7" s="225"/>
      <c r="TLC7" s="225"/>
      <c r="TLD7" s="225"/>
      <c r="TLE7" s="225"/>
      <c r="TLF7" s="225"/>
      <c r="TLG7" s="225"/>
      <c r="TLH7" s="225"/>
      <c r="TLI7" s="225"/>
      <c r="TLJ7" s="225"/>
      <c r="TLK7" s="225"/>
      <c r="TLL7" s="225"/>
      <c r="TLM7" s="225"/>
      <c r="TLN7" s="225"/>
      <c r="TLO7" s="225"/>
      <c r="TLP7" s="225"/>
      <c r="TLQ7" s="225"/>
      <c r="TLR7" s="225"/>
      <c r="TLS7" s="225"/>
      <c r="TLT7" s="225"/>
      <c r="TLU7" s="225"/>
      <c r="TLV7" s="225"/>
      <c r="TLW7" s="225"/>
      <c r="TLX7" s="225"/>
      <c r="TLY7" s="225"/>
      <c r="TLZ7" s="225"/>
      <c r="TMA7" s="225"/>
      <c r="TMB7" s="225"/>
      <c r="TMC7" s="225"/>
      <c r="TMD7" s="225"/>
      <c r="TME7" s="225"/>
      <c r="TMF7" s="225"/>
      <c r="TMG7" s="225"/>
      <c r="TMH7" s="225"/>
      <c r="TMI7" s="225"/>
      <c r="TMJ7" s="225"/>
      <c r="TMK7" s="225"/>
      <c r="TML7" s="225"/>
      <c r="TMM7" s="225"/>
      <c r="TMN7" s="225"/>
      <c r="TMO7" s="225"/>
      <c r="TMP7" s="225"/>
      <c r="TMQ7" s="225"/>
      <c r="TMR7" s="225"/>
      <c r="TMS7" s="225"/>
      <c r="TMT7" s="225"/>
      <c r="TMU7" s="225"/>
      <c r="TMV7" s="225"/>
      <c r="TMW7" s="225"/>
      <c r="TMX7" s="225"/>
      <c r="TMY7" s="225"/>
      <c r="TMZ7" s="225"/>
      <c r="TNA7" s="225"/>
      <c r="TNB7" s="225"/>
      <c r="TNC7" s="225"/>
      <c r="TND7" s="225"/>
      <c r="TNE7" s="225"/>
      <c r="TNF7" s="225"/>
      <c r="TNG7" s="225"/>
      <c r="TNH7" s="225"/>
      <c r="TNI7" s="225"/>
      <c r="TNJ7" s="225"/>
      <c r="TNK7" s="225"/>
      <c r="TNL7" s="225"/>
      <c r="TNM7" s="225"/>
      <c r="TNN7" s="225"/>
      <c r="TNO7" s="225"/>
      <c r="TNP7" s="225"/>
      <c r="TNQ7" s="225"/>
      <c r="TNR7" s="225"/>
      <c r="TNS7" s="225"/>
      <c r="TNT7" s="225"/>
      <c r="TNU7" s="225"/>
      <c r="TNV7" s="225"/>
      <c r="TNW7" s="225"/>
      <c r="TNX7" s="225"/>
      <c r="TNY7" s="225"/>
      <c r="TNZ7" s="225"/>
      <c r="TOA7" s="225"/>
      <c r="TOB7" s="225"/>
      <c r="TOC7" s="225"/>
      <c r="TOD7" s="225"/>
      <c r="TOE7" s="225"/>
      <c r="TOF7" s="225"/>
      <c r="TOG7" s="225"/>
      <c r="TOH7" s="225"/>
      <c r="TOI7" s="225"/>
      <c r="TOJ7" s="225"/>
      <c r="TOK7" s="225"/>
      <c r="TOL7" s="225"/>
      <c r="TOM7" s="225"/>
      <c r="TON7" s="225"/>
      <c r="TOO7" s="225"/>
      <c r="TOP7" s="225"/>
      <c r="TOQ7" s="225"/>
      <c r="TOR7" s="225"/>
      <c r="TOS7" s="225"/>
      <c r="TOT7" s="225"/>
      <c r="TOU7" s="225"/>
      <c r="TOV7" s="225"/>
      <c r="TOW7" s="225"/>
      <c r="TOX7" s="225"/>
      <c r="TOY7" s="225"/>
      <c r="TOZ7" s="225"/>
      <c r="TPA7" s="225"/>
      <c r="TPB7" s="225"/>
      <c r="TPC7" s="225"/>
      <c r="TPD7" s="225"/>
      <c r="TPE7" s="225"/>
      <c r="TPF7" s="225"/>
      <c r="TPG7" s="225"/>
      <c r="TPH7" s="225"/>
      <c r="TPI7" s="225"/>
      <c r="TPJ7" s="225"/>
      <c r="TPK7" s="225"/>
      <c r="TPL7" s="225"/>
      <c r="TPM7" s="225"/>
      <c r="TPN7" s="225"/>
      <c r="TPO7" s="225"/>
      <c r="TPP7" s="225"/>
      <c r="TPQ7" s="225"/>
      <c r="TPR7" s="225"/>
      <c r="TPS7" s="225"/>
      <c r="TPT7" s="225"/>
      <c r="TPU7" s="225"/>
      <c r="TPV7" s="225"/>
      <c r="TPW7" s="225"/>
      <c r="TPX7" s="225"/>
      <c r="TPY7" s="225"/>
      <c r="TPZ7" s="225"/>
      <c r="TQA7" s="225"/>
      <c r="TQB7" s="225"/>
      <c r="TQC7" s="225"/>
      <c r="TQD7" s="225"/>
      <c r="TQE7" s="225"/>
      <c r="TQF7" s="225"/>
      <c r="TQG7" s="225"/>
      <c r="TQH7" s="225"/>
      <c r="TQI7" s="225"/>
      <c r="TQJ7" s="225"/>
      <c r="TQK7" s="225"/>
      <c r="TQL7" s="225"/>
      <c r="TQM7" s="225"/>
      <c r="TQN7" s="225"/>
      <c r="TQO7" s="225"/>
      <c r="TQP7" s="225"/>
      <c r="TQQ7" s="225"/>
      <c r="TQR7" s="225"/>
      <c r="TQS7" s="225"/>
      <c r="TQT7" s="225"/>
      <c r="TQU7" s="225"/>
      <c r="TQV7" s="225"/>
      <c r="TQW7" s="225"/>
      <c r="TQX7" s="225"/>
      <c r="TQY7" s="225"/>
      <c r="TQZ7" s="225"/>
      <c r="TRA7" s="225"/>
      <c r="TRB7" s="225"/>
      <c r="TRC7" s="225"/>
      <c r="TRD7" s="225"/>
      <c r="TRE7" s="225"/>
      <c r="TRF7" s="225"/>
      <c r="TRG7" s="225"/>
      <c r="TRH7" s="225"/>
      <c r="TRI7" s="225"/>
      <c r="TRJ7" s="225"/>
      <c r="TRK7" s="225"/>
      <c r="TRL7" s="225"/>
      <c r="TRM7" s="225"/>
      <c r="TRN7" s="225"/>
      <c r="TRO7" s="225"/>
      <c r="TRP7" s="225"/>
      <c r="TRQ7" s="225"/>
      <c r="TRR7" s="225"/>
      <c r="TRS7" s="225"/>
      <c r="TRT7" s="225"/>
      <c r="TRU7" s="225"/>
      <c r="TRV7" s="225"/>
      <c r="TRW7" s="225"/>
      <c r="TRX7" s="225"/>
      <c r="TRY7" s="225"/>
      <c r="TRZ7" s="225"/>
      <c r="TSA7" s="225"/>
      <c r="TSB7" s="225"/>
      <c r="TSC7" s="225"/>
      <c r="TSD7" s="225"/>
      <c r="TSE7" s="225"/>
      <c r="TSF7" s="225"/>
      <c r="TSG7" s="225"/>
      <c r="TSH7" s="225"/>
      <c r="TSI7" s="225"/>
      <c r="TSJ7" s="225"/>
      <c r="TSK7" s="225"/>
      <c r="TSL7" s="225"/>
      <c r="TSM7" s="225"/>
      <c r="TSN7" s="225"/>
      <c r="TSO7" s="225"/>
      <c r="TSP7" s="225"/>
      <c r="TSQ7" s="225"/>
      <c r="TSR7" s="225"/>
      <c r="TSS7" s="225"/>
      <c r="TST7" s="225"/>
      <c r="TSU7" s="225"/>
      <c r="TSV7" s="225"/>
      <c r="TSW7" s="225"/>
      <c r="TSX7" s="225"/>
      <c r="TSY7" s="225"/>
      <c r="TSZ7" s="225"/>
      <c r="TTA7" s="225"/>
      <c r="TTB7" s="225"/>
      <c r="TTC7" s="225"/>
      <c r="TTD7" s="225"/>
      <c r="TTE7" s="225"/>
      <c r="TTF7" s="225"/>
      <c r="TTG7" s="225"/>
      <c r="TTH7" s="225"/>
      <c r="TTI7" s="225"/>
      <c r="TTJ7" s="225"/>
      <c r="TTK7" s="225"/>
      <c r="TTL7" s="225"/>
      <c r="TTM7" s="225"/>
      <c r="TTN7" s="225"/>
      <c r="TTO7" s="225"/>
      <c r="TTP7" s="225"/>
      <c r="TTQ7" s="225"/>
      <c r="TTR7" s="225"/>
      <c r="TTS7" s="225"/>
      <c r="TTT7" s="225"/>
      <c r="TTU7" s="225"/>
      <c r="TTV7" s="225"/>
      <c r="TTW7" s="225"/>
      <c r="TTX7" s="225"/>
      <c r="TTY7" s="225"/>
      <c r="TTZ7" s="225"/>
      <c r="TUA7" s="225"/>
      <c r="TUB7" s="225"/>
      <c r="TUC7" s="225"/>
      <c r="TUD7" s="225"/>
      <c r="TUE7" s="225"/>
      <c r="TUF7" s="225"/>
      <c r="TUG7" s="225"/>
      <c r="TUH7" s="225"/>
      <c r="TUI7" s="225"/>
      <c r="TUJ7" s="225"/>
      <c r="TUK7" s="225"/>
      <c r="TUL7" s="225"/>
      <c r="TUM7" s="225"/>
      <c r="TUN7" s="225"/>
      <c r="TUO7" s="225"/>
      <c r="TUP7" s="225"/>
      <c r="TUQ7" s="225"/>
      <c r="TUR7" s="225"/>
      <c r="TUS7" s="225"/>
      <c r="TUT7" s="225"/>
      <c r="TUU7" s="225"/>
      <c r="TUV7" s="225"/>
      <c r="TUW7" s="225"/>
      <c r="TUX7" s="225"/>
      <c r="TUY7" s="225"/>
      <c r="TUZ7" s="225"/>
      <c r="TVA7" s="225"/>
      <c r="TVB7" s="225"/>
      <c r="TVC7" s="225"/>
      <c r="TVD7" s="225"/>
      <c r="TVE7" s="225"/>
      <c r="TVF7" s="225"/>
      <c r="TVG7" s="225"/>
      <c r="TVH7" s="225"/>
      <c r="TVI7" s="225"/>
      <c r="TVJ7" s="225"/>
      <c r="TVK7" s="225"/>
      <c r="TVL7" s="225"/>
      <c r="TVM7" s="225"/>
      <c r="TVN7" s="225"/>
      <c r="TVO7" s="225"/>
      <c r="TVP7" s="225"/>
      <c r="TVQ7" s="225"/>
      <c r="TVR7" s="225"/>
      <c r="TVS7" s="225"/>
      <c r="TVT7" s="225"/>
      <c r="TVU7" s="225"/>
      <c r="TVV7" s="225"/>
      <c r="TVW7" s="225"/>
      <c r="TVX7" s="225"/>
      <c r="TVY7" s="225"/>
      <c r="TVZ7" s="225"/>
      <c r="TWA7" s="225"/>
      <c r="TWB7" s="225"/>
      <c r="TWC7" s="225"/>
      <c r="TWD7" s="225"/>
      <c r="TWE7" s="225"/>
      <c r="TWF7" s="225"/>
      <c r="TWG7" s="225"/>
      <c r="TWH7" s="225"/>
      <c r="TWI7" s="225"/>
      <c r="TWJ7" s="225"/>
      <c r="TWK7" s="225"/>
      <c r="TWL7" s="225"/>
      <c r="TWM7" s="225"/>
      <c r="TWN7" s="225"/>
      <c r="TWO7" s="225"/>
      <c r="TWP7" s="225"/>
      <c r="TWQ7" s="225"/>
      <c r="TWR7" s="225"/>
      <c r="TWS7" s="225"/>
      <c r="TWT7" s="225"/>
      <c r="TWU7" s="225"/>
      <c r="TWV7" s="225"/>
      <c r="TWW7" s="225"/>
      <c r="TWX7" s="225"/>
      <c r="TWY7" s="225"/>
      <c r="TWZ7" s="225"/>
      <c r="TXA7" s="225"/>
      <c r="TXB7" s="225"/>
      <c r="TXC7" s="225"/>
      <c r="TXD7" s="225"/>
      <c r="TXE7" s="225"/>
      <c r="TXF7" s="225"/>
      <c r="TXG7" s="225"/>
      <c r="TXH7" s="225"/>
      <c r="TXI7" s="225"/>
      <c r="TXJ7" s="225"/>
      <c r="TXK7" s="225"/>
      <c r="TXL7" s="225"/>
      <c r="TXM7" s="225"/>
      <c r="TXN7" s="225"/>
      <c r="TXO7" s="225"/>
      <c r="TXP7" s="225"/>
      <c r="TXQ7" s="225"/>
      <c r="TXR7" s="225"/>
      <c r="TXS7" s="225"/>
      <c r="TXT7" s="225"/>
      <c r="TXU7" s="225"/>
      <c r="TXV7" s="225"/>
      <c r="TXW7" s="225"/>
      <c r="TXX7" s="225"/>
      <c r="TXY7" s="225"/>
      <c r="TXZ7" s="225"/>
      <c r="TYA7" s="225"/>
      <c r="TYB7" s="225"/>
      <c r="TYC7" s="225"/>
      <c r="TYD7" s="225"/>
      <c r="TYE7" s="225"/>
      <c r="TYF7" s="225"/>
      <c r="TYG7" s="225"/>
      <c r="TYH7" s="225"/>
      <c r="TYI7" s="225"/>
      <c r="TYJ7" s="225"/>
      <c r="TYK7" s="225"/>
      <c r="TYL7" s="225"/>
      <c r="TYM7" s="225"/>
      <c r="TYN7" s="225"/>
      <c r="TYO7" s="225"/>
      <c r="TYP7" s="225"/>
      <c r="TYQ7" s="225"/>
      <c r="TYR7" s="225"/>
      <c r="TYS7" s="225"/>
      <c r="TYT7" s="225"/>
      <c r="TYU7" s="225"/>
      <c r="TYV7" s="225"/>
      <c r="TYW7" s="225"/>
      <c r="TYX7" s="225"/>
      <c r="TYY7" s="225"/>
      <c r="TYZ7" s="225"/>
      <c r="TZA7" s="225"/>
      <c r="TZB7" s="225"/>
      <c r="TZC7" s="225"/>
      <c r="TZD7" s="225"/>
      <c r="TZE7" s="225"/>
      <c r="TZF7" s="225"/>
      <c r="TZG7" s="225"/>
      <c r="TZH7" s="225"/>
      <c r="TZI7" s="225"/>
      <c r="TZJ7" s="225"/>
      <c r="TZK7" s="225"/>
      <c r="TZL7" s="225"/>
      <c r="TZM7" s="225"/>
      <c r="TZN7" s="225"/>
      <c r="TZO7" s="225"/>
      <c r="TZP7" s="225"/>
      <c r="TZQ7" s="225"/>
      <c r="TZR7" s="225"/>
      <c r="TZS7" s="225"/>
      <c r="TZT7" s="225"/>
      <c r="TZU7" s="225"/>
      <c r="TZV7" s="225"/>
      <c r="TZW7" s="225"/>
      <c r="TZX7" s="225"/>
      <c r="TZY7" s="225"/>
      <c r="TZZ7" s="225"/>
      <c r="UAA7" s="225"/>
      <c r="UAB7" s="225"/>
      <c r="UAC7" s="225"/>
      <c r="UAD7" s="225"/>
      <c r="UAE7" s="225"/>
      <c r="UAF7" s="225"/>
      <c r="UAG7" s="225"/>
      <c r="UAH7" s="225"/>
      <c r="UAI7" s="225"/>
      <c r="UAJ7" s="225"/>
      <c r="UAK7" s="225"/>
      <c r="UAL7" s="225"/>
      <c r="UAM7" s="225"/>
      <c r="UAN7" s="225"/>
      <c r="UAO7" s="225"/>
      <c r="UAP7" s="225"/>
      <c r="UAQ7" s="225"/>
      <c r="UAR7" s="225"/>
      <c r="UAS7" s="225"/>
      <c r="UAT7" s="225"/>
      <c r="UAU7" s="225"/>
      <c r="UAV7" s="225"/>
      <c r="UAW7" s="225"/>
      <c r="UAX7" s="225"/>
      <c r="UAY7" s="225"/>
      <c r="UAZ7" s="225"/>
      <c r="UBA7" s="225"/>
      <c r="UBB7" s="225"/>
      <c r="UBC7" s="225"/>
      <c r="UBD7" s="225"/>
      <c r="UBE7" s="225"/>
      <c r="UBF7" s="225"/>
      <c r="UBG7" s="225"/>
      <c r="UBH7" s="225"/>
      <c r="UBI7" s="225"/>
      <c r="UBJ7" s="225"/>
      <c r="UBK7" s="225"/>
      <c r="UBL7" s="225"/>
      <c r="UBM7" s="225"/>
      <c r="UBN7" s="225"/>
      <c r="UBO7" s="225"/>
      <c r="UBP7" s="225"/>
      <c r="UBQ7" s="225"/>
      <c r="UBR7" s="225"/>
      <c r="UBS7" s="225"/>
      <c r="UBT7" s="225"/>
      <c r="UBU7" s="225"/>
      <c r="UBV7" s="225"/>
      <c r="UBW7" s="225"/>
      <c r="UBX7" s="225"/>
      <c r="UBY7" s="225"/>
      <c r="UBZ7" s="225"/>
      <c r="UCA7" s="225"/>
      <c r="UCB7" s="225"/>
      <c r="UCC7" s="225"/>
      <c r="UCD7" s="225"/>
      <c r="UCE7" s="225"/>
      <c r="UCF7" s="225"/>
      <c r="UCG7" s="225"/>
      <c r="UCH7" s="225"/>
      <c r="UCI7" s="225"/>
      <c r="UCJ7" s="225"/>
      <c r="UCK7" s="225"/>
      <c r="UCL7" s="225"/>
      <c r="UCM7" s="225"/>
      <c r="UCN7" s="225"/>
      <c r="UCO7" s="225"/>
      <c r="UCP7" s="225"/>
      <c r="UCQ7" s="225"/>
      <c r="UCR7" s="225"/>
      <c r="UCS7" s="225"/>
      <c r="UCT7" s="225"/>
      <c r="UCU7" s="225"/>
      <c r="UCV7" s="225"/>
      <c r="UCW7" s="225"/>
      <c r="UCX7" s="225"/>
      <c r="UCY7" s="225"/>
      <c r="UCZ7" s="225"/>
      <c r="UDA7" s="225"/>
      <c r="UDB7" s="225"/>
      <c r="UDC7" s="225"/>
      <c r="UDD7" s="225"/>
      <c r="UDE7" s="225"/>
      <c r="UDF7" s="225"/>
      <c r="UDG7" s="225"/>
      <c r="UDH7" s="225"/>
      <c r="UDI7" s="225"/>
      <c r="UDJ7" s="225"/>
      <c r="UDK7" s="225"/>
      <c r="UDL7" s="225"/>
      <c r="UDM7" s="225"/>
      <c r="UDN7" s="225"/>
      <c r="UDO7" s="225"/>
      <c r="UDP7" s="225"/>
      <c r="UDQ7" s="225"/>
      <c r="UDR7" s="225"/>
      <c r="UDS7" s="225"/>
      <c r="UDT7" s="225"/>
      <c r="UDU7" s="225"/>
      <c r="UDV7" s="225"/>
      <c r="UDW7" s="225"/>
      <c r="UDX7" s="225"/>
      <c r="UDY7" s="225"/>
      <c r="UDZ7" s="225"/>
      <c r="UEA7" s="225"/>
      <c r="UEB7" s="225"/>
      <c r="UEC7" s="225"/>
      <c r="UED7" s="225"/>
      <c r="UEE7" s="225"/>
      <c r="UEF7" s="225"/>
      <c r="UEG7" s="225"/>
      <c r="UEH7" s="225"/>
      <c r="UEI7" s="225"/>
      <c r="UEJ7" s="225"/>
      <c r="UEK7" s="225"/>
      <c r="UEL7" s="225"/>
      <c r="UEM7" s="225"/>
      <c r="UEN7" s="225"/>
      <c r="UEO7" s="225"/>
      <c r="UEP7" s="225"/>
      <c r="UEQ7" s="225"/>
      <c r="UER7" s="225"/>
      <c r="UES7" s="225"/>
      <c r="UET7" s="225"/>
      <c r="UEU7" s="225"/>
      <c r="UEV7" s="225"/>
      <c r="UEW7" s="225"/>
      <c r="UEX7" s="225"/>
      <c r="UEY7" s="225"/>
      <c r="UEZ7" s="225"/>
      <c r="UFA7" s="225"/>
      <c r="UFB7" s="225"/>
      <c r="UFC7" s="225"/>
      <c r="UFD7" s="225"/>
      <c r="UFE7" s="225"/>
      <c r="UFF7" s="225"/>
      <c r="UFG7" s="225"/>
      <c r="UFH7" s="225"/>
      <c r="UFI7" s="225"/>
      <c r="UFJ7" s="225"/>
      <c r="UFK7" s="225"/>
      <c r="UFL7" s="225"/>
      <c r="UFM7" s="225"/>
      <c r="UFN7" s="225"/>
      <c r="UFO7" s="225"/>
      <c r="UFP7" s="225"/>
      <c r="UFQ7" s="225"/>
      <c r="UFR7" s="225"/>
      <c r="UFS7" s="225"/>
      <c r="UFT7" s="225"/>
      <c r="UFU7" s="225"/>
      <c r="UFV7" s="225"/>
      <c r="UFW7" s="225"/>
      <c r="UFX7" s="225"/>
      <c r="UFY7" s="225"/>
      <c r="UFZ7" s="225"/>
      <c r="UGA7" s="225"/>
      <c r="UGB7" s="225"/>
      <c r="UGC7" s="225"/>
      <c r="UGD7" s="225"/>
      <c r="UGE7" s="225"/>
      <c r="UGF7" s="225"/>
      <c r="UGG7" s="225"/>
      <c r="UGH7" s="225"/>
      <c r="UGI7" s="225"/>
      <c r="UGJ7" s="225"/>
      <c r="UGK7" s="225"/>
      <c r="UGL7" s="225"/>
      <c r="UGM7" s="225"/>
      <c r="UGN7" s="225"/>
      <c r="UGO7" s="225"/>
      <c r="UGP7" s="225"/>
      <c r="UGQ7" s="225"/>
      <c r="UGR7" s="225"/>
      <c r="UGS7" s="225"/>
      <c r="UGT7" s="225"/>
      <c r="UGU7" s="225"/>
      <c r="UGV7" s="225"/>
      <c r="UGW7" s="225"/>
      <c r="UGX7" s="225"/>
      <c r="UGY7" s="225"/>
      <c r="UGZ7" s="225"/>
      <c r="UHA7" s="225"/>
      <c r="UHB7" s="225"/>
      <c r="UHC7" s="225"/>
      <c r="UHD7" s="225"/>
      <c r="UHE7" s="225"/>
      <c r="UHF7" s="225"/>
      <c r="UHG7" s="225"/>
      <c r="UHH7" s="225"/>
      <c r="UHI7" s="225"/>
      <c r="UHJ7" s="225"/>
      <c r="UHK7" s="225"/>
      <c r="UHL7" s="225"/>
      <c r="UHM7" s="225"/>
      <c r="UHN7" s="225"/>
      <c r="UHO7" s="225"/>
      <c r="UHP7" s="225"/>
      <c r="UHQ7" s="225"/>
      <c r="UHR7" s="225"/>
      <c r="UHS7" s="225"/>
      <c r="UHT7" s="225"/>
      <c r="UHU7" s="225"/>
      <c r="UHV7" s="225"/>
      <c r="UHW7" s="225"/>
      <c r="UHX7" s="225"/>
      <c r="UHY7" s="225"/>
      <c r="UHZ7" s="225"/>
      <c r="UIA7" s="225"/>
      <c r="UIB7" s="225"/>
      <c r="UIC7" s="225"/>
      <c r="UID7" s="225"/>
      <c r="UIE7" s="225"/>
      <c r="UIF7" s="225"/>
      <c r="UIG7" s="225"/>
      <c r="UIH7" s="225"/>
      <c r="UII7" s="225"/>
      <c r="UIJ7" s="225"/>
      <c r="UIK7" s="225"/>
      <c r="UIL7" s="225"/>
      <c r="UIM7" s="225"/>
      <c r="UIN7" s="225"/>
      <c r="UIO7" s="225"/>
      <c r="UIP7" s="225"/>
      <c r="UIQ7" s="225"/>
      <c r="UIR7" s="225"/>
      <c r="UIS7" s="225"/>
      <c r="UIT7" s="225"/>
      <c r="UIU7" s="225"/>
      <c r="UIV7" s="225"/>
      <c r="UIW7" s="225"/>
      <c r="UIX7" s="225"/>
      <c r="UIY7" s="225"/>
      <c r="UIZ7" s="225"/>
      <c r="UJA7" s="225"/>
      <c r="UJB7" s="225"/>
      <c r="UJC7" s="225"/>
      <c r="UJD7" s="225"/>
      <c r="UJE7" s="225"/>
      <c r="UJF7" s="225"/>
      <c r="UJG7" s="225"/>
      <c r="UJH7" s="225"/>
      <c r="UJI7" s="225"/>
      <c r="UJJ7" s="225"/>
      <c r="UJK7" s="225"/>
      <c r="UJL7" s="225"/>
      <c r="UJM7" s="225"/>
      <c r="UJN7" s="225"/>
      <c r="UJO7" s="225"/>
      <c r="UJP7" s="225"/>
      <c r="UJQ7" s="225"/>
      <c r="UJR7" s="225"/>
      <c r="UJS7" s="225"/>
      <c r="UJT7" s="225"/>
      <c r="UJU7" s="225"/>
      <c r="UJV7" s="225"/>
      <c r="UJW7" s="225"/>
      <c r="UJX7" s="225"/>
      <c r="UJY7" s="225"/>
      <c r="UJZ7" s="225"/>
      <c r="UKA7" s="225"/>
      <c r="UKB7" s="225"/>
      <c r="UKC7" s="225"/>
      <c r="UKD7" s="225"/>
      <c r="UKE7" s="225"/>
      <c r="UKF7" s="225"/>
      <c r="UKG7" s="225"/>
      <c r="UKH7" s="225"/>
      <c r="UKI7" s="225"/>
      <c r="UKJ7" s="225"/>
      <c r="UKK7" s="225"/>
      <c r="UKL7" s="225"/>
      <c r="UKM7" s="225"/>
      <c r="UKN7" s="225"/>
      <c r="UKO7" s="225"/>
      <c r="UKP7" s="225"/>
      <c r="UKQ7" s="225"/>
      <c r="UKR7" s="225"/>
      <c r="UKS7" s="225"/>
      <c r="UKT7" s="225"/>
      <c r="UKU7" s="225"/>
      <c r="UKV7" s="225"/>
      <c r="UKW7" s="225"/>
      <c r="UKX7" s="225"/>
      <c r="UKY7" s="225"/>
      <c r="UKZ7" s="225"/>
      <c r="ULA7" s="225"/>
      <c r="ULB7" s="225"/>
      <c r="ULC7" s="225"/>
      <c r="ULD7" s="225"/>
      <c r="ULE7" s="225"/>
      <c r="ULF7" s="225"/>
      <c r="ULG7" s="225"/>
      <c r="ULH7" s="225"/>
      <c r="ULI7" s="225"/>
      <c r="ULJ7" s="225"/>
      <c r="ULK7" s="225"/>
      <c r="ULL7" s="225"/>
      <c r="ULM7" s="225"/>
      <c r="ULN7" s="225"/>
      <c r="ULO7" s="225"/>
      <c r="ULP7" s="225"/>
      <c r="ULQ7" s="225"/>
      <c r="ULR7" s="225"/>
      <c r="ULS7" s="225"/>
      <c r="ULT7" s="225"/>
      <c r="ULU7" s="225"/>
      <c r="ULV7" s="225"/>
      <c r="ULW7" s="225"/>
      <c r="ULX7" s="225"/>
      <c r="ULY7" s="225"/>
      <c r="ULZ7" s="225"/>
      <c r="UMA7" s="225"/>
      <c r="UMB7" s="225"/>
      <c r="UMC7" s="225"/>
      <c r="UMD7" s="225"/>
      <c r="UME7" s="225"/>
      <c r="UMF7" s="225"/>
      <c r="UMG7" s="225"/>
      <c r="UMH7" s="225"/>
      <c r="UMI7" s="225"/>
      <c r="UMJ7" s="225"/>
      <c r="UMK7" s="225"/>
      <c r="UML7" s="225"/>
      <c r="UMM7" s="225"/>
      <c r="UMN7" s="225"/>
      <c r="UMO7" s="225"/>
      <c r="UMP7" s="225"/>
      <c r="UMQ7" s="225"/>
      <c r="UMR7" s="225"/>
      <c r="UMS7" s="225"/>
      <c r="UMT7" s="225"/>
      <c r="UMU7" s="225"/>
      <c r="UMV7" s="225"/>
      <c r="UMW7" s="225"/>
      <c r="UMX7" s="225"/>
      <c r="UMY7" s="225"/>
      <c r="UMZ7" s="225"/>
      <c r="UNA7" s="225"/>
      <c r="UNB7" s="225"/>
      <c r="UNC7" s="225"/>
      <c r="UND7" s="225"/>
      <c r="UNE7" s="225"/>
      <c r="UNF7" s="225"/>
      <c r="UNG7" s="225"/>
      <c r="UNH7" s="225"/>
      <c r="UNI7" s="225"/>
      <c r="UNJ7" s="225"/>
      <c r="UNK7" s="225"/>
      <c r="UNL7" s="225"/>
      <c r="UNM7" s="225"/>
      <c r="UNN7" s="225"/>
      <c r="UNO7" s="225"/>
      <c r="UNP7" s="225"/>
      <c r="UNQ7" s="225"/>
      <c r="UNR7" s="225"/>
      <c r="UNS7" s="225"/>
      <c r="UNT7" s="225"/>
      <c r="UNU7" s="225"/>
      <c r="UNV7" s="225"/>
      <c r="UNW7" s="225"/>
      <c r="UNX7" s="225"/>
      <c r="UNY7" s="225"/>
      <c r="UNZ7" s="225"/>
      <c r="UOA7" s="225"/>
      <c r="UOB7" s="225"/>
      <c r="UOC7" s="225"/>
      <c r="UOD7" s="225"/>
      <c r="UOE7" s="225"/>
      <c r="UOF7" s="225"/>
      <c r="UOG7" s="225"/>
      <c r="UOH7" s="225"/>
      <c r="UOI7" s="225"/>
      <c r="UOJ7" s="225"/>
      <c r="UOK7" s="225"/>
      <c r="UOL7" s="225"/>
      <c r="UOM7" s="225"/>
      <c r="UON7" s="225"/>
      <c r="UOO7" s="225"/>
      <c r="UOP7" s="225"/>
      <c r="UOQ7" s="225"/>
      <c r="UOR7" s="225"/>
      <c r="UOS7" s="225"/>
      <c r="UOT7" s="225"/>
      <c r="UOU7" s="225"/>
      <c r="UOV7" s="225"/>
      <c r="UOW7" s="225"/>
      <c r="UOX7" s="225"/>
      <c r="UOY7" s="225"/>
      <c r="UOZ7" s="225"/>
      <c r="UPA7" s="225"/>
      <c r="UPB7" s="225"/>
      <c r="UPC7" s="225"/>
      <c r="UPD7" s="225"/>
      <c r="UPE7" s="225"/>
      <c r="UPF7" s="225"/>
      <c r="UPG7" s="225"/>
      <c r="UPH7" s="225"/>
      <c r="UPI7" s="225"/>
      <c r="UPJ7" s="225"/>
      <c r="UPK7" s="225"/>
      <c r="UPL7" s="225"/>
      <c r="UPM7" s="225"/>
      <c r="UPN7" s="225"/>
      <c r="UPO7" s="225"/>
      <c r="UPP7" s="225"/>
      <c r="UPQ7" s="225"/>
      <c r="UPR7" s="225"/>
      <c r="UPS7" s="225"/>
      <c r="UPT7" s="225"/>
      <c r="UPU7" s="225"/>
      <c r="UPV7" s="225"/>
      <c r="UPW7" s="225"/>
      <c r="UPX7" s="225"/>
      <c r="UPY7" s="225"/>
      <c r="UPZ7" s="225"/>
      <c r="UQA7" s="225"/>
      <c r="UQB7" s="225"/>
      <c r="UQC7" s="225"/>
      <c r="UQD7" s="225"/>
      <c r="UQE7" s="225"/>
      <c r="UQF7" s="225"/>
      <c r="UQG7" s="225"/>
      <c r="UQH7" s="225"/>
      <c r="UQI7" s="225"/>
      <c r="UQJ7" s="225"/>
      <c r="UQK7" s="225"/>
      <c r="UQL7" s="225"/>
      <c r="UQM7" s="225"/>
      <c r="UQN7" s="225"/>
      <c r="UQO7" s="225"/>
      <c r="UQP7" s="225"/>
      <c r="UQQ7" s="225"/>
      <c r="UQR7" s="225"/>
      <c r="UQS7" s="225"/>
      <c r="UQT7" s="225"/>
      <c r="UQU7" s="225"/>
      <c r="UQV7" s="225"/>
      <c r="UQW7" s="225"/>
      <c r="UQX7" s="225"/>
      <c r="UQY7" s="225"/>
      <c r="UQZ7" s="225"/>
      <c r="URA7" s="225"/>
      <c r="URB7" s="225"/>
      <c r="URC7" s="225"/>
      <c r="URD7" s="225"/>
      <c r="URE7" s="225"/>
      <c r="URF7" s="225"/>
      <c r="URG7" s="225"/>
      <c r="URH7" s="225"/>
      <c r="URI7" s="225"/>
      <c r="URJ7" s="225"/>
      <c r="URK7" s="225"/>
      <c r="URL7" s="225"/>
      <c r="URM7" s="225"/>
      <c r="URN7" s="225"/>
      <c r="URO7" s="225"/>
      <c r="URP7" s="225"/>
      <c r="URQ7" s="225"/>
      <c r="URR7" s="225"/>
      <c r="URS7" s="225"/>
      <c r="URT7" s="225"/>
      <c r="URU7" s="225"/>
      <c r="URV7" s="225"/>
      <c r="URW7" s="225"/>
      <c r="URX7" s="225"/>
      <c r="URY7" s="225"/>
      <c r="URZ7" s="225"/>
      <c r="USA7" s="225"/>
      <c r="USB7" s="225"/>
      <c r="USC7" s="225"/>
      <c r="USD7" s="225"/>
      <c r="USE7" s="225"/>
      <c r="USF7" s="225"/>
      <c r="USG7" s="225"/>
      <c r="USH7" s="225"/>
      <c r="USI7" s="225"/>
      <c r="USJ7" s="225"/>
      <c r="USK7" s="225"/>
      <c r="USL7" s="225"/>
      <c r="USM7" s="225"/>
      <c r="USN7" s="225"/>
      <c r="USO7" s="225"/>
      <c r="USP7" s="225"/>
      <c r="USQ7" s="225"/>
      <c r="USR7" s="225"/>
      <c r="USS7" s="225"/>
      <c r="UST7" s="225"/>
      <c r="USU7" s="225"/>
      <c r="USV7" s="225"/>
      <c r="USW7" s="225"/>
      <c r="USX7" s="225"/>
      <c r="USY7" s="225"/>
      <c r="USZ7" s="225"/>
      <c r="UTA7" s="225"/>
      <c r="UTB7" s="225"/>
      <c r="UTC7" s="225"/>
      <c r="UTD7" s="225"/>
      <c r="UTE7" s="225"/>
      <c r="UTF7" s="225"/>
      <c r="UTG7" s="225"/>
      <c r="UTH7" s="225"/>
      <c r="UTI7" s="225"/>
      <c r="UTJ7" s="225"/>
      <c r="UTK7" s="225"/>
      <c r="UTL7" s="225"/>
      <c r="UTM7" s="225"/>
      <c r="UTN7" s="225"/>
      <c r="UTO7" s="225"/>
      <c r="UTP7" s="225"/>
      <c r="UTQ7" s="225"/>
      <c r="UTR7" s="225"/>
      <c r="UTS7" s="225"/>
      <c r="UTT7" s="225"/>
      <c r="UTU7" s="225"/>
      <c r="UTV7" s="225"/>
      <c r="UTW7" s="225"/>
      <c r="UTX7" s="225"/>
      <c r="UTY7" s="225"/>
      <c r="UTZ7" s="225"/>
      <c r="UUA7" s="225"/>
      <c r="UUB7" s="225"/>
      <c r="UUC7" s="225"/>
      <c r="UUD7" s="225"/>
      <c r="UUE7" s="225"/>
      <c r="UUF7" s="225"/>
      <c r="UUG7" s="225"/>
      <c r="UUH7" s="225"/>
      <c r="UUI7" s="225"/>
      <c r="UUJ7" s="225"/>
      <c r="UUK7" s="225"/>
      <c r="UUL7" s="225"/>
      <c r="UUM7" s="225"/>
      <c r="UUN7" s="225"/>
      <c r="UUO7" s="225"/>
      <c r="UUP7" s="225"/>
      <c r="UUQ7" s="225"/>
      <c r="UUR7" s="225"/>
      <c r="UUS7" s="225"/>
      <c r="UUT7" s="225"/>
      <c r="UUU7" s="225"/>
      <c r="UUV7" s="225"/>
      <c r="UUW7" s="225"/>
      <c r="UUX7" s="225"/>
      <c r="UUY7" s="225"/>
      <c r="UUZ7" s="225"/>
      <c r="UVA7" s="225"/>
      <c r="UVB7" s="225"/>
      <c r="UVC7" s="225"/>
      <c r="UVD7" s="225"/>
      <c r="UVE7" s="225"/>
      <c r="UVF7" s="225"/>
      <c r="UVG7" s="225"/>
      <c r="UVH7" s="225"/>
      <c r="UVI7" s="225"/>
      <c r="UVJ7" s="225"/>
      <c r="UVK7" s="225"/>
      <c r="UVL7" s="225"/>
      <c r="UVM7" s="225"/>
      <c r="UVN7" s="225"/>
      <c r="UVO7" s="225"/>
      <c r="UVP7" s="225"/>
      <c r="UVQ7" s="225"/>
      <c r="UVR7" s="225"/>
      <c r="UVS7" s="225"/>
      <c r="UVT7" s="225"/>
      <c r="UVU7" s="225"/>
      <c r="UVV7" s="225"/>
      <c r="UVW7" s="225"/>
      <c r="UVX7" s="225"/>
      <c r="UVY7" s="225"/>
      <c r="UVZ7" s="225"/>
      <c r="UWA7" s="225"/>
      <c r="UWB7" s="225"/>
      <c r="UWC7" s="225"/>
      <c r="UWD7" s="225"/>
      <c r="UWE7" s="225"/>
      <c r="UWF7" s="225"/>
      <c r="UWG7" s="225"/>
      <c r="UWH7" s="225"/>
      <c r="UWI7" s="225"/>
      <c r="UWJ7" s="225"/>
      <c r="UWK7" s="225"/>
      <c r="UWL7" s="225"/>
      <c r="UWM7" s="225"/>
      <c r="UWN7" s="225"/>
      <c r="UWO7" s="225"/>
      <c r="UWP7" s="225"/>
      <c r="UWQ7" s="225"/>
      <c r="UWR7" s="225"/>
      <c r="UWS7" s="225"/>
      <c r="UWT7" s="225"/>
      <c r="UWU7" s="225"/>
      <c r="UWV7" s="225"/>
      <c r="UWW7" s="225"/>
      <c r="UWX7" s="225"/>
      <c r="UWY7" s="225"/>
      <c r="UWZ7" s="225"/>
      <c r="UXA7" s="225"/>
      <c r="UXB7" s="225"/>
      <c r="UXC7" s="225"/>
      <c r="UXD7" s="225"/>
      <c r="UXE7" s="225"/>
      <c r="UXF7" s="225"/>
      <c r="UXG7" s="225"/>
      <c r="UXH7" s="225"/>
      <c r="UXI7" s="225"/>
      <c r="UXJ7" s="225"/>
      <c r="UXK7" s="225"/>
      <c r="UXL7" s="225"/>
      <c r="UXM7" s="225"/>
      <c r="UXN7" s="225"/>
      <c r="UXO7" s="225"/>
      <c r="UXP7" s="225"/>
      <c r="UXQ7" s="225"/>
      <c r="UXR7" s="225"/>
      <c r="UXS7" s="225"/>
      <c r="UXT7" s="225"/>
      <c r="UXU7" s="225"/>
      <c r="UXV7" s="225"/>
      <c r="UXW7" s="225"/>
      <c r="UXX7" s="225"/>
      <c r="UXY7" s="225"/>
      <c r="UXZ7" s="225"/>
      <c r="UYA7" s="225"/>
      <c r="UYB7" s="225"/>
      <c r="UYC7" s="225"/>
      <c r="UYD7" s="225"/>
      <c r="UYE7" s="225"/>
      <c r="UYF7" s="225"/>
      <c r="UYG7" s="225"/>
      <c r="UYH7" s="225"/>
      <c r="UYI7" s="225"/>
      <c r="UYJ7" s="225"/>
      <c r="UYK7" s="225"/>
      <c r="UYL7" s="225"/>
      <c r="UYM7" s="225"/>
      <c r="UYN7" s="225"/>
      <c r="UYO7" s="225"/>
      <c r="UYP7" s="225"/>
      <c r="UYQ7" s="225"/>
      <c r="UYR7" s="225"/>
      <c r="UYS7" s="225"/>
      <c r="UYT7" s="225"/>
      <c r="UYU7" s="225"/>
      <c r="UYV7" s="225"/>
      <c r="UYW7" s="225"/>
      <c r="UYX7" s="225"/>
      <c r="UYY7" s="225"/>
      <c r="UYZ7" s="225"/>
      <c r="UZA7" s="225"/>
      <c r="UZB7" s="225"/>
      <c r="UZC7" s="225"/>
      <c r="UZD7" s="225"/>
      <c r="UZE7" s="225"/>
      <c r="UZF7" s="225"/>
      <c r="UZG7" s="225"/>
      <c r="UZH7" s="225"/>
      <c r="UZI7" s="225"/>
      <c r="UZJ7" s="225"/>
      <c r="UZK7" s="225"/>
      <c r="UZL7" s="225"/>
      <c r="UZM7" s="225"/>
      <c r="UZN7" s="225"/>
      <c r="UZO7" s="225"/>
      <c r="UZP7" s="225"/>
      <c r="UZQ7" s="225"/>
      <c r="UZR7" s="225"/>
      <c r="UZS7" s="225"/>
      <c r="UZT7" s="225"/>
      <c r="UZU7" s="225"/>
      <c r="UZV7" s="225"/>
      <c r="UZW7" s="225"/>
      <c r="UZX7" s="225"/>
      <c r="UZY7" s="225"/>
      <c r="UZZ7" s="225"/>
      <c r="VAA7" s="225"/>
      <c r="VAB7" s="225"/>
      <c r="VAC7" s="225"/>
      <c r="VAD7" s="225"/>
      <c r="VAE7" s="225"/>
      <c r="VAF7" s="225"/>
      <c r="VAG7" s="225"/>
      <c r="VAH7" s="225"/>
      <c r="VAI7" s="225"/>
      <c r="VAJ7" s="225"/>
      <c r="VAK7" s="225"/>
      <c r="VAL7" s="225"/>
      <c r="VAM7" s="225"/>
      <c r="VAN7" s="225"/>
      <c r="VAO7" s="225"/>
      <c r="VAP7" s="225"/>
      <c r="VAQ7" s="225"/>
      <c r="VAR7" s="225"/>
      <c r="VAS7" s="225"/>
      <c r="VAT7" s="225"/>
      <c r="VAU7" s="225"/>
      <c r="VAV7" s="225"/>
      <c r="VAW7" s="225"/>
      <c r="VAX7" s="225"/>
      <c r="VAY7" s="225"/>
      <c r="VAZ7" s="225"/>
      <c r="VBA7" s="225"/>
      <c r="VBB7" s="225"/>
      <c r="VBC7" s="225"/>
      <c r="VBD7" s="225"/>
      <c r="VBE7" s="225"/>
      <c r="VBF7" s="225"/>
      <c r="VBG7" s="225"/>
      <c r="VBH7" s="225"/>
      <c r="VBI7" s="225"/>
      <c r="VBJ7" s="225"/>
      <c r="VBK7" s="225"/>
      <c r="VBL7" s="225"/>
      <c r="VBM7" s="225"/>
      <c r="VBN7" s="225"/>
      <c r="VBO7" s="225"/>
      <c r="VBP7" s="225"/>
      <c r="VBQ7" s="225"/>
      <c r="VBR7" s="225"/>
      <c r="VBS7" s="225"/>
      <c r="VBT7" s="225"/>
      <c r="VBU7" s="225"/>
      <c r="VBV7" s="225"/>
      <c r="VBW7" s="225"/>
      <c r="VBX7" s="225"/>
      <c r="VBY7" s="225"/>
      <c r="VBZ7" s="225"/>
      <c r="VCA7" s="225"/>
      <c r="VCB7" s="225"/>
      <c r="VCC7" s="225"/>
      <c r="VCD7" s="225"/>
      <c r="VCE7" s="225"/>
      <c r="VCF7" s="225"/>
      <c r="VCG7" s="225"/>
      <c r="VCH7" s="225"/>
      <c r="VCI7" s="225"/>
      <c r="VCJ7" s="225"/>
      <c r="VCK7" s="225"/>
      <c r="VCL7" s="225"/>
      <c r="VCM7" s="225"/>
      <c r="VCN7" s="225"/>
      <c r="VCO7" s="225"/>
      <c r="VCP7" s="225"/>
      <c r="VCQ7" s="225"/>
      <c r="VCR7" s="225"/>
      <c r="VCS7" s="225"/>
      <c r="VCT7" s="225"/>
      <c r="VCU7" s="225"/>
      <c r="VCV7" s="225"/>
      <c r="VCW7" s="225"/>
      <c r="VCX7" s="225"/>
      <c r="VCY7" s="225"/>
      <c r="VCZ7" s="225"/>
      <c r="VDA7" s="225"/>
      <c r="VDB7" s="225"/>
      <c r="VDC7" s="225"/>
      <c r="VDD7" s="225"/>
      <c r="VDE7" s="225"/>
      <c r="VDF7" s="225"/>
      <c r="VDG7" s="225"/>
      <c r="VDH7" s="225"/>
      <c r="VDI7" s="225"/>
      <c r="VDJ7" s="225"/>
      <c r="VDK7" s="225"/>
      <c r="VDL7" s="225"/>
      <c r="VDM7" s="225"/>
      <c r="VDN7" s="225"/>
      <c r="VDO7" s="225"/>
      <c r="VDP7" s="225"/>
      <c r="VDQ7" s="225"/>
      <c r="VDR7" s="225"/>
      <c r="VDS7" s="225"/>
      <c r="VDT7" s="225"/>
      <c r="VDU7" s="225"/>
      <c r="VDV7" s="225"/>
      <c r="VDW7" s="225"/>
      <c r="VDX7" s="225"/>
      <c r="VDY7" s="225"/>
      <c r="VDZ7" s="225"/>
      <c r="VEA7" s="225"/>
      <c r="VEB7" s="225"/>
      <c r="VEC7" s="225"/>
      <c r="VED7" s="225"/>
      <c r="VEE7" s="225"/>
      <c r="VEF7" s="225"/>
      <c r="VEG7" s="225"/>
      <c r="VEH7" s="225"/>
      <c r="VEI7" s="225"/>
      <c r="VEJ7" s="225"/>
      <c r="VEK7" s="225"/>
      <c r="VEL7" s="225"/>
      <c r="VEM7" s="225"/>
      <c r="VEN7" s="225"/>
      <c r="VEO7" s="225"/>
      <c r="VEP7" s="225"/>
      <c r="VEQ7" s="225"/>
      <c r="VER7" s="225"/>
      <c r="VES7" s="225"/>
      <c r="VET7" s="225"/>
      <c r="VEU7" s="225"/>
      <c r="VEV7" s="225"/>
      <c r="VEW7" s="225"/>
      <c r="VEX7" s="225"/>
      <c r="VEY7" s="225"/>
      <c r="VEZ7" s="225"/>
      <c r="VFA7" s="225"/>
      <c r="VFB7" s="225"/>
      <c r="VFC7" s="225"/>
      <c r="VFD7" s="225"/>
      <c r="VFE7" s="225"/>
      <c r="VFF7" s="225"/>
      <c r="VFG7" s="225"/>
      <c r="VFH7" s="225"/>
      <c r="VFI7" s="225"/>
      <c r="VFJ7" s="225"/>
      <c r="VFK7" s="225"/>
      <c r="VFL7" s="225"/>
      <c r="VFM7" s="225"/>
      <c r="VFN7" s="225"/>
      <c r="VFO7" s="225"/>
      <c r="VFP7" s="225"/>
      <c r="VFQ7" s="225"/>
      <c r="VFR7" s="225"/>
      <c r="VFS7" s="225"/>
      <c r="VFT7" s="225"/>
      <c r="VFU7" s="225"/>
      <c r="VFV7" s="225"/>
      <c r="VFW7" s="225"/>
      <c r="VFX7" s="225"/>
      <c r="VFY7" s="225"/>
      <c r="VFZ7" s="225"/>
      <c r="VGA7" s="225"/>
      <c r="VGB7" s="225"/>
      <c r="VGC7" s="225"/>
      <c r="VGD7" s="225"/>
      <c r="VGE7" s="225"/>
      <c r="VGF7" s="225"/>
      <c r="VGG7" s="225"/>
      <c r="VGH7" s="225"/>
      <c r="VGI7" s="225"/>
      <c r="VGJ7" s="225"/>
      <c r="VGK7" s="225"/>
      <c r="VGL7" s="225"/>
      <c r="VGM7" s="225"/>
      <c r="VGN7" s="225"/>
      <c r="VGO7" s="225"/>
      <c r="VGP7" s="225"/>
      <c r="VGQ7" s="225"/>
      <c r="VGR7" s="225"/>
      <c r="VGS7" s="225"/>
      <c r="VGT7" s="225"/>
      <c r="VGU7" s="225"/>
      <c r="VGV7" s="225"/>
      <c r="VGW7" s="225"/>
      <c r="VGX7" s="225"/>
      <c r="VGY7" s="225"/>
      <c r="VGZ7" s="225"/>
      <c r="VHA7" s="225"/>
      <c r="VHB7" s="225"/>
      <c r="VHC7" s="225"/>
      <c r="VHD7" s="225"/>
      <c r="VHE7" s="225"/>
      <c r="VHF7" s="225"/>
      <c r="VHG7" s="225"/>
      <c r="VHH7" s="225"/>
      <c r="VHI7" s="225"/>
      <c r="VHJ7" s="225"/>
      <c r="VHK7" s="225"/>
      <c r="VHL7" s="225"/>
      <c r="VHM7" s="225"/>
      <c r="VHN7" s="225"/>
      <c r="VHO7" s="225"/>
      <c r="VHP7" s="225"/>
      <c r="VHQ7" s="225"/>
      <c r="VHR7" s="225"/>
      <c r="VHS7" s="225"/>
      <c r="VHT7" s="225"/>
      <c r="VHU7" s="225"/>
      <c r="VHV7" s="225"/>
      <c r="VHW7" s="225"/>
      <c r="VHX7" s="225"/>
      <c r="VHY7" s="225"/>
      <c r="VHZ7" s="225"/>
      <c r="VIA7" s="225"/>
      <c r="VIB7" s="225"/>
      <c r="VIC7" s="225"/>
      <c r="VID7" s="225"/>
      <c r="VIE7" s="225"/>
      <c r="VIF7" s="225"/>
      <c r="VIG7" s="225"/>
      <c r="VIH7" s="225"/>
      <c r="VII7" s="225"/>
      <c r="VIJ7" s="225"/>
      <c r="VIK7" s="225"/>
      <c r="VIL7" s="225"/>
      <c r="VIM7" s="225"/>
      <c r="VIN7" s="225"/>
      <c r="VIO7" s="225"/>
      <c r="VIP7" s="225"/>
      <c r="VIQ7" s="225"/>
      <c r="VIR7" s="225"/>
      <c r="VIS7" s="225"/>
      <c r="VIT7" s="225"/>
      <c r="VIU7" s="225"/>
      <c r="VIV7" s="225"/>
      <c r="VIW7" s="225"/>
      <c r="VIX7" s="225"/>
      <c r="VIY7" s="225"/>
      <c r="VIZ7" s="225"/>
      <c r="VJA7" s="225"/>
      <c r="VJB7" s="225"/>
      <c r="VJC7" s="225"/>
      <c r="VJD7" s="225"/>
      <c r="VJE7" s="225"/>
      <c r="VJF7" s="225"/>
      <c r="VJG7" s="225"/>
      <c r="VJH7" s="225"/>
      <c r="VJI7" s="225"/>
      <c r="VJJ7" s="225"/>
      <c r="VJK7" s="225"/>
      <c r="VJL7" s="225"/>
      <c r="VJM7" s="225"/>
      <c r="VJN7" s="225"/>
      <c r="VJO7" s="225"/>
      <c r="VJP7" s="225"/>
      <c r="VJQ7" s="225"/>
      <c r="VJR7" s="225"/>
      <c r="VJS7" s="225"/>
      <c r="VJT7" s="225"/>
      <c r="VJU7" s="225"/>
      <c r="VJV7" s="225"/>
      <c r="VJW7" s="225"/>
      <c r="VJX7" s="225"/>
      <c r="VJY7" s="225"/>
      <c r="VJZ7" s="225"/>
      <c r="VKA7" s="225"/>
      <c r="VKB7" s="225"/>
      <c r="VKC7" s="225"/>
      <c r="VKD7" s="225"/>
      <c r="VKE7" s="225"/>
      <c r="VKF7" s="225"/>
      <c r="VKG7" s="225"/>
      <c r="VKH7" s="225"/>
      <c r="VKI7" s="225"/>
      <c r="VKJ7" s="225"/>
      <c r="VKK7" s="225"/>
      <c r="VKL7" s="225"/>
      <c r="VKM7" s="225"/>
      <c r="VKN7" s="225"/>
      <c r="VKO7" s="225"/>
      <c r="VKP7" s="225"/>
      <c r="VKQ7" s="225"/>
      <c r="VKR7" s="225"/>
      <c r="VKS7" s="225"/>
      <c r="VKT7" s="225"/>
      <c r="VKU7" s="225"/>
      <c r="VKV7" s="225"/>
      <c r="VKW7" s="225"/>
      <c r="VKX7" s="225"/>
      <c r="VKY7" s="225"/>
      <c r="VKZ7" s="225"/>
      <c r="VLA7" s="225"/>
      <c r="VLB7" s="225"/>
      <c r="VLC7" s="225"/>
      <c r="VLD7" s="225"/>
      <c r="VLE7" s="225"/>
      <c r="VLF7" s="225"/>
      <c r="VLG7" s="225"/>
      <c r="VLH7" s="225"/>
      <c r="VLI7" s="225"/>
      <c r="VLJ7" s="225"/>
      <c r="VLK7" s="225"/>
      <c r="VLL7" s="225"/>
      <c r="VLM7" s="225"/>
      <c r="VLN7" s="225"/>
      <c r="VLO7" s="225"/>
      <c r="VLP7" s="225"/>
      <c r="VLQ7" s="225"/>
      <c r="VLR7" s="225"/>
      <c r="VLS7" s="225"/>
      <c r="VLT7" s="225"/>
      <c r="VLU7" s="225"/>
      <c r="VLV7" s="225"/>
      <c r="VLW7" s="225"/>
      <c r="VLX7" s="225"/>
      <c r="VLY7" s="225"/>
      <c r="VLZ7" s="225"/>
      <c r="VMA7" s="225"/>
      <c r="VMB7" s="225"/>
      <c r="VMC7" s="225"/>
      <c r="VMD7" s="225"/>
      <c r="VME7" s="225"/>
      <c r="VMF7" s="225"/>
      <c r="VMG7" s="225"/>
      <c r="VMH7" s="225"/>
      <c r="VMI7" s="225"/>
      <c r="VMJ7" s="225"/>
      <c r="VMK7" s="225"/>
      <c r="VML7" s="225"/>
      <c r="VMM7" s="225"/>
      <c r="VMN7" s="225"/>
      <c r="VMO7" s="225"/>
      <c r="VMP7" s="225"/>
      <c r="VMQ7" s="225"/>
      <c r="VMR7" s="225"/>
      <c r="VMS7" s="225"/>
      <c r="VMT7" s="225"/>
      <c r="VMU7" s="225"/>
      <c r="VMV7" s="225"/>
      <c r="VMW7" s="225"/>
      <c r="VMX7" s="225"/>
      <c r="VMY7" s="225"/>
      <c r="VMZ7" s="225"/>
      <c r="VNA7" s="225"/>
      <c r="VNB7" s="225"/>
      <c r="VNC7" s="225"/>
      <c r="VND7" s="225"/>
      <c r="VNE7" s="225"/>
      <c r="VNF7" s="225"/>
      <c r="VNG7" s="225"/>
      <c r="VNH7" s="225"/>
      <c r="VNI7" s="225"/>
      <c r="VNJ7" s="225"/>
      <c r="VNK7" s="225"/>
      <c r="VNL7" s="225"/>
      <c r="VNM7" s="225"/>
      <c r="VNN7" s="225"/>
      <c r="VNO7" s="225"/>
      <c r="VNP7" s="225"/>
      <c r="VNQ7" s="225"/>
      <c r="VNR7" s="225"/>
      <c r="VNS7" s="225"/>
      <c r="VNT7" s="225"/>
      <c r="VNU7" s="225"/>
      <c r="VNV7" s="225"/>
      <c r="VNW7" s="225"/>
      <c r="VNX7" s="225"/>
      <c r="VNY7" s="225"/>
      <c r="VNZ7" s="225"/>
      <c r="VOA7" s="225"/>
      <c r="VOB7" s="225"/>
      <c r="VOC7" s="225"/>
      <c r="VOD7" s="225"/>
      <c r="VOE7" s="225"/>
      <c r="VOF7" s="225"/>
      <c r="VOG7" s="225"/>
      <c r="VOH7" s="225"/>
      <c r="VOI7" s="225"/>
      <c r="VOJ7" s="225"/>
      <c r="VOK7" s="225"/>
      <c r="VOL7" s="225"/>
      <c r="VOM7" s="225"/>
      <c r="VON7" s="225"/>
      <c r="VOO7" s="225"/>
      <c r="VOP7" s="225"/>
      <c r="VOQ7" s="225"/>
      <c r="VOR7" s="225"/>
      <c r="VOS7" s="225"/>
      <c r="VOT7" s="225"/>
      <c r="VOU7" s="225"/>
      <c r="VOV7" s="225"/>
      <c r="VOW7" s="225"/>
      <c r="VOX7" s="225"/>
      <c r="VOY7" s="225"/>
      <c r="VOZ7" s="225"/>
      <c r="VPA7" s="225"/>
      <c r="VPB7" s="225"/>
      <c r="VPC7" s="225"/>
      <c r="VPD7" s="225"/>
      <c r="VPE7" s="225"/>
      <c r="VPF7" s="225"/>
      <c r="VPG7" s="225"/>
      <c r="VPH7" s="225"/>
      <c r="VPI7" s="225"/>
      <c r="VPJ7" s="225"/>
      <c r="VPK7" s="225"/>
      <c r="VPL7" s="225"/>
      <c r="VPM7" s="225"/>
      <c r="VPN7" s="225"/>
      <c r="VPO7" s="225"/>
      <c r="VPP7" s="225"/>
      <c r="VPQ7" s="225"/>
      <c r="VPR7" s="225"/>
      <c r="VPS7" s="225"/>
      <c r="VPT7" s="225"/>
      <c r="VPU7" s="225"/>
      <c r="VPV7" s="225"/>
      <c r="VPW7" s="225"/>
      <c r="VPX7" s="225"/>
      <c r="VPY7" s="225"/>
      <c r="VPZ7" s="225"/>
      <c r="VQA7" s="225"/>
      <c r="VQB7" s="225"/>
      <c r="VQC7" s="225"/>
      <c r="VQD7" s="225"/>
      <c r="VQE7" s="225"/>
      <c r="VQF7" s="225"/>
      <c r="VQG7" s="225"/>
      <c r="VQH7" s="225"/>
      <c r="VQI7" s="225"/>
      <c r="VQJ7" s="225"/>
      <c r="VQK7" s="225"/>
      <c r="VQL7" s="225"/>
      <c r="VQM7" s="225"/>
      <c r="VQN7" s="225"/>
      <c r="VQO7" s="225"/>
      <c r="VQP7" s="225"/>
      <c r="VQQ7" s="225"/>
      <c r="VQR7" s="225"/>
      <c r="VQS7" s="225"/>
      <c r="VQT7" s="225"/>
      <c r="VQU7" s="225"/>
      <c r="VQV7" s="225"/>
      <c r="VQW7" s="225"/>
      <c r="VQX7" s="225"/>
      <c r="VQY7" s="225"/>
      <c r="VQZ7" s="225"/>
      <c r="VRA7" s="225"/>
      <c r="VRB7" s="225"/>
      <c r="VRC7" s="225"/>
      <c r="VRD7" s="225"/>
      <c r="VRE7" s="225"/>
      <c r="VRF7" s="225"/>
      <c r="VRG7" s="225"/>
      <c r="VRH7" s="225"/>
      <c r="VRI7" s="225"/>
      <c r="VRJ7" s="225"/>
      <c r="VRK7" s="225"/>
      <c r="VRL7" s="225"/>
      <c r="VRM7" s="225"/>
      <c r="VRN7" s="225"/>
      <c r="VRO7" s="225"/>
      <c r="VRP7" s="225"/>
      <c r="VRQ7" s="225"/>
      <c r="VRR7" s="225"/>
      <c r="VRS7" s="225"/>
      <c r="VRT7" s="225"/>
      <c r="VRU7" s="225"/>
      <c r="VRV7" s="225"/>
      <c r="VRW7" s="225"/>
      <c r="VRX7" s="225"/>
      <c r="VRY7" s="225"/>
      <c r="VRZ7" s="225"/>
      <c r="VSA7" s="225"/>
      <c r="VSB7" s="225"/>
      <c r="VSC7" s="225"/>
      <c r="VSD7" s="225"/>
      <c r="VSE7" s="225"/>
      <c r="VSF7" s="225"/>
      <c r="VSG7" s="225"/>
      <c r="VSH7" s="225"/>
      <c r="VSI7" s="225"/>
      <c r="VSJ7" s="225"/>
      <c r="VSK7" s="225"/>
      <c r="VSL7" s="225"/>
      <c r="VSM7" s="225"/>
      <c r="VSN7" s="225"/>
      <c r="VSO7" s="225"/>
      <c r="VSP7" s="225"/>
      <c r="VSQ7" s="225"/>
      <c r="VSR7" s="225"/>
      <c r="VSS7" s="225"/>
      <c r="VST7" s="225"/>
      <c r="VSU7" s="225"/>
      <c r="VSV7" s="225"/>
      <c r="VSW7" s="225"/>
      <c r="VSX7" s="225"/>
      <c r="VSY7" s="225"/>
      <c r="VSZ7" s="225"/>
      <c r="VTA7" s="225"/>
      <c r="VTB7" s="225"/>
      <c r="VTC7" s="225"/>
      <c r="VTD7" s="225"/>
      <c r="VTE7" s="225"/>
      <c r="VTF7" s="225"/>
      <c r="VTG7" s="225"/>
      <c r="VTH7" s="225"/>
      <c r="VTI7" s="225"/>
      <c r="VTJ7" s="225"/>
      <c r="VTK7" s="225"/>
      <c r="VTL7" s="225"/>
      <c r="VTM7" s="225"/>
      <c r="VTN7" s="225"/>
      <c r="VTO7" s="225"/>
      <c r="VTP7" s="225"/>
      <c r="VTQ7" s="225"/>
      <c r="VTR7" s="225"/>
      <c r="VTS7" s="225"/>
      <c r="VTT7" s="225"/>
      <c r="VTU7" s="225"/>
      <c r="VTV7" s="225"/>
      <c r="VTW7" s="225"/>
      <c r="VTX7" s="225"/>
      <c r="VTY7" s="225"/>
      <c r="VTZ7" s="225"/>
      <c r="VUA7" s="225"/>
      <c r="VUB7" s="225"/>
      <c r="VUC7" s="225"/>
      <c r="VUD7" s="225"/>
      <c r="VUE7" s="225"/>
      <c r="VUF7" s="225"/>
      <c r="VUG7" s="225"/>
      <c r="VUH7" s="225"/>
      <c r="VUI7" s="225"/>
      <c r="VUJ7" s="225"/>
      <c r="VUK7" s="225"/>
      <c r="VUL7" s="225"/>
      <c r="VUM7" s="225"/>
      <c r="VUN7" s="225"/>
      <c r="VUO7" s="225"/>
      <c r="VUP7" s="225"/>
      <c r="VUQ7" s="225"/>
      <c r="VUR7" s="225"/>
      <c r="VUS7" s="225"/>
      <c r="VUT7" s="225"/>
      <c r="VUU7" s="225"/>
      <c r="VUV7" s="225"/>
      <c r="VUW7" s="225"/>
      <c r="VUX7" s="225"/>
      <c r="VUY7" s="225"/>
      <c r="VUZ7" s="225"/>
      <c r="VVA7" s="225"/>
      <c r="VVB7" s="225"/>
      <c r="VVC7" s="225"/>
      <c r="VVD7" s="225"/>
      <c r="VVE7" s="225"/>
      <c r="VVF7" s="225"/>
      <c r="VVG7" s="225"/>
      <c r="VVH7" s="225"/>
      <c r="VVI7" s="225"/>
      <c r="VVJ7" s="225"/>
      <c r="VVK7" s="225"/>
      <c r="VVL7" s="225"/>
      <c r="VVM7" s="225"/>
      <c r="VVN7" s="225"/>
      <c r="VVO7" s="225"/>
      <c r="VVP7" s="225"/>
      <c r="VVQ7" s="225"/>
      <c r="VVR7" s="225"/>
      <c r="VVS7" s="225"/>
      <c r="VVT7" s="225"/>
      <c r="VVU7" s="225"/>
      <c r="VVV7" s="225"/>
      <c r="VVW7" s="225"/>
      <c r="VVX7" s="225"/>
      <c r="VVY7" s="225"/>
      <c r="VVZ7" s="225"/>
      <c r="VWA7" s="225"/>
      <c r="VWB7" s="225"/>
      <c r="VWC7" s="225"/>
      <c r="VWD7" s="225"/>
      <c r="VWE7" s="225"/>
      <c r="VWF7" s="225"/>
      <c r="VWG7" s="225"/>
      <c r="VWH7" s="225"/>
      <c r="VWI7" s="225"/>
      <c r="VWJ7" s="225"/>
      <c r="VWK7" s="225"/>
      <c r="VWL7" s="225"/>
      <c r="VWM7" s="225"/>
      <c r="VWN7" s="225"/>
      <c r="VWO7" s="225"/>
      <c r="VWP7" s="225"/>
      <c r="VWQ7" s="225"/>
      <c r="VWR7" s="225"/>
      <c r="VWS7" s="225"/>
      <c r="VWT7" s="225"/>
      <c r="VWU7" s="225"/>
      <c r="VWV7" s="225"/>
      <c r="VWW7" s="225"/>
      <c r="VWX7" s="225"/>
      <c r="VWY7" s="225"/>
      <c r="VWZ7" s="225"/>
      <c r="VXA7" s="225"/>
      <c r="VXB7" s="225"/>
      <c r="VXC7" s="225"/>
      <c r="VXD7" s="225"/>
      <c r="VXE7" s="225"/>
      <c r="VXF7" s="225"/>
      <c r="VXG7" s="225"/>
      <c r="VXH7" s="225"/>
      <c r="VXI7" s="225"/>
      <c r="VXJ7" s="225"/>
      <c r="VXK7" s="225"/>
      <c r="VXL7" s="225"/>
      <c r="VXM7" s="225"/>
      <c r="VXN7" s="225"/>
      <c r="VXO7" s="225"/>
      <c r="VXP7" s="225"/>
      <c r="VXQ7" s="225"/>
      <c r="VXR7" s="225"/>
      <c r="VXS7" s="225"/>
      <c r="VXT7" s="225"/>
      <c r="VXU7" s="225"/>
      <c r="VXV7" s="225"/>
      <c r="VXW7" s="225"/>
      <c r="VXX7" s="225"/>
      <c r="VXY7" s="225"/>
      <c r="VXZ7" s="225"/>
      <c r="VYA7" s="225"/>
      <c r="VYB7" s="225"/>
      <c r="VYC7" s="225"/>
      <c r="VYD7" s="225"/>
      <c r="VYE7" s="225"/>
      <c r="VYF7" s="225"/>
      <c r="VYG7" s="225"/>
      <c r="VYH7" s="225"/>
      <c r="VYI7" s="225"/>
      <c r="VYJ7" s="225"/>
      <c r="VYK7" s="225"/>
      <c r="VYL7" s="225"/>
      <c r="VYM7" s="225"/>
      <c r="VYN7" s="225"/>
      <c r="VYO7" s="225"/>
      <c r="VYP7" s="225"/>
      <c r="VYQ7" s="225"/>
      <c r="VYR7" s="225"/>
      <c r="VYS7" s="225"/>
      <c r="VYT7" s="225"/>
      <c r="VYU7" s="225"/>
      <c r="VYV7" s="225"/>
      <c r="VYW7" s="225"/>
      <c r="VYX7" s="225"/>
      <c r="VYY7" s="225"/>
      <c r="VYZ7" s="225"/>
      <c r="VZA7" s="225"/>
      <c r="VZB7" s="225"/>
      <c r="VZC7" s="225"/>
      <c r="VZD7" s="225"/>
      <c r="VZE7" s="225"/>
      <c r="VZF7" s="225"/>
      <c r="VZG7" s="225"/>
      <c r="VZH7" s="225"/>
      <c r="VZI7" s="225"/>
      <c r="VZJ7" s="225"/>
      <c r="VZK7" s="225"/>
      <c r="VZL7" s="225"/>
      <c r="VZM7" s="225"/>
      <c r="VZN7" s="225"/>
      <c r="VZO7" s="225"/>
      <c r="VZP7" s="225"/>
      <c r="VZQ7" s="225"/>
      <c r="VZR7" s="225"/>
      <c r="VZS7" s="225"/>
      <c r="VZT7" s="225"/>
      <c r="VZU7" s="225"/>
      <c r="VZV7" s="225"/>
      <c r="VZW7" s="225"/>
      <c r="VZX7" s="225"/>
      <c r="VZY7" s="225"/>
      <c r="VZZ7" s="225"/>
      <c r="WAA7" s="225"/>
      <c r="WAB7" s="225"/>
      <c r="WAC7" s="225"/>
      <c r="WAD7" s="225"/>
      <c r="WAE7" s="225"/>
      <c r="WAF7" s="225"/>
      <c r="WAG7" s="225"/>
      <c r="WAH7" s="225"/>
      <c r="WAI7" s="225"/>
      <c r="WAJ7" s="225"/>
      <c r="WAK7" s="225"/>
      <c r="WAL7" s="225"/>
      <c r="WAM7" s="225"/>
      <c r="WAN7" s="225"/>
      <c r="WAO7" s="225"/>
      <c r="WAP7" s="225"/>
      <c r="WAQ7" s="225"/>
      <c r="WAR7" s="225"/>
      <c r="WAS7" s="225"/>
      <c r="WAT7" s="225"/>
      <c r="WAU7" s="225"/>
      <c r="WAV7" s="225"/>
      <c r="WAW7" s="225"/>
      <c r="WAX7" s="225"/>
      <c r="WAY7" s="225"/>
      <c r="WAZ7" s="225"/>
      <c r="WBA7" s="225"/>
      <c r="WBB7" s="225"/>
      <c r="WBC7" s="225"/>
      <c r="WBD7" s="225"/>
      <c r="WBE7" s="225"/>
      <c r="WBF7" s="225"/>
      <c r="WBG7" s="225"/>
      <c r="WBH7" s="225"/>
      <c r="WBI7" s="225"/>
      <c r="WBJ7" s="225"/>
      <c r="WBK7" s="225"/>
      <c r="WBL7" s="225"/>
      <c r="WBM7" s="225"/>
      <c r="WBN7" s="225"/>
      <c r="WBO7" s="225"/>
      <c r="WBP7" s="225"/>
      <c r="WBQ7" s="225"/>
      <c r="WBR7" s="225"/>
      <c r="WBS7" s="225"/>
      <c r="WBT7" s="225"/>
      <c r="WBU7" s="225"/>
      <c r="WBV7" s="225"/>
      <c r="WBW7" s="225"/>
      <c r="WBX7" s="225"/>
      <c r="WBY7" s="225"/>
      <c r="WBZ7" s="225"/>
      <c r="WCA7" s="225"/>
      <c r="WCB7" s="225"/>
      <c r="WCC7" s="225"/>
      <c r="WCD7" s="225"/>
      <c r="WCE7" s="225"/>
      <c r="WCF7" s="225"/>
      <c r="WCG7" s="225"/>
      <c r="WCH7" s="225"/>
      <c r="WCI7" s="225"/>
      <c r="WCJ7" s="225"/>
      <c r="WCK7" s="225"/>
      <c r="WCL7" s="225"/>
      <c r="WCM7" s="225"/>
      <c r="WCN7" s="225"/>
      <c r="WCO7" s="225"/>
      <c r="WCP7" s="225"/>
      <c r="WCQ7" s="225"/>
      <c r="WCR7" s="225"/>
      <c r="WCS7" s="225"/>
      <c r="WCT7" s="225"/>
      <c r="WCU7" s="225"/>
      <c r="WCV7" s="225"/>
      <c r="WCW7" s="225"/>
      <c r="WCX7" s="225"/>
      <c r="WCY7" s="225"/>
      <c r="WCZ7" s="225"/>
      <c r="WDA7" s="225"/>
      <c r="WDB7" s="225"/>
      <c r="WDC7" s="225"/>
      <c r="WDD7" s="225"/>
      <c r="WDE7" s="225"/>
      <c r="WDF7" s="225"/>
      <c r="WDG7" s="225"/>
      <c r="WDH7" s="225"/>
      <c r="WDI7" s="225"/>
      <c r="WDJ7" s="225"/>
      <c r="WDK7" s="225"/>
      <c r="WDL7" s="225"/>
      <c r="WDM7" s="225"/>
      <c r="WDN7" s="225"/>
      <c r="WDO7" s="225"/>
      <c r="WDP7" s="225"/>
      <c r="WDQ7" s="225"/>
      <c r="WDR7" s="225"/>
      <c r="WDS7" s="225"/>
      <c r="WDT7" s="225"/>
      <c r="WDU7" s="225"/>
      <c r="WDV7" s="225"/>
      <c r="WDW7" s="225"/>
      <c r="WDX7" s="225"/>
      <c r="WDY7" s="225"/>
      <c r="WDZ7" s="225"/>
      <c r="WEA7" s="225"/>
      <c r="WEB7" s="225"/>
      <c r="WEC7" s="225"/>
      <c r="WED7" s="225"/>
      <c r="WEE7" s="225"/>
      <c r="WEF7" s="225"/>
      <c r="WEG7" s="225"/>
      <c r="WEH7" s="225"/>
      <c r="WEI7" s="225"/>
      <c r="WEJ7" s="225"/>
      <c r="WEK7" s="225"/>
      <c r="WEL7" s="225"/>
      <c r="WEM7" s="225"/>
      <c r="WEN7" s="225"/>
      <c r="WEO7" s="225"/>
      <c r="WEP7" s="225"/>
      <c r="WEQ7" s="225"/>
      <c r="WER7" s="225"/>
      <c r="WES7" s="225"/>
      <c r="WET7" s="225"/>
      <c r="WEU7" s="225"/>
      <c r="WEV7" s="225"/>
      <c r="WEW7" s="225"/>
      <c r="WEX7" s="225"/>
      <c r="WEY7" s="225"/>
      <c r="WEZ7" s="225"/>
      <c r="WFA7" s="225"/>
      <c r="WFB7" s="225"/>
      <c r="WFC7" s="225"/>
      <c r="WFD7" s="225"/>
      <c r="WFE7" s="225"/>
      <c r="WFF7" s="225"/>
      <c r="WFG7" s="225"/>
      <c r="WFH7" s="225"/>
      <c r="WFI7" s="225"/>
      <c r="WFJ7" s="225"/>
      <c r="WFK7" s="225"/>
      <c r="WFL7" s="225"/>
      <c r="WFM7" s="225"/>
      <c r="WFN7" s="225"/>
      <c r="WFO7" s="225"/>
      <c r="WFP7" s="225"/>
      <c r="WFQ7" s="225"/>
      <c r="WFR7" s="225"/>
      <c r="WFS7" s="225"/>
      <c r="WFT7" s="225"/>
      <c r="WFU7" s="225"/>
      <c r="WFV7" s="225"/>
      <c r="WFW7" s="225"/>
      <c r="WFX7" s="225"/>
      <c r="WFY7" s="225"/>
      <c r="WFZ7" s="225"/>
      <c r="WGA7" s="225"/>
      <c r="WGB7" s="225"/>
      <c r="WGC7" s="225"/>
      <c r="WGD7" s="225"/>
      <c r="WGE7" s="225"/>
      <c r="WGF7" s="225"/>
      <c r="WGG7" s="225"/>
      <c r="WGH7" s="225"/>
      <c r="WGI7" s="225"/>
      <c r="WGJ7" s="225"/>
      <c r="WGK7" s="225"/>
      <c r="WGL7" s="225"/>
      <c r="WGM7" s="225"/>
      <c r="WGN7" s="225"/>
      <c r="WGO7" s="225"/>
      <c r="WGP7" s="225"/>
      <c r="WGQ7" s="225"/>
      <c r="WGR7" s="225"/>
      <c r="WGS7" s="225"/>
      <c r="WGT7" s="225"/>
      <c r="WGU7" s="225"/>
      <c r="WGV7" s="225"/>
      <c r="WGW7" s="225"/>
      <c r="WGX7" s="225"/>
      <c r="WGY7" s="225"/>
      <c r="WGZ7" s="225"/>
      <c r="WHA7" s="225"/>
      <c r="WHB7" s="225"/>
      <c r="WHC7" s="225"/>
      <c r="WHD7" s="225"/>
      <c r="WHE7" s="225"/>
      <c r="WHF7" s="225"/>
      <c r="WHG7" s="225"/>
      <c r="WHH7" s="225"/>
      <c r="WHI7" s="225"/>
      <c r="WHJ7" s="225"/>
      <c r="WHK7" s="225"/>
      <c r="WHL7" s="225"/>
      <c r="WHM7" s="225"/>
      <c r="WHN7" s="225"/>
      <c r="WHO7" s="225"/>
      <c r="WHP7" s="225"/>
      <c r="WHQ7" s="225"/>
      <c r="WHR7" s="225"/>
      <c r="WHS7" s="225"/>
      <c r="WHT7" s="225"/>
      <c r="WHU7" s="225"/>
      <c r="WHV7" s="225"/>
      <c r="WHW7" s="225"/>
      <c r="WHX7" s="225"/>
      <c r="WHY7" s="225"/>
      <c r="WHZ7" s="225"/>
      <c r="WIA7" s="225"/>
      <c r="WIB7" s="225"/>
      <c r="WIC7" s="225"/>
      <c r="WID7" s="225"/>
      <c r="WIE7" s="225"/>
      <c r="WIF7" s="225"/>
      <c r="WIG7" s="225"/>
      <c r="WIH7" s="225"/>
      <c r="WII7" s="225"/>
      <c r="WIJ7" s="225"/>
      <c r="WIK7" s="225"/>
      <c r="WIL7" s="225"/>
      <c r="WIM7" s="225"/>
      <c r="WIN7" s="225"/>
      <c r="WIO7" s="225"/>
      <c r="WIP7" s="225"/>
      <c r="WIQ7" s="225"/>
      <c r="WIR7" s="225"/>
      <c r="WIS7" s="225"/>
      <c r="WIT7" s="225"/>
      <c r="WIU7" s="225"/>
      <c r="WIV7" s="225"/>
      <c r="WIW7" s="225"/>
      <c r="WIX7" s="225"/>
      <c r="WIY7" s="225"/>
      <c r="WIZ7" s="225"/>
      <c r="WJA7" s="225"/>
      <c r="WJB7" s="225"/>
      <c r="WJC7" s="225"/>
      <c r="WJD7" s="225"/>
      <c r="WJE7" s="225"/>
      <c r="WJF7" s="225"/>
      <c r="WJG7" s="225"/>
      <c r="WJH7" s="225"/>
      <c r="WJI7" s="225"/>
      <c r="WJJ7" s="225"/>
      <c r="WJK7" s="225"/>
      <c r="WJL7" s="225"/>
      <c r="WJM7" s="225"/>
      <c r="WJN7" s="225"/>
      <c r="WJO7" s="225"/>
      <c r="WJP7" s="225"/>
      <c r="WJQ7" s="225"/>
      <c r="WJR7" s="225"/>
      <c r="WJS7" s="225"/>
      <c r="WJT7" s="225"/>
      <c r="WJU7" s="225"/>
      <c r="WJV7" s="225"/>
      <c r="WJW7" s="225"/>
      <c r="WJX7" s="225"/>
      <c r="WJY7" s="225"/>
      <c r="WJZ7" s="225"/>
      <c r="WKA7" s="225"/>
      <c r="WKB7" s="225"/>
      <c r="WKC7" s="225"/>
      <c r="WKD7" s="225"/>
      <c r="WKE7" s="225"/>
      <c r="WKF7" s="225"/>
      <c r="WKG7" s="225"/>
      <c r="WKH7" s="225"/>
      <c r="WKI7" s="225"/>
      <c r="WKJ7" s="225"/>
      <c r="WKK7" s="225"/>
      <c r="WKL7" s="225"/>
      <c r="WKM7" s="225"/>
      <c r="WKN7" s="225"/>
      <c r="WKO7" s="225"/>
      <c r="WKP7" s="225"/>
      <c r="WKQ7" s="225"/>
      <c r="WKR7" s="225"/>
      <c r="WKS7" s="225"/>
      <c r="WKT7" s="225"/>
      <c r="WKU7" s="225"/>
      <c r="WKV7" s="225"/>
      <c r="WKW7" s="225"/>
      <c r="WKX7" s="225"/>
      <c r="WKY7" s="225"/>
      <c r="WKZ7" s="225"/>
      <c r="WLA7" s="225"/>
      <c r="WLB7" s="225"/>
      <c r="WLC7" s="225"/>
      <c r="WLD7" s="225"/>
      <c r="WLE7" s="225"/>
      <c r="WLF7" s="225"/>
      <c r="WLG7" s="225"/>
      <c r="WLH7" s="225"/>
      <c r="WLI7" s="225"/>
      <c r="WLJ7" s="225"/>
      <c r="WLK7" s="225"/>
      <c r="WLL7" s="225"/>
      <c r="WLM7" s="225"/>
      <c r="WLN7" s="225"/>
      <c r="WLO7" s="225"/>
      <c r="WLP7" s="225"/>
      <c r="WLQ7" s="225"/>
      <c r="WLR7" s="225"/>
      <c r="WLS7" s="225"/>
      <c r="WLT7" s="225"/>
      <c r="WLU7" s="225"/>
      <c r="WLV7" s="225"/>
      <c r="WLW7" s="225"/>
      <c r="WLX7" s="225"/>
      <c r="WLY7" s="225"/>
      <c r="WLZ7" s="225"/>
      <c r="WMA7" s="225"/>
      <c r="WMB7" s="225"/>
      <c r="WMC7" s="225"/>
      <c r="WMD7" s="225"/>
      <c r="WME7" s="225"/>
      <c r="WMF7" s="225"/>
      <c r="WMG7" s="225"/>
      <c r="WMH7" s="225"/>
      <c r="WMI7" s="225"/>
      <c r="WMJ7" s="225"/>
      <c r="WMK7" s="225"/>
      <c r="WML7" s="225"/>
      <c r="WMM7" s="225"/>
      <c r="WMN7" s="225"/>
      <c r="WMO7" s="225"/>
      <c r="WMP7" s="225"/>
      <c r="WMQ7" s="225"/>
      <c r="WMR7" s="225"/>
      <c r="WMS7" s="225"/>
      <c r="WMT7" s="225"/>
      <c r="WMU7" s="225"/>
      <c r="WMV7" s="225"/>
      <c r="WMW7" s="225"/>
      <c r="WMX7" s="225"/>
      <c r="WMY7" s="225"/>
      <c r="WMZ7" s="225"/>
      <c r="WNA7" s="225"/>
      <c r="WNB7" s="225"/>
      <c r="WNC7" s="225"/>
      <c r="WND7" s="225"/>
      <c r="WNE7" s="225"/>
      <c r="WNF7" s="225"/>
      <c r="WNG7" s="225"/>
      <c r="WNH7" s="225"/>
      <c r="WNI7" s="225"/>
      <c r="WNJ7" s="225"/>
      <c r="WNK7" s="225"/>
      <c r="WNL7" s="225"/>
      <c r="WNM7" s="225"/>
      <c r="WNN7" s="225"/>
      <c r="WNO7" s="225"/>
      <c r="WNP7" s="225"/>
      <c r="WNQ7" s="225"/>
      <c r="WNR7" s="225"/>
      <c r="WNS7" s="225"/>
      <c r="WNT7" s="225"/>
      <c r="WNU7" s="225"/>
      <c r="WNV7" s="225"/>
      <c r="WNW7" s="225"/>
      <c r="WNX7" s="225"/>
      <c r="WNY7" s="225"/>
      <c r="WNZ7" s="225"/>
      <c r="WOA7" s="225"/>
      <c r="WOB7" s="225"/>
      <c r="WOC7" s="225"/>
      <c r="WOD7" s="225"/>
      <c r="WOE7" s="225"/>
      <c r="WOF7" s="225"/>
      <c r="WOG7" s="225"/>
      <c r="WOH7" s="225"/>
      <c r="WOI7" s="225"/>
      <c r="WOJ7" s="225"/>
      <c r="WOK7" s="225"/>
      <c r="WOL7" s="225"/>
      <c r="WOM7" s="225"/>
      <c r="WON7" s="225"/>
      <c r="WOO7" s="225"/>
      <c r="WOP7" s="225"/>
      <c r="WOQ7" s="225"/>
      <c r="WOR7" s="225"/>
      <c r="WOS7" s="225"/>
      <c r="WOT7" s="225"/>
      <c r="WOU7" s="225"/>
      <c r="WOV7" s="225"/>
      <c r="WOW7" s="225"/>
      <c r="WOX7" s="225"/>
      <c r="WOY7" s="225"/>
      <c r="WOZ7" s="225"/>
      <c r="WPA7" s="225"/>
      <c r="WPB7" s="225"/>
      <c r="WPC7" s="225"/>
      <c r="WPD7" s="225"/>
      <c r="WPE7" s="225"/>
      <c r="WPF7" s="225"/>
      <c r="WPG7" s="225"/>
      <c r="WPH7" s="225"/>
      <c r="WPI7" s="225"/>
      <c r="WPJ7" s="225"/>
      <c r="WPK7" s="225"/>
      <c r="WPL7" s="225"/>
      <c r="WPM7" s="225"/>
      <c r="WPN7" s="225"/>
      <c r="WPO7" s="225"/>
      <c r="WPP7" s="225"/>
      <c r="WPQ7" s="225"/>
      <c r="WPR7" s="225"/>
      <c r="WPS7" s="225"/>
      <c r="WPT7" s="225"/>
      <c r="WPU7" s="225"/>
      <c r="WPV7" s="225"/>
      <c r="WPW7" s="225"/>
      <c r="WPX7" s="225"/>
      <c r="WPY7" s="225"/>
      <c r="WPZ7" s="225"/>
      <c r="WQA7" s="225"/>
      <c r="WQB7" s="225"/>
      <c r="WQC7" s="225"/>
      <c r="WQD7" s="225"/>
      <c r="WQE7" s="225"/>
      <c r="WQF7" s="225"/>
      <c r="WQG7" s="225"/>
      <c r="WQH7" s="225"/>
      <c r="WQI7" s="225"/>
      <c r="WQJ7" s="225"/>
      <c r="WQK7" s="225"/>
      <c r="WQL7" s="225"/>
      <c r="WQM7" s="225"/>
      <c r="WQN7" s="225"/>
      <c r="WQO7" s="225"/>
      <c r="WQP7" s="225"/>
      <c r="WQQ7" s="225"/>
      <c r="WQR7" s="225"/>
      <c r="WQS7" s="225"/>
      <c r="WQT7" s="225"/>
      <c r="WQU7" s="225"/>
      <c r="WQV7" s="225"/>
      <c r="WQW7" s="225"/>
      <c r="WQX7" s="225"/>
      <c r="WQY7" s="225"/>
      <c r="WQZ7" s="225"/>
      <c r="WRA7" s="225"/>
      <c r="WRB7" s="225"/>
      <c r="WRC7" s="225"/>
      <c r="WRD7" s="225"/>
      <c r="WRE7" s="225"/>
      <c r="WRF7" s="225"/>
      <c r="WRG7" s="225"/>
      <c r="WRH7" s="225"/>
      <c r="WRI7" s="225"/>
      <c r="WRJ7" s="225"/>
      <c r="WRK7" s="225"/>
      <c r="WRL7" s="225"/>
      <c r="WRM7" s="225"/>
      <c r="WRN7" s="225"/>
      <c r="WRO7" s="225"/>
      <c r="WRP7" s="225"/>
      <c r="WRQ7" s="225"/>
      <c r="WRR7" s="225"/>
      <c r="WRS7" s="225"/>
      <c r="WRT7" s="225"/>
      <c r="WRU7" s="225"/>
      <c r="WRV7" s="225"/>
      <c r="WRW7" s="225"/>
      <c r="WRX7" s="225"/>
      <c r="WRY7" s="225"/>
      <c r="WRZ7" s="225"/>
      <c r="WSA7" s="225"/>
      <c r="WSB7" s="225"/>
      <c r="WSC7" s="225"/>
      <c r="WSD7" s="225"/>
      <c r="WSE7" s="225"/>
      <c r="WSF7" s="225"/>
      <c r="WSG7" s="225"/>
      <c r="WSH7" s="225"/>
      <c r="WSI7" s="225"/>
      <c r="WSJ7" s="225"/>
      <c r="WSK7" s="225"/>
      <c r="WSL7" s="225"/>
      <c r="WSM7" s="225"/>
      <c r="WSN7" s="225"/>
      <c r="WSO7" s="225"/>
      <c r="WSP7" s="225"/>
      <c r="WSQ7" s="225"/>
      <c r="WSR7" s="225"/>
      <c r="WSS7" s="225"/>
      <c r="WST7" s="225"/>
      <c r="WSU7" s="225"/>
      <c r="WSV7" s="225"/>
      <c r="WSW7" s="225"/>
      <c r="WSX7" s="225"/>
      <c r="WSY7" s="225"/>
      <c r="WSZ7" s="225"/>
      <c r="WTA7" s="225"/>
      <c r="WTB7" s="225"/>
      <c r="WTC7" s="225"/>
      <c r="WTD7" s="225"/>
      <c r="WTE7" s="225"/>
      <c r="WTF7" s="225"/>
      <c r="WTG7" s="225"/>
      <c r="WTH7" s="225"/>
      <c r="WTI7" s="225"/>
      <c r="WTJ7" s="225"/>
      <c r="WTK7" s="225"/>
      <c r="WTL7" s="225"/>
      <c r="WTM7" s="225"/>
      <c r="WTN7" s="225"/>
      <c r="WTO7" s="225"/>
      <c r="WTP7" s="225"/>
      <c r="WTQ7" s="225"/>
      <c r="WTR7" s="225"/>
      <c r="WTS7" s="225"/>
      <c r="WTT7" s="225"/>
      <c r="WTU7" s="225"/>
      <c r="WTV7" s="225"/>
      <c r="WTW7" s="225"/>
      <c r="WTX7" s="225"/>
      <c r="WTY7" s="225"/>
      <c r="WTZ7" s="225"/>
      <c r="WUA7" s="225"/>
      <c r="WUB7" s="225"/>
      <c r="WUC7" s="225"/>
      <c r="WUD7" s="225"/>
      <c r="WUE7" s="225"/>
      <c r="WUF7" s="225"/>
      <c r="WUG7" s="225"/>
      <c r="WUH7" s="225"/>
      <c r="WUI7" s="225"/>
      <c r="WUJ7" s="225"/>
      <c r="WUK7" s="225"/>
      <c r="WUL7" s="225"/>
      <c r="WUM7" s="225"/>
      <c r="WUN7" s="225"/>
      <c r="WUO7" s="225"/>
      <c r="WUP7" s="225"/>
      <c r="WUQ7" s="225"/>
      <c r="WUR7" s="225"/>
      <c r="WUS7" s="225"/>
      <c r="WUT7" s="225"/>
      <c r="WUU7" s="225"/>
      <c r="WUV7" s="225"/>
      <c r="WUW7" s="225"/>
      <c r="WUX7" s="225"/>
      <c r="WUY7" s="225"/>
      <c r="WUZ7" s="225"/>
      <c r="WVA7" s="225"/>
      <c r="WVB7" s="225"/>
      <c r="WVC7" s="225"/>
      <c r="WVD7" s="225"/>
      <c r="WVE7" s="225"/>
      <c r="WVF7" s="225"/>
      <c r="WVG7" s="225"/>
      <c r="WVH7" s="225"/>
      <c r="WVI7" s="225"/>
      <c r="WVJ7" s="225"/>
      <c r="WVK7" s="225"/>
      <c r="WVL7" s="225"/>
      <c r="WVM7" s="225"/>
      <c r="WVN7" s="225"/>
      <c r="WVO7" s="225"/>
      <c r="WVP7" s="225"/>
      <c r="WVQ7" s="225"/>
      <c r="WVR7" s="225"/>
      <c r="WVS7" s="225"/>
      <c r="WVT7" s="225"/>
      <c r="WVU7" s="225"/>
      <c r="WVV7" s="225"/>
      <c r="WVW7" s="225"/>
      <c r="WVX7" s="225"/>
      <c r="WVY7" s="225"/>
      <c r="WVZ7" s="225"/>
      <c r="WWA7" s="225"/>
      <c r="WWB7" s="225"/>
      <c r="WWC7" s="225"/>
      <c r="WWD7" s="225"/>
      <c r="WWE7" s="225"/>
      <c r="WWF7" s="225"/>
      <c r="WWG7" s="225"/>
      <c r="WWH7" s="225"/>
      <c r="WWI7" s="225"/>
      <c r="WWJ7" s="225"/>
      <c r="WWK7" s="225"/>
      <c r="WWL7" s="225"/>
      <c r="WWM7" s="225"/>
      <c r="WWN7" s="225"/>
      <c r="WWO7" s="225"/>
      <c r="WWP7" s="225"/>
      <c r="WWQ7" s="225"/>
      <c r="WWR7" s="225"/>
      <c r="WWS7" s="225"/>
      <c r="WWT7" s="225"/>
      <c r="WWU7" s="225"/>
      <c r="WWV7" s="225"/>
      <c r="WWW7" s="225"/>
      <c r="WWX7" s="225"/>
      <c r="WWY7" s="225"/>
      <c r="WWZ7" s="225"/>
      <c r="WXA7" s="225"/>
      <c r="WXB7" s="225"/>
      <c r="WXC7" s="225"/>
      <c r="WXD7" s="225"/>
      <c r="WXE7" s="225"/>
      <c r="WXF7" s="225"/>
      <c r="WXG7" s="225"/>
      <c r="WXH7" s="225"/>
      <c r="WXI7" s="225"/>
      <c r="WXJ7" s="225"/>
      <c r="WXK7" s="225"/>
      <c r="WXL7" s="225"/>
      <c r="WXM7" s="225"/>
      <c r="WXN7" s="225"/>
      <c r="WXO7" s="225"/>
      <c r="WXP7" s="225"/>
      <c r="WXQ7" s="225"/>
      <c r="WXR7" s="225"/>
      <c r="WXS7" s="225"/>
      <c r="WXT7" s="225"/>
      <c r="WXU7" s="225"/>
      <c r="WXV7" s="225"/>
      <c r="WXW7" s="225"/>
      <c r="WXX7" s="225"/>
      <c r="WXY7" s="225"/>
      <c r="WXZ7" s="225"/>
      <c r="WYA7" s="225"/>
      <c r="WYB7" s="225"/>
      <c r="WYC7" s="225"/>
      <c r="WYD7" s="225"/>
      <c r="WYE7" s="225"/>
      <c r="WYF7" s="225"/>
      <c r="WYG7" s="225"/>
      <c r="WYH7" s="225"/>
      <c r="WYI7" s="225"/>
      <c r="WYJ7" s="225"/>
      <c r="WYK7" s="225"/>
      <c r="WYL7" s="225"/>
      <c r="WYM7" s="225"/>
      <c r="WYN7" s="225"/>
      <c r="WYO7" s="225"/>
      <c r="WYP7" s="225"/>
      <c r="WYQ7" s="225"/>
      <c r="WYR7" s="225"/>
      <c r="WYS7" s="225"/>
      <c r="WYT7" s="225"/>
      <c r="WYU7" s="225"/>
      <c r="WYV7" s="225"/>
      <c r="WYW7" s="225"/>
      <c r="WYX7" s="225"/>
      <c r="WYY7" s="225"/>
      <c r="WYZ7" s="225"/>
      <c r="WZA7" s="225"/>
      <c r="WZB7" s="225"/>
      <c r="WZC7" s="225"/>
      <c r="WZD7" s="225"/>
      <c r="WZE7" s="225"/>
      <c r="WZF7" s="225"/>
      <c r="WZG7" s="225"/>
      <c r="WZH7" s="225"/>
      <c r="WZI7" s="225"/>
      <c r="WZJ7" s="225"/>
      <c r="WZK7" s="225"/>
      <c r="WZL7" s="225"/>
      <c r="WZM7" s="225"/>
      <c r="WZN7" s="225"/>
      <c r="WZO7" s="225"/>
      <c r="WZP7" s="225"/>
      <c r="WZQ7" s="225"/>
      <c r="WZR7" s="225"/>
      <c r="WZS7" s="225"/>
      <c r="WZT7" s="225"/>
      <c r="WZU7" s="225"/>
      <c r="WZV7" s="225"/>
      <c r="WZW7" s="225"/>
      <c r="WZX7" s="225"/>
      <c r="WZY7" s="225"/>
      <c r="WZZ7" s="225"/>
      <c r="XAA7" s="225"/>
      <c r="XAB7" s="225"/>
      <c r="XAC7" s="225"/>
      <c r="XAD7" s="225"/>
      <c r="XAE7" s="225"/>
      <c r="XAF7" s="225"/>
      <c r="XAG7" s="225"/>
      <c r="XAH7" s="225"/>
      <c r="XAI7" s="225"/>
      <c r="XAJ7" s="225"/>
      <c r="XAK7" s="225"/>
      <c r="XAL7" s="225"/>
      <c r="XAM7" s="225"/>
      <c r="XAN7" s="225"/>
      <c r="XAO7" s="225"/>
      <c r="XAP7" s="225"/>
      <c r="XAQ7" s="225"/>
      <c r="XAR7" s="225"/>
      <c r="XAS7" s="225"/>
      <c r="XAT7" s="225"/>
      <c r="XAU7" s="225"/>
      <c r="XAV7" s="225"/>
      <c r="XAW7" s="225"/>
      <c r="XAX7" s="225"/>
      <c r="XAY7" s="225"/>
      <c r="XAZ7" s="225"/>
      <c r="XBA7" s="225"/>
      <c r="XBB7" s="225"/>
      <c r="XBC7" s="225"/>
      <c r="XBD7" s="225"/>
      <c r="XBE7" s="225"/>
      <c r="XBF7" s="225"/>
      <c r="XBG7" s="225"/>
      <c r="XBH7" s="225"/>
      <c r="XBI7" s="225"/>
      <c r="XBJ7" s="225"/>
      <c r="XBK7" s="225"/>
      <c r="XBL7" s="225"/>
      <c r="XBM7" s="225"/>
      <c r="XBN7" s="225"/>
      <c r="XBO7" s="225"/>
      <c r="XBP7" s="225"/>
      <c r="XBQ7" s="225"/>
      <c r="XBR7" s="225"/>
      <c r="XBS7" s="225"/>
      <c r="XBT7" s="225"/>
      <c r="XBU7" s="225"/>
      <c r="XBV7" s="225"/>
      <c r="XBW7" s="225"/>
      <c r="XBX7" s="225"/>
      <c r="XBY7" s="225"/>
      <c r="XBZ7" s="225"/>
      <c r="XCA7" s="225"/>
      <c r="XCB7" s="225"/>
      <c r="XCC7" s="225"/>
      <c r="XCD7" s="225"/>
      <c r="XCE7" s="225"/>
      <c r="XCF7" s="225"/>
      <c r="XCG7" s="225"/>
      <c r="XCH7" s="225"/>
      <c r="XCI7" s="225"/>
      <c r="XCJ7" s="225"/>
      <c r="XCK7" s="225"/>
      <c r="XCL7" s="225"/>
      <c r="XCM7" s="225"/>
      <c r="XCN7" s="225"/>
      <c r="XCO7" s="225"/>
      <c r="XCP7" s="225"/>
      <c r="XCQ7" s="225"/>
      <c r="XCR7" s="225"/>
      <c r="XCS7" s="225"/>
      <c r="XCT7" s="225"/>
      <c r="XCU7" s="225"/>
      <c r="XCV7" s="225"/>
      <c r="XCW7" s="225"/>
      <c r="XCX7" s="225"/>
      <c r="XCY7" s="225"/>
      <c r="XCZ7" s="225"/>
      <c r="XDA7" s="225"/>
      <c r="XDB7" s="225"/>
      <c r="XDC7" s="225"/>
      <c r="XDD7" s="225"/>
      <c r="XDE7" s="225"/>
      <c r="XDF7" s="225"/>
      <c r="XDG7" s="225"/>
      <c r="XDH7" s="225"/>
      <c r="XDI7" s="225"/>
      <c r="XDJ7" s="225"/>
      <c r="XDK7" s="225"/>
      <c r="XDL7" s="225"/>
      <c r="XDM7" s="225"/>
      <c r="XDN7" s="225"/>
      <c r="XDO7" s="225"/>
      <c r="XDP7" s="225"/>
      <c r="XDQ7" s="225"/>
      <c r="XDR7" s="225"/>
      <c r="XDS7" s="225"/>
      <c r="XDT7" s="225"/>
      <c r="XDU7" s="225"/>
      <c r="XDV7" s="225"/>
      <c r="XDW7" s="225"/>
      <c r="XDX7" s="225"/>
      <c r="XDY7" s="225"/>
      <c r="XDZ7" s="225"/>
      <c r="XEA7" s="225"/>
      <c r="XEB7" s="225"/>
      <c r="XEC7" s="225"/>
      <c r="XED7" s="225"/>
      <c r="XEE7" s="225"/>
      <c r="XEF7" s="225"/>
      <c r="XEG7" s="225"/>
      <c r="XEH7" s="225"/>
      <c r="XEI7" s="225"/>
      <c r="XEJ7" s="225"/>
      <c r="XEK7" s="225"/>
      <c r="XEL7" s="225"/>
      <c r="XEM7" s="225"/>
      <c r="XEN7" s="225"/>
      <c r="XEO7" s="225"/>
      <c r="XEP7" s="225"/>
      <c r="XEQ7" s="225"/>
      <c r="XER7" s="225"/>
      <c r="XES7" s="225"/>
      <c r="XET7" s="225"/>
      <c r="XEU7" s="225"/>
      <c r="XEV7" s="225"/>
      <c r="XEW7" s="225"/>
      <c r="XEX7" s="225"/>
      <c r="XEY7" s="225"/>
      <c r="XEZ7" s="225"/>
      <c r="XFA7" s="225"/>
      <c r="XFB7" s="225"/>
      <c r="XFC7" s="225"/>
      <c r="XFD7" s="225"/>
    </row>
    <row r="8" spans="1:16384" ht="16.5" customHeight="1">
      <c r="A8" s="387"/>
      <c r="B8" s="388"/>
      <c r="C8" s="235"/>
      <c r="D8" s="864" t="s">
        <v>464</v>
      </c>
      <c r="E8" s="864"/>
      <c r="F8" s="864"/>
      <c r="G8" s="864"/>
      <c r="H8" s="864"/>
      <c r="I8" s="864"/>
      <c r="J8" s="864"/>
      <c r="K8" s="390"/>
      <c r="L8" s="865" t="s">
        <v>691</v>
      </c>
      <c r="M8" s="865"/>
      <c r="N8" s="865"/>
      <c r="O8" s="865"/>
      <c r="P8" s="865"/>
      <c r="Q8" s="224"/>
      <c r="R8" s="228"/>
      <c r="S8" s="225"/>
      <c r="Z8" s="224"/>
      <c r="AA8" s="224"/>
    </row>
    <row r="9" spans="1:16384" ht="14.25" customHeight="1">
      <c r="A9" s="387"/>
      <c r="B9" s="388"/>
      <c r="C9" s="235"/>
      <c r="D9" s="368" t="s">
        <v>463</v>
      </c>
      <c r="E9" s="846">
        <v>665098</v>
      </c>
      <c r="F9" s="846"/>
      <c r="G9" s="371"/>
      <c r="H9" s="371"/>
      <c r="I9" s="373"/>
      <c r="J9" s="294"/>
      <c r="K9" s="390"/>
      <c r="L9" s="225"/>
      <c r="M9" s="225"/>
      <c r="N9" s="225"/>
      <c r="O9" s="225"/>
      <c r="P9" s="225"/>
      <c r="Q9" s="225"/>
      <c r="R9" s="228"/>
      <c r="S9" s="225"/>
      <c r="Z9" s="224"/>
      <c r="AA9" s="224"/>
    </row>
    <row r="10" spans="1:16384" ht="14.25" customHeight="1">
      <c r="A10" s="387"/>
      <c r="B10" s="388"/>
      <c r="C10" s="235"/>
      <c r="D10" s="368" t="s">
        <v>418</v>
      </c>
      <c r="E10" s="846" t="s">
        <v>904</v>
      </c>
      <c r="F10" s="846"/>
      <c r="G10" s="846"/>
      <c r="H10" s="846"/>
      <c r="I10" s="373"/>
      <c r="J10" s="294"/>
      <c r="K10" s="390"/>
      <c r="L10" s="225"/>
      <c r="M10" s="225"/>
      <c r="N10" s="225"/>
      <c r="O10" s="225"/>
      <c r="P10" s="225"/>
      <c r="Q10" s="225"/>
      <c r="R10" s="228"/>
      <c r="S10" s="225"/>
      <c r="Z10" s="224"/>
      <c r="AA10" s="224"/>
    </row>
    <row r="11" spans="1:16384" ht="14.25" customHeight="1">
      <c r="A11" s="387"/>
      <c r="B11" s="388"/>
      <c r="C11" s="235"/>
      <c r="D11" s="369" t="s">
        <v>419</v>
      </c>
      <c r="E11" s="868" t="s">
        <v>911</v>
      </c>
      <c r="F11" s="868"/>
      <c r="G11" s="868"/>
      <c r="H11" s="868"/>
      <c r="I11" s="373"/>
      <c r="J11" s="294"/>
      <c r="K11" s="390"/>
      <c r="L11" s="225"/>
      <c r="M11" s="401" t="s">
        <v>449</v>
      </c>
      <c r="N11" s="225"/>
      <c r="O11" s="866">
        <f>I54</f>
        <v>1</v>
      </c>
      <c r="P11" s="866"/>
      <c r="Q11" s="225"/>
      <c r="R11" s="228"/>
      <c r="S11" s="225"/>
      <c r="Z11" s="224"/>
      <c r="AA11" s="224"/>
    </row>
    <row r="12" spans="1:16384" ht="14.25" customHeight="1">
      <c r="A12" s="387"/>
      <c r="B12" s="478"/>
      <c r="C12" s="235"/>
      <c r="D12" s="369" t="s">
        <v>420</v>
      </c>
      <c r="E12" s="846" t="s">
        <v>685</v>
      </c>
      <c r="F12" s="846"/>
      <c r="G12" s="846"/>
      <c r="H12" s="846"/>
      <c r="I12" s="373"/>
      <c r="J12" s="294"/>
      <c r="K12" s="390"/>
      <c r="L12" s="225"/>
      <c r="M12" s="401" t="s">
        <v>450</v>
      </c>
      <c r="N12" s="225"/>
      <c r="O12" s="866">
        <f>SISWA!AU57</f>
        <v>1</v>
      </c>
      <c r="P12" s="866"/>
      <c r="Q12" s="225"/>
      <c r="R12" s="228"/>
      <c r="S12" s="225"/>
      <c r="Z12" s="224"/>
      <c r="AA12" s="224"/>
    </row>
    <row r="13" spans="1:16384" ht="14.25" customHeight="1">
      <c r="A13" s="387"/>
      <c r="B13" s="478"/>
      <c r="C13" s="235"/>
      <c r="D13" s="369" t="s">
        <v>421</v>
      </c>
      <c r="E13" s="846" t="s">
        <v>687</v>
      </c>
      <c r="F13" s="846"/>
      <c r="G13" s="846"/>
      <c r="H13" s="846"/>
      <c r="I13" s="373"/>
      <c r="J13" s="294"/>
      <c r="K13" s="390"/>
      <c r="L13" s="225"/>
      <c r="M13" s="401" t="s">
        <v>451</v>
      </c>
      <c r="N13" s="225"/>
      <c r="O13" s="866">
        <f>KKM!Y15</f>
        <v>1</v>
      </c>
      <c r="P13" s="866"/>
      <c r="Q13" s="225"/>
      <c r="R13" s="228"/>
      <c r="S13" s="225"/>
      <c r="Z13" s="224"/>
      <c r="AA13" s="224"/>
    </row>
    <row r="14" spans="1:16384" ht="14.25" customHeight="1">
      <c r="A14" s="387"/>
      <c r="B14" s="478"/>
      <c r="C14" s="235"/>
      <c r="D14" s="369" t="s">
        <v>422</v>
      </c>
      <c r="E14" s="454" t="s">
        <v>274</v>
      </c>
      <c r="F14" s="697"/>
      <c r="G14" s="846" t="s">
        <v>806</v>
      </c>
      <c r="H14" s="846"/>
      <c r="I14" s="373"/>
      <c r="J14" s="294"/>
      <c r="K14" s="390"/>
      <c r="L14" s="225"/>
      <c r="M14" s="401" t="s">
        <v>452</v>
      </c>
      <c r="N14" s="225"/>
      <c r="O14" s="866">
        <v>1</v>
      </c>
      <c r="P14" s="866"/>
      <c r="Q14" s="225"/>
      <c r="R14" s="228"/>
      <c r="S14" s="225"/>
      <c r="Z14" s="224"/>
      <c r="AA14" s="224"/>
    </row>
    <row r="15" spans="1:16384" s="225" customFormat="1" ht="14.25" customHeight="1">
      <c r="A15" s="387"/>
      <c r="B15" s="478"/>
      <c r="C15" s="235"/>
      <c r="D15" s="369" t="s">
        <v>423</v>
      </c>
      <c r="E15" s="370" t="s">
        <v>470</v>
      </c>
      <c r="F15" s="371"/>
      <c r="G15" s="371"/>
      <c r="H15" s="371"/>
      <c r="I15" s="373"/>
      <c r="J15" s="294"/>
      <c r="K15" s="390"/>
      <c r="M15" s="401" t="s">
        <v>453</v>
      </c>
      <c r="O15" s="866">
        <v>1</v>
      </c>
      <c r="P15" s="866"/>
      <c r="R15" s="228"/>
      <c r="T15" s="104"/>
      <c r="U15" s="104"/>
      <c r="V15" s="104"/>
      <c r="W15" s="104"/>
      <c r="X15" s="104"/>
      <c r="Y15" s="104"/>
    </row>
    <row r="16" spans="1:16384" s="225" customFormat="1" ht="14.25" customHeight="1">
      <c r="A16" s="387"/>
      <c r="B16" s="478"/>
      <c r="C16" s="235"/>
      <c r="D16" s="369" t="s">
        <v>424</v>
      </c>
      <c r="E16" s="846" t="s">
        <v>907</v>
      </c>
      <c r="F16" s="846"/>
      <c r="G16" s="846"/>
      <c r="H16" s="846"/>
      <c r="I16" s="373"/>
      <c r="J16" s="294"/>
      <c r="K16" s="390"/>
      <c r="M16" s="401" t="s">
        <v>454</v>
      </c>
      <c r="O16" s="866">
        <f>'MLK1-3'!CG6</f>
        <v>1</v>
      </c>
      <c r="P16" s="866"/>
      <c r="R16" s="228"/>
      <c r="T16" s="104"/>
      <c r="U16" s="104"/>
      <c r="V16" s="104"/>
      <c r="W16" s="104"/>
      <c r="X16" s="104"/>
      <c r="Y16" s="104"/>
    </row>
    <row r="17" spans="1:27" s="225" customFormat="1" ht="14.25" customHeight="1">
      <c r="A17" s="387"/>
      <c r="B17" s="478"/>
      <c r="C17" s="235"/>
      <c r="D17" s="369" t="s">
        <v>421</v>
      </c>
      <c r="E17" s="846" t="s">
        <v>725</v>
      </c>
      <c r="F17" s="846"/>
      <c r="G17" s="846"/>
      <c r="H17" s="846"/>
      <c r="I17" s="373"/>
      <c r="J17" s="294"/>
      <c r="K17" s="390"/>
      <c r="M17" s="401" t="s">
        <v>455</v>
      </c>
      <c r="O17" s="866">
        <f>'MLK1-4'!BG6</f>
        <v>9.7777777777777769E-2</v>
      </c>
      <c r="P17" s="866"/>
      <c r="R17" s="228"/>
      <c r="T17" s="104"/>
      <c r="U17" s="104"/>
      <c r="V17" s="104"/>
      <c r="W17" s="104"/>
      <c r="X17" s="104"/>
      <c r="Y17" s="104"/>
    </row>
    <row r="18" spans="1:27" s="225" customFormat="1" ht="14.25" customHeight="1">
      <c r="A18" s="387"/>
      <c r="B18" s="478"/>
      <c r="C18" s="235"/>
      <c r="D18" s="369" t="s">
        <v>425</v>
      </c>
      <c r="E18" s="846" t="s">
        <v>669</v>
      </c>
      <c r="F18" s="846"/>
      <c r="G18" s="846"/>
      <c r="H18" s="846"/>
      <c r="I18" s="373"/>
      <c r="J18" s="294"/>
      <c r="K18" s="390"/>
      <c r="R18" s="228"/>
      <c r="T18" s="104"/>
      <c r="U18" s="104"/>
      <c r="V18" s="104"/>
      <c r="W18" s="104"/>
      <c r="X18" s="104"/>
      <c r="Y18" s="104"/>
    </row>
    <row r="19" spans="1:27" s="225" customFormat="1" ht="14.25" customHeight="1">
      <c r="A19" s="387"/>
      <c r="B19" s="478"/>
      <c r="C19" s="235"/>
      <c r="D19" s="369" t="s">
        <v>426</v>
      </c>
      <c r="E19" s="846" t="s">
        <v>670</v>
      </c>
      <c r="F19" s="846"/>
      <c r="G19" s="846"/>
      <c r="H19" s="846"/>
      <c r="I19" s="373"/>
      <c r="J19" s="294"/>
      <c r="K19" s="390"/>
      <c r="M19" s="227" t="s">
        <v>80</v>
      </c>
      <c r="R19" s="228"/>
      <c r="T19" s="104"/>
      <c r="U19" s="104"/>
      <c r="V19" s="104"/>
      <c r="W19" s="104"/>
      <c r="X19" s="104"/>
      <c r="Y19" s="104"/>
    </row>
    <row r="20" spans="1:27" s="225" customFormat="1" ht="14.25" customHeight="1">
      <c r="A20" s="387"/>
      <c r="B20" s="478"/>
      <c r="C20" s="235"/>
      <c r="D20" s="369" t="s">
        <v>427</v>
      </c>
      <c r="E20" s="846" t="s">
        <v>686</v>
      </c>
      <c r="F20" s="846"/>
      <c r="G20" s="846"/>
      <c r="H20" s="846"/>
      <c r="I20" s="373"/>
      <c r="J20" s="294"/>
      <c r="K20" s="390"/>
      <c r="M20" s="867" t="str">
        <f>IF(P5&gt;80%," Siiip pekerjaan Anda sudah hampir selesai dan bisa mencoba untuk mencetak raport (@kangmartho.com)"," Tetap Semangat, silakan terus isi data sesuai dengan keadaan, jangan lupa jaga kondisi kesehatan Anda (@kangmartho.com)")</f>
        <v xml:space="preserve"> Siiip pekerjaan Anda sudah hampir selesai dan bisa mencoba untuk mencetak raport (@kangmartho.com)</v>
      </c>
      <c r="N20" s="867"/>
      <c r="O20" s="867"/>
      <c r="P20" s="867"/>
      <c r="R20" s="228"/>
      <c r="T20" s="104"/>
      <c r="U20" s="104"/>
      <c r="V20" s="104"/>
      <c r="W20" s="104"/>
      <c r="X20" s="104"/>
      <c r="Y20" s="104"/>
    </row>
    <row r="21" spans="1:27" s="225" customFormat="1" ht="15.75" customHeight="1">
      <c r="A21" s="387"/>
      <c r="B21" s="478"/>
      <c r="C21" s="235"/>
      <c r="D21" s="369" t="s">
        <v>428</v>
      </c>
      <c r="E21" s="846" t="s">
        <v>14</v>
      </c>
      <c r="F21" s="846"/>
      <c r="G21" s="846"/>
      <c r="H21" s="846"/>
      <c r="I21" s="373"/>
      <c r="J21" s="294"/>
      <c r="K21" s="390"/>
      <c r="M21" s="867"/>
      <c r="N21" s="867"/>
      <c r="O21" s="867"/>
      <c r="P21" s="867"/>
      <c r="R21" s="228"/>
      <c r="T21" s="104"/>
      <c r="U21" s="104"/>
      <c r="V21" s="104"/>
      <c r="W21" s="104"/>
      <c r="X21" s="104"/>
      <c r="Y21" s="104"/>
    </row>
    <row r="22" spans="1:27" s="225" customFormat="1" ht="13.5" customHeight="1">
      <c r="A22" s="387"/>
      <c r="B22" s="478"/>
      <c r="C22" s="235"/>
      <c r="D22" s="369" t="s">
        <v>429</v>
      </c>
      <c r="E22" s="846" t="s">
        <v>845</v>
      </c>
      <c r="F22" s="846"/>
      <c r="G22" s="846"/>
      <c r="H22" s="846"/>
      <c r="I22" s="373"/>
      <c r="J22" s="294"/>
      <c r="K22" s="390"/>
      <c r="M22" s="867"/>
      <c r="N22" s="867"/>
      <c r="O22" s="867"/>
      <c r="P22" s="867"/>
      <c r="R22" s="228"/>
      <c r="T22" s="104"/>
      <c r="U22" s="104"/>
      <c r="V22" s="104"/>
      <c r="W22" s="104"/>
      <c r="X22" s="104"/>
      <c r="Y22" s="104"/>
    </row>
    <row r="23" spans="1:27" s="225" customFormat="1" ht="17.25" customHeight="1">
      <c r="A23" s="400"/>
      <c r="B23" s="400"/>
      <c r="C23" s="235"/>
      <c r="D23" s="425" t="s">
        <v>465</v>
      </c>
      <c r="E23" s="426">
        <v>50</v>
      </c>
      <c r="F23" s="427"/>
      <c r="G23" s="427"/>
      <c r="H23" s="427"/>
      <c r="I23" s="399"/>
      <c r="J23" s="372"/>
      <c r="K23" s="390"/>
      <c r="R23" s="228"/>
      <c r="S23" s="422"/>
      <c r="T23" s="421"/>
      <c r="U23" s="421"/>
      <c r="V23" s="421"/>
      <c r="W23" s="380"/>
      <c r="X23" s="380"/>
      <c r="Y23" s="104"/>
    </row>
    <row r="24" spans="1:27" s="225" customFormat="1" ht="6.75" customHeight="1">
      <c r="A24" s="400"/>
      <c r="B24" s="400"/>
      <c r="C24" s="390"/>
      <c r="D24" s="390"/>
      <c r="E24" s="390"/>
      <c r="F24" s="390"/>
      <c r="G24" s="390"/>
      <c r="H24" s="390"/>
      <c r="I24" s="390"/>
      <c r="J24" s="390"/>
      <c r="K24" s="228"/>
      <c r="L24" s="228"/>
      <c r="M24" s="228"/>
      <c r="N24" s="228"/>
      <c r="O24" s="228"/>
      <c r="P24" s="228"/>
      <c r="Q24" s="228"/>
      <c r="R24" s="228"/>
      <c r="S24" s="226"/>
      <c r="T24" s="380"/>
      <c r="U24" s="380"/>
      <c r="V24" s="380"/>
      <c r="W24" s="380"/>
      <c r="X24" s="380"/>
      <c r="Y24" s="104"/>
    </row>
    <row r="25" spans="1:27" ht="15" customHeight="1">
      <c r="A25" s="400"/>
      <c r="B25" s="400"/>
      <c r="C25" s="390"/>
      <c r="D25" s="439" t="s">
        <v>456</v>
      </c>
      <c r="E25" s="439"/>
      <c r="F25" s="439"/>
      <c r="G25" s="439"/>
      <c r="H25" s="439"/>
      <c r="I25" s="439"/>
      <c r="J25" s="439"/>
      <c r="K25" s="439"/>
      <c r="L25" s="439"/>
      <c r="M25" s="439"/>
      <c r="N25" s="439"/>
      <c r="O25" s="439"/>
      <c r="P25" s="440"/>
      <c r="Q25" s="440"/>
      <c r="R25" s="390"/>
      <c r="S25" s="225"/>
      <c r="Z25" s="224"/>
      <c r="AA25" s="224"/>
    </row>
    <row r="26" spans="1:27" ht="15" customHeight="1">
      <c r="A26" s="400"/>
      <c r="B26" s="400"/>
      <c r="C26" s="390"/>
      <c r="D26" s="402"/>
      <c r="E26" s="402"/>
      <c r="F26" s="402"/>
      <c r="G26" s="402"/>
      <c r="H26" s="402"/>
      <c r="I26" s="402"/>
      <c r="J26" s="225"/>
      <c r="M26" s="225"/>
      <c r="N26" s="225"/>
      <c r="O26" s="225"/>
      <c r="P26" s="225"/>
      <c r="Q26" s="225"/>
      <c r="R26" s="390"/>
      <c r="S26" s="225"/>
      <c r="Z26" s="224"/>
      <c r="AA26" s="224"/>
    </row>
    <row r="27" spans="1:27" ht="12.75" customHeight="1">
      <c r="A27" s="400"/>
      <c r="B27" s="400"/>
      <c r="C27" s="390"/>
      <c r="D27" s="225" t="s">
        <v>807</v>
      </c>
      <c r="E27" s="402"/>
      <c r="F27" s="402"/>
      <c r="G27" s="861" t="s">
        <v>905</v>
      </c>
      <c r="H27" s="861"/>
      <c r="I27" s="861"/>
      <c r="J27" s="861"/>
      <c r="K27" s="861"/>
      <c r="L27" s="861"/>
      <c r="M27" s="861"/>
      <c r="N27" s="861"/>
      <c r="O27" s="861"/>
      <c r="P27" s="861"/>
      <c r="Q27" s="225"/>
      <c r="R27" s="390"/>
      <c r="S27" s="225"/>
      <c r="Z27" s="224"/>
      <c r="AA27" s="224"/>
    </row>
    <row r="28" spans="1:27" ht="12.75" customHeight="1">
      <c r="A28" s="400"/>
      <c r="B28" s="400"/>
      <c r="C28" s="390"/>
      <c r="D28" s="225" t="s">
        <v>462</v>
      </c>
      <c r="E28" s="402"/>
      <c r="F28" s="402"/>
      <c r="G28" s="861"/>
      <c r="H28" s="861"/>
      <c r="I28" s="861"/>
      <c r="J28" s="861"/>
      <c r="K28" s="861"/>
      <c r="L28" s="861"/>
      <c r="M28" s="861"/>
      <c r="N28" s="861"/>
      <c r="O28" s="861"/>
      <c r="P28" s="861"/>
      <c r="Q28" s="225"/>
      <c r="R28" s="390"/>
      <c r="S28" s="225"/>
      <c r="Z28" s="224"/>
      <c r="AA28" s="224"/>
    </row>
    <row r="29" spans="1:27" ht="12.75" customHeight="1">
      <c r="A29" s="400"/>
      <c r="B29" s="400"/>
      <c r="C29" s="390"/>
      <c r="D29" s="403" t="s">
        <v>457</v>
      </c>
      <c r="E29" s="402"/>
      <c r="F29" s="402"/>
      <c r="G29" s="861"/>
      <c r="H29" s="861"/>
      <c r="I29" s="861"/>
      <c r="J29" s="861"/>
      <c r="K29" s="861"/>
      <c r="L29" s="861"/>
      <c r="M29" s="861"/>
      <c r="N29" s="861"/>
      <c r="O29" s="861"/>
      <c r="P29" s="861"/>
      <c r="Q29" s="225"/>
      <c r="R29" s="390"/>
      <c r="S29" s="225"/>
      <c r="Z29" s="224"/>
      <c r="AA29" s="224"/>
    </row>
    <row r="30" spans="1:27" ht="12.75" customHeight="1">
      <c r="A30" s="400"/>
      <c r="B30" s="400"/>
      <c r="C30" s="390"/>
      <c r="D30" s="403" t="s">
        <v>458</v>
      </c>
      <c r="E30" s="402"/>
      <c r="F30" s="402"/>
      <c r="G30" s="861"/>
      <c r="H30" s="861"/>
      <c r="I30" s="861"/>
      <c r="J30" s="861"/>
      <c r="K30" s="861"/>
      <c r="L30" s="861"/>
      <c r="M30" s="861"/>
      <c r="N30" s="861"/>
      <c r="O30" s="861"/>
      <c r="P30" s="861"/>
      <c r="Q30" s="225"/>
      <c r="R30" s="390"/>
      <c r="S30" s="225"/>
      <c r="Z30" s="224"/>
      <c r="AA30" s="224"/>
    </row>
    <row r="31" spans="1:27" ht="15" customHeight="1">
      <c r="A31" s="400"/>
      <c r="B31" s="400"/>
      <c r="C31" s="390"/>
      <c r="D31" s="402"/>
      <c r="E31" s="402"/>
      <c r="F31" s="402"/>
      <c r="G31" s="402"/>
      <c r="H31" s="402"/>
      <c r="I31" s="402"/>
      <c r="J31" s="225"/>
      <c r="K31" s="225"/>
      <c r="L31" s="225"/>
      <c r="M31" s="225"/>
      <c r="N31" s="225"/>
      <c r="O31" s="225"/>
      <c r="P31" s="225"/>
      <c r="Q31" s="225"/>
      <c r="R31" s="390"/>
      <c r="S31" s="225"/>
      <c r="Z31" s="224"/>
      <c r="AA31" s="224"/>
    </row>
    <row r="32" spans="1:27" ht="15" customHeight="1">
      <c r="A32" s="400"/>
      <c r="B32" s="400"/>
      <c r="C32" s="390"/>
      <c r="D32" s="402"/>
      <c r="E32" s="402"/>
      <c r="F32" s="402"/>
      <c r="G32" s="402"/>
      <c r="H32" s="402"/>
      <c r="I32" s="402"/>
      <c r="J32" s="225"/>
      <c r="K32" s="225"/>
      <c r="L32" s="225"/>
      <c r="M32" s="225"/>
      <c r="N32" s="225"/>
      <c r="O32" s="225"/>
      <c r="P32" s="225"/>
      <c r="Q32" s="225"/>
      <c r="R32" s="390"/>
      <c r="S32" s="225"/>
      <c r="Z32" s="224"/>
      <c r="AA32" s="224"/>
    </row>
    <row r="33" spans="1:27" ht="15" customHeight="1">
      <c r="A33" s="400"/>
      <c r="B33" s="400"/>
      <c r="C33" s="390"/>
      <c r="D33" s="402"/>
      <c r="E33" s="402"/>
      <c r="F33" s="402"/>
      <c r="G33" s="402"/>
      <c r="H33" s="402"/>
      <c r="I33" s="402"/>
      <c r="J33" s="225"/>
      <c r="K33" s="225"/>
      <c r="L33" s="225"/>
      <c r="M33" s="225"/>
      <c r="N33" s="225"/>
      <c r="O33" s="225"/>
      <c r="P33" s="225"/>
      <c r="Q33" s="225"/>
      <c r="R33" s="390"/>
      <c r="S33" s="225"/>
      <c r="Z33" s="224"/>
      <c r="AA33" s="224"/>
    </row>
    <row r="34" spans="1:27" s="104" customFormat="1" ht="15" customHeight="1">
      <c r="A34" s="390"/>
      <c r="B34" s="390"/>
      <c r="C34" s="390"/>
      <c r="D34" s="390"/>
      <c r="E34" s="390"/>
      <c r="F34" s="390"/>
      <c r="G34" s="390"/>
      <c r="H34" s="390"/>
      <c r="I34" s="390"/>
      <c r="J34" s="390"/>
      <c r="K34" s="390"/>
      <c r="L34" s="390"/>
      <c r="M34" s="390"/>
      <c r="N34" s="390"/>
      <c r="O34" s="390"/>
      <c r="P34" s="390"/>
      <c r="Q34" s="390"/>
      <c r="R34" s="390"/>
      <c r="S34" s="225"/>
    </row>
    <row r="35" spans="1:27" s="104" customFormat="1" ht="15" hidden="1" customHeight="1">
      <c r="A35" s="404"/>
      <c r="B35" s="404"/>
      <c r="C35" s="404"/>
      <c r="D35" s="404"/>
      <c r="E35" s="404"/>
      <c r="F35" s="404"/>
      <c r="G35" s="404"/>
      <c r="H35" s="404"/>
      <c r="I35" s="404"/>
      <c r="J35" s="404"/>
      <c r="K35" s="404"/>
      <c r="L35" s="404"/>
      <c r="M35" s="404"/>
      <c r="N35" s="404"/>
      <c r="O35" s="404"/>
      <c r="P35" s="404"/>
      <c r="Q35" s="404"/>
      <c r="R35" s="404"/>
      <c r="S35" s="225"/>
    </row>
    <row r="36" spans="1:27" s="104" customFormat="1" ht="15" hidden="1" customHeight="1">
      <c r="A36" s="404"/>
      <c r="B36" s="404"/>
      <c r="C36" s="404"/>
      <c r="D36" s="404"/>
      <c r="E36" s="404"/>
      <c r="F36" s="404"/>
      <c r="G36" s="404"/>
      <c r="H36" s="404"/>
      <c r="I36" s="404"/>
      <c r="J36" s="404"/>
      <c r="K36" s="404"/>
      <c r="L36" s="404"/>
      <c r="M36" s="404"/>
      <c r="N36" s="404"/>
      <c r="O36" s="404"/>
      <c r="P36" s="404"/>
      <c r="Q36" s="404"/>
      <c r="R36" s="404"/>
      <c r="S36" s="225"/>
    </row>
    <row r="37" spans="1:27" s="104" customFormat="1" ht="15" hidden="1" customHeight="1">
      <c r="A37" s="404"/>
      <c r="B37" s="404"/>
      <c r="C37" s="404"/>
      <c r="D37" s="404"/>
      <c r="E37" s="404"/>
      <c r="F37" s="404"/>
      <c r="G37" s="404"/>
      <c r="H37" s="404"/>
      <c r="I37" s="404"/>
      <c r="J37" s="404"/>
      <c r="K37" s="404"/>
      <c r="L37" s="404"/>
      <c r="M37" s="404"/>
      <c r="N37" s="404"/>
      <c r="O37" s="404"/>
      <c r="P37" s="404"/>
      <c r="Q37" s="404"/>
      <c r="R37" s="404"/>
    </row>
    <row r="38" spans="1:27" s="104" customFormat="1" ht="15" hidden="1" customHeight="1">
      <c r="A38" s="404"/>
      <c r="B38" s="404"/>
      <c r="C38" s="404"/>
      <c r="D38" s="404"/>
      <c r="E38" s="404"/>
      <c r="F38" s="404"/>
      <c r="G38" s="404"/>
      <c r="H38" s="404"/>
      <c r="I38" s="404"/>
      <c r="J38" s="404"/>
      <c r="K38" s="404"/>
      <c r="L38" s="404"/>
      <c r="M38" s="404"/>
      <c r="N38" s="404"/>
      <c r="O38" s="404"/>
      <c r="P38" s="404"/>
      <c r="Q38" s="404"/>
      <c r="R38" s="404"/>
    </row>
    <row r="39" spans="1:27" s="104" customFormat="1" ht="15" hidden="1" customHeight="1">
      <c r="A39" s="404"/>
      <c r="B39" s="404"/>
      <c r="C39" s="404"/>
      <c r="D39" s="404"/>
      <c r="E39" s="404"/>
      <c r="F39" s="404"/>
      <c r="G39" s="404"/>
      <c r="H39" s="404"/>
      <c r="I39" s="404"/>
      <c r="J39" s="404"/>
      <c r="K39" s="404"/>
      <c r="L39" s="404"/>
      <c r="M39" s="404"/>
      <c r="N39" s="404"/>
      <c r="O39" s="404"/>
      <c r="P39" s="404"/>
      <c r="Q39" s="404"/>
      <c r="R39" s="404"/>
    </row>
    <row r="40" spans="1:27" s="104" customFormat="1" ht="15" hidden="1" customHeight="1">
      <c r="A40" s="404"/>
      <c r="B40" s="404"/>
      <c r="C40" s="404"/>
      <c r="D40" s="404"/>
      <c r="E40" s="404"/>
      <c r="F40" s="404"/>
      <c r="G40" s="404"/>
      <c r="H40" s="404"/>
      <c r="I40" s="404"/>
      <c r="J40" s="404"/>
      <c r="K40" s="404"/>
      <c r="L40" s="404"/>
      <c r="M40" s="404"/>
      <c r="N40" s="404"/>
      <c r="O40" s="404"/>
      <c r="P40" s="404"/>
      <c r="Q40" s="404"/>
      <c r="R40" s="404"/>
    </row>
    <row r="41" spans="1:27" s="104" customFormat="1" ht="15" hidden="1" customHeight="1">
      <c r="A41" s="404"/>
      <c r="B41" s="404"/>
      <c r="C41" s="404"/>
      <c r="D41" s="404"/>
      <c r="E41" s="404"/>
      <c r="F41" s="404"/>
      <c r="G41" s="404"/>
      <c r="H41" s="404"/>
      <c r="I41" s="404"/>
      <c r="J41" s="404"/>
      <c r="K41" s="404"/>
      <c r="L41" s="404"/>
      <c r="M41" s="404"/>
      <c r="N41" s="404"/>
      <c r="O41" s="404"/>
      <c r="P41" s="404"/>
      <c r="Q41" s="404"/>
      <c r="R41" s="404"/>
    </row>
    <row r="42" spans="1:27" s="104" customFormat="1" ht="15" hidden="1" customHeight="1">
      <c r="A42" s="404"/>
      <c r="B42" s="404"/>
      <c r="C42" s="404"/>
      <c r="D42" s="404"/>
      <c r="E42" s="404"/>
      <c r="F42" s="404"/>
      <c r="G42" s="404"/>
      <c r="H42" s="404"/>
      <c r="I42" s="404"/>
      <c r="J42" s="404"/>
      <c r="K42" s="404"/>
      <c r="L42" s="404"/>
      <c r="M42" s="404"/>
      <c r="N42" s="404"/>
      <c r="O42" s="404"/>
      <c r="P42" s="404"/>
      <c r="Q42" s="404"/>
      <c r="R42" s="404"/>
    </row>
    <row r="43" spans="1:27" s="104" customFormat="1" ht="15" hidden="1" customHeight="1">
      <c r="A43" s="404"/>
      <c r="B43" s="404"/>
      <c r="C43" s="404"/>
      <c r="D43" s="404"/>
      <c r="E43" s="404"/>
      <c r="F43" s="404"/>
      <c r="G43" s="404"/>
      <c r="H43" s="404"/>
      <c r="I43" s="404"/>
      <c r="J43" s="404"/>
      <c r="K43" s="404"/>
      <c r="L43" s="404"/>
      <c r="M43" s="404"/>
      <c r="N43" s="404"/>
      <c r="O43" s="404"/>
      <c r="P43" s="404"/>
      <c r="Q43" s="404"/>
      <c r="R43" s="404"/>
    </row>
    <row r="44" spans="1:27" s="104" customFormat="1" ht="15" hidden="1" customHeight="1">
      <c r="A44" s="404"/>
      <c r="B44" s="404"/>
      <c r="C44" s="404"/>
      <c r="D44" s="404"/>
      <c r="E44" s="404"/>
      <c r="F44" s="404"/>
      <c r="G44" s="404"/>
      <c r="H44" s="404"/>
      <c r="I44" s="404"/>
      <c r="J44" s="404"/>
      <c r="K44" s="404"/>
      <c r="L44" s="404"/>
      <c r="M44" s="404"/>
      <c r="N44" s="404"/>
      <c r="O44" s="404"/>
      <c r="P44" s="404"/>
      <c r="Q44" s="404"/>
      <c r="R44" s="404"/>
    </row>
    <row r="45" spans="1:27" s="104" customFormat="1" ht="15" hidden="1" customHeight="1">
      <c r="A45" s="404"/>
      <c r="B45" s="404"/>
      <c r="C45" s="404"/>
      <c r="D45" s="404"/>
      <c r="E45" s="404"/>
      <c r="F45" s="404"/>
      <c r="G45" s="404"/>
      <c r="H45" s="404"/>
      <c r="I45" s="404"/>
      <c r="J45" s="404"/>
      <c r="K45" s="404"/>
      <c r="L45" s="404"/>
      <c r="M45" s="404"/>
      <c r="N45" s="404"/>
      <c r="O45" s="404"/>
      <c r="P45" s="404"/>
      <c r="Q45" s="404"/>
      <c r="R45" s="404"/>
    </row>
    <row r="46" spans="1:27" s="104" customFormat="1" ht="15" hidden="1" customHeight="1">
      <c r="A46" s="404"/>
      <c r="B46" s="404"/>
      <c r="C46" s="404"/>
      <c r="D46" s="404"/>
      <c r="E46" s="404"/>
      <c r="F46" s="404"/>
      <c r="G46" s="404"/>
      <c r="H46" s="404"/>
      <c r="I46" s="404"/>
      <c r="J46" s="404"/>
      <c r="K46" s="404"/>
      <c r="L46" s="404"/>
      <c r="M46" s="404"/>
      <c r="N46" s="404"/>
      <c r="O46" s="404"/>
      <c r="P46" s="404"/>
      <c r="Q46" s="404"/>
      <c r="R46" s="404"/>
    </row>
    <row r="47" spans="1:27" s="104" customFormat="1" ht="15" hidden="1" customHeight="1">
      <c r="A47" s="404"/>
      <c r="B47" s="404"/>
      <c r="C47" s="404"/>
      <c r="D47" s="404"/>
      <c r="E47" s="404"/>
      <c r="F47" s="404"/>
      <c r="G47" s="404"/>
      <c r="H47" s="404"/>
      <c r="I47" s="404"/>
      <c r="J47" s="404"/>
      <c r="K47" s="404"/>
      <c r="L47" s="404"/>
      <c r="M47" s="404"/>
      <c r="N47" s="404"/>
      <c r="O47" s="404"/>
      <c r="P47" s="404"/>
      <c r="Q47" s="404"/>
      <c r="R47" s="404"/>
    </row>
    <row r="48" spans="1:27" s="104" customFormat="1" ht="15" hidden="1" customHeight="1">
      <c r="A48" s="404"/>
      <c r="B48" s="404"/>
      <c r="C48" s="404"/>
      <c r="D48" s="404"/>
      <c r="E48" s="404"/>
      <c r="F48" s="404"/>
      <c r="G48" s="404"/>
      <c r="H48" s="404"/>
      <c r="I48" s="404"/>
      <c r="J48" s="404"/>
      <c r="K48" s="404"/>
      <c r="L48" s="404"/>
      <c r="M48" s="404"/>
      <c r="N48" s="404"/>
      <c r="O48" s="404"/>
      <c r="P48" s="404"/>
      <c r="Q48" s="404"/>
      <c r="R48" s="404"/>
    </row>
    <row r="49" spans="1:18" s="104" customFormat="1" ht="15" hidden="1" customHeight="1">
      <c r="A49" s="404"/>
      <c r="B49" s="404"/>
      <c r="C49" s="404"/>
      <c r="D49" s="404"/>
      <c r="E49" s="404"/>
      <c r="F49" s="404"/>
      <c r="G49" s="404"/>
      <c r="H49" s="404"/>
      <c r="I49" s="404"/>
      <c r="J49" s="404"/>
      <c r="K49" s="404"/>
      <c r="L49" s="404"/>
      <c r="M49" s="404"/>
      <c r="N49" s="404"/>
      <c r="O49" s="404"/>
      <c r="P49" s="404"/>
      <c r="Q49" s="404"/>
      <c r="R49" s="404"/>
    </row>
    <row r="50" spans="1:18" s="104" customFormat="1" ht="15" hidden="1" customHeight="1">
      <c r="A50" s="404"/>
      <c r="B50" s="404"/>
      <c r="C50" s="404"/>
      <c r="D50" s="404"/>
      <c r="E50" s="404"/>
      <c r="F50" s="404"/>
      <c r="G50" s="404"/>
      <c r="H50" s="404"/>
      <c r="I50" s="404"/>
      <c r="J50" s="404"/>
      <c r="K50" s="404"/>
      <c r="L50" s="404"/>
      <c r="M50" s="404"/>
      <c r="N50" s="404"/>
      <c r="O50" s="404"/>
      <c r="P50" s="404"/>
      <c r="Q50" s="404"/>
      <c r="R50" s="404"/>
    </row>
    <row r="51" spans="1:18" s="104" customFormat="1" ht="15" hidden="1" customHeight="1">
      <c r="A51" s="404"/>
      <c r="B51" s="404"/>
      <c r="C51" s="404"/>
      <c r="D51" s="404"/>
      <c r="E51" s="404"/>
      <c r="F51" s="404"/>
      <c r="G51" s="404"/>
      <c r="H51" s="404"/>
      <c r="I51" s="404"/>
      <c r="J51" s="404"/>
      <c r="K51" s="404"/>
      <c r="L51" s="404"/>
      <c r="M51" s="404"/>
      <c r="N51" s="404"/>
      <c r="O51" s="404"/>
      <c r="P51" s="404"/>
      <c r="Q51" s="404"/>
      <c r="R51" s="404"/>
    </row>
    <row r="52" spans="1:18" s="104" customFormat="1" ht="15" hidden="1" customHeight="1">
      <c r="A52" s="404"/>
      <c r="B52" s="404"/>
      <c r="C52" s="404"/>
      <c r="D52" s="404"/>
      <c r="E52" s="404"/>
      <c r="F52" s="404"/>
      <c r="G52" s="404"/>
      <c r="H52" s="404"/>
      <c r="I52" s="404"/>
      <c r="J52" s="404"/>
      <c r="K52" s="404"/>
      <c r="L52" s="404"/>
      <c r="M52" s="404"/>
      <c r="N52" s="404"/>
      <c r="O52" s="404"/>
      <c r="P52" s="404"/>
      <c r="Q52" s="404"/>
      <c r="R52" s="404"/>
    </row>
    <row r="53" spans="1:18" s="104" customFormat="1" ht="15" hidden="1" customHeight="1">
      <c r="A53" s="399"/>
      <c r="B53" s="399"/>
      <c r="C53" s="399"/>
      <c r="D53" s="399"/>
      <c r="E53" s="399"/>
      <c r="F53" s="399"/>
      <c r="G53" s="399"/>
      <c r="H53" s="399"/>
      <c r="I53" s="399"/>
    </row>
    <row r="54" spans="1:18" s="104" customFormat="1" ht="15" hidden="1" customHeight="1">
      <c r="A54" s="399"/>
      <c r="B54" s="399"/>
      <c r="C54" s="399"/>
      <c r="D54" s="399"/>
      <c r="E54" s="399"/>
      <c r="F54" s="399">
        <v>14</v>
      </c>
      <c r="G54" s="399">
        <f>COUNTA(E9:H12,E14:H16,E18:H23)</f>
        <v>14</v>
      </c>
      <c r="H54" s="399"/>
      <c r="I54" s="420">
        <f>IFERROR(G54/F54,"0%")</f>
        <v>1</v>
      </c>
    </row>
    <row r="55" spans="1:18" s="104" customFormat="1" ht="15" hidden="1" customHeight="1">
      <c r="A55" s="399"/>
      <c r="B55" s="399"/>
      <c r="C55" s="399"/>
      <c r="D55" s="399"/>
      <c r="E55" s="399"/>
      <c r="F55" s="399"/>
      <c r="G55" s="399"/>
      <c r="H55" s="399"/>
      <c r="I55" s="399"/>
    </row>
    <row r="56" spans="1:18" s="104" customFormat="1" ht="15" hidden="1" customHeight="1">
      <c r="A56" s="399"/>
      <c r="B56" s="399"/>
      <c r="C56" s="399"/>
      <c r="D56" s="399"/>
      <c r="E56" s="399"/>
      <c r="F56" s="399"/>
      <c r="G56" s="399"/>
      <c r="H56" s="399"/>
      <c r="I56" s="399"/>
    </row>
    <row r="57" spans="1:18" s="104" customFormat="1" ht="15" hidden="1" customHeight="1">
      <c r="A57" s="399"/>
      <c r="B57" s="399"/>
      <c r="C57" s="399"/>
      <c r="D57" s="399"/>
      <c r="E57" s="399"/>
      <c r="F57" s="399"/>
      <c r="G57" s="399"/>
      <c r="H57" s="399"/>
      <c r="I57" s="399"/>
    </row>
    <row r="58" spans="1:18" s="104" customFormat="1" ht="15" hidden="1" customHeight="1">
      <c r="A58" s="399"/>
      <c r="B58" s="399"/>
      <c r="C58" s="399"/>
      <c r="D58" s="399"/>
      <c r="E58" s="399"/>
      <c r="F58" s="399"/>
      <c r="G58" s="399"/>
      <c r="H58" s="399"/>
      <c r="I58" s="399"/>
    </row>
    <row r="59" spans="1:18" s="104" customFormat="1" ht="15" hidden="1" customHeight="1">
      <c r="A59" s="399"/>
      <c r="B59" s="399"/>
      <c r="C59" s="399"/>
      <c r="D59" s="399"/>
      <c r="E59" s="399"/>
      <c r="F59" s="399"/>
      <c r="G59" s="399"/>
      <c r="H59" s="399"/>
      <c r="I59" s="399"/>
    </row>
    <row r="60" spans="1:18" s="104" customFormat="1" ht="15" hidden="1" customHeight="1">
      <c r="A60" s="399"/>
      <c r="B60" s="399"/>
      <c r="C60" s="399"/>
      <c r="D60" s="399"/>
      <c r="E60" s="399"/>
      <c r="F60" s="399"/>
      <c r="G60" s="399"/>
      <c r="H60" s="399"/>
      <c r="I60" s="399"/>
    </row>
    <row r="61" spans="1:18" s="104" customFormat="1" ht="15" hidden="1" customHeight="1">
      <c r="A61" s="399"/>
      <c r="B61" s="399"/>
      <c r="C61" s="399"/>
      <c r="D61" s="399"/>
      <c r="E61" s="399"/>
      <c r="F61" s="399"/>
      <c r="G61" s="399"/>
      <c r="H61" s="399"/>
      <c r="I61" s="399"/>
    </row>
    <row r="62" spans="1:18" s="104" customFormat="1" ht="15" hidden="1" customHeight="1">
      <c r="A62" s="399"/>
      <c r="B62" s="399"/>
      <c r="C62" s="399"/>
      <c r="D62" s="399"/>
      <c r="E62" s="399"/>
      <c r="F62" s="399"/>
      <c r="G62" s="399"/>
      <c r="H62" s="399"/>
      <c r="I62" s="399"/>
    </row>
    <row r="63" spans="1:18" s="104" customFormat="1" hidden="1">
      <c r="A63" s="399"/>
      <c r="B63" s="399"/>
      <c r="C63" s="378"/>
      <c r="D63" s="399"/>
      <c r="E63" s="399"/>
      <c r="F63" s="399"/>
      <c r="G63" s="399"/>
      <c r="H63" s="399"/>
      <c r="I63" s="399"/>
    </row>
    <row r="64" spans="1:18" s="104" customFormat="1" hidden="1">
      <c r="C64" s="378"/>
    </row>
    <row r="65" spans="3:3" s="104" customFormat="1" hidden="1">
      <c r="C65" s="378"/>
    </row>
    <row r="66" spans="3:3" s="104" customFormat="1" hidden="1">
      <c r="C66" s="378"/>
    </row>
    <row r="67" spans="3:3" s="104" customFormat="1" hidden="1">
      <c r="C67" s="378"/>
    </row>
    <row r="68" spans="3:3" s="104" customFormat="1" hidden="1">
      <c r="C68" s="378"/>
    </row>
    <row r="69" spans="3:3" s="104" customFormat="1" hidden="1"/>
    <row r="70" spans="3:3" s="104" customFormat="1" hidden="1"/>
    <row r="71" spans="3:3" s="104" customFormat="1" hidden="1"/>
    <row r="72" spans="3:3" s="104" customFormat="1" hidden="1"/>
  </sheetData>
  <sheetProtection password="DC81" sheet="1" objects="1" scenarios="1" sort="0"/>
  <mergeCells count="35">
    <mergeCell ref="I1:Q1"/>
    <mergeCell ref="G27:P30"/>
    <mergeCell ref="E9:F9"/>
    <mergeCell ref="P5:P6"/>
    <mergeCell ref="D8:J8"/>
    <mergeCell ref="L8:P8"/>
    <mergeCell ref="O11:P11"/>
    <mergeCell ref="O12:P12"/>
    <mergeCell ref="O13:P13"/>
    <mergeCell ref="O14:P14"/>
    <mergeCell ref="O15:P15"/>
    <mergeCell ref="O16:P16"/>
    <mergeCell ref="O17:P17"/>
    <mergeCell ref="M20:P22"/>
    <mergeCell ref="E10:H10"/>
    <mergeCell ref="E11:H11"/>
    <mergeCell ref="I3:I5"/>
    <mergeCell ref="L3:L5"/>
    <mergeCell ref="O3:O5"/>
    <mergeCell ref="D5:D6"/>
    <mergeCell ref="G5:G6"/>
    <mergeCell ref="J5:J6"/>
    <mergeCell ref="M5:M6"/>
    <mergeCell ref="E20:H20"/>
    <mergeCell ref="E21:H21"/>
    <mergeCell ref="E22:H22"/>
    <mergeCell ref="G14:H14"/>
    <mergeCell ref="A1:B1"/>
    <mergeCell ref="F3:F5"/>
    <mergeCell ref="E12:H12"/>
    <mergeCell ref="E13:H13"/>
    <mergeCell ref="E16:H16"/>
    <mergeCell ref="E17:H17"/>
    <mergeCell ref="E19:H19"/>
    <mergeCell ref="E18:H18"/>
  </mergeCells>
  <conditionalFormatting sqref="O11:P17">
    <cfRule type="dataBar" priority="1">
      <dataBar>
        <cfvo type="min"/>
        <cfvo type="max"/>
        <color rgb="FFFFB628"/>
      </dataBar>
      <extLst>
        <ext xmlns:x14="http://schemas.microsoft.com/office/spreadsheetml/2009/9/main" uri="{B025F937-C7B1-47D3-B67F-A62EFF666E3E}">
          <x14:id>{5B78FC74-6093-4BAE-92FD-3F6A8E0CCE13}</x14:id>
        </ext>
      </extLst>
    </cfRule>
  </conditionalFormatting>
  <dataValidations count="4">
    <dataValidation allowBlank="1" showInputMessage="1" showErrorMessage="1" promptTitle="SISWA" prompt="Untuk mengisi data siswa silakan menuju sheet SISWA" sqref="D5:D6"/>
    <dataValidation allowBlank="1" showInputMessage="1" showErrorMessage="1" promptTitle="MULOK" prompt="Untuk mengisi data MULOK silakan menuju sheet KKM" sqref="J5:J6"/>
    <dataValidation allowBlank="1" showInputMessage="1" showErrorMessage="1" promptTitle="KKM" prompt="Untuk mengisi KKM silakan menuju sheet KKM" sqref="M5:M6"/>
    <dataValidation allowBlank="1" showInputMessage="1" showErrorMessage="1" promptTitle="PEKERJAAN" prompt="Usahakan sudah di atas 80%" sqref="P5:P6"/>
  </dataValidations>
  <hyperlinks>
    <hyperlink ref="D30" r:id="rId1" display="www.aplikasidigital.com"/>
    <hyperlink ref="D29" r:id="rId2" display="www.kangmartho.com"/>
  </hyperlinks>
  <pageMargins left="0.7" right="0.7" top="0.75" bottom="0.75" header="0.3" footer="0.3"/>
  <pageSetup orientation="portrait" r:id="rId3"/>
  <drawing r:id="rId4"/>
  <extLst>
    <ext xmlns:x14="http://schemas.microsoft.com/office/spreadsheetml/2009/9/main" uri="{78C0D931-6437-407d-A8EE-F0AAD7539E65}">
      <x14:conditionalFormattings>
        <x14:conditionalFormatting xmlns:xm="http://schemas.microsoft.com/office/excel/2006/main">
          <x14:cfRule type="dataBar" id="{5B78FC74-6093-4BAE-92FD-3F6A8E0CCE13}">
            <x14:dataBar minLength="0" maxLength="100" border="1" negativeBarBorderColorSameAsPositive="0">
              <x14:cfvo type="autoMin"/>
              <x14:cfvo type="autoMax"/>
              <x14:borderColor rgb="FFFFB628"/>
              <x14:negativeFillColor rgb="FFFF0000"/>
              <x14:negativeBorderColor rgb="FFFF0000"/>
              <x14:axisColor rgb="FF000000"/>
            </x14:dataBar>
          </x14:cfRule>
          <xm:sqref>O11:P17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K83"/>
  <sheetViews>
    <sheetView showRowColHeaders="0" zoomScale="85" zoomScaleNormal="85" workbookViewId="0"/>
  </sheetViews>
  <sheetFormatPr defaultColWidth="0" defaultRowHeight="15" customHeight="1" zeroHeight="1"/>
  <cols>
    <col min="1" max="1" width="4.140625" style="228" customWidth="1"/>
    <col min="2" max="2" width="3" style="228" customWidth="1"/>
    <col min="3" max="3" width="3.85546875" style="228" customWidth="1"/>
    <col min="4" max="4" width="16.140625" style="228" customWidth="1"/>
    <col min="5" max="5" width="9.85546875" style="228" customWidth="1"/>
    <col min="6" max="6" width="6.7109375" style="228" customWidth="1"/>
    <col min="7" max="7" width="17.7109375" style="228" customWidth="1"/>
    <col min="8" max="8" width="16" style="228" customWidth="1"/>
    <col min="9" max="9" width="16.140625" style="228" customWidth="1"/>
    <col min="10" max="10" width="18.5703125" style="228" customWidth="1"/>
    <col min="11" max="11" width="4.7109375" style="228" customWidth="1"/>
    <col min="12" max="12" width="4.28515625" style="228" hidden="1" customWidth="1"/>
    <col min="13" max="20" width="7.42578125" style="228" hidden="1" customWidth="1"/>
    <col min="21" max="21" width="7.42578125" style="228" customWidth="1"/>
    <col min="22" max="22" width="23.28515625" style="228" customWidth="1"/>
    <col min="23" max="23" width="23.28515625" style="228" hidden="1" customWidth="1"/>
    <col min="24" max="24" width="28.42578125" style="228" customWidth="1"/>
    <col min="25" max="25" width="23.28515625" style="228" hidden="1" customWidth="1"/>
    <col min="26" max="26" width="7.85546875" style="228" customWidth="1"/>
    <col min="27" max="27" width="4" style="228" customWidth="1"/>
    <col min="28" max="28" width="23.28515625" style="228" hidden="1" customWidth="1"/>
    <col min="29" max="35" width="9.140625" style="228" hidden="1" customWidth="1"/>
    <col min="36" max="36" width="3.28515625" style="228" hidden="1" customWidth="1"/>
    <col min="37" max="37" width="9.140625" style="228" hidden="1" customWidth="1"/>
    <col min="38" max="16384" width="0" style="228" hidden="1"/>
  </cols>
  <sheetData>
    <row r="1" spans="1:36" s="229" customFormat="1" ht="52.5" customHeight="1" thickBot="1">
      <c r="A1" s="228"/>
      <c r="B1" s="577"/>
      <c r="C1" s="578"/>
      <c r="D1" s="578"/>
      <c r="E1" s="869" t="s">
        <v>255</v>
      </c>
      <c r="F1" s="869"/>
      <c r="G1" s="869"/>
      <c r="H1" s="869"/>
      <c r="I1" s="869"/>
      <c r="J1" s="869"/>
      <c r="K1" s="869"/>
      <c r="L1" s="869"/>
      <c r="M1" s="869"/>
      <c r="N1" s="869"/>
      <c r="O1" s="869"/>
      <c r="P1" s="869"/>
      <c r="Q1" s="869"/>
      <c r="R1" s="869"/>
      <c r="S1" s="869"/>
      <c r="T1" s="869"/>
      <c r="U1" s="869"/>
      <c r="V1" s="869"/>
      <c r="W1" s="869"/>
      <c r="X1" s="869"/>
      <c r="Y1" s="579"/>
      <c r="Z1" s="580"/>
      <c r="AA1" s="235"/>
    </row>
    <row r="2" spans="1:36" s="233" customFormat="1" ht="8.25" customHeight="1">
      <c r="A2" s="228"/>
      <c r="B2" s="230"/>
      <c r="C2" s="231"/>
      <c r="D2" s="232"/>
      <c r="E2" s="231"/>
      <c r="F2" s="231"/>
      <c r="G2" s="231"/>
      <c r="H2" s="231"/>
      <c r="I2" s="231"/>
      <c r="J2" s="231"/>
      <c r="K2" s="231"/>
      <c r="L2" s="231"/>
      <c r="M2" s="231"/>
      <c r="N2" s="231"/>
      <c r="O2" s="231"/>
      <c r="P2" s="231"/>
      <c r="Q2" s="231"/>
      <c r="R2" s="231"/>
      <c r="S2" s="231"/>
      <c r="T2" s="231"/>
      <c r="U2" s="231"/>
      <c r="V2" s="231"/>
      <c r="W2" s="231"/>
      <c r="X2" s="231"/>
      <c r="Y2" s="231"/>
      <c r="Z2" s="703"/>
      <c r="AA2" s="235"/>
    </row>
    <row r="3" spans="1:36" s="233" customFormat="1" ht="8.25" customHeight="1">
      <c r="A3" s="228"/>
      <c r="B3" s="230"/>
      <c r="C3" s="231"/>
      <c r="D3" s="232"/>
      <c r="E3" s="231"/>
      <c r="F3" s="231"/>
      <c r="G3" s="231"/>
      <c r="H3" s="231"/>
      <c r="I3" s="231"/>
      <c r="J3" s="231"/>
      <c r="K3" s="231"/>
      <c r="L3" s="231"/>
      <c r="M3" s="231"/>
      <c r="N3" s="231"/>
      <c r="O3" s="231"/>
      <c r="P3" s="231"/>
      <c r="Q3" s="231"/>
      <c r="R3" s="231"/>
      <c r="S3" s="231"/>
      <c r="T3" s="231"/>
      <c r="U3" s="231"/>
      <c r="V3" s="231"/>
      <c r="W3" s="231"/>
      <c r="X3" s="231"/>
      <c r="Y3" s="231"/>
      <c r="Z3" s="703"/>
      <c r="AA3" s="235"/>
    </row>
    <row r="4" spans="1:36" s="237" customFormat="1">
      <c r="A4" s="228"/>
      <c r="B4" s="234"/>
      <c r="C4" s="235"/>
      <c r="D4" s="235"/>
      <c r="E4" s="235"/>
      <c r="F4" s="235"/>
      <c r="G4" s="235"/>
      <c r="H4" s="235"/>
      <c r="I4" s="235"/>
      <c r="J4" s="235"/>
      <c r="K4" s="235"/>
      <c r="L4" s="235"/>
      <c r="M4" s="235"/>
      <c r="N4" s="235"/>
      <c r="O4" s="235"/>
      <c r="P4" s="235"/>
      <c r="Q4" s="235"/>
      <c r="R4" s="235"/>
      <c r="S4" s="235"/>
      <c r="T4" s="235"/>
      <c r="U4" s="235"/>
      <c r="V4" s="235"/>
      <c r="W4" s="235"/>
      <c r="X4" s="235"/>
      <c r="Y4" s="235"/>
      <c r="Z4" s="704"/>
      <c r="AA4" s="235"/>
      <c r="AB4" s="236"/>
      <c r="AC4" s="236"/>
      <c r="AD4" s="236"/>
      <c r="AE4" s="236"/>
      <c r="AF4" s="236"/>
      <c r="AG4" s="236"/>
      <c r="AH4" s="236"/>
      <c r="AI4" s="236"/>
      <c r="AJ4" s="236"/>
    </row>
    <row r="5" spans="1:36" s="237" customFormat="1" ht="18.75">
      <c r="A5" s="228"/>
      <c r="B5" s="234"/>
      <c r="C5" s="235"/>
      <c r="D5" s="235"/>
      <c r="E5" s="235"/>
      <c r="F5" s="235"/>
      <c r="G5" s="235"/>
      <c r="H5" s="235"/>
      <c r="I5" s="235"/>
      <c r="J5" s="235"/>
      <c r="K5" s="235"/>
      <c r="L5" s="235"/>
      <c r="M5" s="235"/>
      <c r="N5" s="235"/>
      <c r="O5" s="235"/>
      <c r="P5" s="235"/>
      <c r="Q5" s="235"/>
      <c r="R5" s="235"/>
      <c r="S5" s="235"/>
      <c r="T5" s="235"/>
      <c r="U5" s="235"/>
      <c r="V5" s="871" t="s">
        <v>278</v>
      </c>
      <c r="W5" s="871"/>
      <c r="X5" s="871"/>
      <c r="Y5" s="644"/>
      <c r="Z5" s="704"/>
      <c r="AA5" s="235"/>
      <c r="AB5" s="236"/>
      <c r="AC5" s="236"/>
      <c r="AD5" s="236"/>
      <c r="AE5" s="236"/>
      <c r="AF5" s="236"/>
      <c r="AG5" s="236"/>
      <c r="AH5" s="236"/>
      <c r="AI5" s="236"/>
      <c r="AJ5" s="236"/>
    </row>
    <row r="6" spans="1:36" s="237" customFormat="1" ht="18.75" customHeight="1">
      <c r="A6" s="228"/>
      <c r="B6" s="234"/>
      <c r="C6" s="235"/>
      <c r="D6" s="872" t="s">
        <v>263</v>
      </c>
      <c r="E6" s="872" t="s">
        <v>276</v>
      </c>
      <c r="F6" s="872"/>
      <c r="G6" s="874" t="s">
        <v>277</v>
      </c>
      <c r="H6" s="874"/>
      <c r="I6" s="874"/>
      <c r="J6" s="874"/>
      <c r="K6" s="235"/>
      <c r="L6" s="235"/>
      <c r="M6" s="235"/>
      <c r="N6" s="235"/>
      <c r="O6" s="235"/>
      <c r="P6" s="235"/>
      <c r="Q6" s="235"/>
      <c r="R6" s="235"/>
      <c r="S6" s="235"/>
      <c r="T6" s="235"/>
      <c r="U6" s="235"/>
      <c r="V6" s="871"/>
      <c r="W6" s="871"/>
      <c r="X6" s="871"/>
      <c r="Y6" s="644"/>
      <c r="Z6" s="704"/>
      <c r="AA6" s="235"/>
      <c r="AB6" s="236"/>
      <c r="AC6" s="236"/>
      <c r="AD6" s="236"/>
      <c r="AE6" s="236"/>
      <c r="AF6" s="236"/>
      <c r="AG6" s="236"/>
      <c r="AH6" s="236"/>
      <c r="AI6" s="236"/>
      <c r="AJ6" s="236"/>
    </row>
    <row r="7" spans="1:36" s="233" customFormat="1" ht="36.75" customHeight="1">
      <c r="A7" s="228"/>
      <c r="B7" s="234"/>
      <c r="C7" s="235"/>
      <c r="D7" s="872"/>
      <c r="E7" s="873"/>
      <c r="F7" s="873"/>
      <c r="G7" s="645" t="s">
        <v>279</v>
      </c>
      <c r="H7" s="645" t="s">
        <v>280</v>
      </c>
      <c r="I7" s="645" t="s">
        <v>281</v>
      </c>
      <c r="J7" s="645" t="s">
        <v>282</v>
      </c>
      <c r="K7" s="235"/>
      <c r="L7" s="235"/>
      <c r="M7" s="235"/>
      <c r="N7" s="235"/>
      <c r="O7" s="235"/>
      <c r="P7" s="235"/>
      <c r="Q7" s="235"/>
      <c r="R7" s="235"/>
      <c r="S7" s="235"/>
      <c r="T7" s="235"/>
      <c r="U7" s="235"/>
      <c r="V7" s="238" t="s">
        <v>283</v>
      </c>
      <c r="W7" s="235"/>
      <c r="X7" s="262" t="s">
        <v>333</v>
      </c>
      <c r="Y7" s="418">
        <f>IF(X7="","",IF(X7&lt;&gt;"",COUNTA($X$7:X7)))</f>
        <v>1</v>
      </c>
      <c r="Z7" s="704"/>
      <c r="AA7" s="235"/>
      <c r="AB7" s="235"/>
      <c r="AC7" s="235"/>
      <c r="AD7" s="235"/>
      <c r="AE7" s="235"/>
      <c r="AF7" s="235"/>
      <c r="AG7" s="235"/>
      <c r="AH7" s="235"/>
      <c r="AI7" s="235"/>
      <c r="AJ7" s="235"/>
    </row>
    <row r="8" spans="1:36" s="249" customFormat="1" ht="25.5">
      <c r="A8" s="228"/>
      <c r="B8" s="234"/>
      <c r="C8" s="235"/>
      <c r="D8" s="263">
        <v>70</v>
      </c>
      <c r="E8" s="239" t="str">
        <f>100-D8&amp;"/3 ="</f>
        <v>30/3 =</v>
      </c>
      <c r="F8" s="240">
        <f>ROUND((100-D8)/3,1)</f>
        <v>10</v>
      </c>
      <c r="G8" s="241" t="str">
        <f>CONCATENATE(G10,"&lt; A ≤100")</f>
        <v>90&lt; A ≤100</v>
      </c>
      <c r="H8" s="242" t="str">
        <f>CONCATENATE(H10,"&lt; B ≤",G10)</f>
        <v>80&lt; B ≤90</v>
      </c>
      <c r="I8" s="242" t="str">
        <f>CONCATENATE(I10,"≤ C ≤",H10)</f>
        <v>70≤ C ≤80</v>
      </c>
      <c r="J8" s="243" t="str">
        <f>CONCATENATE("D&lt;",I10)</f>
        <v>D&lt;70</v>
      </c>
      <c r="K8" s="235"/>
      <c r="L8" s="244"/>
      <c r="M8" s="244"/>
      <c r="N8" s="245">
        <v>87</v>
      </c>
      <c r="O8" s="245" t="str">
        <f>IF(N8&gt;G10,"A",IF(N8&gt;H10,"B",IF(N8&gt;=I10,"C","D")))</f>
        <v>B</v>
      </c>
      <c r="P8" s="246">
        <f>(100-D8)/3</f>
        <v>10</v>
      </c>
      <c r="Q8" s="247">
        <f>ROUND(P8,0)</f>
        <v>10</v>
      </c>
      <c r="R8" s="247">
        <f>(100-Q8)</f>
        <v>90</v>
      </c>
      <c r="S8" s="247">
        <f>T8+Q8</f>
        <v>80</v>
      </c>
      <c r="T8" s="248">
        <f>D8</f>
        <v>70</v>
      </c>
      <c r="U8" s="248"/>
      <c r="V8" s="238" t="s">
        <v>284</v>
      </c>
      <c r="W8" s="248"/>
      <c r="X8" s="262" t="s">
        <v>856</v>
      </c>
      <c r="Y8" s="418">
        <f>IF(X8="","",IF(X8&lt;&gt;"",COUNTA($X$7:X8)))</f>
        <v>2</v>
      </c>
      <c r="Z8" s="704"/>
      <c r="AA8" s="235"/>
      <c r="AB8" s="235"/>
      <c r="AC8" s="235"/>
      <c r="AD8" s="235"/>
      <c r="AE8" s="235"/>
      <c r="AF8" s="235"/>
      <c r="AG8" s="235"/>
      <c r="AH8" s="235"/>
      <c r="AI8" s="235"/>
      <c r="AJ8" s="235"/>
    </row>
    <row r="9" spans="1:36" s="249" customFormat="1" ht="24" customHeight="1">
      <c r="A9" s="228"/>
      <c r="B9" s="234"/>
      <c r="C9" s="235"/>
      <c r="D9" s="235"/>
      <c r="E9" s="250"/>
      <c r="F9" s="251"/>
      <c r="G9" s="252"/>
      <c r="H9" s="252"/>
      <c r="I9" s="252"/>
      <c r="J9" s="253"/>
      <c r="L9" s="244"/>
      <c r="M9" s="244"/>
      <c r="N9" s="245"/>
      <c r="O9" s="245"/>
      <c r="P9" s="246"/>
      <c r="Q9" s="247"/>
      <c r="R9" s="247"/>
      <c r="S9" s="247"/>
      <c r="T9" s="248"/>
      <c r="U9" s="248"/>
      <c r="V9" s="238" t="s">
        <v>285</v>
      </c>
      <c r="W9" s="248"/>
      <c r="X9" s="262" t="s">
        <v>857</v>
      </c>
      <c r="Y9" s="418">
        <f>IF(X9="","",IF(X9&lt;&gt;"",COUNTA($X$7:X9)))</f>
        <v>3</v>
      </c>
      <c r="Z9" s="704"/>
      <c r="AA9" s="235"/>
      <c r="AB9" s="235"/>
      <c r="AC9" s="235"/>
      <c r="AD9" s="235"/>
      <c r="AE9" s="235"/>
      <c r="AF9" s="235"/>
      <c r="AG9" s="235"/>
      <c r="AH9" s="235"/>
      <c r="AI9" s="235"/>
      <c r="AJ9" s="235"/>
    </row>
    <row r="10" spans="1:36" s="235" customFormat="1" ht="21">
      <c r="A10" s="228"/>
      <c r="B10" s="234"/>
      <c r="D10" s="581" t="s">
        <v>286</v>
      </c>
      <c r="G10" s="261">
        <f>R8</f>
        <v>90</v>
      </c>
      <c r="H10" s="261">
        <f>S8</f>
        <v>80</v>
      </c>
      <c r="I10" s="261">
        <f>T8</f>
        <v>70</v>
      </c>
      <c r="K10" s="249"/>
      <c r="L10" s="244"/>
      <c r="Y10" s="419">
        <f>MAX(Y7:Y9)</f>
        <v>3</v>
      </c>
      <c r="Z10" s="705"/>
    </row>
    <row r="11" spans="1:36" s="235" customFormat="1" ht="21">
      <c r="A11" s="254"/>
      <c r="B11" s="255"/>
      <c r="C11" s="256"/>
      <c r="D11" s="256"/>
      <c r="E11" s="256"/>
      <c r="F11" s="256"/>
      <c r="G11" s="256"/>
      <c r="H11" s="256"/>
      <c r="I11" s="256"/>
      <c r="J11" s="256"/>
      <c r="K11" s="249"/>
      <c r="L11" s="244"/>
      <c r="Y11" s="419">
        <f>COUNTA(D8)</f>
        <v>1</v>
      </c>
      <c r="Z11" s="705"/>
    </row>
    <row r="12" spans="1:36" s="235" customFormat="1" ht="21" customHeight="1">
      <c r="A12" s="254"/>
      <c r="B12" s="255"/>
      <c r="D12" s="632" t="s">
        <v>287</v>
      </c>
      <c r="E12" s="632"/>
      <c r="F12" s="632"/>
      <c r="G12" s="632"/>
      <c r="H12" s="632"/>
      <c r="I12" s="632"/>
      <c r="J12" s="632"/>
      <c r="K12" s="632"/>
      <c r="L12" s="632"/>
      <c r="M12" s="632"/>
      <c r="N12" s="632"/>
      <c r="O12" s="632"/>
      <c r="P12" s="632"/>
      <c r="Q12" s="632"/>
      <c r="V12" s="870" t="s">
        <v>288</v>
      </c>
      <c r="W12" s="870"/>
      <c r="X12" s="870"/>
      <c r="Y12" s="643">
        <v>1</v>
      </c>
      <c r="Z12" s="705"/>
    </row>
    <row r="13" spans="1:36" s="235" customFormat="1" ht="15.75" customHeight="1">
      <c r="A13" s="254"/>
      <c r="B13" s="255"/>
      <c r="D13" s="632" t="s">
        <v>289</v>
      </c>
      <c r="E13" s="632"/>
      <c r="F13" s="632"/>
      <c r="G13" s="632"/>
      <c r="H13" s="632"/>
      <c r="I13" s="632"/>
      <c r="J13" s="632"/>
      <c r="K13" s="632"/>
      <c r="L13" s="632"/>
      <c r="M13" s="632"/>
      <c r="N13" s="632"/>
      <c r="O13" s="632"/>
      <c r="P13" s="632"/>
      <c r="Q13" s="632"/>
      <c r="V13" s="870"/>
      <c r="W13" s="870"/>
      <c r="X13" s="870"/>
      <c r="Y13" s="643"/>
      <c r="Z13" s="705"/>
    </row>
    <row r="14" spans="1:36" s="235" customFormat="1" ht="19.5" customHeight="1">
      <c r="A14" s="228"/>
      <c r="B14" s="234"/>
      <c r="D14" s="632" t="s">
        <v>290</v>
      </c>
      <c r="E14" s="632"/>
      <c r="F14" s="632"/>
      <c r="G14" s="632"/>
      <c r="H14" s="632"/>
      <c r="I14" s="632"/>
      <c r="J14" s="632"/>
      <c r="K14" s="632"/>
      <c r="L14" s="632"/>
      <c r="M14" s="632"/>
      <c r="N14" s="632"/>
      <c r="O14" s="632"/>
      <c r="P14" s="632"/>
      <c r="Q14" s="632"/>
      <c r="V14" s="870"/>
      <c r="W14" s="870"/>
      <c r="X14" s="870"/>
      <c r="Y14" s="643"/>
      <c r="Z14" s="705"/>
    </row>
    <row r="15" spans="1:36" s="235" customFormat="1" ht="19.5" customHeight="1">
      <c r="A15" s="228"/>
      <c r="B15" s="234"/>
      <c r="D15" s="632" t="s">
        <v>843</v>
      </c>
      <c r="E15" s="632"/>
      <c r="F15" s="632"/>
      <c r="G15" s="632"/>
      <c r="H15" s="632"/>
      <c r="I15" s="632"/>
      <c r="J15" s="632"/>
      <c r="K15" s="632"/>
      <c r="L15" s="632"/>
      <c r="M15" s="632"/>
      <c r="N15" s="632"/>
      <c r="O15" s="632"/>
      <c r="P15" s="632"/>
      <c r="Q15" s="632"/>
      <c r="Y15" s="423">
        <f>IFERROR(Y11/Y12,"0%")</f>
        <v>1</v>
      </c>
      <c r="Z15" s="706"/>
    </row>
    <row r="16" spans="1:36" s="235" customFormat="1" ht="19.5" customHeight="1">
      <c r="A16" s="228"/>
      <c r="B16" s="234"/>
      <c r="D16" s="632" t="s">
        <v>844</v>
      </c>
      <c r="E16" s="632"/>
      <c r="F16" s="632"/>
      <c r="G16" s="632"/>
      <c r="H16" s="632"/>
      <c r="I16" s="632"/>
      <c r="J16" s="632"/>
      <c r="K16" s="632"/>
      <c r="L16" s="632"/>
      <c r="M16" s="632"/>
      <c r="N16" s="632"/>
      <c r="O16" s="632"/>
      <c r="P16" s="632"/>
      <c r="Q16" s="632"/>
      <c r="Y16" s="632"/>
      <c r="Z16" s="706"/>
    </row>
    <row r="17" spans="1:27" s="235" customFormat="1" ht="19.5" customHeight="1">
      <c r="A17" s="228"/>
      <c r="B17" s="234"/>
      <c r="D17" s="632" t="s">
        <v>842</v>
      </c>
      <c r="E17" s="632"/>
      <c r="F17" s="632"/>
      <c r="G17" s="632"/>
      <c r="H17" s="632"/>
      <c r="I17" s="632"/>
      <c r="J17" s="632"/>
      <c r="K17" s="632"/>
      <c r="L17" s="632"/>
      <c r="M17" s="632"/>
      <c r="N17" s="632"/>
      <c r="O17" s="632"/>
      <c r="P17" s="632"/>
      <c r="Q17" s="632"/>
      <c r="Y17" s="632"/>
      <c r="Z17" s="706"/>
    </row>
    <row r="18" spans="1:27" s="235" customFormat="1" ht="19.5" customHeight="1">
      <c r="A18" s="228"/>
      <c r="B18" s="234"/>
      <c r="Y18" s="632"/>
      <c r="Z18" s="706"/>
    </row>
    <row r="19" spans="1:27" s="259" customFormat="1" ht="15" customHeight="1" thickBot="1">
      <c r="A19" s="228"/>
      <c r="B19" s="257"/>
      <c r="C19" s="258"/>
      <c r="Z19" s="707"/>
      <c r="AA19" s="228"/>
    </row>
    <row r="20" spans="1:27" ht="3" customHeight="1"/>
    <row r="21" spans="1:27" ht="15" hidden="1" customHeight="1"/>
    <row r="22" spans="1:27" ht="15" hidden="1" customHeight="1"/>
    <row r="23" spans="1:27" ht="15" hidden="1" customHeight="1"/>
    <row r="24" spans="1:27" ht="15" hidden="1" customHeight="1"/>
    <row r="25" spans="1:27" ht="15" hidden="1" customHeight="1">
      <c r="C25" s="260"/>
    </row>
    <row r="26" spans="1:27" ht="15" hidden="1" customHeight="1"/>
    <row r="27" spans="1:27" ht="11.25" hidden="1" customHeight="1"/>
    <row r="28" spans="1:27" ht="15.75" hidden="1" customHeight="1"/>
    <row r="29" spans="1:27" ht="15" hidden="1" customHeight="1"/>
    <row r="30" spans="1:27" ht="15" hidden="1" customHeight="1"/>
    <row r="31" spans="1:27" ht="15" hidden="1" customHeight="1"/>
    <row r="32" spans="1:27" ht="15" hidden="1" customHeight="1"/>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customHeight="1"/>
  </sheetData>
  <sheetProtection password="DC81" sheet="1" objects="1" scenarios="1" sort="0"/>
  <mergeCells count="6">
    <mergeCell ref="E1:X1"/>
    <mergeCell ref="V12:X14"/>
    <mergeCell ref="V5:X6"/>
    <mergeCell ref="D6:D7"/>
    <mergeCell ref="E6:F7"/>
    <mergeCell ref="G6:J6"/>
  </mergeCells>
  <conditionalFormatting sqref="D14:D15">
    <cfRule type="duplicateValues" dxfId="1" priority="1"/>
  </conditionalFormatting>
  <pageMargins left="0.7" right="0.7" top="0.75" bottom="0.75" header="0.3" footer="0.3"/>
  <pageSetup paperSize="256"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pinner 1">
              <controlPr defaultSize="0" autoPict="0">
                <anchor moveWithCells="1" sizeWithCells="1">
                  <from>
                    <xdr:col>11</xdr:col>
                    <xdr:colOff>0</xdr:colOff>
                    <xdr:row>9</xdr:row>
                    <xdr:rowOff>95250</xdr:rowOff>
                  </from>
                  <to>
                    <xdr:col>11</xdr:col>
                    <xdr:colOff>0</xdr:colOff>
                    <xdr:row>14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52"/>
  <sheetViews>
    <sheetView zoomScale="90" zoomScaleNormal="90" workbookViewId="0">
      <pane ySplit="1" topLeftCell="A2" activePane="bottomLeft" state="frozen"/>
      <selection pane="bottomLeft" activeCell="A2" sqref="A2:A24"/>
    </sheetView>
  </sheetViews>
  <sheetFormatPr defaultColWidth="0" defaultRowHeight="15"/>
  <cols>
    <col min="1" max="1" width="5" style="312" customWidth="1"/>
    <col min="2" max="2" width="7.42578125" style="312" customWidth="1"/>
    <col min="3" max="3" width="80.140625" style="312" customWidth="1"/>
    <col min="4" max="4" width="2" style="312" customWidth="1"/>
    <col min="5" max="5" width="7.28515625" style="312" customWidth="1"/>
    <col min="6" max="6" width="62.5703125" style="312" customWidth="1"/>
    <col min="7" max="7" width="4.42578125" style="312" customWidth="1"/>
    <col min="8" max="8" width="3.85546875" style="312" customWidth="1"/>
    <col min="9" max="9" width="39.140625" style="312" customWidth="1"/>
    <col min="10" max="10" width="9.140625" style="312" customWidth="1"/>
    <col min="11" max="11" width="0" style="312" hidden="1" customWidth="1"/>
    <col min="12" max="16384" width="9.140625" style="312" hidden="1"/>
  </cols>
  <sheetData>
    <row r="1" spans="1:10" ht="85.5" customHeight="1">
      <c r="A1" s="875"/>
      <c r="B1" s="875"/>
      <c r="C1" s="875"/>
      <c r="D1" s="875"/>
      <c r="E1" s="875"/>
      <c r="F1" s="875"/>
      <c r="G1" s="875"/>
      <c r="H1" s="875"/>
      <c r="I1" s="875"/>
      <c r="J1" s="875"/>
    </row>
    <row r="2" spans="1:10" ht="34.5" customHeight="1">
      <c r="A2" s="878"/>
      <c r="B2" s="876" t="s">
        <v>337</v>
      </c>
      <c r="C2" s="876"/>
      <c r="D2" s="876"/>
      <c r="E2" s="876"/>
      <c r="F2" s="876"/>
      <c r="G2" s="721"/>
      <c r="H2" s="721"/>
      <c r="I2" s="726" t="s">
        <v>942</v>
      </c>
    </row>
    <row r="3" spans="1:10" ht="34.5" customHeight="1">
      <c r="A3" s="878"/>
      <c r="B3" s="723" t="s">
        <v>324</v>
      </c>
      <c r="C3" s="313" t="s">
        <v>325</v>
      </c>
      <c r="E3" s="723" t="s">
        <v>324</v>
      </c>
      <c r="F3" s="313" t="s">
        <v>325</v>
      </c>
      <c r="G3" s="320"/>
      <c r="H3" s="313">
        <v>6</v>
      </c>
      <c r="I3" s="725" t="s">
        <v>912</v>
      </c>
    </row>
    <row r="4" spans="1:10" ht="34.5" customHeight="1">
      <c r="A4" s="878"/>
      <c r="B4" s="723">
        <v>3.1</v>
      </c>
      <c r="C4" s="6" t="s">
        <v>913</v>
      </c>
      <c r="E4" s="723" t="s">
        <v>914</v>
      </c>
      <c r="F4" s="6" t="s">
        <v>915</v>
      </c>
      <c r="G4" s="314"/>
      <c r="H4" s="313">
        <v>7</v>
      </c>
      <c r="I4" s="725" t="s">
        <v>916</v>
      </c>
    </row>
    <row r="5" spans="1:10" ht="34.5" customHeight="1">
      <c r="A5" s="878"/>
      <c r="B5" s="723">
        <v>3.4</v>
      </c>
      <c r="C5" s="6" t="s">
        <v>917</v>
      </c>
      <c r="E5" s="723" t="s">
        <v>918</v>
      </c>
      <c r="F5" s="6" t="s">
        <v>919</v>
      </c>
      <c r="G5" s="314"/>
      <c r="H5" s="313">
        <v>8</v>
      </c>
      <c r="I5" s="725" t="s">
        <v>920</v>
      </c>
    </row>
    <row r="6" spans="1:10" ht="34.5" customHeight="1">
      <c r="A6" s="878"/>
      <c r="B6" s="723">
        <v>3.12</v>
      </c>
      <c r="C6" s="6" t="s">
        <v>921</v>
      </c>
      <c r="E6" s="723" t="s">
        <v>922</v>
      </c>
      <c r="F6" s="6" t="s">
        <v>923</v>
      </c>
      <c r="G6" s="314"/>
      <c r="H6" s="313">
        <v>9</v>
      </c>
      <c r="I6" s="725" t="s">
        <v>924</v>
      </c>
    </row>
    <row r="7" spans="1:10" ht="34.5" customHeight="1">
      <c r="A7" s="878"/>
      <c r="B7" s="723">
        <v>3.13</v>
      </c>
      <c r="C7" s="6" t="s">
        <v>925</v>
      </c>
      <c r="E7" s="723">
        <v>4.4000000000000004</v>
      </c>
      <c r="F7" s="6" t="s">
        <v>926</v>
      </c>
      <c r="G7" s="314"/>
      <c r="H7" s="314"/>
      <c r="I7" s="314"/>
    </row>
    <row r="8" spans="1:10" ht="34.5" customHeight="1">
      <c r="A8" s="878"/>
      <c r="B8" s="723">
        <v>3.7</v>
      </c>
      <c r="C8" s="6" t="s">
        <v>927</v>
      </c>
      <c r="E8" s="723">
        <v>4.12</v>
      </c>
      <c r="F8" s="6" t="s">
        <v>928</v>
      </c>
      <c r="G8" s="314"/>
      <c r="H8" s="314"/>
      <c r="I8" s="314"/>
    </row>
    <row r="9" spans="1:10" ht="34.5" customHeight="1">
      <c r="A9" s="878"/>
      <c r="B9" s="723">
        <v>3.8</v>
      </c>
      <c r="C9" s="6" t="s">
        <v>929</v>
      </c>
      <c r="E9" s="723">
        <v>4.13</v>
      </c>
      <c r="F9" s="6" t="s">
        <v>930</v>
      </c>
      <c r="G9" s="314"/>
      <c r="H9" s="314"/>
      <c r="I9" s="314"/>
    </row>
    <row r="10" spans="1:10" ht="34.5" customHeight="1">
      <c r="A10" s="878"/>
      <c r="B10" s="7">
        <v>3.15</v>
      </c>
      <c r="C10" s="6" t="s">
        <v>931</v>
      </c>
      <c r="E10" s="7">
        <v>4.7</v>
      </c>
      <c r="F10" s="6" t="s">
        <v>932</v>
      </c>
      <c r="G10" s="314"/>
      <c r="H10" s="314"/>
      <c r="I10" s="314"/>
    </row>
    <row r="11" spans="1:10" ht="34.5" customHeight="1">
      <c r="A11" s="878"/>
      <c r="B11" s="7" t="s">
        <v>933</v>
      </c>
      <c r="C11" s="6" t="s">
        <v>934</v>
      </c>
      <c r="E11" s="7">
        <v>4.8</v>
      </c>
      <c r="F11" s="6" t="s">
        <v>935</v>
      </c>
      <c r="G11" s="314"/>
      <c r="H11" s="314"/>
      <c r="I11" s="314"/>
    </row>
    <row r="12" spans="1:10" ht="34.5" customHeight="1">
      <c r="A12" s="878"/>
      <c r="B12" s="7"/>
      <c r="C12" s="6"/>
      <c r="E12" s="7" t="s">
        <v>936</v>
      </c>
      <c r="F12" s="6" t="s">
        <v>937</v>
      </c>
      <c r="G12" s="314"/>
      <c r="H12" s="314"/>
      <c r="I12" s="314"/>
    </row>
    <row r="13" spans="1:10" ht="34.5" customHeight="1">
      <c r="A13" s="878"/>
      <c r="B13" s="7"/>
      <c r="C13" s="6"/>
      <c r="E13" s="7" t="s">
        <v>938</v>
      </c>
      <c r="F13" s="6" t="s">
        <v>939</v>
      </c>
      <c r="G13" s="314"/>
      <c r="H13" s="314"/>
      <c r="I13" s="314"/>
    </row>
    <row r="14" spans="1:10" ht="34.5" customHeight="1">
      <c r="A14" s="878"/>
      <c r="B14" s="7"/>
      <c r="C14" s="6"/>
      <c r="E14" s="7" t="s">
        <v>940</v>
      </c>
      <c r="F14" s="6" t="s">
        <v>941</v>
      </c>
      <c r="G14" s="314"/>
      <c r="H14" s="314"/>
      <c r="I14" s="314"/>
    </row>
    <row r="15" spans="1:10" ht="34.5" customHeight="1">
      <c r="A15" s="878"/>
      <c r="B15" s="7"/>
      <c r="C15" s="6"/>
      <c r="E15" s="7"/>
      <c r="F15" s="6"/>
      <c r="G15" s="314"/>
      <c r="H15" s="314"/>
      <c r="I15" s="314"/>
    </row>
    <row r="16" spans="1:10" ht="34.5" customHeight="1">
      <c r="A16" s="878"/>
      <c r="B16" s="7"/>
      <c r="C16" s="6"/>
      <c r="E16" s="7"/>
      <c r="F16" s="6"/>
      <c r="G16" s="314"/>
      <c r="H16" s="314"/>
      <c r="I16" s="314"/>
    </row>
    <row r="17" spans="1:9" ht="34.5" customHeight="1">
      <c r="A17" s="878"/>
      <c r="B17" s="7"/>
      <c r="C17" s="6"/>
      <c r="E17" s="7"/>
      <c r="F17" s="6"/>
      <c r="G17" s="314"/>
      <c r="H17" s="314"/>
      <c r="I17" s="314"/>
    </row>
    <row r="18" spans="1:9" ht="34.5" customHeight="1">
      <c r="A18" s="878"/>
      <c r="B18" s="7"/>
      <c r="C18" s="6"/>
      <c r="E18" s="7"/>
      <c r="F18" s="6"/>
      <c r="G18" s="314"/>
      <c r="H18" s="314"/>
      <c r="I18" s="314"/>
    </row>
    <row r="19" spans="1:9" ht="34.5" customHeight="1">
      <c r="A19" s="878"/>
      <c r="B19" s="7"/>
      <c r="C19" s="6"/>
      <c r="E19" s="7"/>
      <c r="F19" s="6"/>
      <c r="G19" s="314"/>
      <c r="H19" s="314"/>
      <c r="I19" s="314"/>
    </row>
    <row r="20" spans="1:9" ht="34.5" customHeight="1">
      <c r="A20" s="878"/>
      <c r="B20" s="7"/>
      <c r="C20" s="6"/>
      <c r="E20" s="7"/>
      <c r="F20" s="6"/>
      <c r="G20" s="314"/>
      <c r="H20" s="314"/>
      <c r="I20" s="314"/>
    </row>
    <row r="21" spans="1:9" ht="34.5" customHeight="1">
      <c r="A21" s="878"/>
      <c r="B21" s="7"/>
      <c r="C21" s="6"/>
      <c r="E21" s="7"/>
      <c r="F21" s="6"/>
      <c r="G21" s="314"/>
      <c r="H21" s="314"/>
      <c r="I21" s="314"/>
    </row>
    <row r="22" spans="1:9" ht="34.5" customHeight="1">
      <c r="A22" s="878"/>
      <c r="B22" s="7"/>
      <c r="C22" s="6"/>
      <c r="E22" s="7"/>
      <c r="F22" s="6"/>
      <c r="G22" s="314"/>
      <c r="H22" s="314"/>
      <c r="I22" s="314"/>
    </row>
    <row r="23" spans="1:9" ht="34.5" customHeight="1">
      <c r="A23" s="878"/>
      <c r="B23" s="7"/>
      <c r="C23" s="6"/>
      <c r="E23" s="7"/>
      <c r="F23" s="6"/>
      <c r="G23" s="314"/>
      <c r="H23" s="314"/>
      <c r="I23" s="314"/>
    </row>
    <row r="24" spans="1:9" ht="34.5" customHeight="1">
      <c r="A24" s="878"/>
      <c r="B24" s="7"/>
      <c r="C24" s="6"/>
      <c r="E24" s="7"/>
      <c r="F24" s="6"/>
      <c r="G24" s="314"/>
      <c r="H24" s="314"/>
      <c r="I24" s="314"/>
    </row>
    <row r="25" spans="1:9" ht="34.5" customHeight="1">
      <c r="B25" s="321"/>
      <c r="C25" s="314"/>
      <c r="E25" s="321"/>
      <c r="F25" s="314"/>
      <c r="G25" s="314"/>
      <c r="H25" s="314"/>
      <c r="I25" s="314"/>
    </row>
    <row r="26" spans="1:9" ht="34.5" customHeight="1">
      <c r="B26" s="321"/>
      <c r="C26" s="314"/>
      <c r="E26" s="321"/>
      <c r="F26" s="314"/>
      <c r="G26" s="314"/>
      <c r="H26" s="314"/>
      <c r="I26" s="314"/>
    </row>
    <row r="27" spans="1:9" s="314" customFormat="1" ht="34.5" customHeight="1">
      <c r="A27" s="877"/>
      <c r="B27" s="876" t="s">
        <v>326</v>
      </c>
      <c r="C27" s="876"/>
      <c r="D27" s="876"/>
      <c r="E27" s="876"/>
      <c r="F27" s="876"/>
      <c r="G27" s="721"/>
      <c r="H27" s="721"/>
      <c r="I27" s="721"/>
    </row>
    <row r="28" spans="1:9" s="314" customFormat="1" ht="34.5" customHeight="1">
      <c r="A28" s="877"/>
      <c r="B28" s="207" t="s">
        <v>324</v>
      </c>
      <c r="C28" s="313" t="s">
        <v>325</v>
      </c>
      <c r="D28" s="312"/>
      <c r="E28" s="207" t="s">
        <v>324</v>
      </c>
      <c r="F28" s="313" t="s">
        <v>325</v>
      </c>
      <c r="G28" s="320"/>
      <c r="H28" s="320"/>
      <c r="I28" s="320"/>
    </row>
    <row r="29" spans="1:9" s="314" customFormat="1" ht="34.5" customHeight="1">
      <c r="A29" s="877"/>
      <c r="B29" s="620" t="s">
        <v>697</v>
      </c>
      <c r="C29" s="627" t="s">
        <v>816</v>
      </c>
      <c r="D29" s="312"/>
      <c r="E29" s="723" t="s">
        <v>8</v>
      </c>
      <c r="F29" s="6" t="s">
        <v>821</v>
      </c>
    </row>
    <row r="30" spans="1:9" s="314" customFormat="1" ht="34.5" customHeight="1">
      <c r="A30" s="877"/>
      <c r="B30" s="620" t="s">
        <v>796</v>
      </c>
      <c r="C30" s="627" t="s">
        <v>817</v>
      </c>
      <c r="D30" s="312"/>
      <c r="E30" s="723" t="s">
        <v>9</v>
      </c>
      <c r="F30" s="6" t="s">
        <v>820</v>
      </c>
    </row>
    <row r="31" spans="1:9" s="314" customFormat="1" ht="44.25" customHeight="1">
      <c r="A31" s="877"/>
      <c r="B31" s="620" t="s">
        <v>797</v>
      </c>
      <c r="C31" s="627" t="s">
        <v>818</v>
      </c>
      <c r="D31" s="312"/>
      <c r="E31" s="723" t="s">
        <v>10</v>
      </c>
      <c r="F31" s="6" t="s">
        <v>819</v>
      </c>
    </row>
    <row r="32" spans="1:9" s="314" customFormat="1" ht="34.5" customHeight="1">
      <c r="A32" s="877"/>
      <c r="B32" s="723"/>
      <c r="C32" s="6"/>
      <c r="D32" s="312"/>
      <c r="E32" s="723"/>
      <c r="F32" s="6"/>
    </row>
    <row r="33" spans="1:9" s="314" customFormat="1" ht="34.5" customHeight="1">
      <c r="A33" s="877"/>
      <c r="B33" s="723"/>
      <c r="C33" s="6"/>
      <c r="D33" s="312"/>
      <c r="E33" s="723"/>
      <c r="F33" s="6"/>
    </row>
    <row r="34" spans="1:9" s="314" customFormat="1" ht="34.5" customHeight="1">
      <c r="A34" s="877"/>
      <c r="B34" s="723"/>
      <c r="C34" s="6"/>
      <c r="D34" s="312"/>
      <c r="E34" s="723"/>
      <c r="F34" s="6"/>
    </row>
    <row r="35" spans="1:9" s="314" customFormat="1" ht="34.5" customHeight="1">
      <c r="A35" s="877"/>
      <c r="B35" s="723"/>
      <c r="C35" s="6"/>
      <c r="D35" s="312"/>
      <c r="E35" s="723"/>
      <c r="F35" s="6"/>
    </row>
    <row r="36" spans="1:9" s="314" customFormat="1" ht="34.5" customHeight="1">
      <c r="A36" s="877"/>
      <c r="B36" s="723"/>
      <c r="C36" s="6"/>
      <c r="D36" s="312"/>
      <c r="E36" s="723"/>
      <c r="F36" s="6"/>
    </row>
    <row r="37" spans="1:9" s="314" customFormat="1" ht="34.5" customHeight="1"/>
    <row r="38" spans="1:9" s="314" customFormat="1" ht="34.5" customHeight="1">
      <c r="A38" s="877"/>
      <c r="B38" s="876" t="s">
        <v>327</v>
      </c>
      <c r="C38" s="876"/>
      <c r="D38" s="876"/>
      <c r="E38" s="876"/>
      <c r="F38" s="876"/>
      <c r="G38" s="721"/>
      <c r="H38" s="721"/>
      <c r="I38" s="721"/>
    </row>
    <row r="39" spans="1:9" s="314" customFormat="1" ht="34.5" customHeight="1">
      <c r="A39" s="877"/>
      <c r="B39" s="207" t="s">
        <v>324</v>
      </c>
      <c r="C39" s="313" t="s">
        <v>325</v>
      </c>
      <c r="D39" s="312"/>
      <c r="E39" s="207" t="s">
        <v>324</v>
      </c>
      <c r="F39" s="313" t="s">
        <v>325</v>
      </c>
      <c r="G39" s="320"/>
      <c r="H39" s="320"/>
      <c r="I39" s="320"/>
    </row>
    <row r="40" spans="1:9" s="314" customFormat="1" ht="55.5" customHeight="1">
      <c r="A40" s="877"/>
      <c r="B40" s="620" t="s">
        <v>796</v>
      </c>
      <c r="C40" s="628" t="s">
        <v>822</v>
      </c>
      <c r="D40" s="312"/>
      <c r="E40" s="207" t="s">
        <v>9</v>
      </c>
      <c r="F40" s="6" t="s">
        <v>831</v>
      </c>
    </row>
    <row r="41" spans="1:9" s="314" customFormat="1" ht="55.5" customHeight="1">
      <c r="A41" s="877"/>
      <c r="B41" s="620" t="s">
        <v>798</v>
      </c>
      <c r="C41" s="628" t="s">
        <v>823</v>
      </c>
      <c r="D41" s="312"/>
      <c r="E41" s="207" t="s">
        <v>802</v>
      </c>
      <c r="F41" s="6" t="s">
        <v>830</v>
      </c>
    </row>
    <row r="42" spans="1:9" s="314" customFormat="1" ht="55.5" customHeight="1">
      <c r="A42" s="877"/>
      <c r="B42" s="620" t="s">
        <v>799</v>
      </c>
      <c r="C42" s="628" t="s">
        <v>824</v>
      </c>
      <c r="D42" s="312"/>
      <c r="E42" s="207" t="s">
        <v>803</v>
      </c>
      <c r="F42" s="6" t="s">
        <v>829</v>
      </c>
    </row>
    <row r="43" spans="1:9" s="314" customFormat="1" ht="55.5" customHeight="1">
      <c r="A43" s="877"/>
      <c r="B43" s="620" t="s">
        <v>800</v>
      </c>
      <c r="C43" s="627" t="s">
        <v>825</v>
      </c>
      <c r="D43" s="312"/>
      <c r="E43" s="207" t="s">
        <v>804</v>
      </c>
      <c r="F43" s="6" t="s">
        <v>828</v>
      </c>
    </row>
    <row r="44" spans="1:9" s="314" customFormat="1" ht="55.5" customHeight="1">
      <c r="A44" s="877"/>
      <c r="B44" s="620" t="s">
        <v>49</v>
      </c>
      <c r="C44" s="627" t="s">
        <v>826</v>
      </c>
      <c r="D44" s="312"/>
      <c r="E44" s="207" t="s">
        <v>54</v>
      </c>
      <c r="F44" s="6" t="s">
        <v>827</v>
      </c>
    </row>
    <row r="45" spans="1:9" s="314" customFormat="1" ht="34.5" customHeight="1">
      <c r="A45" s="877"/>
      <c r="B45" s="623"/>
      <c r="C45" s="624"/>
      <c r="D45" s="312"/>
      <c r="E45" s="207"/>
      <c r="F45" s="6"/>
    </row>
    <row r="46" spans="1:9" s="314" customFormat="1" ht="34.5" customHeight="1">
      <c r="A46" s="877"/>
      <c r="B46" s="207"/>
      <c r="C46" s="6"/>
      <c r="D46" s="312"/>
      <c r="E46" s="207"/>
      <c r="F46" s="6"/>
    </row>
    <row r="47" spans="1:9" s="314" customFormat="1" ht="34.5" customHeight="1">
      <c r="A47" s="877"/>
      <c r="B47" s="207"/>
      <c r="C47" s="6"/>
      <c r="D47" s="312"/>
      <c r="E47" s="207"/>
      <c r="F47" s="6"/>
    </row>
    <row r="48" spans="1:9" s="314" customFormat="1" ht="34.5" customHeight="1">
      <c r="A48" s="877"/>
      <c r="B48" s="207"/>
      <c r="C48" s="6"/>
      <c r="D48" s="312"/>
      <c r="E48" s="207"/>
      <c r="F48" s="6"/>
    </row>
    <row r="49" spans="1:9" s="314" customFormat="1" ht="34.5" customHeight="1">
      <c r="A49" s="877"/>
      <c r="B49" s="7"/>
      <c r="C49" s="6"/>
      <c r="D49" s="312"/>
      <c r="E49" s="7"/>
      <c r="F49" s="6"/>
    </row>
    <row r="50" spans="1:9" s="314" customFormat="1" ht="34.5" customHeight="1">
      <c r="A50" s="877"/>
      <c r="B50" s="7"/>
      <c r="C50" s="6"/>
      <c r="D50" s="312"/>
      <c r="E50" s="7"/>
      <c r="F50" s="6"/>
    </row>
    <row r="51" spans="1:9" s="314" customFormat="1" ht="34.5" customHeight="1">
      <c r="A51" s="877"/>
      <c r="B51" s="7"/>
      <c r="C51" s="6"/>
      <c r="E51" s="7"/>
      <c r="F51" s="6"/>
    </row>
    <row r="52" spans="1:9" s="314" customFormat="1" ht="34.5" customHeight="1">
      <c r="B52" s="315"/>
      <c r="C52" s="316"/>
    </row>
    <row r="53" spans="1:9" s="314" customFormat="1" ht="34.5" customHeight="1">
      <c r="A53" s="877"/>
      <c r="B53" s="876" t="s">
        <v>328</v>
      </c>
      <c r="C53" s="876"/>
      <c r="D53" s="876"/>
      <c r="E53" s="876"/>
      <c r="F53" s="876"/>
      <c r="G53" s="721"/>
      <c r="H53" s="721"/>
      <c r="I53" s="721"/>
    </row>
    <row r="54" spans="1:9" s="314" customFormat="1" ht="34.5" customHeight="1">
      <c r="A54" s="877"/>
      <c r="B54" s="207" t="s">
        <v>324</v>
      </c>
      <c r="C54" s="313" t="s">
        <v>325</v>
      </c>
      <c r="D54" s="312"/>
      <c r="E54" s="207" t="s">
        <v>324</v>
      </c>
      <c r="F54" s="313" t="s">
        <v>325</v>
      </c>
      <c r="G54" s="320"/>
      <c r="H54" s="320"/>
      <c r="I54" s="320"/>
    </row>
    <row r="55" spans="1:9" s="314" customFormat="1" ht="34.5" customHeight="1">
      <c r="A55" s="877"/>
      <c r="B55" s="207">
        <v>3.1</v>
      </c>
      <c r="C55" s="6" t="s">
        <v>351</v>
      </c>
      <c r="D55" s="312"/>
      <c r="E55" s="207">
        <v>4.0999999999999996</v>
      </c>
      <c r="F55" s="6" t="s">
        <v>354</v>
      </c>
    </row>
    <row r="56" spans="1:9" s="314" customFormat="1" ht="34.5" customHeight="1">
      <c r="A56" s="877"/>
      <c r="B56" s="207">
        <v>3.2</v>
      </c>
      <c r="C56" s="6" t="s">
        <v>352</v>
      </c>
      <c r="D56" s="312"/>
      <c r="E56" s="207">
        <v>4.2</v>
      </c>
      <c r="F56" s="6" t="s">
        <v>355</v>
      </c>
    </row>
    <row r="57" spans="1:9" s="314" customFormat="1" ht="34.5" customHeight="1">
      <c r="A57" s="877"/>
      <c r="B57" s="207">
        <v>3.3</v>
      </c>
      <c r="C57" s="6" t="s">
        <v>353</v>
      </c>
      <c r="D57" s="312"/>
      <c r="E57" s="207">
        <v>4.3</v>
      </c>
      <c r="F57" s="6" t="s">
        <v>356</v>
      </c>
    </row>
    <row r="58" spans="1:9" s="314" customFormat="1" ht="34.5" customHeight="1">
      <c r="A58" s="877"/>
      <c r="B58" s="207">
        <v>3.4</v>
      </c>
      <c r="C58" s="6" t="s">
        <v>788</v>
      </c>
      <c r="D58" s="312"/>
      <c r="E58" s="207">
        <v>4.4000000000000004</v>
      </c>
      <c r="F58" s="6" t="s">
        <v>792</v>
      </c>
    </row>
    <row r="59" spans="1:9" s="314" customFormat="1" ht="34.5" customHeight="1">
      <c r="A59" s="877"/>
      <c r="B59" s="207">
        <v>3.5</v>
      </c>
      <c r="C59" s="6" t="s">
        <v>789</v>
      </c>
      <c r="D59" s="312"/>
      <c r="E59" s="207">
        <v>4.5</v>
      </c>
      <c r="F59" s="6" t="s">
        <v>793</v>
      </c>
    </row>
    <row r="60" spans="1:9" s="314" customFormat="1" ht="49.5" customHeight="1">
      <c r="A60" s="877"/>
      <c r="B60" s="207">
        <v>3.6</v>
      </c>
      <c r="C60" s="6" t="s">
        <v>790</v>
      </c>
      <c r="E60" s="207">
        <v>4.5999999999999996</v>
      </c>
      <c r="F60" s="6" t="s">
        <v>794</v>
      </c>
    </row>
    <row r="61" spans="1:9" s="314" customFormat="1" ht="34.5" customHeight="1">
      <c r="A61" s="877"/>
      <c r="B61" s="207">
        <v>3.7</v>
      </c>
      <c r="C61" s="6" t="s">
        <v>791</v>
      </c>
      <c r="D61" s="312"/>
      <c r="E61" s="207">
        <v>4.7</v>
      </c>
      <c r="F61" s="6" t="s">
        <v>795</v>
      </c>
    </row>
    <row r="62" spans="1:9" s="314" customFormat="1" ht="34.5" customHeight="1">
      <c r="A62" s="877"/>
      <c r="B62" s="207"/>
      <c r="C62" s="6"/>
      <c r="D62" s="312"/>
      <c r="E62" s="207"/>
      <c r="F62" s="6"/>
    </row>
    <row r="63" spans="1:9" s="314" customFormat="1" ht="34.5" customHeight="1">
      <c r="A63" s="877"/>
      <c r="B63" s="207"/>
      <c r="C63" s="6"/>
      <c r="D63" s="312"/>
      <c r="E63" s="207"/>
      <c r="F63" s="6"/>
    </row>
    <row r="64" spans="1:9" s="314" customFormat="1" ht="34.5" customHeight="1">
      <c r="A64" s="877"/>
      <c r="B64" s="7"/>
      <c r="C64" s="6"/>
      <c r="E64" s="7"/>
      <c r="F64" s="6"/>
    </row>
    <row r="65" spans="1:9" s="314" customFormat="1" ht="34.5" customHeight="1">
      <c r="A65" s="877"/>
      <c r="B65" s="7"/>
      <c r="C65" s="6"/>
      <c r="D65" s="312"/>
      <c r="E65" s="7"/>
      <c r="F65" s="6"/>
    </row>
    <row r="66" spans="1:9" s="314" customFormat="1" ht="34.5" customHeight="1">
      <c r="A66" s="877"/>
      <c r="B66" s="7"/>
      <c r="C66" s="6"/>
      <c r="E66" s="7"/>
      <c r="F66" s="6"/>
    </row>
    <row r="67" spans="1:9" s="314" customFormat="1" ht="34.5" customHeight="1">
      <c r="B67" s="317"/>
      <c r="C67" s="316"/>
    </row>
    <row r="68" spans="1:9" s="314" customFormat="1" ht="34.5" customHeight="1">
      <c r="A68" s="877"/>
      <c r="B68" s="876" t="s">
        <v>331</v>
      </c>
      <c r="C68" s="876"/>
      <c r="D68" s="876"/>
      <c r="E68" s="876"/>
      <c r="F68" s="876"/>
      <c r="G68" s="721"/>
      <c r="H68" s="721"/>
      <c r="I68" s="721"/>
    </row>
    <row r="69" spans="1:9" s="314" customFormat="1" ht="34.5" customHeight="1">
      <c r="A69" s="877"/>
      <c r="B69" s="207" t="s">
        <v>324</v>
      </c>
      <c r="C69" s="313" t="s">
        <v>325</v>
      </c>
      <c r="D69" s="312"/>
      <c r="E69" s="207" t="s">
        <v>324</v>
      </c>
      <c r="F69" s="313" t="s">
        <v>325</v>
      </c>
      <c r="G69" s="320"/>
      <c r="H69" s="320"/>
      <c r="I69" s="320"/>
    </row>
    <row r="70" spans="1:9" s="314" customFormat="1" ht="34.5" customHeight="1">
      <c r="A70" s="877"/>
      <c r="B70" s="621" t="s">
        <v>697</v>
      </c>
      <c r="C70" s="627" t="s">
        <v>808</v>
      </c>
      <c r="D70" s="312"/>
      <c r="E70" s="207" t="s">
        <v>8</v>
      </c>
      <c r="F70" s="6" t="s">
        <v>812</v>
      </c>
    </row>
    <row r="71" spans="1:9" s="314" customFormat="1" ht="34.5" customHeight="1">
      <c r="A71" s="877"/>
      <c r="B71" s="621" t="s">
        <v>796</v>
      </c>
      <c r="C71" s="627" t="s">
        <v>809</v>
      </c>
      <c r="D71" s="312"/>
      <c r="E71" s="207" t="s">
        <v>9</v>
      </c>
      <c r="F71" s="6" t="s">
        <v>813</v>
      </c>
    </row>
    <row r="72" spans="1:9" s="314" customFormat="1" ht="34.5" customHeight="1">
      <c r="A72" s="877"/>
      <c r="B72" s="621" t="s">
        <v>797</v>
      </c>
      <c r="C72" s="627" t="s">
        <v>810</v>
      </c>
      <c r="D72" s="312"/>
      <c r="E72" s="207" t="s">
        <v>10</v>
      </c>
      <c r="F72" s="6" t="s">
        <v>814</v>
      </c>
    </row>
    <row r="73" spans="1:9" s="314" customFormat="1" ht="34.5" customHeight="1">
      <c r="A73" s="877"/>
      <c r="B73" s="621" t="s">
        <v>801</v>
      </c>
      <c r="C73" s="627" t="s">
        <v>811</v>
      </c>
      <c r="D73" s="312"/>
      <c r="E73" s="207" t="s">
        <v>805</v>
      </c>
      <c r="F73" s="6" t="s">
        <v>815</v>
      </c>
    </row>
    <row r="74" spans="1:9" s="314" customFormat="1" ht="44.25" customHeight="1">
      <c r="A74" s="877"/>
      <c r="B74" s="207"/>
      <c r="C74" s="6"/>
      <c r="D74" s="312"/>
      <c r="E74" s="207"/>
      <c r="F74" s="6"/>
    </row>
    <row r="75" spans="1:9" s="314" customFormat="1" ht="34.5" customHeight="1">
      <c r="A75" s="877"/>
      <c r="B75" s="207"/>
      <c r="C75" s="6"/>
      <c r="D75" s="312"/>
      <c r="E75" s="207"/>
      <c r="F75" s="6"/>
    </row>
    <row r="76" spans="1:9" s="314" customFormat="1" ht="34.5" customHeight="1">
      <c r="A76" s="877"/>
      <c r="B76" s="207"/>
      <c r="C76" s="6"/>
      <c r="D76" s="312"/>
      <c r="E76" s="207"/>
      <c r="F76" s="6"/>
    </row>
    <row r="77" spans="1:9" s="314" customFormat="1" ht="34.5" customHeight="1">
      <c r="A77" s="877"/>
      <c r="B77" s="207"/>
      <c r="C77" s="6"/>
      <c r="D77" s="312"/>
      <c r="E77" s="207"/>
      <c r="F77" s="6"/>
    </row>
    <row r="78" spans="1:9" s="314" customFormat="1" ht="34.5" customHeight="1">
      <c r="A78" s="877"/>
      <c r="B78" s="207"/>
      <c r="C78" s="6"/>
      <c r="D78" s="312"/>
      <c r="E78" s="207"/>
      <c r="F78" s="6"/>
    </row>
    <row r="79" spans="1:9" s="314" customFormat="1" ht="34.5" customHeight="1">
      <c r="A79" s="877"/>
      <c r="B79" s="7"/>
      <c r="C79" s="6"/>
      <c r="D79" s="312"/>
      <c r="E79" s="7"/>
      <c r="F79" s="6"/>
    </row>
    <row r="80" spans="1:9" s="314" customFormat="1" ht="34.5" customHeight="1">
      <c r="A80" s="877"/>
      <c r="B80" s="7"/>
      <c r="C80" s="6"/>
      <c r="E80" s="7"/>
      <c r="F80" s="6"/>
    </row>
    <row r="81" spans="1:9" s="314" customFormat="1" ht="34.5" customHeight="1">
      <c r="B81" s="321"/>
      <c r="E81" s="321"/>
    </row>
    <row r="82" spans="1:9" s="314" customFormat="1" ht="34.5" customHeight="1">
      <c r="A82" s="877"/>
      <c r="B82" s="876" t="s">
        <v>332</v>
      </c>
      <c r="C82" s="876"/>
      <c r="D82" s="876"/>
      <c r="E82" s="876"/>
      <c r="F82" s="876"/>
      <c r="G82" s="721"/>
      <c r="H82" s="721"/>
      <c r="I82" s="721"/>
    </row>
    <row r="83" spans="1:9" s="314" customFormat="1" ht="34.5" customHeight="1">
      <c r="A83" s="877"/>
      <c r="B83" s="207" t="s">
        <v>324</v>
      </c>
      <c r="C83" s="313" t="s">
        <v>325</v>
      </c>
      <c r="D83" s="312"/>
      <c r="E83" s="207" t="s">
        <v>324</v>
      </c>
      <c r="F83" s="313" t="s">
        <v>325</v>
      </c>
      <c r="G83" s="320"/>
      <c r="H83" s="320"/>
      <c r="I83" s="320"/>
    </row>
    <row r="84" spans="1:9" s="314" customFormat="1" ht="34.5" customHeight="1">
      <c r="A84" s="877"/>
      <c r="B84" s="621" t="s">
        <v>698</v>
      </c>
      <c r="C84" s="627" t="s">
        <v>832</v>
      </c>
      <c r="D84" s="312"/>
      <c r="E84" s="207" t="s">
        <v>7</v>
      </c>
      <c r="F84" s="6" t="s">
        <v>358</v>
      </c>
    </row>
    <row r="85" spans="1:9" s="314" customFormat="1" ht="45" customHeight="1">
      <c r="A85" s="877"/>
      <c r="B85" s="622" t="s">
        <v>697</v>
      </c>
      <c r="C85" s="628" t="s">
        <v>833</v>
      </c>
      <c r="D85" s="312"/>
      <c r="E85" s="207" t="s">
        <v>8</v>
      </c>
      <c r="F85" s="6" t="s">
        <v>357</v>
      </c>
    </row>
    <row r="86" spans="1:9" s="314" customFormat="1" ht="34.5" customHeight="1">
      <c r="A86" s="877"/>
      <c r="B86" s="622" t="s">
        <v>796</v>
      </c>
      <c r="C86" s="627" t="s">
        <v>834</v>
      </c>
      <c r="D86" s="312"/>
      <c r="E86" s="207" t="s">
        <v>9</v>
      </c>
      <c r="F86" s="6" t="s">
        <v>359</v>
      </c>
    </row>
    <row r="87" spans="1:9" s="314" customFormat="1" ht="34.5" customHeight="1">
      <c r="A87" s="877"/>
      <c r="B87" s="207"/>
      <c r="C87" s="6"/>
      <c r="D87" s="312"/>
      <c r="E87" s="207"/>
      <c r="F87" s="6"/>
    </row>
    <row r="88" spans="1:9" s="314" customFormat="1" ht="34.5" customHeight="1">
      <c r="A88" s="877"/>
      <c r="B88" s="207"/>
      <c r="C88" s="6"/>
      <c r="D88" s="312"/>
      <c r="E88" s="207"/>
      <c r="F88" s="6"/>
    </row>
    <row r="89" spans="1:9" s="314" customFormat="1" ht="34.5" customHeight="1">
      <c r="A89" s="877"/>
      <c r="B89" s="207"/>
      <c r="C89" s="6"/>
      <c r="D89" s="312"/>
      <c r="E89" s="207"/>
      <c r="F89" s="6"/>
    </row>
    <row r="90" spans="1:9" s="314" customFormat="1" ht="34.5" customHeight="1">
      <c r="A90" s="877"/>
      <c r="B90" s="207"/>
      <c r="C90" s="6"/>
      <c r="D90" s="312"/>
      <c r="E90" s="207"/>
      <c r="F90" s="6"/>
    </row>
    <row r="91" spans="1:9" s="314" customFormat="1" ht="34.5" customHeight="1">
      <c r="B91" s="321"/>
      <c r="E91" s="321"/>
    </row>
    <row r="92" spans="1:9" s="314" customFormat="1" ht="34.5" customHeight="1">
      <c r="A92" s="877"/>
      <c r="B92" s="876" t="s">
        <v>329</v>
      </c>
      <c r="C92" s="876"/>
      <c r="D92" s="876"/>
      <c r="E92" s="876"/>
      <c r="F92" s="876"/>
      <c r="G92" s="721"/>
      <c r="H92" s="721"/>
      <c r="I92" s="721"/>
    </row>
    <row r="93" spans="1:9" s="314" customFormat="1" ht="34.5" customHeight="1">
      <c r="A93" s="877"/>
      <c r="B93" s="207" t="s">
        <v>324</v>
      </c>
      <c r="C93" s="313" t="s">
        <v>325</v>
      </c>
      <c r="D93" s="312"/>
      <c r="E93" s="207" t="s">
        <v>324</v>
      </c>
      <c r="F93" s="313" t="s">
        <v>325</v>
      </c>
      <c r="G93" s="320"/>
      <c r="H93" s="320"/>
      <c r="I93" s="320"/>
    </row>
    <row r="94" spans="1:9" s="314" customFormat="1" ht="34.5" customHeight="1">
      <c r="A94" s="877"/>
      <c r="B94" s="621" t="s">
        <v>698</v>
      </c>
      <c r="C94" s="627" t="s">
        <v>835</v>
      </c>
      <c r="D94" s="312"/>
      <c r="E94" s="207" t="s">
        <v>7</v>
      </c>
      <c r="F94" s="6" t="s">
        <v>360</v>
      </c>
    </row>
    <row r="95" spans="1:9" s="314" customFormat="1" ht="34.5" customHeight="1">
      <c r="A95" s="877"/>
      <c r="B95" s="622" t="s">
        <v>697</v>
      </c>
      <c r="C95" s="627" t="s">
        <v>836</v>
      </c>
      <c r="D95" s="312"/>
      <c r="E95" s="207" t="s">
        <v>8</v>
      </c>
      <c r="F95" s="6" t="s">
        <v>839</v>
      </c>
    </row>
    <row r="96" spans="1:9" s="314" customFormat="1" ht="34.5" customHeight="1">
      <c r="A96" s="877"/>
      <c r="B96" s="622" t="s">
        <v>796</v>
      </c>
      <c r="C96" s="627" t="s">
        <v>837</v>
      </c>
      <c r="D96" s="312"/>
      <c r="E96" s="207" t="s">
        <v>9</v>
      </c>
      <c r="F96" s="6" t="s">
        <v>840</v>
      </c>
    </row>
    <row r="97" spans="1:9" s="314" customFormat="1" ht="34.5" customHeight="1">
      <c r="A97" s="877"/>
      <c r="B97" s="622" t="s">
        <v>797</v>
      </c>
      <c r="C97" s="627" t="s">
        <v>838</v>
      </c>
      <c r="D97" s="312"/>
      <c r="E97" s="207" t="s">
        <v>10</v>
      </c>
      <c r="F97" s="6" t="s">
        <v>841</v>
      </c>
    </row>
    <row r="98" spans="1:9" s="314" customFormat="1" ht="34.5" customHeight="1">
      <c r="A98" s="877"/>
      <c r="B98" s="207"/>
      <c r="C98" s="6"/>
      <c r="D98" s="312"/>
      <c r="E98" s="207"/>
      <c r="F98" s="6"/>
    </row>
    <row r="99" spans="1:9" s="314" customFormat="1" ht="34.5" customHeight="1">
      <c r="A99" s="877"/>
      <c r="B99" s="207"/>
      <c r="C99" s="6"/>
      <c r="D99" s="312"/>
      <c r="E99" s="207"/>
      <c r="F99" s="6"/>
    </row>
    <row r="100" spans="1:9" s="314" customFormat="1" ht="34.5" customHeight="1">
      <c r="A100" s="877"/>
      <c r="B100" s="207"/>
      <c r="C100" s="6"/>
      <c r="D100" s="312"/>
      <c r="E100" s="207"/>
      <c r="F100" s="6"/>
    </row>
    <row r="101" spans="1:9" s="314" customFormat="1" ht="34.5" customHeight="1">
      <c r="A101" s="877"/>
      <c r="B101" s="207"/>
      <c r="C101" s="6"/>
      <c r="D101" s="312"/>
      <c r="E101" s="207"/>
      <c r="F101" s="6"/>
    </row>
    <row r="102" spans="1:9" s="314" customFormat="1" ht="34.5" customHeight="1">
      <c r="A102" s="877"/>
      <c r="B102" s="207"/>
      <c r="C102" s="6"/>
      <c r="D102" s="312"/>
      <c r="E102" s="207"/>
      <c r="F102" s="6"/>
    </row>
    <row r="103" spans="1:9" s="314" customFormat="1" ht="34.5" customHeight="1">
      <c r="A103" s="877"/>
      <c r="B103" s="7"/>
      <c r="C103" s="6"/>
      <c r="D103" s="312"/>
      <c r="E103" s="7"/>
      <c r="F103" s="6"/>
    </row>
    <row r="104" spans="1:9" s="314" customFormat="1" ht="34.5" customHeight="1">
      <c r="A104" s="877"/>
      <c r="B104" s="7"/>
      <c r="C104" s="6"/>
      <c r="D104" s="312"/>
      <c r="E104" s="7"/>
      <c r="F104" s="6"/>
    </row>
    <row r="105" spans="1:9" s="314" customFormat="1" ht="34.5" customHeight="1">
      <c r="A105" s="877"/>
      <c r="B105" s="7"/>
      <c r="C105" s="6"/>
      <c r="D105" s="312"/>
      <c r="E105" s="7"/>
      <c r="F105" s="6"/>
    </row>
    <row r="106" spans="1:9" s="314" customFormat="1" ht="34.5" customHeight="1">
      <c r="B106" s="318"/>
      <c r="C106" s="316"/>
    </row>
    <row r="107" spans="1:9" s="314" customFormat="1" ht="34.5" customHeight="1">
      <c r="A107" s="877"/>
      <c r="B107" s="876" t="s">
        <v>330</v>
      </c>
      <c r="C107" s="876"/>
      <c r="D107" s="876"/>
      <c r="E107" s="876"/>
      <c r="F107" s="876"/>
      <c r="G107" s="721"/>
      <c r="H107" s="721"/>
      <c r="I107" s="721"/>
    </row>
    <row r="108" spans="1:9" s="314" customFormat="1" ht="34.5" customHeight="1">
      <c r="A108" s="877"/>
      <c r="B108" s="207" t="s">
        <v>324</v>
      </c>
      <c r="C108" s="313" t="s">
        <v>325</v>
      </c>
      <c r="D108" s="312"/>
      <c r="E108" s="207" t="s">
        <v>324</v>
      </c>
      <c r="F108" s="313" t="s">
        <v>325</v>
      </c>
      <c r="G108" s="320"/>
      <c r="H108" s="320"/>
      <c r="I108" s="320"/>
    </row>
    <row r="109" spans="1:9" s="314" customFormat="1" ht="48.75" customHeight="1">
      <c r="A109" s="877"/>
      <c r="B109" s="207">
        <v>3.3</v>
      </c>
      <c r="C109" s="6" t="s">
        <v>1204</v>
      </c>
      <c r="D109" s="312"/>
      <c r="E109" s="830">
        <v>4.3</v>
      </c>
      <c r="F109" s="6" t="s">
        <v>1210</v>
      </c>
    </row>
    <row r="110" spans="1:9" s="314" customFormat="1" ht="42" customHeight="1">
      <c r="A110" s="877"/>
      <c r="B110" s="207">
        <v>3.2</v>
      </c>
      <c r="C110" s="6" t="s">
        <v>1205</v>
      </c>
      <c r="D110" s="312"/>
      <c r="E110" s="207">
        <v>4.2</v>
      </c>
      <c r="F110" s="6" t="s">
        <v>1211</v>
      </c>
    </row>
    <row r="111" spans="1:9" s="314" customFormat="1" ht="34.5" customHeight="1">
      <c r="A111" s="877"/>
      <c r="B111" s="207">
        <v>3.5</v>
      </c>
      <c r="C111" s="6" t="s">
        <v>1206</v>
      </c>
      <c r="D111" s="312"/>
      <c r="E111" s="207">
        <v>4.5</v>
      </c>
      <c r="F111" s="6" t="s">
        <v>1212</v>
      </c>
    </row>
    <row r="112" spans="1:9" s="314" customFormat="1" ht="34.5" customHeight="1">
      <c r="A112" s="877"/>
      <c r="B112" s="207">
        <v>3.4</v>
      </c>
      <c r="C112" s="6" t="s">
        <v>1207</v>
      </c>
      <c r="D112" s="312"/>
      <c r="E112" s="207">
        <v>4.4000000000000004</v>
      </c>
      <c r="F112" s="6" t="s">
        <v>1213</v>
      </c>
    </row>
    <row r="113" spans="1:9" s="314" customFormat="1" ht="34.5" customHeight="1">
      <c r="A113" s="877"/>
      <c r="B113" s="682">
        <v>3.6</v>
      </c>
      <c r="C113" s="840" t="s">
        <v>1208</v>
      </c>
      <c r="D113" s="841"/>
      <c r="E113" s="682">
        <v>4.5999999999999996</v>
      </c>
      <c r="F113" s="840" t="s">
        <v>1209</v>
      </c>
    </row>
    <row r="114" spans="1:9" s="314" customFormat="1" ht="44.25" customHeight="1">
      <c r="A114" s="877"/>
      <c r="B114" s="207"/>
      <c r="C114" s="6"/>
      <c r="D114" s="312"/>
      <c r="E114" s="207"/>
      <c r="F114" s="6"/>
    </row>
    <row r="115" spans="1:9" s="314" customFormat="1" ht="34.5" customHeight="1">
      <c r="A115" s="877"/>
      <c r="B115" s="207"/>
      <c r="C115" s="6"/>
      <c r="D115" s="312"/>
      <c r="E115" s="207"/>
      <c r="F115" s="6"/>
    </row>
    <row r="116" spans="1:9" s="314" customFormat="1" ht="34.5" customHeight="1">
      <c r="A116" s="877"/>
      <c r="B116" s="207"/>
      <c r="C116" s="6"/>
      <c r="D116" s="312"/>
      <c r="E116" s="207"/>
      <c r="F116" s="6"/>
    </row>
    <row r="117" spans="1:9" s="314" customFormat="1" ht="34.5" customHeight="1">
      <c r="A117" s="877"/>
      <c r="B117" s="207"/>
      <c r="C117" s="6"/>
      <c r="D117" s="312"/>
      <c r="E117" s="207"/>
      <c r="F117" s="6"/>
    </row>
    <row r="118" spans="1:9" s="314" customFormat="1" ht="34.5" customHeight="1">
      <c r="A118" s="877"/>
      <c r="B118" s="7"/>
      <c r="C118" s="6"/>
      <c r="D118" s="312"/>
      <c r="E118" s="7"/>
      <c r="F118" s="6"/>
    </row>
    <row r="119" spans="1:9" s="314" customFormat="1" ht="34.5" customHeight="1">
      <c r="A119" s="877"/>
      <c r="B119" s="7"/>
      <c r="C119" s="6"/>
      <c r="E119" s="7"/>
      <c r="F119" s="6"/>
    </row>
    <row r="120" spans="1:9" s="314" customFormat="1" ht="34.5" customHeight="1">
      <c r="B120" s="318"/>
      <c r="C120" s="316"/>
    </row>
    <row r="121" spans="1:9" s="314" customFormat="1" ht="34.5" customHeight="1">
      <c r="A121" s="877"/>
      <c r="B121" s="876" t="str">
        <f>CONCATENATE("KOMPETENSI DASAR  ",KKM!X7)</f>
        <v>KOMPETENSI DASAR  Bahasa Jawa</v>
      </c>
      <c r="C121" s="876"/>
      <c r="D121" s="876"/>
      <c r="E121" s="876"/>
      <c r="F121" s="876"/>
      <c r="G121" s="721"/>
      <c r="H121" s="721"/>
      <c r="I121" s="721"/>
    </row>
    <row r="122" spans="1:9" s="314" customFormat="1" ht="34.5" customHeight="1">
      <c r="A122" s="877"/>
      <c r="B122" s="207" t="s">
        <v>324</v>
      </c>
      <c r="C122" s="313" t="s">
        <v>325</v>
      </c>
      <c r="D122" s="312"/>
      <c r="E122" s="207" t="s">
        <v>324</v>
      </c>
      <c r="F122" s="313" t="s">
        <v>325</v>
      </c>
      <c r="G122" s="320"/>
      <c r="H122" s="320"/>
      <c r="I122" s="320"/>
    </row>
    <row r="123" spans="1:9" s="314" customFormat="1" ht="45" customHeight="1">
      <c r="A123" s="877"/>
      <c r="B123" s="207">
        <v>3.5</v>
      </c>
      <c r="C123" s="6" t="s">
        <v>943</v>
      </c>
      <c r="D123" s="312"/>
      <c r="E123" s="207">
        <v>4.5</v>
      </c>
      <c r="F123" s="6" t="s">
        <v>944</v>
      </c>
    </row>
    <row r="124" spans="1:9" s="314" customFormat="1" ht="45" customHeight="1">
      <c r="A124" s="877"/>
      <c r="B124" s="207">
        <v>3.6</v>
      </c>
      <c r="C124" s="6" t="s">
        <v>945</v>
      </c>
      <c r="D124" s="312"/>
      <c r="E124" s="207">
        <v>4.5999999999999996</v>
      </c>
      <c r="F124" s="6" t="s">
        <v>946</v>
      </c>
    </row>
    <row r="125" spans="1:9" s="314" customFormat="1" ht="45" customHeight="1">
      <c r="A125" s="877"/>
      <c r="B125" s="207">
        <v>3.7</v>
      </c>
      <c r="C125" s="6" t="s">
        <v>947</v>
      </c>
      <c r="D125" s="312"/>
      <c r="E125" s="207">
        <v>4.7</v>
      </c>
      <c r="F125" s="6" t="s">
        <v>948</v>
      </c>
    </row>
    <row r="126" spans="1:9" s="314" customFormat="1" ht="45" customHeight="1">
      <c r="A126" s="877"/>
      <c r="B126" s="779"/>
      <c r="C126" s="6"/>
      <c r="D126" s="312"/>
      <c r="E126" s="779"/>
      <c r="F126" s="6"/>
    </row>
    <row r="127" spans="1:9" s="314" customFormat="1" ht="45" customHeight="1">
      <c r="A127" s="877"/>
      <c r="B127" s="779"/>
      <c r="C127" s="6"/>
      <c r="D127" s="312"/>
      <c r="E127" s="779"/>
      <c r="F127" s="6"/>
    </row>
    <row r="128" spans="1:9" s="314" customFormat="1" ht="45" customHeight="1">
      <c r="A128" s="877"/>
      <c r="B128" s="779"/>
      <c r="C128" s="6"/>
      <c r="D128" s="312"/>
      <c r="E128" s="779"/>
      <c r="F128" s="6"/>
    </row>
    <row r="129" spans="1:9" s="314" customFormat="1" ht="45" customHeight="1">
      <c r="A129" s="877"/>
      <c r="B129" s="779"/>
      <c r="C129" s="6"/>
      <c r="D129" s="312"/>
      <c r="E129" s="779"/>
      <c r="F129" s="6"/>
    </row>
    <row r="130" spans="1:9" s="314" customFormat="1" ht="73.5" customHeight="1">
      <c r="A130" s="877"/>
      <c r="B130" s="779"/>
      <c r="C130" s="6"/>
      <c r="D130" s="312"/>
      <c r="E130" s="779"/>
      <c r="F130" s="6"/>
    </row>
    <row r="131" spans="1:9" s="314" customFormat="1" ht="34.5" customHeight="1">
      <c r="B131" s="319"/>
      <c r="C131" s="320"/>
    </row>
    <row r="132" spans="1:9" s="314" customFormat="1" ht="34.5" customHeight="1">
      <c r="A132" s="877"/>
      <c r="B132" s="876" t="str">
        <f>CONCATENATE("KOMPETENSI DASAR  ",KKM!X8)</f>
        <v>KOMPETENSI DASAR  Bahasa Inggris</v>
      </c>
      <c r="C132" s="876"/>
      <c r="D132" s="876"/>
      <c r="E132" s="876"/>
      <c r="F132" s="876"/>
      <c r="G132" s="721"/>
      <c r="H132" s="721"/>
      <c r="I132" s="721"/>
    </row>
    <row r="133" spans="1:9" s="314" customFormat="1" ht="34.5" customHeight="1">
      <c r="A133" s="877"/>
      <c r="B133" s="207" t="s">
        <v>324</v>
      </c>
      <c r="C133" s="313" t="s">
        <v>325</v>
      </c>
      <c r="D133" s="312"/>
      <c r="E133" s="207" t="s">
        <v>324</v>
      </c>
      <c r="F133" s="313" t="s">
        <v>325</v>
      </c>
      <c r="G133" s="320"/>
      <c r="H133" s="320"/>
      <c r="I133" s="320"/>
    </row>
    <row r="134" spans="1:9" s="314" customFormat="1" ht="49.5" customHeight="1">
      <c r="A134" s="877"/>
      <c r="B134" s="723">
        <v>3.5</v>
      </c>
      <c r="C134" s="6" t="s">
        <v>949</v>
      </c>
      <c r="D134" s="312"/>
      <c r="E134" s="723">
        <v>4.5</v>
      </c>
      <c r="F134" s="6" t="s">
        <v>950</v>
      </c>
    </row>
    <row r="135" spans="1:9" s="314" customFormat="1" ht="49.5" customHeight="1">
      <c r="A135" s="877"/>
      <c r="B135" s="723">
        <v>3.6</v>
      </c>
      <c r="C135" s="6" t="s">
        <v>951</v>
      </c>
      <c r="D135" s="312"/>
      <c r="E135" s="723">
        <v>4.5999999999999996</v>
      </c>
      <c r="F135" s="6" t="s">
        <v>952</v>
      </c>
    </row>
    <row r="136" spans="1:9" s="314" customFormat="1" ht="49.5" customHeight="1">
      <c r="A136" s="877"/>
      <c r="B136" s="723">
        <v>3.7</v>
      </c>
      <c r="C136" s="6" t="s">
        <v>953</v>
      </c>
      <c r="D136" s="312"/>
      <c r="E136" s="723">
        <v>4.7</v>
      </c>
      <c r="F136" s="6" t="s">
        <v>954</v>
      </c>
    </row>
    <row r="137" spans="1:9" s="314" customFormat="1" ht="49.5" customHeight="1">
      <c r="A137" s="877"/>
      <c r="B137" s="723">
        <v>3.8</v>
      </c>
      <c r="C137" s="6" t="s">
        <v>955</v>
      </c>
      <c r="D137" s="312"/>
      <c r="E137" s="723">
        <v>4.8</v>
      </c>
      <c r="F137" s="6" t="s">
        <v>956</v>
      </c>
    </row>
    <row r="138" spans="1:9" s="314" customFormat="1" ht="49.5" customHeight="1">
      <c r="A138" s="877"/>
      <c r="B138" s="779"/>
      <c r="C138" s="6"/>
      <c r="D138" s="312"/>
      <c r="E138" s="779"/>
      <c r="F138" s="6"/>
    </row>
    <row r="139" spans="1:9" s="314" customFormat="1" ht="49.5" customHeight="1">
      <c r="A139" s="877"/>
      <c r="B139" s="779"/>
      <c r="C139" s="6"/>
      <c r="D139" s="312"/>
      <c r="E139" s="779"/>
      <c r="F139" s="6"/>
    </row>
    <row r="140" spans="1:9" s="314" customFormat="1" ht="49.5" customHeight="1">
      <c r="A140" s="877"/>
      <c r="B140" s="779"/>
      <c r="C140" s="6"/>
      <c r="D140" s="312"/>
      <c r="E140" s="779"/>
      <c r="F140" s="6"/>
    </row>
    <row r="141" spans="1:9" s="314" customFormat="1" ht="34.5" customHeight="1">
      <c r="B141" s="616"/>
      <c r="C141" s="316"/>
    </row>
    <row r="142" spans="1:9" s="314" customFormat="1" ht="34.5" customHeight="1">
      <c r="A142" s="877"/>
      <c r="B142" s="876" t="str">
        <f>CONCATENATE("KOMPETENSI DASAR  ",KKM!X9)</f>
        <v>KOMPETENSI DASAR  TIK</v>
      </c>
      <c r="C142" s="876"/>
      <c r="D142" s="876"/>
      <c r="E142" s="876"/>
      <c r="F142" s="876"/>
      <c r="G142" s="721"/>
      <c r="H142" s="721"/>
      <c r="I142" s="721"/>
    </row>
    <row r="143" spans="1:9" s="314" customFormat="1" ht="49.5" customHeight="1">
      <c r="A143" s="877"/>
      <c r="B143" s="207" t="s">
        <v>324</v>
      </c>
      <c r="C143" s="313" t="s">
        <v>325</v>
      </c>
      <c r="D143" s="312"/>
      <c r="E143" s="207" t="s">
        <v>324</v>
      </c>
      <c r="F143" s="313" t="s">
        <v>325</v>
      </c>
      <c r="G143" s="320"/>
      <c r="H143" s="320"/>
      <c r="I143" s="320"/>
    </row>
    <row r="144" spans="1:9" s="314" customFormat="1" ht="49.5" customHeight="1">
      <c r="A144" s="877"/>
      <c r="B144" s="723">
        <v>3.5</v>
      </c>
      <c r="C144" s="6" t="s">
        <v>957</v>
      </c>
      <c r="D144" s="312"/>
      <c r="E144" s="723">
        <v>4.5</v>
      </c>
      <c r="F144" s="6" t="s">
        <v>958</v>
      </c>
    </row>
    <row r="145" spans="1:9" s="314" customFormat="1" ht="49.5" customHeight="1">
      <c r="A145" s="877"/>
      <c r="B145" s="723">
        <v>3.6</v>
      </c>
      <c r="C145" s="6" t="s">
        <v>959</v>
      </c>
      <c r="D145" s="312"/>
      <c r="E145" s="723">
        <v>4.5999999999999996</v>
      </c>
      <c r="F145" s="6" t="s">
        <v>960</v>
      </c>
    </row>
    <row r="146" spans="1:9" s="314" customFormat="1" ht="49.5" customHeight="1">
      <c r="A146" s="877"/>
      <c r="B146" s="723">
        <v>3.7</v>
      </c>
      <c r="C146" s="6" t="s">
        <v>961</v>
      </c>
      <c r="D146" s="312"/>
      <c r="E146" s="723">
        <v>4.7</v>
      </c>
      <c r="F146" s="6" t="s">
        <v>962</v>
      </c>
    </row>
    <row r="147" spans="1:9" s="314" customFormat="1" ht="49.5" customHeight="1">
      <c r="A147" s="877"/>
      <c r="B147" s="723">
        <v>3.8</v>
      </c>
      <c r="C147" s="6" t="s">
        <v>963</v>
      </c>
      <c r="D147" s="312"/>
      <c r="E147" s="723">
        <v>4.8</v>
      </c>
      <c r="F147" s="6" t="s">
        <v>964</v>
      </c>
    </row>
    <row r="148" spans="1:9" s="314" customFormat="1" ht="49.5" customHeight="1">
      <c r="A148" s="877"/>
      <c r="B148" s="779"/>
      <c r="C148" s="6"/>
      <c r="D148" s="312"/>
      <c r="E148" s="779"/>
      <c r="F148" s="6"/>
    </row>
    <row r="149" spans="1:9" s="314" customFormat="1" ht="49.5" customHeight="1">
      <c r="A149" s="877"/>
      <c r="B149" s="779"/>
      <c r="C149" s="6"/>
      <c r="D149" s="312"/>
      <c r="E149" s="779"/>
      <c r="F149" s="6"/>
    </row>
    <row r="150" spans="1:9" s="314" customFormat="1" ht="49.5" customHeight="1">
      <c r="A150" s="877"/>
      <c r="B150" s="779"/>
      <c r="C150" s="6"/>
      <c r="D150" s="312"/>
      <c r="E150" s="779"/>
      <c r="F150" s="6"/>
    </row>
    <row r="151" spans="1:9" s="314" customFormat="1" ht="34.5" customHeight="1">
      <c r="B151" s="315"/>
      <c r="C151" s="316"/>
    </row>
    <row r="152" spans="1:9" s="314" customFormat="1" ht="34.5" customHeight="1">
      <c r="A152" s="877"/>
      <c r="B152" s="876" t="s">
        <v>346</v>
      </c>
      <c r="C152" s="876"/>
      <c r="D152" s="876"/>
      <c r="E152" s="876"/>
      <c r="F152" s="876"/>
      <c r="G152" s="721"/>
      <c r="H152" s="721"/>
      <c r="I152" s="721"/>
    </row>
    <row r="153" spans="1:9" s="314" customFormat="1" ht="15.75">
      <c r="A153" s="877"/>
      <c r="B153" s="207" t="s">
        <v>324</v>
      </c>
      <c r="C153" s="313" t="s">
        <v>325</v>
      </c>
      <c r="D153" s="312"/>
      <c r="E153" s="207" t="s">
        <v>324</v>
      </c>
      <c r="F153" s="313" t="s">
        <v>325</v>
      </c>
      <c r="G153" s="320"/>
      <c r="H153" s="320"/>
      <c r="I153" s="320"/>
    </row>
    <row r="154" spans="1:9" s="314" customFormat="1" ht="32.25" customHeight="1">
      <c r="A154" s="877"/>
      <c r="B154" s="207">
        <v>3.1</v>
      </c>
      <c r="C154" s="6" t="s">
        <v>361</v>
      </c>
      <c r="D154" s="312"/>
      <c r="E154" s="207">
        <v>4.0999999999999996</v>
      </c>
      <c r="F154" s="6" t="s">
        <v>365</v>
      </c>
    </row>
    <row r="155" spans="1:9" s="314" customFormat="1" ht="32.25" customHeight="1">
      <c r="A155" s="877"/>
      <c r="B155" s="207">
        <v>3.2</v>
      </c>
      <c r="C155" s="6" t="s">
        <v>362</v>
      </c>
      <c r="D155" s="312"/>
      <c r="E155" s="207">
        <v>4.2</v>
      </c>
      <c r="F155" s="6" t="s">
        <v>366</v>
      </c>
    </row>
    <row r="156" spans="1:9" s="314" customFormat="1" ht="32.25" customHeight="1">
      <c r="A156" s="877"/>
      <c r="B156" s="207">
        <v>3.3</v>
      </c>
      <c r="C156" s="6" t="s">
        <v>363</v>
      </c>
      <c r="D156" s="312"/>
      <c r="E156" s="207">
        <v>4.3</v>
      </c>
      <c r="F156" s="6" t="s">
        <v>367</v>
      </c>
    </row>
    <row r="157" spans="1:9" s="314" customFormat="1" ht="32.25" customHeight="1">
      <c r="A157" s="877"/>
      <c r="B157" s="207">
        <v>3.4</v>
      </c>
      <c r="C157" s="6" t="s">
        <v>364</v>
      </c>
      <c r="D157" s="312"/>
      <c r="E157" s="207">
        <v>4.4000000000000004</v>
      </c>
      <c r="F157" s="6" t="s">
        <v>368</v>
      </c>
    </row>
    <row r="158" spans="1:9" s="314" customFormat="1" ht="12.75" customHeight="1">
      <c r="A158" s="877"/>
      <c r="B158" s="207"/>
      <c r="C158" s="6"/>
      <c r="D158" s="312"/>
      <c r="E158" s="207"/>
      <c r="F158" s="6"/>
    </row>
    <row r="159" spans="1:9" s="314" customFormat="1" ht="12.75" customHeight="1">
      <c r="A159" s="877"/>
      <c r="B159" s="207"/>
      <c r="C159" s="6"/>
      <c r="D159" s="312"/>
      <c r="E159" s="207"/>
      <c r="F159" s="6"/>
    </row>
    <row r="160" spans="1:9" s="314" customFormat="1">
      <c r="A160" s="877"/>
      <c r="B160" s="207"/>
      <c r="C160" s="6"/>
      <c r="D160" s="312"/>
      <c r="E160" s="207"/>
      <c r="F160" s="6"/>
    </row>
    <row r="161" spans="1:9" s="314" customFormat="1">
      <c r="A161" s="877"/>
      <c r="B161" s="207"/>
      <c r="C161" s="6"/>
      <c r="D161" s="312"/>
      <c r="E161" s="207"/>
      <c r="F161" s="6"/>
    </row>
    <row r="162" spans="1:9" s="314" customFormat="1">
      <c r="A162" s="877"/>
      <c r="B162" s="207"/>
      <c r="C162" s="6"/>
      <c r="D162" s="312"/>
      <c r="E162" s="207"/>
      <c r="F162" s="6"/>
    </row>
    <row r="163" spans="1:9" s="314" customFormat="1">
      <c r="A163" s="877"/>
      <c r="B163" s="7"/>
      <c r="C163" s="6"/>
      <c r="D163" s="312"/>
      <c r="E163" s="7"/>
      <c r="F163" s="6"/>
    </row>
    <row r="164" spans="1:9" s="314" customFormat="1">
      <c r="A164" s="877"/>
      <c r="B164" s="207"/>
      <c r="C164" s="6"/>
      <c r="D164" s="312"/>
      <c r="E164" s="7"/>
      <c r="F164" s="6"/>
    </row>
    <row r="165" spans="1:9" s="314" customFormat="1">
      <c r="A165" s="877"/>
      <c r="B165" s="7"/>
      <c r="C165" s="6"/>
      <c r="D165" s="312"/>
      <c r="E165" s="7"/>
      <c r="F165" s="6"/>
    </row>
    <row r="166" spans="1:9" s="314" customFormat="1"/>
    <row r="167" spans="1:9" s="314" customFormat="1" ht="31.5">
      <c r="A167" s="877"/>
      <c r="B167" s="876" t="s">
        <v>347</v>
      </c>
      <c r="C167" s="876"/>
      <c r="D167" s="876"/>
      <c r="E167" s="876"/>
      <c r="F167" s="876"/>
      <c r="G167" s="721"/>
      <c r="H167" s="721"/>
      <c r="I167" s="721"/>
    </row>
    <row r="168" spans="1:9" s="314" customFormat="1" ht="15.75">
      <c r="A168" s="877"/>
      <c r="B168" s="207" t="s">
        <v>324</v>
      </c>
      <c r="C168" s="313" t="s">
        <v>325</v>
      </c>
      <c r="D168" s="312"/>
      <c r="E168" s="207" t="s">
        <v>324</v>
      </c>
      <c r="F168" s="313" t="s">
        <v>325</v>
      </c>
      <c r="G168" s="320"/>
      <c r="H168" s="320"/>
      <c r="I168" s="320"/>
    </row>
    <row r="169" spans="1:9" s="314" customFormat="1" ht="32.25" customHeight="1">
      <c r="A169" s="877"/>
      <c r="B169" s="207">
        <v>3.1</v>
      </c>
      <c r="C169" s="6" t="s">
        <v>369</v>
      </c>
      <c r="D169" s="312"/>
      <c r="E169" s="207">
        <v>4.0999999999999996</v>
      </c>
      <c r="F169" s="6" t="s">
        <v>377</v>
      </c>
    </row>
    <row r="170" spans="1:9" s="314" customFormat="1" ht="32.25" customHeight="1">
      <c r="A170" s="877"/>
      <c r="B170" s="207">
        <v>3.2</v>
      </c>
      <c r="C170" s="6" t="s">
        <v>370</v>
      </c>
      <c r="D170" s="312"/>
      <c r="E170" s="207">
        <v>4.2</v>
      </c>
      <c r="F170" s="6" t="s">
        <v>378</v>
      </c>
    </row>
    <row r="171" spans="1:9" s="314" customFormat="1" ht="32.25" customHeight="1">
      <c r="A171" s="877"/>
      <c r="B171" s="207">
        <v>3.3</v>
      </c>
      <c r="C171" s="6" t="s">
        <v>371</v>
      </c>
      <c r="D171" s="312"/>
      <c r="E171" s="207">
        <v>4.3</v>
      </c>
      <c r="F171" s="6" t="s">
        <v>379</v>
      </c>
    </row>
    <row r="172" spans="1:9" s="314" customFormat="1" ht="32.25" customHeight="1">
      <c r="A172" s="877"/>
      <c r="B172" s="207">
        <v>3.4</v>
      </c>
      <c r="C172" s="6" t="s">
        <v>372</v>
      </c>
      <c r="D172" s="312"/>
      <c r="E172" s="207">
        <v>4.4000000000000004</v>
      </c>
      <c r="F172" s="6" t="s">
        <v>380</v>
      </c>
    </row>
    <row r="173" spans="1:9" s="314" customFormat="1" ht="32.25" customHeight="1">
      <c r="A173" s="877"/>
      <c r="B173" s="207">
        <v>3.5</v>
      </c>
      <c r="C173" s="6" t="s">
        <v>373</v>
      </c>
      <c r="D173" s="312"/>
      <c r="E173" s="207">
        <v>4.5</v>
      </c>
      <c r="F173" s="6" t="s">
        <v>381</v>
      </c>
    </row>
    <row r="174" spans="1:9" s="314" customFormat="1" ht="48.75" customHeight="1">
      <c r="A174" s="877"/>
      <c r="B174" s="207">
        <v>3.6</v>
      </c>
      <c r="C174" s="6" t="s">
        <v>374</v>
      </c>
      <c r="D174" s="312"/>
      <c r="E174" s="207">
        <v>4.5999999999999996</v>
      </c>
      <c r="F174" s="6" t="s">
        <v>382</v>
      </c>
    </row>
    <row r="175" spans="1:9" s="314" customFormat="1" ht="45.75" customHeight="1">
      <c r="A175" s="877"/>
      <c r="B175" s="207">
        <v>3.7</v>
      </c>
      <c r="C175" s="6" t="s">
        <v>375</v>
      </c>
      <c r="D175" s="312"/>
      <c r="E175" s="207">
        <v>4.7</v>
      </c>
      <c r="F175" s="6" t="s">
        <v>383</v>
      </c>
    </row>
    <row r="176" spans="1:9" s="314" customFormat="1" ht="39" customHeight="1">
      <c r="A176" s="877"/>
      <c r="B176" s="207">
        <v>3.8</v>
      </c>
      <c r="C176" s="6" t="s">
        <v>376</v>
      </c>
      <c r="D176" s="312"/>
      <c r="E176" s="207">
        <v>4.8</v>
      </c>
      <c r="F176" s="6" t="s">
        <v>384</v>
      </c>
    </row>
    <row r="177" spans="1:9" s="314" customFormat="1">
      <c r="A177" s="877"/>
      <c r="B177" s="207"/>
      <c r="C177" s="6"/>
      <c r="D177" s="312"/>
      <c r="E177" s="207"/>
      <c r="F177" s="6"/>
    </row>
    <row r="178" spans="1:9" s="314" customFormat="1">
      <c r="A178" s="877"/>
      <c r="B178" s="7"/>
      <c r="C178" s="6"/>
      <c r="D178" s="312"/>
      <c r="E178" s="7"/>
      <c r="F178" s="6"/>
    </row>
    <row r="179" spans="1:9" s="314" customFormat="1">
      <c r="A179" s="877"/>
      <c r="B179" s="207"/>
      <c r="C179" s="6"/>
      <c r="D179" s="312"/>
      <c r="E179" s="7"/>
      <c r="F179" s="6"/>
    </row>
    <row r="180" spans="1:9" s="314" customFormat="1">
      <c r="A180" s="877"/>
      <c r="B180" s="7"/>
      <c r="C180" s="6"/>
      <c r="D180" s="312"/>
      <c r="E180" s="7"/>
      <c r="F180" s="6"/>
    </row>
    <row r="181" spans="1:9" s="314" customFormat="1" ht="15.75">
      <c r="B181" s="616"/>
      <c r="C181" s="316"/>
    </row>
    <row r="182" spans="1:9" s="314" customFormat="1" ht="31.5">
      <c r="A182" s="877"/>
      <c r="B182" s="876" t="s">
        <v>348</v>
      </c>
      <c r="C182" s="876"/>
      <c r="D182" s="876"/>
      <c r="E182" s="876"/>
      <c r="F182" s="876"/>
      <c r="G182" s="721"/>
      <c r="H182" s="721"/>
      <c r="I182" s="721"/>
    </row>
    <row r="183" spans="1:9" s="314" customFormat="1" ht="15.75">
      <c r="A183" s="877"/>
      <c r="B183" s="207" t="s">
        <v>324</v>
      </c>
      <c r="C183" s="313" t="s">
        <v>325</v>
      </c>
      <c r="D183" s="312"/>
      <c r="E183" s="207" t="s">
        <v>324</v>
      </c>
      <c r="F183" s="313" t="s">
        <v>325</v>
      </c>
      <c r="G183" s="320"/>
      <c r="H183" s="320"/>
      <c r="I183" s="320"/>
    </row>
    <row r="184" spans="1:9" s="314" customFormat="1" ht="33" customHeight="1">
      <c r="A184" s="877"/>
      <c r="B184" s="207">
        <v>3.1</v>
      </c>
      <c r="C184" s="6" t="s">
        <v>385</v>
      </c>
      <c r="D184" s="312"/>
      <c r="E184" s="207">
        <v>4.0999999999999996</v>
      </c>
      <c r="F184" s="6" t="s">
        <v>391</v>
      </c>
    </row>
    <row r="185" spans="1:9" s="314" customFormat="1" ht="33" customHeight="1">
      <c r="A185" s="877"/>
      <c r="B185" s="207">
        <v>3.2</v>
      </c>
      <c r="C185" s="6" t="s">
        <v>386</v>
      </c>
      <c r="D185" s="312"/>
      <c r="E185" s="207">
        <v>4.2</v>
      </c>
      <c r="F185" s="6" t="s">
        <v>392</v>
      </c>
    </row>
    <row r="186" spans="1:9" s="314" customFormat="1" ht="33" customHeight="1">
      <c r="A186" s="877"/>
      <c r="B186" s="207">
        <v>3.3</v>
      </c>
      <c r="C186" s="6" t="s">
        <v>387</v>
      </c>
      <c r="D186" s="312"/>
      <c r="E186" s="207">
        <v>4.3</v>
      </c>
      <c r="F186" s="6" t="s">
        <v>393</v>
      </c>
    </row>
    <row r="187" spans="1:9" s="314" customFormat="1" ht="33" customHeight="1">
      <c r="A187" s="877"/>
      <c r="B187" s="207">
        <v>3.4</v>
      </c>
      <c r="C187" s="6" t="s">
        <v>388</v>
      </c>
      <c r="D187" s="312"/>
      <c r="E187" s="207">
        <v>4.4000000000000004</v>
      </c>
      <c r="F187" s="6" t="s">
        <v>394</v>
      </c>
    </row>
    <row r="188" spans="1:9" s="314" customFormat="1" ht="33" customHeight="1">
      <c r="A188" s="877"/>
      <c r="B188" s="207">
        <v>3.5</v>
      </c>
      <c r="C188" s="6" t="s">
        <v>389</v>
      </c>
      <c r="D188" s="312"/>
      <c r="E188" s="207">
        <v>4.5</v>
      </c>
      <c r="F188" s="6" t="s">
        <v>395</v>
      </c>
    </row>
    <row r="189" spans="1:9" s="314" customFormat="1" ht="33" customHeight="1">
      <c r="A189" s="877"/>
      <c r="B189" s="207">
        <v>3.6</v>
      </c>
      <c r="C189" s="6" t="s">
        <v>390</v>
      </c>
      <c r="D189" s="312"/>
      <c r="E189" s="207">
        <v>4.5999999999999996</v>
      </c>
      <c r="F189" s="6" t="s">
        <v>396</v>
      </c>
    </row>
    <row r="190" spans="1:9" s="314" customFormat="1">
      <c r="A190" s="877"/>
      <c r="B190" s="207"/>
      <c r="C190" s="6"/>
      <c r="D190" s="312"/>
      <c r="E190" s="207"/>
      <c r="F190" s="6"/>
    </row>
    <row r="191" spans="1:9" s="314" customFormat="1">
      <c r="A191" s="877"/>
      <c r="B191" s="207"/>
      <c r="C191" s="6"/>
      <c r="D191" s="312"/>
      <c r="E191" s="207"/>
      <c r="F191" s="6"/>
    </row>
    <row r="192" spans="1:9" s="314" customFormat="1">
      <c r="A192" s="877"/>
      <c r="B192" s="207"/>
      <c r="C192" s="6"/>
      <c r="D192" s="312"/>
      <c r="E192" s="207"/>
      <c r="F192" s="6"/>
    </row>
    <row r="193" spans="1:9" s="314" customFormat="1">
      <c r="A193" s="877"/>
      <c r="B193" s="7"/>
      <c r="C193" s="6"/>
      <c r="D193" s="312"/>
      <c r="E193" s="7"/>
      <c r="F193" s="6"/>
    </row>
    <row r="194" spans="1:9" s="314" customFormat="1">
      <c r="A194" s="877"/>
      <c r="B194" s="207"/>
      <c r="C194" s="6"/>
      <c r="D194" s="312"/>
      <c r="E194" s="7"/>
      <c r="F194" s="6"/>
    </row>
    <row r="195" spans="1:9" s="314" customFormat="1">
      <c r="A195" s="877"/>
      <c r="B195" s="7"/>
      <c r="C195" s="6"/>
      <c r="D195" s="312"/>
      <c r="E195" s="7"/>
      <c r="F195" s="6"/>
    </row>
    <row r="196" spans="1:9" s="314" customFormat="1"/>
    <row r="197" spans="1:9" s="314" customFormat="1" ht="31.5">
      <c r="A197" s="877"/>
      <c r="B197" s="876" t="s">
        <v>349</v>
      </c>
      <c r="C197" s="876"/>
      <c r="D197" s="876"/>
      <c r="E197" s="876"/>
      <c r="F197" s="876"/>
      <c r="G197" s="721"/>
      <c r="H197" s="721"/>
      <c r="I197" s="721"/>
    </row>
    <row r="198" spans="1:9" s="314" customFormat="1" ht="15.75">
      <c r="A198" s="877"/>
      <c r="B198" s="207" t="s">
        <v>324</v>
      </c>
      <c r="C198" s="313" t="s">
        <v>325</v>
      </c>
      <c r="D198" s="312"/>
      <c r="E198" s="207" t="s">
        <v>324</v>
      </c>
      <c r="F198" s="313" t="s">
        <v>325</v>
      </c>
      <c r="G198" s="320"/>
      <c r="H198" s="320"/>
      <c r="I198" s="320"/>
    </row>
    <row r="199" spans="1:9" s="314" customFormat="1" ht="36.75" customHeight="1">
      <c r="A199" s="877"/>
      <c r="B199" s="207">
        <v>3.1</v>
      </c>
      <c r="C199" s="6" t="s">
        <v>397</v>
      </c>
      <c r="D199" s="312"/>
      <c r="E199" s="207">
        <v>4.0999999999999996</v>
      </c>
      <c r="F199" s="6" t="s">
        <v>401</v>
      </c>
    </row>
    <row r="200" spans="1:9" s="314" customFormat="1" ht="36.75" customHeight="1">
      <c r="A200" s="877"/>
      <c r="B200" s="207">
        <v>3.2</v>
      </c>
      <c r="C200" s="6" t="s">
        <v>398</v>
      </c>
      <c r="D200" s="312"/>
      <c r="E200" s="207">
        <v>4.2</v>
      </c>
      <c r="F200" s="6" t="s">
        <v>402</v>
      </c>
    </row>
    <row r="201" spans="1:9" s="314" customFormat="1" ht="36.75" customHeight="1">
      <c r="A201" s="877"/>
      <c r="B201" s="207">
        <v>3.3</v>
      </c>
      <c r="C201" s="6" t="s">
        <v>399</v>
      </c>
      <c r="D201" s="312"/>
      <c r="E201" s="207">
        <v>4.3</v>
      </c>
      <c r="F201" s="6" t="s">
        <v>403</v>
      </c>
    </row>
    <row r="202" spans="1:9" s="314" customFormat="1" ht="36.75" customHeight="1">
      <c r="A202" s="877"/>
      <c r="B202" s="207">
        <v>3.4</v>
      </c>
      <c r="C202" s="6" t="s">
        <v>400</v>
      </c>
      <c r="D202" s="312"/>
      <c r="E202" s="207">
        <v>4.4000000000000004</v>
      </c>
      <c r="F202" s="6" t="s">
        <v>404</v>
      </c>
    </row>
    <row r="203" spans="1:9" s="314" customFormat="1">
      <c r="A203" s="877"/>
      <c r="B203" s="207"/>
      <c r="C203" s="6"/>
      <c r="D203" s="312"/>
      <c r="E203" s="207"/>
      <c r="F203" s="6"/>
    </row>
    <row r="204" spans="1:9" s="314" customFormat="1">
      <c r="A204" s="877"/>
      <c r="B204" s="207"/>
      <c r="C204" s="6"/>
      <c r="D204" s="312"/>
      <c r="E204" s="207"/>
      <c r="F204" s="6"/>
    </row>
    <row r="205" spans="1:9" s="314" customFormat="1">
      <c r="A205" s="877"/>
      <c r="B205" s="207"/>
      <c r="C205" s="6"/>
      <c r="D205" s="312"/>
      <c r="E205" s="207"/>
      <c r="F205" s="6"/>
    </row>
    <row r="206" spans="1:9" s="314" customFormat="1">
      <c r="A206" s="877"/>
      <c r="B206" s="207"/>
      <c r="C206" s="6"/>
      <c r="D206" s="312"/>
      <c r="E206" s="207"/>
      <c r="F206" s="6"/>
    </row>
    <row r="207" spans="1:9" s="314" customFormat="1">
      <c r="A207" s="877"/>
      <c r="B207" s="207"/>
      <c r="C207" s="6"/>
      <c r="D207" s="312"/>
      <c r="E207" s="207"/>
      <c r="F207" s="6"/>
    </row>
    <row r="208" spans="1:9" s="314" customFormat="1">
      <c r="A208" s="877"/>
      <c r="B208" s="7"/>
      <c r="C208" s="6"/>
      <c r="D208" s="312"/>
      <c r="E208" s="7"/>
      <c r="F208" s="6"/>
    </row>
    <row r="209" spans="1:9" s="314" customFormat="1">
      <c r="A209" s="877"/>
      <c r="B209" s="207"/>
      <c r="C209" s="6"/>
      <c r="D209" s="312"/>
      <c r="E209" s="7"/>
      <c r="F209" s="6"/>
    </row>
    <row r="210" spans="1:9" s="314" customFormat="1">
      <c r="A210" s="877"/>
      <c r="B210" s="7"/>
      <c r="C210" s="6"/>
      <c r="D210" s="312"/>
      <c r="E210" s="7"/>
      <c r="F210" s="6"/>
    </row>
    <row r="211" spans="1:9" s="314" customFormat="1"/>
    <row r="212" spans="1:9" s="314" customFormat="1" ht="31.5">
      <c r="A212" s="877"/>
      <c r="B212" s="876" t="s">
        <v>350</v>
      </c>
      <c r="C212" s="876"/>
      <c r="D212" s="876"/>
      <c r="E212" s="876"/>
      <c r="F212" s="876"/>
      <c r="G212" s="721"/>
      <c r="H212" s="721"/>
      <c r="I212" s="721"/>
    </row>
    <row r="213" spans="1:9" s="314" customFormat="1" ht="15.75">
      <c r="A213" s="877"/>
      <c r="B213" s="207" t="s">
        <v>324</v>
      </c>
      <c r="C213" s="313" t="s">
        <v>325</v>
      </c>
      <c r="D213" s="312"/>
      <c r="E213" s="207" t="s">
        <v>324</v>
      </c>
      <c r="F213" s="313" t="s">
        <v>325</v>
      </c>
      <c r="G213" s="320"/>
      <c r="H213" s="320"/>
      <c r="I213" s="320"/>
    </row>
    <row r="214" spans="1:9" s="314" customFormat="1" ht="30.75" customHeight="1">
      <c r="A214" s="877"/>
      <c r="B214" s="207">
        <v>3.1</v>
      </c>
      <c r="C214" s="6" t="s">
        <v>405</v>
      </c>
      <c r="D214" s="312"/>
      <c r="E214" s="207">
        <v>4.0999999999999996</v>
      </c>
      <c r="F214" s="6" t="s">
        <v>411</v>
      </c>
    </row>
    <row r="215" spans="1:9" s="314" customFormat="1" ht="30.75" customHeight="1">
      <c r="A215" s="877"/>
      <c r="B215" s="207">
        <v>3.2</v>
      </c>
      <c r="C215" s="6" t="s">
        <v>406</v>
      </c>
      <c r="D215" s="312"/>
      <c r="E215" s="207">
        <v>4.2</v>
      </c>
      <c r="F215" s="6" t="s">
        <v>412</v>
      </c>
    </row>
    <row r="216" spans="1:9" s="314" customFormat="1" ht="30.75" customHeight="1">
      <c r="A216" s="877"/>
      <c r="B216" s="207">
        <v>3.3</v>
      </c>
      <c r="C216" s="6" t="s">
        <v>407</v>
      </c>
      <c r="D216" s="312"/>
      <c r="E216" s="207">
        <v>4.3</v>
      </c>
      <c r="F216" s="6" t="s">
        <v>413</v>
      </c>
    </row>
    <row r="217" spans="1:9" s="314" customFormat="1" ht="30.75" customHeight="1">
      <c r="A217" s="877"/>
      <c r="B217" s="207">
        <v>3.4</v>
      </c>
      <c r="C217" s="6" t="s">
        <v>408</v>
      </c>
      <c r="D217" s="312"/>
      <c r="E217" s="207">
        <v>4.4000000000000004</v>
      </c>
      <c r="F217" s="6" t="s">
        <v>414</v>
      </c>
    </row>
    <row r="218" spans="1:9" s="314" customFormat="1" ht="30.75" customHeight="1">
      <c r="A218" s="877"/>
      <c r="B218" s="207">
        <v>3.5</v>
      </c>
      <c r="C218" s="6" t="s">
        <v>409</v>
      </c>
      <c r="D218" s="312"/>
      <c r="E218" s="207">
        <v>4.5</v>
      </c>
      <c r="F218" s="6" t="s">
        <v>415</v>
      </c>
    </row>
    <row r="219" spans="1:9" s="314" customFormat="1" ht="30.75" customHeight="1">
      <c r="A219" s="877"/>
      <c r="B219" s="207">
        <v>3.6</v>
      </c>
      <c r="C219" s="6" t="s">
        <v>410</v>
      </c>
      <c r="D219" s="312"/>
      <c r="E219" s="207">
        <v>4.5999999999999996</v>
      </c>
      <c r="F219" s="6" t="s">
        <v>416</v>
      </c>
    </row>
    <row r="220" spans="1:9" s="314" customFormat="1">
      <c r="A220" s="877"/>
      <c r="B220" s="207"/>
      <c r="C220" s="6"/>
      <c r="D220" s="312"/>
      <c r="E220" s="207"/>
      <c r="F220" s="6"/>
    </row>
    <row r="221" spans="1:9" s="314" customFormat="1">
      <c r="A221" s="877"/>
      <c r="B221" s="207"/>
      <c r="C221" s="6"/>
      <c r="D221" s="312"/>
      <c r="E221" s="207"/>
      <c r="F221" s="6"/>
    </row>
    <row r="222" spans="1:9" s="314" customFormat="1">
      <c r="A222" s="877"/>
      <c r="B222" s="207"/>
      <c r="C222" s="6"/>
      <c r="D222" s="312"/>
      <c r="E222" s="207"/>
      <c r="F222" s="6"/>
    </row>
    <row r="223" spans="1:9" s="314" customFormat="1">
      <c r="A223" s="877"/>
      <c r="B223" s="7"/>
      <c r="C223" s="6"/>
      <c r="D223" s="312"/>
      <c r="E223" s="7"/>
      <c r="F223" s="6"/>
    </row>
    <row r="224" spans="1:9" s="314" customFormat="1">
      <c r="A224" s="877"/>
      <c r="B224" s="207"/>
      <c r="C224" s="6"/>
      <c r="D224" s="312"/>
      <c r="E224" s="7"/>
      <c r="F224" s="6"/>
    </row>
    <row r="225" spans="1:6" s="314" customFormat="1">
      <c r="A225" s="877"/>
      <c r="B225" s="7"/>
      <c r="C225" s="6"/>
      <c r="D225" s="312"/>
      <c r="E225" s="7"/>
      <c r="F225" s="6"/>
    </row>
    <row r="226" spans="1:6" s="314" customFormat="1"/>
    <row r="227" spans="1:6" s="314" customFormat="1"/>
    <row r="228" spans="1:6" s="314" customFormat="1"/>
    <row r="229" spans="1:6" s="314" customFormat="1"/>
    <row r="230" spans="1:6" s="314" customFormat="1"/>
    <row r="231" spans="1:6" s="314" customFormat="1"/>
    <row r="232" spans="1:6" s="314" customFormat="1"/>
    <row r="233" spans="1:6" s="314" customFormat="1"/>
    <row r="234" spans="1:6" s="314" customFormat="1"/>
    <row r="235" spans="1:6" s="314" customFormat="1"/>
    <row r="236" spans="1:6" s="314" customFormat="1"/>
    <row r="237" spans="1:6" s="314" customFormat="1"/>
    <row r="238" spans="1:6" s="314" customFormat="1"/>
    <row r="239" spans="1:6" s="314" customFormat="1"/>
    <row r="240" spans="1:6" s="314" customFormat="1"/>
    <row r="241" s="314" customFormat="1"/>
    <row r="242" s="314" customFormat="1"/>
    <row r="243" s="314" customFormat="1"/>
    <row r="244" s="314" customFormat="1"/>
    <row r="245" s="314" customFormat="1"/>
    <row r="246" s="314" customFormat="1"/>
    <row r="247" s="314" customFormat="1"/>
    <row r="248" s="314" customFormat="1"/>
    <row r="249" s="314" customFormat="1"/>
    <row r="250" s="314" customFormat="1"/>
    <row r="251" s="314" customFormat="1"/>
    <row r="252" s="314" customFormat="1"/>
  </sheetData>
  <mergeCells count="33">
    <mergeCell ref="A2:A24"/>
    <mergeCell ref="A27:A36"/>
    <mergeCell ref="A38:A51"/>
    <mergeCell ref="A53:A66"/>
    <mergeCell ref="A68:A80"/>
    <mergeCell ref="A212:A225"/>
    <mergeCell ref="B212:F212"/>
    <mergeCell ref="A82:A90"/>
    <mergeCell ref="A92:A105"/>
    <mergeCell ref="A107:A119"/>
    <mergeCell ref="A121:A130"/>
    <mergeCell ref="A132:A140"/>
    <mergeCell ref="A142:A150"/>
    <mergeCell ref="A152:A165"/>
    <mergeCell ref="A167:A180"/>
    <mergeCell ref="B92:F92"/>
    <mergeCell ref="A197:A210"/>
    <mergeCell ref="A1:J1"/>
    <mergeCell ref="B152:F152"/>
    <mergeCell ref="B167:F167"/>
    <mergeCell ref="B182:F182"/>
    <mergeCell ref="B197:F197"/>
    <mergeCell ref="B121:F121"/>
    <mergeCell ref="B132:F132"/>
    <mergeCell ref="B142:F142"/>
    <mergeCell ref="B68:F68"/>
    <mergeCell ref="B82:F82"/>
    <mergeCell ref="B107:F107"/>
    <mergeCell ref="B2:F2"/>
    <mergeCell ref="B27:F27"/>
    <mergeCell ref="A182:A195"/>
    <mergeCell ref="B53:F53"/>
    <mergeCell ref="B38:F3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U64"/>
  <sheetViews>
    <sheetView zoomScale="85" zoomScaleNormal="85" workbookViewId="0">
      <selection activeCell="A6" sqref="A6"/>
    </sheetView>
  </sheetViews>
  <sheetFormatPr defaultRowHeight="15"/>
  <cols>
    <col min="1" max="1" width="4.140625" style="132" customWidth="1"/>
    <col min="2" max="2" width="9.140625" style="132"/>
    <col min="3" max="3" width="37.5703125" style="132" customWidth="1"/>
    <col min="4" max="4" width="14.5703125" style="132" customWidth="1"/>
    <col min="5" max="5" width="13" style="132" customWidth="1"/>
    <col min="6" max="6" width="11.7109375" style="132" customWidth="1"/>
    <col min="7" max="7" width="12.5703125" style="132" customWidth="1"/>
    <col min="8" max="8" width="11" style="132" customWidth="1"/>
    <col min="9" max="9" width="30.7109375" style="132" customWidth="1"/>
    <col min="10" max="12" width="11" style="132" customWidth="1"/>
    <col min="13" max="14" width="10.5703125" style="132" customWidth="1"/>
    <col min="15" max="15" width="39.85546875" style="132" customWidth="1"/>
    <col min="16" max="16" width="25.140625" style="132" customWidth="1"/>
    <col min="17" max="17" width="14" style="132" customWidth="1"/>
    <col min="18" max="18" width="13" style="132" customWidth="1"/>
    <col min="19" max="19" width="20.140625" style="132" customWidth="1"/>
    <col min="20" max="20" width="15.85546875" style="132" customWidth="1"/>
    <col min="21" max="21" width="9.42578125" style="132" customWidth="1"/>
    <col min="22" max="22" width="10.5703125" style="132" customWidth="1"/>
    <col min="23" max="23" width="12.28515625" style="132" customWidth="1"/>
    <col min="24" max="24" width="11.28515625" style="132" customWidth="1"/>
    <col min="25" max="25" width="15.85546875" style="132" customWidth="1"/>
    <col min="26" max="26" width="9.42578125" style="132" customWidth="1"/>
    <col min="27" max="27" width="9.85546875" style="132" customWidth="1"/>
    <col min="28" max="28" width="11.7109375" style="132" customWidth="1"/>
    <col min="29" max="29" width="12.140625" style="132" customWidth="1"/>
    <col min="30" max="30" width="23.42578125" style="132" customWidth="1"/>
    <col min="31" max="31" width="15.7109375" style="132" customWidth="1"/>
    <col min="32" max="32" width="13.85546875" style="132" customWidth="1"/>
    <col min="33" max="33" width="14" style="132" customWidth="1"/>
    <col min="34" max="34" width="12.42578125" style="132" customWidth="1"/>
    <col min="35" max="35" width="16.85546875" style="132" customWidth="1"/>
    <col min="36" max="36" width="9.140625" style="132"/>
    <col min="37" max="40" width="12.42578125" style="132" customWidth="1"/>
    <col min="41" max="41" width="31.5703125" style="132" customWidth="1"/>
    <col min="42" max="42" width="12" style="132" customWidth="1"/>
    <col min="43" max="44" width="9.140625" style="132"/>
    <col min="45" max="45" width="0" style="132" hidden="1" customWidth="1"/>
    <col min="46" max="46" width="15.7109375" style="132" hidden="1" customWidth="1"/>
    <col min="47" max="47" width="9.140625" style="132" hidden="1" customWidth="1"/>
    <col min="48" max="16384" width="9.140625" style="132"/>
  </cols>
  <sheetData>
    <row r="1" spans="1:47" ht="45" customHeight="1">
      <c r="A1" s="480" t="s">
        <v>15</v>
      </c>
      <c r="B1" s="480"/>
      <c r="C1" s="480"/>
      <c r="D1" s="879"/>
      <c r="E1" s="879"/>
      <c r="F1" s="480"/>
      <c r="G1" s="480"/>
      <c r="H1" s="480"/>
      <c r="I1" s="480"/>
      <c r="J1" s="480"/>
      <c r="K1" s="480"/>
      <c r="L1" s="480"/>
      <c r="M1" s="480"/>
      <c r="N1" s="480"/>
      <c r="O1" s="480"/>
      <c r="P1" s="480"/>
      <c r="Q1" s="480"/>
      <c r="R1" s="480"/>
      <c r="S1" s="480"/>
      <c r="T1" s="480"/>
      <c r="U1" s="480"/>
      <c r="V1" s="480"/>
      <c r="W1" s="480"/>
      <c r="X1" s="480"/>
      <c r="Y1" s="480"/>
      <c r="Z1" s="480"/>
      <c r="AA1" s="480"/>
      <c r="AB1" s="480"/>
      <c r="AC1" s="480"/>
      <c r="AD1" s="480"/>
      <c r="AE1" s="480"/>
      <c r="AF1" s="480"/>
      <c r="AG1" s="480"/>
      <c r="AH1" s="480"/>
      <c r="AI1" s="480"/>
      <c r="AJ1" s="480"/>
      <c r="AK1" s="480"/>
      <c r="AL1" s="480"/>
      <c r="AM1" s="480"/>
      <c r="AN1" s="480"/>
      <c r="AO1" s="480"/>
      <c r="AP1" s="480"/>
      <c r="AQ1" s="480"/>
      <c r="AR1" s="480"/>
      <c r="AS1" s="480"/>
      <c r="AT1" s="433"/>
    </row>
    <row r="2" spans="1:47">
      <c r="A2" s="434"/>
      <c r="B2" s="434"/>
      <c r="C2" s="434"/>
      <c r="D2" s="434"/>
      <c r="E2" s="434"/>
      <c r="F2" s="434"/>
      <c r="G2" s="434"/>
      <c r="H2" s="434"/>
      <c r="I2" s="434"/>
      <c r="J2" s="434"/>
      <c r="K2" s="434"/>
      <c r="L2" s="434"/>
      <c r="M2" s="434"/>
      <c r="N2" s="434"/>
      <c r="O2" s="434"/>
      <c r="P2" s="434"/>
      <c r="Q2" s="434"/>
      <c r="R2" s="434"/>
      <c r="S2" s="434"/>
      <c r="T2" s="434"/>
      <c r="U2" s="434"/>
      <c r="V2" s="434"/>
      <c r="W2" s="434"/>
      <c r="X2" s="434"/>
      <c r="Y2" s="434"/>
      <c r="Z2" s="434"/>
      <c r="AA2" s="434"/>
      <c r="AB2" s="434"/>
      <c r="AC2" s="434"/>
      <c r="AD2" s="434"/>
      <c r="AE2" s="434"/>
      <c r="AF2" s="434"/>
      <c r="AG2" s="434"/>
      <c r="AH2" s="434"/>
      <c r="AI2" s="434"/>
      <c r="AJ2" s="434"/>
      <c r="AK2" s="434"/>
      <c r="AL2" s="434"/>
      <c r="AM2" s="434"/>
      <c r="AN2" s="434"/>
      <c r="AO2" s="434"/>
      <c r="AP2" s="434"/>
      <c r="AQ2" s="434"/>
      <c r="AR2" s="434"/>
      <c r="AS2" s="434"/>
      <c r="AT2" s="434"/>
    </row>
    <row r="3" spans="1:47" ht="21" customHeight="1">
      <c r="A3" s="880" t="s">
        <v>16</v>
      </c>
      <c r="B3" s="880" t="s">
        <v>3</v>
      </c>
      <c r="C3" s="880" t="s">
        <v>17</v>
      </c>
      <c r="D3" s="880" t="s">
        <v>18</v>
      </c>
      <c r="E3" s="880" t="s">
        <v>19</v>
      </c>
      <c r="F3" s="880" t="s">
        <v>20</v>
      </c>
      <c r="G3" s="455" t="s">
        <v>21</v>
      </c>
      <c r="H3" s="886" t="s">
        <v>573</v>
      </c>
      <c r="I3" s="880" t="s">
        <v>22</v>
      </c>
      <c r="J3" s="886" t="s">
        <v>647</v>
      </c>
      <c r="K3" s="889" t="s">
        <v>648</v>
      </c>
      <c r="L3" s="890"/>
      <c r="M3" s="891"/>
      <c r="N3" s="886" t="s">
        <v>652</v>
      </c>
      <c r="O3" s="880" t="s">
        <v>24</v>
      </c>
      <c r="P3" s="880" t="s">
        <v>33</v>
      </c>
      <c r="Q3" s="880" t="s">
        <v>653</v>
      </c>
      <c r="R3" s="880" t="s">
        <v>582</v>
      </c>
      <c r="S3" s="880" t="s">
        <v>23</v>
      </c>
      <c r="T3" s="881" t="s">
        <v>654</v>
      </c>
      <c r="U3" s="881"/>
      <c r="V3" s="881"/>
      <c r="W3" s="881"/>
      <c r="X3" s="881"/>
      <c r="Y3" s="888" t="s">
        <v>658</v>
      </c>
      <c r="Z3" s="888"/>
      <c r="AA3" s="888"/>
      <c r="AB3" s="888"/>
      <c r="AC3" s="888"/>
      <c r="AD3" s="882" t="s">
        <v>25</v>
      </c>
      <c r="AE3" s="883"/>
      <c r="AF3" s="883"/>
      <c r="AG3" s="883"/>
      <c r="AH3" s="883"/>
      <c r="AI3" s="884"/>
      <c r="AJ3" s="885" t="s">
        <v>26</v>
      </c>
      <c r="AK3" s="885"/>
      <c r="AL3" s="885"/>
      <c r="AM3" s="885"/>
      <c r="AN3" s="885"/>
      <c r="AO3" s="885"/>
      <c r="AP3" s="885"/>
      <c r="AQ3" s="455"/>
      <c r="AR3" s="455"/>
      <c r="AS3" s="455"/>
      <c r="AT3" s="880" t="s">
        <v>27</v>
      </c>
    </row>
    <row r="4" spans="1:47" ht="45">
      <c r="A4" s="880"/>
      <c r="B4" s="880"/>
      <c r="C4" s="880"/>
      <c r="D4" s="880"/>
      <c r="E4" s="880"/>
      <c r="F4" s="880"/>
      <c r="G4" s="455"/>
      <c r="H4" s="887"/>
      <c r="I4" s="880"/>
      <c r="J4" s="887"/>
      <c r="K4" s="455" t="s">
        <v>649</v>
      </c>
      <c r="L4" s="455" t="s">
        <v>650</v>
      </c>
      <c r="M4" s="455" t="s">
        <v>651</v>
      </c>
      <c r="N4" s="887"/>
      <c r="O4" s="880"/>
      <c r="P4" s="880"/>
      <c r="Q4" s="880"/>
      <c r="R4" s="880"/>
      <c r="S4" s="880"/>
      <c r="T4" s="455" t="s">
        <v>34</v>
      </c>
      <c r="U4" s="455" t="s">
        <v>655</v>
      </c>
      <c r="V4" s="455" t="s">
        <v>21</v>
      </c>
      <c r="W4" s="455" t="s">
        <v>606</v>
      </c>
      <c r="X4" s="455" t="s">
        <v>657</v>
      </c>
      <c r="Y4" s="455" t="s">
        <v>34</v>
      </c>
      <c r="Z4" s="455" t="s">
        <v>655</v>
      </c>
      <c r="AA4" s="455" t="s">
        <v>21</v>
      </c>
      <c r="AB4" s="455" t="s">
        <v>606</v>
      </c>
      <c r="AC4" s="455" t="s">
        <v>657</v>
      </c>
      <c r="AD4" s="455" t="s">
        <v>28</v>
      </c>
      <c r="AE4" s="455" t="s">
        <v>29</v>
      </c>
      <c r="AF4" s="455" t="s">
        <v>30</v>
      </c>
      <c r="AG4" s="455" t="s">
        <v>31</v>
      </c>
      <c r="AH4" s="455" t="s">
        <v>32</v>
      </c>
      <c r="AI4" s="455" t="s">
        <v>33</v>
      </c>
      <c r="AJ4" s="455" t="s">
        <v>34</v>
      </c>
      <c r="AK4" s="455" t="s">
        <v>655</v>
      </c>
      <c r="AL4" s="455" t="s">
        <v>21</v>
      </c>
      <c r="AM4" s="455" t="s">
        <v>606</v>
      </c>
      <c r="AN4" s="455" t="s">
        <v>657</v>
      </c>
      <c r="AO4" s="455" t="s">
        <v>36</v>
      </c>
      <c r="AP4" s="455" t="s">
        <v>659</v>
      </c>
      <c r="AQ4" s="455"/>
      <c r="AR4" s="455"/>
      <c r="AS4" s="455"/>
      <c r="AT4" s="880"/>
    </row>
    <row r="5" spans="1:47">
      <c r="A5" s="435">
        <v>1</v>
      </c>
      <c r="B5" s="435">
        <v>2</v>
      </c>
      <c r="C5" s="435">
        <v>3</v>
      </c>
      <c r="D5" s="435">
        <v>4</v>
      </c>
      <c r="E5" s="435">
        <v>5</v>
      </c>
      <c r="F5" s="435">
        <v>6</v>
      </c>
      <c r="G5" s="435">
        <v>7</v>
      </c>
      <c r="H5" s="435">
        <v>8</v>
      </c>
      <c r="I5" s="435">
        <v>9</v>
      </c>
      <c r="J5" s="435">
        <v>10</v>
      </c>
      <c r="K5" s="435">
        <v>11</v>
      </c>
      <c r="L5" s="435">
        <v>12</v>
      </c>
      <c r="M5" s="435">
        <v>13</v>
      </c>
      <c r="N5" s="435">
        <v>14</v>
      </c>
      <c r="O5" s="435">
        <v>15</v>
      </c>
      <c r="P5" s="435">
        <v>16</v>
      </c>
      <c r="Q5" s="435">
        <v>17</v>
      </c>
      <c r="R5" s="435">
        <v>18</v>
      </c>
      <c r="S5" s="435">
        <v>19</v>
      </c>
      <c r="T5" s="435">
        <v>20</v>
      </c>
      <c r="U5" s="435">
        <v>21</v>
      </c>
      <c r="V5" s="435">
        <v>22</v>
      </c>
      <c r="W5" s="435">
        <v>23</v>
      </c>
      <c r="X5" s="435">
        <v>24</v>
      </c>
      <c r="Y5" s="435">
        <v>25</v>
      </c>
      <c r="Z5" s="435">
        <v>26</v>
      </c>
      <c r="AA5" s="435">
        <v>27</v>
      </c>
      <c r="AB5" s="435">
        <v>28</v>
      </c>
      <c r="AC5" s="435">
        <v>29</v>
      </c>
      <c r="AD5" s="435">
        <v>30</v>
      </c>
      <c r="AE5" s="435">
        <v>31</v>
      </c>
      <c r="AF5" s="435">
        <v>32</v>
      </c>
      <c r="AG5" s="435">
        <v>33</v>
      </c>
      <c r="AH5" s="435">
        <v>34</v>
      </c>
      <c r="AI5" s="435">
        <v>35</v>
      </c>
      <c r="AJ5" s="435">
        <v>36</v>
      </c>
      <c r="AK5" s="435">
        <v>37</v>
      </c>
      <c r="AL5" s="435">
        <v>38</v>
      </c>
      <c r="AM5" s="435">
        <v>39</v>
      </c>
      <c r="AN5" s="435">
        <v>40</v>
      </c>
      <c r="AO5" s="435">
        <v>41</v>
      </c>
      <c r="AP5" s="435">
        <v>42</v>
      </c>
      <c r="AQ5" s="435">
        <v>43</v>
      </c>
      <c r="AR5" s="435">
        <v>44</v>
      </c>
      <c r="AS5" s="435">
        <v>45</v>
      </c>
      <c r="AT5" s="435">
        <v>46</v>
      </c>
    </row>
    <row r="6" spans="1:47" ht="30" customHeight="1">
      <c r="A6" s="435">
        <v>1</v>
      </c>
      <c r="B6" s="428">
        <v>4822</v>
      </c>
      <c r="C6" s="429" t="s">
        <v>738</v>
      </c>
      <c r="D6" s="430">
        <v>12345321</v>
      </c>
      <c r="E6" s="429" t="s">
        <v>738</v>
      </c>
      <c r="F6" s="430" t="s">
        <v>37</v>
      </c>
      <c r="G6" s="430" t="s">
        <v>660</v>
      </c>
      <c r="H6" s="430" t="s">
        <v>646</v>
      </c>
      <c r="I6" s="429" t="s">
        <v>38</v>
      </c>
      <c r="J6" s="430">
        <v>2</v>
      </c>
      <c r="K6" s="430">
        <v>1</v>
      </c>
      <c r="L6" s="432" t="s">
        <v>661</v>
      </c>
      <c r="M6" s="506" t="s">
        <v>661</v>
      </c>
      <c r="N6" s="428" t="s">
        <v>662</v>
      </c>
      <c r="O6" s="429" t="s">
        <v>40</v>
      </c>
      <c r="P6" s="430" t="s">
        <v>663</v>
      </c>
      <c r="Q6" s="429" t="s">
        <v>671</v>
      </c>
      <c r="R6" s="429" t="s">
        <v>664</v>
      </c>
      <c r="S6" s="429" t="s">
        <v>39</v>
      </c>
      <c r="T6" s="429" t="s">
        <v>41</v>
      </c>
      <c r="U6" s="430">
        <v>1978</v>
      </c>
      <c r="V6" s="429" t="s">
        <v>660</v>
      </c>
      <c r="W6" s="429" t="s">
        <v>665</v>
      </c>
      <c r="X6" s="429" t="s">
        <v>666</v>
      </c>
      <c r="Y6" s="429" t="s">
        <v>42</v>
      </c>
      <c r="Z6" s="429">
        <v>1982</v>
      </c>
      <c r="AA6" s="429" t="s">
        <v>660</v>
      </c>
      <c r="AB6" s="429" t="s">
        <v>667</v>
      </c>
      <c r="AC6" s="429" t="s">
        <v>668</v>
      </c>
      <c r="AD6" s="429" t="s">
        <v>40</v>
      </c>
      <c r="AE6" s="429" t="s">
        <v>669</v>
      </c>
      <c r="AF6" s="429" t="s">
        <v>670</v>
      </c>
      <c r="AG6" s="431" t="s">
        <v>12</v>
      </c>
      <c r="AH6" s="431" t="s">
        <v>14</v>
      </c>
      <c r="AI6" s="479" t="s">
        <v>661</v>
      </c>
      <c r="AJ6" s="432" t="s">
        <v>43</v>
      </c>
      <c r="AK6" s="432" t="s">
        <v>43</v>
      </c>
      <c r="AL6" s="432" t="s">
        <v>43</v>
      </c>
      <c r="AM6" s="432" t="s">
        <v>43</v>
      </c>
      <c r="AN6" s="432" t="s">
        <v>43</v>
      </c>
      <c r="AO6" s="432" t="s">
        <v>43</v>
      </c>
      <c r="AP6" s="432" t="s">
        <v>43</v>
      </c>
      <c r="AQ6" s="482"/>
      <c r="AR6" s="482"/>
      <c r="AS6" s="482"/>
      <c r="AT6" s="436" t="str">
        <f>D6&amp;"/"&amp;B6</f>
        <v>12345321/4822</v>
      </c>
      <c r="AU6" s="437">
        <f>IF(C6="","",IF(C6&lt;&gt;"",COUNTA($C$6:C6)))</f>
        <v>1</v>
      </c>
    </row>
    <row r="7" spans="1:47" ht="30" customHeight="1">
      <c r="A7" s="435">
        <v>2</v>
      </c>
      <c r="B7" s="428"/>
      <c r="C7" s="429" t="s">
        <v>739</v>
      </c>
      <c r="D7" s="430"/>
      <c r="E7" s="429" t="s">
        <v>739</v>
      </c>
      <c r="F7" s="430"/>
      <c r="G7" s="430"/>
      <c r="H7" s="430"/>
      <c r="I7" s="429"/>
      <c r="J7" s="430"/>
      <c r="K7" s="430"/>
      <c r="L7" s="432"/>
      <c r="M7" s="506"/>
      <c r="N7" s="428"/>
      <c r="O7" s="429"/>
      <c r="P7" s="430"/>
      <c r="Q7" s="429"/>
      <c r="R7" s="429"/>
      <c r="S7" s="429"/>
      <c r="T7" s="429"/>
      <c r="U7" s="430"/>
      <c r="V7" s="429"/>
      <c r="W7" s="429"/>
      <c r="X7" s="429"/>
      <c r="Y7" s="429"/>
      <c r="Z7" s="429"/>
      <c r="AA7" s="429"/>
      <c r="AB7" s="429"/>
      <c r="AC7" s="429"/>
      <c r="AD7" s="429"/>
      <c r="AE7" s="429"/>
      <c r="AF7" s="429"/>
      <c r="AG7" s="431"/>
      <c r="AH7" s="431"/>
      <c r="AI7" s="479" t="s">
        <v>661</v>
      </c>
      <c r="AJ7" s="432" t="s">
        <v>43</v>
      </c>
      <c r="AK7" s="432" t="s">
        <v>43</v>
      </c>
      <c r="AL7" s="432" t="s">
        <v>43</v>
      </c>
      <c r="AM7" s="432" t="s">
        <v>43</v>
      </c>
      <c r="AN7" s="432" t="s">
        <v>43</v>
      </c>
      <c r="AO7" s="432" t="s">
        <v>43</v>
      </c>
      <c r="AP7" s="432" t="s">
        <v>43</v>
      </c>
      <c r="AQ7" s="482"/>
      <c r="AR7" s="482"/>
      <c r="AS7" s="482"/>
      <c r="AT7" s="436" t="str">
        <f t="shared" ref="AT7:AT55" si="0">D7&amp;"/"&amp;B7</f>
        <v>/</v>
      </c>
      <c r="AU7" s="437">
        <f>IF(C7="","",IF(C7&lt;&gt;"",COUNTA($C$6:C7)))</f>
        <v>2</v>
      </c>
    </row>
    <row r="8" spans="1:47" ht="30" customHeight="1">
      <c r="A8" s="435">
        <v>3</v>
      </c>
      <c r="B8" s="428"/>
      <c r="C8" s="429" t="s">
        <v>740</v>
      </c>
      <c r="D8" s="430"/>
      <c r="E8" s="429" t="s">
        <v>740</v>
      </c>
      <c r="F8" s="430"/>
      <c r="G8" s="430"/>
      <c r="H8" s="430"/>
      <c r="I8" s="429"/>
      <c r="J8" s="430"/>
      <c r="K8" s="430"/>
      <c r="L8" s="432"/>
      <c r="M8" s="506"/>
      <c r="N8" s="428"/>
      <c r="O8" s="429"/>
      <c r="P8" s="430"/>
      <c r="Q8" s="429"/>
      <c r="R8" s="429"/>
      <c r="S8" s="429"/>
      <c r="T8" s="429"/>
      <c r="U8" s="430"/>
      <c r="V8" s="429"/>
      <c r="W8" s="429"/>
      <c r="X8" s="429"/>
      <c r="Y8" s="429"/>
      <c r="Z8" s="429"/>
      <c r="AA8" s="429"/>
      <c r="AB8" s="429"/>
      <c r="AC8" s="429"/>
      <c r="AD8" s="429"/>
      <c r="AE8" s="429"/>
      <c r="AF8" s="429"/>
      <c r="AG8" s="431"/>
      <c r="AH8" s="431"/>
      <c r="AI8" s="479" t="s">
        <v>661</v>
      </c>
      <c r="AJ8" s="432" t="s">
        <v>43</v>
      </c>
      <c r="AK8" s="432" t="s">
        <v>43</v>
      </c>
      <c r="AL8" s="432" t="s">
        <v>43</v>
      </c>
      <c r="AM8" s="432" t="s">
        <v>43</v>
      </c>
      <c r="AN8" s="432" t="s">
        <v>43</v>
      </c>
      <c r="AO8" s="432" t="s">
        <v>43</v>
      </c>
      <c r="AP8" s="432" t="s">
        <v>43</v>
      </c>
      <c r="AQ8" s="482"/>
      <c r="AR8" s="482"/>
      <c r="AS8" s="482"/>
      <c r="AT8" s="436" t="str">
        <f t="shared" si="0"/>
        <v>/</v>
      </c>
      <c r="AU8" s="437">
        <f>IF(C8="","",IF(C8&lt;&gt;"",COUNTA($C$6:C8)))</f>
        <v>3</v>
      </c>
    </row>
    <row r="9" spans="1:47" ht="30" customHeight="1">
      <c r="A9" s="435">
        <v>4</v>
      </c>
      <c r="B9" s="428"/>
      <c r="C9" s="429" t="s">
        <v>741</v>
      </c>
      <c r="D9" s="430"/>
      <c r="E9" s="429" t="s">
        <v>741</v>
      </c>
      <c r="F9" s="430"/>
      <c r="G9" s="430"/>
      <c r="H9" s="430"/>
      <c r="I9" s="429"/>
      <c r="J9" s="430"/>
      <c r="K9" s="430"/>
      <c r="L9" s="432"/>
      <c r="M9" s="506"/>
      <c r="N9" s="428"/>
      <c r="O9" s="429"/>
      <c r="P9" s="430"/>
      <c r="Q9" s="429"/>
      <c r="R9" s="429"/>
      <c r="S9" s="429"/>
      <c r="T9" s="429"/>
      <c r="U9" s="430"/>
      <c r="V9" s="429"/>
      <c r="W9" s="429"/>
      <c r="X9" s="429"/>
      <c r="Y9" s="429"/>
      <c r="Z9" s="429"/>
      <c r="AA9" s="429"/>
      <c r="AB9" s="429"/>
      <c r="AC9" s="429"/>
      <c r="AD9" s="429"/>
      <c r="AE9" s="429"/>
      <c r="AF9" s="429"/>
      <c r="AG9" s="431"/>
      <c r="AH9" s="431"/>
      <c r="AI9" s="479" t="s">
        <v>661</v>
      </c>
      <c r="AJ9" s="432" t="s">
        <v>43</v>
      </c>
      <c r="AK9" s="432" t="s">
        <v>43</v>
      </c>
      <c r="AL9" s="432" t="s">
        <v>43</v>
      </c>
      <c r="AM9" s="432" t="s">
        <v>43</v>
      </c>
      <c r="AN9" s="432" t="s">
        <v>43</v>
      </c>
      <c r="AO9" s="432" t="s">
        <v>43</v>
      </c>
      <c r="AP9" s="432" t="s">
        <v>43</v>
      </c>
      <c r="AQ9" s="482"/>
      <c r="AR9" s="482"/>
      <c r="AS9" s="482"/>
      <c r="AT9" s="436" t="str">
        <f t="shared" si="0"/>
        <v>/</v>
      </c>
      <c r="AU9" s="437">
        <f>IF(C9="","",IF(C9&lt;&gt;"",COUNTA($C$6:C9)))</f>
        <v>4</v>
      </c>
    </row>
    <row r="10" spans="1:47" ht="30" customHeight="1">
      <c r="A10" s="435">
        <v>5</v>
      </c>
      <c r="B10" s="428"/>
      <c r="C10" s="429" t="s">
        <v>742</v>
      </c>
      <c r="D10" s="430"/>
      <c r="E10" s="429" t="s">
        <v>742</v>
      </c>
      <c r="F10" s="430"/>
      <c r="G10" s="430"/>
      <c r="H10" s="430"/>
      <c r="I10" s="429"/>
      <c r="J10" s="430"/>
      <c r="K10" s="430"/>
      <c r="L10" s="432"/>
      <c r="M10" s="506"/>
      <c r="N10" s="428"/>
      <c r="O10" s="429"/>
      <c r="P10" s="430"/>
      <c r="Q10" s="429"/>
      <c r="R10" s="429"/>
      <c r="S10" s="429"/>
      <c r="T10" s="429"/>
      <c r="U10" s="430"/>
      <c r="V10" s="429"/>
      <c r="W10" s="429"/>
      <c r="X10" s="429"/>
      <c r="Y10" s="429"/>
      <c r="Z10" s="429"/>
      <c r="AA10" s="429"/>
      <c r="AB10" s="429"/>
      <c r="AC10" s="429"/>
      <c r="AD10" s="429"/>
      <c r="AE10" s="429"/>
      <c r="AF10" s="429"/>
      <c r="AG10" s="431"/>
      <c r="AH10" s="431"/>
      <c r="AI10" s="479" t="s">
        <v>661</v>
      </c>
      <c r="AJ10" s="432" t="s">
        <v>43</v>
      </c>
      <c r="AK10" s="432" t="s">
        <v>43</v>
      </c>
      <c r="AL10" s="432" t="s">
        <v>43</v>
      </c>
      <c r="AM10" s="432" t="s">
        <v>43</v>
      </c>
      <c r="AN10" s="432" t="s">
        <v>43</v>
      </c>
      <c r="AO10" s="432" t="s">
        <v>43</v>
      </c>
      <c r="AP10" s="432" t="s">
        <v>43</v>
      </c>
      <c r="AQ10" s="482"/>
      <c r="AR10" s="482"/>
      <c r="AS10" s="482"/>
      <c r="AT10" s="436" t="str">
        <f t="shared" si="0"/>
        <v>/</v>
      </c>
      <c r="AU10" s="437">
        <f>IF(C10="","",IF(C10&lt;&gt;"",COUNTA($C$6:C10)))</f>
        <v>5</v>
      </c>
    </row>
    <row r="11" spans="1:47" ht="30" customHeight="1">
      <c r="A11" s="435">
        <v>6</v>
      </c>
      <c r="B11" s="428"/>
      <c r="C11" s="429" t="s">
        <v>743</v>
      </c>
      <c r="D11" s="430"/>
      <c r="E11" s="429" t="s">
        <v>743</v>
      </c>
      <c r="F11" s="430"/>
      <c r="G11" s="430"/>
      <c r="H11" s="430"/>
      <c r="I11" s="429"/>
      <c r="J11" s="430"/>
      <c r="K11" s="430"/>
      <c r="L11" s="432"/>
      <c r="M11" s="506"/>
      <c r="N11" s="428"/>
      <c r="O11" s="429"/>
      <c r="P11" s="430"/>
      <c r="Q11" s="429"/>
      <c r="R11" s="429"/>
      <c r="S11" s="429"/>
      <c r="T11" s="429"/>
      <c r="U11" s="430"/>
      <c r="V11" s="429"/>
      <c r="W11" s="429"/>
      <c r="X11" s="429"/>
      <c r="Y11" s="429"/>
      <c r="Z11" s="429"/>
      <c r="AA11" s="429"/>
      <c r="AB11" s="429"/>
      <c r="AC11" s="429"/>
      <c r="AD11" s="429"/>
      <c r="AE11" s="429"/>
      <c r="AF11" s="429"/>
      <c r="AG11" s="431"/>
      <c r="AH11" s="431"/>
      <c r="AI11" s="479" t="s">
        <v>661</v>
      </c>
      <c r="AJ11" s="432" t="s">
        <v>43</v>
      </c>
      <c r="AK11" s="432" t="s">
        <v>43</v>
      </c>
      <c r="AL11" s="432" t="s">
        <v>43</v>
      </c>
      <c r="AM11" s="432" t="s">
        <v>43</v>
      </c>
      <c r="AN11" s="432" t="s">
        <v>43</v>
      </c>
      <c r="AO11" s="432" t="s">
        <v>43</v>
      </c>
      <c r="AP11" s="432" t="s">
        <v>43</v>
      </c>
      <c r="AQ11" s="482"/>
      <c r="AR11" s="482"/>
      <c r="AS11" s="482"/>
      <c r="AT11" s="436" t="str">
        <f t="shared" si="0"/>
        <v>/</v>
      </c>
      <c r="AU11" s="437">
        <f>IF(C11="","",IF(C11&lt;&gt;"",COUNTA($C$6:C11)))</f>
        <v>6</v>
      </c>
    </row>
    <row r="12" spans="1:47" ht="30" customHeight="1">
      <c r="A12" s="435">
        <v>7</v>
      </c>
      <c r="B12" s="428"/>
      <c r="C12" s="429" t="s">
        <v>744</v>
      </c>
      <c r="D12" s="430"/>
      <c r="E12" s="429" t="s">
        <v>744</v>
      </c>
      <c r="F12" s="430"/>
      <c r="G12" s="430"/>
      <c r="H12" s="430"/>
      <c r="I12" s="429"/>
      <c r="J12" s="430"/>
      <c r="K12" s="430"/>
      <c r="L12" s="432"/>
      <c r="M12" s="506"/>
      <c r="N12" s="428"/>
      <c r="O12" s="429"/>
      <c r="P12" s="430"/>
      <c r="Q12" s="429"/>
      <c r="R12" s="429"/>
      <c r="S12" s="429"/>
      <c r="T12" s="429"/>
      <c r="U12" s="430"/>
      <c r="V12" s="429"/>
      <c r="W12" s="429"/>
      <c r="X12" s="429"/>
      <c r="Y12" s="429"/>
      <c r="Z12" s="429"/>
      <c r="AA12" s="429"/>
      <c r="AB12" s="429"/>
      <c r="AC12" s="429"/>
      <c r="AD12" s="429"/>
      <c r="AE12" s="429"/>
      <c r="AF12" s="429"/>
      <c r="AG12" s="431"/>
      <c r="AH12" s="431"/>
      <c r="AI12" s="479" t="s">
        <v>661</v>
      </c>
      <c r="AJ12" s="432" t="s">
        <v>43</v>
      </c>
      <c r="AK12" s="432" t="s">
        <v>43</v>
      </c>
      <c r="AL12" s="432" t="s">
        <v>43</v>
      </c>
      <c r="AM12" s="432" t="s">
        <v>43</v>
      </c>
      <c r="AN12" s="432" t="s">
        <v>43</v>
      </c>
      <c r="AO12" s="432" t="s">
        <v>43</v>
      </c>
      <c r="AP12" s="432" t="s">
        <v>43</v>
      </c>
      <c r="AQ12" s="482"/>
      <c r="AR12" s="482"/>
      <c r="AS12" s="482"/>
      <c r="AT12" s="436" t="str">
        <f t="shared" si="0"/>
        <v>/</v>
      </c>
      <c r="AU12" s="437">
        <f>IF(C12="","",IF(C12&lt;&gt;"",COUNTA($C$6:C12)))</f>
        <v>7</v>
      </c>
    </row>
    <row r="13" spans="1:47" ht="30" customHeight="1">
      <c r="A13" s="435">
        <v>8</v>
      </c>
      <c r="B13" s="428"/>
      <c r="C13" s="429" t="s">
        <v>745</v>
      </c>
      <c r="D13" s="430"/>
      <c r="E13" s="429" t="s">
        <v>745</v>
      </c>
      <c r="F13" s="430"/>
      <c r="G13" s="430"/>
      <c r="H13" s="430"/>
      <c r="I13" s="429"/>
      <c r="J13" s="430"/>
      <c r="K13" s="430"/>
      <c r="L13" s="432"/>
      <c r="M13" s="506"/>
      <c r="N13" s="428"/>
      <c r="O13" s="429"/>
      <c r="P13" s="430"/>
      <c r="Q13" s="429"/>
      <c r="R13" s="429"/>
      <c r="S13" s="429"/>
      <c r="T13" s="429"/>
      <c r="U13" s="430"/>
      <c r="V13" s="429"/>
      <c r="W13" s="429"/>
      <c r="X13" s="429"/>
      <c r="Y13" s="429"/>
      <c r="Z13" s="429"/>
      <c r="AA13" s="429"/>
      <c r="AB13" s="429"/>
      <c r="AC13" s="429"/>
      <c r="AD13" s="429"/>
      <c r="AE13" s="429"/>
      <c r="AF13" s="429"/>
      <c r="AG13" s="431"/>
      <c r="AH13" s="431"/>
      <c r="AI13" s="479" t="s">
        <v>661</v>
      </c>
      <c r="AJ13" s="432" t="s">
        <v>43</v>
      </c>
      <c r="AK13" s="432" t="s">
        <v>43</v>
      </c>
      <c r="AL13" s="432" t="s">
        <v>43</v>
      </c>
      <c r="AM13" s="432" t="s">
        <v>43</v>
      </c>
      <c r="AN13" s="432" t="s">
        <v>43</v>
      </c>
      <c r="AO13" s="432" t="s">
        <v>43</v>
      </c>
      <c r="AP13" s="432" t="s">
        <v>43</v>
      </c>
      <c r="AQ13" s="482"/>
      <c r="AR13" s="482"/>
      <c r="AS13" s="482"/>
      <c r="AT13" s="436" t="str">
        <f t="shared" si="0"/>
        <v>/</v>
      </c>
      <c r="AU13" s="437">
        <f>IF(C13="","",IF(C13&lt;&gt;"",COUNTA($C$6:C13)))</f>
        <v>8</v>
      </c>
    </row>
    <row r="14" spans="1:47" ht="30" customHeight="1">
      <c r="A14" s="435">
        <v>9</v>
      </c>
      <c r="B14" s="428"/>
      <c r="C14" s="429" t="s">
        <v>746</v>
      </c>
      <c r="D14" s="430"/>
      <c r="E14" s="429" t="s">
        <v>746</v>
      </c>
      <c r="F14" s="430"/>
      <c r="G14" s="430"/>
      <c r="H14" s="430"/>
      <c r="I14" s="429"/>
      <c r="J14" s="430"/>
      <c r="K14" s="430"/>
      <c r="L14" s="432"/>
      <c r="M14" s="506"/>
      <c r="N14" s="428"/>
      <c r="O14" s="429"/>
      <c r="P14" s="430"/>
      <c r="Q14" s="429"/>
      <c r="R14" s="429"/>
      <c r="S14" s="429"/>
      <c r="T14" s="429"/>
      <c r="U14" s="430"/>
      <c r="V14" s="429"/>
      <c r="W14" s="429"/>
      <c r="X14" s="429"/>
      <c r="Y14" s="429"/>
      <c r="Z14" s="429"/>
      <c r="AA14" s="429"/>
      <c r="AB14" s="429"/>
      <c r="AC14" s="429"/>
      <c r="AD14" s="429"/>
      <c r="AE14" s="429"/>
      <c r="AF14" s="429"/>
      <c r="AG14" s="431"/>
      <c r="AH14" s="431"/>
      <c r="AI14" s="479" t="s">
        <v>661</v>
      </c>
      <c r="AJ14" s="432" t="s">
        <v>43</v>
      </c>
      <c r="AK14" s="432" t="s">
        <v>43</v>
      </c>
      <c r="AL14" s="432" t="s">
        <v>43</v>
      </c>
      <c r="AM14" s="432" t="s">
        <v>43</v>
      </c>
      <c r="AN14" s="432" t="s">
        <v>43</v>
      </c>
      <c r="AO14" s="432" t="s">
        <v>43</v>
      </c>
      <c r="AP14" s="432" t="s">
        <v>43</v>
      </c>
      <c r="AQ14" s="482"/>
      <c r="AR14" s="482"/>
      <c r="AS14" s="482"/>
      <c r="AT14" s="436" t="str">
        <f t="shared" si="0"/>
        <v>/</v>
      </c>
      <c r="AU14" s="437">
        <f>IF(C14="","",IF(C14&lt;&gt;"",COUNTA($C$6:C14)))</f>
        <v>9</v>
      </c>
    </row>
    <row r="15" spans="1:47" ht="30" customHeight="1">
      <c r="A15" s="435">
        <v>10</v>
      </c>
      <c r="B15" s="428"/>
      <c r="C15" s="429" t="s">
        <v>747</v>
      </c>
      <c r="D15" s="430"/>
      <c r="E15" s="429" t="s">
        <v>747</v>
      </c>
      <c r="F15" s="430"/>
      <c r="G15" s="430"/>
      <c r="H15" s="430"/>
      <c r="I15" s="429"/>
      <c r="J15" s="430"/>
      <c r="K15" s="430"/>
      <c r="L15" s="432"/>
      <c r="M15" s="506"/>
      <c r="N15" s="428"/>
      <c r="O15" s="429"/>
      <c r="P15" s="430"/>
      <c r="Q15" s="429"/>
      <c r="R15" s="429"/>
      <c r="S15" s="429"/>
      <c r="T15" s="429"/>
      <c r="U15" s="430"/>
      <c r="V15" s="429"/>
      <c r="W15" s="429"/>
      <c r="X15" s="429"/>
      <c r="Y15" s="429"/>
      <c r="Z15" s="429"/>
      <c r="AA15" s="429"/>
      <c r="AB15" s="429"/>
      <c r="AC15" s="429"/>
      <c r="AD15" s="429"/>
      <c r="AE15" s="429"/>
      <c r="AF15" s="429"/>
      <c r="AG15" s="431"/>
      <c r="AH15" s="431"/>
      <c r="AI15" s="479" t="s">
        <v>661</v>
      </c>
      <c r="AJ15" s="432" t="s">
        <v>43</v>
      </c>
      <c r="AK15" s="432" t="s">
        <v>43</v>
      </c>
      <c r="AL15" s="432" t="s">
        <v>43</v>
      </c>
      <c r="AM15" s="432" t="s">
        <v>43</v>
      </c>
      <c r="AN15" s="432" t="s">
        <v>43</v>
      </c>
      <c r="AO15" s="432" t="s">
        <v>43</v>
      </c>
      <c r="AP15" s="432" t="s">
        <v>43</v>
      </c>
      <c r="AQ15" s="482"/>
      <c r="AR15" s="482"/>
      <c r="AS15" s="482"/>
      <c r="AT15" s="436" t="str">
        <f t="shared" si="0"/>
        <v>/</v>
      </c>
      <c r="AU15" s="437">
        <f>IF(C15="","",IF(C15&lt;&gt;"",COUNTA($C$6:C15)))</f>
        <v>10</v>
      </c>
    </row>
    <row r="16" spans="1:47" ht="30" customHeight="1">
      <c r="A16" s="435">
        <v>11</v>
      </c>
      <c r="B16" s="428"/>
      <c r="C16" s="429" t="s">
        <v>748</v>
      </c>
      <c r="D16" s="430"/>
      <c r="E16" s="429" t="s">
        <v>748</v>
      </c>
      <c r="F16" s="430"/>
      <c r="G16" s="430"/>
      <c r="H16" s="430"/>
      <c r="I16" s="429"/>
      <c r="J16" s="430"/>
      <c r="K16" s="430"/>
      <c r="L16" s="432"/>
      <c r="M16" s="506"/>
      <c r="N16" s="428"/>
      <c r="O16" s="429"/>
      <c r="P16" s="430"/>
      <c r="Q16" s="429"/>
      <c r="R16" s="429"/>
      <c r="S16" s="429"/>
      <c r="T16" s="429"/>
      <c r="U16" s="430"/>
      <c r="V16" s="429"/>
      <c r="W16" s="429"/>
      <c r="X16" s="429"/>
      <c r="Y16" s="429"/>
      <c r="Z16" s="429"/>
      <c r="AA16" s="429"/>
      <c r="AB16" s="429"/>
      <c r="AC16" s="429"/>
      <c r="AD16" s="429"/>
      <c r="AE16" s="429"/>
      <c r="AF16" s="429"/>
      <c r="AG16" s="431"/>
      <c r="AH16" s="431"/>
      <c r="AI16" s="479" t="s">
        <v>661</v>
      </c>
      <c r="AJ16" s="432" t="s">
        <v>43</v>
      </c>
      <c r="AK16" s="432" t="s">
        <v>43</v>
      </c>
      <c r="AL16" s="432" t="s">
        <v>43</v>
      </c>
      <c r="AM16" s="432" t="s">
        <v>43</v>
      </c>
      <c r="AN16" s="432" t="s">
        <v>43</v>
      </c>
      <c r="AO16" s="432" t="s">
        <v>43</v>
      </c>
      <c r="AP16" s="432" t="s">
        <v>43</v>
      </c>
      <c r="AQ16" s="482"/>
      <c r="AR16" s="482"/>
      <c r="AS16" s="482"/>
      <c r="AT16" s="436" t="str">
        <f t="shared" si="0"/>
        <v>/</v>
      </c>
      <c r="AU16" s="437">
        <f>IF(C16="","",IF(C16&lt;&gt;"",COUNTA($C$6:C16)))</f>
        <v>11</v>
      </c>
    </row>
    <row r="17" spans="1:47" ht="30" customHeight="1">
      <c r="A17" s="435">
        <v>12</v>
      </c>
      <c r="B17" s="428"/>
      <c r="C17" s="429" t="s">
        <v>749</v>
      </c>
      <c r="D17" s="430"/>
      <c r="E17" s="429" t="s">
        <v>749</v>
      </c>
      <c r="F17" s="430"/>
      <c r="G17" s="430"/>
      <c r="H17" s="430"/>
      <c r="I17" s="429"/>
      <c r="J17" s="430"/>
      <c r="K17" s="430"/>
      <c r="L17" s="432"/>
      <c r="M17" s="506"/>
      <c r="N17" s="428"/>
      <c r="O17" s="429"/>
      <c r="P17" s="430"/>
      <c r="Q17" s="429"/>
      <c r="R17" s="429"/>
      <c r="S17" s="429"/>
      <c r="T17" s="429"/>
      <c r="U17" s="430"/>
      <c r="V17" s="429"/>
      <c r="W17" s="429"/>
      <c r="X17" s="429"/>
      <c r="Y17" s="429"/>
      <c r="Z17" s="429"/>
      <c r="AA17" s="429"/>
      <c r="AB17" s="429"/>
      <c r="AC17" s="429"/>
      <c r="AD17" s="429"/>
      <c r="AE17" s="429"/>
      <c r="AF17" s="429"/>
      <c r="AG17" s="431"/>
      <c r="AH17" s="431"/>
      <c r="AI17" s="479" t="s">
        <v>661</v>
      </c>
      <c r="AJ17" s="432" t="s">
        <v>43</v>
      </c>
      <c r="AK17" s="432" t="s">
        <v>43</v>
      </c>
      <c r="AL17" s="432" t="s">
        <v>43</v>
      </c>
      <c r="AM17" s="432" t="s">
        <v>43</v>
      </c>
      <c r="AN17" s="432" t="s">
        <v>43</v>
      </c>
      <c r="AO17" s="432" t="s">
        <v>43</v>
      </c>
      <c r="AP17" s="432" t="s">
        <v>43</v>
      </c>
      <c r="AQ17" s="482"/>
      <c r="AR17" s="482"/>
      <c r="AS17" s="482"/>
      <c r="AT17" s="436" t="str">
        <f t="shared" si="0"/>
        <v>/</v>
      </c>
      <c r="AU17" s="437">
        <f>IF(C17="","",IF(C17&lt;&gt;"",COUNTA($C$6:C17)))</f>
        <v>12</v>
      </c>
    </row>
    <row r="18" spans="1:47" ht="30" customHeight="1">
      <c r="A18" s="435">
        <v>13</v>
      </c>
      <c r="B18" s="428"/>
      <c r="C18" s="429" t="s">
        <v>750</v>
      </c>
      <c r="D18" s="430"/>
      <c r="E18" s="429" t="s">
        <v>750</v>
      </c>
      <c r="F18" s="430"/>
      <c r="G18" s="430"/>
      <c r="H18" s="430"/>
      <c r="I18" s="429"/>
      <c r="J18" s="430"/>
      <c r="K18" s="430"/>
      <c r="L18" s="432"/>
      <c r="M18" s="506"/>
      <c r="N18" s="428"/>
      <c r="O18" s="429"/>
      <c r="P18" s="430"/>
      <c r="Q18" s="429"/>
      <c r="R18" s="429"/>
      <c r="S18" s="429"/>
      <c r="T18" s="429"/>
      <c r="U18" s="430"/>
      <c r="V18" s="429"/>
      <c r="W18" s="429"/>
      <c r="X18" s="429"/>
      <c r="Y18" s="429"/>
      <c r="Z18" s="429"/>
      <c r="AA18" s="429"/>
      <c r="AB18" s="429"/>
      <c r="AC18" s="429"/>
      <c r="AD18" s="429"/>
      <c r="AE18" s="429"/>
      <c r="AF18" s="429"/>
      <c r="AG18" s="431"/>
      <c r="AH18" s="431"/>
      <c r="AI18" s="479" t="s">
        <v>661</v>
      </c>
      <c r="AJ18" s="432" t="s">
        <v>43</v>
      </c>
      <c r="AK18" s="432" t="s">
        <v>43</v>
      </c>
      <c r="AL18" s="432" t="s">
        <v>43</v>
      </c>
      <c r="AM18" s="432" t="s">
        <v>43</v>
      </c>
      <c r="AN18" s="432" t="s">
        <v>43</v>
      </c>
      <c r="AO18" s="432" t="s">
        <v>43</v>
      </c>
      <c r="AP18" s="432" t="s">
        <v>43</v>
      </c>
      <c r="AQ18" s="482"/>
      <c r="AR18" s="482"/>
      <c r="AS18" s="482"/>
      <c r="AT18" s="436" t="str">
        <f t="shared" si="0"/>
        <v>/</v>
      </c>
      <c r="AU18" s="437">
        <f>IF(C18="","",IF(C18&lt;&gt;"",COUNTA($C$6:C18)))</f>
        <v>13</v>
      </c>
    </row>
    <row r="19" spans="1:47" ht="30" customHeight="1">
      <c r="A19" s="435">
        <v>14</v>
      </c>
      <c r="B19" s="428"/>
      <c r="C19" s="429" t="s">
        <v>751</v>
      </c>
      <c r="D19" s="430"/>
      <c r="E19" s="429" t="s">
        <v>751</v>
      </c>
      <c r="F19" s="430"/>
      <c r="G19" s="430"/>
      <c r="H19" s="430"/>
      <c r="I19" s="429"/>
      <c r="J19" s="430"/>
      <c r="K19" s="430"/>
      <c r="L19" s="432"/>
      <c r="M19" s="506"/>
      <c r="N19" s="428"/>
      <c r="O19" s="429"/>
      <c r="P19" s="430"/>
      <c r="Q19" s="429"/>
      <c r="R19" s="429"/>
      <c r="S19" s="429"/>
      <c r="T19" s="429"/>
      <c r="U19" s="430"/>
      <c r="V19" s="429"/>
      <c r="W19" s="429"/>
      <c r="X19" s="429"/>
      <c r="Y19" s="429"/>
      <c r="Z19" s="429"/>
      <c r="AA19" s="429"/>
      <c r="AB19" s="429"/>
      <c r="AC19" s="429"/>
      <c r="AD19" s="429"/>
      <c r="AE19" s="429"/>
      <c r="AF19" s="429"/>
      <c r="AG19" s="431"/>
      <c r="AH19" s="431"/>
      <c r="AI19" s="479" t="s">
        <v>661</v>
      </c>
      <c r="AJ19" s="432" t="s">
        <v>43</v>
      </c>
      <c r="AK19" s="432" t="s">
        <v>43</v>
      </c>
      <c r="AL19" s="432" t="s">
        <v>43</v>
      </c>
      <c r="AM19" s="432" t="s">
        <v>43</v>
      </c>
      <c r="AN19" s="432" t="s">
        <v>43</v>
      </c>
      <c r="AO19" s="432" t="s">
        <v>43</v>
      </c>
      <c r="AP19" s="432" t="s">
        <v>43</v>
      </c>
      <c r="AQ19" s="482"/>
      <c r="AR19" s="482"/>
      <c r="AS19" s="482"/>
      <c r="AT19" s="436" t="str">
        <f t="shared" si="0"/>
        <v>/</v>
      </c>
      <c r="AU19" s="437">
        <f>IF(C19="","",IF(C19&lt;&gt;"",COUNTA($C$6:C19)))</f>
        <v>14</v>
      </c>
    </row>
    <row r="20" spans="1:47" ht="30" customHeight="1">
      <c r="A20" s="435">
        <v>15</v>
      </c>
      <c r="B20" s="428"/>
      <c r="C20" s="429" t="s">
        <v>752</v>
      </c>
      <c r="D20" s="430"/>
      <c r="E20" s="429" t="s">
        <v>752</v>
      </c>
      <c r="F20" s="430"/>
      <c r="G20" s="430"/>
      <c r="H20" s="430"/>
      <c r="I20" s="429"/>
      <c r="J20" s="430"/>
      <c r="K20" s="430"/>
      <c r="L20" s="432"/>
      <c r="M20" s="506"/>
      <c r="N20" s="428"/>
      <c r="O20" s="429"/>
      <c r="P20" s="430"/>
      <c r="Q20" s="429"/>
      <c r="R20" s="429"/>
      <c r="S20" s="429"/>
      <c r="T20" s="429"/>
      <c r="U20" s="430"/>
      <c r="V20" s="429"/>
      <c r="W20" s="429"/>
      <c r="X20" s="429"/>
      <c r="Y20" s="429"/>
      <c r="Z20" s="429"/>
      <c r="AA20" s="429"/>
      <c r="AB20" s="429"/>
      <c r="AC20" s="429"/>
      <c r="AD20" s="429"/>
      <c r="AE20" s="429"/>
      <c r="AF20" s="429"/>
      <c r="AG20" s="431"/>
      <c r="AH20" s="431"/>
      <c r="AI20" s="479" t="s">
        <v>661</v>
      </c>
      <c r="AJ20" s="432" t="s">
        <v>43</v>
      </c>
      <c r="AK20" s="432" t="s">
        <v>43</v>
      </c>
      <c r="AL20" s="432" t="s">
        <v>43</v>
      </c>
      <c r="AM20" s="432" t="s">
        <v>43</v>
      </c>
      <c r="AN20" s="432" t="s">
        <v>43</v>
      </c>
      <c r="AO20" s="432" t="s">
        <v>43</v>
      </c>
      <c r="AP20" s="432" t="s">
        <v>43</v>
      </c>
      <c r="AQ20" s="482"/>
      <c r="AR20" s="482"/>
      <c r="AS20" s="482"/>
      <c r="AT20" s="436" t="str">
        <f t="shared" si="0"/>
        <v>/</v>
      </c>
      <c r="AU20" s="437">
        <f>IF(C20="","",IF(C20&lt;&gt;"",COUNTA($C$6:C20)))</f>
        <v>15</v>
      </c>
    </row>
    <row r="21" spans="1:47" ht="30" customHeight="1">
      <c r="A21" s="435">
        <v>16</v>
      </c>
      <c r="B21" s="428"/>
      <c r="C21" s="429" t="s">
        <v>753</v>
      </c>
      <c r="D21" s="430"/>
      <c r="E21" s="429" t="s">
        <v>753</v>
      </c>
      <c r="F21" s="430"/>
      <c r="G21" s="430"/>
      <c r="H21" s="430"/>
      <c r="I21" s="429"/>
      <c r="J21" s="430"/>
      <c r="K21" s="430"/>
      <c r="L21" s="432"/>
      <c r="M21" s="506"/>
      <c r="N21" s="428"/>
      <c r="O21" s="429"/>
      <c r="P21" s="430"/>
      <c r="Q21" s="429"/>
      <c r="R21" s="429"/>
      <c r="S21" s="429"/>
      <c r="T21" s="429"/>
      <c r="U21" s="430"/>
      <c r="V21" s="429"/>
      <c r="W21" s="429"/>
      <c r="X21" s="429"/>
      <c r="Y21" s="429"/>
      <c r="Z21" s="429"/>
      <c r="AA21" s="429"/>
      <c r="AB21" s="429"/>
      <c r="AC21" s="429"/>
      <c r="AD21" s="429"/>
      <c r="AE21" s="429"/>
      <c r="AF21" s="429"/>
      <c r="AG21" s="431"/>
      <c r="AH21" s="431"/>
      <c r="AI21" s="479" t="s">
        <v>661</v>
      </c>
      <c r="AJ21" s="432" t="s">
        <v>43</v>
      </c>
      <c r="AK21" s="432" t="s">
        <v>43</v>
      </c>
      <c r="AL21" s="432" t="s">
        <v>43</v>
      </c>
      <c r="AM21" s="432" t="s">
        <v>43</v>
      </c>
      <c r="AN21" s="432" t="s">
        <v>43</v>
      </c>
      <c r="AO21" s="432" t="s">
        <v>43</v>
      </c>
      <c r="AP21" s="432" t="s">
        <v>43</v>
      </c>
      <c r="AQ21" s="482"/>
      <c r="AR21" s="482"/>
      <c r="AS21" s="482"/>
      <c r="AT21" s="436" t="str">
        <f t="shared" si="0"/>
        <v>/</v>
      </c>
      <c r="AU21" s="437">
        <f>IF(C21="","",IF(C21&lt;&gt;"",COUNTA($C$6:C21)))</f>
        <v>16</v>
      </c>
    </row>
    <row r="22" spans="1:47" ht="30" customHeight="1">
      <c r="A22" s="435">
        <v>17</v>
      </c>
      <c r="B22" s="428"/>
      <c r="C22" s="429" t="s">
        <v>754</v>
      </c>
      <c r="D22" s="430"/>
      <c r="E22" s="429" t="s">
        <v>754</v>
      </c>
      <c r="F22" s="430"/>
      <c r="G22" s="430"/>
      <c r="H22" s="430"/>
      <c r="I22" s="429"/>
      <c r="J22" s="430"/>
      <c r="K22" s="430"/>
      <c r="L22" s="432"/>
      <c r="M22" s="506"/>
      <c r="N22" s="428"/>
      <c r="O22" s="429"/>
      <c r="P22" s="430"/>
      <c r="Q22" s="429"/>
      <c r="R22" s="429"/>
      <c r="S22" s="429"/>
      <c r="T22" s="429"/>
      <c r="U22" s="430"/>
      <c r="V22" s="429"/>
      <c r="W22" s="429"/>
      <c r="X22" s="429"/>
      <c r="Y22" s="429"/>
      <c r="Z22" s="429"/>
      <c r="AA22" s="429"/>
      <c r="AB22" s="429"/>
      <c r="AC22" s="429"/>
      <c r="AD22" s="429"/>
      <c r="AE22" s="429"/>
      <c r="AF22" s="429"/>
      <c r="AG22" s="431"/>
      <c r="AH22" s="431"/>
      <c r="AI22" s="479" t="s">
        <v>661</v>
      </c>
      <c r="AJ22" s="432" t="s">
        <v>43</v>
      </c>
      <c r="AK22" s="432" t="s">
        <v>43</v>
      </c>
      <c r="AL22" s="432" t="s">
        <v>43</v>
      </c>
      <c r="AM22" s="432" t="s">
        <v>43</v>
      </c>
      <c r="AN22" s="432" t="s">
        <v>43</v>
      </c>
      <c r="AO22" s="432" t="s">
        <v>43</v>
      </c>
      <c r="AP22" s="432" t="s">
        <v>43</v>
      </c>
      <c r="AQ22" s="482"/>
      <c r="AR22" s="482"/>
      <c r="AS22" s="482"/>
      <c r="AT22" s="436" t="str">
        <f t="shared" si="0"/>
        <v>/</v>
      </c>
      <c r="AU22" s="437">
        <f>IF(C22="","",IF(C22&lt;&gt;"",COUNTA($C$6:C22)))</f>
        <v>17</v>
      </c>
    </row>
    <row r="23" spans="1:47" ht="30" customHeight="1">
      <c r="A23" s="435">
        <v>18</v>
      </c>
      <c r="B23" s="428"/>
      <c r="C23" s="429" t="s">
        <v>755</v>
      </c>
      <c r="D23" s="430"/>
      <c r="E23" s="429" t="s">
        <v>755</v>
      </c>
      <c r="F23" s="430"/>
      <c r="G23" s="430"/>
      <c r="H23" s="430"/>
      <c r="I23" s="429"/>
      <c r="J23" s="430"/>
      <c r="K23" s="430"/>
      <c r="L23" s="432"/>
      <c r="M23" s="506"/>
      <c r="N23" s="428"/>
      <c r="O23" s="429"/>
      <c r="P23" s="430"/>
      <c r="Q23" s="429"/>
      <c r="R23" s="429"/>
      <c r="S23" s="429"/>
      <c r="T23" s="429"/>
      <c r="U23" s="430"/>
      <c r="V23" s="429"/>
      <c r="W23" s="429"/>
      <c r="X23" s="429"/>
      <c r="Y23" s="429"/>
      <c r="Z23" s="429"/>
      <c r="AA23" s="429"/>
      <c r="AB23" s="429"/>
      <c r="AC23" s="429"/>
      <c r="AD23" s="429"/>
      <c r="AE23" s="429"/>
      <c r="AF23" s="429"/>
      <c r="AG23" s="431"/>
      <c r="AH23" s="431"/>
      <c r="AI23" s="479" t="s">
        <v>661</v>
      </c>
      <c r="AJ23" s="432" t="s">
        <v>43</v>
      </c>
      <c r="AK23" s="432" t="s">
        <v>43</v>
      </c>
      <c r="AL23" s="432" t="s">
        <v>43</v>
      </c>
      <c r="AM23" s="432" t="s">
        <v>43</v>
      </c>
      <c r="AN23" s="432" t="s">
        <v>43</v>
      </c>
      <c r="AO23" s="432" t="s">
        <v>43</v>
      </c>
      <c r="AP23" s="432" t="s">
        <v>43</v>
      </c>
      <c r="AQ23" s="482"/>
      <c r="AR23" s="482"/>
      <c r="AS23" s="482"/>
      <c r="AT23" s="436" t="str">
        <f t="shared" si="0"/>
        <v>/</v>
      </c>
      <c r="AU23" s="437">
        <f>IF(C23="","",IF(C23&lt;&gt;"",COUNTA($C$6:C23)))</f>
        <v>18</v>
      </c>
    </row>
    <row r="24" spans="1:47" ht="30" customHeight="1">
      <c r="A24" s="435">
        <v>19</v>
      </c>
      <c r="B24" s="428"/>
      <c r="C24" s="429" t="s">
        <v>756</v>
      </c>
      <c r="D24" s="430"/>
      <c r="E24" s="429" t="s">
        <v>756</v>
      </c>
      <c r="F24" s="430"/>
      <c r="G24" s="430"/>
      <c r="H24" s="430"/>
      <c r="I24" s="429"/>
      <c r="J24" s="430"/>
      <c r="K24" s="430"/>
      <c r="L24" s="432"/>
      <c r="M24" s="506"/>
      <c r="N24" s="428"/>
      <c r="O24" s="429"/>
      <c r="P24" s="430"/>
      <c r="Q24" s="429"/>
      <c r="R24" s="429"/>
      <c r="S24" s="429"/>
      <c r="T24" s="429"/>
      <c r="U24" s="430"/>
      <c r="V24" s="429"/>
      <c r="W24" s="429"/>
      <c r="X24" s="429"/>
      <c r="Y24" s="429"/>
      <c r="Z24" s="429"/>
      <c r="AA24" s="429"/>
      <c r="AB24" s="429"/>
      <c r="AC24" s="429"/>
      <c r="AD24" s="429"/>
      <c r="AE24" s="429"/>
      <c r="AF24" s="429"/>
      <c r="AG24" s="431"/>
      <c r="AH24" s="431"/>
      <c r="AI24" s="479" t="s">
        <v>661</v>
      </c>
      <c r="AJ24" s="432" t="s">
        <v>43</v>
      </c>
      <c r="AK24" s="432" t="s">
        <v>43</v>
      </c>
      <c r="AL24" s="432" t="s">
        <v>43</v>
      </c>
      <c r="AM24" s="432" t="s">
        <v>43</v>
      </c>
      <c r="AN24" s="432" t="s">
        <v>43</v>
      </c>
      <c r="AO24" s="432" t="s">
        <v>43</v>
      </c>
      <c r="AP24" s="432" t="s">
        <v>43</v>
      </c>
      <c r="AQ24" s="482"/>
      <c r="AR24" s="482"/>
      <c r="AS24" s="482"/>
      <c r="AT24" s="436" t="str">
        <f t="shared" si="0"/>
        <v>/</v>
      </c>
      <c r="AU24" s="437">
        <f>IF(C24="","",IF(C24&lt;&gt;"",COUNTA($C$6:C24)))</f>
        <v>19</v>
      </c>
    </row>
    <row r="25" spans="1:47" ht="30" customHeight="1">
      <c r="A25" s="435">
        <v>20</v>
      </c>
      <c r="B25" s="428"/>
      <c r="C25" s="429" t="s">
        <v>757</v>
      </c>
      <c r="D25" s="430"/>
      <c r="E25" s="429" t="s">
        <v>757</v>
      </c>
      <c r="F25" s="430"/>
      <c r="G25" s="430"/>
      <c r="H25" s="430"/>
      <c r="I25" s="429"/>
      <c r="J25" s="430"/>
      <c r="K25" s="430"/>
      <c r="L25" s="432"/>
      <c r="M25" s="506"/>
      <c r="N25" s="428"/>
      <c r="O25" s="429"/>
      <c r="P25" s="430"/>
      <c r="Q25" s="429"/>
      <c r="R25" s="429"/>
      <c r="S25" s="429"/>
      <c r="T25" s="429"/>
      <c r="U25" s="430"/>
      <c r="V25" s="429"/>
      <c r="W25" s="429"/>
      <c r="X25" s="429"/>
      <c r="Y25" s="429"/>
      <c r="Z25" s="429"/>
      <c r="AA25" s="429"/>
      <c r="AB25" s="429"/>
      <c r="AC25" s="429"/>
      <c r="AD25" s="429"/>
      <c r="AE25" s="429"/>
      <c r="AF25" s="429"/>
      <c r="AG25" s="431"/>
      <c r="AH25" s="431"/>
      <c r="AI25" s="479" t="s">
        <v>661</v>
      </c>
      <c r="AJ25" s="432" t="s">
        <v>43</v>
      </c>
      <c r="AK25" s="432" t="s">
        <v>43</v>
      </c>
      <c r="AL25" s="432" t="s">
        <v>43</v>
      </c>
      <c r="AM25" s="432" t="s">
        <v>43</v>
      </c>
      <c r="AN25" s="432" t="s">
        <v>43</v>
      </c>
      <c r="AO25" s="432" t="s">
        <v>43</v>
      </c>
      <c r="AP25" s="432" t="s">
        <v>43</v>
      </c>
      <c r="AQ25" s="482"/>
      <c r="AR25" s="482"/>
      <c r="AS25" s="482"/>
      <c r="AT25" s="436" t="str">
        <f t="shared" si="0"/>
        <v>/</v>
      </c>
      <c r="AU25" s="437">
        <f>IF(C25="","",IF(C25&lt;&gt;"",COUNTA($C$6:C25)))</f>
        <v>20</v>
      </c>
    </row>
    <row r="26" spans="1:47" ht="30" customHeight="1">
      <c r="A26" s="435">
        <v>21</v>
      </c>
      <c r="B26" s="428"/>
      <c r="C26" s="429" t="s">
        <v>758</v>
      </c>
      <c r="D26" s="430"/>
      <c r="E26" s="429" t="s">
        <v>758</v>
      </c>
      <c r="F26" s="430"/>
      <c r="G26" s="430"/>
      <c r="H26" s="430"/>
      <c r="I26" s="429"/>
      <c r="J26" s="430"/>
      <c r="K26" s="430"/>
      <c r="L26" s="432"/>
      <c r="M26" s="506"/>
      <c r="N26" s="428"/>
      <c r="O26" s="429"/>
      <c r="P26" s="430"/>
      <c r="Q26" s="429"/>
      <c r="R26" s="429"/>
      <c r="S26" s="429"/>
      <c r="T26" s="429"/>
      <c r="U26" s="430"/>
      <c r="V26" s="429"/>
      <c r="W26" s="429"/>
      <c r="X26" s="429"/>
      <c r="Y26" s="429"/>
      <c r="Z26" s="429"/>
      <c r="AA26" s="429"/>
      <c r="AB26" s="429"/>
      <c r="AC26" s="429"/>
      <c r="AD26" s="429"/>
      <c r="AE26" s="429"/>
      <c r="AF26" s="429"/>
      <c r="AG26" s="431"/>
      <c r="AH26" s="431"/>
      <c r="AI26" s="479" t="s">
        <v>661</v>
      </c>
      <c r="AJ26" s="432" t="s">
        <v>43</v>
      </c>
      <c r="AK26" s="432" t="s">
        <v>43</v>
      </c>
      <c r="AL26" s="432" t="s">
        <v>43</v>
      </c>
      <c r="AM26" s="432" t="s">
        <v>43</v>
      </c>
      <c r="AN26" s="432" t="s">
        <v>43</v>
      </c>
      <c r="AO26" s="432" t="s">
        <v>43</v>
      </c>
      <c r="AP26" s="432" t="s">
        <v>43</v>
      </c>
      <c r="AQ26" s="482"/>
      <c r="AR26" s="482"/>
      <c r="AS26" s="482"/>
      <c r="AT26" s="436" t="str">
        <f t="shared" si="0"/>
        <v>/</v>
      </c>
      <c r="AU26" s="437">
        <f>IF(C26="","",IF(C26&lt;&gt;"",COUNTA($C$6:C26)))</f>
        <v>21</v>
      </c>
    </row>
    <row r="27" spans="1:47" ht="30" customHeight="1">
      <c r="A27" s="435">
        <v>22</v>
      </c>
      <c r="B27" s="428"/>
      <c r="C27" s="429" t="s">
        <v>759</v>
      </c>
      <c r="D27" s="430"/>
      <c r="E27" s="429" t="s">
        <v>759</v>
      </c>
      <c r="F27" s="430"/>
      <c r="G27" s="430"/>
      <c r="H27" s="430"/>
      <c r="I27" s="429"/>
      <c r="J27" s="430"/>
      <c r="K27" s="430"/>
      <c r="L27" s="432"/>
      <c r="M27" s="506"/>
      <c r="N27" s="428"/>
      <c r="O27" s="429"/>
      <c r="P27" s="430"/>
      <c r="Q27" s="429"/>
      <c r="R27" s="429"/>
      <c r="S27" s="429"/>
      <c r="T27" s="429"/>
      <c r="U27" s="430"/>
      <c r="V27" s="429"/>
      <c r="W27" s="429"/>
      <c r="X27" s="429"/>
      <c r="Y27" s="429"/>
      <c r="Z27" s="429"/>
      <c r="AA27" s="429"/>
      <c r="AB27" s="429"/>
      <c r="AC27" s="429"/>
      <c r="AD27" s="429"/>
      <c r="AE27" s="429"/>
      <c r="AF27" s="429"/>
      <c r="AG27" s="431"/>
      <c r="AH27" s="431"/>
      <c r="AI27" s="479" t="s">
        <v>661</v>
      </c>
      <c r="AJ27" s="432" t="s">
        <v>43</v>
      </c>
      <c r="AK27" s="432" t="s">
        <v>43</v>
      </c>
      <c r="AL27" s="432" t="s">
        <v>43</v>
      </c>
      <c r="AM27" s="432" t="s">
        <v>43</v>
      </c>
      <c r="AN27" s="432" t="s">
        <v>43</v>
      </c>
      <c r="AO27" s="432" t="s">
        <v>43</v>
      </c>
      <c r="AP27" s="432" t="s">
        <v>43</v>
      </c>
      <c r="AQ27" s="482"/>
      <c r="AR27" s="482"/>
      <c r="AS27" s="482"/>
      <c r="AT27" s="436" t="str">
        <f t="shared" si="0"/>
        <v>/</v>
      </c>
      <c r="AU27" s="437">
        <f>IF(C27="","",IF(C27&lt;&gt;"",COUNTA($C$6:C27)))</f>
        <v>22</v>
      </c>
    </row>
    <row r="28" spans="1:47" ht="30" customHeight="1">
      <c r="A28" s="435">
        <v>23</v>
      </c>
      <c r="B28" s="428"/>
      <c r="C28" s="429" t="s">
        <v>760</v>
      </c>
      <c r="D28" s="430"/>
      <c r="E28" s="429" t="s">
        <v>760</v>
      </c>
      <c r="F28" s="430"/>
      <c r="G28" s="430"/>
      <c r="H28" s="430"/>
      <c r="I28" s="429"/>
      <c r="J28" s="430"/>
      <c r="K28" s="430"/>
      <c r="L28" s="432"/>
      <c r="M28" s="506"/>
      <c r="N28" s="428"/>
      <c r="O28" s="429"/>
      <c r="P28" s="430"/>
      <c r="Q28" s="429"/>
      <c r="R28" s="429"/>
      <c r="S28" s="429"/>
      <c r="T28" s="429"/>
      <c r="U28" s="430"/>
      <c r="V28" s="429"/>
      <c r="W28" s="429"/>
      <c r="X28" s="429"/>
      <c r="Y28" s="429"/>
      <c r="Z28" s="429"/>
      <c r="AA28" s="429"/>
      <c r="AB28" s="429"/>
      <c r="AC28" s="429"/>
      <c r="AD28" s="429"/>
      <c r="AE28" s="429"/>
      <c r="AF28" s="429"/>
      <c r="AG28" s="431"/>
      <c r="AH28" s="431"/>
      <c r="AI28" s="479" t="s">
        <v>661</v>
      </c>
      <c r="AJ28" s="432" t="s">
        <v>43</v>
      </c>
      <c r="AK28" s="432" t="s">
        <v>43</v>
      </c>
      <c r="AL28" s="432" t="s">
        <v>43</v>
      </c>
      <c r="AM28" s="432" t="s">
        <v>43</v>
      </c>
      <c r="AN28" s="432" t="s">
        <v>43</v>
      </c>
      <c r="AO28" s="432" t="s">
        <v>43</v>
      </c>
      <c r="AP28" s="432" t="s">
        <v>43</v>
      </c>
      <c r="AQ28" s="482"/>
      <c r="AR28" s="482"/>
      <c r="AS28" s="482"/>
      <c r="AT28" s="436" t="str">
        <f t="shared" si="0"/>
        <v>/</v>
      </c>
      <c r="AU28" s="437">
        <f>IF(C28="","",IF(C28&lt;&gt;"",COUNTA($C$6:C28)))</f>
        <v>23</v>
      </c>
    </row>
    <row r="29" spans="1:47" ht="30" customHeight="1">
      <c r="A29" s="435">
        <v>24</v>
      </c>
      <c r="B29" s="428"/>
      <c r="C29" s="429" t="s">
        <v>761</v>
      </c>
      <c r="D29" s="430"/>
      <c r="E29" s="429" t="s">
        <v>761</v>
      </c>
      <c r="F29" s="430"/>
      <c r="G29" s="430"/>
      <c r="H29" s="430"/>
      <c r="I29" s="429"/>
      <c r="J29" s="430"/>
      <c r="K29" s="430"/>
      <c r="L29" s="432"/>
      <c r="M29" s="506"/>
      <c r="N29" s="428"/>
      <c r="O29" s="429"/>
      <c r="P29" s="430"/>
      <c r="Q29" s="429"/>
      <c r="R29" s="429"/>
      <c r="S29" s="429"/>
      <c r="T29" s="429"/>
      <c r="U29" s="430"/>
      <c r="V29" s="429"/>
      <c r="W29" s="429"/>
      <c r="X29" s="429"/>
      <c r="Y29" s="429"/>
      <c r="Z29" s="429"/>
      <c r="AA29" s="429"/>
      <c r="AB29" s="429"/>
      <c r="AC29" s="429"/>
      <c r="AD29" s="429"/>
      <c r="AE29" s="429"/>
      <c r="AF29" s="429"/>
      <c r="AG29" s="431"/>
      <c r="AH29" s="431"/>
      <c r="AI29" s="479" t="s">
        <v>661</v>
      </c>
      <c r="AJ29" s="432" t="s">
        <v>43</v>
      </c>
      <c r="AK29" s="432" t="s">
        <v>43</v>
      </c>
      <c r="AL29" s="432" t="s">
        <v>43</v>
      </c>
      <c r="AM29" s="432" t="s">
        <v>43</v>
      </c>
      <c r="AN29" s="432" t="s">
        <v>43</v>
      </c>
      <c r="AO29" s="432" t="s">
        <v>43</v>
      </c>
      <c r="AP29" s="432" t="s">
        <v>43</v>
      </c>
      <c r="AQ29" s="482"/>
      <c r="AR29" s="482"/>
      <c r="AS29" s="482"/>
      <c r="AT29" s="436" t="str">
        <f t="shared" si="0"/>
        <v>/</v>
      </c>
      <c r="AU29" s="437">
        <f>IF(C29="","",IF(C29&lt;&gt;"",COUNTA($C$6:C29)))</f>
        <v>24</v>
      </c>
    </row>
    <row r="30" spans="1:47" ht="30" customHeight="1">
      <c r="A30" s="435">
        <v>25</v>
      </c>
      <c r="B30" s="428"/>
      <c r="C30" s="429" t="s">
        <v>762</v>
      </c>
      <c r="D30" s="430"/>
      <c r="E30" s="429" t="s">
        <v>762</v>
      </c>
      <c r="F30" s="430"/>
      <c r="G30" s="430"/>
      <c r="H30" s="430"/>
      <c r="I30" s="429"/>
      <c r="J30" s="430"/>
      <c r="K30" s="430"/>
      <c r="L30" s="432"/>
      <c r="M30" s="506"/>
      <c r="N30" s="428"/>
      <c r="O30" s="429"/>
      <c r="P30" s="430"/>
      <c r="Q30" s="429"/>
      <c r="R30" s="429"/>
      <c r="S30" s="429"/>
      <c r="T30" s="429"/>
      <c r="U30" s="430"/>
      <c r="V30" s="429"/>
      <c r="W30" s="429"/>
      <c r="X30" s="429"/>
      <c r="Y30" s="429"/>
      <c r="Z30" s="429"/>
      <c r="AA30" s="429"/>
      <c r="AB30" s="429"/>
      <c r="AC30" s="429"/>
      <c r="AD30" s="429"/>
      <c r="AE30" s="429"/>
      <c r="AF30" s="429"/>
      <c r="AG30" s="431"/>
      <c r="AH30" s="431"/>
      <c r="AI30" s="479" t="s">
        <v>661</v>
      </c>
      <c r="AJ30" s="432" t="s">
        <v>43</v>
      </c>
      <c r="AK30" s="432" t="s">
        <v>43</v>
      </c>
      <c r="AL30" s="432" t="s">
        <v>43</v>
      </c>
      <c r="AM30" s="432" t="s">
        <v>43</v>
      </c>
      <c r="AN30" s="432" t="s">
        <v>43</v>
      </c>
      <c r="AO30" s="432" t="s">
        <v>43</v>
      </c>
      <c r="AP30" s="432" t="s">
        <v>43</v>
      </c>
      <c r="AQ30" s="482"/>
      <c r="AR30" s="482"/>
      <c r="AS30" s="482"/>
      <c r="AT30" s="436" t="str">
        <f t="shared" si="0"/>
        <v>/</v>
      </c>
      <c r="AU30" s="437">
        <f>IF(C30="","",IF(C30&lt;&gt;"",COUNTA($C$6:C30)))</f>
        <v>25</v>
      </c>
    </row>
    <row r="31" spans="1:47" ht="30" customHeight="1">
      <c r="A31" s="435">
        <v>26</v>
      </c>
      <c r="B31" s="428"/>
      <c r="C31" s="429" t="s">
        <v>763</v>
      </c>
      <c r="D31" s="430"/>
      <c r="E31" s="429" t="s">
        <v>763</v>
      </c>
      <c r="F31" s="430"/>
      <c r="G31" s="430"/>
      <c r="H31" s="430"/>
      <c r="I31" s="429"/>
      <c r="J31" s="430"/>
      <c r="K31" s="430"/>
      <c r="L31" s="432"/>
      <c r="M31" s="506"/>
      <c r="N31" s="428"/>
      <c r="O31" s="429"/>
      <c r="P31" s="430"/>
      <c r="Q31" s="429"/>
      <c r="R31" s="429"/>
      <c r="S31" s="429"/>
      <c r="T31" s="429"/>
      <c r="U31" s="430"/>
      <c r="V31" s="429"/>
      <c r="W31" s="429"/>
      <c r="X31" s="429"/>
      <c r="Y31" s="429"/>
      <c r="Z31" s="429"/>
      <c r="AA31" s="429"/>
      <c r="AB31" s="429"/>
      <c r="AC31" s="429"/>
      <c r="AD31" s="429"/>
      <c r="AE31" s="429"/>
      <c r="AF31" s="429"/>
      <c r="AG31" s="431"/>
      <c r="AH31" s="431"/>
      <c r="AI31" s="479" t="s">
        <v>661</v>
      </c>
      <c r="AJ31" s="432" t="s">
        <v>43</v>
      </c>
      <c r="AK31" s="432" t="s">
        <v>43</v>
      </c>
      <c r="AL31" s="432" t="s">
        <v>43</v>
      </c>
      <c r="AM31" s="432" t="s">
        <v>43</v>
      </c>
      <c r="AN31" s="432" t="s">
        <v>43</v>
      </c>
      <c r="AO31" s="432" t="s">
        <v>43</v>
      </c>
      <c r="AP31" s="432" t="s">
        <v>43</v>
      </c>
      <c r="AQ31" s="482"/>
      <c r="AR31" s="482"/>
      <c r="AS31" s="482"/>
      <c r="AT31" s="436" t="str">
        <f t="shared" si="0"/>
        <v>/</v>
      </c>
      <c r="AU31" s="437">
        <f>IF(C31="","",IF(C31&lt;&gt;"",COUNTA($C$6:C31)))</f>
        <v>26</v>
      </c>
    </row>
    <row r="32" spans="1:47" ht="30" customHeight="1">
      <c r="A32" s="435">
        <v>27</v>
      </c>
      <c r="B32" s="428"/>
      <c r="C32" s="429" t="s">
        <v>764</v>
      </c>
      <c r="D32" s="430"/>
      <c r="E32" s="429" t="s">
        <v>764</v>
      </c>
      <c r="F32" s="430"/>
      <c r="G32" s="430"/>
      <c r="H32" s="430"/>
      <c r="I32" s="429"/>
      <c r="J32" s="430"/>
      <c r="K32" s="430"/>
      <c r="L32" s="432"/>
      <c r="M32" s="506"/>
      <c r="N32" s="428"/>
      <c r="O32" s="429"/>
      <c r="P32" s="430"/>
      <c r="Q32" s="429"/>
      <c r="R32" s="429"/>
      <c r="S32" s="429"/>
      <c r="T32" s="429"/>
      <c r="U32" s="430"/>
      <c r="V32" s="429"/>
      <c r="W32" s="429"/>
      <c r="X32" s="429"/>
      <c r="Y32" s="429"/>
      <c r="Z32" s="429"/>
      <c r="AA32" s="429"/>
      <c r="AB32" s="429"/>
      <c r="AC32" s="429"/>
      <c r="AD32" s="429"/>
      <c r="AE32" s="429"/>
      <c r="AF32" s="429"/>
      <c r="AG32" s="431"/>
      <c r="AH32" s="431"/>
      <c r="AI32" s="479" t="s">
        <v>661</v>
      </c>
      <c r="AJ32" s="432" t="s">
        <v>43</v>
      </c>
      <c r="AK32" s="432" t="s">
        <v>43</v>
      </c>
      <c r="AL32" s="432" t="s">
        <v>43</v>
      </c>
      <c r="AM32" s="432" t="s">
        <v>43</v>
      </c>
      <c r="AN32" s="432" t="s">
        <v>43</v>
      </c>
      <c r="AO32" s="432" t="s">
        <v>43</v>
      </c>
      <c r="AP32" s="432" t="s">
        <v>43</v>
      </c>
      <c r="AQ32" s="482"/>
      <c r="AR32" s="482"/>
      <c r="AS32" s="482"/>
      <c r="AT32" s="436" t="str">
        <f t="shared" si="0"/>
        <v>/</v>
      </c>
      <c r="AU32" s="437">
        <f>IF(C32="","",IF(C32&lt;&gt;"",COUNTA($C$6:C32)))</f>
        <v>27</v>
      </c>
    </row>
    <row r="33" spans="1:47" ht="30" customHeight="1">
      <c r="A33" s="435">
        <v>28</v>
      </c>
      <c r="B33" s="428"/>
      <c r="C33" s="429" t="s">
        <v>765</v>
      </c>
      <c r="D33" s="430"/>
      <c r="E33" s="429" t="s">
        <v>765</v>
      </c>
      <c r="F33" s="430"/>
      <c r="G33" s="430"/>
      <c r="H33" s="430"/>
      <c r="I33" s="429"/>
      <c r="J33" s="430"/>
      <c r="K33" s="430"/>
      <c r="L33" s="432"/>
      <c r="M33" s="506"/>
      <c r="N33" s="428"/>
      <c r="O33" s="429"/>
      <c r="P33" s="430"/>
      <c r="Q33" s="429"/>
      <c r="R33" s="429"/>
      <c r="S33" s="429"/>
      <c r="T33" s="429"/>
      <c r="U33" s="430"/>
      <c r="V33" s="429"/>
      <c r="W33" s="429"/>
      <c r="X33" s="429"/>
      <c r="Y33" s="429"/>
      <c r="Z33" s="429"/>
      <c r="AA33" s="429"/>
      <c r="AB33" s="429"/>
      <c r="AC33" s="429"/>
      <c r="AD33" s="429"/>
      <c r="AE33" s="429"/>
      <c r="AF33" s="429"/>
      <c r="AG33" s="431"/>
      <c r="AH33" s="431"/>
      <c r="AI33" s="479" t="s">
        <v>661</v>
      </c>
      <c r="AJ33" s="432" t="s">
        <v>43</v>
      </c>
      <c r="AK33" s="432" t="s">
        <v>43</v>
      </c>
      <c r="AL33" s="432" t="s">
        <v>43</v>
      </c>
      <c r="AM33" s="432" t="s">
        <v>43</v>
      </c>
      <c r="AN33" s="432" t="s">
        <v>43</v>
      </c>
      <c r="AO33" s="432" t="s">
        <v>43</v>
      </c>
      <c r="AP33" s="432" t="s">
        <v>43</v>
      </c>
      <c r="AQ33" s="481"/>
      <c r="AR33" s="481"/>
      <c r="AS33" s="481"/>
      <c r="AT33" s="436" t="str">
        <f t="shared" si="0"/>
        <v>/</v>
      </c>
      <c r="AU33" s="437">
        <f>IF(C33="","",IF(C33&lt;&gt;"",COUNTA($C$6:C33)))</f>
        <v>28</v>
      </c>
    </row>
    <row r="34" spans="1:47" ht="30" customHeight="1">
      <c r="A34" s="435">
        <v>29</v>
      </c>
      <c r="B34" s="428"/>
      <c r="C34" s="429" t="s">
        <v>766</v>
      </c>
      <c r="D34" s="430"/>
      <c r="E34" s="429" t="s">
        <v>766</v>
      </c>
      <c r="F34" s="430"/>
      <c r="G34" s="430"/>
      <c r="H34" s="430"/>
      <c r="I34" s="429"/>
      <c r="J34" s="430"/>
      <c r="K34" s="430"/>
      <c r="L34" s="432"/>
      <c r="M34" s="506"/>
      <c r="N34" s="428"/>
      <c r="O34" s="429"/>
      <c r="P34" s="430"/>
      <c r="Q34" s="429"/>
      <c r="R34" s="429"/>
      <c r="S34" s="429"/>
      <c r="T34" s="429"/>
      <c r="U34" s="430"/>
      <c r="V34" s="429"/>
      <c r="W34" s="429"/>
      <c r="X34" s="429"/>
      <c r="Y34" s="429"/>
      <c r="Z34" s="429"/>
      <c r="AA34" s="429"/>
      <c r="AB34" s="429"/>
      <c r="AC34" s="429"/>
      <c r="AD34" s="429"/>
      <c r="AE34" s="429"/>
      <c r="AF34" s="429"/>
      <c r="AG34" s="431"/>
      <c r="AH34" s="431"/>
      <c r="AI34" s="479" t="s">
        <v>661</v>
      </c>
      <c r="AJ34" s="432" t="s">
        <v>43</v>
      </c>
      <c r="AK34" s="432" t="s">
        <v>43</v>
      </c>
      <c r="AL34" s="432" t="s">
        <v>43</v>
      </c>
      <c r="AM34" s="432" t="s">
        <v>43</v>
      </c>
      <c r="AN34" s="432" t="s">
        <v>43</v>
      </c>
      <c r="AO34" s="432" t="s">
        <v>43</v>
      </c>
      <c r="AP34" s="432" t="s">
        <v>43</v>
      </c>
      <c r="AQ34" s="482"/>
      <c r="AR34" s="482"/>
      <c r="AS34" s="482"/>
      <c r="AT34" s="436" t="str">
        <f t="shared" si="0"/>
        <v>/</v>
      </c>
      <c r="AU34" s="437">
        <f>IF(C34="","",IF(C34&lt;&gt;"",COUNTA($C$6:C34)))</f>
        <v>29</v>
      </c>
    </row>
    <row r="35" spans="1:47" ht="30" customHeight="1">
      <c r="A35" s="435">
        <v>30</v>
      </c>
      <c r="B35" s="428"/>
      <c r="C35" s="429" t="s">
        <v>767</v>
      </c>
      <c r="D35" s="430"/>
      <c r="E35" s="429" t="s">
        <v>767</v>
      </c>
      <c r="F35" s="430"/>
      <c r="G35" s="430"/>
      <c r="H35" s="430"/>
      <c r="I35" s="429"/>
      <c r="J35" s="430"/>
      <c r="K35" s="430"/>
      <c r="L35" s="432"/>
      <c r="M35" s="506"/>
      <c r="N35" s="428"/>
      <c r="O35" s="429"/>
      <c r="P35" s="430"/>
      <c r="Q35" s="429"/>
      <c r="R35" s="429"/>
      <c r="S35" s="429"/>
      <c r="T35" s="429"/>
      <c r="U35" s="430"/>
      <c r="V35" s="429"/>
      <c r="W35" s="429"/>
      <c r="X35" s="429"/>
      <c r="Y35" s="429"/>
      <c r="Z35" s="429"/>
      <c r="AA35" s="429"/>
      <c r="AB35" s="429"/>
      <c r="AC35" s="429"/>
      <c r="AD35" s="429"/>
      <c r="AE35" s="429"/>
      <c r="AF35" s="429"/>
      <c r="AG35" s="431"/>
      <c r="AH35" s="431"/>
      <c r="AI35" s="479" t="s">
        <v>661</v>
      </c>
      <c r="AJ35" s="432" t="s">
        <v>43</v>
      </c>
      <c r="AK35" s="432" t="s">
        <v>43</v>
      </c>
      <c r="AL35" s="432" t="s">
        <v>43</v>
      </c>
      <c r="AM35" s="432" t="s">
        <v>43</v>
      </c>
      <c r="AN35" s="432" t="s">
        <v>43</v>
      </c>
      <c r="AO35" s="432" t="s">
        <v>43</v>
      </c>
      <c r="AP35" s="432" t="s">
        <v>43</v>
      </c>
      <c r="AQ35" s="482"/>
      <c r="AR35" s="482"/>
      <c r="AS35" s="482"/>
      <c r="AT35" s="436" t="str">
        <f t="shared" si="0"/>
        <v>/</v>
      </c>
      <c r="AU35" s="437">
        <f>IF(C35="","",IF(C35&lt;&gt;"",COUNTA($C$6:C35)))</f>
        <v>30</v>
      </c>
    </row>
    <row r="36" spans="1:47" ht="30" customHeight="1">
      <c r="A36" s="435">
        <v>31</v>
      </c>
      <c r="B36" s="428"/>
      <c r="C36" s="429" t="s">
        <v>768</v>
      </c>
      <c r="D36" s="430"/>
      <c r="E36" s="429" t="s">
        <v>768</v>
      </c>
      <c r="F36" s="430"/>
      <c r="G36" s="430"/>
      <c r="H36" s="430"/>
      <c r="I36" s="429"/>
      <c r="J36" s="430"/>
      <c r="K36" s="430"/>
      <c r="L36" s="432"/>
      <c r="M36" s="506"/>
      <c r="N36" s="428"/>
      <c r="O36" s="429"/>
      <c r="P36" s="430"/>
      <c r="Q36" s="429"/>
      <c r="R36" s="429"/>
      <c r="S36" s="429"/>
      <c r="T36" s="429"/>
      <c r="U36" s="430"/>
      <c r="V36" s="429"/>
      <c r="W36" s="429"/>
      <c r="X36" s="429"/>
      <c r="Y36" s="429"/>
      <c r="Z36" s="429"/>
      <c r="AA36" s="429"/>
      <c r="AB36" s="429"/>
      <c r="AC36" s="429"/>
      <c r="AD36" s="429"/>
      <c r="AE36" s="429"/>
      <c r="AF36" s="429"/>
      <c r="AG36" s="431"/>
      <c r="AH36" s="431"/>
      <c r="AI36" s="479" t="s">
        <v>661</v>
      </c>
      <c r="AJ36" s="432" t="s">
        <v>43</v>
      </c>
      <c r="AK36" s="432" t="s">
        <v>43</v>
      </c>
      <c r="AL36" s="432" t="s">
        <v>43</v>
      </c>
      <c r="AM36" s="432" t="s">
        <v>43</v>
      </c>
      <c r="AN36" s="432" t="s">
        <v>43</v>
      </c>
      <c r="AO36" s="432" t="s">
        <v>43</v>
      </c>
      <c r="AP36" s="432" t="s">
        <v>43</v>
      </c>
      <c r="AQ36" s="482"/>
      <c r="AR36" s="482"/>
      <c r="AS36" s="482"/>
      <c r="AT36" s="436" t="str">
        <f t="shared" si="0"/>
        <v>/</v>
      </c>
      <c r="AU36" s="437">
        <f>IF(C36="","",IF(C36&lt;&gt;"",COUNTA($C$6:C36)))</f>
        <v>31</v>
      </c>
    </row>
    <row r="37" spans="1:47" ht="30" customHeight="1">
      <c r="A37" s="435">
        <v>32</v>
      </c>
      <c r="B37" s="428"/>
      <c r="C37" s="429" t="s">
        <v>769</v>
      </c>
      <c r="D37" s="430"/>
      <c r="E37" s="429" t="s">
        <v>769</v>
      </c>
      <c r="F37" s="430"/>
      <c r="G37" s="430"/>
      <c r="H37" s="430"/>
      <c r="I37" s="429"/>
      <c r="J37" s="430"/>
      <c r="K37" s="430"/>
      <c r="L37" s="432"/>
      <c r="M37" s="506"/>
      <c r="N37" s="428"/>
      <c r="O37" s="429"/>
      <c r="P37" s="430"/>
      <c r="Q37" s="429"/>
      <c r="R37" s="429"/>
      <c r="S37" s="429"/>
      <c r="T37" s="429"/>
      <c r="U37" s="430"/>
      <c r="V37" s="429"/>
      <c r="W37" s="429"/>
      <c r="X37" s="429"/>
      <c r="Y37" s="429"/>
      <c r="Z37" s="429"/>
      <c r="AA37" s="429"/>
      <c r="AB37" s="429"/>
      <c r="AC37" s="429"/>
      <c r="AD37" s="429"/>
      <c r="AE37" s="429"/>
      <c r="AF37" s="429"/>
      <c r="AG37" s="431"/>
      <c r="AH37" s="431"/>
      <c r="AI37" s="479" t="s">
        <v>661</v>
      </c>
      <c r="AJ37" s="432" t="s">
        <v>43</v>
      </c>
      <c r="AK37" s="432" t="s">
        <v>43</v>
      </c>
      <c r="AL37" s="432" t="s">
        <v>43</v>
      </c>
      <c r="AM37" s="432" t="s">
        <v>43</v>
      </c>
      <c r="AN37" s="432" t="s">
        <v>43</v>
      </c>
      <c r="AO37" s="432" t="s">
        <v>43</v>
      </c>
      <c r="AP37" s="432" t="s">
        <v>43</v>
      </c>
      <c r="AQ37" s="482"/>
      <c r="AR37" s="482"/>
      <c r="AS37" s="482"/>
      <c r="AT37" s="436" t="str">
        <f t="shared" si="0"/>
        <v>/</v>
      </c>
      <c r="AU37" s="437">
        <f>IF(C37="","",IF(C37&lt;&gt;"",COUNTA($C$6:C37)))</f>
        <v>32</v>
      </c>
    </row>
    <row r="38" spans="1:47" ht="30" customHeight="1">
      <c r="A38" s="435">
        <v>33</v>
      </c>
      <c r="B38" s="428"/>
      <c r="C38" s="429" t="s">
        <v>770</v>
      </c>
      <c r="D38" s="430"/>
      <c r="E38" s="429" t="s">
        <v>770</v>
      </c>
      <c r="F38" s="430"/>
      <c r="G38" s="430"/>
      <c r="H38" s="430"/>
      <c r="I38" s="429"/>
      <c r="J38" s="430"/>
      <c r="K38" s="430"/>
      <c r="L38" s="432"/>
      <c r="M38" s="506"/>
      <c r="N38" s="428"/>
      <c r="O38" s="429"/>
      <c r="P38" s="430"/>
      <c r="Q38" s="429"/>
      <c r="R38" s="429"/>
      <c r="S38" s="429"/>
      <c r="T38" s="429"/>
      <c r="U38" s="430"/>
      <c r="V38" s="429"/>
      <c r="W38" s="429"/>
      <c r="X38" s="429"/>
      <c r="Y38" s="429"/>
      <c r="Z38" s="429"/>
      <c r="AA38" s="429"/>
      <c r="AB38" s="429"/>
      <c r="AC38" s="429"/>
      <c r="AD38" s="429"/>
      <c r="AE38" s="429"/>
      <c r="AF38" s="429"/>
      <c r="AG38" s="431"/>
      <c r="AH38" s="431"/>
      <c r="AI38" s="479" t="s">
        <v>661</v>
      </c>
      <c r="AJ38" s="432" t="s">
        <v>43</v>
      </c>
      <c r="AK38" s="432" t="s">
        <v>43</v>
      </c>
      <c r="AL38" s="432" t="s">
        <v>43</v>
      </c>
      <c r="AM38" s="432" t="s">
        <v>43</v>
      </c>
      <c r="AN38" s="432" t="s">
        <v>43</v>
      </c>
      <c r="AO38" s="432" t="s">
        <v>43</v>
      </c>
      <c r="AP38" s="432" t="s">
        <v>43</v>
      </c>
      <c r="AQ38" s="482"/>
      <c r="AR38" s="482"/>
      <c r="AS38" s="482"/>
      <c r="AT38" s="436" t="str">
        <f t="shared" si="0"/>
        <v>/</v>
      </c>
      <c r="AU38" s="437">
        <f>IF(C38="","",IF(C38&lt;&gt;"",COUNTA($C$6:C38)))</f>
        <v>33</v>
      </c>
    </row>
    <row r="39" spans="1:47" ht="30" customHeight="1">
      <c r="A39" s="435">
        <v>34</v>
      </c>
      <c r="B39" s="428"/>
      <c r="C39" s="429" t="s">
        <v>771</v>
      </c>
      <c r="D39" s="430"/>
      <c r="E39" s="429" t="s">
        <v>771</v>
      </c>
      <c r="F39" s="430"/>
      <c r="G39" s="430"/>
      <c r="H39" s="430"/>
      <c r="I39" s="429"/>
      <c r="J39" s="430"/>
      <c r="K39" s="430"/>
      <c r="L39" s="432"/>
      <c r="M39" s="506"/>
      <c r="N39" s="428"/>
      <c r="O39" s="429"/>
      <c r="P39" s="430"/>
      <c r="Q39" s="429"/>
      <c r="R39" s="429"/>
      <c r="S39" s="429"/>
      <c r="T39" s="429"/>
      <c r="U39" s="430"/>
      <c r="V39" s="429"/>
      <c r="W39" s="429"/>
      <c r="X39" s="429"/>
      <c r="Y39" s="429"/>
      <c r="Z39" s="429"/>
      <c r="AA39" s="429"/>
      <c r="AB39" s="429"/>
      <c r="AC39" s="429"/>
      <c r="AD39" s="429"/>
      <c r="AE39" s="429"/>
      <c r="AF39" s="429"/>
      <c r="AG39" s="431"/>
      <c r="AH39" s="431"/>
      <c r="AI39" s="479" t="s">
        <v>661</v>
      </c>
      <c r="AJ39" s="432" t="s">
        <v>43</v>
      </c>
      <c r="AK39" s="432" t="s">
        <v>43</v>
      </c>
      <c r="AL39" s="432" t="s">
        <v>43</v>
      </c>
      <c r="AM39" s="432" t="s">
        <v>43</v>
      </c>
      <c r="AN39" s="432" t="s">
        <v>43</v>
      </c>
      <c r="AO39" s="432" t="s">
        <v>43</v>
      </c>
      <c r="AP39" s="432" t="s">
        <v>43</v>
      </c>
      <c r="AQ39" s="482"/>
      <c r="AR39" s="482"/>
      <c r="AS39" s="482"/>
      <c r="AT39" s="436" t="str">
        <f t="shared" si="0"/>
        <v>/</v>
      </c>
      <c r="AU39" s="437">
        <f>IF(C39="","",IF(C39&lt;&gt;"",COUNTA($C$6:C39)))</f>
        <v>34</v>
      </c>
    </row>
    <row r="40" spans="1:47" ht="30" customHeight="1">
      <c r="A40" s="435">
        <v>35</v>
      </c>
      <c r="B40" s="428"/>
      <c r="C40" s="429" t="s">
        <v>772</v>
      </c>
      <c r="D40" s="430"/>
      <c r="E40" s="429" t="s">
        <v>772</v>
      </c>
      <c r="F40" s="430"/>
      <c r="G40" s="430"/>
      <c r="H40" s="430"/>
      <c r="I40" s="429"/>
      <c r="J40" s="430"/>
      <c r="K40" s="430"/>
      <c r="L40" s="432"/>
      <c r="M40" s="506"/>
      <c r="N40" s="428"/>
      <c r="O40" s="429"/>
      <c r="P40" s="430"/>
      <c r="Q40" s="429"/>
      <c r="R40" s="429"/>
      <c r="S40" s="429"/>
      <c r="T40" s="429"/>
      <c r="U40" s="430"/>
      <c r="V40" s="429"/>
      <c r="W40" s="429"/>
      <c r="X40" s="429"/>
      <c r="Y40" s="429"/>
      <c r="Z40" s="429"/>
      <c r="AA40" s="429"/>
      <c r="AB40" s="429"/>
      <c r="AC40" s="429"/>
      <c r="AD40" s="429"/>
      <c r="AE40" s="429"/>
      <c r="AF40" s="429"/>
      <c r="AG40" s="431"/>
      <c r="AH40" s="431"/>
      <c r="AI40" s="479" t="s">
        <v>661</v>
      </c>
      <c r="AJ40" s="432" t="s">
        <v>43</v>
      </c>
      <c r="AK40" s="432" t="s">
        <v>43</v>
      </c>
      <c r="AL40" s="432" t="s">
        <v>43</v>
      </c>
      <c r="AM40" s="432" t="s">
        <v>43</v>
      </c>
      <c r="AN40" s="432" t="s">
        <v>43</v>
      </c>
      <c r="AO40" s="432" t="s">
        <v>43</v>
      </c>
      <c r="AP40" s="432" t="s">
        <v>43</v>
      </c>
      <c r="AQ40" s="482"/>
      <c r="AR40" s="482"/>
      <c r="AS40" s="482"/>
      <c r="AT40" s="436" t="str">
        <f t="shared" si="0"/>
        <v>/</v>
      </c>
      <c r="AU40" s="437">
        <f>IF(C40="","",IF(C40&lt;&gt;"",COUNTA($C$6:C40)))</f>
        <v>35</v>
      </c>
    </row>
    <row r="41" spans="1:47" ht="30" customHeight="1">
      <c r="A41" s="435">
        <v>36</v>
      </c>
      <c r="B41" s="428"/>
      <c r="C41" s="429" t="s">
        <v>773</v>
      </c>
      <c r="D41" s="430"/>
      <c r="E41" s="429" t="s">
        <v>773</v>
      </c>
      <c r="F41" s="430"/>
      <c r="G41" s="430"/>
      <c r="H41" s="430"/>
      <c r="I41" s="429"/>
      <c r="J41" s="430"/>
      <c r="K41" s="430"/>
      <c r="L41" s="432"/>
      <c r="M41" s="506"/>
      <c r="N41" s="428"/>
      <c r="O41" s="429"/>
      <c r="P41" s="430"/>
      <c r="Q41" s="429"/>
      <c r="R41" s="429"/>
      <c r="S41" s="429"/>
      <c r="T41" s="429"/>
      <c r="U41" s="430"/>
      <c r="V41" s="429"/>
      <c r="W41" s="429"/>
      <c r="X41" s="429"/>
      <c r="Y41" s="429"/>
      <c r="Z41" s="429"/>
      <c r="AA41" s="429"/>
      <c r="AB41" s="429"/>
      <c r="AC41" s="429"/>
      <c r="AD41" s="429"/>
      <c r="AE41" s="429"/>
      <c r="AF41" s="429"/>
      <c r="AG41" s="431"/>
      <c r="AH41" s="431"/>
      <c r="AI41" s="479" t="s">
        <v>661</v>
      </c>
      <c r="AJ41" s="432" t="s">
        <v>43</v>
      </c>
      <c r="AK41" s="432" t="s">
        <v>43</v>
      </c>
      <c r="AL41" s="432" t="s">
        <v>43</v>
      </c>
      <c r="AM41" s="432" t="s">
        <v>43</v>
      </c>
      <c r="AN41" s="432" t="s">
        <v>43</v>
      </c>
      <c r="AO41" s="432" t="s">
        <v>43</v>
      </c>
      <c r="AP41" s="432" t="s">
        <v>43</v>
      </c>
      <c r="AQ41" s="482"/>
      <c r="AR41" s="482"/>
      <c r="AS41" s="482"/>
      <c r="AT41" s="436" t="str">
        <f t="shared" si="0"/>
        <v>/</v>
      </c>
      <c r="AU41" s="437">
        <f>IF(C41="","",IF(C41&lt;&gt;"",COUNTA($C$6:C41)))</f>
        <v>36</v>
      </c>
    </row>
    <row r="42" spans="1:47" ht="30" customHeight="1">
      <c r="A42" s="435">
        <v>37</v>
      </c>
      <c r="B42" s="428"/>
      <c r="C42" s="429" t="s">
        <v>774</v>
      </c>
      <c r="D42" s="430"/>
      <c r="E42" s="429" t="s">
        <v>774</v>
      </c>
      <c r="F42" s="430"/>
      <c r="G42" s="430"/>
      <c r="H42" s="430"/>
      <c r="I42" s="429"/>
      <c r="J42" s="430"/>
      <c r="K42" s="430"/>
      <c r="L42" s="432"/>
      <c r="M42" s="506"/>
      <c r="N42" s="428"/>
      <c r="O42" s="429"/>
      <c r="P42" s="430"/>
      <c r="Q42" s="429"/>
      <c r="R42" s="429"/>
      <c r="S42" s="429"/>
      <c r="T42" s="429"/>
      <c r="U42" s="430"/>
      <c r="V42" s="429"/>
      <c r="W42" s="429"/>
      <c r="X42" s="429"/>
      <c r="Y42" s="429"/>
      <c r="Z42" s="429"/>
      <c r="AA42" s="429"/>
      <c r="AB42" s="429"/>
      <c r="AC42" s="429"/>
      <c r="AD42" s="429"/>
      <c r="AE42" s="429"/>
      <c r="AF42" s="429"/>
      <c r="AG42" s="431"/>
      <c r="AH42" s="431"/>
      <c r="AI42" s="479" t="s">
        <v>661</v>
      </c>
      <c r="AJ42" s="432" t="s">
        <v>43</v>
      </c>
      <c r="AK42" s="432" t="s">
        <v>43</v>
      </c>
      <c r="AL42" s="432" t="s">
        <v>43</v>
      </c>
      <c r="AM42" s="432" t="s">
        <v>43</v>
      </c>
      <c r="AN42" s="432" t="s">
        <v>43</v>
      </c>
      <c r="AO42" s="432" t="s">
        <v>43</v>
      </c>
      <c r="AP42" s="432" t="s">
        <v>43</v>
      </c>
      <c r="AQ42" s="482"/>
      <c r="AR42" s="482"/>
      <c r="AS42" s="482"/>
      <c r="AT42" s="436" t="str">
        <f t="shared" si="0"/>
        <v>/</v>
      </c>
      <c r="AU42" s="437">
        <f>IF(C42="","",IF(C42&lt;&gt;"",COUNTA($C$6:C42)))</f>
        <v>37</v>
      </c>
    </row>
    <row r="43" spans="1:47" ht="30" customHeight="1">
      <c r="A43" s="435">
        <v>38</v>
      </c>
      <c r="B43" s="428"/>
      <c r="C43" s="429" t="s">
        <v>775</v>
      </c>
      <c r="D43" s="430"/>
      <c r="E43" s="429" t="s">
        <v>775</v>
      </c>
      <c r="F43" s="430"/>
      <c r="G43" s="430"/>
      <c r="H43" s="430"/>
      <c r="I43" s="429"/>
      <c r="J43" s="430"/>
      <c r="K43" s="430"/>
      <c r="L43" s="432"/>
      <c r="M43" s="506"/>
      <c r="N43" s="428"/>
      <c r="O43" s="429"/>
      <c r="P43" s="430"/>
      <c r="Q43" s="429"/>
      <c r="R43" s="429"/>
      <c r="S43" s="429"/>
      <c r="T43" s="429"/>
      <c r="U43" s="430"/>
      <c r="V43" s="429"/>
      <c r="W43" s="429"/>
      <c r="X43" s="429"/>
      <c r="Y43" s="429"/>
      <c r="Z43" s="429"/>
      <c r="AA43" s="429"/>
      <c r="AB43" s="429"/>
      <c r="AC43" s="429"/>
      <c r="AD43" s="429"/>
      <c r="AE43" s="429"/>
      <c r="AF43" s="429"/>
      <c r="AG43" s="431"/>
      <c r="AH43" s="431"/>
      <c r="AI43" s="479" t="s">
        <v>661</v>
      </c>
      <c r="AJ43" s="432" t="s">
        <v>43</v>
      </c>
      <c r="AK43" s="432" t="s">
        <v>43</v>
      </c>
      <c r="AL43" s="432" t="s">
        <v>43</v>
      </c>
      <c r="AM43" s="432" t="s">
        <v>43</v>
      </c>
      <c r="AN43" s="432" t="s">
        <v>43</v>
      </c>
      <c r="AO43" s="432" t="s">
        <v>43</v>
      </c>
      <c r="AP43" s="432" t="s">
        <v>43</v>
      </c>
      <c r="AQ43" s="482"/>
      <c r="AR43" s="482"/>
      <c r="AS43" s="482"/>
      <c r="AT43" s="436" t="str">
        <f t="shared" si="0"/>
        <v>/</v>
      </c>
      <c r="AU43" s="437">
        <f>IF(C43="","",IF(C43&lt;&gt;"",COUNTA($C$6:C43)))</f>
        <v>38</v>
      </c>
    </row>
    <row r="44" spans="1:47" ht="30" customHeight="1">
      <c r="A44" s="435">
        <v>39</v>
      </c>
      <c r="B44" s="428"/>
      <c r="C44" s="429" t="s">
        <v>776</v>
      </c>
      <c r="D44" s="430"/>
      <c r="E44" s="429" t="s">
        <v>776</v>
      </c>
      <c r="F44" s="430"/>
      <c r="G44" s="430"/>
      <c r="H44" s="430"/>
      <c r="I44" s="429"/>
      <c r="J44" s="430"/>
      <c r="K44" s="430"/>
      <c r="L44" s="432"/>
      <c r="M44" s="506"/>
      <c r="N44" s="428"/>
      <c r="O44" s="429"/>
      <c r="P44" s="430"/>
      <c r="Q44" s="429"/>
      <c r="R44" s="429"/>
      <c r="S44" s="429"/>
      <c r="T44" s="429"/>
      <c r="U44" s="430"/>
      <c r="V44" s="429"/>
      <c r="W44" s="429"/>
      <c r="X44" s="429"/>
      <c r="Y44" s="429"/>
      <c r="Z44" s="429"/>
      <c r="AA44" s="429"/>
      <c r="AB44" s="429"/>
      <c r="AC44" s="429"/>
      <c r="AD44" s="429"/>
      <c r="AE44" s="429"/>
      <c r="AF44" s="429"/>
      <c r="AG44" s="431"/>
      <c r="AH44" s="431"/>
      <c r="AI44" s="479" t="s">
        <v>661</v>
      </c>
      <c r="AJ44" s="432" t="s">
        <v>43</v>
      </c>
      <c r="AK44" s="432" t="s">
        <v>43</v>
      </c>
      <c r="AL44" s="432" t="s">
        <v>43</v>
      </c>
      <c r="AM44" s="432" t="s">
        <v>43</v>
      </c>
      <c r="AN44" s="432" t="s">
        <v>43</v>
      </c>
      <c r="AO44" s="432" t="s">
        <v>43</v>
      </c>
      <c r="AP44" s="432" t="s">
        <v>43</v>
      </c>
      <c r="AQ44" s="482"/>
      <c r="AR44" s="482"/>
      <c r="AS44" s="482"/>
      <c r="AT44" s="436" t="str">
        <f t="shared" si="0"/>
        <v>/</v>
      </c>
      <c r="AU44" s="437">
        <f>IF(C44="","",IF(C44&lt;&gt;"",COUNTA($C$6:C44)))</f>
        <v>39</v>
      </c>
    </row>
    <row r="45" spans="1:47" ht="30" customHeight="1">
      <c r="A45" s="435">
        <v>40</v>
      </c>
      <c r="B45" s="428"/>
      <c r="C45" s="429" t="s">
        <v>777</v>
      </c>
      <c r="D45" s="430"/>
      <c r="E45" s="429" t="s">
        <v>777</v>
      </c>
      <c r="F45" s="430"/>
      <c r="G45" s="430"/>
      <c r="H45" s="430"/>
      <c r="I45" s="429"/>
      <c r="J45" s="430"/>
      <c r="K45" s="430"/>
      <c r="L45" s="432"/>
      <c r="M45" s="506"/>
      <c r="N45" s="428"/>
      <c r="O45" s="429"/>
      <c r="P45" s="430"/>
      <c r="Q45" s="429"/>
      <c r="R45" s="429"/>
      <c r="S45" s="429"/>
      <c r="T45" s="429"/>
      <c r="U45" s="430"/>
      <c r="V45" s="429"/>
      <c r="W45" s="429"/>
      <c r="X45" s="429"/>
      <c r="Y45" s="429"/>
      <c r="Z45" s="429"/>
      <c r="AA45" s="429"/>
      <c r="AB45" s="429"/>
      <c r="AC45" s="429"/>
      <c r="AD45" s="429"/>
      <c r="AE45" s="429"/>
      <c r="AF45" s="429"/>
      <c r="AG45" s="431"/>
      <c r="AH45" s="431"/>
      <c r="AI45" s="479" t="s">
        <v>661</v>
      </c>
      <c r="AJ45" s="432" t="s">
        <v>43</v>
      </c>
      <c r="AK45" s="432" t="s">
        <v>43</v>
      </c>
      <c r="AL45" s="432" t="s">
        <v>43</v>
      </c>
      <c r="AM45" s="432" t="s">
        <v>43</v>
      </c>
      <c r="AN45" s="432" t="s">
        <v>43</v>
      </c>
      <c r="AO45" s="432" t="s">
        <v>43</v>
      </c>
      <c r="AP45" s="432" t="s">
        <v>43</v>
      </c>
      <c r="AQ45" s="482"/>
      <c r="AR45" s="482"/>
      <c r="AS45" s="482"/>
      <c r="AT45" s="436" t="str">
        <f t="shared" si="0"/>
        <v>/</v>
      </c>
      <c r="AU45" s="437">
        <f>IF(C45="","",IF(C45&lt;&gt;"",COUNTA($C$6:C45)))</f>
        <v>40</v>
      </c>
    </row>
    <row r="46" spans="1:47" ht="30" customHeight="1">
      <c r="A46" s="435">
        <v>41</v>
      </c>
      <c r="B46" s="428"/>
      <c r="C46" s="429" t="s">
        <v>778</v>
      </c>
      <c r="D46" s="430"/>
      <c r="E46" s="429" t="s">
        <v>778</v>
      </c>
      <c r="F46" s="430"/>
      <c r="G46" s="430"/>
      <c r="H46" s="430"/>
      <c r="I46" s="429"/>
      <c r="J46" s="430"/>
      <c r="K46" s="430"/>
      <c r="L46" s="432"/>
      <c r="M46" s="506"/>
      <c r="N46" s="428"/>
      <c r="O46" s="429"/>
      <c r="P46" s="430"/>
      <c r="Q46" s="429"/>
      <c r="R46" s="429"/>
      <c r="S46" s="429"/>
      <c r="T46" s="429"/>
      <c r="U46" s="430"/>
      <c r="V46" s="429"/>
      <c r="W46" s="429"/>
      <c r="X46" s="429"/>
      <c r="Y46" s="429"/>
      <c r="Z46" s="429"/>
      <c r="AA46" s="429"/>
      <c r="AB46" s="429"/>
      <c r="AC46" s="429"/>
      <c r="AD46" s="429"/>
      <c r="AE46" s="429"/>
      <c r="AF46" s="429"/>
      <c r="AG46" s="431"/>
      <c r="AH46" s="431"/>
      <c r="AI46" s="479" t="s">
        <v>661</v>
      </c>
      <c r="AJ46" s="432" t="s">
        <v>43</v>
      </c>
      <c r="AK46" s="432" t="s">
        <v>43</v>
      </c>
      <c r="AL46" s="432" t="s">
        <v>43</v>
      </c>
      <c r="AM46" s="432" t="s">
        <v>43</v>
      </c>
      <c r="AN46" s="432" t="s">
        <v>43</v>
      </c>
      <c r="AO46" s="432" t="s">
        <v>43</v>
      </c>
      <c r="AP46" s="432" t="s">
        <v>43</v>
      </c>
      <c r="AQ46" s="482"/>
      <c r="AR46" s="482"/>
      <c r="AS46" s="482"/>
      <c r="AT46" s="436" t="str">
        <f t="shared" si="0"/>
        <v>/</v>
      </c>
      <c r="AU46" s="437">
        <f>IF(C46="","",IF(C46&lt;&gt;"",COUNTA($C$6:C46)))</f>
        <v>41</v>
      </c>
    </row>
    <row r="47" spans="1:47" ht="30" customHeight="1">
      <c r="A47" s="435">
        <v>42</v>
      </c>
      <c r="B47" s="428"/>
      <c r="C47" s="429" t="s">
        <v>779</v>
      </c>
      <c r="D47" s="430"/>
      <c r="E47" s="429" t="s">
        <v>779</v>
      </c>
      <c r="F47" s="430"/>
      <c r="G47" s="430"/>
      <c r="H47" s="430"/>
      <c r="I47" s="429"/>
      <c r="J47" s="430"/>
      <c r="K47" s="430"/>
      <c r="L47" s="432"/>
      <c r="M47" s="506"/>
      <c r="N47" s="428"/>
      <c r="O47" s="429"/>
      <c r="P47" s="430"/>
      <c r="Q47" s="429"/>
      <c r="R47" s="429"/>
      <c r="S47" s="429"/>
      <c r="T47" s="429"/>
      <c r="U47" s="430"/>
      <c r="V47" s="429"/>
      <c r="W47" s="429"/>
      <c r="X47" s="429"/>
      <c r="Y47" s="429"/>
      <c r="Z47" s="429"/>
      <c r="AA47" s="429"/>
      <c r="AB47" s="429"/>
      <c r="AC47" s="429"/>
      <c r="AD47" s="429"/>
      <c r="AE47" s="429"/>
      <c r="AF47" s="429"/>
      <c r="AG47" s="431"/>
      <c r="AH47" s="431"/>
      <c r="AI47" s="479" t="s">
        <v>661</v>
      </c>
      <c r="AJ47" s="432" t="s">
        <v>43</v>
      </c>
      <c r="AK47" s="432" t="s">
        <v>43</v>
      </c>
      <c r="AL47" s="432" t="s">
        <v>43</v>
      </c>
      <c r="AM47" s="432" t="s">
        <v>43</v>
      </c>
      <c r="AN47" s="432" t="s">
        <v>43</v>
      </c>
      <c r="AO47" s="432" t="s">
        <v>43</v>
      </c>
      <c r="AP47" s="432" t="s">
        <v>43</v>
      </c>
      <c r="AQ47" s="482"/>
      <c r="AR47" s="482"/>
      <c r="AS47" s="482"/>
      <c r="AT47" s="436" t="str">
        <f t="shared" si="0"/>
        <v>/</v>
      </c>
      <c r="AU47" s="437">
        <f>IF(C47="","",IF(C47&lt;&gt;"",COUNTA($C$6:C47)))</f>
        <v>42</v>
      </c>
    </row>
    <row r="48" spans="1:47" ht="30" customHeight="1">
      <c r="A48" s="435">
        <v>43</v>
      </c>
      <c r="B48" s="428"/>
      <c r="C48" s="429" t="s">
        <v>780</v>
      </c>
      <c r="D48" s="430"/>
      <c r="E48" s="429" t="s">
        <v>780</v>
      </c>
      <c r="F48" s="430"/>
      <c r="G48" s="430"/>
      <c r="H48" s="430"/>
      <c r="I48" s="429"/>
      <c r="J48" s="430"/>
      <c r="K48" s="430"/>
      <c r="L48" s="432"/>
      <c r="M48" s="506"/>
      <c r="N48" s="428"/>
      <c r="O48" s="429"/>
      <c r="P48" s="430"/>
      <c r="Q48" s="429"/>
      <c r="R48" s="429"/>
      <c r="S48" s="429"/>
      <c r="T48" s="429"/>
      <c r="U48" s="430"/>
      <c r="V48" s="429"/>
      <c r="W48" s="429"/>
      <c r="X48" s="429"/>
      <c r="Y48" s="429"/>
      <c r="Z48" s="429"/>
      <c r="AA48" s="429"/>
      <c r="AB48" s="429"/>
      <c r="AC48" s="429"/>
      <c r="AD48" s="429"/>
      <c r="AE48" s="429"/>
      <c r="AF48" s="429"/>
      <c r="AG48" s="431"/>
      <c r="AH48" s="431"/>
      <c r="AI48" s="479" t="s">
        <v>661</v>
      </c>
      <c r="AJ48" s="432" t="s">
        <v>43</v>
      </c>
      <c r="AK48" s="432" t="s">
        <v>43</v>
      </c>
      <c r="AL48" s="432" t="s">
        <v>43</v>
      </c>
      <c r="AM48" s="432" t="s">
        <v>43</v>
      </c>
      <c r="AN48" s="432" t="s">
        <v>43</v>
      </c>
      <c r="AO48" s="432" t="s">
        <v>43</v>
      </c>
      <c r="AP48" s="432" t="s">
        <v>43</v>
      </c>
      <c r="AQ48" s="482"/>
      <c r="AR48" s="482"/>
      <c r="AS48" s="482"/>
      <c r="AT48" s="436" t="str">
        <f t="shared" si="0"/>
        <v>/</v>
      </c>
      <c r="AU48" s="437">
        <f>IF(C48="","",IF(C48&lt;&gt;"",COUNTA($C$6:C48)))</f>
        <v>43</v>
      </c>
    </row>
    <row r="49" spans="1:47" ht="30" customHeight="1">
      <c r="A49" s="435">
        <v>44</v>
      </c>
      <c r="B49" s="428"/>
      <c r="C49" s="429" t="s">
        <v>781</v>
      </c>
      <c r="D49" s="430"/>
      <c r="E49" s="429" t="s">
        <v>781</v>
      </c>
      <c r="F49" s="430"/>
      <c r="G49" s="430"/>
      <c r="H49" s="430"/>
      <c r="I49" s="429"/>
      <c r="J49" s="430"/>
      <c r="K49" s="430"/>
      <c r="L49" s="432"/>
      <c r="M49" s="506"/>
      <c r="N49" s="428"/>
      <c r="O49" s="429"/>
      <c r="P49" s="430"/>
      <c r="Q49" s="429"/>
      <c r="R49" s="429"/>
      <c r="S49" s="429"/>
      <c r="T49" s="429"/>
      <c r="U49" s="430"/>
      <c r="V49" s="429"/>
      <c r="W49" s="429"/>
      <c r="X49" s="429"/>
      <c r="Y49" s="429"/>
      <c r="Z49" s="429"/>
      <c r="AA49" s="429"/>
      <c r="AB49" s="429"/>
      <c r="AC49" s="429"/>
      <c r="AD49" s="429"/>
      <c r="AE49" s="429"/>
      <c r="AF49" s="429"/>
      <c r="AG49" s="431"/>
      <c r="AH49" s="431"/>
      <c r="AI49" s="479" t="s">
        <v>661</v>
      </c>
      <c r="AJ49" s="432" t="s">
        <v>43</v>
      </c>
      <c r="AK49" s="432" t="s">
        <v>43</v>
      </c>
      <c r="AL49" s="432" t="s">
        <v>43</v>
      </c>
      <c r="AM49" s="432" t="s">
        <v>43</v>
      </c>
      <c r="AN49" s="432" t="s">
        <v>43</v>
      </c>
      <c r="AO49" s="432" t="s">
        <v>43</v>
      </c>
      <c r="AP49" s="432" t="s">
        <v>43</v>
      </c>
      <c r="AQ49" s="482"/>
      <c r="AR49" s="482"/>
      <c r="AS49" s="482"/>
      <c r="AT49" s="436" t="str">
        <f t="shared" si="0"/>
        <v>/</v>
      </c>
      <c r="AU49" s="437">
        <f>IF(C49="","",IF(C49&lt;&gt;"",COUNTA($C$6:C49)))</f>
        <v>44</v>
      </c>
    </row>
    <row r="50" spans="1:47" ht="30" customHeight="1">
      <c r="A50" s="435">
        <v>45</v>
      </c>
      <c r="B50" s="428"/>
      <c r="C50" s="429" t="s">
        <v>782</v>
      </c>
      <c r="D50" s="430"/>
      <c r="E50" s="429" t="s">
        <v>782</v>
      </c>
      <c r="F50" s="430"/>
      <c r="G50" s="430"/>
      <c r="H50" s="430"/>
      <c r="I50" s="429"/>
      <c r="J50" s="430"/>
      <c r="K50" s="430"/>
      <c r="L50" s="432"/>
      <c r="M50" s="506"/>
      <c r="N50" s="428"/>
      <c r="O50" s="429"/>
      <c r="P50" s="430"/>
      <c r="Q50" s="429"/>
      <c r="R50" s="429"/>
      <c r="S50" s="429"/>
      <c r="T50" s="429"/>
      <c r="U50" s="430"/>
      <c r="V50" s="429"/>
      <c r="W50" s="429"/>
      <c r="X50" s="429"/>
      <c r="Y50" s="429"/>
      <c r="Z50" s="429"/>
      <c r="AA50" s="429"/>
      <c r="AB50" s="429"/>
      <c r="AC50" s="429"/>
      <c r="AD50" s="429"/>
      <c r="AE50" s="429"/>
      <c r="AF50" s="429"/>
      <c r="AG50" s="431"/>
      <c r="AH50" s="431"/>
      <c r="AI50" s="479" t="s">
        <v>661</v>
      </c>
      <c r="AJ50" s="432" t="s">
        <v>43</v>
      </c>
      <c r="AK50" s="432" t="s">
        <v>43</v>
      </c>
      <c r="AL50" s="432" t="s">
        <v>43</v>
      </c>
      <c r="AM50" s="432" t="s">
        <v>43</v>
      </c>
      <c r="AN50" s="432" t="s">
        <v>43</v>
      </c>
      <c r="AO50" s="432" t="s">
        <v>43</v>
      </c>
      <c r="AP50" s="432" t="s">
        <v>43</v>
      </c>
      <c r="AQ50" s="482"/>
      <c r="AR50" s="482"/>
      <c r="AS50" s="482"/>
      <c r="AT50" s="436" t="str">
        <f t="shared" si="0"/>
        <v>/</v>
      </c>
      <c r="AU50" s="437">
        <f>IF(C50="","",IF(C50&lt;&gt;"",COUNTA($C$6:C50)))</f>
        <v>45</v>
      </c>
    </row>
    <row r="51" spans="1:47" ht="30" customHeight="1">
      <c r="A51" s="435">
        <v>46</v>
      </c>
      <c r="B51" s="428"/>
      <c r="C51" s="429" t="s">
        <v>783</v>
      </c>
      <c r="D51" s="430"/>
      <c r="E51" s="429" t="s">
        <v>783</v>
      </c>
      <c r="F51" s="430"/>
      <c r="G51" s="430"/>
      <c r="H51" s="430"/>
      <c r="I51" s="429"/>
      <c r="J51" s="430"/>
      <c r="K51" s="430"/>
      <c r="L51" s="432"/>
      <c r="M51" s="506"/>
      <c r="N51" s="428"/>
      <c r="O51" s="429"/>
      <c r="P51" s="430"/>
      <c r="Q51" s="429"/>
      <c r="R51" s="429"/>
      <c r="S51" s="429"/>
      <c r="T51" s="429"/>
      <c r="U51" s="430"/>
      <c r="V51" s="429"/>
      <c r="W51" s="429"/>
      <c r="X51" s="429"/>
      <c r="Y51" s="429"/>
      <c r="Z51" s="429"/>
      <c r="AA51" s="429"/>
      <c r="AB51" s="429"/>
      <c r="AC51" s="429"/>
      <c r="AD51" s="429"/>
      <c r="AE51" s="429"/>
      <c r="AF51" s="429"/>
      <c r="AG51" s="431"/>
      <c r="AH51" s="431"/>
      <c r="AI51" s="479" t="s">
        <v>661</v>
      </c>
      <c r="AJ51" s="432" t="s">
        <v>43</v>
      </c>
      <c r="AK51" s="432" t="s">
        <v>43</v>
      </c>
      <c r="AL51" s="432" t="s">
        <v>43</v>
      </c>
      <c r="AM51" s="432" t="s">
        <v>43</v>
      </c>
      <c r="AN51" s="432" t="s">
        <v>43</v>
      </c>
      <c r="AO51" s="432" t="s">
        <v>43</v>
      </c>
      <c r="AP51" s="432" t="s">
        <v>43</v>
      </c>
      <c r="AQ51" s="482"/>
      <c r="AR51" s="482"/>
      <c r="AS51" s="482"/>
      <c r="AT51" s="436" t="str">
        <f t="shared" si="0"/>
        <v>/</v>
      </c>
      <c r="AU51" s="437">
        <f>IF(C51="","",IF(C51&lt;&gt;"",COUNTA($C$6:C51)))</f>
        <v>46</v>
      </c>
    </row>
    <row r="52" spans="1:47" ht="30" customHeight="1">
      <c r="A52" s="435">
        <v>47</v>
      </c>
      <c r="B52" s="428"/>
      <c r="C52" s="429" t="s">
        <v>784</v>
      </c>
      <c r="D52" s="430"/>
      <c r="E52" s="429" t="s">
        <v>784</v>
      </c>
      <c r="F52" s="430"/>
      <c r="G52" s="430"/>
      <c r="H52" s="430"/>
      <c r="I52" s="429"/>
      <c r="J52" s="430"/>
      <c r="K52" s="430"/>
      <c r="L52" s="432"/>
      <c r="M52" s="506"/>
      <c r="N52" s="428"/>
      <c r="O52" s="429"/>
      <c r="P52" s="430"/>
      <c r="Q52" s="429"/>
      <c r="R52" s="429"/>
      <c r="S52" s="429"/>
      <c r="T52" s="429"/>
      <c r="U52" s="430"/>
      <c r="V52" s="429"/>
      <c r="W52" s="429"/>
      <c r="X52" s="429"/>
      <c r="Y52" s="429"/>
      <c r="Z52" s="429"/>
      <c r="AA52" s="429"/>
      <c r="AB52" s="429"/>
      <c r="AC52" s="429"/>
      <c r="AD52" s="429"/>
      <c r="AE52" s="429"/>
      <c r="AF52" s="429"/>
      <c r="AG52" s="431"/>
      <c r="AH52" s="431"/>
      <c r="AI52" s="479" t="s">
        <v>661</v>
      </c>
      <c r="AJ52" s="432" t="s">
        <v>43</v>
      </c>
      <c r="AK52" s="432" t="s">
        <v>43</v>
      </c>
      <c r="AL52" s="432" t="s">
        <v>43</v>
      </c>
      <c r="AM52" s="432" t="s">
        <v>43</v>
      </c>
      <c r="AN52" s="432" t="s">
        <v>43</v>
      </c>
      <c r="AO52" s="432" t="s">
        <v>43</v>
      </c>
      <c r="AP52" s="432" t="s">
        <v>43</v>
      </c>
      <c r="AQ52" s="482"/>
      <c r="AR52" s="482"/>
      <c r="AS52" s="482"/>
      <c r="AT52" s="436" t="str">
        <f t="shared" si="0"/>
        <v>/</v>
      </c>
      <c r="AU52" s="437">
        <f>IF(C52="","",IF(C52&lt;&gt;"",COUNTA($C$6:C52)))</f>
        <v>47</v>
      </c>
    </row>
    <row r="53" spans="1:47" ht="30" customHeight="1">
      <c r="A53" s="435">
        <v>48</v>
      </c>
      <c r="B53" s="428"/>
      <c r="C53" s="429" t="s">
        <v>785</v>
      </c>
      <c r="D53" s="430"/>
      <c r="E53" s="429" t="s">
        <v>785</v>
      </c>
      <c r="F53" s="430"/>
      <c r="G53" s="430"/>
      <c r="H53" s="430"/>
      <c r="I53" s="429"/>
      <c r="J53" s="430"/>
      <c r="K53" s="430"/>
      <c r="L53" s="432"/>
      <c r="M53" s="506"/>
      <c r="N53" s="428"/>
      <c r="O53" s="429"/>
      <c r="P53" s="430"/>
      <c r="Q53" s="429"/>
      <c r="R53" s="429"/>
      <c r="S53" s="429"/>
      <c r="T53" s="429"/>
      <c r="U53" s="430"/>
      <c r="V53" s="429"/>
      <c r="W53" s="429"/>
      <c r="X53" s="429"/>
      <c r="Y53" s="429"/>
      <c r="Z53" s="429"/>
      <c r="AA53" s="429"/>
      <c r="AB53" s="429"/>
      <c r="AC53" s="429"/>
      <c r="AD53" s="429"/>
      <c r="AE53" s="429"/>
      <c r="AF53" s="429"/>
      <c r="AG53" s="431"/>
      <c r="AH53" s="431"/>
      <c r="AI53" s="479" t="s">
        <v>661</v>
      </c>
      <c r="AJ53" s="432" t="s">
        <v>43</v>
      </c>
      <c r="AK53" s="432" t="s">
        <v>43</v>
      </c>
      <c r="AL53" s="432" t="s">
        <v>43</v>
      </c>
      <c r="AM53" s="432" t="s">
        <v>43</v>
      </c>
      <c r="AN53" s="432" t="s">
        <v>43</v>
      </c>
      <c r="AO53" s="432" t="s">
        <v>43</v>
      </c>
      <c r="AP53" s="432" t="s">
        <v>43</v>
      </c>
      <c r="AQ53" s="482"/>
      <c r="AR53" s="482"/>
      <c r="AS53" s="482"/>
      <c r="AT53" s="436" t="str">
        <f t="shared" si="0"/>
        <v>/</v>
      </c>
      <c r="AU53" s="437">
        <f>IF(C53="","",IF(C53&lt;&gt;"",COUNTA($C$6:C53)))</f>
        <v>48</v>
      </c>
    </row>
    <row r="54" spans="1:47" ht="30" customHeight="1">
      <c r="A54" s="435">
        <v>49</v>
      </c>
      <c r="B54" s="428"/>
      <c r="C54" s="429" t="s">
        <v>786</v>
      </c>
      <c r="D54" s="430"/>
      <c r="E54" s="429" t="s">
        <v>786</v>
      </c>
      <c r="F54" s="430"/>
      <c r="G54" s="430"/>
      <c r="H54" s="430"/>
      <c r="I54" s="429"/>
      <c r="J54" s="430"/>
      <c r="K54" s="430"/>
      <c r="L54" s="432"/>
      <c r="M54" s="506"/>
      <c r="N54" s="428"/>
      <c r="O54" s="429"/>
      <c r="P54" s="430"/>
      <c r="Q54" s="429"/>
      <c r="R54" s="429"/>
      <c r="S54" s="429"/>
      <c r="T54" s="429"/>
      <c r="U54" s="430"/>
      <c r="V54" s="429"/>
      <c r="W54" s="429"/>
      <c r="X54" s="429"/>
      <c r="Y54" s="429"/>
      <c r="Z54" s="429"/>
      <c r="AA54" s="429"/>
      <c r="AB54" s="429"/>
      <c r="AC54" s="429"/>
      <c r="AD54" s="429"/>
      <c r="AE54" s="429"/>
      <c r="AF54" s="429"/>
      <c r="AG54" s="431"/>
      <c r="AH54" s="431"/>
      <c r="AI54" s="479" t="s">
        <v>661</v>
      </c>
      <c r="AJ54" s="432" t="s">
        <v>43</v>
      </c>
      <c r="AK54" s="432" t="s">
        <v>43</v>
      </c>
      <c r="AL54" s="432" t="s">
        <v>43</v>
      </c>
      <c r="AM54" s="432" t="s">
        <v>43</v>
      </c>
      <c r="AN54" s="432" t="s">
        <v>43</v>
      </c>
      <c r="AO54" s="432" t="s">
        <v>43</v>
      </c>
      <c r="AP54" s="432" t="s">
        <v>43</v>
      </c>
      <c r="AQ54" s="482"/>
      <c r="AR54" s="482"/>
      <c r="AS54" s="482"/>
      <c r="AT54" s="436" t="str">
        <f t="shared" si="0"/>
        <v>/</v>
      </c>
      <c r="AU54" s="437">
        <f>IF(C54="","",IF(C54&lt;&gt;"",COUNTA($C$6:C54)))</f>
        <v>49</v>
      </c>
    </row>
    <row r="55" spans="1:47" ht="30" customHeight="1">
      <c r="A55" s="435">
        <v>50</v>
      </c>
      <c r="B55" s="428"/>
      <c r="C55" s="429" t="s">
        <v>787</v>
      </c>
      <c r="D55" s="430"/>
      <c r="E55" s="429" t="s">
        <v>787</v>
      </c>
      <c r="F55" s="430"/>
      <c r="G55" s="430"/>
      <c r="H55" s="430"/>
      <c r="I55" s="429"/>
      <c r="J55" s="430"/>
      <c r="K55" s="430"/>
      <c r="L55" s="432"/>
      <c r="M55" s="506"/>
      <c r="N55" s="428"/>
      <c r="O55" s="429"/>
      <c r="P55" s="430"/>
      <c r="Q55" s="429"/>
      <c r="R55" s="429"/>
      <c r="S55" s="429"/>
      <c r="T55" s="429"/>
      <c r="U55" s="430"/>
      <c r="V55" s="429"/>
      <c r="W55" s="429"/>
      <c r="X55" s="429"/>
      <c r="Y55" s="429"/>
      <c r="Z55" s="429"/>
      <c r="AA55" s="429"/>
      <c r="AB55" s="429"/>
      <c r="AC55" s="429"/>
      <c r="AD55" s="429"/>
      <c r="AE55" s="429"/>
      <c r="AF55" s="429"/>
      <c r="AG55" s="431"/>
      <c r="AH55" s="431"/>
      <c r="AI55" s="479" t="s">
        <v>661</v>
      </c>
      <c r="AJ55" s="432" t="s">
        <v>43</v>
      </c>
      <c r="AK55" s="432" t="s">
        <v>43</v>
      </c>
      <c r="AL55" s="432" t="s">
        <v>43</v>
      </c>
      <c r="AM55" s="432" t="s">
        <v>43</v>
      </c>
      <c r="AN55" s="432" t="s">
        <v>43</v>
      </c>
      <c r="AO55" s="432" t="s">
        <v>43</v>
      </c>
      <c r="AP55" s="432" t="s">
        <v>43</v>
      </c>
      <c r="AQ55" s="482"/>
      <c r="AR55" s="482"/>
      <c r="AS55" s="482"/>
      <c r="AT55" s="436" t="str">
        <f t="shared" si="0"/>
        <v>/</v>
      </c>
      <c r="AU55" s="437">
        <f>IF(C55="","",IF(C55&lt;&gt;"",COUNTA($C$6:C55)))</f>
        <v>50</v>
      </c>
    </row>
    <row r="56" spans="1:47" ht="30" customHeight="1">
      <c r="AU56" s="437">
        <f>MAX(AU6:AU55)</f>
        <v>50</v>
      </c>
    </row>
    <row r="57" spans="1:47" ht="30" customHeight="1">
      <c r="AT57" s="132">
        <f>DEPAN!E23</f>
        <v>50</v>
      </c>
      <c r="AU57" s="438">
        <f>IFERROR(AU56/AT57,"0%")</f>
        <v>1</v>
      </c>
    </row>
    <row r="58" spans="1:47" ht="30" customHeight="1"/>
    <row r="59" spans="1:47" ht="30" customHeight="1"/>
    <row r="60" spans="1:47" ht="30" customHeight="1"/>
    <row r="61" spans="1:47" ht="30" customHeight="1"/>
    <row r="62" spans="1:47" ht="30" customHeight="1"/>
    <row r="63" spans="1:47" ht="30" customHeight="1"/>
    <row r="64" spans="1:47" ht="30" customHeight="1"/>
  </sheetData>
  <sheetProtection algorithmName="SHA-512" hashValue="B/by0PYdL2vrLp1LpNJjSVSz7hZ0JK6Kbw0FMWjetaQzYZSvX1Ba7kFs5g+UiclfoFyVGowmXaxWgD4FGfMPhw==" saltValue="hG41z21PD9uZXJgtSuHhxg==" spinCount="100000" sheet="1" objects="1" scenarios="1"/>
  <mergeCells count="22">
    <mergeCell ref="K3:M3"/>
    <mergeCell ref="A3:A4"/>
    <mergeCell ref="B3:B4"/>
    <mergeCell ref="C3:C4"/>
    <mergeCell ref="D3:D4"/>
    <mergeCell ref="E3:E4"/>
    <mergeCell ref="D1:E1"/>
    <mergeCell ref="AT3:AT4"/>
    <mergeCell ref="F3:F4"/>
    <mergeCell ref="I3:I4"/>
    <mergeCell ref="S3:S4"/>
    <mergeCell ref="O3:O4"/>
    <mergeCell ref="T3:X3"/>
    <mergeCell ref="AD3:AI3"/>
    <mergeCell ref="AJ3:AP3"/>
    <mergeCell ref="P3:P4"/>
    <mergeCell ref="N3:N4"/>
    <mergeCell ref="Q3:Q4"/>
    <mergeCell ref="R3:R4"/>
    <mergeCell ref="Y3:AC3"/>
    <mergeCell ref="H3:H4"/>
    <mergeCell ref="J3:J4"/>
  </mergeCells>
  <pageMargins left="0.7" right="0.7" top="0.75" bottom="0.75" header="0.3" footer="0.3"/>
  <pageSetup paperSize="256"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8"/>
  <sheetViews>
    <sheetView workbookViewId="0">
      <pane xSplit="1" ySplit="4" topLeftCell="B5" activePane="bottomRight" state="frozen"/>
      <selection pane="topRight" activeCell="B1" sqref="B1"/>
      <selection pane="bottomLeft" activeCell="A5" sqref="A5"/>
      <selection pane="bottomRight" sqref="A1:A35"/>
    </sheetView>
  </sheetViews>
  <sheetFormatPr defaultColWidth="0" defaultRowHeight="15" zeroHeight="1"/>
  <cols>
    <col min="1" max="1" width="12.5703125" style="1" customWidth="1"/>
    <col min="2" max="2" width="9.140625" style="1" customWidth="1"/>
    <col min="3" max="3" width="4.5703125" style="1" customWidth="1"/>
    <col min="4" max="4" width="19.85546875" style="1" customWidth="1"/>
    <col min="5" max="5" width="6.85546875" style="1" hidden="1" customWidth="1"/>
    <col min="6" max="7" width="62.42578125" style="1" customWidth="1"/>
    <col min="8" max="8" width="9.140625" style="1" customWidth="1"/>
    <col min="9" max="16384" width="9.140625" style="1" hidden="1"/>
  </cols>
  <sheetData>
    <row r="1" spans="1:7" ht="31.5">
      <c r="A1" s="896"/>
      <c r="B1" s="892" t="s">
        <v>1201</v>
      </c>
      <c r="C1" s="892"/>
      <c r="D1" s="892"/>
      <c r="E1" s="892"/>
      <c r="F1" s="892"/>
      <c r="G1" s="892"/>
    </row>
    <row r="2" spans="1:7" ht="14.25" customHeight="1">
      <c r="A2" s="896"/>
      <c r="B2" s="893" t="s">
        <v>1196</v>
      </c>
      <c r="C2" s="893"/>
      <c r="D2" s="893"/>
      <c r="E2" s="893"/>
      <c r="F2" s="893"/>
      <c r="G2" s="893"/>
    </row>
    <row r="3" spans="1:7">
      <c r="A3" s="896"/>
      <c r="B3" s="894"/>
      <c r="C3" s="900" t="s">
        <v>2</v>
      </c>
      <c r="D3" s="900" t="s">
        <v>984</v>
      </c>
      <c r="E3" s="900" t="s">
        <v>985</v>
      </c>
      <c r="F3" s="900" t="s">
        <v>986</v>
      </c>
      <c r="G3" s="900"/>
    </row>
    <row r="4" spans="1:7" ht="15.75" thickBot="1">
      <c r="A4" s="896"/>
      <c r="B4" s="895"/>
      <c r="C4" s="901"/>
      <c r="D4" s="901"/>
      <c r="E4" s="901"/>
      <c r="F4" s="775" t="s">
        <v>987</v>
      </c>
      <c r="G4" s="775" t="s">
        <v>988</v>
      </c>
    </row>
    <row r="5" spans="1:7" ht="15.75">
      <c r="A5" s="896"/>
      <c r="B5" s="897" t="s">
        <v>1197</v>
      </c>
      <c r="C5" s="902">
        <v>1</v>
      </c>
      <c r="D5" s="904" t="s">
        <v>989</v>
      </c>
      <c r="E5" s="776">
        <v>1</v>
      </c>
      <c r="F5" s="767" t="s">
        <v>990</v>
      </c>
      <c r="G5" s="768" t="s">
        <v>991</v>
      </c>
    </row>
    <row r="6" spans="1:7" ht="15.75">
      <c r="A6" s="896"/>
      <c r="B6" s="898"/>
      <c r="C6" s="903"/>
      <c r="D6" s="905"/>
      <c r="E6" s="753">
        <f t="shared" ref="E6:E12" si="0">1+E5</f>
        <v>2</v>
      </c>
      <c r="F6" s="752" t="s">
        <v>992</v>
      </c>
      <c r="G6" s="769" t="s">
        <v>993</v>
      </c>
    </row>
    <row r="7" spans="1:7" ht="15.75">
      <c r="A7" s="896"/>
      <c r="B7" s="898"/>
      <c r="C7" s="903"/>
      <c r="D7" s="905"/>
      <c r="E7" s="753">
        <f t="shared" si="0"/>
        <v>3</v>
      </c>
      <c r="F7" s="752" t="s">
        <v>994</v>
      </c>
      <c r="G7" s="769" t="s">
        <v>995</v>
      </c>
    </row>
    <row r="8" spans="1:7" ht="15.75">
      <c r="A8" s="896"/>
      <c r="B8" s="898"/>
      <c r="C8" s="903"/>
      <c r="D8" s="905"/>
      <c r="E8" s="753">
        <f t="shared" si="0"/>
        <v>4</v>
      </c>
      <c r="F8" s="752" t="s">
        <v>996</v>
      </c>
      <c r="G8" s="769" t="s">
        <v>997</v>
      </c>
    </row>
    <row r="9" spans="1:7" ht="15.75">
      <c r="A9" s="896"/>
      <c r="B9" s="898"/>
      <c r="C9" s="903"/>
      <c r="D9" s="905"/>
      <c r="E9" s="753">
        <f t="shared" si="0"/>
        <v>5</v>
      </c>
      <c r="F9" s="752" t="s">
        <v>998</v>
      </c>
      <c r="G9" s="769" t="s">
        <v>999</v>
      </c>
    </row>
    <row r="10" spans="1:7" ht="15.75">
      <c r="A10" s="896"/>
      <c r="B10" s="898"/>
      <c r="C10" s="903"/>
      <c r="D10" s="905"/>
      <c r="E10" s="753">
        <f t="shared" si="0"/>
        <v>6</v>
      </c>
      <c r="F10" s="752" t="s">
        <v>1000</v>
      </c>
      <c r="G10" s="769" t="s">
        <v>1001</v>
      </c>
    </row>
    <row r="11" spans="1:7" ht="15.75">
      <c r="A11" s="896"/>
      <c r="B11" s="898"/>
      <c r="C11" s="903"/>
      <c r="D11" s="905"/>
      <c r="E11" s="753">
        <f t="shared" si="0"/>
        <v>7</v>
      </c>
      <c r="F11" s="752"/>
      <c r="G11" s="769"/>
    </row>
    <row r="12" spans="1:7" ht="15.75">
      <c r="A12" s="896"/>
      <c r="B12" s="898"/>
      <c r="C12" s="903"/>
      <c r="D12" s="905"/>
      <c r="E12" s="753">
        <f t="shared" si="0"/>
        <v>8</v>
      </c>
      <c r="F12" s="752"/>
      <c r="G12" s="769"/>
    </row>
    <row r="13" spans="1:7" ht="15.75">
      <c r="A13" s="896"/>
      <c r="B13" s="898"/>
      <c r="C13" s="906">
        <v>2</v>
      </c>
      <c r="D13" s="907" t="s">
        <v>1002</v>
      </c>
      <c r="E13" s="753">
        <v>1</v>
      </c>
      <c r="F13" s="752" t="s">
        <v>1003</v>
      </c>
      <c r="G13" s="769" t="s">
        <v>1004</v>
      </c>
    </row>
    <row r="14" spans="1:7" ht="15.75">
      <c r="A14" s="896"/>
      <c r="B14" s="898"/>
      <c r="C14" s="906"/>
      <c r="D14" s="907"/>
      <c r="E14" s="753">
        <f>1+E13</f>
        <v>2</v>
      </c>
      <c r="F14" s="752" t="s">
        <v>1005</v>
      </c>
      <c r="G14" s="769" t="s">
        <v>1006</v>
      </c>
    </row>
    <row r="15" spans="1:7" ht="15.75">
      <c r="A15" s="896"/>
      <c r="B15" s="898"/>
      <c r="C15" s="906"/>
      <c r="D15" s="907"/>
      <c r="E15" s="753">
        <f t="shared" ref="E15:E24" si="1">1+E14</f>
        <v>3</v>
      </c>
      <c r="F15" s="752" t="s">
        <v>1007</v>
      </c>
      <c r="G15" s="769" t="s">
        <v>1008</v>
      </c>
    </row>
    <row r="16" spans="1:7" ht="15.75">
      <c r="A16" s="896"/>
      <c r="B16" s="898"/>
      <c r="C16" s="906"/>
      <c r="D16" s="907"/>
      <c r="E16" s="753">
        <f t="shared" si="1"/>
        <v>4</v>
      </c>
      <c r="F16" s="752" t="s">
        <v>1009</v>
      </c>
      <c r="G16" s="769" t="s">
        <v>1010</v>
      </c>
    </row>
    <row r="17" spans="1:7" ht="15.75">
      <c r="A17" s="896"/>
      <c r="B17" s="898"/>
      <c r="C17" s="906"/>
      <c r="D17" s="907"/>
      <c r="E17" s="753">
        <f t="shared" si="1"/>
        <v>5</v>
      </c>
      <c r="F17" s="752" t="s">
        <v>1011</v>
      </c>
      <c r="G17" s="769" t="s">
        <v>1012</v>
      </c>
    </row>
    <row r="18" spans="1:7" ht="15.75">
      <c r="A18" s="896"/>
      <c r="B18" s="898"/>
      <c r="C18" s="906"/>
      <c r="D18" s="907"/>
      <c r="E18" s="753">
        <f t="shared" si="1"/>
        <v>6</v>
      </c>
      <c r="F18" s="752" t="s">
        <v>1013</v>
      </c>
      <c r="G18" s="769" t="s">
        <v>1014</v>
      </c>
    </row>
    <row r="19" spans="1:7" ht="15.75">
      <c r="A19" s="896"/>
      <c r="B19" s="898"/>
      <c r="C19" s="906"/>
      <c r="D19" s="907"/>
      <c r="E19" s="753">
        <f t="shared" si="1"/>
        <v>7</v>
      </c>
      <c r="F19" s="752" t="s">
        <v>1015</v>
      </c>
      <c r="G19" s="769" t="s">
        <v>1016</v>
      </c>
    </row>
    <row r="20" spans="1:7" ht="15.75">
      <c r="A20" s="896"/>
      <c r="B20" s="898"/>
      <c r="C20" s="906"/>
      <c r="D20" s="907"/>
      <c r="E20" s="753">
        <f t="shared" si="1"/>
        <v>8</v>
      </c>
      <c r="F20" s="752" t="s">
        <v>1017</v>
      </c>
      <c r="G20" s="769" t="s">
        <v>1018</v>
      </c>
    </row>
    <row r="21" spans="1:7" ht="15.75">
      <c r="A21" s="896"/>
      <c r="B21" s="898"/>
      <c r="C21" s="906"/>
      <c r="D21" s="907"/>
      <c r="E21" s="753">
        <f t="shared" si="1"/>
        <v>9</v>
      </c>
      <c r="F21" s="752" t="s">
        <v>1019</v>
      </c>
      <c r="G21" s="769" t="s">
        <v>1020</v>
      </c>
    </row>
    <row r="22" spans="1:7" ht="15.75">
      <c r="A22" s="896"/>
      <c r="B22" s="898"/>
      <c r="C22" s="906"/>
      <c r="D22" s="907"/>
      <c r="E22" s="753">
        <f t="shared" si="1"/>
        <v>10</v>
      </c>
      <c r="F22" s="752" t="s">
        <v>1021</v>
      </c>
      <c r="G22" s="769" t="s">
        <v>1022</v>
      </c>
    </row>
    <row r="23" spans="1:7" ht="15.75">
      <c r="A23" s="896"/>
      <c r="B23" s="898"/>
      <c r="C23" s="906"/>
      <c r="D23" s="907"/>
      <c r="E23" s="753">
        <f t="shared" si="1"/>
        <v>11</v>
      </c>
      <c r="F23" s="752"/>
      <c r="G23" s="769"/>
    </row>
    <row r="24" spans="1:7">
      <c r="A24" s="896"/>
      <c r="B24" s="898"/>
      <c r="C24" s="906"/>
      <c r="D24" s="907"/>
      <c r="E24" s="753">
        <f t="shared" si="1"/>
        <v>12</v>
      </c>
      <c r="F24" s="9"/>
      <c r="G24" s="777"/>
    </row>
    <row r="25" spans="1:7" ht="15.75">
      <c r="A25" s="896"/>
      <c r="B25" s="898"/>
      <c r="C25" s="908">
        <v>3</v>
      </c>
      <c r="D25" s="909" t="s">
        <v>1023</v>
      </c>
      <c r="E25" s="753">
        <v>1</v>
      </c>
      <c r="F25" s="752" t="s">
        <v>1024</v>
      </c>
      <c r="G25" s="769" t="s">
        <v>1025</v>
      </c>
    </row>
    <row r="26" spans="1:7" ht="15.75">
      <c r="A26" s="896"/>
      <c r="B26" s="898"/>
      <c r="C26" s="908"/>
      <c r="D26" s="909"/>
      <c r="E26" s="753">
        <f>1+E25</f>
        <v>2</v>
      </c>
      <c r="F26" s="752" t="s">
        <v>1026</v>
      </c>
      <c r="G26" s="769" t="s">
        <v>1027</v>
      </c>
    </row>
    <row r="27" spans="1:7" ht="15.75">
      <c r="A27" s="896"/>
      <c r="B27" s="898"/>
      <c r="C27" s="908"/>
      <c r="D27" s="909"/>
      <c r="E27" s="753">
        <f>1+E26</f>
        <v>3</v>
      </c>
      <c r="F27" s="752" t="s">
        <v>1028</v>
      </c>
      <c r="G27" s="769" t="s">
        <v>1029</v>
      </c>
    </row>
    <row r="28" spans="1:7" ht="15.75">
      <c r="A28" s="896"/>
      <c r="B28" s="898"/>
      <c r="C28" s="908"/>
      <c r="D28" s="909"/>
      <c r="E28" s="753">
        <f>1+E27</f>
        <v>4</v>
      </c>
      <c r="F28" s="752" t="s">
        <v>1030</v>
      </c>
      <c r="G28" s="769" t="s">
        <v>1031</v>
      </c>
    </row>
    <row r="29" spans="1:7" ht="15.75">
      <c r="A29" s="896"/>
      <c r="B29" s="898"/>
      <c r="C29" s="908"/>
      <c r="D29" s="909"/>
      <c r="E29" s="753">
        <f>1+E28</f>
        <v>5</v>
      </c>
      <c r="F29" s="752"/>
      <c r="G29" s="769"/>
    </row>
    <row r="30" spans="1:7">
      <c r="A30" s="896"/>
      <c r="B30" s="898"/>
      <c r="C30" s="908"/>
      <c r="D30" s="909"/>
      <c r="E30" s="753">
        <f>1+E29</f>
        <v>6</v>
      </c>
      <c r="F30" s="9"/>
      <c r="G30" s="777"/>
    </row>
    <row r="31" spans="1:7" ht="15.75">
      <c r="A31" s="896"/>
      <c r="B31" s="898"/>
      <c r="C31" s="910">
        <v>4</v>
      </c>
      <c r="D31" s="912" t="s">
        <v>1032</v>
      </c>
      <c r="E31" s="753">
        <v>1</v>
      </c>
      <c r="F31" s="752" t="s">
        <v>1033</v>
      </c>
      <c r="G31" s="769" t="s">
        <v>1034</v>
      </c>
    </row>
    <row r="32" spans="1:7" ht="15.75">
      <c r="A32" s="896"/>
      <c r="B32" s="898"/>
      <c r="C32" s="910"/>
      <c r="D32" s="912"/>
      <c r="E32" s="753">
        <f t="shared" ref="E32:E38" si="2">1+E31</f>
        <v>2</v>
      </c>
      <c r="F32" s="752" t="s">
        <v>1035</v>
      </c>
      <c r="G32" s="769" t="s">
        <v>1036</v>
      </c>
    </row>
    <row r="33" spans="1:7" ht="15.75">
      <c r="A33" s="896"/>
      <c r="B33" s="898"/>
      <c r="C33" s="910"/>
      <c r="D33" s="912"/>
      <c r="E33" s="753">
        <f t="shared" si="2"/>
        <v>3</v>
      </c>
      <c r="F33" s="752" t="s">
        <v>1037</v>
      </c>
      <c r="G33" s="769" t="s">
        <v>1038</v>
      </c>
    </row>
    <row r="34" spans="1:7" ht="15.75">
      <c r="A34" s="896"/>
      <c r="B34" s="898"/>
      <c r="C34" s="910"/>
      <c r="D34" s="912"/>
      <c r="E34" s="753">
        <f t="shared" si="2"/>
        <v>4</v>
      </c>
      <c r="F34" s="752" t="s">
        <v>1039</v>
      </c>
      <c r="G34" s="769" t="s">
        <v>1040</v>
      </c>
    </row>
    <row r="35" spans="1:7" ht="15.75">
      <c r="A35" s="896"/>
      <c r="B35" s="898"/>
      <c r="C35" s="910"/>
      <c r="D35" s="912"/>
      <c r="E35" s="753">
        <f t="shared" si="2"/>
        <v>5</v>
      </c>
      <c r="F35" s="752" t="s">
        <v>1041</v>
      </c>
      <c r="G35" s="769" t="s">
        <v>1042</v>
      </c>
    </row>
    <row r="36" spans="1:7" ht="15.75">
      <c r="A36" s="750"/>
      <c r="B36" s="898"/>
      <c r="C36" s="910"/>
      <c r="D36" s="912"/>
      <c r="E36" s="753">
        <f t="shared" si="2"/>
        <v>6</v>
      </c>
      <c r="F36" s="752" t="s">
        <v>1043</v>
      </c>
      <c r="G36" s="769" t="s">
        <v>1044</v>
      </c>
    </row>
    <row r="37" spans="1:7" ht="15.75">
      <c r="A37" s="750"/>
      <c r="B37" s="898"/>
      <c r="C37" s="910"/>
      <c r="D37" s="912"/>
      <c r="E37" s="753">
        <f t="shared" si="2"/>
        <v>7</v>
      </c>
      <c r="F37" s="752"/>
      <c r="G37" s="769"/>
    </row>
    <row r="38" spans="1:7" ht="15.75" thickBot="1">
      <c r="A38" s="750"/>
      <c r="B38" s="899"/>
      <c r="C38" s="911"/>
      <c r="D38" s="913"/>
      <c r="E38" s="778">
        <f t="shared" si="2"/>
        <v>8</v>
      </c>
      <c r="F38" s="773"/>
      <c r="G38" s="774"/>
    </row>
    <row r="39" spans="1:7" ht="15.75" thickBot="1">
      <c r="A39" s="750"/>
    </row>
    <row r="40" spans="1:7" ht="15.75" customHeight="1">
      <c r="A40" s="750"/>
      <c r="B40" s="914" t="s">
        <v>1198</v>
      </c>
      <c r="C40" s="953">
        <v>1</v>
      </c>
      <c r="D40" s="956" t="s">
        <v>1045</v>
      </c>
      <c r="E40" s="766">
        <v>1</v>
      </c>
      <c r="F40" s="767" t="s">
        <v>1046</v>
      </c>
      <c r="G40" s="768" t="s">
        <v>1047</v>
      </c>
    </row>
    <row r="41" spans="1:7" ht="15.75">
      <c r="A41" s="750"/>
      <c r="B41" s="915"/>
      <c r="C41" s="954"/>
      <c r="D41" s="957"/>
      <c r="E41" s="124">
        <f>1+E40</f>
        <v>2</v>
      </c>
      <c r="F41" s="752" t="s">
        <v>1048</v>
      </c>
      <c r="G41" s="769" t="s">
        <v>1049</v>
      </c>
    </row>
    <row r="42" spans="1:7" ht="15.75">
      <c r="A42" s="750"/>
      <c r="B42" s="915"/>
      <c r="C42" s="954"/>
      <c r="D42" s="957"/>
      <c r="E42" s="124">
        <f t="shared" ref="E42:E50" si="3">1+E41</f>
        <v>3</v>
      </c>
      <c r="F42" s="752" t="s">
        <v>1050</v>
      </c>
      <c r="G42" s="769" t="s">
        <v>1051</v>
      </c>
    </row>
    <row r="43" spans="1:7" ht="15.75">
      <c r="A43" s="750"/>
      <c r="B43" s="915"/>
      <c r="C43" s="954"/>
      <c r="D43" s="957"/>
      <c r="E43" s="124">
        <f t="shared" si="3"/>
        <v>4</v>
      </c>
      <c r="F43" s="752" t="s">
        <v>1052</v>
      </c>
      <c r="G43" s="769" t="s">
        <v>1053</v>
      </c>
    </row>
    <row r="44" spans="1:7" ht="15.75">
      <c r="A44" s="750"/>
      <c r="B44" s="915"/>
      <c r="C44" s="954"/>
      <c r="D44" s="957"/>
      <c r="E44" s="124">
        <f t="shared" si="3"/>
        <v>5</v>
      </c>
      <c r="F44" s="752" t="s">
        <v>1054</v>
      </c>
      <c r="G44" s="769" t="s">
        <v>1055</v>
      </c>
    </row>
    <row r="45" spans="1:7" ht="15.75">
      <c r="A45" s="750"/>
      <c r="B45" s="915"/>
      <c r="C45" s="954"/>
      <c r="D45" s="957"/>
      <c r="E45" s="124">
        <f t="shared" si="3"/>
        <v>6</v>
      </c>
      <c r="F45" s="752" t="s">
        <v>1056</v>
      </c>
      <c r="G45" s="769" t="s">
        <v>1057</v>
      </c>
    </row>
    <row r="46" spans="1:7" ht="15.75">
      <c r="A46" s="750"/>
      <c r="B46" s="915"/>
      <c r="C46" s="954"/>
      <c r="D46" s="957"/>
      <c r="E46" s="124">
        <f t="shared" si="3"/>
        <v>7</v>
      </c>
      <c r="F46" s="752" t="s">
        <v>1058</v>
      </c>
      <c r="G46" s="769" t="s">
        <v>1059</v>
      </c>
    </row>
    <row r="47" spans="1:7" ht="15.75">
      <c r="A47" s="750"/>
      <c r="B47" s="915"/>
      <c r="C47" s="954"/>
      <c r="D47" s="957"/>
      <c r="E47" s="124">
        <f t="shared" si="3"/>
        <v>8</v>
      </c>
      <c r="F47" s="752" t="s">
        <v>1060</v>
      </c>
      <c r="G47" s="769" t="s">
        <v>1061</v>
      </c>
    </row>
    <row r="48" spans="1:7" ht="15.75">
      <c r="A48" s="750"/>
      <c r="B48" s="915"/>
      <c r="C48" s="954"/>
      <c r="D48" s="957"/>
      <c r="E48" s="124">
        <f t="shared" si="3"/>
        <v>9</v>
      </c>
      <c r="F48" s="752" t="s">
        <v>1062</v>
      </c>
      <c r="G48" s="769" t="s">
        <v>1063</v>
      </c>
    </row>
    <row r="49" spans="1:7" ht="15.75">
      <c r="A49" s="750"/>
      <c r="B49" s="915"/>
      <c r="C49" s="954"/>
      <c r="D49" s="957"/>
      <c r="E49" s="124">
        <f t="shared" si="3"/>
        <v>10</v>
      </c>
      <c r="F49" s="752" t="s">
        <v>1064</v>
      </c>
      <c r="G49" s="769" t="s">
        <v>1065</v>
      </c>
    </row>
    <row r="50" spans="1:7">
      <c r="A50" s="750"/>
      <c r="B50" s="915"/>
      <c r="C50" s="955"/>
      <c r="D50" s="958"/>
      <c r="E50" s="754">
        <f t="shared" si="3"/>
        <v>11</v>
      </c>
      <c r="F50" s="770"/>
      <c r="G50" s="771"/>
    </row>
    <row r="51" spans="1:7" ht="15.75">
      <c r="A51" s="750"/>
      <c r="B51" s="915"/>
      <c r="C51" s="935">
        <v>2</v>
      </c>
      <c r="D51" s="938" t="s">
        <v>1066</v>
      </c>
      <c r="E51" s="754">
        <v>1</v>
      </c>
      <c r="F51" s="752" t="s">
        <v>1067</v>
      </c>
      <c r="G51" s="769" t="s">
        <v>1068</v>
      </c>
    </row>
    <row r="52" spans="1:7" ht="15.75">
      <c r="A52" s="750"/>
      <c r="B52" s="915"/>
      <c r="C52" s="936"/>
      <c r="D52" s="939"/>
      <c r="E52" s="124">
        <f>1+E51</f>
        <v>2</v>
      </c>
      <c r="F52" s="752" t="s">
        <v>1069</v>
      </c>
      <c r="G52" s="769" t="s">
        <v>1070</v>
      </c>
    </row>
    <row r="53" spans="1:7" ht="15.75">
      <c r="A53" s="750"/>
      <c r="B53" s="915"/>
      <c r="C53" s="936"/>
      <c r="D53" s="939"/>
      <c r="E53" s="124">
        <f>1+E52</f>
        <v>3</v>
      </c>
      <c r="F53" s="752" t="s">
        <v>1071</v>
      </c>
      <c r="G53" s="769" t="s">
        <v>1072</v>
      </c>
    </row>
    <row r="54" spans="1:7" ht="15.75">
      <c r="A54" s="750"/>
      <c r="B54" s="915"/>
      <c r="C54" s="936"/>
      <c r="D54" s="939"/>
      <c r="E54" s="124">
        <f t="shared" ref="E54:E63" si="4">1+E53</f>
        <v>4</v>
      </c>
      <c r="F54" s="752" t="s">
        <v>1073</v>
      </c>
      <c r="G54" s="769" t="s">
        <v>1074</v>
      </c>
    </row>
    <row r="55" spans="1:7" ht="15.75">
      <c r="A55" s="750"/>
      <c r="B55" s="915"/>
      <c r="C55" s="936"/>
      <c r="D55" s="939"/>
      <c r="E55" s="124">
        <f t="shared" si="4"/>
        <v>5</v>
      </c>
      <c r="F55" s="752" t="s">
        <v>1075</v>
      </c>
      <c r="G55" s="769" t="s">
        <v>1076</v>
      </c>
    </row>
    <row r="56" spans="1:7" ht="15.75">
      <c r="A56" s="750"/>
      <c r="B56" s="915"/>
      <c r="C56" s="936"/>
      <c r="D56" s="939"/>
      <c r="E56" s="124">
        <f t="shared" si="4"/>
        <v>6</v>
      </c>
      <c r="F56" s="752" t="s">
        <v>1077</v>
      </c>
      <c r="G56" s="769" t="s">
        <v>1078</v>
      </c>
    </row>
    <row r="57" spans="1:7" ht="15.75">
      <c r="A57" s="750"/>
      <c r="B57" s="915"/>
      <c r="C57" s="936"/>
      <c r="D57" s="939"/>
      <c r="E57" s="124">
        <f t="shared" si="4"/>
        <v>7</v>
      </c>
      <c r="F57" s="752" t="s">
        <v>1079</v>
      </c>
      <c r="G57" s="769" t="s">
        <v>1080</v>
      </c>
    </row>
    <row r="58" spans="1:7" ht="15.75">
      <c r="A58" s="750"/>
      <c r="B58" s="915"/>
      <c r="C58" s="936"/>
      <c r="D58" s="939"/>
      <c r="E58" s="124">
        <f t="shared" si="4"/>
        <v>8</v>
      </c>
      <c r="F58" s="752" t="s">
        <v>1081</v>
      </c>
      <c r="G58" s="769" t="s">
        <v>1082</v>
      </c>
    </row>
    <row r="59" spans="1:7" ht="15.75">
      <c r="A59" s="750"/>
      <c r="B59" s="915"/>
      <c r="C59" s="936"/>
      <c r="D59" s="939"/>
      <c r="E59" s="124">
        <f t="shared" si="4"/>
        <v>9</v>
      </c>
      <c r="F59" s="752" t="s">
        <v>1083</v>
      </c>
      <c r="G59" s="769" t="s">
        <v>1084</v>
      </c>
    </row>
    <row r="60" spans="1:7" ht="15.75">
      <c r="A60" s="750"/>
      <c r="B60" s="915"/>
      <c r="C60" s="936"/>
      <c r="D60" s="939"/>
      <c r="E60" s="124">
        <f t="shared" si="4"/>
        <v>10</v>
      </c>
      <c r="F60" s="752" t="s">
        <v>1085</v>
      </c>
      <c r="G60" s="769" t="s">
        <v>1086</v>
      </c>
    </row>
    <row r="61" spans="1:7" ht="15.75">
      <c r="A61" s="750"/>
      <c r="B61" s="915"/>
      <c r="C61" s="936"/>
      <c r="D61" s="939"/>
      <c r="E61" s="124">
        <f t="shared" si="4"/>
        <v>11</v>
      </c>
      <c r="F61" s="752" t="s">
        <v>1087</v>
      </c>
      <c r="G61" s="769" t="s">
        <v>1087</v>
      </c>
    </row>
    <row r="62" spans="1:7" ht="15.75">
      <c r="A62" s="750"/>
      <c r="B62" s="915"/>
      <c r="C62" s="936"/>
      <c r="D62" s="939"/>
      <c r="E62" s="124">
        <f t="shared" si="4"/>
        <v>12</v>
      </c>
      <c r="F62" s="752" t="s">
        <v>1088</v>
      </c>
      <c r="G62" s="769" t="s">
        <v>1089</v>
      </c>
    </row>
    <row r="63" spans="1:7">
      <c r="A63" s="750"/>
      <c r="B63" s="915"/>
      <c r="C63" s="937"/>
      <c r="D63" s="940"/>
      <c r="E63" s="754">
        <f t="shared" si="4"/>
        <v>13</v>
      </c>
      <c r="F63" s="770"/>
      <c r="G63" s="771"/>
    </row>
    <row r="64" spans="1:7" ht="15.75">
      <c r="A64" s="750"/>
      <c r="B64" s="915"/>
      <c r="C64" s="941">
        <v>3</v>
      </c>
      <c r="D64" s="944" t="s">
        <v>1090</v>
      </c>
      <c r="E64" s="754">
        <v>1</v>
      </c>
      <c r="F64" s="752" t="s">
        <v>1091</v>
      </c>
      <c r="G64" s="769" t="s">
        <v>1092</v>
      </c>
    </row>
    <row r="65" spans="1:7" ht="15.75">
      <c r="A65" s="750"/>
      <c r="B65" s="915"/>
      <c r="C65" s="942"/>
      <c r="D65" s="945"/>
      <c r="E65" s="124">
        <f>1+E64</f>
        <v>2</v>
      </c>
      <c r="F65" s="752" t="s">
        <v>1093</v>
      </c>
      <c r="G65" s="769" t="s">
        <v>1094</v>
      </c>
    </row>
    <row r="66" spans="1:7" ht="15.75">
      <c r="A66" s="750"/>
      <c r="B66" s="915"/>
      <c r="C66" s="942"/>
      <c r="D66" s="945"/>
      <c r="E66" s="124">
        <f t="shared" ref="E66:E74" si="5">1+E65</f>
        <v>3</v>
      </c>
      <c r="F66" s="752" t="s">
        <v>1095</v>
      </c>
      <c r="G66" s="769" t="s">
        <v>1096</v>
      </c>
    </row>
    <row r="67" spans="1:7" ht="15.75">
      <c r="A67" s="750"/>
      <c r="B67" s="915"/>
      <c r="C67" s="942"/>
      <c r="D67" s="945"/>
      <c r="E67" s="124">
        <f t="shared" si="5"/>
        <v>4</v>
      </c>
      <c r="F67" s="752" t="s">
        <v>1097</v>
      </c>
      <c r="G67" s="769" t="s">
        <v>1098</v>
      </c>
    </row>
    <row r="68" spans="1:7" ht="15.75">
      <c r="A68" s="750"/>
      <c r="B68" s="915"/>
      <c r="C68" s="942"/>
      <c r="D68" s="945"/>
      <c r="E68" s="124">
        <f t="shared" si="5"/>
        <v>5</v>
      </c>
      <c r="F68" s="752" t="s">
        <v>1099</v>
      </c>
      <c r="G68" s="769" t="s">
        <v>1100</v>
      </c>
    </row>
    <row r="69" spans="1:7" ht="15.75">
      <c r="A69" s="750"/>
      <c r="B69" s="915"/>
      <c r="C69" s="942"/>
      <c r="D69" s="945"/>
      <c r="E69" s="124">
        <f t="shared" si="5"/>
        <v>6</v>
      </c>
      <c r="F69" s="752" t="s">
        <v>1081</v>
      </c>
      <c r="G69" s="769" t="s">
        <v>1101</v>
      </c>
    </row>
    <row r="70" spans="1:7" ht="15.75">
      <c r="A70" s="750"/>
      <c r="B70" s="915"/>
      <c r="C70" s="942"/>
      <c r="D70" s="945"/>
      <c r="E70" s="124">
        <f t="shared" si="5"/>
        <v>7</v>
      </c>
      <c r="F70" s="752" t="s">
        <v>1102</v>
      </c>
      <c r="G70" s="769" t="s">
        <v>1103</v>
      </c>
    </row>
    <row r="71" spans="1:7" ht="15.75">
      <c r="A71" s="750"/>
      <c r="B71" s="915"/>
      <c r="C71" s="942"/>
      <c r="D71" s="945"/>
      <c r="E71" s="124">
        <f t="shared" si="5"/>
        <v>8</v>
      </c>
      <c r="F71" s="752" t="s">
        <v>1104</v>
      </c>
      <c r="G71" s="769" t="s">
        <v>1105</v>
      </c>
    </row>
    <row r="72" spans="1:7" ht="15.75">
      <c r="A72" s="750"/>
      <c r="B72" s="915"/>
      <c r="C72" s="942"/>
      <c r="D72" s="945"/>
      <c r="E72" s="124">
        <f t="shared" si="5"/>
        <v>9</v>
      </c>
      <c r="F72" s="752" t="s">
        <v>1106</v>
      </c>
      <c r="G72" s="769" t="s">
        <v>1107</v>
      </c>
    </row>
    <row r="73" spans="1:7" ht="15.75">
      <c r="A73" s="750"/>
      <c r="B73" s="915"/>
      <c r="C73" s="942"/>
      <c r="D73" s="945"/>
      <c r="E73" s="124">
        <f t="shared" si="5"/>
        <v>10</v>
      </c>
      <c r="F73" s="752" t="s">
        <v>1108</v>
      </c>
      <c r="G73" s="769" t="s">
        <v>1109</v>
      </c>
    </row>
    <row r="74" spans="1:7">
      <c r="A74" s="750"/>
      <c r="B74" s="915"/>
      <c r="C74" s="943"/>
      <c r="D74" s="946"/>
      <c r="E74" s="124">
        <f t="shared" si="5"/>
        <v>11</v>
      </c>
      <c r="F74" s="770"/>
      <c r="G74" s="771"/>
    </row>
    <row r="75" spans="1:7" ht="15.75">
      <c r="A75" s="750"/>
      <c r="B75" s="915"/>
      <c r="C75" s="947">
        <v>4</v>
      </c>
      <c r="D75" s="950" t="s">
        <v>1110</v>
      </c>
      <c r="E75" s="124">
        <v>1</v>
      </c>
      <c r="F75" s="752" t="s">
        <v>1111</v>
      </c>
      <c r="G75" s="769" t="s">
        <v>1112</v>
      </c>
    </row>
    <row r="76" spans="1:7" ht="15.75">
      <c r="A76" s="750"/>
      <c r="B76" s="915"/>
      <c r="C76" s="948"/>
      <c r="D76" s="951"/>
      <c r="E76" s="124">
        <f>1+E75</f>
        <v>2</v>
      </c>
      <c r="F76" s="752" t="s">
        <v>1113</v>
      </c>
      <c r="G76" s="769" t="s">
        <v>1114</v>
      </c>
    </row>
    <row r="77" spans="1:7" ht="15.75">
      <c r="A77" s="750"/>
      <c r="B77" s="915"/>
      <c r="C77" s="948"/>
      <c r="D77" s="951"/>
      <c r="E77" s="124">
        <f t="shared" ref="E77:E83" si="6">1+E76</f>
        <v>3</v>
      </c>
      <c r="F77" s="752" t="s">
        <v>1115</v>
      </c>
      <c r="G77" s="769" t="s">
        <v>1116</v>
      </c>
    </row>
    <row r="78" spans="1:7" ht="15.75">
      <c r="A78" s="750"/>
      <c r="B78" s="915"/>
      <c r="C78" s="948"/>
      <c r="D78" s="951"/>
      <c r="E78" s="124">
        <f t="shared" si="6"/>
        <v>4</v>
      </c>
      <c r="F78" s="752" t="s">
        <v>1117</v>
      </c>
      <c r="G78" s="769" t="s">
        <v>1118</v>
      </c>
    </row>
    <row r="79" spans="1:7" ht="15.75">
      <c r="A79" s="750"/>
      <c r="B79" s="915"/>
      <c r="C79" s="948"/>
      <c r="D79" s="951"/>
      <c r="E79" s="124">
        <f t="shared" si="6"/>
        <v>5</v>
      </c>
      <c r="F79" s="752" t="s">
        <v>1119</v>
      </c>
      <c r="G79" s="769" t="s">
        <v>1120</v>
      </c>
    </row>
    <row r="80" spans="1:7" ht="15.75">
      <c r="A80" s="750"/>
      <c r="B80" s="915"/>
      <c r="C80" s="948"/>
      <c r="D80" s="951"/>
      <c r="E80" s="124">
        <f t="shared" si="6"/>
        <v>6</v>
      </c>
      <c r="F80" s="752" t="s">
        <v>1121</v>
      </c>
      <c r="G80" s="769" t="s">
        <v>1122</v>
      </c>
    </row>
    <row r="81" spans="1:7" ht="15.75">
      <c r="A81" s="750"/>
      <c r="B81" s="915"/>
      <c r="C81" s="948"/>
      <c r="D81" s="951"/>
      <c r="E81" s="124">
        <f t="shared" si="6"/>
        <v>7</v>
      </c>
      <c r="F81" s="752" t="s">
        <v>1123</v>
      </c>
      <c r="G81" s="769" t="s">
        <v>1124</v>
      </c>
    </row>
    <row r="82" spans="1:7" ht="15.75">
      <c r="A82" s="750"/>
      <c r="B82" s="915"/>
      <c r="C82" s="948"/>
      <c r="D82" s="951"/>
      <c r="E82" s="124">
        <f t="shared" si="6"/>
        <v>8</v>
      </c>
      <c r="F82" s="752" t="s">
        <v>1125</v>
      </c>
      <c r="G82" s="769" t="s">
        <v>1126</v>
      </c>
    </row>
    <row r="83" spans="1:7">
      <c r="A83" s="750"/>
      <c r="B83" s="915"/>
      <c r="C83" s="949"/>
      <c r="D83" s="952"/>
      <c r="E83" s="754">
        <f t="shared" si="6"/>
        <v>9</v>
      </c>
      <c r="F83" s="770"/>
      <c r="G83" s="771"/>
    </row>
    <row r="84" spans="1:7" ht="15.75">
      <c r="A84" s="750"/>
      <c r="B84" s="915"/>
      <c r="C84" s="917">
        <v>5</v>
      </c>
      <c r="D84" s="920" t="s">
        <v>1127</v>
      </c>
      <c r="E84" s="754">
        <v>1</v>
      </c>
      <c r="F84" s="752" t="s">
        <v>1128</v>
      </c>
      <c r="G84" s="769" t="s">
        <v>1129</v>
      </c>
    </row>
    <row r="85" spans="1:7" ht="15.75">
      <c r="A85" s="750"/>
      <c r="B85" s="915"/>
      <c r="C85" s="918"/>
      <c r="D85" s="921"/>
      <c r="E85" s="124">
        <f>1+E84</f>
        <v>2</v>
      </c>
      <c r="F85" s="752" t="s">
        <v>1130</v>
      </c>
      <c r="G85" s="769" t="s">
        <v>1131</v>
      </c>
    </row>
    <row r="86" spans="1:7" ht="15.75">
      <c r="A86" s="750"/>
      <c r="B86" s="915"/>
      <c r="C86" s="918"/>
      <c r="D86" s="921"/>
      <c r="E86" s="124">
        <f>1+E85</f>
        <v>3</v>
      </c>
      <c r="F86" s="752" t="s">
        <v>1132</v>
      </c>
      <c r="G86" s="769" t="s">
        <v>1133</v>
      </c>
    </row>
    <row r="87" spans="1:7" ht="15.75">
      <c r="A87" s="750"/>
      <c r="B87" s="915"/>
      <c r="C87" s="918"/>
      <c r="D87" s="921"/>
      <c r="E87" s="124">
        <f t="shared" ref="E87:E92" si="7">1+E86</f>
        <v>4</v>
      </c>
      <c r="F87" s="752" t="s">
        <v>1134</v>
      </c>
      <c r="G87" s="769" t="s">
        <v>1135</v>
      </c>
    </row>
    <row r="88" spans="1:7" ht="15.75">
      <c r="A88" s="750"/>
      <c r="B88" s="915"/>
      <c r="C88" s="918"/>
      <c r="D88" s="921"/>
      <c r="E88" s="124">
        <f t="shared" si="7"/>
        <v>5</v>
      </c>
      <c r="F88" s="752" t="s">
        <v>1136</v>
      </c>
      <c r="G88" s="769" t="s">
        <v>1137</v>
      </c>
    </row>
    <row r="89" spans="1:7" ht="15.75">
      <c r="A89" s="750"/>
      <c r="B89" s="915"/>
      <c r="C89" s="918"/>
      <c r="D89" s="921"/>
      <c r="E89" s="124">
        <f t="shared" si="7"/>
        <v>6</v>
      </c>
      <c r="F89" s="752" t="s">
        <v>1138</v>
      </c>
      <c r="G89" s="769" t="s">
        <v>1139</v>
      </c>
    </row>
    <row r="90" spans="1:7" ht="15.75">
      <c r="A90" s="750"/>
      <c r="B90" s="915"/>
      <c r="C90" s="918"/>
      <c r="D90" s="921"/>
      <c r="E90" s="124">
        <f t="shared" si="7"/>
        <v>7</v>
      </c>
      <c r="F90" s="752" t="s">
        <v>1140</v>
      </c>
      <c r="G90" s="769" t="s">
        <v>1141</v>
      </c>
    </row>
    <row r="91" spans="1:7" ht="15.75">
      <c r="A91" s="750"/>
      <c r="B91" s="915"/>
      <c r="C91" s="918"/>
      <c r="D91" s="921"/>
      <c r="E91" s="124">
        <f t="shared" si="7"/>
        <v>8</v>
      </c>
      <c r="F91" s="752" t="s">
        <v>1142</v>
      </c>
      <c r="G91" s="769" t="s">
        <v>1143</v>
      </c>
    </row>
    <row r="92" spans="1:7">
      <c r="A92" s="750"/>
      <c r="B92" s="915"/>
      <c r="C92" s="919"/>
      <c r="D92" s="922"/>
      <c r="E92" s="754">
        <f t="shared" si="7"/>
        <v>9</v>
      </c>
      <c r="F92" s="770"/>
      <c r="G92" s="771"/>
    </row>
    <row r="93" spans="1:7" ht="15.75">
      <c r="A93" s="750"/>
      <c r="B93" s="915"/>
      <c r="C93" s="923">
        <v>6</v>
      </c>
      <c r="D93" s="926" t="s">
        <v>1144</v>
      </c>
      <c r="E93" s="754">
        <v>1</v>
      </c>
      <c r="F93" s="752" t="s">
        <v>1145</v>
      </c>
      <c r="G93" s="769" t="s">
        <v>1146</v>
      </c>
    </row>
    <row r="94" spans="1:7" ht="15.75">
      <c r="A94" s="750"/>
      <c r="B94" s="915"/>
      <c r="C94" s="924"/>
      <c r="D94" s="927"/>
      <c r="E94" s="124">
        <f>1+E93</f>
        <v>2</v>
      </c>
      <c r="F94" s="752" t="s">
        <v>1147</v>
      </c>
      <c r="G94" s="769" t="s">
        <v>1148</v>
      </c>
    </row>
    <row r="95" spans="1:7" ht="15.75">
      <c r="A95" s="750"/>
      <c r="B95" s="915"/>
      <c r="C95" s="924"/>
      <c r="D95" s="927"/>
      <c r="E95" s="124">
        <f>1+E94</f>
        <v>3</v>
      </c>
      <c r="F95" s="752" t="s">
        <v>1149</v>
      </c>
      <c r="G95" s="769" t="s">
        <v>1150</v>
      </c>
    </row>
    <row r="96" spans="1:7" ht="15.75">
      <c r="A96" s="750"/>
      <c r="B96" s="915"/>
      <c r="C96" s="924"/>
      <c r="D96" s="927"/>
      <c r="E96" s="124">
        <f t="shared" ref="E96:E102" si="8">1+E95</f>
        <v>4</v>
      </c>
      <c r="F96" s="752" t="s">
        <v>1151</v>
      </c>
      <c r="G96" s="769" t="s">
        <v>1152</v>
      </c>
    </row>
    <row r="97" spans="1:7" ht="15.75">
      <c r="A97" s="750"/>
      <c r="B97" s="915"/>
      <c r="C97" s="924"/>
      <c r="D97" s="927"/>
      <c r="E97" s="124">
        <f t="shared" si="8"/>
        <v>5</v>
      </c>
      <c r="F97" s="752" t="s">
        <v>1153</v>
      </c>
      <c r="G97" s="769" t="s">
        <v>1154</v>
      </c>
    </row>
    <row r="98" spans="1:7" ht="15.75">
      <c r="A98" s="750"/>
      <c r="B98" s="915"/>
      <c r="C98" s="924"/>
      <c r="D98" s="927"/>
      <c r="E98" s="124">
        <f t="shared" si="8"/>
        <v>6</v>
      </c>
      <c r="F98" s="752" t="s">
        <v>1155</v>
      </c>
      <c r="G98" s="769" t="s">
        <v>1156</v>
      </c>
    </row>
    <row r="99" spans="1:7" ht="15.75">
      <c r="A99" s="750"/>
      <c r="B99" s="915"/>
      <c r="C99" s="924"/>
      <c r="D99" s="927"/>
      <c r="E99" s="124">
        <f t="shared" si="8"/>
        <v>7</v>
      </c>
      <c r="F99" s="752" t="s">
        <v>1157</v>
      </c>
      <c r="G99" s="769" t="s">
        <v>1158</v>
      </c>
    </row>
    <row r="100" spans="1:7" ht="15.75">
      <c r="A100" s="750"/>
      <c r="B100" s="915"/>
      <c r="C100" s="924"/>
      <c r="D100" s="927"/>
      <c r="E100" s="124">
        <f t="shared" si="8"/>
        <v>8</v>
      </c>
      <c r="F100" s="752" t="s">
        <v>1159</v>
      </c>
      <c r="G100" s="769" t="s">
        <v>1160</v>
      </c>
    </row>
    <row r="101" spans="1:7" ht="15.75">
      <c r="A101" s="750"/>
      <c r="B101" s="915"/>
      <c r="C101" s="924"/>
      <c r="D101" s="927"/>
      <c r="E101" s="124">
        <f t="shared" si="8"/>
        <v>9</v>
      </c>
      <c r="F101" s="752" t="s">
        <v>1161</v>
      </c>
      <c r="G101" s="769" t="s">
        <v>1162</v>
      </c>
    </row>
    <row r="102" spans="1:7">
      <c r="A102" s="750"/>
      <c r="B102" s="915"/>
      <c r="C102" s="925"/>
      <c r="D102" s="928"/>
      <c r="E102" s="754">
        <f t="shared" si="8"/>
        <v>10</v>
      </c>
      <c r="F102" s="770"/>
      <c r="G102" s="771"/>
    </row>
    <row r="103" spans="1:7" ht="15.75">
      <c r="A103" s="750"/>
      <c r="B103" s="915"/>
      <c r="C103" s="929">
        <v>7</v>
      </c>
      <c r="D103" s="932" t="s">
        <v>1163</v>
      </c>
      <c r="E103" s="754">
        <v>1</v>
      </c>
      <c r="F103" s="752" t="s">
        <v>1164</v>
      </c>
      <c r="G103" s="769" t="s">
        <v>1165</v>
      </c>
    </row>
    <row r="104" spans="1:7" ht="15.75">
      <c r="A104" s="750"/>
      <c r="B104" s="915"/>
      <c r="C104" s="930"/>
      <c r="D104" s="933" t="s">
        <v>1163</v>
      </c>
      <c r="E104" s="755">
        <v>2</v>
      </c>
      <c r="F104" s="752" t="s">
        <v>1166</v>
      </c>
      <c r="G104" s="769" t="s">
        <v>1167</v>
      </c>
    </row>
    <row r="105" spans="1:7" ht="15.75">
      <c r="A105" s="750"/>
      <c r="B105" s="915"/>
      <c r="C105" s="930"/>
      <c r="D105" s="933"/>
      <c r="E105" s="754">
        <v>3</v>
      </c>
      <c r="F105" s="752" t="s">
        <v>1168</v>
      </c>
      <c r="G105" s="769" t="s">
        <v>1169</v>
      </c>
    </row>
    <row r="106" spans="1:7" ht="15.75">
      <c r="A106" s="750"/>
      <c r="B106" s="915"/>
      <c r="C106" s="930"/>
      <c r="D106" s="933"/>
      <c r="E106" s="755">
        <v>4</v>
      </c>
      <c r="F106" s="752" t="s">
        <v>1170</v>
      </c>
      <c r="G106" s="769" t="s">
        <v>1171</v>
      </c>
    </row>
    <row r="107" spans="1:7" ht="15.75" thickBot="1">
      <c r="A107" s="750"/>
      <c r="B107" s="916"/>
      <c r="C107" s="931"/>
      <c r="D107" s="934"/>
      <c r="E107" s="772">
        <v>5</v>
      </c>
      <c r="F107" s="773"/>
      <c r="G107" s="774"/>
    </row>
    <row r="108" spans="1:7"/>
  </sheetData>
  <mergeCells count="32">
    <mergeCell ref="D31:D38"/>
    <mergeCell ref="B40:B107"/>
    <mergeCell ref="C84:C92"/>
    <mergeCell ref="D84:D92"/>
    <mergeCell ref="C93:C102"/>
    <mergeCell ref="D93:D102"/>
    <mergeCell ref="C103:C107"/>
    <mergeCell ref="D103:D107"/>
    <mergeCell ref="C51:C63"/>
    <mergeCell ref="D51:D63"/>
    <mergeCell ref="C64:C74"/>
    <mergeCell ref="D64:D74"/>
    <mergeCell ref="C75:C83"/>
    <mergeCell ref="D75:D83"/>
    <mergeCell ref="C40:C50"/>
    <mergeCell ref="D40:D50"/>
    <mergeCell ref="B1:G1"/>
    <mergeCell ref="B2:G2"/>
    <mergeCell ref="B3:B4"/>
    <mergeCell ref="A1:A35"/>
    <mergeCell ref="B5:B38"/>
    <mergeCell ref="C3:C4"/>
    <mergeCell ref="D3:D4"/>
    <mergeCell ref="E3:E4"/>
    <mergeCell ref="F3:G3"/>
    <mergeCell ref="C5:C12"/>
    <mergeCell ref="D5:D12"/>
    <mergeCell ref="C13:C24"/>
    <mergeCell ref="D13:D24"/>
    <mergeCell ref="C25:C30"/>
    <mergeCell ref="D25:D30"/>
    <mergeCell ref="C31:C38"/>
  </mergeCells>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P128"/>
  <sheetViews>
    <sheetView topLeftCell="B1" zoomScaleNormal="100" workbookViewId="0"/>
  </sheetViews>
  <sheetFormatPr defaultColWidth="0" defaultRowHeight="30" customHeight="1"/>
  <cols>
    <col min="1" max="1" width="1.42578125" style="104" hidden="1" customWidth="1"/>
    <col min="2" max="2" width="14" style="104" customWidth="1"/>
    <col min="3" max="3" width="6.140625" style="104" customWidth="1"/>
    <col min="4" max="4" width="17.140625" style="104" customWidth="1"/>
    <col min="5" max="5" width="6.7109375" style="810" customWidth="1"/>
    <col min="6" max="6" width="21.28515625" style="104" customWidth="1"/>
    <col min="7" max="7" width="7.28515625" style="405" hidden="1" customWidth="1"/>
    <col min="8" max="8" width="20.85546875" style="104" customWidth="1"/>
    <col min="9" max="10" width="30.85546875" style="104" customWidth="1"/>
    <col min="11" max="11" width="32.7109375" style="104" customWidth="1"/>
    <col min="12" max="12" width="6.7109375" style="104" hidden="1" customWidth="1"/>
    <col min="13" max="13" width="5.42578125" style="104" hidden="1" customWidth="1"/>
    <col min="14" max="14" width="7.85546875" style="104" hidden="1" customWidth="1"/>
    <col min="15" max="15" width="11.140625" style="104" hidden="1" customWidth="1"/>
    <col min="16" max="18" width="3.140625" style="104" customWidth="1"/>
    <col min="19" max="50" width="21.7109375" style="104" hidden="1" customWidth="1"/>
    <col min="51" max="51" width="7.42578125" style="104" hidden="1" customWidth="1"/>
    <col min="52" max="63" width="3.5703125" style="104" hidden="1" customWidth="1"/>
    <col min="64" max="64" width="9.140625" style="104" hidden="1" customWidth="1"/>
    <col min="65" max="65" width="27.7109375" style="104" hidden="1" customWidth="1"/>
    <col min="66" max="66" width="27.140625" style="104" hidden="1" customWidth="1"/>
    <col min="67" max="67" width="27.5703125" style="104" hidden="1" customWidth="1"/>
    <col min="68" max="68" width="27.85546875" style="104" hidden="1" customWidth="1"/>
    <col min="69" max="16384" width="9.140625" style="104" hidden="1"/>
  </cols>
  <sheetData>
    <row r="1" spans="2:62" ht="23.25">
      <c r="B1" s="758"/>
      <c r="C1" s="960" t="s">
        <v>1182</v>
      </c>
      <c r="D1" s="960"/>
      <c r="E1" s="960"/>
      <c r="F1" s="960"/>
      <c r="G1" s="960"/>
      <c r="H1" s="960"/>
      <c r="I1" s="960"/>
      <c r="J1" s="960"/>
      <c r="K1" s="960"/>
      <c r="L1" s="960"/>
      <c r="M1" s="960"/>
      <c r="N1" s="960"/>
      <c r="O1" s="960"/>
    </row>
    <row r="2" spans="2:62" ht="17.25">
      <c r="B2" s="758"/>
      <c r="C2" s="780"/>
      <c r="D2" s="780"/>
      <c r="E2" s="781"/>
      <c r="F2" s="780"/>
      <c r="G2" s="782"/>
      <c r="H2" s="780"/>
      <c r="I2" s="783"/>
      <c r="J2" s="783"/>
      <c r="K2" s="783"/>
      <c r="L2" s="784"/>
      <c r="M2" s="784"/>
    </row>
    <row r="3" spans="2:62" ht="15.75">
      <c r="B3" s="758"/>
      <c r="C3" s="785" t="s">
        <v>11</v>
      </c>
      <c r="D3" s="786"/>
      <c r="E3" s="787" t="s">
        <v>188</v>
      </c>
      <c r="F3" s="788" t="str">
        <f>DEPAN!E10</f>
        <v>SDN UJUNG ASPAL 01</v>
      </c>
      <c r="G3" s="782"/>
      <c r="H3" s="787"/>
    </row>
    <row r="4" spans="2:62" ht="15.75">
      <c r="B4" s="758"/>
      <c r="C4" s="785" t="s">
        <v>629</v>
      </c>
      <c r="D4" s="786"/>
      <c r="E4" s="787" t="s">
        <v>188</v>
      </c>
      <c r="F4" s="789" t="str">
        <f>DEPAN!E14</f>
        <v>4 (Empat)</v>
      </c>
      <c r="G4" s="782"/>
      <c r="H4" s="780"/>
    </row>
    <row r="5" spans="2:62" ht="15.75">
      <c r="B5" s="758"/>
      <c r="C5" s="785" t="s">
        <v>13</v>
      </c>
      <c r="D5" s="786"/>
      <c r="E5" s="787" t="s">
        <v>188</v>
      </c>
      <c r="F5" s="789" t="str">
        <f>DEPAN!G14</f>
        <v>Genap</v>
      </c>
      <c r="G5" s="782"/>
      <c r="H5" s="780"/>
    </row>
    <row r="6" spans="2:62" ht="15.75">
      <c r="B6" s="758"/>
      <c r="C6" s="790" t="s">
        <v>590</v>
      </c>
      <c r="D6" s="780"/>
      <c r="E6" s="787" t="s">
        <v>188</v>
      </c>
      <c r="F6" s="789" t="str">
        <f>DEPAN!E15</f>
        <v>2018/2019</v>
      </c>
      <c r="G6" s="782"/>
      <c r="H6" s="780"/>
      <c r="L6" s="784"/>
      <c r="M6" s="784"/>
    </row>
    <row r="7" spans="2:62" ht="15">
      <c r="B7" s="758"/>
      <c r="C7" s="790"/>
      <c r="D7" s="780"/>
      <c r="E7" s="780"/>
      <c r="F7" s="787"/>
      <c r="G7" s="791"/>
      <c r="H7" s="780"/>
      <c r="L7" s="784"/>
      <c r="M7" s="784"/>
    </row>
    <row r="8" spans="2:62" ht="18" customHeight="1">
      <c r="B8" s="758"/>
      <c r="C8" s="964" t="s">
        <v>16</v>
      </c>
      <c r="D8" s="969" t="s">
        <v>1172</v>
      </c>
      <c r="E8" s="969" t="s">
        <v>1173</v>
      </c>
      <c r="F8" s="964" t="s">
        <v>4</v>
      </c>
      <c r="G8" s="969" t="s">
        <v>1174</v>
      </c>
      <c r="H8" s="964" t="s">
        <v>1192</v>
      </c>
      <c r="I8" s="962" t="s">
        <v>1175</v>
      </c>
      <c r="J8" s="963"/>
      <c r="K8" s="964" t="s">
        <v>1176</v>
      </c>
      <c r="L8" s="792"/>
      <c r="M8" s="792"/>
      <c r="N8" s="793"/>
      <c r="O8" s="793"/>
      <c r="BC8" s="961" t="s">
        <v>1181</v>
      </c>
      <c r="BD8" s="961"/>
      <c r="BE8" s="965" t="s">
        <v>1002</v>
      </c>
      <c r="BF8" s="961"/>
      <c r="BG8" s="966" t="s">
        <v>1023</v>
      </c>
      <c r="BH8" s="967"/>
      <c r="BI8" s="968" t="s">
        <v>1032</v>
      </c>
      <c r="BJ8" s="968"/>
    </row>
    <row r="9" spans="2:62" ht="18" customHeight="1">
      <c r="B9" s="758"/>
      <c r="C9" s="964"/>
      <c r="D9" s="969"/>
      <c r="E9" s="969"/>
      <c r="F9" s="964"/>
      <c r="G9" s="969"/>
      <c r="H9" s="964"/>
      <c r="I9" s="794" t="str">
        <f>[1]KI1!$E$8</f>
        <v>SB (Sangat Baik)</v>
      </c>
      <c r="J9" s="794" t="str">
        <f>[1]KI1!$F$8</f>
        <v>PB (Perlu Bimbingan)</v>
      </c>
      <c r="K9" s="964"/>
      <c r="L9" s="794" t="s">
        <v>1177</v>
      </c>
      <c r="M9" s="794" t="s">
        <v>1178</v>
      </c>
      <c r="N9" s="794" t="s">
        <v>1179</v>
      </c>
      <c r="O9" s="794" t="s">
        <v>1178</v>
      </c>
      <c r="AY9" s="104" t="str">
        <f>IND!D5</f>
        <v>Ketaatan beribadah</v>
      </c>
      <c r="AZ9" s="405">
        <v>1</v>
      </c>
      <c r="BA9" s="405" t="s">
        <v>2</v>
      </c>
      <c r="BB9" s="405" t="s">
        <v>965</v>
      </c>
      <c r="BC9" s="405" t="s">
        <v>297</v>
      </c>
      <c r="BD9" s="405" t="s">
        <v>298</v>
      </c>
      <c r="BE9" s="405" t="s">
        <v>297</v>
      </c>
      <c r="BF9" s="405" t="s">
        <v>298</v>
      </c>
      <c r="BG9" s="405" t="s">
        <v>297</v>
      </c>
      <c r="BH9" s="405" t="s">
        <v>298</v>
      </c>
      <c r="BI9" s="405" t="s">
        <v>297</v>
      </c>
      <c r="BJ9" s="405" t="s">
        <v>298</v>
      </c>
    </row>
    <row r="10" spans="2:62" ht="39.75" customHeight="1">
      <c r="B10" s="758"/>
      <c r="C10" s="795">
        <v>1</v>
      </c>
      <c r="D10" s="756">
        <v>43472</v>
      </c>
      <c r="E10" s="757">
        <v>4</v>
      </c>
      <c r="F10" s="796" t="str">
        <f>IF(E10=0," ",VLOOKUP(E10,SISWA!$A$6:$C$55,3,FALSE))</f>
        <v>Anak 4</v>
      </c>
      <c r="G10" s="797">
        <f>IF(H10=0," ",VLOOKUP(H10,$AY$9:$AZ$12,2,FALSE))</f>
        <v>4</v>
      </c>
      <c r="H10" s="813" t="s">
        <v>1032</v>
      </c>
      <c r="I10" s="760"/>
      <c r="J10" s="760" t="s">
        <v>1036</v>
      </c>
      <c r="K10" s="812"/>
      <c r="L10" s="798" t="str">
        <f>IF(I10=0," ",1)</f>
        <v xml:space="preserve"> </v>
      </c>
      <c r="M10" s="798" t="str">
        <f>IF(G10=0,"", IF(G10=1,"A", IF(G10=2,"B", IF(G10=3,"C", IF(G10=4,"D")))))</f>
        <v>D</v>
      </c>
      <c r="N10" s="444">
        <f>IF(J10=0," ",1)</f>
        <v>1</v>
      </c>
      <c r="O10" s="444" t="str">
        <f t="shared" ref="O10:O41" si="0">IF(G10=0,"", IF(G10=1,"A", IF(G10=2,"B", IF(G10=3,"C", IF(G10=4,"D")))))</f>
        <v>D</v>
      </c>
      <c r="AY10" s="104" t="str">
        <f>IND!D13</f>
        <v>Berperilaku syukur</v>
      </c>
      <c r="AZ10" s="405">
        <v>2</v>
      </c>
      <c r="BA10" s="408">
        <v>1</v>
      </c>
      <c r="BB10" s="799" t="str">
        <f>SISWA!C6</f>
        <v>Anak 1</v>
      </c>
      <c r="BC10" s="408">
        <f t="shared" ref="BC10:BC41" si="1">SUMIFS($L$10:$L$109,$M$10:$M$109,"A",$E$10:$E$109,BA10)</f>
        <v>0</v>
      </c>
      <c r="BD10" s="408">
        <f t="shared" ref="BD10:BD41" si="2">SUMIFS($N$10:$N$109,$O$10:$O$109,"A",$E$10:$E$109,BA10)</f>
        <v>0</v>
      </c>
      <c r="BE10" s="408">
        <f t="shared" ref="BE10:BE41" si="3">SUMIFS($L$10:$L$109,$M$10:$M$109,"B",$E$10:$E$109,BA10)</f>
        <v>0</v>
      </c>
      <c r="BF10" s="408">
        <f t="shared" ref="BF10:BF41" si="4">SUMIFS($N$10:$N$109,$O$10:$O$109,"B",$E$10:$E$109,BA10)</f>
        <v>0</v>
      </c>
      <c r="BG10" s="408">
        <f t="shared" ref="BG10:BG41" si="5">SUMIFS($L$10:$L$109,$M$10:$M$109,"C",$E$10:$E$109,BA10)</f>
        <v>0</v>
      </c>
      <c r="BH10" s="408">
        <f t="shared" ref="BH10:BH41" si="6">SUMIFS($N$10:$N$109,$O$10:$O$109,"C",$E$10:$E$109,BA10)</f>
        <v>0</v>
      </c>
      <c r="BI10" s="408">
        <f t="shared" ref="BI10:BI41" si="7">SUMIFS($L$10:$L$109,$M$10:$M$109,"D",$E$10:$E$109,BA10)</f>
        <v>0</v>
      </c>
      <c r="BJ10" s="408">
        <f t="shared" ref="BJ10:BJ41" si="8">SUMIFS($N$10:$N$109,$O$10:$O$109,"D",$E$10:$E$109,BA10)</f>
        <v>0</v>
      </c>
    </row>
    <row r="11" spans="2:62" ht="39.75" customHeight="1">
      <c r="B11" s="758"/>
      <c r="C11" s="795">
        <v>2</v>
      </c>
      <c r="D11" s="756">
        <v>43472</v>
      </c>
      <c r="E11" s="757">
        <v>3</v>
      </c>
      <c r="F11" s="796" t="str">
        <f>IF(E11=0," ",VLOOKUP(E11,SISWA!$A$6:$C$55,3,FALSE))</f>
        <v>Anak 3</v>
      </c>
      <c r="G11" s="797">
        <f t="shared" ref="G11:G74" si="9">IF(H11=0," ",VLOOKUP(H11,$AY$9:$AZ$12,2,FALSE))</f>
        <v>2</v>
      </c>
      <c r="H11" s="813" t="s">
        <v>1002</v>
      </c>
      <c r="I11" s="760" t="s">
        <v>1013</v>
      </c>
      <c r="J11" s="760"/>
      <c r="K11" s="812"/>
      <c r="L11" s="798">
        <f t="shared" ref="L11:L74" si="10">IF(I11=0," ",1)</f>
        <v>1</v>
      </c>
      <c r="M11" s="798" t="str">
        <f t="shared" ref="M11:M74" si="11">IF(G11=0,"", IF(G11=1,"A", IF(G11=2,"B", IF(G11=3,"C", IF(G11=4,"D")))))</f>
        <v>B</v>
      </c>
      <c r="N11" s="444" t="str">
        <f t="shared" ref="N11:N74" si="12">IF(J11=0," ",1)</f>
        <v xml:space="preserve"> </v>
      </c>
      <c r="O11" s="444" t="str">
        <f t="shared" si="0"/>
        <v>B</v>
      </c>
      <c r="AY11" s="104" t="str">
        <f>IND!D25</f>
        <v>Berdoa sebelum dan sesudah melakukan kegiatan</v>
      </c>
      <c r="AZ11" s="405">
        <v>3</v>
      </c>
      <c r="BA11" s="408">
        <v>2</v>
      </c>
      <c r="BB11" s="799" t="str">
        <f>SISWA!C7</f>
        <v>Anak 2</v>
      </c>
      <c r="BC11" s="408">
        <f t="shared" si="1"/>
        <v>0</v>
      </c>
      <c r="BD11" s="408">
        <f t="shared" si="2"/>
        <v>0</v>
      </c>
      <c r="BE11" s="408">
        <f t="shared" si="3"/>
        <v>0</v>
      </c>
      <c r="BF11" s="408">
        <f t="shared" si="4"/>
        <v>0</v>
      </c>
      <c r="BG11" s="408">
        <f t="shared" si="5"/>
        <v>1</v>
      </c>
      <c r="BH11" s="408">
        <f t="shared" si="6"/>
        <v>0</v>
      </c>
      <c r="BI11" s="408">
        <f t="shared" si="7"/>
        <v>0</v>
      </c>
      <c r="BJ11" s="408">
        <f t="shared" si="8"/>
        <v>0</v>
      </c>
    </row>
    <row r="12" spans="2:62" ht="39.75" customHeight="1">
      <c r="B12" s="758"/>
      <c r="C12" s="795">
        <v>3</v>
      </c>
      <c r="D12" s="756">
        <v>43472</v>
      </c>
      <c r="E12" s="757">
        <v>4</v>
      </c>
      <c r="F12" s="796" t="str">
        <f>IF(E12=0," ",VLOOKUP(E12,SISWA!$A$6:$C$55,3,FALSE))</f>
        <v>Anak 4</v>
      </c>
      <c r="G12" s="797">
        <f t="shared" si="9"/>
        <v>2</v>
      </c>
      <c r="H12" s="813" t="s">
        <v>1002</v>
      </c>
      <c r="I12" s="760"/>
      <c r="J12" s="760" t="s">
        <v>1014</v>
      </c>
      <c r="K12" s="812"/>
      <c r="L12" s="798" t="str">
        <f t="shared" si="10"/>
        <v xml:space="preserve"> </v>
      </c>
      <c r="M12" s="798" t="str">
        <f t="shared" si="11"/>
        <v>B</v>
      </c>
      <c r="N12" s="444">
        <f t="shared" si="12"/>
        <v>1</v>
      </c>
      <c r="O12" s="444" t="str">
        <f t="shared" si="0"/>
        <v>B</v>
      </c>
      <c r="AY12" s="104" t="str">
        <f>IND!D31</f>
        <v>Toleransi dalam beribadah</v>
      </c>
      <c r="AZ12" s="405">
        <v>4</v>
      </c>
      <c r="BA12" s="408">
        <v>3</v>
      </c>
      <c r="BB12" s="799" t="str">
        <f>SISWA!C8</f>
        <v>Anak 3</v>
      </c>
      <c r="BC12" s="408">
        <f t="shared" si="1"/>
        <v>0</v>
      </c>
      <c r="BD12" s="408">
        <f t="shared" si="2"/>
        <v>0</v>
      </c>
      <c r="BE12" s="408">
        <f t="shared" si="3"/>
        <v>1</v>
      </c>
      <c r="BF12" s="408">
        <f t="shared" si="4"/>
        <v>0</v>
      </c>
      <c r="BG12" s="408">
        <f t="shared" si="5"/>
        <v>0</v>
      </c>
      <c r="BH12" s="408">
        <f t="shared" si="6"/>
        <v>0</v>
      </c>
      <c r="BI12" s="408">
        <f t="shared" si="7"/>
        <v>0</v>
      </c>
      <c r="BJ12" s="408">
        <f t="shared" si="8"/>
        <v>0</v>
      </c>
    </row>
    <row r="13" spans="2:62" ht="39.75" customHeight="1">
      <c r="B13" s="758"/>
      <c r="C13" s="795">
        <v>4</v>
      </c>
      <c r="D13" s="756">
        <v>43475</v>
      </c>
      <c r="E13" s="757">
        <v>2</v>
      </c>
      <c r="F13" s="796" t="str">
        <f>IF(E13=0," ",VLOOKUP(E13,SISWA!$A$6:$C$55,3,FALSE))</f>
        <v>Anak 2</v>
      </c>
      <c r="G13" s="797">
        <f t="shared" si="9"/>
        <v>3</v>
      </c>
      <c r="H13" s="813" t="s">
        <v>1023</v>
      </c>
      <c r="I13" s="760" t="s">
        <v>1024</v>
      </c>
      <c r="J13" s="760"/>
      <c r="K13" s="812"/>
      <c r="L13" s="798">
        <f t="shared" si="10"/>
        <v>1</v>
      </c>
      <c r="M13" s="798" t="str">
        <f t="shared" si="11"/>
        <v>C</v>
      </c>
      <c r="N13" s="444" t="str">
        <f t="shared" si="12"/>
        <v xml:space="preserve"> </v>
      </c>
      <c r="O13" s="444" t="str">
        <f t="shared" si="0"/>
        <v>C</v>
      </c>
      <c r="BA13" s="408">
        <v>4</v>
      </c>
      <c r="BB13" s="799" t="str">
        <f>SISWA!C9</f>
        <v>Anak 4</v>
      </c>
      <c r="BC13" s="408">
        <f t="shared" si="1"/>
        <v>0</v>
      </c>
      <c r="BD13" s="408">
        <f t="shared" si="2"/>
        <v>0</v>
      </c>
      <c r="BE13" s="408">
        <f t="shared" si="3"/>
        <v>0</v>
      </c>
      <c r="BF13" s="408">
        <f t="shared" si="4"/>
        <v>1</v>
      </c>
      <c r="BG13" s="408">
        <f t="shared" si="5"/>
        <v>0</v>
      </c>
      <c r="BH13" s="408">
        <f t="shared" si="6"/>
        <v>0</v>
      </c>
      <c r="BI13" s="408">
        <f t="shared" si="7"/>
        <v>0</v>
      </c>
      <c r="BJ13" s="408">
        <f t="shared" si="8"/>
        <v>1</v>
      </c>
    </row>
    <row r="14" spans="2:62" ht="39.75" customHeight="1">
      <c r="B14" s="758"/>
      <c r="C14" s="795">
        <v>5</v>
      </c>
      <c r="D14" s="756">
        <v>43484</v>
      </c>
      <c r="E14" s="757">
        <v>7</v>
      </c>
      <c r="F14" s="796" t="str">
        <f>IF(E14=0," ",VLOOKUP(E14,SISWA!$A$6:$C$55,3,FALSE))</f>
        <v>Anak 7</v>
      </c>
      <c r="G14" s="797">
        <f t="shared" si="9"/>
        <v>1</v>
      </c>
      <c r="H14" s="813" t="s">
        <v>989</v>
      </c>
      <c r="I14" s="760" t="s">
        <v>992</v>
      </c>
      <c r="J14" s="760"/>
      <c r="K14" s="812"/>
      <c r="L14" s="798">
        <f t="shared" si="10"/>
        <v>1</v>
      </c>
      <c r="M14" s="798" t="str">
        <f t="shared" si="11"/>
        <v>A</v>
      </c>
      <c r="N14" s="444" t="str">
        <f t="shared" si="12"/>
        <v xml:space="preserve"> </v>
      </c>
      <c r="O14" s="444" t="str">
        <f t="shared" si="0"/>
        <v>A</v>
      </c>
      <c r="BA14" s="408">
        <v>5</v>
      </c>
      <c r="BB14" s="799" t="str">
        <f>SISWA!C10</f>
        <v>Anak 5</v>
      </c>
      <c r="BC14" s="408">
        <f t="shared" si="1"/>
        <v>0</v>
      </c>
      <c r="BD14" s="408">
        <f t="shared" si="2"/>
        <v>0</v>
      </c>
      <c r="BE14" s="408">
        <f t="shared" si="3"/>
        <v>0</v>
      </c>
      <c r="BF14" s="408">
        <f t="shared" si="4"/>
        <v>0</v>
      </c>
      <c r="BG14" s="408">
        <f t="shared" si="5"/>
        <v>0</v>
      </c>
      <c r="BH14" s="408">
        <f t="shared" si="6"/>
        <v>0</v>
      </c>
      <c r="BI14" s="408">
        <f t="shared" si="7"/>
        <v>0</v>
      </c>
      <c r="BJ14" s="408">
        <f t="shared" si="8"/>
        <v>0</v>
      </c>
    </row>
    <row r="15" spans="2:62" ht="39.75" customHeight="1">
      <c r="B15" s="758"/>
      <c r="C15" s="795">
        <v>6</v>
      </c>
      <c r="D15" s="756"/>
      <c r="E15" s="757"/>
      <c r="F15" s="796" t="str">
        <f>IF(E15=0," ",VLOOKUP(E15,SISWA!$A$6:$C$55,3,FALSE))</f>
        <v xml:space="preserve"> </v>
      </c>
      <c r="G15" s="797" t="str">
        <f t="shared" si="9"/>
        <v xml:space="preserve"> </v>
      </c>
      <c r="H15" s="813"/>
      <c r="I15" s="760"/>
      <c r="J15" s="760"/>
      <c r="K15" s="812"/>
      <c r="L15" s="798" t="str">
        <f t="shared" si="10"/>
        <v xml:space="preserve"> </v>
      </c>
      <c r="M15" s="798" t="b">
        <f t="shared" si="11"/>
        <v>0</v>
      </c>
      <c r="N15" s="444" t="str">
        <f t="shared" si="12"/>
        <v xml:space="preserve"> </v>
      </c>
      <c r="O15" s="444" t="b">
        <f t="shared" si="0"/>
        <v>0</v>
      </c>
      <c r="BA15" s="408">
        <v>6</v>
      </c>
      <c r="BB15" s="799" t="str">
        <f>SISWA!C11</f>
        <v>Anak 6</v>
      </c>
      <c r="BC15" s="408">
        <f t="shared" si="1"/>
        <v>0</v>
      </c>
      <c r="BD15" s="408">
        <f t="shared" si="2"/>
        <v>0</v>
      </c>
      <c r="BE15" s="408">
        <f t="shared" si="3"/>
        <v>0</v>
      </c>
      <c r="BF15" s="408">
        <f t="shared" si="4"/>
        <v>0</v>
      </c>
      <c r="BG15" s="408">
        <f t="shared" si="5"/>
        <v>0</v>
      </c>
      <c r="BH15" s="408">
        <f t="shared" si="6"/>
        <v>0</v>
      </c>
      <c r="BI15" s="408">
        <f t="shared" si="7"/>
        <v>0</v>
      </c>
      <c r="BJ15" s="408">
        <f t="shared" si="8"/>
        <v>0</v>
      </c>
    </row>
    <row r="16" spans="2:62" ht="39.75" customHeight="1">
      <c r="B16" s="758"/>
      <c r="C16" s="795">
        <v>7</v>
      </c>
      <c r="D16" s="756"/>
      <c r="E16" s="757"/>
      <c r="F16" s="796" t="str">
        <f>IF(E16=0," ",VLOOKUP(E16,SISWA!$A$6:$C$55,3,FALSE))</f>
        <v xml:space="preserve"> </v>
      </c>
      <c r="G16" s="797" t="str">
        <f t="shared" si="9"/>
        <v xml:space="preserve"> </v>
      </c>
      <c r="H16" s="813"/>
      <c r="I16" s="760"/>
      <c r="J16" s="760"/>
      <c r="K16" s="812"/>
      <c r="L16" s="798" t="str">
        <f t="shared" si="10"/>
        <v xml:space="preserve"> </v>
      </c>
      <c r="M16" s="798" t="b">
        <f t="shared" si="11"/>
        <v>0</v>
      </c>
      <c r="N16" s="444" t="str">
        <f t="shared" si="12"/>
        <v xml:space="preserve"> </v>
      </c>
      <c r="O16" s="444" t="b">
        <f t="shared" si="0"/>
        <v>0</v>
      </c>
      <c r="P16" s="800"/>
      <c r="BA16" s="408">
        <v>7</v>
      </c>
      <c r="BB16" s="799" t="str">
        <f>SISWA!C12</f>
        <v>Anak 7</v>
      </c>
      <c r="BC16" s="408">
        <f t="shared" si="1"/>
        <v>1</v>
      </c>
      <c r="BD16" s="408">
        <f t="shared" si="2"/>
        <v>0</v>
      </c>
      <c r="BE16" s="408">
        <f t="shared" si="3"/>
        <v>0</v>
      </c>
      <c r="BF16" s="408">
        <f t="shared" si="4"/>
        <v>0</v>
      </c>
      <c r="BG16" s="408">
        <f t="shared" si="5"/>
        <v>0</v>
      </c>
      <c r="BH16" s="408">
        <f t="shared" si="6"/>
        <v>0</v>
      </c>
      <c r="BI16" s="408">
        <f t="shared" si="7"/>
        <v>0</v>
      </c>
      <c r="BJ16" s="408">
        <f t="shared" si="8"/>
        <v>0</v>
      </c>
    </row>
    <row r="17" spans="2:62" ht="39.75" customHeight="1">
      <c r="B17" s="758"/>
      <c r="C17" s="795">
        <v>8</v>
      </c>
      <c r="D17" s="756"/>
      <c r="E17" s="757"/>
      <c r="F17" s="796" t="str">
        <f>IF(E17=0," ",VLOOKUP(E17,SISWA!$A$6:$C$55,3,FALSE))</f>
        <v xml:space="preserve"> </v>
      </c>
      <c r="G17" s="797" t="str">
        <f t="shared" si="9"/>
        <v xml:space="preserve"> </v>
      </c>
      <c r="H17" s="813"/>
      <c r="I17" s="760"/>
      <c r="J17" s="760"/>
      <c r="K17" s="812"/>
      <c r="L17" s="798" t="str">
        <f t="shared" si="10"/>
        <v xml:space="preserve"> </v>
      </c>
      <c r="M17" s="798" t="b">
        <f t="shared" si="11"/>
        <v>0</v>
      </c>
      <c r="N17" s="444" t="str">
        <f t="shared" si="12"/>
        <v xml:space="preserve"> </v>
      </c>
      <c r="O17" s="444" t="b">
        <f t="shared" si="0"/>
        <v>0</v>
      </c>
      <c r="P17" s="800"/>
      <c r="BA17" s="408">
        <v>8</v>
      </c>
      <c r="BB17" s="799" t="str">
        <f>SISWA!C13</f>
        <v>Anak 8</v>
      </c>
      <c r="BC17" s="408">
        <f t="shared" si="1"/>
        <v>0</v>
      </c>
      <c r="BD17" s="408">
        <f t="shared" si="2"/>
        <v>0</v>
      </c>
      <c r="BE17" s="408">
        <f t="shared" si="3"/>
        <v>0</v>
      </c>
      <c r="BF17" s="408">
        <f t="shared" si="4"/>
        <v>0</v>
      </c>
      <c r="BG17" s="408">
        <f t="shared" si="5"/>
        <v>0</v>
      </c>
      <c r="BH17" s="408">
        <f t="shared" si="6"/>
        <v>0</v>
      </c>
      <c r="BI17" s="408">
        <f t="shared" si="7"/>
        <v>0</v>
      </c>
      <c r="BJ17" s="408">
        <f t="shared" si="8"/>
        <v>0</v>
      </c>
    </row>
    <row r="18" spans="2:62" ht="39.75" customHeight="1">
      <c r="B18" s="758"/>
      <c r="C18" s="795">
        <v>9</v>
      </c>
      <c r="D18" s="756"/>
      <c r="E18" s="757"/>
      <c r="F18" s="796" t="str">
        <f>IF(E18=0," ",VLOOKUP(E18,SISWA!$A$6:$C$55,3,FALSE))</f>
        <v xml:space="preserve"> </v>
      </c>
      <c r="G18" s="797" t="str">
        <f t="shared" si="9"/>
        <v xml:space="preserve"> </v>
      </c>
      <c r="H18" s="813"/>
      <c r="I18" s="760"/>
      <c r="J18" s="760"/>
      <c r="K18" s="812"/>
      <c r="L18" s="798" t="str">
        <f t="shared" si="10"/>
        <v xml:space="preserve"> </v>
      </c>
      <c r="M18" s="798" t="b">
        <f t="shared" si="11"/>
        <v>0</v>
      </c>
      <c r="N18" s="444" t="str">
        <f t="shared" si="12"/>
        <v xml:space="preserve"> </v>
      </c>
      <c r="O18" s="444" t="b">
        <f t="shared" si="0"/>
        <v>0</v>
      </c>
      <c r="P18" s="800"/>
      <c r="BA18" s="408">
        <v>9</v>
      </c>
      <c r="BB18" s="799" t="str">
        <f>SISWA!C14</f>
        <v>Anak 9</v>
      </c>
      <c r="BC18" s="408">
        <f t="shared" si="1"/>
        <v>0</v>
      </c>
      <c r="BD18" s="408">
        <f t="shared" si="2"/>
        <v>0</v>
      </c>
      <c r="BE18" s="408">
        <f t="shared" si="3"/>
        <v>0</v>
      </c>
      <c r="BF18" s="408">
        <f t="shared" si="4"/>
        <v>0</v>
      </c>
      <c r="BG18" s="408">
        <f t="shared" si="5"/>
        <v>0</v>
      </c>
      <c r="BH18" s="408">
        <f t="shared" si="6"/>
        <v>0</v>
      </c>
      <c r="BI18" s="408">
        <f t="shared" si="7"/>
        <v>0</v>
      </c>
      <c r="BJ18" s="408">
        <f t="shared" si="8"/>
        <v>0</v>
      </c>
    </row>
    <row r="19" spans="2:62" ht="39.75" customHeight="1">
      <c r="B19" s="758"/>
      <c r="C19" s="795">
        <v>10</v>
      </c>
      <c r="D19" s="756"/>
      <c r="E19" s="757"/>
      <c r="F19" s="796" t="str">
        <f>IF(E19=0," ",VLOOKUP(E19,SISWA!$A$6:$C$55,3,FALSE))</f>
        <v xml:space="preserve"> </v>
      </c>
      <c r="G19" s="797" t="str">
        <f t="shared" si="9"/>
        <v xml:space="preserve"> </v>
      </c>
      <c r="H19" s="813"/>
      <c r="I19" s="760"/>
      <c r="J19" s="760"/>
      <c r="K19" s="812"/>
      <c r="L19" s="798" t="str">
        <f t="shared" si="10"/>
        <v xml:space="preserve"> </v>
      </c>
      <c r="M19" s="798" t="b">
        <f t="shared" si="11"/>
        <v>0</v>
      </c>
      <c r="N19" s="444" t="str">
        <f t="shared" si="12"/>
        <v xml:space="preserve"> </v>
      </c>
      <c r="O19" s="444" t="b">
        <f t="shared" si="0"/>
        <v>0</v>
      </c>
      <c r="P19" s="801"/>
      <c r="BA19" s="408">
        <v>10</v>
      </c>
      <c r="BB19" s="799" t="str">
        <f>SISWA!C15</f>
        <v>Anak 10</v>
      </c>
      <c r="BC19" s="408">
        <f t="shared" si="1"/>
        <v>0</v>
      </c>
      <c r="BD19" s="408">
        <f t="shared" si="2"/>
        <v>0</v>
      </c>
      <c r="BE19" s="408">
        <f t="shared" si="3"/>
        <v>0</v>
      </c>
      <c r="BF19" s="408">
        <f t="shared" si="4"/>
        <v>0</v>
      </c>
      <c r="BG19" s="408">
        <f t="shared" si="5"/>
        <v>0</v>
      </c>
      <c r="BH19" s="408">
        <f t="shared" si="6"/>
        <v>0</v>
      </c>
      <c r="BI19" s="408">
        <f t="shared" si="7"/>
        <v>0</v>
      </c>
      <c r="BJ19" s="408">
        <f t="shared" si="8"/>
        <v>0</v>
      </c>
    </row>
    <row r="20" spans="2:62" ht="39.75" customHeight="1">
      <c r="B20" s="758"/>
      <c r="C20" s="795">
        <v>11</v>
      </c>
      <c r="D20" s="756"/>
      <c r="E20" s="757"/>
      <c r="F20" s="796" t="str">
        <f>IF(E20=0," ",VLOOKUP(E20,SISWA!$A$6:$C$55,3,FALSE))</f>
        <v xml:space="preserve"> </v>
      </c>
      <c r="G20" s="797" t="str">
        <f t="shared" si="9"/>
        <v xml:space="preserve"> </v>
      </c>
      <c r="H20" s="813"/>
      <c r="I20" s="760"/>
      <c r="J20" s="760"/>
      <c r="K20" s="812"/>
      <c r="L20" s="798" t="str">
        <f t="shared" si="10"/>
        <v xml:space="preserve"> </v>
      </c>
      <c r="M20" s="798" t="b">
        <f t="shared" si="11"/>
        <v>0</v>
      </c>
      <c r="N20" s="444" t="str">
        <f t="shared" si="12"/>
        <v xml:space="preserve"> </v>
      </c>
      <c r="O20" s="444" t="b">
        <f t="shared" si="0"/>
        <v>0</v>
      </c>
      <c r="BA20" s="408">
        <v>11</v>
      </c>
      <c r="BB20" s="799" t="str">
        <f>SISWA!C16</f>
        <v>Anak 11</v>
      </c>
      <c r="BC20" s="408">
        <f t="shared" si="1"/>
        <v>0</v>
      </c>
      <c r="BD20" s="408">
        <f t="shared" si="2"/>
        <v>0</v>
      </c>
      <c r="BE20" s="408">
        <f t="shared" si="3"/>
        <v>0</v>
      </c>
      <c r="BF20" s="408">
        <f t="shared" si="4"/>
        <v>0</v>
      </c>
      <c r="BG20" s="408">
        <f t="shared" si="5"/>
        <v>0</v>
      </c>
      <c r="BH20" s="408">
        <f t="shared" si="6"/>
        <v>0</v>
      </c>
      <c r="BI20" s="408">
        <f t="shared" si="7"/>
        <v>0</v>
      </c>
      <c r="BJ20" s="408">
        <f t="shared" si="8"/>
        <v>0</v>
      </c>
    </row>
    <row r="21" spans="2:62" ht="39.75" customHeight="1">
      <c r="B21" s="758"/>
      <c r="C21" s="795">
        <v>12</v>
      </c>
      <c r="D21" s="756"/>
      <c r="E21" s="757"/>
      <c r="F21" s="796" t="str">
        <f>IF(E21=0," ",VLOOKUP(E21,SISWA!$A$6:$C$55,3,FALSE))</f>
        <v xml:space="preserve"> </v>
      </c>
      <c r="G21" s="797" t="str">
        <f t="shared" si="9"/>
        <v xml:space="preserve"> </v>
      </c>
      <c r="H21" s="813"/>
      <c r="I21" s="760"/>
      <c r="J21" s="760"/>
      <c r="K21" s="812"/>
      <c r="L21" s="798" t="str">
        <f t="shared" si="10"/>
        <v xml:space="preserve"> </v>
      </c>
      <c r="M21" s="798" t="b">
        <f t="shared" si="11"/>
        <v>0</v>
      </c>
      <c r="N21" s="444" t="str">
        <f t="shared" si="12"/>
        <v xml:space="preserve"> </v>
      </c>
      <c r="O21" s="444" t="b">
        <f t="shared" si="0"/>
        <v>0</v>
      </c>
      <c r="BA21" s="408">
        <v>12</v>
      </c>
      <c r="BB21" s="799" t="str">
        <f>SISWA!C17</f>
        <v>Anak 12</v>
      </c>
      <c r="BC21" s="408">
        <f t="shared" si="1"/>
        <v>0</v>
      </c>
      <c r="BD21" s="408">
        <f t="shared" si="2"/>
        <v>0</v>
      </c>
      <c r="BE21" s="408">
        <f t="shared" si="3"/>
        <v>0</v>
      </c>
      <c r="BF21" s="408">
        <f t="shared" si="4"/>
        <v>0</v>
      </c>
      <c r="BG21" s="408">
        <f t="shared" si="5"/>
        <v>0</v>
      </c>
      <c r="BH21" s="408">
        <f t="shared" si="6"/>
        <v>0</v>
      </c>
      <c r="BI21" s="408">
        <f t="shared" si="7"/>
        <v>0</v>
      </c>
      <c r="BJ21" s="408">
        <f t="shared" si="8"/>
        <v>0</v>
      </c>
    </row>
    <row r="22" spans="2:62" ht="39.75" customHeight="1">
      <c r="B22" s="758"/>
      <c r="C22" s="795">
        <v>13</v>
      </c>
      <c r="D22" s="756"/>
      <c r="E22" s="757"/>
      <c r="F22" s="796" t="str">
        <f>IF(E22=0," ",VLOOKUP(E22,SISWA!$A$6:$C$55,3,FALSE))</f>
        <v xml:space="preserve"> </v>
      </c>
      <c r="G22" s="797" t="str">
        <f t="shared" si="9"/>
        <v xml:space="preserve"> </v>
      </c>
      <c r="H22" s="813"/>
      <c r="I22" s="760"/>
      <c r="J22" s="760"/>
      <c r="K22" s="812"/>
      <c r="L22" s="798" t="str">
        <f t="shared" si="10"/>
        <v xml:space="preserve"> </v>
      </c>
      <c r="M22" s="798" t="b">
        <f t="shared" si="11"/>
        <v>0</v>
      </c>
      <c r="N22" s="444" t="str">
        <f t="shared" si="12"/>
        <v xml:space="preserve"> </v>
      </c>
      <c r="O22" s="444" t="b">
        <f t="shared" si="0"/>
        <v>0</v>
      </c>
      <c r="BA22" s="408">
        <v>13</v>
      </c>
      <c r="BB22" s="799" t="str">
        <f>SISWA!C18</f>
        <v>Anak 13</v>
      </c>
      <c r="BC22" s="408">
        <f t="shared" si="1"/>
        <v>0</v>
      </c>
      <c r="BD22" s="408">
        <f t="shared" si="2"/>
        <v>0</v>
      </c>
      <c r="BE22" s="408">
        <f t="shared" si="3"/>
        <v>0</v>
      </c>
      <c r="BF22" s="408">
        <f t="shared" si="4"/>
        <v>0</v>
      </c>
      <c r="BG22" s="408">
        <f t="shared" si="5"/>
        <v>0</v>
      </c>
      <c r="BH22" s="408">
        <f t="shared" si="6"/>
        <v>0</v>
      </c>
      <c r="BI22" s="408">
        <f t="shared" si="7"/>
        <v>0</v>
      </c>
      <c r="BJ22" s="408">
        <f t="shared" si="8"/>
        <v>0</v>
      </c>
    </row>
    <row r="23" spans="2:62" ht="39.75" customHeight="1">
      <c r="B23" s="758"/>
      <c r="C23" s="795">
        <v>14</v>
      </c>
      <c r="D23" s="756"/>
      <c r="E23" s="757"/>
      <c r="F23" s="796" t="str">
        <f>IF(E23=0," ",VLOOKUP(E23,SISWA!$A$6:$C$55,3,FALSE))</f>
        <v xml:space="preserve"> </v>
      </c>
      <c r="G23" s="797" t="str">
        <f t="shared" si="9"/>
        <v xml:space="preserve"> </v>
      </c>
      <c r="H23" s="813"/>
      <c r="I23" s="760"/>
      <c r="J23" s="760"/>
      <c r="K23" s="812"/>
      <c r="L23" s="798" t="str">
        <f t="shared" si="10"/>
        <v xml:space="preserve"> </v>
      </c>
      <c r="M23" s="798" t="b">
        <f t="shared" si="11"/>
        <v>0</v>
      </c>
      <c r="N23" s="444" t="str">
        <f t="shared" si="12"/>
        <v xml:space="preserve"> </v>
      </c>
      <c r="O23" s="444" t="b">
        <f t="shared" si="0"/>
        <v>0</v>
      </c>
      <c r="BA23" s="408">
        <v>14</v>
      </c>
      <c r="BB23" s="799" t="str">
        <f>SISWA!C19</f>
        <v>Anak 14</v>
      </c>
      <c r="BC23" s="408">
        <f t="shared" si="1"/>
        <v>0</v>
      </c>
      <c r="BD23" s="408">
        <f t="shared" si="2"/>
        <v>0</v>
      </c>
      <c r="BE23" s="408">
        <f t="shared" si="3"/>
        <v>0</v>
      </c>
      <c r="BF23" s="408">
        <f t="shared" si="4"/>
        <v>0</v>
      </c>
      <c r="BG23" s="408">
        <f t="shared" si="5"/>
        <v>0</v>
      </c>
      <c r="BH23" s="408">
        <f t="shared" si="6"/>
        <v>0</v>
      </c>
      <c r="BI23" s="408">
        <f t="shared" si="7"/>
        <v>0</v>
      </c>
      <c r="BJ23" s="408">
        <f t="shared" si="8"/>
        <v>0</v>
      </c>
    </row>
    <row r="24" spans="2:62" ht="39.75" customHeight="1">
      <c r="B24" s="758"/>
      <c r="C24" s="795">
        <v>15</v>
      </c>
      <c r="D24" s="756"/>
      <c r="E24" s="757"/>
      <c r="F24" s="796" t="str">
        <f>IF(E24=0," ",VLOOKUP(E24,SISWA!$A$6:$C$55,3,FALSE))</f>
        <v xml:space="preserve"> </v>
      </c>
      <c r="G24" s="797" t="str">
        <f t="shared" si="9"/>
        <v xml:space="preserve"> </v>
      </c>
      <c r="H24" s="813"/>
      <c r="I24" s="760"/>
      <c r="J24" s="760"/>
      <c r="K24" s="812"/>
      <c r="L24" s="798" t="str">
        <f t="shared" si="10"/>
        <v xml:space="preserve"> </v>
      </c>
      <c r="M24" s="798" t="b">
        <f t="shared" si="11"/>
        <v>0</v>
      </c>
      <c r="N24" s="444" t="str">
        <f t="shared" si="12"/>
        <v xml:space="preserve"> </v>
      </c>
      <c r="O24" s="444" t="b">
        <f t="shared" si="0"/>
        <v>0</v>
      </c>
      <c r="BA24" s="408">
        <v>15</v>
      </c>
      <c r="BB24" s="799" t="str">
        <f>SISWA!C20</f>
        <v>Anak 15</v>
      </c>
      <c r="BC24" s="408">
        <f t="shared" si="1"/>
        <v>0</v>
      </c>
      <c r="BD24" s="408">
        <f t="shared" si="2"/>
        <v>0</v>
      </c>
      <c r="BE24" s="408">
        <f t="shared" si="3"/>
        <v>0</v>
      </c>
      <c r="BF24" s="408">
        <f t="shared" si="4"/>
        <v>0</v>
      </c>
      <c r="BG24" s="408">
        <f t="shared" si="5"/>
        <v>0</v>
      </c>
      <c r="BH24" s="408">
        <f t="shared" si="6"/>
        <v>0</v>
      </c>
      <c r="BI24" s="408">
        <f t="shared" si="7"/>
        <v>0</v>
      </c>
      <c r="BJ24" s="408">
        <f t="shared" si="8"/>
        <v>0</v>
      </c>
    </row>
    <row r="25" spans="2:62" ht="39.75" customHeight="1">
      <c r="B25" s="758"/>
      <c r="C25" s="795">
        <v>16</v>
      </c>
      <c r="D25" s="756"/>
      <c r="E25" s="757"/>
      <c r="F25" s="796" t="str">
        <f>IF(E25=0," ",VLOOKUP(E25,SISWA!$A$6:$C$55,3,FALSE))</f>
        <v xml:space="preserve"> </v>
      </c>
      <c r="G25" s="797" t="str">
        <f t="shared" si="9"/>
        <v xml:space="preserve"> </v>
      </c>
      <c r="H25" s="813"/>
      <c r="I25" s="760"/>
      <c r="J25" s="760"/>
      <c r="K25" s="812"/>
      <c r="L25" s="798" t="str">
        <f t="shared" si="10"/>
        <v xml:space="preserve"> </v>
      </c>
      <c r="M25" s="798" t="b">
        <f t="shared" si="11"/>
        <v>0</v>
      </c>
      <c r="N25" s="444" t="str">
        <f t="shared" si="12"/>
        <v xml:space="preserve"> </v>
      </c>
      <c r="O25" s="444" t="b">
        <f t="shared" si="0"/>
        <v>0</v>
      </c>
      <c r="BA25" s="408">
        <v>16</v>
      </c>
      <c r="BB25" s="799" t="str">
        <f>SISWA!C21</f>
        <v>Anak 16</v>
      </c>
      <c r="BC25" s="408">
        <f t="shared" si="1"/>
        <v>0</v>
      </c>
      <c r="BD25" s="408">
        <f t="shared" si="2"/>
        <v>0</v>
      </c>
      <c r="BE25" s="408">
        <f t="shared" si="3"/>
        <v>0</v>
      </c>
      <c r="BF25" s="408">
        <f t="shared" si="4"/>
        <v>0</v>
      </c>
      <c r="BG25" s="408">
        <f t="shared" si="5"/>
        <v>0</v>
      </c>
      <c r="BH25" s="408">
        <f t="shared" si="6"/>
        <v>0</v>
      </c>
      <c r="BI25" s="408">
        <f t="shared" si="7"/>
        <v>0</v>
      </c>
      <c r="BJ25" s="408">
        <f t="shared" si="8"/>
        <v>0</v>
      </c>
    </row>
    <row r="26" spans="2:62" ht="39.75" customHeight="1">
      <c r="B26" s="758"/>
      <c r="C26" s="795">
        <v>17</v>
      </c>
      <c r="D26" s="756"/>
      <c r="E26" s="757"/>
      <c r="F26" s="796" t="str">
        <f>IF(E26=0," ",VLOOKUP(E26,SISWA!$A$6:$C$55,3,FALSE))</f>
        <v xml:space="preserve"> </v>
      </c>
      <c r="G26" s="797" t="str">
        <f t="shared" si="9"/>
        <v xml:space="preserve"> </v>
      </c>
      <c r="H26" s="813"/>
      <c r="I26" s="760"/>
      <c r="J26" s="760"/>
      <c r="K26" s="812"/>
      <c r="L26" s="798" t="str">
        <f t="shared" si="10"/>
        <v xml:space="preserve"> </v>
      </c>
      <c r="M26" s="798" t="b">
        <f t="shared" si="11"/>
        <v>0</v>
      </c>
      <c r="N26" s="444" t="str">
        <f t="shared" si="12"/>
        <v xml:space="preserve"> </v>
      </c>
      <c r="O26" s="444" t="b">
        <f t="shared" si="0"/>
        <v>0</v>
      </c>
      <c r="BA26" s="408">
        <v>17</v>
      </c>
      <c r="BB26" s="799" t="str">
        <f>SISWA!C22</f>
        <v>Anak 17</v>
      </c>
      <c r="BC26" s="408">
        <f t="shared" si="1"/>
        <v>0</v>
      </c>
      <c r="BD26" s="408">
        <f t="shared" si="2"/>
        <v>0</v>
      </c>
      <c r="BE26" s="408">
        <f t="shared" si="3"/>
        <v>0</v>
      </c>
      <c r="BF26" s="408">
        <f t="shared" si="4"/>
        <v>0</v>
      </c>
      <c r="BG26" s="408">
        <f t="shared" si="5"/>
        <v>0</v>
      </c>
      <c r="BH26" s="408">
        <f t="shared" si="6"/>
        <v>0</v>
      </c>
      <c r="BI26" s="408">
        <f t="shared" si="7"/>
        <v>0</v>
      </c>
      <c r="BJ26" s="408">
        <f t="shared" si="8"/>
        <v>0</v>
      </c>
    </row>
    <row r="27" spans="2:62" ht="39.75" customHeight="1">
      <c r="B27" s="758"/>
      <c r="C27" s="795">
        <v>18</v>
      </c>
      <c r="D27" s="756"/>
      <c r="E27" s="757"/>
      <c r="F27" s="796" t="str">
        <f>IF(E27=0," ",VLOOKUP(E27,SISWA!$A$6:$C$55,3,FALSE))</f>
        <v xml:space="preserve"> </v>
      </c>
      <c r="G27" s="797" t="str">
        <f t="shared" si="9"/>
        <v xml:space="preserve"> </v>
      </c>
      <c r="H27" s="813"/>
      <c r="I27" s="760"/>
      <c r="J27" s="760"/>
      <c r="K27" s="812"/>
      <c r="L27" s="798" t="str">
        <f t="shared" si="10"/>
        <v xml:space="preserve"> </v>
      </c>
      <c r="M27" s="798" t="b">
        <f t="shared" si="11"/>
        <v>0</v>
      </c>
      <c r="N27" s="444" t="str">
        <f t="shared" si="12"/>
        <v xml:space="preserve"> </v>
      </c>
      <c r="O27" s="444" t="b">
        <f t="shared" si="0"/>
        <v>0</v>
      </c>
      <c r="BA27" s="408">
        <v>18</v>
      </c>
      <c r="BB27" s="799" t="str">
        <f>SISWA!C23</f>
        <v>Anak 18</v>
      </c>
      <c r="BC27" s="408">
        <f t="shared" si="1"/>
        <v>0</v>
      </c>
      <c r="BD27" s="408">
        <f t="shared" si="2"/>
        <v>0</v>
      </c>
      <c r="BE27" s="408">
        <f t="shared" si="3"/>
        <v>0</v>
      </c>
      <c r="BF27" s="408">
        <f t="shared" si="4"/>
        <v>0</v>
      </c>
      <c r="BG27" s="408">
        <f t="shared" si="5"/>
        <v>0</v>
      </c>
      <c r="BH27" s="408">
        <f t="shared" si="6"/>
        <v>0</v>
      </c>
      <c r="BI27" s="408">
        <f t="shared" si="7"/>
        <v>0</v>
      </c>
      <c r="BJ27" s="408">
        <f t="shared" si="8"/>
        <v>0</v>
      </c>
    </row>
    <row r="28" spans="2:62" ht="39.75" customHeight="1">
      <c r="B28" s="758"/>
      <c r="C28" s="795">
        <v>19</v>
      </c>
      <c r="D28" s="756"/>
      <c r="E28" s="757"/>
      <c r="F28" s="796" t="str">
        <f>IF(E28=0," ",VLOOKUP(E28,SISWA!$A$6:$C$55,3,FALSE))</f>
        <v xml:space="preserve"> </v>
      </c>
      <c r="G28" s="797" t="str">
        <f t="shared" si="9"/>
        <v xml:space="preserve"> </v>
      </c>
      <c r="H28" s="813"/>
      <c r="I28" s="760"/>
      <c r="J28" s="760"/>
      <c r="K28" s="812"/>
      <c r="L28" s="798" t="str">
        <f t="shared" si="10"/>
        <v xml:space="preserve"> </v>
      </c>
      <c r="M28" s="798" t="b">
        <f t="shared" si="11"/>
        <v>0</v>
      </c>
      <c r="N28" s="444" t="str">
        <f t="shared" si="12"/>
        <v xml:space="preserve"> </v>
      </c>
      <c r="O28" s="444" t="b">
        <f t="shared" si="0"/>
        <v>0</v>
      </c>
      <c r="BA28" s="408">
        <v>19</v>
      </c>
      <c r="BB28" s="799" t="str">
        <f>SISWA!C24</f>
        <v>Anak 19</v>
      </c>
      <c r="BC28" s="408">
        <f t="shared" si="1"/>
        <v>0</v>
      </c>
      <c r="BD28" s="408">
        <f t="shared" si="2"/>
        <v>0</v>
      </c>
      <c r="BE28" s="408">
        <f t="shared" si="3"/>
        <v>0</v>
      </c>
      <c r="BF28" s="408">
        <f t="shared" si="4"/>
        <v>0</v>
      </c>
      <c r="BG28" s="408">
        <f t="shared" si="5"/>
        <v>0</v>
      </c>
      <c r="BH28" s="408">
        <f t="shared" si="6"/>
        <v>0</v>
      </c>
      <c r="BI28" s="408">
        <f t="shared" si="7"/>
        <v>0</v>
      </c>
      <c r="BJ28" s="408">
        <f t="shared" si="8"/>
        <v>0</v>
      </c>
    </row>
    <row r="29" spans="2:62" ht="39.75" customHeight="1">
      <c r="B29" s="758"/>
      <c r="C29" s="795">
        <v>20</v>
      </c>
      <c r="D29" s="756"/>
      <c r="E29" s="757"/>
      <c r="F29" s="796" t="str">
        <f>IF(E29=0," ",VLOOKUP(E29,SISWA!$A$6:$C$55,3,FALSE))</f>
        <v xml:space="preserve"> </v>
      </c>
      <c r="G29" s="797" t="str">
        <f t="shared" si="9"/>
        <v xml:space="preserve"> </v>
      </c>
      <c r="H29" s="813"/>
      <c r="I29" s="760"/>
      <c r="J29" s="760"/>
      <c r="K29" s="812"/>
      <c r="L29" s="798" t="str">
        <f t="shared" si="10"/>
        <v xml:space="preserve"> </v>
      </c>
      <c r="M29" s="798" t="b">
        <f t="shared" si="11"/>
        <v>0</v>
      </c>
      <c r="N29" s="444" t="str">
        <f t="shared" si="12"/>
        <v xml:space="preserve"> </v>
      </c>
      <c r="O29" s="444" t="b">
        <f t="shared" si="0"/>
        <v>0</v>
      </c>
      <c r="BA29" s="408">
        <v>20</v>
      </c>
      <c r="BB29" s="799" t="str">
        <f>SISWA!C25</f>
        <v>Anak 20</v>
      </c>
      <c r="BC29" s="408">
        <f t="shared" si="1"/>
        <v>0</v>
      </c>
      <c r="BD29" s="408">
        <f t="shared" si="2"/>
        <v>0</v>
      </c>
      <c r="BE29" s="408">
        <f t="shared" si="3"/>
        <v>0</v>
      </c>
      <c r="BF29" s="408">
        <f t="shared" si="4"/>
        <v>0</v>
      </c>
      <c r="BG29" s="408">
        <f t="shared" si="5"/>
        <v>0</v>
      </c>
      <c r="BH29" s="408">
        <f t="shared" si="6"/>
        <v>0</v>
      </c>
      <c r="BI29" s="408">
        <f t="shared" si="7"/>
        <v>0</v>
      </c>
      <c r="BJ29" s="408">
        <f t="shared" si="8"/>
        <v>0</v>
      </c>
    </row>
    <row r="30" spans="2:62" ht="39.75" customHeight="1">
      <c r="B30" s="758"/>
      <c r="C30" s="795">
        <v>21</v>
      </c>
      <c r="D30" s="756"/>
      <c r="E30" s="757"/>
      <c r="F30" s="796" t="str">
        <f>IF(E30=0," ",VLOOKUP(E30,SISWA!$A$6:$C$55,3,FALSE))</f>
        <v xml:space="preserve"> </v>
      </c>
      <c r="G30" s="797" t="str">
        <f t="shared" si="9"/>
        <v xml:space="preserve"> </v>
      </c>
      <c r="H30" s="813"/>
      <c r="I30" s="760"/>
      <c r="J30" s="760"/>
      <c r="K30" s="812"/>
      <c r="L30" s="798" t="str">
        <f t="shared" si="10"/>
        <v xml:space="preserve"> </v>
      </c>
      <c r="M30" s="798" t="b">
        <f t="shared" si="11"/>
        <v>0</v>
      </c>
      <c r="N30" s="444" t="str">
        <f t="shared" si="12"/>
        <v xml:space="preserve"> </v>
      </c>
      <c r="O30" s="444" t="b">
        <f t="shared" si="0"/>
        <v>0</v>
      </c>
      <c r="BA30" s="408">
        <v>21</v>
      </c>
      <c r="BB30" s="799" t="str">
        <f>SISWA!C26</f>
        <v>Anak 21</v>
      </c>
      <c r="BC30" s="408">
        <f t="shared" si="1"/>
        <v>0</v>
      </c>
      <c r="BD30" s="408">
        <f t="shared" si="2"/>
        <v>0</v>
      </c>
      <c r="BE30" s="408">
        <f t="shared" si="3"/>
        <v>0</v>
      </c>
      <c r="BF30" s="408">
        <f t="shared" si="4"/>
        <v>0</v>
      </c>
      <c r="BG30" s="408">
        <f t="shared" si="5"/>
        <v>0</v>
      </c>
      <c r="BH30" s="408">
        <f t="shared" si="6"/>
        <v>0</v>
      </c>
      <c r="BI30" s="408">
        <f t="shared" si="7"/>
        <v>0</v>
      </c>
      <c r="BJ30" s="408">
        <f t="shared" si="8"/>
        <v>0</v>
      </c>
    </row>
    <row r="31" spans="2:62" ht="39.75" customHeight="1">
      <c r="B31" s="758"/>
      <c r="C31" s="795">
        <v>22</v>
      </c>
      <c r="D31" s="756"/>
      <c r="E31" s="757"/>
      <c r="F31" s="796" t="str">
        <f>IF(E31=0," ",VLOOKUP(E31,SISWA!$A$6:$C$55,3,FALSE))</f>
        <v xml:space="preserve"> </v>
      </c>
      <c r="G31" s="797" t="str">
        <f t="shared" si="9"/>
        <v xml:space="preserve"> </v>
      </c>
      <c r="H31" s="813"/>
      <c r="I31" s="760"/>
      <c r="J31" s="760"/>
      <c r="K31" s="812"/>
      <c r="L31" s="798" t="str">
        <f t="shared" si="10"/>
        <v xml:space="preserve"> </v>
      </c>
      <c r="M31" s="798" t="b">
        <f t="shared" si="11"/>
        <v>0</v>
      </c>
      <c r="N31" s="444" t="str">
        <f t="shared" si="12"/>
        <v xml:space="preserve"> </v>
      </c>
      <c r="O31" s="444" t="b">
        <f t="shared" si="0"/>
        <v>0</v>
      </c>
      <c r="BA31" s="408">
        <v>22</v>
      </c>
      <c r="BB31" s="799" t="str">
        <f>SISWA!C27</f>
        <v>Anak 22</v>
      </c>
      <c r="BC31" s="408">
        <f t="shared" si="1"/>
        <v>0</v>
      </c>
      <c r="BD31" s="408">
        <f t="shared" si="2"/>
        <v>0</v>
      </c>
      <c r="BE31" s="408">
        <f t="shared" si="3"/>
        <v>0</v>
      </c>
      <c r="BF31" s="408">
        <f t="shared" si="4"/>
        <v>0</v>
      </c>
      <c r="BG31" s="408">
        <f t="shared" si="5"/>
        <v>0</v>
      </c>
      <c r="BH31" s="408">
        <f t="shared" si="6"/>
        <v>0</v>
      </c>
      <c r="BI31" s="408">
        <f t="shared" si="7"/>
        <v>0</v>
      </c>
      <c r="BJ31" s="408">
        <f t="shared" si="8"/>
        <v>0</v>
      </c>
    </row>
    <row r="32" spans="2:62" ht="39.75" customHeight="1">
      <c r="B32" s="758"/>
      <c r="C32" s="795">
        <v>23</v>
      </c>
      <c r="D32" s="756"/>
      <c r="E32" s="757"/>
      <c r="F32" s="796" t="str">
        <f>IF(E32=0," ",VLOOKUP(E32,SISWA!$A$6:$C$55,3,FALSE))</f>
        <v xml:space="preserve"> </v>
      </c>
      <c r="G32" s="797" t="str">
        <f t="shared" si="9"/>
        <v xml:space="preserve"> </v>
      </c>
      <c r="H32" s="813"/>
      <c r="I32" s="760"/>
      <c r="J32" s="760"/>
      <c r="K32" s="812"/>
      <c r="L32" s="798" t="str">
        <f t="shared" si="10"/>
        <v xml:space="preserve"> </v>
      </c>
      <c r="M32" s="798" t="b">
        <f t="shared" si="11"/>
        <v>0</v>
      </c>
      <c r="N32" s="444" t="str">
        <f t="shared" si="12"/>
        <v xml:space="preserve"> </v>
      </c>
      <c r="O32" s="444" t="b">
        <f t="shared" si="0"/>
        <v>0</v>
      </c>
      <c r="BA32" s="408">
        <v>23</v>
      </c>
      <c r="BB32" s="799" t="str">
        <f>SISWA!C28</f>
        <v>Anak 23</v>
      </c>
      <c r="BC32" s="408">
        <f t="shared" si="1"/>
        <v>0</v>
      </c>
      <c r="BD32" s="408">
        <f t="shared" si="2"/>
        <v>0</v>
      </c>
      <c r="BE32" s="408">
        <f t="shared" si="3"/>
        <v>0</v>
      </c>
      <c r="BF32" s="408">
        <f t="shared" si="4"/>
        <v>0</v>
      </c>
      <c r="BG32" s="408">
        <f t="shared" si="5"/>
        <v>0</v>
      </c>
      <c r="BH32" s="408">
        <f t="shared" si="6"/>
        <v>0</v>
      </c>
      <c r="BI32" s="408">
        <f t="shared" si="7"/>
        <v>0</v>
      </c>
      <c r="BJ32" s="408">
        <f t="shared" si="8"/>
        <v>0</v>
      </c>
    </row>
    <row r="33" spans="2:62" ht="39.75" customHeight="1">
      <c r="B33" s="758"/>
      <c r="C33" s="795">
        <v>24</v>
      </c>
      <c r="D33" s="756"/>
      <c r="E33" s="757"/>
      <c r="F33" s="796" t="str">
        <f>IF(E33=0," ",VLOOKUP(E33,SISWA!$A$6:$C$55,3,FALSE))</f>
        <v xml:space="preserve"> </v>
      </c>
      <c r="G33" s="797" t="str">
        <f t="shared" si="9"/>
        <v xml:space="preserve"> </v>
      </c>
      <c r="H33" s="813"/>
      <c r="I33" s="760"/>
      <c r="J33" s="760"/>
      <c r="K33" s="812"/>
      <c r="L33" s="798" t="str">
        <f t="shared" si="10"/>
        <v xml:space="preserve"> </v>
      </c>
      <c r="M33" s="798" t="b">
        <f t="shared" si="11"/>
        <v>0</v>
      </c>
      <c r="N33" s="444" t="str">
        <f t="shared" si="12"/>
        <v xml:space="preserve"> </v>
      </c>
      <c r="O33" s="444" t="b">
        <f t="shared" si="0"/>
        <v>0</v>
      </c>
      <c r="BA33" s="408">
        <v>24</v>
      </c>
      <c r="BB33" s="799" t="str">
        <f>SISWA!C29</f>
        <v>Anak 24</v>
      </c>
      <c r="BC33" s="408">
        <f t="shared" si="1"/>
        <v>0</v>
      </c>
      <c r="BD33" s="408">
        <f t="shared" si="2"/>
        <v>0</v>
      </c>
      <c r="BE33" s="408">
        <f t="shared" si="3"/>
        <v>0</v>
      </c>
      <c r="BF33" s="408">
        <f t="shared" si="4"/>
        <v>0</v>
      </c>
      <c r="BG33" s="408">
        <f t="shared" si="5"/>
        <v>0</v>
      </c>
      <c r="BH33" s="408">
        <f t="shared" si="6"/>
        <v>0</v>
      </c>
      <c r="BI33" s="408">
        <f t="shared" si="7"/>
        <v>0</v>
      </c>
      <c r="BJ33" s="408">
        <f t="shared" si="8"/>
        <v>0</v>
      </c>
    </row>
    <row r="34" spans="2:62" ht="39.75" customHeight="1">
      <c r="B34" s="758"/>
      <c r="C34" s="795">
        <v>25</v>
      </c>
      <c r="D34" s="756"/>
      <c r="E34" s="757"/>
      <c r="F34" s="796" t="str">
        <f>IF(E34=0," ",VLOOKUP(E34,SISWA!$A$6:$C$55,3,FALSE))</f>
        <v xml:space="preserve"> </v>
      </c>
      <c r="G34" s="797" t="str">
        <f t="shared" si="9"/>
        <v xml:space="preserve"> </v>
      </c>
      <c r="H34" s="813"/>
      <c r="I34" s="760"/>
      <c r="J34" s="760"/>
      <c r="K34" s="812"/>
      <c r="L34" s="798" t="str">
        <f t="shared" si="10"/>
        <v xml:space="preserve"> </v>
      </c>
      <c r="M34" s="798" t="b">
        <f t="shared" si="11"/>
        <v>0</v>
      </c>
      <c r="N34" s="444" t="str">
        <f t="shared" si="12"/>
        <v xml:space="preserve"> </v>
      </c>
      <c r="O34" s="444" t="b">
        <f t="shared" si="0"/>
        <v>0</v>
      </c>
      <c r="BA34" s="408">
        <v>25</v>
      </c>
      <c r="BB34" s="799" t="str">
        <f>SISWA!C30</f>
        <v>Anak 25</v>
      </c>
      <c r="BC34" s="408">
        <f t="shared" si="1"/>
        <v>0</v>
      </c>
      <c r="BD34" s="408">
        <f t="shared" si="2"/>
        <v>0</v>
      </c>
      <c r="BE34" s="408">
        <f t="shared" si="3"/>
        <v>0</v>
      </c>
      <c r="BF34" s="408">
        <f t="shared" si="4"/>
        <v>0</v>
      </c>
      <c r="BG34" s="408">
        <f t="shared" si="5"/>
        <v>0</v>
      </c>
      <c r="BH34" s="408">
        <f t="shared" si="6"/>
        <v>0</v>
      </c>
      <c r="BI34" s="408">
        <f t="shared" si="7"/>
        <v>0</v>
      </c>
      <c r="BJ34" s="408">
        <f t="shared" si="8"/>
        <v>0</v>
      </c>
    </row>
    <row r="35" spans="2:62" ht="39.75" customHeight="1">
      <c r="B35" s="758"/>
      <c r="C35" s="795">
        <v>26</v>
      </c>
      <c r="D35" s="756"/>
      <c r="E35" s="757"/>
      <c r="F35" s="796" t="str">
        <f>IF(E35=0," ",VLOOKUP(E35,SISWA!$A$6:$C$55,3,FALSE))</f>
        <v xml:space="preserve"> </v>
      </c>
      <c r="G35" s="797" t="str">
        <f t="shared" si="9"/>
        <v xml:space="preserve"> </v>
      </c>
      <c r="H35" s="813"/>
      <c r="I35" s="760"/>
      <c r="J35" s="760"/>
      <c r="K35" s="812"/>
      <c r="L35" s="798" t="str">
        <f t="shared" si="10"/>
        <v xml:space="preserve"> </v>
      </c>
      <c r="M35" s="798" t="b">
        <f t="shared" si="11"/>
        <v>0</v>
      </c>
      <c r="N35" s="444" t="str">
        <f t="shared" si="12"/>
        <v xml:space="preserve"> </v>
      </c>
      <c r="O35" s="444" t="b">
        <f t="shared" si="0"/>
        <v>0</v>
      </c>
      <c r="BA35" s="408">
        <v>26</v>
      </c>
      <c r="BB35" s="799" t="str">
        <f>SISWA!C31</f>
        <v>Anak 26</v>
      </c>
      <c r="BC35" s="408">
        <f t="shared" si="1"/>
        <v>0</v>
      </c>
      <c r="BD35" s="408">
        <f t="shared" si="2"/>
        <v>0</v>
      </c>
      <c r="BE35" s="408">
        <f t="shared" si="3"/>
        <v>0</v>
      </c>
      <c r="BF35" s="408">
        <f t="shared" si="4"/>
        <v>0</v>
      </c>
      <c r="BG35" s="408">
        <f t="shared" si="5"/>
        <v>0</v>
      </c>
      <c r="BH35" s="408">
        <f t="shared" si="6"/>
        <v>0</v>
      </c>
      <c r="BI35" s="408">
        <f t="shared" si="7"/>
        <v>0</v>
      </c>
      <c r="BJ35" s="408">
        <f t="shared" si="8"/>
        <v>0</v>
      </c>
    </row>
    <row r="36" spans="2:62" ht="39.75" customHeight="1">
      <c r="B36" s="758"/>
      <c r="C36" s="795">
        <v>27</v>
      </c>
      <c r="D36" s="756"/>
      <c r="E36" s="757"/>
      <c r="F36" s="796" t="str">
        <f>IF(E36=0," ",VLOOKUP(E36,SISWA!$A$6:$C$55,3,FALSE))</f>
        <v xml:space="preserve"> </v>
      </c>
      <c r="G36" s="797" t="str">
        <f t="shared" si="9"/>
        <v xml:space="preserve"> </v>
      </c>
      <c r="H36" s="813"/>
      <c r="I36" s="760"/>
      <c r="J36" s="760"/>
      <c r="K36" s="812"/>
      <c r="L36" s="798" t="str">
        <f t="shared" si="10"/>
        <v xml:space="preserve"> </v>
      </c>
      <c r="M36" s="798" t="b">
        <f t="shared" si="11"/>
        <v>0</v>
      </c>
      <c r="N36" s="444" t="str">
        <f t="shared" si="12"/>
        <v xml:space="preserve"> </v>
      </c>
      <c r="O36" s="444" t="b">
        <f t="shared" si="0"/>
        <v>0</v>
      </c>
      <c r="BA36" s="408">
        <v>27</v>
      </c>
      <c r="BB36" s="799" t="str">
        <f>SISWA!C32</f>
        <v>Anak 27</v>
      </c>
      <c r="BC36" s="408">
        <f t="shared" si="1"/>
        <v>0</v>
      </c>
      <c r="BD36" s="408">
        <f t="shared" si="2"/>
        <v>0</v>
      </c>
      <c r="BE36" s="408">
        <f t="shared" si="3"/>
        <v>0</v>
      </c>
      <c r="BF36" s="408">
        <f t="shared" si="4"/>
        <v>0</v>
      </c>
      <c r="BG36" s="408">
        <f t="shared" si="5"/>
        <v>0</v>
      </c>
      <c r="BH36" s="408">
        <f t="shared" si="6"/>
        <v>0</v>
      </c>
      <c r="BI36" s="408">
        <f t="shared" si="7"/>
        <v>0</v>
      </c>
      <c r="BJ36" s="408">
        <f t="shared" si="8"/>
        <v>0</v>
      </c>
    </row>
    <row r="37" spans="2:62" ht="39.75" customHeight="1">
      <c r="B37" s="758"/>
      <c r="C37" s="795">
        <v>28</v>
      </c>
      <c r="D37" s="756"/>
      <c r="E37" s="757"/>
      <c r="F37" s="796" t="str">
        <f>IF(E37=0," ",VLOOKUP(E37,SISWA!$A$6:$C$55,3,FALSE))</f>
        <v xml:space="preserve"> </v>
      </c>
      <c r="G37" s="797" t="str">
        <f t="shared" si="9"/>
        <v xml:space="preserve"> </v>
      </c>
      <c r="H37" s="813"/>
      <c r="I37" s="760"/>
      <c r="J37" s="760"/>
      <c r="K37" s="812"/>
      <c r="L37" s="798" t="str">
        <f t="shared" si="10"/>
        <v xml:space="preserve"> </v>
      </c>
      <c r="M37" s="798" t="b">
        <f t="shared" si="11"/>
        <v>0</v>
      </c>
      <c r="N37" s="444" t="str">
        <f t="shared" si="12"/>
        <v xml:space="preserve"> </v>
      </c>
      <c r="O37" s="444" t="b">
        <f t="shared" si="0"/>
        <v>0</v>
      </c>
      <c r="BA37" s="408">
        <v>28</v>
      </c>
      <c r="BB37" s="799" t="str">
        <f>SISWA!C33</f>
        <v>Anak 28</v>
      </c>
      <c r="BC37" s="408">
        <f t="shared" si="1"/>
        <v>0</v>
      </c>
      <c r="BD37" s="408">
        <f t="shared" si="2"/>
        <v>0</v>
      </c>
      <c r="BE37" s="408">
        <f t="shared" si="3"/>
        <v>0</v>
      </c>
      <c r="BF37" s="408">
        <f t="shared" si="4"/>
        <v>0</v>
      </c>
      <c r="BG37" s="408">
        <f t="shared" si="5"/>
        <v>0</v>
      </c>
      <c r="BH37" s="408">
        <f t="shared" si="6"/>
        <v>0</v>
      </c>
      <c r="BI37" s="408">
        <f t="shared" si="7"/>
        <v>0</v>
      </c>
      <c r="BJ37" s="408">
        <f t="shared" si="8"/>
        <v>0</v>
      </c>
    </row>
    <row r="38" spans="2:62" ht="39.75" customHeight="1">
      <c r="B38" s="758"/>
      <c r="C38" s="795">
        <v>29</v>
      </c>
      <c r="D38" s="756"/>
      <c r="E38" s="757"/>
      <c r="F38" s="796" t="str">
        <f>IF(E38=0," ",VLOOKUP(E38,SISWA!$A$6:$C$55,3,FALSE))</f>
        <v xml:space="preserve"> </v>
      </c>
      <c r="G38" s="797" t="str">
        <f t="shared" si="9"/>
        <v xml:space="preserve"> </v>
      </c>
      <c r="H38" s="813"/>
      <c r="I38" s="760"/>
      <c r="J38" s="760"/>
      <c r="K38" s="812"/>
      <c r="L38" s="798" t="str">
        <f t="shared" si="10"/>
        <v xml:space="preserve"> </v>
      </c>
      <c r="M38" s="798" t="b">
        <f t="shared" si="11"/>
        <v>0</v>
      </c>
      <c r="N38" s="444" t="str">
        <f t="shared" si="12"/>
        <v xml:space="preserve"> </v>
      </c>
      <c r="O38" s="444" t="b">
        <f t="shared" si="0"/>
        <v>0</v>
      </c>
      <c r="BA38" s="408">
        <v>29</v>
      </c>
      <c r="BB38" s="799" t="str">
        <f>SISWA!C34</f>
        <v>Anak 29</v>
      </c>
      <c r="BC38" s="408">
        <f t="shared" si="1"/>
        <v>0</v>
      </c>
      <c r="BD38" s="408">
        <f t="shared" si="2"/>
        <v>0</v>
      </c>
      <c r="BE38" s="408">
        <f t="shared" si="3"/>
        <v>0</v>
      </c>
      <c r="BF38" s="408">
        <f t="shared" si="4"/>
        <v>0</v>
      </c>
      <c r="BG38" s="408">
        <f t="shared" si="5"/>
        <v>0</v>
      </c>
      <c r="BH38" s="408">
        <f t="shared" si="6"/>
        <v>0</v>
      </c>
      <c r="BI38" s="408">
        <f t="shared" si="7"/>
        <v>0</v>
      </c>
      <c r="BJ38" s="408">
        <f t="shared" si="8"/>
        <v>0</v>
      </c>
    </row>
    <row r="39" spans="2:62" ht="39.75" customHeight="1">
      <c r="B39" s="758"/>
      <c r="C39" s="795">
        <v>30</v>
      </c>
      <c r="D39" s="756"/>
      <c r="E39" s="757"/>
      <c r="F39" s="796" t="str">
        <f>IF(E39=0," ",VLOOKUP(E39,SISWA!$A$6:$C$55,3,FALSE))</f>
        <v xml:space="preserve"> </v>
      </c>
      <c r="G39" s="797" t="str">
        <f t="shared" si="9"/>
        <v xml:space="preserve"> </v>
      </c>
      <c r="H39" s="813"/>
      <c r="I39" s="760"/>
      <c r="J39" s="760"/>
      <c r="K39" s="812"/>
      <c r="L39" s="798" t="str">
        <f t="shared" si="10"/>
        <v xml:space="preserve"> </v>
      </c>
      <c r="M39" s="798" t="b">
        <f t="shared" si="11"/>
        <v>0</v>
      </c>
      <c r="N39" s="444" t="str">
        <f t="shared" si="12"/>
        <v xml:space="preserve"> </v>
      </c>
      <c r="O39" s="444" t="b">
        <f t="shared" si="0"/>
        <v>0</v>
      </c>
      <c r="BA39" s="408">
        <v>30</v>
      </c>
      <c r="BB39" s="799" t="str">
        <f>SISWA!C35</f>
        <v>Anak 30</v>
      </c>
      <c r="BC39" s="408">
        <f t="shared" si="1"/>
        <v>0</v>
      </c>
      <c r="BD39" s="408">
        <f t="shared" si="2"/>
        <v>0</v>
      </c>
      <c r="BE39" s="408">
        <f t="shared" si="3"/>
        <v>0</v>
      </c>
      <c r="BF39" s="408">
        <f t="shared" si="4"/>
        <v>0</v>
      </c>
      <c r="BG39" s="408">
        <f t="shared" si="5"/>
        <v>0</v>
      </c>
      <c r="BH39" s="408">
        <f t="shared" si="6"/>
        <v>0</v>
      </c>
      <c r="BI39" s="408">
        <f t="shared" si="7"/>
        <v>0</v>
      </c>
      <c r="BJ39" s="408">
        <f t="shared" si="8"/>
        <v>0</v>
      </c>
    </row>
    <row r="40" spans="2:62" ht="39.75" customHeight="1">
      <c r="B40" s="758"/>
      <c r="C40" s="795">
        <v>31</v>
      </c>
      <c r="D40" s="756"/>
      <c r="E40" s="757"/>
      <c r="F40" s="796" t="str">
        <f>IF(E40=0," ",VLOOKUP(E40,SISWA!$A$6:$C$55,3,FALSE))</f>
        <v xml:space="preserve"> </v>
      </c>
      <c r="G40" s="797" t="str">
        <f t="shared" si="9"/>
        <v xml:space="preserve"> </v>
      </c>
      <c r="H40" s="813"/>
      <c r="I40" s="760"/>
      <c r="J40" s="760"/>
      <c r="K40" s="812"/>
      <c r="L40" s="798" t="str">
        <f t="shared" si="10"/>
        <v xml:space="preserve"> </v>
      </c>
      <c r="M40" s="798" t="b">
        <f t="shared" si="11"/>
        <v>0</v>
      </c>
      <c r="N40" s="444" t="str">
        <f t="shared" si="12"/>
        <v xml:space="preserve"> </v>
      </c>
      <c r="O40" s="444" t="b">
        <f t="shared" si="0"/>
        <v>0</v>
      </c>
      <c r="BA40" s="408">
        <v>31</v>
      </c>
      <c r="BB40" s="799" t="str">
        <f>SISWA!C36</f>
        <v>Anak 31</v>
      </c>
      <c r="BC40" s="408">
        <f t="shared" si="1"/>
        <v>0</v>
      </c>
      <c r="BD40" s="408">
        <f t="shared" si="2"/>
        <v>0</v>
      </c>
      <c r="BE40" s="408">
        <f t="shared" si="3"/>
        <v>0</v>
      </c>
      <c r="BF40" s="408">
        <f t="shared" si="4"/>
        <v>0</v>
      </c>
      <c r="BG40" s="408">
        <f t="shared" si="5"/>
        <v>0</v>
      </c>
      <c r="BH40" s="408">
        <f t="shared" si="6"/>
        <v>0</v>
      </c>
      <c r="BI40" s="408">
        <f t="shared" si="7"/>
        <v>0</v>
      </c>
      <c r="BJ40" s="408">
        <f t="shared" si="8"/>
        <v>0</v>
      </c>
    </row>
    <row r="41" spans="2:62" ht="39.75" customHeight="1">
      <c r="B41" s="758"/>
      <c r="C41" s="795">
        <v>32</v>
      </c>
      <c r="D41" s="756"/>
      <c r="E41" s="757"/>
      <c r="F41" s="796" t="str">
        <f>IF(E41=0," ",VLOOKUP(E41,SISWA!$A$6:$C$55,3,FALSE))</f>
        <v xml:space="preserve"> </v>
      </c>
      <c r="G41" s="797" t="str">
        <f t="shared" si="9"/>
        <v xml:space="preserve"> </v>
      </c>
      <c r="H41" s="813"/>
      <c r="I41" s="760"/>
      <c r="J41" s="760"/>
      <c r="K41" s="812"/>
      <c r="L41" s="798" t="str">
        <f t="shared" si="10"/>
        <v xml:space="preserve"> </v>
      </c>
      <c r="M41" s="798" t="b">
        <f t="shared" si="11"/>
        <v>0</v>
      </c>
      <c r="N41" s="444" t="str">
        <f t="shared" si="12"/>
        <v xml:space="preserve"> </v>
      </c>
      <c r="O41" s="444" t="b">
        <f t="shared" si="0"/>
        <v>0</v>
      </c>
      <c r="BA41" s="408">
        <v>32</v>
      </c>
      <c r="BB41" s="799" t="str">
        <f>SISWA!C37</f>
        <v>Anak 32</v>
      </c>
      <c r="BC41" s="408">
        <f t="shared" si="1"/>
        <v>0</v>
      </c>
      <c r="BD41" s="408">
        <f t="shared" si="2"/>
        <v>0</v>
      </c>
      <c r="BE41" s="408">
        <f t="shared" si="3"/>
        <v>0</v>
      </c>
      <c r="BF41" s="408">
        <f t="shared" si="4"/>
        <v>0</v>
      </c>
      <c r="BG41" s="408">
        <f t="shared" si="5"/>
        <v>0</v>
      </c>
      <c r="BH41" s="408">
        <f t="shared" si="6"/>
        <v>0</v>
      </c>
      <c r="BI41" s="408">
        <f t="shared" si="7"/>
        <v>0</v>
      </c>
      <c r="BJ41" s="408">
        <f t="shared" si="8"/>
        <v>0</v>
      </c>
    </row>
    <row r="42" spans="2:62" ht="39.75" customHeight="1">
      <c r="B42" s="758"/>
      <c r="C42" s="795">
        <v>33</v>
      </c>
      <c r="D42" s="756"/>
      <c r="E42" s="757"/>
      <c r="F42" s="796" t="str">
        <f>IF(E42=0," ",VLOOKUP(E42,SISWA!$A$6:$C$55,3,FALSE))</f>
        <v xml:space="preserve"> </v>
      </c>
      <c r="G42" s="797" t="str">
        <f t="shared" si="9"/>
        <v xml:space="preserve"> </v>
      </c>
      <c r="H42" s="813"/>
      <c r="I42" s="760"/>
      <c r="J42" s="760"/>
      <c r="K42" s="812"/>
      <c r="L42" s="798" t="str">
        <f t="shared" si="10"/>
        <v xml:space="preserve"> </v>
      </c>
      <c r="M42" s="798" t="b">
        <f t="shared" si="11"/>
        <v>0</v>
      </c>
      <c r="N42" s="444" t="str">
        <f t="shared" si="12"/>
        <v xml:space="preserve"> </v>
      </c>
      <c r="O42" s="444" t="b">
        <f t="shared" ref="O42:O73" si="13">IF(G42=0,"", IF(G42=1,"A", IF(G42=2,"B", IF(G42=3,"C", IF(G42=4,"D")))))</f>
        <v>0</v>
      </c>
      <c r="BA42" s="408">
        <v>33</v>
      </c>
      <c r="BB42" s="799" t="str">
        <f>SISWA!C38</f>
        <v>Anak 33</v>
      </c>
      <c r="BC42" s="408">
        <f t="shared" ref="BC42:BC59" si="14">SUMIFS($L$10:$L$109,$M$10:$M$109,"A",$E$10:$E$109,BA42)</f>
        <v>0</v>
      </c>
      <c r="BD42" s="408">
        <f t="shared" ref="BD42:BD59" si="15">SUMIFS($N$10:$N$109,$O$10:$O$109,"A",$E$10:$E$109,BA42)</f>
        <v>0</v>
      </c>
      <c r="BE42" s="408">
        <f t="shared" ref="BE42:BE59" si="16">SUMIFS($L$10:$L$109,$M$10:$M$109,"B",$E$10:$E$109,BA42)</f>
        <v>0</v>
      </c>
      <c r="BF42" s="408">
        <f t="shared" ref="BF42:BF59" si="17">SUMIFS($N$10:$N$109,$O$10:$O$109,"B",$E$10:$E$109,BA42)</f>
        <v>0</v>
      </c>
      <c r="BG42" s="408">
        <f t="shared" ref="BG42:BG59" si="18">SUMIFS($L$10:$L$109,$M$10:$M$109,"C",$E$10:$E$109,BA42)</f>
        <v>0</v>
      </c>
      <c r="BH42" s="408">
        <f t="shared" ref="BH42:BH59" si="19">SUMIFS($N$10:$N$109,$O$10:$O$109,"C",$E$10:$E$109,BA42)</f>
        <v>0</v>
      </c>
      <c r="BI42" s="408">
        <f t="shared" ref="BI42:BI59" si="20">SUMIFS($L$10:$L$109,$M$10:$M$109,"D",$E$10:$E$109,BA42)</f>
        <v>0</v>
      </c>
      <c r="BJ42" s="408">
        <f t="shared" ref="BJ42:BJ59" si="21">SUMIFS($N$10:$N$109,$O$10:$O$109,"D",$E$10:$E$109,BA42)</f>
        <v>0</v>
      </c>
    </row>
    <row r="43" spans="2:62" ht="39.75" customHeight="1">
      <c r="B43" s="758"/>
      <c r="C43" s="795">
        <v>34</v>
      </c>
      <c r="D43" s="756"/>
      <c r="E43" s="757"/>
      <c r="F43" s="796" t="str">
        <f>IF(E43=0," ",VLOOKUP(E43,SISWA!$A$6:$C$55,3,FALSE))</f>
        <v xml:space="preserve"> </v>
      </c>
      <c r="G43" s="797" t="str">
        <f t="shared" si="9"/>
        <v xml:space="preserve"> </v>
      </c>
      <c r="H43" s="813"/>
      <c r="I43" s="760"/>
      <c r="J43" s="760"/>
      <c r="K43" s="812"/>
      <c r="L43" s="798" t="str">
        <f t="shared" si="10"/>
        <v xml:space="preserve"> </v>
      </c>
      <c r="M43" s="798" t="b">
        <f t="shared" si="11"/>
        <v>0</v>
      </c>
      <c r="N43" s="444" t="str">
        <f t="shared" si="12"/>
        <v xml:space="preserve"> </v>
      </c>
      <c r="O43" s="444" t="b">
        <f t="shared" si="13"/>
        <v>0</v>
      </c>
      <c r="BA43" s="408">
        <v>34</v>
      </c>
      <c r="BB43" s="799" t="str">
        <f>SISWA!C39</f>
        <v>Anak 34</v>
      </c>
      <c r="BC43" s="408">
        <f t="shared" si="14"/>
        <v>0</v>
      </c>
      <c r="BD43" s="408">
        <f t="shared" si="15"/>
        <v>0</v>
      </c>
      <c r="BE43" s="408">
        <f t="shared" si="16"/>
        <v>0</v>
      </c>
      <c r="BF43" s="408">
        <f t="shared" si="17"/>
        <v>0</v>
      </c>
      <c r="BG43" s="408">
        <f t="shared" si="18"/>
        <v>0</v>
      </c>
      <c r="BH43" s="408">
        <f t="shared" si="19"/>
        <v>0</v>
      </c>
      <c r="BI43" s="408">
        <f t="shared" si="20"/>
        <v>0</v>
      </c>
      <c r="BJ43" s="408">
        <f t="shared" si="21"/>
        <v>0</v>
      </c>
    </row>
    <row r="44" spans="2:62" ht="39.75" customHeight="1">
      <c r="B44" s="758"/>
      <c r="C44" s="795">
        <v>35</v>
      </c>
      <c r="D44" s="756"/>
      <c r="E44" s="757"/>
      <c r="F44" s="796" t="str">
        <f>IF(E44=0," ",VLOOKUP(E44,SISWA!$A$6:$C$55,3,FALSE))</f>
        <v xml:space="preserve"> </v>
      </c>
      <c r="G44" s="797" t="str">
        <f t="shared" si="9"/>
        <v xml:space="preserve"> </v>
      </c>
      <c r="H44" s="813"/>
      <c r="I44" s="760"/>
      <c r="J44" s="760"/>
      <c r="K44" s="812"/>
      <c r="L44" s="798" t="str">
        <f t="shared" si="10"/>
        <v xml:space="preserve"> </v>
      </c>
      <c r="M44" s="798" t="b">
        <f t="shared" si="11"/>
        <v>0</v>
      </c>
      <c r="N44" s="444" t="str">
        <f t="shared" si="12"/>
        <v xml:space="preserve"> </v>
      </c>
      <c r="O44" s="444" t="b">
        <f t="shared" si="13"/>
        <v>0</v>
      </c>
      <c r="BA44" s="408">
        <v>35</v>
      </c>
      <c r="BB44" s="799" t="str">
        <f>SISWA!C40</f>
        <v>Anak 35</v>
      </c>
      <c r="BC44" s="408">
        <f t="shared" si="14"/>
        <v>0</v>
      </c>
      <c r="BD44" s="408">
        <f t="shared" si="15"/>
        <v>0</v>
      </c>
      <c r="BE44" s="408">
        <f t="shared" si="16"/>
        <v>0</v>
      </c>
      <c r="BF44" s="408">
        <f t="shared" si="17"/>
        <v>0</v>
      </c>
      <c r="BG44" s="408">
        <f t="shared" si="18"/>
        <v>0</v>
      </c>
      <c r="BH44" s="408">
        <f t="shared" si="19"/>
        <v>0</v>
      </c>
      <c r="BI44" s="408">
        <f t="shared" si="20"/>
        <v>0</v>
      </c>
      <c r="BJ44" s="408">
        <f t="shared" si="21"/>
        <v>0</v>
      </c>
    </row>
    <row r="45" spans="2:62" ht="39.75" customHeight="1">
      <c r="B45" s="758"/>
      <c r="C45" s="795">
        <v>36</v>
      </c>
      <c r="D45" s="756"/>
      <c r="E45" s="757"/>
      <c r="F45" s="796" t="str">
        <f>IF(E45=0," ",VLOOKUP(E45,SISWA!$A$6:$C$55,3,FALSE))</f>
        <v xml:space="preserve"> </v>
      </c>
      <c r="G45" s="797" t="str">
        <f t="shared" si="9"/>
        <v xml:space="preserve"> </v>
      </c>
      <c r="H45" s="813"/>
      <c r="I45" s="760"/>
      <c r="J45" s="760"/>
      <c r="K45" s="812"/>
      <c r="L45" s="798" t="str">
        <f t="shared" si="10"/>
        <v xml:space="preserve"> </v>
      </c>
      <c r="M45" s="798" t="b">
        <f t="shared" si="11"/>
        <v>0</v>
      </c>
      <c r="N45" s="444" t="str">
        <f t="shared" si="12"/>
        <v xml:space="preserve"> </v>
      </c>
      <c r="O45" s="444" t="b">
        <f t="shared" si="13"/>
        <v>0</v>
      </c>
      <c r="BA45" s="408">
        <v>36</v>
      </c>
      <c r="BB45" s="799" t="str">
        <f>SISWA!C41</f>
        <v>Anak 36</v>
      </c>
      <c r="BC45" s="408">
        <f t="shared" si="14"/>
        <v>0</v>
      </c>
      <c r="BD45" s="408">
        <f t="shared" si="15"/>
        <v>0</v>
      </c>
      <c r="BE45" s="408">
        <f t="shared" si="16"/>
        <v>0</v>
      </c>
      <c r="BF45" s="408">
        <f t="shared" si="17"/>
        <v>0</v>
      </c>
      <c r="BG45" s="408">
        <f t="shared" si="18"/>
        <v>0</v>
      </c>
      <c r="BH45" s="408">
        <f t="shared" si="19"/>
        <v>0</v>
      </c>
      <c r="BI45" s="408">
        <f t="shared" si="20"/>
        <v>0</v>
      </c>
      <c r="BJ45" s="408">
        <f t="shared" si="21"/>
        <v>0</v>
      </c>
    </row>
    <row r="46" spans="2:62" ht="39.75" customHeight="1">
      <c r="B46" s="758"/>
      <c r="C46" s="795">
        <v>37</v>
      </c>
      <c r="D46" s="756"/>
      <c r="E46" s="757"/>
      <c r="F46" s="796" t="str">
        <f>IF(E46=0," ",VLOOKUP(E46,SISWA!$A$6:$C$55,3,FALSE))</f>
        <v xml:space="preserve"> </v>
      </c>
      <c r="G46" s="797" t="str">
        <f t="shared" si="9"/>
        <v xml:space="preserve"> </v>
      </c>
      <c r="H46" s="813"/>
      <c r="I46" s="760"/>
      <c r="J46" s="760"/>
      <c r="K46" s="812"/>
      <c r="L46" s="798" t="str">
        <f t="shared" si="10"/>
        <v xml:space="preserve"> </v>
      </c>
      <c r="M46" s="798" t="b">
        <f t="shared" si="11"/>
        <v>0</v>
      </c>
      <c r="N46" s="444" t="str">
        <f t="shared" si="12"/>
        <v xml:space="preserve"> </v>
      </c>
      <c r="O46" s="444" t="b">
        <f t="shared" si="13"/>
        <v>0</v>
      </c>
      <c r="BA46" s="408">
        <v>37</v>
      </c>
      <c r="BB46" s="799" t="str">
        <f>SISWA!C42</f>
        <v>Anak 37</v>
      </c>
      <c r="BC46" s="408">
        <f t="shared" si="14"/>
        <v>0</v>
      </c>
      <c r="BD46" s="408">
        <f t="shared" si="15"/>
        <v>0</v>
      </c>
      <c r="BE46" s="408">
        <f t="shared" si="16"/>
        <v>0</v>
      </c>
      <c r="BF46" s="408">
        <f t="shared" si="17"/>
        <v>0</v>
      </c>
      <c r="BG46" s="408">
        <f t="shared" si="18"/>
        <v>0</v>
      </c>
      <c r="BH46" s="408">
        <f t="shared" si="19"/>
        <v>0</v>
      </c>
      <c r="BI46" s="408">
        <f t="shared" si="20"/>
        <v>0</v>
      </c>
      <c r="BJ46" s="408">
        <f t="shared" si="21"/>
        <v>0</v>
      </c>
    </row>
    <row r="47" spans="2:62" ht="39.75" customHeight="1">
      <c r="B47" s="758"/>
      <c r="C47" s="795">
        <v>38</v>
      </c>
      <c r="D47" s="756"/>
      <c r="E47" s="757"/>
      <c r="F47" s="796" t="str">
        <f>IF(E47=0," ",VLOOKUP(E47,SISWA!$A$6:$C$55,3,FALSE))</f>
        <v xml:space="preserve"> </v>
      </c>
      <c r="G47" s="797" t="str">
        <f t="shared" si="9"/>
        <v xml:space="preserve"> </v>
      </c>
      <c r="H47" s="813"/>
      <c r="I47" s="760"/>
      <c r="J47" s="760"/>
      <c r="K47" s="812"/>
      <c r="L47" s="798" t="str">
        <f t="shared" si="10"/>
        <v xml:space="preserve"> </v>
      </c>
      <c r="M47" s="798" t="b">
        <f t="shared" si="11"/>
        <v>0</v>
      </c>
      <c r="N47" s="444" t="str">
        <f t="shared" si="12"/>
        <v xml:space="preserve"> </v>
      </c>
      <c r="O47" s="444" t="b">
        <f t="shared" si="13"/>
        <v>0</v>
      </c>
      <c r="BA47" s="408">
        <v>38</v>
      </c>
      <c r="BB47" s="799" t="str">
        <f>SISWA!C43</f>
        <v>Anak 38</v>
      </c>
      <c r="BC47" s="408">
        <f t="shared" si="14"/>
        <v>0</v>
      </c>
      <c r="BD47" s="408">
        <f t="shared" si="15"/>
        <v>0</v>
      </c>
      <c r="BE47" s="408">
        <f t="shared" si="16"/>
        <v>0</v>
      </c>
      <c r="BF47" s="408">
        <f t="shared" si="17"/>
        <v>0</v>
      </c>
      <c r="BG47" s="408">
        <f t="shared" si="18"/>
        <v>0</v>
      </c>
      <c r="BH47" s="408">
        <f t="shared" si="19"/>
        <v>0</v>
      </c>
      <c r="BI47" s="408">
        <f t="shared" si="20"/>
        <v>0</v>
      </c>
      <c r="BJ47" s="408">
        <f t="shared" si="21"/>
        <v>0</v>
      </c>
    </row>
    <row r="48" spans="2:62" ht="39.75" customHeight="1">
      <c r="B48" s="758"/>
      <c r="C48" s="795">
        <v>39</v>
      </c>
      <c r="D48" s="756"/>
      <c r="E48" s="757"/>
      <c r="F48" s="796" t="str">
        <f>IF(E48=0," ",VLOOKUP(E48,SISWA!$A$6:$C$55,3,FALSE))</f>
        <v xml:space="preserve"> </v>
      </c>
      <c r="G48" s="797" t="str">
        <f t="shared" si="9"/>
        <v xml:space="preserve"> </v>
      </c>
      <c r="H48" s="813"/>
      <c r="I48" s="760"/>
      <c r="J48" s="760"/>
      <c r="K48" s="812"/>
      <c r="L48" s="798" t="str">
        <f t="shared" si="10"/>
        <v xml:space="preserve"> </v>
      </c>
      <c r="M48" s="798" t="b">
        <f t="shared" si="11"/>
        <v>0</v>
      </c>
      <c r="N48" s="444" t="str">
        <f t="shared" si="12"/>
        <v xml:space="preserve"> </v>
      </c>
      <c r="O48" s="444" t="b">
        <f t="shared" si="13"/>
        <v>0</v>
      </c>
      <c r="BA48" s="408">
        <v>39</v>
      </c>
      <c r="BB48" s="799" t="str">
        <f>SISWA!C44</f>
        <v>Anak 39</v>
      </c>
      <c r="BC48" s="408">
        <f t="shared" si="14"/>
        <v>0</v>
      </c>
      <c r="BD48" s="408">
        <f t="shared" si="15"/>
        <v>0</v>
      </c>
      <c r="BE48" s="408">
        <f t="shared" si="16"/>
        <v>0</v>
      </c>
      <c r="BF48" s="408">
        <f t="shared" si="17"/>
        <v>0</v>
      </c>
      <c r="BG48" s="408">
        <f t="shared" si="18"/>
        <v>0</v>
      </c>
      <c r="BH48" s="408">
        <f t="shared" si="19"/>
        <v>0</v>
      </c>
      <c r="BI48" s="408">
        <f t="shared" si="20"/>
        <v>0</v>
      </c>
      <c r="BJ48" s="408">
        <f t="shared" si="21"/>
        <v>0</v>
      </c>
    </row>
    <row r="49" spans="2:62" ht="39.75" customHeight="1">
      <c r="B49" s="758"/>
      <c r="C49" s="795">
        <v>40</v>
      </c>
      <c r="D49" s="756"/>
      <c r="E49" s="757"/>
      <c r="F49" s="796" t="str">
        <f>IF(E49=0," ",VLOOKUP(E49,SISWA!$A$6:$C$55,3,FALSE))</f>
        <v xml:space="preserve"> </v>
      </c>
      <c r="G49" s="797" t="str">
        <f t="shared" si="9"/>
        <v xml:space="preserve"> </v>
      </c>
      <c r="H49" s="813"/>
      <c r="I49" s="760"/>
      <c r="J49" s="760"/>
      <c r="K49" s="812"/>
      <c r="L49" s="798" t="str">
        <f t="shared" si="10"/>
        <v xml:space="preserve"> </v>
      </c>
      <c r="M49" s="798" t="b">
        <f t="shared" si="11"/>
        <v>0</v>
      </c>
      <c r="N49" s="444" t="str">
        <f t="shared" si="12"/>
        <v xml:space="preserve"> </v>
      </c>
      <c r="O49" s="444" t="b">
        <f t="shared" si="13"/>
        <v>0</v>
      </c>
      <c r="BA49" s="408">
        <v>40</v>
      </c>
      <c r="BB49" s="799" t="str">
        <f>SISWA!C45</f>
        <v>Anak 40</v>
      </c>
      <c r="BC49" s="408">
        <f t="shared" si="14"/>
        <v>0</v>
      </c>
      <c r="BD49" s="408">
        <f t="shared" si="15"/>
        <v>0</v>
      </c>
      <c r="BE49" s="408">
        <f t="shared" si="16"/>
        <v>0</v>
      </c>
      <c r="BF49" s="408">
        <f t="shared" si="17"/>
        <v>0</v>
      </c>
      <c r="BG49" s="408">
        <f t="shared" si="18"/>
        <v>0</v>
      </c>
      <c r="BH49" s="408">
        <f t="shared" si="19"/>
        <v>0</v>
      </c>
      <c r="BI49" s="408">
        <f t="shared" si="20"/>
        <v>0</v>
      </c>
      <c r="BJ49" s="408">
        <f t="shared" si="21"/>
        <v>0</v>
      </c>
    </row>
    <row r="50" spans="2:62" ht="39.75" customHeight="1">
      <c r="B50" s="758"/>
      <c r="C50" s="795">
        <v>41</v>
      </c>
      <c r="D50" s="756"/>
      <c r="E50" s="757"/>
      <c r="F50" s="796" t="str">
        <f>IF(E50=0," ",VLOOKUP(E50,SISWA!$A$6:$C$55,3,FALSE))</f>
        <v xml:space="preserve"> </v>
      </c>
      <c r="G50" s="797" t="str">
        <f t="shared" si="9"/>
        <v xml:space="preserve"> </v>
      </c>
      <c r="H50" s="813"/>
      <c r="I50" s="760"/>
      <c r="J50" s="760"/>
      <c r="K50" s="812"/>
      <c r="L50" s="798" t="str">
        <f t="shared" si="10"/>
        <v xml:space="preserve"> </v>
      </c>
      <c r="M50" s="798" t="b">
        <f t="shared" si="11"/>
        <v>0</v>
      </c>
      <c r="N50" s="444" t="str">
        <f t="shared" si="12"/>
        <v xml:space="preserve"> </v>
      </c>
      <c r="O50" s="444" t="b">
        <f t="shared" si="13"/>
        <v>0</v>
      </c>
      <c r="BA50" s="408">
        <v>41</v>
      </c>
      <c r="BB50" s="799" t="str">
        <f>SISWA!C46</f>
        <v>Anak 41</v>
      </c>
      <c r="BC50" s="408">
        <f t="shared" si="14"/>
        <v>0</v>
      </c>
      <c r="BD50" s="408">
        <f t="shared" si="15"/>
        <v>0</v>
      </c>
      <c r="BE50" s="408">
        <f t="shared" si="16"/>
        <v>0</v>
      </c>
      <c r="BF50" s="408">
        <f t="shared" si="17"/>
        <v>0</v>
      </c>
      <c r="BG50" s="408">
        <f t="shared" si="18"/>
        <v>0</v>
      </c>
      <c r="BH50" s="408">
        <f t="shared" si="19"/>
        <v>0</v>
      </c>
      <c r="BI50" s="408">
        <f t="shared" si="20"/>
        <v>0</v>
      </c>
      <c r="BJ50" s="408">
        <f t="shared" si="21"/>
        <v>0</v>
      </c>
    </row>
    <row r="51" spans="2:62" ht="39.75" customHeight="1">
      <c r="B51" s="758"/>
      <c r="C51" s="795">
        <v>42</v>
      </c>
      <c r="D51" s="756"/>
      <c r="E51" s="757"/>
      <c r="F51" s="796" t="str">
        <f>IF(E51=0," ",VLOOKUP(E51,SISWA!$A$6:$C$55,3,FALSE))</f>
        <v xml:space="preserve"> </v>
      </c>
      <c r="G51" s="797" t="str">
        <f t="shared" si="9"/>
        <v xml:space="preserve"> </v>
      </c>
      <c r="H51" s="813"/>
      <c r="I51" s="760"/>
      <c r="J51" s="760"/>
      <c r="K51" s="812"/>
      <c r="L51" s="798" t="str">
        <f t="shared" si="10"/>
        <v xml:space="preserve"> </v>
      </c>
      <c r="M51" s="798" t="b">
        <f t="shared" si="11"/>
        <v>0</v>
      </c>
      <c r="N51" s="444" t="str">
        <f t="shared" si="12"/>
        <v xml:space="preserve"> </v>
      </c>
      <c r="O51" s="444" t="b">
        <f t="shared" si="13"/>
        <v>0</v>
      </c>
      <c r="BA51" s="408">
        <v>42</v>
      </c>
      <c r="BB51" s="799" t="str">
        <f>SISWA!C47</f>
        <v>Anak 42</v>
      </c>
      <c r="BC51" s="408">
        <f t="shared" si="14"/>
        <v>0</v>
      </c>
      <c r="BD51" s="408">
        <f t="shared" si="15"/>
        <v>0</v>
      </c>
      <c r="BE51" s="408">
        <f t="shared" si="16"/>
        <v>0</v>
      </c>
      <c r="BF51" s="408">
        <f t="shared" si="17"/>
        <v>0</v>
      </c>
      <c r="BG51" s="408">
        <f t="shared" si="18"/>
        <v>0</v>
      </c>
      <c r="BH51" s="408">
        <f t="shared" si="19"/>
        <v>0</v>
      </c>
      <c r="BI51" s="408">
        <f t="shared" si="20"/>
        <v>0</v>
      </c>
      <c r="BJ51" s="408">
        <f t="shared" si="21"/>
        <v>0</v>
      </c>
    </row>
    <row r="52" spans="2:62" ht="39.75" customHeight="1">
      <c r="B52" s="758"/>
      <c r="C52" s="795">
        <v>43</v>
      </c>
      <c r="D52" s="756"/>
      <c r="E52" s="757"/>
      <c r="F52" s="796" t="str">
        <f>IF(E52=0," ",VLOOKUP(E52,SISWA!$A$6:$C$55,3,FALSE))</f>
        <v xml:space="preserve"> </v>
      </c>
      <c r="G52" s="797" t="str">
        <f t="shared" si="9"/>
        <v xml:space="preserve"> </v>
      </c>
      <c r="H52" s="813"/>
      <c r="I52" s="760"/>
      <c r="J52" s="760"/>
      <c r="K52" s="812"/>
      <c r="L52" s="798" t="str">
        <f t="shared" si="10"/>
        <v xml:space="preserve"> </v>
      </c>
      <c r="M52" s="798" t="b">
        <f t="shared" si="11"/>
        <v>0</v>
      </c>
      <c r="N52" s="444" t="str">
        <f t="shared" si="12"/>
        <v xml:space="preserve"> </v>
      </c>
      <c r="O52" s="444" t="b">
        <f t="shared" si="13"/>
        <v>0</v>
      </c>
      <c r="BA52" s="408">
        <v>43</v>
      </c>
      <c r="BB52" s="799" t="str">
        <f>SISWA!C48</f>
        <v>Anak 43</v>
      </c>
      <c r="BC52" s="408">
        <f t="shared" si="14"/>
        <v>0</v>
      </c>
      <c r="BD52" s="408">
        <f t="shared" si="15"/>
        <v>0</v>
      </c>
      <c r="BE52" s="408">
        <f t="shared" si="16"/>
        <v>0</v>
      </c>
      <c r="BF52" s="408">
        <f t="shared" si="17"/>
        <v>0</v>
      </c>
      <c r="BG52" s="408">
        <f t="shared" si="18"/>
        <v>0</v>
      </c>
      <c r="BH52" s="408">
        <f t="shared" si="19"/>
        <v>0</v>
      </c>
      <c r="BI52" s="408">
        <f t="shared" si="20"/>
        <v>0</v>
      </c>
      <c r="BJ52" s="408">
        <f t="shared" si="21"/>
        <v>0</v>
      </c>
    </row>
    <row r="53" spans="2:62" ht="39.75" customHeight="1">
      <c r="B53" s="758"/>
      <c r="C53" s="795">
        <v>44</v>
      </c>
      <c r="D53" s="756"/>
      <c r="E53" s="757"/>
      <c r="F53" s="796" t="str">
        <f>IF(E53=0," ",VLOOKUP(E53,SISWA!$A$6:$C$55,3,FALSE))</f>
        <v xml:space="preserve"> </v>
      </c>
      <c r="G53" s="797" t="str">
        <f t="shared" si="9"/>
        <v xml:space="preserve"> </v>
      </c>
      <c r="H53" s="813"/>
      <c r="I53" s="760"/>
      <c r="J53" s="760"/>
      <c r="K53" s="812"/>
      <c r="L53" s="798" t="str">
        <f t="shared" si="10"/>
        <v xml:space="preserve"> </v>
      </c>
      <c r="M53" s="798" t="b">
        <f t="shared" si="11"/>
        <v>0</v>
      </c>
      <c r="N53" s="444" t="str">
        <f t="shared" si="12"/>
        <v xml:space="preserve"> </v>
      </c>
      <c r="O53" s="444" t="b">
        <f t="shared" si="13"/>
        <v>0</v>
      </c>
      <c r="BA53" s="408">
        <v>44</v>
      </c>
      <c r="BB53" s="799" t="str">
        <f>SISWA!C49</f>
        <v>Anak 44</v>
      </c>
      <c r="BC53" s="408">
        <f t="shared" si="14"/>
        <v>0</v>
      </c>
      <c r="BD53" s="408">
        <f t="shared" si="15"/>
        <v>0</v>
      </c>
      <c r="BE53" s="408">
        <f t="shared" si="16"/>
        <v>0</v>
      </c>
      <c r="BF53" s="408">
        <f t="shared" si="17"/>
        <v>0</v>
      </c>
      <c r="BG53" s="408">
        <f t="shared" si="18"/>
        <v>0</v>
      </c>
      <c r="BH53" s="408">
        <f t="shared" si="19"/>
        <v>0</v>
      </c>
      <c r="BI53" s="408">
        <f t="shared" si="20"/>
        <v>0</v>
      </c>
      <c r="BJ53" s="408">
        <f t="shared" si="21"/>
        <v>0</v>
      </c>
    </row>
    <row r="54" spans="2:62" ht="39.75" customHeight="1">
      <c r="B54" s="758"/>
      <c r="C54" s="795">
        <v>45</v>
      </c>
      <c r="D54" s="756"/>
      <c r="E54" s="757"/>
      <c r="F54" s="796" t="str">
        <f>IF(E54=0," ",VLOOKUP(E54,SISWA!$A$6:$C$55,3,FALSE))</f>
        <v xml:space="preserve"> </v>
      </c>
      <c r="G54" s="797" t="str">
        <f t="shared" si="9"/>
        <v xml:space="preserve"> </v>
      </c>
      <c r="H54" s="813"/>
      <c r="I54" s="760"/>
      <c r="J54" s="760"/>
      <c r="K54" s="812"/>
      <c r="L54" s="798" t="str">
        <f t="shared" si="10"/>
        <v xml:space="preserve"> </v>
      </c>
      <c r="M54" s="798" t="b">
        <f t="shared" si="11"/>
        <v>0</v>
      </c>
      <c r="N54" s="444" t="str">
        <f t="shared" si="12"/>
        <v xml:space="preserve"> </v>
      </c>
      <c r="O54" s="444" t="b">
        <f t="shared" si="13"/>
        <v>0</v>
      </c>
      <c r="BA54" s="408">
        <v>45</v>
      </c>
      <c r="BB54" s="799" t="str">
        <f>SISWA!C50</f>
        <v>Anak 45</v>
      </c>
      <c r="BC54" s="408">
        <f t="shared" si="14"/>
        <v>0</v>
      </c>
      <c r="BD54" s="408">
        <f t="shared" si="15"/>
        <v>0</v>
      </c>
      <c r="BE54" s="408">
        <f t="shared" si="16"/>
        <v>0</v>
      </c>
      <c r="BF54" s="408">
        <f t="shared" si="17"/>
        <v>0</v>
      </c>
      <c r="BG54" s="408">
        <f t="shared" si="18"/>
        <v>0</v>
      </c>
      <c r="BH54" s="408">
        <f t="shared" si="19"/>
        <v>0</v>
      </c>
      <c r="BI54" s="408">
        <f t="shared" si="20"/>
        <v>0</v>
      </c>
      <c r="BJ54" s="408">
        <f t="shared" si="21"/>
        <v>0</v>
      </c>
    </row>
    <row r="55" spans="2:62" ht="39.75" customHeight="1">
      <c r="B55" s="758"/>
      <c r="C55" s="795">
        <v>46</v>
      </c>
      <c r="D55" s="756"/>
      <c r="E55" s="757"/>
      <c r="F55" s="796" t="str">
        <f>IF(E55=0," ",VLOOKUP(E55,SISWA!$A$6:$C$55,3,FALSE))</f>
        <v xml:space="preserve"> </v>
      </c>
      <c r="G55" s="797" t="str">
        <f t="shared" si="9"/>
        <v xml:space="preserve"> </v>
      </c>
      <c r="H55" s="813"/>
      <c r="I55" s="760"/>
      <c r="J55" s="760"/>
      <c r="K55" s="812"/>
      <c r="L55" s="798" t="str">
        <f t="shared" si="10"/>
        <v xml:space="preserve"> </v>
      </c>
      <c r="M55" s="798" t="b">
        <f t="shared" si="11"/>
        <v>0</v>
      </c>
      <c r="N55" s="444" t="str">
        <f t="shared" si="12"/>
        <v xml:space="preserve"> </v>
      </c>
      <c r="O55" s="444" t="b">
        <f t="shared" si="13"/>
        <v>0</v>
      </c>
      <c r="BA55" s="408">
        <v>46</v>
      </c>
      <c r="BB55" s="799" t="str">
        <f>SISWA!C51</f>
        <v>Anak 46</v>
      </c>
      <c r="BC55" s="408">
        <f t="shared" si="14"/>
        <v>0</v>
      </c>
      <c r="BD55" s="408">
        <f t="shared" si="15"/>
        <v>0</v>
      </c>
      <c r="BE55" s="408">
        <f t="shared" si="16"/>
        <v>0</v>
      </c>
      <c r="BF55" s="408">
        <f t="shared" si="17"/>
        <v>0</v>
      </c>
      <c r="BG55" s="408">
        <f t="shared" si="18"/>
        <v>0</v>
      </c>
      <c r="BH55" s="408">
        <f t="shared" si="19"/>
        <v>0</v>
      </c>
      <c r="BI55" s="408">
        <f t="shared" si="20"/>
        <v>0</v>
      </c>
      <c r="BJ55" s="408">
        <f t="shared" si="21"/>
        <v>0</v>
      </c>
    </row>
    <row r="56" spans="2:62" ht="39.75" customHeight="1">
      <c r="B56" s="758"/>
      <c r="C56" s="795">
        <v>47</v>
      </c>
      <c r="D56" s="756"/>
      <c r="E56" s="757"/>
      <c r="F56" s="796" t="str">
        <f>IF(E56=0," ",VLOOKUP(E56,SISWA!$A$6:$C$55,3,FALSE))</f>
        <v xml:space="preserve"> </v>
      </c>
      <c r="G56" s="797" t="str">
        <f t="shared" si="9"/>
        <v xml:space="preserve"> </v>
      </c>
      <c r="H56" s="813"/>
      <c r="I56" s="760"/>
      <c r="J56" s="760"/>
      <c r="K56" s="812"/>
      <c r="L56" s="798" t="str">
        <f t="shared" si="10"/>
        <v xml:space="preserve"> </v>
      </c>
      <c r="M56" s="798" t="b">
        <f t="shared" si="11"/>
        <v>0</v>
      </c>
      <c r="N56" s="444" t="str">
        <f t="shared" si="12"/>
        <v xml:space="preserve"> </v>
      </c>
      <c r="O56" s="444" t="b">
        <f t="shared" si="13"/>
        <v>0</v>
      </c>
      <c r="BA56" s="408">
        <v>47</v>
      </c>
      <c r="BB56" s="799" t="str">
        <f>SISWA!C52</f>
        <v>Anak 47</v>
      </c>
      <c r="BC56" s="408">
        <f t="shared" si="14"/>
        <v>0</v>
      </c>
      <c r="BD56" s="408">
        <f t="shared" si="15"/>
        <v>0</v>
      </c>
      <c r="BE56" s="408">
        <f t="shared" si="16"/>
        <v>0</v>
      </c>
      <c r="BF56" s="408">
        <f t="shared" si="17"/>
        <v>0</v>
      </c>
      <c r="BG56" s="408">
        <f t="shared" si="18"/>
        <v>0</v>
      </c>
      <c r="BH56" s="408">
        <f t="shared" si="19"/>
        <v>0</v>
      </c>
      <c r="BI56" s="408">
        <f t="shared" si="20"/>
        <v>0</v>
      </c>
      <c r="BJ56" s="408">
        <f t="shared" si="21"/>
        <v>0</v>
      </c>
    </row>
    <row r="57" spans="2:62" ht="39.75" customHeight="1">
      <c r="B57" s="758"/>
      <c r="C57" s="795">
        <v>48</v>
      </c>
      <c r="D57" s="756"/>
      <c r="E57" s="757"/>
      <c r="F57" s="796" t="str">
        <f>IF(E57=0," ",VLOOKUP(E57,SISWA!$A$6:$C$55,3,FALSE))</f>
        <v xml:space="preserve"> </v>
      </c>
      <c r="G57" s="797" t="str">
        <f t="shared" si="9"/>
        <v xml:space="preserve"> </v>
      </c>
      <c r="H57" s="813"/>
      <c r="I57" s="760"/>
      <c r="J57" s="760"/>
      <c r="K57" s="812"/>
      <c r="L57" s="798" t="str">
        <f t="shared" si="10"/>
        <v xml:space="preserve"> </v>
      </c>
      <c r="M57" s="798" t="b">
        <f t="shared" si="11"/>
        <v>0</v>
      </c>
      <c r="N57" s="444" t="str">
        <f t="shared" si="12"/>
        <v xml:space="preserve"> </v>
      </c>
      <c r="O57" s="444" t="b">
        <f t="shared" si="13"/>
        <v>0</v>
      </c>
      <c r="BA57" s="408">
        <v>48</v>
      </c>
      <c r="BB57" s="799" t="str">
        <f>SISWA!C53</f>
        <v>Anak 48</v>
      </c>
      <c r="BC57" s="408">
        <f t="shared" si="14"/>
        <v>0</v>
      </c>
      <c r="BD57" s="408">
        <f t="shared" si="15"/>
        <v>0</v>
      </c>
      <c r="BE57" s="408">
        <f t="shared" si="16"/>
        <v>0</v>
      </c>
      <c r="BF57" s="408">
        <f t="shared" si="17"/>
        <v>0</v>
      </c>
      <c r="BG57" s="408">
        <f t="shared" si="18"/>
        <v>0</v>
      </c>
      <c r="BH57" s="408">
        <f t="shared" si="19"/>
        <v>0</v>
      </c>
      <c r="BI57" s="408">
        <f t="shared" si="20"/>
        <v>0</v>
      </c>
      <c r="BJ57" s="408">
        <f t="shared" si="21"/>
        <v>0</v>
      </c>
    </row>
    <row r="58" spans="2:62" ht="39.75" customHeight="1">
      <c r="B58" s="758"/>
      <c r="C58" s="795">
        <v>49</v>
      </c>
      <c r="D58" s="756"/>
      <c r="E58" s="757"/>
      <c r="F58" s="796" t="str">
        <f>IF(E58=0," ",VLOOKUP(E58,SISWA!$A$6:$C$55,3,FALSE))</f>
        <v xml:space="preserve"> </v>
      </c>
      <c r="G58" s="797" t="str">
        <f t="shared" si="9"/>
        <v xml:space="preserve"> </v>
      </c>
      <c r="H58" s="813"/>
      <c r="I58" s="760"/>
      <c r="J58" s="760"/>
      <c r="K58" s="812"/>
      <c r="L58" s="798" t="str">
        <f t="shared" si="10"/>
        <v xml:space="preserve"> </v>
      </c>
      <c r="M58" s="798" t="b">
        <f t="shared" si="11"/>
        <v>0</v>
      </c>
      <c r="N58" s="444" t="str">
        <f t="shared" si="12"/>
        <v xml:space="preserve"> </v>
      </c>
      <c r="O58" s="444" t="b">
        <f t="shared" si="13"/>
        <v>0</v>
      </c>
      <c r="BA58" s="408">
        <v>49</v>
      </c>
      <c r="BB58" s="799" t="str">
        <f>SISWA!C54</f>
        <v>Anak 49</v>
      </c>
      <c r="BC58" s="408">
        <f t="shared" si="14"/>
        <v>0</v>
      </c>
      <c r="BD58" s="408">
        <f t="shared" si="15"/>
        <v>0</v>
      </c>
      <c r="BE58" s="408">
        <f t="shared" si="16"/>
        <v>0</v>
      </c>
      <c r="BF58" s="408">
        <f t="shared" si="17"/>
        <v>0</v>
      </c>
      <c r="BG58" s="408">
        <f t="shared" si="18"/>
        <v>0</v>
      </c>
      <c r="BH58" s="408">
        <f t="shared" si="19"/>
        <v>0</v>
      </c>
      <c r="BI58" s="408">
        <f t="shared" si="20"/>
        <v>0</v>
      </c>
      <c r="BJ58" s="408">
        <f t="shared" si="21"/>
        <v>0</v>
      </c>
    </row>
    <row r="59" spans="2:62" ht="39.75" customHeight="1">
      <c r="B59" s="758"/>
      <c r="C59" s="795">
        <v>50</v>
      </c>
      <c r="D59" s="756"/>
      <c r="E59" s="757"/>
      <c r="F59" s="796" t="str">
        <f>IF(E59=0," ",VLOOKUP(E59,SISWA!$A$6:$C$55,3,FALSE))</f>
        <v xml:space="preserve"> </v>
      </c>
      <c r="G59" s="797" t="str">
        <f t="shared" si="9"/>
        <v xml:space="preserve"> </v>
      </c>
      <c r="H59" s="813"/>
      <c r="I59" s="760"/>
      <c r="J59" s="760"/>
      <c r="K59" s="812"/>
      <c r="L59" s="798" t="str">
        <f t="shared" si="10"/>
        <v xml:space="preserve"> </v>
      </c>
      <c r="M59" s="798" t="b">
        <f t="shared" si="11"/>
        <v>0</v>
      </c>
      <c r="N59" s="444" t="str">
        <f t="shared" si="12"/>
        <v xml:space="preserve"> </v>
      </c>
      <c r="O59" s="444" t="b">
        <f t="shared" si="13"/>
        <v>0</v>
      </c>
      <c r="BA59" s="408">
        <v>50</v>
      </c>
      <c r="BB59" s="799" t="str">
        <f>SISWA!C55</f>
        <v>Anak 50</v>
      </c>
      <c r="BC59" s="408">
        <f t="shared" si="14"/>
        <v>0</v>
      </c>
      <c r="BD59" s="408">
        <f t="shared" si="15"/>
        <v>0</v>
      </c>
      <c r="BE59" s="408">
        <f t="shared" si="16"/>
        <v>0</v>
      </c>
      <c r="BF59" s="408">
        <f t="shared" si="17"/>
        <v>0</v>
      </c>
      <c r="BG59" s="408">
        <f t="shared" si="18"/>
        <v>0</v>
      </c>
      <c r="BH59" s="408">
        <f t="shared" si="19"/>
        <v>0</v>
      </c>
      <c r="BI59" s="408">
        <f t="shared" si="20"/>
        <v>0</v>
      </c>
      <c r="BJ59" s="408">
        <f t="shared" si="21"/>
        <v>0</v>
      </c>
    </row>
    <row r="60" spans="2:62" ht="39.75" customHeight="1">
      <c r="B60" s="758"/>
      <c r="C60" s="795">
        <v>51</v>
      </c>
      <c r="D60" s="756"/>
      <c r="E60" s="757"/>
      <c r="F60" s="796" t="str">
        <f>IF(E60=0," ",VLOOKUP(E60,SISWA!$A$6:$C$55,3,FALSE))</f>
        <v xml:space="preserve"> </v>
      </c>
      <c r="G60" s="797" t="str">
        <f t="shared" si="9"/>
        <v xml:space="preserve"> </v>
      </c>
      <c r="H60" s="813"/>
      <c r="I60" s="760"/>
      <c r="J60" s="760"/>
      <c r="K60" s="812"/>
      <c r="L60" s="798" t="str">
        <f t="shared" si="10"/>
        <v xml:space="preserve"> </v>
      </c>
      <c r="M60" s="798" t="b">
        <f t="shared" si="11"/>
        <v>0</v>
      </c>
      <c r="N60" s="444" t="str">
        <f t="shared" si="12"/>
        <v xml:space="preserve"> </v>
      </c>
      <c r="O60" s="444" t="b">
        <f t="shared" si="13"/>
        <v>0</v>
      </c>
    </row>
    <row r="61" spans="2:62" ht="39.75" customHeight="1">
      <c r="B61" s="758"/>
      <c r="C61" s="795">
        <v>52</v>
      </c>
      <c r="D61" s="756"/>
      <c r="E61" s="757"/>
      <c r="F61" s="796" t="str">
        <f>IF(E61=0," ",VLOOKUP(E61,SISWA!$A$6:$C$55,3,FALSE))</f>
        <v xml:space="preserve"> </v>
      </c>
      <c r="G61" s="797" t="str">
        <f t="shared" si="9"/>
        <v xml:space="preserve"> </v>
      </c>
      <c r="H61" s="813"/>
      <c r="I61" s="760"/>
      <c r="J61" s="760"/>
      <c r="K61" s="812"/>
      <c r="L61" s="798" t="str">
        <f t="shared" si="10"/>
        <v xml:space="preserve"> </v>
      </c>
      <c r="M61" s="798" t="b">
        <f t="shared" si="11"/>
        <v>0</v>
      </c>
      <c r="N61" s="444" t="str">
        <f t="shared" si="12"/>
        <v xml:space="preserve"> </v>
      </c>
      <c r="O61" s="444" t="b">
        <f t="shared" si="13"/>
        <v>0</v>
      </c>
    </row>
    <row r="62" spans="2:62" ht="39.75" customHeight="1">
      <c r="B62" s="758"/>
      <c r="C62" s="795">
        <v>53</v>
      </c>
      <c r="D62" s="756"/>
      <c r="E62" s="757"/>
      <c r="F62" s="796" t="str">
        <f>IF(E62=0," ",VLOOKUP(E62,SISWA!$A$6:$C$55,3,FALSE))</f>
        <v xml:space="preserve"> </v>
      </c>
      <c r="G62" s="797" t="str">
        <f t="shared" si="9"/>
        <v xml:space="preserve"> </v>
      </c>
      <c r="H62" s="813"/>
      <c r="I62" s="760"/>
      <c r="J62" s="760"/>
      <c r="K62" s="812"/>
      <c r="L62" s="798" t="str">
        <f t="shared" si="10"/>
        <v xml:space="preserve"> </v>
      </c>
      <c r="M62" s="798" t="b">
        <f t="shared" si="11"/>
        <v>0</v>
      </c>
      <c r="N62" s="444" t="str">
        <f t="shared" si="12"/>
        <v xml:space="preserve"> </v>
      </c>
      <c r="O62" s="444" t="b">
        <f t="shared" si="13"/>
        <v>0</v>
      </c>
    </row>
    <row r="63" spans="2:62" ht="39.75" customHeight="1">
      <c r="B63" s="758"/>
      <c r="C63" s="795">
        <v>54</v>
      </c>
      <c r="D63" s="756"/>
      <c r="E63" s="757"/>
      <c r="F63" s="796" t="str">
        <f>IF(E63=0," ",VLOOKUP(E63,SISWA!$A$6:$C$55,3,FALSE))</f>
        <v xml:space="preserve"> </v>
      </c>
      <c r="G63" s="797" t="str">
        <f t="shared" si="9"/>
        <v xml:space="preserve"> </v>
      </c>
      <c r="H63" s="813"/>
      <c r="I63" s="760"/>
      <c r="J63" s="760"/>
      <c r="K63" s="812"/>
      <c r="L63" s="798" t="str">
        <f t="shared" si="10"/>
        <v xml:space="preserve"> </v>
      </c>
      <c r="M63" s="798" t="b">
        <f t="shared" si="11"/>
        <v>0</v>
      </c>
      <c r="N63" s="444" t="str">
        <f t="shared" si="12"/>
        <v xml:space="preserve"> </v>
      </c>
      <c r="O63" s="444" t="b">
        <f t="shared" si="13"/>
        <v>0</v>
      </c>
    </row>
    <row r="64" spans="2:62" ht="39.75" customHeight="1">
      <c r="B64" s="758"/>
      <c r="C64" s="795">
        <v>55</v>
      </c>
      <c r="D64" s="756"/>
      <c r="E64" s="757"/>
      <c r="F64" s="796" t="str">
        <f>IF(E64=0," ",VLOOKUP(E64,SISWA!$A$6:$C$55,3,FALSE))</f>
        <v xml:space="preserve"> </v>
      </c>
      <c r="G64" s="797" t="str">
        <f t="shared" si="9"/>
        <v xml:space="preserve"> </v>
      </c>
      <c r="H64" s="813"/>
      <c r="I64" s="760"/>
      <c r="J64" s="760"/>
      <c r="K64" s="812"/>
      <c r="L64" s="798" t="str">
        <f t="shared" si="10"/>
        <v xml:space="preserve"> </v>
      </c>
      <c r="M64" s="798" t="b">
        <f t="shared" si="11"/>
        <v>0</v>
      </c>
      <c r="N64" s="444" t="str">
        <f t="shared" si="12"/>
        <v xml:space="preserve"> </v>
      </c>
      <c r="O64" s="444" t="b">
        <f t="shared" si="13"/>
        <v>0</v>
      </c>
    </row>
    <row r="65" spans="2:15" ht="39.75" customHeight="1">
      <c r="B65" s="758"/>
      <c r="C65" s="795">
        <v>56</v>
      </c>
      <c r="D65" s="756"/>
      <c r="E65" s="757"/>
      <c r="F65" s="796" t="str">
        <f>IF(E65=0," ",VLOOKUP(E65,SISWA!$A$6:$C$55,3,FALSE))</f>
        <v xml:space="preserve"> </v>
      </c>
      <c r="G65" s="797" t="str">
        <f t="shared" si="9"/>
        <v xml:space="preserve"> </v>
      </c>
      <c r="H65" s="813"/>
      <c r="I65" s="760"/>
      <c r="J65" s="760"/>
      <c r="K65" s="812"/>
      <c r="L65" s="798" t="str">
        <f t="shared" si="10"/>
        <v xml:space="preserve"> </v>
      </c>
      <c r="M65" s="798" t="b">
        <f t="shared" si="11"/>
        <v>0</v>
      </c>
      <c r="N65" s="444" t="str">
        <f t="shared" si="12"/>
        <v xml:space="preserve"> </v>
      </c>
      <c r="O65" s="444" t="b">
        <f t="shared" si="13"/>
        <v>0</v>
      </c>
    </row>
    <row r="66" spans="2:15" ht="39.75" customHeight="1">
      <c r="B66" s="758"/>
      <c r="C66" s="795">
        <v>57</v>
      </c>
      <c r="D66" s="756"/>
      <c r="E66" s="757"/>
      <c r="F66" s="796" t="str">
        <f>IF(E66=0," ",VLOOKUP(E66,SISWA!$A$6:$C$55,3,FALSE))</f>
        <v xml:space="preserve"> </v>
      </c>
      <c r="G66" s="797" t="str">
        <f t="shared" si="9"/>
        <v xml:space="preserve"> </v>
      </c>
      <c r="H66" s="813"/>
      <c r="I66" s="760"/>
      <c r="J66" s="760"/>
      <c r="K66" s="812"/>
      <c r="L66" s="798" t="str">
        <f t="shared" si="10"/>
        <v xml:space="preserve"> </v>
      </c>
      <c r="M66" s="798" t="b">
        <f t="shared" si="11"/>
        <v>0</v>
      </c>
      <c r="N66" s="444" t="str">
        <f t="shared" si="12"/>
        <v xml:space="preserve"> </v>
      </c>
      <c r="O66" s="444" t="b">
        <f t="shared" si="13"/>
        <v>0</v>
      </c>
    </row>
    <row r="67" spans="2:15" ht="39.75" customHeight="1">
      <c r="B67" s="758"/>
      <c r="C67" s="795">
        <v>58</v>
      </c>
      <c r="D67" s="756"/>
      <c r="E67" s="757"/>
      <c r="F67" s="796" t="str">
        <f>IF(E67=0," ",VLOOKUP(E67,SISWA!$A$6:$C$55,3,FALSE))</f>
        <v xml:space="preserve"> </v>
      </c>
      <c r="G67" s="797" t="str">
        <f t="shared" si="9"/>
        <v xml:space="preserve"> </v>
      </c>
      <c r="H67" s="813"/>
      <c r="I67" s="760"/>
      <c r="J67" s="760"/>
      <c r="K67" s="812"/>
      <c r="L67" s="798" t="str">
        <f t="shared" si="10"/>
        <v xml:space="preserve"> </v>
      </c>
      <c r="M67" s="798" t="b">
        <f t="shared" si="11"/>
        <v>0</v>
      </c>
      <c r="N67" s="444" t="str">
        <f t="shared" si="12"/>
        <v xml:space="preserve"> </v>
      </c>
      <c r="O67" s="444" t="b">
        <f t="shared" si="13"/>
        <v>0</v>
      </c>
    </row>
    <row r="68" spans="2:15" ht="39.75" customHeight="1">
      <c r="B68" s="758"/>
      <c r="C68" s="795">
        <v>59</v>
      </c>
      <c r="D68" s="756"/>
      <c r="E68" s="757"/>
      <c r="F68" s="796" t="str">
        <f>IF(E68=0," ",VLOOKUP(E68,SISWA!$A$6:$C$55,3,FALSE))</f>
        <v xml:space="preserve"> </v>
      </c>
      <c r="G68" s="797" t="str">
        <f t="shared" si="9"/>
        <v xml:space="preserve"> </v>
      </c>
      <c r="H68" s="813"/>
      <c r="I68" s="760"/>
      <c r="J68" s="760"/>
      <c r="K68" s="812"/>
      <c r="L68" s="798" t="str">
        <f t="shared" si="10"/>
        <v xml:space="preserve"> </v>
      </c>
      <c r="M68" s="798" t="b">
        <f t="shared" si="11"/>
        <v>0</v>
      </c>
      <c r="N68" s="444" t="str">
        <f t="shared" si="12"/>
        <v xml:space="preserve"> </v>
      </c>
      <c r="O68" s="444" t="b">
        <f t="shared" si="13"/>
        <v>0</v>
      </c>
    </row>
    <row r="69" spans="2:15" ht="39.75" customHeight="1">
      <c r="B69" s="758"/>
      <c r="C69" s="795">
        <v>60</v>
      </c>
      <c r="D69" s="756"/>
      <c r="E69" s="757"/>
      <c r="F69" s="796" t="str">
        <f>IF(E69=0," ",VLOOKUP(E69,SISWA!$A$6:$C$55,3,FALSE))</f>
        <v xml:space="preserve"> </v>
      </c>
      <c r="G69" s="797" t="str">
        <f t="shared" si="9"/>
        <v xml:space="preserve"> </v>
      </c>
      <c r="H69" s="813"/>
      <c r="I69" s="760"/>
      <c r="J69" s="760"/>
      <c r="K69" s="812"/>
      <c r="L69" s="798" t="str">
        <f t="shared" si="10"/>
        <v xml:space="preserve"> </v>
      </c>
      <c r="M69" s="798" t="b">
        <f t="shared" si="11"/>
        <v>0</v>
      </c>
      <c r="N69" s="444" t="str">
        <f t="shared" si="12"/>
        <v xml:space="preserve"> </v>
      </c>
      <c r="O69" s="444" t="b">
        <f t="shared" si="13"/>
        <v>0</v>
      </c>
    </row>
    <row r="70" spans="2:15" ht="39.75" customHeight="1">
      <c r="B70" s="758"/>
      <c r="C70" s="795">
        <v>61</v>
      </c>
      <c r="D70" s="756"/>
      <c r="E70" s="757"/>
      <c r="F70" s="796" t="str">
        <f>IF(E70=0," ",VLOOKUP(E70,SISWA!$A$6:$C$55,3,FALSE))</f>
        <v xml:space="preserve"> </v>
      </c>
      <c r="G70" s="797" t="str">
        <f t="shared" si="9"/>
        <v xml:space="preserve"> </v>
      </c>
      <c r="H70" s="813"/>
      <c r="I70" s="760"/>
      <c r="J70" s="760"/>
      <c r="K70" s="812"/>
      <c r="L70" s="798" t="str">
        <f t="shared" si="10"/>
        <v xml:space="preserve"> </v>
      </c>
      <c r="M70" s="798" t="b">
        <f t="shared" si="11"/>
        <v>0</v>
      </c>
      <c r="N70" s="444" t="str">
        <f t="shared" si="12"/>
        <v xml:space="preserve"> </v>
      </c>
      <c r="O70" s="444" t="b">
        <f t="shared" si="13"/>
        <v>0</v>
      </c>
    </row>
    <row r="71" spans="2:15" ht="39.75" customHeight="1">
      <c r="B71" s="758"/>
      <c r="C71" s="795">
        <v>62</v>
      </c>
      <c r="D71" s="756"/>
      <c r="E71" s="757"/>
      <c r="F71" s="796" t="str">
        <f>IF(E71=0," ",VLOOKUP(E71,SISWA!$A$6:$C$55,3,FALSE))</f>
        <v xml:space="preserve"> </v>
      </c>
      <c r="G71" s="797" t="str">
        <f t="shared" si="9"/>
        <v xml:space="preserve"> </v>
      </c>
      <c r="H71" s="813"/>
      <c r="I71" s="760"/>
      <c r="J71" s="760"/>
      <c r="K71" s="812"/>
      <c r="L71" s="798" t="str">
        <f t="shared" si="10"/>
        <v xml:space="preserve"> </v>
      </c>
      <c r="M71" s="798" t="b">
        <f t="shared" si="11"/>
        <v>0</v>
      </c>
      <c r="N71" s="444" t="str">
        <f t="shared" si="12"/>
        <v xml:space="preserve"> </v>
      </c>
      <c r="O71" s="444" t="b">
        <f t="shared" si="13"/>
        <v>0</v>
      </c>
    </row>
    <row r="72" spans="2:15" ht="39.75" customHeight="1">
      <c r="B72" s="758"/>
      <c r="C72" s="795">
        <v>63</v>
      </c>
      <c r="D72" s="756"/>
      <c r="E72" s="757"/>
      <c r="F72" s="796" t="str">
        <f>IF(E72=0," ",VLOOKUP(E72,SISWA!$A$6:$C$55,3,FALSE))</f>
        <v xml:space="preserve"> </v>
      </c>
      <c r="G72" s="797" t="str">
        <f t="shared" si="9"/>
        <v xml:space="preserve"> </v>
      </c>
      <c r="H72" s="813"/>
      <c r="I72" s="760"/>
      <c r="J72" s="760"/>
      <c r="K72" s="812"/>
      <c r="L72" s="798" t="str">
        <f t="shared" si="10"/>
        <v xml:space="preserve"> </v>
      </c>
      <c r="M72" s="798" t="b">
        <f t="shared" si="11"/>
        <v>0</v>
      </c>
      <c r="N72" s="444" t="str">
        <f t="shared" si="12"/>
        <v xml:space="preserve"> </v>
      </c>
      <c r="O72" s="444" t="b">
        <f t="shared" si="13"/>
        <v>0</v>
      </c>
    </row>
    <row r="73" spans="2:15" ht="39.75" customHeight="1">
      <c r="B73" s="758"/>
      <c r="C73" s="795">
        <v>64</v>
      </c>
      <c r="D73" s="756"/>
      <c r="E73" s="757"/>
      <c r="F73" s="796" t="str">
        <f>IF(E73=0," ",VLOOKUP(E73,SISWA!$A$6:$C$55,3,FALSE))</f>
        <v xml:space="preserve"> </v>
      </c>
      <c r="G73" s="797" t="str">
        <f t="shared" si="9"/>
        <v xml:space="preserve"> </v>
      </c>
      <c r="H73" s="813"/>
      <c r="I73" s="760"/>
      <c r="J73" s="760"/>
      <c r="K73" s="812"/>
      <c r="L73" s="798" t="str">
        <f t="shared" si="10"/>
        <v xml:space="preserve"> </v>
      </c>
      <c r="M73" s="798" t="b">
        <f t="shared" si="11"/>
        <v>0</v>
      </c>
      <c r="N73" s="444" t="str">
        <f t="shared" si="12"/>
        <v xml:space="preserve"> </v>
      </c>
      <c r="O73" s="444" t="b">
        <f t="shared" si="13"/>
        <v>0</v>
      </c>
    </row>
    <row r="74" spans="2:15" ht="39.75" customHeight="1">
      <c r="B74" s="758"/>
      <c r="C74" s="795">
        <v>65</v>
      </c>
      <c r="D74" s="756"/>
      <c r="E74" s="757"/>
      <c r="F74" s="796" t="str">
        <f>IF(E74=0," ",VLOOKUP(E74,SISWA!$A$6:$C$55,3,FALSE))</f>
        <v xml:space="preserve"> </v>
      </c>
      <c r="G74" s="797" t="str">
        <f t="shared" si="9"/>
        <v xml:space="preserve"> </v>
      </c>
      <c r="H74" s="813"/>
      <c r="I74" s="760"/>
      <c r="J74" s="760"/>
      <c r="K74" s="812"/>
      <c r="L74" s="798" t="str">
        <f t="shared" si="10"/>
        <v xml:space="preserve"> </v>
      </c>
      <c r="M74" s="798" t="b">
        <f t="shared" si="11"/>
        <v>0</v>
      </c>
      <c r="N74" s="444" t="str">
        <f t="shared" si="12"/>
        <v xml:space="preserve"> </v>
      </c>
      <c r="O74" s="444" t="b">
        <f t="shared" ref="O74:O109" si="22">IF(G74=0,"", IF(G74=1,"A", IF(G74=2,"B", IF(G74=3,"C", IF(G74=4,"D")))))</f>
        <v>0</v>
      </c>
    </row>
    <row r="75" spans="2:15" ht="39.75" customHeight="1">
      <c r="B75" s="758"/>
      <c r="C75" s="795">
        <v>66</v>
      </c>
      <c r="D75" s="756"/>
      <c r="E75" s="757"/>
      <c r="F75" s="796" t="str">
        <f>IF(E75=0," ",VLOOKUP(E75,SISWA!$A$6:$C$55,3,FALSE))</f>
        <v xml:space="preserve"> </v>
      </c>
      <c r="G75" s="797" t="str">
        <f t="shared" ref="G75:G109" si="23">IF(H75=0," ",VLOOKUP(H75,$AY$9:$AZ$12,2,FALSE))</f>
        <v xml:space="preserve"> </v>
      </c>
      <c r="H75" s="813"/>
      <c r="I75" s="760"/>
      <c r="J75" s="760"/>
      <c r="K75" s="812"/>
      <c r="L75" s="798" t="str">
        <f t="shared" ref="L75:L109" si="24">IF(I75=0," ",1)</f>
        <v xml:space="preserve"> </v>
      </c>
      <c r="M75" s="798" t="b">
        <f t="shared" ref="M75:M109" si="25">IF(G75=0,"", IF(G75=1,"A", IF(G75=2,"B", IF(G75=3,"C", IF(G75=4,"D")))))</f>
        <v>0</v>
      </c>
      <c r="N75" s="444" t="str">
        <f t="shared" ref="N75:N109" si="26">IF(J75=0," ",1)</f>
        <v xml:space="preserve"> </v>
      </c>
      <c r="O75" s="444" t="b">
        <f t="shared" si="22"/>
        <v>0</v>
      </c>
    </row>
    <row r="76" spans="2:15" ht="39.75" customHeight="1">
      <c r="B76" s="758"/>
      <c r="C76" s="795">
        <v>67</v>
      </c>
      <c r="D76" s="756"/>
      <c r="E76" s="757"/>
      <c r="F76" s="796" t="str">
        <f>IF(E76=0," ",VLOOKUP(E76,SISWA!$A$6:$C$55,3,FALSE))</f>
        <v xml:space="preserve"> </v>
      </c>
      <c r="G76" s="797" t="str">
        <f t="shared" si="23"/>
        <v xml:space="preserve"> </v>
      </c>
      <c r="H76" s="813"/>
      <c r="I76" s="760"/>
      <c r="J76" s="760"/>
      <c r="K76" s="812"/>
      <c r="L76" s="798" t="str">
        <f t="shared" si="24"/>
        <v xml:space="preserve"> </v>
      </c>
      <c r="M76" s="798" t="b">
        <f t="shared" si="25"/>
        <v>0</v>
      </c>
      <c r="N76" s="444" t="str">
        <f t="shared" si="26"/>
        <v xml:space="preserve"> </v>
      </c>
      <c r="O76" s="444" t="b">
        <f t="shared" si="22"/>
        <v>0</v>
      </c>
    </row>
    <row r="77" spans="2:15" ht="39.75" customHeight="1">
      <c r="B77" s="758"/>
      <c r="C77" s="795">
        <v>68</v>
      </c>
      <c r="D77" s="756"/>
      <c r="E77" s="757"/>
      <c r="F77" s="796" t="str">
        <f>IF(E77=0," ",VLOOKUP(E77,SISWA!$A$6:$C$55,3,FALSE))</f>
        <v xml:space="preserve"> </v>
      </c>
      <c r="G77" s="797" t="str">
        <f t="shared" si="23"/>
        <v xml:space="preserve"> </v>
      </c>
      <c r="H77" s="813"/>
      <c r="I77" s="760"/>
      <c r="J77" s="760"/>
      <c r="K77" s="812"/>
      <c r="L77" s="798" t="str">
        <f t="shared" si="24"/>
        <v xml:space="preserve"> </v>
      </c>
      <c r="M77" s="798" t="b">
        <f t="shared" si="25"/>
        <v>0</v>
      </c>
      <c r="N77" s="444" t="str">
        <f t="shared" si="26"/>
        <v xml:space="preserve"> </v>
      </c>
      <c r="O77" s="444" t="b">
        <f t="shared" si="22"/>
        <v>0</v>
      </c>
    </row>
    <row r="78" spans="2:15" ht="39.75" customHeight="1">
      <c r="B78" s="758"/>
      <c r="C78" s="795">
        <v>69</v>
      </c>
      <c r="D78" s="756"/>
      <c r="E78" s="757"/>
      <c r="F78" s="796" t="str">
        <f>IF(E78=0," ",VLOOKUP(E78,SISWA!$A$6:$C$55,3,FALSE))</f>
        <v xml:space="preserve"> </v>
      </c>
      <c r="G78" s="797" t="str">
        <f t="shared" si="23"/>
        <v xml:space="preserve"> </v>
      </c>
      <c r="H78" s="813"/>
      <c r="I78" s="760"/>
      <c r="J78" s="760"/>
      <c r="K78" s="812"/>
      <c r="L78" s="798" t="str">
        <f t="shared" si="24"/>
        <v xml:space="preserve"> </v>
      </c>
      <c r="M78" s="798" t="b">
        <f t="shared" si="25"/>
        <v>0</v>
      </c>
      <c r="N78" s="444" t="str">
        <f t="shared" si="26"/>
        <v xml:space="preserve"> </v>
      </c>
      <c r="O78" s="444" t="b">
        <f t="shared" si="22"/>
        <v>0</v>
      </c>
    </row>
    <row r="79" spans="2:15" ht="39.75" customHeight="1">
      <c r="B79" s="758"/>
      <c r="C79" s="795">
        <v>70</v>
      </c>
      <c r="D79" s="756"/>
      <c r="E79" s="757"/>
      <c r="F79" s="796" t="str">
        <f>IF(E79=0," ",VLOOKUP(E79,SISWA!$A$6:$C$55,3,FALSE))</f>
        <v xml:space="preserve"> </v>
      </c>
      <c r="G79" s="797" t="str">
        <f t="shared" si="23"/>
        <v xml:space="preserve"> </v>
      </c>
      <c r="H79" s="813"/>
      <c r="I79" s="760"/>
      <c r="J79" s="760"/>
      <c r="K79" s="812"/>
      <c r="L79" s="798" t="str">
        <f t="shared" si="24"/>
        <v xml:space="preserve"> </v>
      </c>
      <c r="M79" s="798" t="b">
        <f t="shared" si="25"/>
        <v>0</v>
      </c>
      <c r="N79" s="444" t="str">
        <f t="shared" si="26"/>
        <v xml:space="preserve"> </v>
      </c>
      <c r="O79" s="444" t="b">
        <f t="shared" si="22"/>
        <v>0</v>
      </c>
    </row>
    <row r="80" spans="2:15" ht="39.75" customHeight="1">
      <c r="B80" s="758"/>
      <c r="C80" s="795">
        <v>71</v>
      </c>
      <c r="D80" s="756"/>
      <c r="E80" s="757"/>
      <c r="F80" s="796" t="str">
        <f>IF(E80=0," ",VLOOKUP(E80,SISWA!$A$6:$C$55,3,FALSE))</f>
        <v xml:space="preserve"> </v>
      </c>
      <c r="G80" s="797" t="str">
        <f t="shared" si="23"/>
        <v xml:space="preserve"> </v>
      </c>
      <c r="H80" s="813"/>
      <c r="I80" s="760"/>
      <c r="J80" s="760"/>
      <c r="K80" s="812"/>
      <c r="L80" s="798" t="str">
        <f t="shared" si="24"/>
        <v xml:space="preserve"> </v>
      </c>
      <c r="M80" s="798" t="b">
        <f t="shared" si="25"/>
        <v>0</v>
      </c>
      <c r="N80" s="444" t="str">
        <f t="shared" si="26"/>
        <v xml:space="preserve"> </v>
      </c>
      <c r="O80" s="444" t="b">
        <f t="shared" si="22"/>
        <v>0</v>
      </c>
    </row>
    <row r="81" spans="2:15" ht="39.75" customHeight="1">
      <c r="B81" s="758"/>
      <c r="C81" s="795">
        <v>72</v>
      </c>
      <c r="D81" s="756"/>
      <c r="E81" s="757"/>
      <c r="F81" s="796" t="str">
        <f>IF(E81=0," ",VLOOKUP(E81,SISWA!$A$6:$C$55,3,FALSE))</f>
        <v xml:space="preserve"> </v>
      </c>
      <c r="G81" s="797" t="str">
        <f t="shared" si="23"/>
        <v xml:space="preserve"> </v>
      </c>
      <c r="H81" s="813"/>
      <c r="I81" s="760"/>
      <c r="J81" s="760"/>
      <c r="K81" s="812"/>
      <c r="L81" s="798" t="str">
        <f t="shared" si="24"/>
        <v xml:space="preserve"> </v>
      </c>
      <c r="M81" s="798" t="b">
        <f t="shared" si="25"/>
        <v>0</v>
      </c>
      <c r="N81" s="444" t="str">
        <f t="shared" si="26"/>
        <v xml:space="preserve"> </v>
      </c>
      <c r="O81" s="444" t="b">
        <f t="shared" si="22"/>
        <v>0</v>
      </c>
    </row>
    <row r="82" spans="2:15" ht="39.75" customHeight="1">
      <c r="B82" s="758"/>
      <c r="C82" s="795">
        <v>73</v>
      </c>
      <c r="D82" s="756"/>
      <c r="E82" s="757"/>
      <c r="F82" s="796" t="str">
        <f>IF(E82=0," ",VLOOKUP(E82,SISWA!$A$6:$C$55,3,FALSE))</f>
        <v xml:space="preserve"> </v>
      </c>
      <c r="G82" s="797" t="str">
        <f t="shared" si="23"/>
        <v xml:space="preserve"> </v>
      </c>
      <c r="H82" s="813"/>
      <c r="I82" s="760"/>
      <c r="J82" s="760"/>
      <c r="K82" s="812"/>
      <c r="L82" s="798" t="str">
        <f t="shared" si="24"/>
        <v xml:space="preserve"> </v>
      </c>
      <c r="M82" s="798" t="b">
        <f t="shared" si="25"/>
        <v>0</v>
      </c>
      <c r="N82" s="444" t="str">
        <f t="shared" si="26"/>
        <v xml:space="preserve"> </v>
      </c>
      <c r="O82" s="444" t="b">
        <f t="shared" si="22"/>
        <v>0</v>
      </c>
    </row>
    <row r="83" spans="2:15" ht="39.75" customHeight="1">
      <c r="B83" s="758"/>
      <c r="C83" s="795">
        <v>74</v>
      </c>
      <c r="D83" s="756"/>
      <c r="E83" s="757"/>
      <c r="F83" s="796" t="str">
        <f>IF(E83=0," ",VLOOKUP(E83,SISWA!$A$6:$C$55,3,FALSE))</f>
        <v xml:space="preserve"> </v>
      </c>
      <c r="G83" s="797" t="str">
        <f t="shared" si="23"/>
        <v xml:space="preserve"> </v>
      </c>
      <c r="H83" s="813"/>
      <c r="I83" s="760"/>
      <c r="J83" s="760"/>
      <c r="K83" s="812"/>
      <c r="L83" s="798" t="str">
        <f t="shared" si="24"/>
        <v xml:space="preserve"> </v>
      </c>
      <c r="M83" s="798" t="b">
        <f t="shared" si="25"/>
        <v>0</v>
      </c>
      <c r="N83" s="444" t="str">
        <f t="shared" si="26"/>
        <v xml:space="preserve"> </v>
      </c>
      <c r="O83" s="444" t="b">
        <f t="shared" si="22"/>
        <v>0</v>
      </c>
    </row>
    <row r="84" spans="2:15" ht="39.75" customHeight="1">
      <c r="B84" s="758"/>
      <c r="C84" s="795">
        <v>75</v>
      </c>
      <c r="D84" s="756"/>
      <c r="E84" s="757"/>
      <c r="F84" s="796" t="str">
        <f>IF(E84=0," ",VLOOKUP(E84,SISWA!$A$6:$C$55,3,FALSE))</f>
        <v xml:space="preserve"> </v>
      </c>
      <c r="G84" s="797" t="str">
        <f t="shared" si="23"/>
        <v xml:space="preserve"> </v>
      </c>
      <c r="H84" s="813"/>
      <c r="I84" s="760"/>
      <c r="J84" s="760"/>
      <c r="K84" s="812"/>
      <c r="L84" s="798" t="str">
        <f t="shared" si="24"/>
        <v xml:space="preserve"> </v>
      </c>
      <c r="M84" s="798" t="b">
        <f t="shared" si="25"/>
        <v>0</v>
      </c>
      <c r="N84" s="444" t="str">
        <f t="shared" si="26"/>
        <v xml:space="preserve"> </v>
      </c>
      <c r="O84" s="444" t="b">
        <f t="shared" si="22"/>
        <v>0</v>
      </c>
    </row>
    <row r="85" spans="2:15" ht="39.75" customHeight="1">
      <c r="B85" s="758"/>
      <c r="C85" s="795">
        <v>76</v>
      </c>
      <c r="D85" s="756"/>
      <c r="E85" s="757"/>
      <c r="F85" s="796" t="str">
        <f>IF(E85=0," ",VLOOKUP(E85,SISWA!$A$6:$C$55,3,FALSE))</f>
        <v xml:space="preserve"> </v>
      </c>
      <c r="G85" s="797" t="str">
        <f t="shared" si="23"/>
        <v xml:space="preserve"> </v>
      </c>
      <c r="H85" s="813"/>
      <c r="I85" s="760"/>
      <c r="J85" s="760"/>
      <c r="K85" s="812"/>
      <c r="L85" s="798" t="str">
        <f t="shared" si="24"/>
        <v xml:space="preserve"> </v>
      </c>
      <c r="M85" s="798" t="b">
        <f t="shared" si="25"/>
        <v>0</v>
      </c>
      <c r="N85" s="444" t="str">
        <f t="shared" si="26"/>
        <v xml:space="preserve"> </v>
      </c>
      <c r="O85" s="444" t="b">
        <f t="shared" si="22"/>
        <v>0</v>
      </c>
    </row>
    <row r="86" spans="2:15" ht="39.75" customHeight="1">
      <c r="B86" s="758"/>
      <c r="C86" s="795">
        <v>77</v>
      </c>
      <c r="D86" s="756"/>
      <c r="E86" s="757"/>
      <c r="F86" s="796" t="str">
        <f>IF(E86=0," ",VLOOKUP(E86,SISWA!$A$6:$C$55,3,FALSE))</f>
        <v xml:space="preserve"> </v>
      </c>
      <c r="G86" s="797" t="str">
        <f t="shared" si="23"/>
        <v xml:space="preserve"> </v>
      </c>
      <c r="H86" s="813"/>
      <c r="I86" s="760"/>
      <c r="J86" s="760"/>
      <c r="K86" s="812"/>
      <c r="L86" s="798" t="str">
        <f t="shared" si="24"/>
        <v xml:space="preserve"> </v>
      </c>
      <c r="M86" s="798" t="b">
        <f t="shared" si="25"/>
        <v>0</v>
      </c>
      <c r="N86" s="444" t="str">
        <f t="shared" si="26"/>
        <v xml:space="preserve"> </v>
      </c>
      <c r="O86" s="444" t="b">
        <f t="shared" si="22"/>
        <v>0</v>
      </c>
    </row>
    <row r="87" spans="2:15" ht="39.75" customHeight="1">
      <c r="B87" s="758"/>
      <c r="C87" s="795">
        <v>78</v>
      </c>
      <c r="D87" s="756"/>
      <c r="E87" s="757"/>
      <c r="F87" s="796" t="str">
        <f>IF(E87=0," ",VLOOKUP(E87,SISWA!$A$6:$C$55,3,FALSE))</f>
        <v xml:space="preserve"> </v>
      </c>
      <c r="G87" s="797" t="str">
        <f t="shared" si="23"/>
        <v xml:space="preserve"> </v>
      </c>
      <c r="H87" s="813"/>
      <c r="I87" s="760"/>
      <c r="J87" s="760"/>
      <c r="K87" s="812"/>
      <c r="L87" s="798" t="str">
        <f t="shared" si="24"/>
        <v xml:space="preserve"> </v>
      </c>
      <c r="M87" s="798" t="b">
        <f t="shared" si="25"/>
        <v>0</v>
      </c>
      <c r="N87" s="444" t="str">
        <f t="shared" si="26"/>
        <v xml:space="preserve"> </v>
      </c>
      <c r="O87" s="444" t="b">
        <f t="shared" si="22"/>
        <v>0</v>
      </c>
    </row>
    <row r="88" spans="2:15" ht="39.75" customHeight="1">
      <c r="B88" s="758"/>
      <c r="C88" s="795">
        <v>79</v>
      </c>
      <c r="D88" s="756"/>
      <c r="E88" s="757"/>
      <c r="F88" s="796" t="str">
        <f>IF(E88=0," ",VLOOKUP(E88,SISWA!$A$6:$C$55,3,FALSE))</f>
        <v xml:space="preserve"> </v>
      </c>
      <c r="G88" s="797" t="str">
        <f t="shared" si="23"/>
        <v xml:space="preserve"> </v>
      </c>
      <c r="H88" s="813"/>
      <c r="I88" s="760"/>
      <c r="J88" s="760"/>
      <c r="K88" s="812"/>
      <c r="L88" s="798" t="str">
        <f t="shared" si="24"/>
        <v xml:space="preserve"> </v>
      </c>
      <c r="M88" s="798" t="b">
        <f t="shared" si="25"/>
        <v>0</v>
      </c>
      <c r="N88" s="444" t="str">
        <f t="shared" si="26"/>
        <v xml:space="preserve"> </v>
      </c>
      <c r="O88" s="444" t="b">
        <f t="shared" si="22"/>
        <v>0</v>
      </c>
    </row>
    <row r="89" spans="2:15" ht="39.75" customHeight="1">
      <c r="B89" s="758"/>
      <c r="C89" s="795">
        <v>80</v>
      </c>
      <c r="D89" s="756"/>
      <c r="E89" s="757"/>
      <c r="F89" s="796" t="str">
        <f>IF(E89=0," ",VLOOKUP(E89,SISWA!$A$6:$C$55,3,FALSE))</f>
        <v xml:space="preserve"> </v>
      </c>
      <c r="G89" s="797" t="str">
        <f t="shared" si="23"/>
        <v xml:space="preserve"> </v>
      </c>
      <c r="H89" s="813"/>
      <c r="I89" s="760"/>
      <c r="J89" s="760"/>
      <c r="K89" s="812"/>
      <c r="L89" s="798" t="str">
        <f t="shared" si="24"/>
        <v xml:space="preserve"> </v>
      </c>
      <c r="M89" s="798" t="b">
        <f t="shared" si="25"/>
        <v>0</v>
      </c>
      <c r="N89" s="444" t="str">
        <f t="shared" si="26"/>
        <v xml:space="preserve"> </v>
      </c>
      <c r="O89" s="444" t="b">
        <f t="shared" si="22"/>
        <v>0</v>
      </c>
    </row>
    <row r="90" spans="2:15" ht="39.75" customHeight="1">
      <c r="B90" s="758"/>
      <c r="C90" s="795">
        <v>81</v>
      </c>
      <c r="D90" s="756"/>
      <c r="E90" s="757"/>
      <c r="F90" s="796" t="str">
        <f>IF(E90=0," ",VLOOKUP(E90,SISWA!$A$6:$C$55,3,FALSE))</f>
        <v xml:space="preserve"> </v>
      </c>
      <c r="G90" s="797" t="str">
        <f t="shared" si="23"/>
        <v xml:space="preserve"> </v>
      </c>
      <c r="H90" s="813"/>
      <c r="I90" s="760"/>
      <c r="J90" s="760"/>
      <c r="K90" s="812"/>
      <c r="L90" s="798" t="str">
        <f t="shared" si="24"/>
        <v xml:space="preserve"> </v>
      </c>
      <c r="M90" s="798" t="b">
        <f t="shared" si="25"/>
        <v>0</v>
      </c>
      <c r="N90" s="444" t="str">
        <f t="shared" si="26"/>
        <v xml:space="preserve"> </v>
      </c>
      <c r="O90" s="444" t="b">
        <f t="shared" si="22"/>
        <v>0</v>
      </c>
    </row>
    <row r="91" spans="2:15" ht="39.75" customHeight="1">
      <c r="B91" s="758"/>
      <c r="C91" s="795">
        <v>82</v>
      </c>
      <c r="D91" s="756"/>
      <c r="E91" s="757"/>
      <c r="F91" s="796" t="str">
        <f>IF(E91=0," ",VLOOKUP(E91,SISWA!$A$6:$C$55,3,FALSE))</f>
        <v xml:space="preserve"> </v>
      </c>
      <c r="G91" s="797" t="str">
        <f t="shared" si="23"/>
        <v xml:space="preserve"> </v>
      </c>
      <c r="H91" s="813"/>
      <c r="I91" s="760"/>
      <c r="J91" s="760"/>
      <c r="K91" s="812"/>
      <c r="L91" s="798" t="str">
        <f t="shared" si="24"/>
        <v xml:space="preserve"> </v>
      </c>
      <c r="M91" s="798" t="b">
        <f t="shared" si="25"/>
        <v>0</v>
      </c>
      <c r="N91" s="444" t="str">
        <f t="shared" si="26"/>
        <v xml:space="preserve"> </v>
      </c>
      <c r="O91" s="444" t="b">
        <f t="shared" si="22"/>
        <v>0</v>
      </c>
    </row>
    <row r="92" spans="2:15" ht="39.75" customHeight="1">
      <c r="B92" s="758"/>
      <c r="C92" s="795">
        <v>83</v>
      </c>
      <c r="D92" s="756"/>
      <c r="E92" s="757"/>
      <c r="F92" s="796" t="str">
        <f>IF(E92=0," ",VLOOKUP(E92,SISWA!$A$6:$C$55,3,FALSE))</f>
        <v xml:space="preserve"> </v>
      </c>
      <c r="G92" s="797" t="str">
        <f t="shared" si="23"/>
        <v xml:space="preserve"> </v>
      </c>
      <c r="H92" s="813"/>
      <c r="I92" s="760"/>
      <c r="J92" s="760"/>
      <c r="K92" s="812"/>
      <c r="L92" s="798" t="str">
        <f t="shared" si="24"/>
        <v xml:space="preserve"> </v>
      </c>
      <c r="M92" s="798" t="b">
        <f t="shared" si="25"/>
        <v>0</v>
      </c>
      <c r="N92" s="444" t="str">
        <f t="shared" si="26"/>
        <v xml:space="preserve"> </v>
      </c>
      <c r="O92" s="444" t="b">
        <f t="shared" si="22"/>
        <v>0</v>
      </c>
    </row>
    <row r="93" spans="2:15" ht="39.75" customHeight="1">
      <c r="B93" s="758"/>
      <c r="C93" s="795">
        <v>84</v>
      </c>
      <c r="D93" s="756"/>
      <c r="E93" s="757"/>
      <c r="F93" s="796" t="str">
        <f>IF(E93=0," ",VLOOKUP(E93,SISWA!$A$6:$C$55,3,FALSE))</f>
        <v xml:space="preserve"> </v>
      </c>
      <c r="G93" s="797" t="str">
        <f t="shared" si="23"/>
        <v xml:space="preserve"> </v>
      </c>
      <c r="H93" s="813"/>
      <c r="I93" s="760"/>
      <c r="J93" s="760"/>
      <c r="K93" s="812"/>
      <c r="L93" s="798" t="str">
        <f t="shared" si="24"/>
        <v xml:space="preserve"> </v>
      </c>
      <c r="M93" s="798" t="b">
        <f t="shared" si="25"/>
        <v>0</v>
      </c>
      <c r="N93" s="444" t="str">
        <f t="shared" si="26"/>
        <v xml:space="preserve"> </v>
      </c>
      <c r="O93" s="444" t="b">
        <f t="shared" si="22"/>
        <v>0</v>
      </c>
    </row>
    <row r="94" spans="2:15" ht="39.75" customHeight="1">
      <c r="B94" s="758"/>
      <c r="C94" s="795">
        <v>85</v>
      </c>
      <c r="D94" s="756"/>
      <c r="E94" s="757"/>
      <c r="F94" s="796" t="str">
        <f>IF(E94=0," ",VLOOKUP(E94,SISWA!$A$6:$C$55,3,FALSE))</f>
        <v xml:space="preserve"> </v>
      </c>
      <c r="G94" s="797" t="str">
        <f t="shared" si="23"/>
        <v xml:space="preserve"> </v>
      </c>
      <c r="H94" s="813"/>
      <c r="I94" s="760"/>
      <c r="J94" s="760"/>
      <c r="K94" s="812"/>
      <c r="L94" s="798" t="str">
        <f t="shared" si="24"/>
        <v xml:space="preserve"> </v>
      </c>
      <c r="M94" s="798" t="b">
        <f t="shared" si="25"/>
        <v>0</v>
      </c>
      <c r="N94" s="444" t="str">
        <f t="shared" si="26"/>
        <v xml:space="preserve"> </v>
      </c>
      <c r="O94" s="444" t="b">
        <f t="shared" si="22"/>
        <v>0</v>
      </c>
    </row>
    <row r="95" spans="2:15" ht="39.75" customHeight="1">
      <c r="B95" s="758"/>
      <c r="C95" s="795">
        <v>86</v>
      </c>
      <c r="D95" s="756"/>
      <c r="E95" s="757"/>
      <c r="F95" s="796" t="str">
        <f>IF(E95=0," ",VLOOKUP(E95,SISWA!$A$6:$C$55,3,FALSE))</f>
        <v xml:space="preserve"> </v>
      </c>
      <c r="G95" s="797" t="str">
        <f t="shared" si="23"/>
        <v xml:space="preserve"> </v>
      </c>
      <c r="H95" s="813"/>
      <c r="I95" s="760"/>
      <c r="J95" s="760"/>
      <c r="K95" s="812"/>
      <c r="L95" s="798" t="str">
        <f t="shared" si="24"/>
        <v xml:space="preserve"> </v>
      </c>
      <c r="M95" s="798" t="b">
        <f t="shared" si="25"/>
        <v>0</v>
      </c>
      <c r="N95" s="444" t="str">
        <f t="shared" si="26"/>
        <v xml:space="preserve"> </v>
      </c>
      <c r="O95" s="444" t="b">
        <f t="shared" si="22"/>
        <v>0</v>
      </c>
    </row>
    <row r="96" spans="2:15" ht="39.75" customHeight="1">
      <c r="B96" s="758"/>
      <c r="C96" s="795">
        <v>87</v>
      </c>
      <c r="D96" s="756"/>
      <c r="E96" s="757"/>
      <c r="F96" s="796" t="str">
        <f>IF(E96=0," ",VLOOKUP(E96,SISWA!$A$6:$C$55,3,FALSE))</f>
        <v xml:space="preserve"> </v>
      </c>
      <c r="G96" s="797" t="str">
        <f t="shared" si="23"/>
        <v xml:space="preserve"> </v>
      </c>
      <c r="H96" s="813"/>
      <c r="I96" s="760"/>
      <c r="J96" s="760"/>
      <c r="K96" s="812"/>
      <c r="L96" s="798" t="str">
        <f t="shared" si="24"/>
        <v xml:space="preserve"> </v>
      </c>
      <c r="M96" s="798" t="b">
        <f t="shared" si="25"/>
        <v>0</v>
      </c>
      <c r="N96" s="444" t="str">
        <f t="shared" si="26"/>
        <v xml:space="preserve"> </v>
      </c>
      <c r="O96" s="444" t="b">
        <f t="shared" si="22"/>
        <v>0</v>
      </c>
    </row>
    <row r="97" spans="1:51" ht="39.75" customHeight="1">
      <c r="B97" s="758"/>
      <c r="C97" s="795">
        <v>88</v>
      </c>
      <c r="D97" s="756"/>
      <c r="E97" s="757"/>
      <c r="F97" s="796" t="str">
        <f>IF(E97=0," ",VLOOKUP(E97,SISWA!$A$6:$C$55,3,FALSE))</f>
        <v xml:space="preserve"> </v>
      </c>
      <c r="G97" s="797" t="str">
        <f t="shared" si="23"/>
        <v xml:space="preserve"> </v>
      </c>
      <c r="H97" s="813"/>
      <c r="I97" s="760"/>
      <c r="J97" s="760"/>
      <c r="K97" s="812"/>
      <c r="L97" s="798" t="str">
        <f t="shared" si="24"/>
        <v xml:space="preserve"> </v>
      </c>
      <c r="M97" s="798" t="b">
        <f t="shared" si="25"/>
        <v>0</v>
      </c>
      <c r="N97" s="444" t="str">
        <f t="shared" si="26"/>
        <v xml:space="preserve"> </v>
      </c>
      <c r="O97" s="444" t="b">
        <f t="shared" si="22"/>
        <v>0</v>
      </c>
    </row>
    <row r="98" spans="1:51" ht="39.75" customHeight="1">
      <c r="B98" s="758"/>
      <c r="C98" s="795">
        <v>89</v>
      </c>
      <c r="D98" s="756"/>
      <c r="E98" s="757"/>
      <c r="F98" s="796" t="str">
        <f>IF(E98=0," ",VLOOKUP(E98,SISWA!$A$6:$C$55,3,FALSE))</f>
        <v xml:space="preserve"> </v>
      </c>
      <c r="G98" s="797" t="str">
        <f t="shared" si="23"/>
        <v xml:space="preserve"> </v>
      </c>
      <c r="H98" s="813"/>
      <c r="I98" s="760"/>
      <c r="J98" s="760"/>
      <c r="K98" s="812"/>
      <c r="L98" s="798" t="str">
        <f t="shared" si="24"/>
        <v xml:space="preserve"> </v>
      </c>
      <c r="M98" s="798" t="b">
        <f t="shared" si="25"/>
        <v>0</v>
      </c>
      <c r="N98" s="444" t="str">
        <f t="shared" si="26"/>
        <v xml:space="preserve"> </v>
      </c>
      <c r="O98" s="444" t="b">
        <f t="shared" si="22"/>
        <v>0</v>
      </c>
    </row>
    <row r="99" spans="1:51" ht="39.75" customHeight="1">
      <c r="B99" s="758"/>
      <c r="C99" s="795">
        <v>90</v>
      </c>
      <c r="D99" s="756"/>
      <c r="E99" s="757"/>
      <c r="F99" s="796" t="str">
        <f>IF(E99=0," ",VLOOKUP(E99,SISWA!$A$6:$C$55,3,FALSE))</f>
        <v xml:space="preserve"> </v>
      </c>
      <c r="G99" s="797" t="str">
        <f t="shared" si="23"/>
        <v xml:space="preserve"> </v>
      </c>
      <c r="H99" s="813"/>
      <c r="I99" s="760"/>
      <c r="J99" s="760"/>
      <c r="K99" s="812"/>
      <c r="L99" s="798" t="str">
        <f t="shared" si="24"/>
        <v xml:space="preserve"> </v>
      </c>
      <c r="M99" s="798" t="b">
        <f t="shared" si="25"/>
        <v>0</v>
      </c>
      <c r="N99" s="444" t="str">
        <f t="shared" si="26"/>
        <v xml:space="preserve"> </v>
      </c>
      <c r="O99" s="444" t="b">
        <f t="shared" si="22"/>
        <v>0</v>
      </c>
    </row>
    <row r="100" spans="1:51" ht="39.75" customHeight="1">
      <c r="B100" s="758"/>
      <c r="C100" s="795">
        <v>91</v>
      </c>
      <c r="D100" s="756"/>
      <c r="E100" s="757"/>
      <c r="F100" s="796" t="str">
        <f>IF(E100=0," ",VLOOKUP(E100,SISWA!$A$6:$C$55,3,FALSE))</f>
        <v xml:space="preserve"> </v>
      </c>
      <c r="G100" s="797" t="str">
        <f t="shared" si="23"/>
        <v xml:space="preserve"> </v>
      </c>
      <c r="H100" s="813"/>
      <c r="I100" s="760"/>
      <c r="J100" s="760"/>
      <c r="K100" s="812"/>
      <c r="L100" s="798" t="str">
        <f t="shared" si="24"/>
        <v xml:space="preserve"> </v>
      </c>
      <c r="M100" s="798" t="b">
        <f t="shared" si="25"/>
        <v>0</v>
      </c>
      <c r="N100" s="444" t="str">
        <f t="shared" si="26"/>
        <v xml:space="preserve"> </v>
      </c>
      <c r="O100" s="444" t="b">
        <f t="shared" si="22"/>
        <v>0</v>
      </c>
    </row>
    <row r="101" spans="1:51" ht="39.75" customHeight="1">
      <c r="B101" s="758"/>
      <c r="C101" s="795">
        <v>92</v>
      </c>
      <c r="D101" s="756"/>
      <c r="E101" s="757"/>
      <c r="F101" s="796" t="str">
        <f>IF(E101=0," ",VLOOKUP(E101,SISWA!$A$6:$C$55,3,FALSE))</f>
        <v xml:space="preserve"> </v>
      </c>
      <c r="G101" s="797" t="str">
        <f t="shared" si="23"/>
        <v xml:space="preserve"> </v>
      </c>
      <c r="H101" s="813"/>
      <c r="I101" s="760"/>
      <c r="J101" s="760"/>
      <c r="K101" s="812"/>
      <c r="L101" s="798" t="str">
        <f t="shared" si="24"/>
        <v xml:space="preserve"> </v>
      </c>
      <c r="M101" s="798" t="b">
        <f t="shared" si="25"/>
        <v>0</v>
      </c>
      <c r="N101" s="444" t="str">
        <f t="shared" si="26"/>
        <v xml:space="preserve"> </v>
      </c>
      <c r="O101" s="444" t="b">
        <f t="shared" si="22"/>
        <v>0</v>
      </c>
    </row>
    <row r="102" spans="1:51" ht="39.75" customHeight="1">
      <c r="B102" s="758"/>
      <c r="C102" s="795">
        <v>93</v>
      </c>
      <c r="D102" s="756"/>
      <c r="E102" s="757"/>
      <c r="F102" s="796" t="str">
        <f>IF(E102=0," ",VLOOKUP(E102,SISWA!$A$6:$C$55,3,FALSE))</f>
        <v xml:space="preserve"> </v>
      </c>
      <c r="G102" s="797" t="str">
        <f t="shared" si="23"/>
        <v xml:space="preserve"> </v>
      </c>
      <c r="H102" s="813"/>
      <c r="I102" s="760"/>
      <c r="J102" s="760"/>
      <c r="K102" s="812"/>
      <c r="L102" s="798" t="str">
        <f t="shared" si="24"/>
        <v xml:space="preserve"> </v>
      </c>
      <c r="M102" s="798" t="b">
        <f t="shared" si="25"/>
        <v>0</v>
      </c>
      <c r="N102" s="444" t="str">
        <f t="shared" si="26"/>
        <v xml:space="preserve"> </v>
      </c>
      <c r="O102" s="444" t="b">
        <f t="shared" si="22"/>
        <v>0</v>
      </c>
    </row>
    <row r="103" spans="1:51" ht="39.75" customHeight="1">
      <c r="B103" s="758"/>
      <c r="C103" s="795">
        <v>94</v>
      </c>
      <c r="D103" s="756"/>
      <c r="E103" s="757"/>
      <c r="F103" s="796" t="str">
        <f>IF(E103=0," ",VLOOKUP(E103,SISWA!$A$6:$C$55,3,FALSE))</f>
        <v xml:space="preserve"> </v>
      </c>
      <c r="G103" s="797" t="str">
        <f t="shared" si="23"/>
        <v xml:space="preserve"> </v>
      </c>
      <c r="H103" s="813"/>
      <c r="I103" s="760"/>
      <c r="J103" s="760"/>
      <c r="K103" s="812"/>
      <c r="L103" s="798" t="str">
        <f t="shared" si="24"/>
        <v xml:space="preserve"> </v>
      </c>
      <c r="M103" s="798" t="b">
        <f t="shared" si="25"/>
        <v>0</v>
      </c>
      <c r="N103" s="444" t="str">
        <f t="shared" si="26"/>
        <v xml:space="preserve"> </v>
      </c>
      <c r="O103" s="444" t="b">
        <f t="shared" si="22"/>
        <v>0</v>
      </c>
    </row>
    <row r="104" spans="1:51" ht="39.75" customHeight="1">
      <c r="B104" s="758"/>
      <c r="C104" s="795">
        <v>95</v>
      </c>
      <c r="D104" s="756"/>
      <c r="E104" s="757"/>
      <c r="F104" s="796" t="str">
        <f>IF(E104=0," ",VLOOKUP(E104,SISWA!$A$6:$C$55,3,FALSE))</f>
        <v xml:space="preserve"> </v>
      </c>
      <c r="G104" s="797" t="str">
        <f t="shared" si="23"/>
        <v xml:space="preserve"> </v>
      </c>
      <c r="H104" s="813"/>
      <c r="I104" s="760"/>
      <c r="J104" s="760"/>
      <c r="K104" s="812"/>
      <c r="L104" s="798" t="str">
        <f t="shared" si="24"/>
        <v xml:space="preserve"> </v>
      </c>
      <c r="M104" s="798" t="b">
        <f t="shared" si="25"/>
        <v>0</v>
      </c>
      <c r="N104" s="444" t="str">
        <f t="shared" si="26"/>
        <v xml:space="preserve"> </v>
      </c>
      <c r="O104" s="444" t="b">
        <f t="shared" si="22"/>
        <v>0</v>
      </c>
    </row>
    <row r="105" spans="1:51" ht="39.75" customHeight="1">
      <c r="B105" s="758"/>
      <c r="C105" s="795">
        <v>96</v>
      </c>
      <c r="D105" s="756"/>
      <c r="E105" s="757"/>
      <c r="F105" s="796" t="str">
        <f>IF(E105=0," ",VLOOKUP(E105,SISWA!$A$6:$C$55,3,FALSE))</f>
        <v xml:space="preserve"> </v>
      </c>
      <c r="G105" s="797" t="str">
        <f t="shared" si="23"/>
        <v xml:space="preserve"> </v>
      </c>
      <c r="H105" s="813"/>
      <c r="I105" s="760"/>
      <c r="J105" s="760"/>
      <c r="K105" s="812"/>
      <c r="L105" s="798" t="str">
        <f t="shared" si="24"/>
        <v xml:space="preserve"> </v>
      </c>
      <c r="M105" s="798" t="b">
        <f t="shared" si="25"/>
        <v>0</v>
      </c>
      <c r="N105" s="444" t="str">
        <f t="shared" si="26"/>
        <v xml:space="preserve"> </v>
      </c>
      <c r="O105" s="444" t="b">
        <f t="shared" si="22"/>
        <v>0</v>
      </c>
    </row>
    <row r="106" spans="1:51" ht="39.75" customHeight="1">
      <c r="B106" s="758"/>
      <c r="C106" s="795">
        <v>97</v>
      </c>
      <c r="D106" s="756"/>
      <c r="E106" s="757"/>
      <c r="F106" s="796" t="str">
        <f>IF(E106=0," ",VLOOKUP(E106,SISWA!$A$6:$C$55,3,FALSE))</f>
        <v xml:space="preserve"> </v>
      </c>
      <c r="G106" s="797" t="str">
        <f t="shared" si="23"/>
        <v xml:space="preserve"> </v>
      </c>
      <c r="H106" s="813"/>
      <c r="I106" s="760"/>
      <c r="J106" s="760"/>
      <c r="K106" s="812"/>
      <c r="L106" s="798" t="str">
        <f t="shared" si="24"/>
        <v xml:space="preserve"> </v>
      </c>
      <c r="M106" s="798" t="b">
        <f t="shared" si="25"/>
        <v>0</v>
      </c>
      <c r="N106" s="444" t="str">
        <f t="shared" si="26"/>
        <v xml:space="preserve"> </v>
      </c>
      <c r="O106" s="444" t="b">
        <f t="shared" si="22"/>
        <v>0</v>
      </c>
    </row>
    <row r="107" spans="1:51" ht="39.75" customHeight="1">
      <c r="B107" s="758"/>
      <c r="C107" s="795">
        <v>98</v>
      </c>
      <c r="D107" s="756"/>
      <c r="E107" s="757"/>
      <c r="F107" s="796" t="str">
        <f>IF(E107=0," ",VLOOKUP(E107,SISWA!$A$6:$C$55,3,FALSE))</f>
        <v xml:space="preserve"> </v>
      </c>
      <c r="G107" s="797" t="str">
        <f t="shared" si="23"/>
        <v xml:space="preserve"> </v>
      </c>
      <c r="H107" s="813"/>
      <c r="I107" s="760"/>
      <c r="J107" s="760"/>
      <c r="K107" s="812"/>
      <c r="L107" s="798" t="str">
        <f t="shared" si="24"/>
        <v xml:space="preserve"> </v>
      </c>
      <c r="M107" s="798" t="b">
        <f t="shared" si="25"/>
        <v>0</v>
      </c>
      <c r="N107" s="444" t="str">
        <f t="shared" si="26"/>
        <v xml:space="preserve"> </v>
      </c>
      <c r="O107" s="444" t="b">
        <f t="shared" si="22"/>
        <v>0</v>
      </c>
    </row>
    <row r="108" spans="1:51" ht="39.75" customHeight="1">
      <c r="B108" s="758"/>
      <c r="C108" s="795">
        <v>99</v>
      </c>
      <c r="D108" s="756"/>
      <c r="E108" s="757"/>
      <c r="F108" s="796" t="str">
        <f>IF(E108=0," ",VLOOKUP(E108,SISWA!$A$6:$C$55,3,FALSE))</f>
        <v xml:space="preserve"> </v>
      </c>
      <c r="G108" s="797" t="str">
        <f t="shared" si="23"/>
        <v xml:space="preserve"> </v>
      </c>
      <c r="H108" s="813"/>
      <c r="I108" s="760"/>
      <c r="J108" s="760"/>
      <c r="K108" s="812"/>
      <c r="L108" s="798" t="str">
        <f t="shared" si="24"/>
        <v xml:space="preserve"> </v>
      </c>
      <c r="M108" s="798" t="b">
        <f t="shared" si="25"/>
        <v>0</v>
      </c>
      <c r="N108" s="444" t="str">
        <f t="shared" si="26"/>
        <v xml:space="preserve"> </v>
      </c>
      <c r="O108" s="444" t="b">
        <f t="shared" si="22"/>
        <v>0</v>
      </c>
    </row>
    <row r="109" spans="1:51" ht="39.75" customHeight="1">
      <c r="B109" s="758"/>
      <c r="C109" s="795">
        <v>100</v>
      </c>
      <c r="D109" s="756"/>
      <c r="E109" s="757"/>
      <c r="F109" s="796" t="str">
        <f>IF(E109=0," ",VLOOKUP(E109,SISWA!$A$6:$C$55,3,FALSE))</f>
        <v xml:space="preserve"> </v>
      </c>
      <c r="G109" s="797" t="str">
        <f t="shared" si="23"/>
        <v xml:space="preserve"> </v>
      </c>
      <c r="H109" s="813"/>
      <c r="I109" s="760"/>
      <c r="J109" s="760"/>
      <c r="K109" s="812"/>
      <c r="L109" s="798" t="str">
        <f t="shared" si="24"/>
        <v xml:space="preserve"> </v>
      </c>
      <c r="M109" s="798" t="b">
        <f t="shared" si="25"/>
        <v>0</v>
      </c>
      <c r="N109" s="444" t="str">
        <f t="shared" si="26"/>
        <v xml:space="preserve"> </v>
      </c>
      <c r="O109" s="444" t="b">
        <f t="shared" si="22"/>
        <v>0</v>
      </c>
    </row>
    <row r="110" spans="1:51" ht="15.75">
      <c r="C110" s="802"/>
      <c r="D110" s="802"/>
      <c r="E110" s="802"/>
      <c r="F110" s="802"/>
      <c r="G110" s="802"/>
      <c r="H110" s="802"/>
      <c r="I110" s="959"/>
      <c r="J110" s="959"/>
      <c r="K110" s="959"/>
      <c r="L110" s="959"/>
      <c r="M110" s="959"/>
      <c r="N110" s="959"/>
      <c r="O110" s="959"/>
    </row>
    <row r="111" spans="1:51" ht="15">
      <c r="A111" s="405"/>
      <c r="B111" s="405"/>
      <c r="D111" s="198" t="s">
        <v>244</v>
      </c>
      <c r="E111" s="803"/>
      <c r="F111" s="803"/>
      <c r="G111" s="803"/>
      <c r="H111" s="803"/>
      <c r="I111" s="803"/>
      <c r="J111" s="803"/>
      <c r="K111" s="825" t="s">
        <v>970</v>
      </c>
      <c r="L111" s="803"/>
      <c r="M111" s="803"/>
      <c r="N111" s="803"/>
      <c r="O111" s="803"/>
      <c r="P111" s="405"/>
      <c r="Q111" s="405"/>
      <c r="R111" s="405"/>
      <c r="S111" s="405"/>
      <c r="T111" s="405"/>
      <c r="U111" s="405"/>
      <c r="V111" s="405"/>
      <c r="W111" s="405"/>
      <c r="X111" s="405"/>
      <c r="Y111" s="405"/>
      <c r="Z111" s="405"/>
      <c r="AA111" s="405"/>
      <c r="AB111" s="405"/>
      <c r="AC111" s="405"/>
      <c r="AD111" s="405"/>
      <c r="AE111" s="405"/>
      <c r="AF111" s="405"/>
      <c r="AG111" s="405"/>
      <c r="AH111" s="405"/>
      <c r="AI111" s="405"/>
      <c r="AJ111" s="405"/>
      <c r="AK111" s="405"/>
      <c r="AL111" s="405"/>
      <c r="AM111" s="405"/>
      <c r="AN111" s="405"/>
      <c r="AO111" s="405"/>
      <c r="AP111" s="405"/>
      <c r="AQ111" s="405"/>
      <c r="AR111" s="405"/>
      <c r="AS111" s="405"/>
      <c r="AT111" s="405"/>
      <c r="AU111" s="405"/>
      <c r="AV111" s="405"/>
      <c r="AW111" s="405"/>
      <c r="AX111" s="405"/>
      <c r="AY111" s="405"/>
    </row>
    <row r="112" spans="1:51" ht="15.75">
      <c r="A112" s="405"/>
      <c r="B112" s="405"/>
      <c r="D112" s="198" t="s">
        <v>245</v>
      </c>
      <c r="E112" s="803"/>
      <c r="F112" s="803"/>
      <c r="G112" s="803"/>
      <c r="H112" s="803"/>
      <c r="I112" s="804"/>
      <c r="J112" s="804"/>
      <c r="K112" s="198" t="s">
        <v>971</v>
      </c>
      <c r="L112" s="803"/>
      <c r="M112" s="803"/>
      <c r="N112" s="803"/>
      <c r="O112" s="803"/>
      <c r="P112" s="405"/>
      <c r="Q112" s="405"/>
      <c r="R112" s="405"/>
      <c r="S112" s="405"/>
      <c r="T112" s="405"/>
      <c r="U112" s="405"/>
      <c r="V112" s="405"/>
      <c r="W112" s="405"/>
      <c r="X112" s="405"/>
      <c r="Y112" s="405"/>
      <c r="Z112" s="405"/>
      <c r="AA112" s="405"/>
      <c r="AB112" s="405"/>
      <c r="AC112" s="405"/>
      <c r="AD112" s="405"/>
      <c r="AE112" s="405"/>
      <c r="AF112" s="405"/>
      <c r="AG112" s="405"/>
      <c r="AH112" s="405"/>
      <c r="AI112" s="405"/>
      <c r="AJ112" s="405"/>
      <c r="AK112" s="405"/>
      <c r="AL112" s="405"/>
      <c r="AM112" s="405"/>
      <c r="AN112" s="405"/>
      <c r="AO112" s="405"/>
      <c r="AP112" s="405"/>
      <c r="AQ112" s="405"/>
      <c r="AR112" s="405"/>
      <c r="AS112" s="405"/>
      <c r="AT112" s="405"/>
      <c r="AU112" s="405"/>
      <c r="AV112" s="405"/>
      <c r="AW112" s="405"/>
      <c r="AX112" s="405"/>
      <c r="AY112" s="405"/>
    </row>
    <row r="113" spans="1:51" ht="15.75">
      <c r="A113" s="405"/>
      <c r="B113" s="405"/>
      <c r="D113" s="24"/>
      <c r="E113" s="804"/>
      <c r="F113" s="804"/>
      <c r="G113" s="804"/>
      <c r="H113" s="804"/>
      <c r="I113" s="804"/>
      <c r="J113" s="804"/>
      <c r="K113" s="198"/>
      <c r="L113" s="804"/>
      <c r="M113" s="804"/>
      <c r="N113" s="804"/>
      <c r="O113" s="804"/>
      <c r="P113" s="405"/>
      <c r="Q113" s="405"/>
      <c r="R113" s="405"/>
      <c r="S113" s="405"/>
      <c r="T113" s="405"/>
      <c r="U113" s="405"/>
      <c r="V113" s="405"/>
      <c r="W113" s="405"/>
      <c r="X113" s="405"/>
      <c r="Y113" s="405"/>
      <c r="Z113" s="405"/>
      <c r="AA113" s="405"/>
      <c r="AB113" s="405"/>
      <c r="AC113" s="405"/>
      <c r="AD113" s="405"/>
      <c r="AE113" s="405"/>
      <c r="AF113" s="405"/>
      <c r="AG113" s="405"/>
      <c r="AH113" s="405"/>
      <c r="AI113" s="405"/>
      <c r="AJ113" s="405"/>
      <c r="AK113" s="405"/>
      <c r="AL113" s="405"/>
      <c r="AM113" s="405"/>
      <c r="AN113" s="405"/>
      <c r="AO113" s="405"/>
      <c r="AP113" s="405"/>
      <c r="AQ113" s="405"/>
      <c r="AR113" s="405"/>
      <c r="AS113" s="405"/>
      <c r="AT113" s="405"/>
      <c r="AU113" s="405"/>
      <c r="AV113" s="405"/>
      <c r="AW113" s="405"/>
      <c r="AX113" s="405"/>
      <c r="AY113" s="405"/>
    </row>
    <row r="114" spans="1:51" ht="15.75">
      <c r="A114" s="405"/>
      <c r="B114" s="405"/>
      <c r="D114" s="24"/>
      <c r="E114" s="804"/>
      <c r="F114" s="804"/>
      <c r="G114" s="804"/>
      <c r="H114" s="804"/>
      <c r="I114" s="804"/>
      <c r="J114" s="804"/>
      <c r="K114" s="198"/>
      <c r="L114" s="804"/>
      <c r="M114" s="804"/>
      <c r="N114" s="804"/>
      <c r="O114" s="804"/>
      <c r="P114" s="405"/>
      <c r="Q114" s="405"/>
      <c r="R114" s="405"/>
      <c r="S114" s="405"/>
      <c r="T114" s="405"/>
      <c r="U114" s="405"/>
      <c r="V114" s="405"/>
      <c r="W114" s="405"/>
      <c r="X114" s="405"/>
      <c r="Y114" s="405"/>
      <c r="Z114" s="405"/>
      <c r="AA114" s="405"/>
      <c r="AB114" s="405"/>
      <c r="AC114" s="405"/>
      <c r="AD114" s="405"/>
      <c r="AE114" s="405"/>
      <c r="AF114" s="405"/>
      <c r="AG114" s="405"/>
      <c r="AH114" s="405"/>
      <c r="AI114" s="405"/>
      <c r="AJ114" s="405"/>
      <c r="AK114" s="405"/>
      <c r="AL114" s="405"/>
      <c r="AM114" s="405"/>
      <c r="AN114" s="405"/>
      <c r="AO114" s="405"/>
      <c r="AP114" s="405"/>
      <c r="AQ114" s="405"/>
      <c r="AR114" s="405"/>
      <c r="AS114" s="405"/>
      <c r="AT114" s="405"/>
      <c r="AU114" s="405"/>
      <c r="AV114" s="405"/>
      <c r="AW114" s="405"/>
      <c r="AX114" s="405"/>
      <c r="AY114" s="405"/>
    </row>
    <row r="115" spans="1:51" ht="15.75">
      <c r="A115" s="405"/>
      <c r="B115" s="405"/>
      <c r="D115" s="24"/>
      <c r="E115" s="804"/>
      <c r="F115" s="804"/>
      <c r="G115" s="804"/>
      <c r="H115" s="804"/>
      <c r="I115" s="805"/>
      <c r="J115" s="805"/>
      <c r="K115" s="198"/>
      <c r="L115" s="806"/>
      <c r="M115" s="806"/>
      <c r="N115" s="806"/>
      <c r="O115" s="806"/>
      <c r="P115" s="405"/>
      <c r="Q115" s="405"/>
      <c r="R115" s="405"/>
      <c r="S115" s="405"/>
      <c r="T115" s="405"/>
      <c r="U115" s="405"/>
      <c r="V115" s="405"/>
      <c r="W115" s="405"/>
      <c r="X115" s="405"/>
      <c r="Y115" s="405"/>
      <c r="Z115" s="405"/>
      <c r="AA115" s="405"/>
      <c r="AB115" s="405"/>
      <c r="AC115" s="405"/>
      <c r="AD115" s="405"/>
      <c r="AE115" s="405"/>
      <c r="AF115" s="405"/>
      <c r="AG115" s="405"/>
      <c r="AH115" s="405"/>
      <c r="AI115" s="405"/>
      <c r="AJ115" s="405"/>
      <c r="AK115" s="405"/>
      <c r="AL115" s="405"/>
      <c r="AM115" s="405"/>
      <c r="AN115" s="405"/>
      <c r="AO115" s="405"/>
      <c r="AP115" s="405"/>
      <c r="AQ115" s="405"/>
      <c r="AR115" s="405"/>
      <c r="AS115" s="405"/>
      <c r="AT115" s="405"/>
      <c r="AU115" s="405"/>
      <c r="AV115" s="405"/>
      <c r="AW115" s="405"/>
      <c r="AX115" s="405"/>
      <c r="AY115" s="405"/>
    </row>
    <row r="116" spans="1:51" ht="15">
      <c r="A116" s="405"/>
      <c r="B116" s="405"/>
      <c r="D116" s="24"/>
      <c r="E116" s="807"/>
      <c r="F116" s="807"/>
      <c r="G116" s="807"/>
      <c r="H116" s="807"/>
      <c r="I116" s="806"/>
      <c r="J116" s="806"/>
      <c r="K116" s="198"/>
      <c r="L116" s="806"/>
      <c r="M116" s="806"/>
      <c r="N116" s="806"/>
      <c r="O116" s="806"/>
      <c r="P116" s="405"/>
      <c r="Q116" s="405"/>
      <c r="R116" s="405"/>
      <c r="S116" s="405"/>
      <c r="T116" s="405"/>
      <c r="U116" s="405"/>
      <c r="V116" s="405"/>
      <c r="W116" s="405"/>
      <c r="X116" s="405"/>
      <c r="Y116" s="405"/>
      <c r="Z116" s="405"/>
      <c r="AA116" s="405"/>
      <c r="AB116" s="405"/>
      <c r="AC116" s="405"/>
      <c r="AD116" s="405"/>
      <c r="AE116" s="405"/>
      <c r="AF116" s="405"/>
      <c r="AG116" s="405"/>
      <c r="AH116" s="405"/>
      <c r="AI116" s="405"/>
      <c r="AJ116" s="405"/>
      <c r="AK116" s="405"/>
      <c r="AL116" s="405"/>
      <c r="AM116" s="405"/>
      <c r="AN116" s="405"/>
      <c r="AO116" s="405"/>
      <c r="AP116" s="405"/>
      <c r="AQ116" s="405"/>
      <c r="AR116" s="405"/>
      <c r="AS116" s="405"/>
      <c r="AT116" s="405"/>
      <c r="AU116" s="405"/>
      <c r="AV116" s="405"/>
      <c r="AW116" s="405"/>
      <c r="AX116" s="405"/>
      <c r="AY116" s="405"/>
    </row>
    <row r="117" spans="1:51" ht="15">
      <c r="A117" s="405"/>
      <c r="B117" s="405"/>
      <c r="D117" s="808" t="str">
        <f>DEPAN!E12</f>
        <v>H. SAMSUDIN,M.Pd</v>
      </c>
      <c r="E117" s="807"/>
      <c r="F117" s="807"/>
      <c r="G117" s="807"/>
      <c r="H117" s="807"/>
      <c r="I117" s="807"/>
      <c r="J117" s="807"/>
      <c r="K117" s="808" t="str">
        <f>DEPAN!E16</f>
        <v>SITI PONIMAH,M.Pd</v>
      </c>
      <c r="L117" s="807"/>
      <c r="M117" s="807"/>
      <c r="N117" s="807"/>
      <c r="O117" s="807"/>
      <c r="P117" s="809"/>
      <c r="Q117" s="809"/>
      <c r="R117" s="809"/>
      <c r="S117" s="809"/>
      <c r="T117" s="809"/>
      <c r="U117" s="809"/>
      <c r="V117" s="809"/>
      <c r="W117" s="809"/>
      <c r="X117" s="809"/>
      <c r="Y117" s="809"/>
      <c r="Z117" s="809"/>
      <c r="AA117" s="809"/>
      <c r="AB117" s="809"/>
      <c r="AC117" s="809"/>
      <c r="AD117" s="809"/>
      <c r="AE117" s="809"/>
      <c r="AF117" s="809"/>
      <c r="AG117" s="809"/>
      <c r="AH117" s="809"/>
      <c r="AI117" s="809"/>
      <c r="AJ117" s="809"/>
      <c r="AK117" s="809"/>
      <c r="AL117" s="809"/>
      <c r="AM117" s="809"/>
      <c r="AN117" s="809"/>
      <c r="AO117" s="809"/>
      <c r="AP117" s="809"/>
      <c r="AQ117" s="809"/>
      <c r="AR117" s="809"/>
      <c r="AS117" s="809"/>
      <c r="AT117" s="809"/>
      <c r="AU117" s="809"/>
      <c r="AV117" s="809"/>
      <c r="AW117" s="809"/>
      <c r="AX117" s="809"/>
      <c r="AY117" s="809"/>
    </row>
    <row r="118" spans="1:51" ht="15">
      <c r="D118" s="763" t="str">
        <f>CONCATENATE("NIP.",DEPAN!E13)</f>
        <v>NIP.19921233 198777 1 336</v>
      </c>
      <c r="K118" s="763" t="str">
        <f>CONCATENATE("NIP.",DEPAN!E17)</f>
        <v>NIP.19616566 201808 2 033</v>
      </c>
    </row>
    <row r="119" spans="1:51" ht="15">
      <c r="D119" s="811"/>
      <c r="E119" s="104"/>
    </row>
    <row r="120" spans="1:51" ht="15">
      <c r="E120" s="104"/>
    </row>
    <row r="121" spans="1:51" ht="15">
      <c r="E121" s="104"/>
    </row>
    <row r="122" spans="1:51" ht="15">
      <c r="E122" s="104"/>
      <c r="F122" s="811"/>
    </row>
    <row r="123" spans="1:51" ht="15">
      <c r="E123" s="104"/>
    </row>
    <row r="124" spans="1:51" ht="15">
      <c r="E124" s="104"/>
    </row>
    <row r="125" spans="1:51" ht="15">
      <c r="E125" s="104"/>
    </row>
    <row r="126" spans="1:51" ht="15">
      <c r="E126" s="104"/>
    </row>
    <row r="127" spans="1:51" ht="15">
      <c r="E127" s="104"/>
    </row>
    <row r="128" spans="1:51" ht="15">
      <c r="E128" s="104"/>
    </row>
  </sheetData>
  <sheetProtection password="DC81" sheet="1" objects="1" scenarios="1"/>
  <mergeCells count="14">
    <mergeCell ref="BE8:BF8"/>
    <mergeCell ref="BG8:BH8"/>
    <mergeCell ref="BI8:BJ8"/>
    <mergeCell ref="C8:C9"/>
    <mergeCell ref="D8:D9"/>
    <mergeCell ref="E8:E9"/>
    <mergeCell ref="F8:F9"/>
    <mergeCell ref="G8:G9"/>
    <mergeCell ref="H8:H9"/>
    <mergeCell ref="I110:O110"/>
    <mergeCell ref="C1:O1"/>
    <mergeCell ref="BC8:BD8"/>
    <mergeCell ref="I8:J8"/>
    <mergeCell ref="K8:K9"/>
  </mergeCells>
  <dataValidations count="4">
    <dataValidation type="list" allowBlank="1" showInputMessage="1" showErrorMessage="1" promptTitle="INFO" prompt="Silakan pilih butir sikapnya" sqref="H10:H109">
      <formula1>$AY$9:$AY$12</formula1>
    </dataValidation>
    <dataValidation type="decimal" allowBlank="1" showInputMessage="1" showErrorMessage="1" errorTitle="INFO" error="Silakan di isi dengan angka 1- 50 jangan yg lain" promptTitle="INFO" prompt="Silahkan isi angka 1 - 50" sqref="E10:E109">
      <formula1>1</formula1>
      <formula2>50</formula2>
    </dataValidation>
    <dataValidation allowBlank="1" showInputMessage="1" showErrorMessage="1" promptTitle="INFO" prompt="Silakan isi MANUAL" sqref="K10:K109"/>
    <dataValidation allowBlank="1" showInputMessage="1" showErrorMessage="1" promptTitle="JANGAN DIEDIT" prompt="Otomatis akan muncul sendiri siswanya" sqref="F10:F109"/>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allowBlank="1" showInputMessage="1" errorTitle="INFO" error="Isi angka di Kode Butir" promptTitle="INFO" prompt="Diisi manual atau dengan memilih list yg ada">
          <x14:formula1>
            <xm:f>IF(G10=1,IND!$F$5:$F$12,IF(G10=2,IND!$F$13:$F$24,IF(G10=3,IND!$F$25:$F$30,IF(G10=4,IND!$F$31:$F$38,IF(G10=0,I10-1)))))</xm:f>
          </x14:formula1>
          <xm:sqref>I10:I109</xm:sqref>
        </x14:dataValidation>
        <x14:dataValidation type="list" allowBlank="1" showInputMessage="1" errorTitle="INFO" error="isi angka di kode butir" promptTitle="INFO" prompt="Diisi manual atau dengan memilih list yg ada">
          <x14:formula1>
            <xm:f>IF(G10=1,IND!$G$5:$G$12,IF(G10=2,IND!$G$13:$G$24,IF(G10=3,IND!$G$25:$G$30,IF(G10=4,IND!$G$31:$G$38,IF(G10=0,I10-1)))))</xm:f>
          </x14:formula1>
          <xm:sqref>J10:J109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D118"/>
  <sheetViews>
    <sheetView topLeftCell="B1" workbookViewId="0"/>
  </sheetViews>
  <sheetFormatPr defaultColWidth="0" defaultRowHeight="30" customHeight="1"/>
  <cols>
    <col min="1" max="1" width="1.7109375" style="104" hidden="1" customWidth="1"/>
    <col min="2" max="2" width="14" style="104" customWidth="1"/>
    <col min="3" max="3" width="6.140625" style="104" customWidth="1"/>
    <col min="4" max="4" width="16.7109375" style="104" customWidth="1"/>
    <col min="5" max="5" width="6.85546875" style="104" customWidth="1"/>
    <col min="6" max="6" width="23.7109375" style="104" customWidth="1"/>
    <col min="7" max="7" width="6.85546875" style="405" hidden="1" customWidth="1"/>
    <col min="8" max="8" width="19.28515625" style="104" customWidth="1"/>
    <col min="9" max="11" width="31.140625" style="104" customWidth="1"/>
    <col min="12" max="12" width="7" style="104" hidden="1" customWidth="1"/>
    <col min="13" max="13" width="8.5703125" style="104" hidden="1" customWidth="1"/>
    <col min="14" max="15" width="7" style="104" hidden="1" customWidth="1"/>
    <col min="16" max="17" width="10.42578125" style="104" customWidth="1"/>
    <col min="18" max="64" width="50" style="104" hidden="1" customWidth="1"/>
    <col min="65" max="82" width="4.140625" style="104" hidden="1" customWidth="1"/>
    <col min="83" max="16384" width="34.140625" style="104" hidden="1"/>
  </cols>
  <sheetData>
    <row r="1" spans="2:82" ht="23.25">
      <c r="B1" s="758"/>
      <c r="C1" s="960" t="s">
        <v>1183</v>
      </c>
      <c r="D1" s="960"/>
      <c r="E1" s="960"/>
      <c r="F1" s="960"/>
      <c r="G1" s="960"/>
      <c r="H1" s="960"/>
      <c r="I1" s="960"/>
      <c r="J1" s="960"/>
      <c r="K1" s="960"/>
      <c r="L1" s="960"/>
      <c r="M1" s="960"/>
      <c r="N1" s="960"/>
      <c r="O1" s="960"/>
      <c r="P1" s="814"/>
      <c r="Q1" s="814"/>
      <c r="R1" s="814"/>
      <c r="S1" s="814"/>
      <c r="T1" s="814"/>
      <c r="U1" s="814"/>
      <c r="V1" s="814"/>
      <c r="W1" s="814"/>
      <c r="X1" s="814"/>
      <c r="Y1" s="814"/>
      <c r="Z1" s="814"/>
      <c r="AA1" s="814"/>
      <c r="AB1" s="814"/>
      <c r="AC1" s="814"/>
      <c r="AD1" s="814"/>
      <c r="AE1" s="814"/>
      <c r="AF1" s="814"/>
      <c r="AG1" s="814"/>
      <c r="AH1" s="814"/>
      <c r="AI1" s="814"/>
      <c r="AJ1" s="814"/>
      <c r="AK1" s="814"/>
      <c r="AL1" s="814"/>
      <c r="AM1" s="814"/>
      <c r="AN1" s="814"/>
      <c r="AO1" s="814"/>
      <c r="AP1" s="814"/>
      <c r="AQ1" s="814"/>
      <c r="AR1" s="814"/>
      <c r="AS1" s="814"/>
      <c r="AT1" s="814"/>
      <c r="AU1" s="814"/>
      <c r="AV1" s="814"/>
      <c r="AW1" s="814"/>
      <c r="AX1" s="814"/>
      <c r="AY1" s="814"/>
      <c r="AZ1" s="814"/>
      <c r="BA1" s="814"/>
      <c r="BB1" s="814"/>
      <c r="BC1" s="814"/>
      <c r="BD1" s="814"/>
      <c r="BE1" s="814"/>
      <c r="BF1" s="814"/>
      <c r="BG1" s="814"/>
      <c r="BH1" s="814"/>
      <c r="BI1" s="814"/>
      <c r="BJ1" s="814"/>
      <c r="BK1" s="814"/>
      <c r="BL1" s="814"/>
      <c r="BM1" s="814"/>
    </row>
    <row r="2" spans="2:82" ht="15">
      <c r="B2" s="758"/>
      <c r="C2" s="780"/>
      <c r="D2" s="780"/>
      <c r="E2" s="780"/>
      <c r="F2" s="780"/>
      <c r="G2" s="782"/>
      <c r="H2" s="780"/>
      <c r="L2" s="784"/>
      <c r="M2" s="784"/>
    </row>
    <row r="3" spans="2:82" ht="15.75">
      <c r="B3" s="758"/>
      <c r="C3" s="785" t="s">
        <v>11</v>
      </c>
      <c r="D3" s="786"/>
      <c r="E3" s="787" t="s">
        <v>188</v>
      </c>
      <c r="F3" s="788" t="str">
        <f>DEPAN!E10</f>
        <v>SDN UJUNG ASPAL 01</v>
      </c>
      <c r="G3" s="782"/>
      <c r="H3" s="780"/>
      <c r="L3" s="780"/>
      <c r="M3" s="780"/>
      <c r="N3" s="780"/>
      <c r="O3" s="780"/>
      <c r="BS3" s="815"/>
    </row>
    <row r="4" spans="2:82" ht="15.75">
      <c r="B4" s="758"/>
      <c r="C4" s="785" t="s">
        <v>629</v>
      </c>
      <c r="D4" s="786"/>
      <c r="E4" s="787" t="s">
        <v>188</v>
      </c>
      <c r="F4" s="789" t="str">
        <f>DEPAN!E14</f>
        <v>4 (Empat)</v>
      </c>
      <c r="G4" s="782"/>
      <c r="H4" s="787"/>
      <c r="I4" s="816" t="e">
        <f>IF(G10=1,IND!$F$40:$F$50,IF(G10=2,IND!$F$51:$F$63,IF(G10=3,IND!$F$64:$F$74,IF(G10=4,IND!$F$75:$F$83,IF(G10=5,IND!$F$84:$F$92,IF(G10=6,IND!$F$93:$F$102,IF(G10=7,IND!$F$103:$F$107,IF(G10=0,I10-1))))))))</f>
        <v>#VALUE!</v>
      </c>
      <c r="J4" s="817"/>
      <c r="K4" s="817"/>
      <c r="L4" s="780"/>
      <c r="M4" s="780"/>
      <c r="N4" s="791" t="s">
        <v>661</v>
      </c>
      <c r="O4" s="780"/>
    </row>
    <row r="5" spans="2:82" ht="15.75">
      <c r="B5" s="758"/>
      <c r="C5" s="785" t="s">
        <v>13</v>
      </c>
      <c r="D5" s="786"/>
      <c r="E5" s="787" t="s">
        <v>188</v>
      </c>
      <c r="F5" s="789" t="str">
        <f>DEPAN!G14</f>
        <v>Genap</v>
      </c>
      <c r="G5" s="782"/>
      <c r="H5" s="787"/>
      <c r="I5" s="816" t="e">
        <f>IF(G11=1,IND!$G$40:$G$50,IF(G11=2,IND!$G$51:$G$63,IF(G11=3,IND!$G$64:$G$74,IF(G11=4,IND!$G$75:$G$83,IF(G11=5,IND!$G$84:$G$92,IF(G11=6,IND!$G$93:$G$102,IF(G11=7,IND!$G$103:$G$107,IF(G11=0,#REF!-1))))))))</f>
        <v>#VALUE!</v>
      </c>
      <c r="J5" s="817"/>
      <c r="K5" s="817"/>
      <c r="L5" s="780"/>
      <c r="M5" s="780"/>
      <c r="N5" s="818" t="s">
        <v>661</v>
      </c>
      <c r="O5" s="780"/>
    </row>
    <row r="6" spans="2:82" ht="15.75">
      <c r="B6" s="758"/>
      <c r="C6" s="790" t="s">
        <v>590</v>
      </c>
      <c r="D6" s="780"/>
      <c r="E6" s="787" t="s">
        <v>188</v>
      </c>
      <c r="F6" s="789" t="str">
        <f>DEPAN!E15</f>
        <v>2018/2019</v>
      </c>
      <c r="G6" s="782"/>
      <c r="H6" s="787"/>
      <c r="N6" s="819"/>
      <c r="BQ6" s="819"/>
      <c r="BR6" s="819"/>
      <c r="BS6" s="819"/>
      <c r="BT6" s="819"/>
      <c r="BU6" s="819"/>
      <c r="BV6" s="819"/>
      <c r="BW6" s="819"/>
      <c r="BX6" s="819"/>
      <c r="BY6" s="819"/>
    </row>
    <row r="7" spans="2:82" ht="15">
      <c r="B7" s="758"/>
      <c r="C7" s="785"/>
      <c r="L7" s="784"/>
      <c r="M7" s="784"/>
    </row>
    <row r="8" spans="2:82" ht="15" customHeight="1">
      <c r="B8" s="758"/>
      <c r="C8" s="964" t="s">
        <v>16</v>
      </c>
      <c r="D8" s="969" t="s">
        <v>1172</v>
      </c>
      <c r="E8" s="969" t="s">
        <v>1173</v>
      </c>
      <c r="F8" s="964" t="s">
        <v>4</v>
      </c>
      <c r="G8" s="969" t="s">
        <v>1174</v>
      </c>
      <c r="H8" s="964" t="s">
        <v>1192</v>
      </c>
      <c r="I8" s="970" t="s">
        <v>1191</v>
      </c>
      <c r="J8" s="971"/>
      <c r="K8" s="972" t="s">
        <v>1176</v>
      </c>
      <c r="L8" s="820"/>
      <c r="M8" s="820"/>
      <c r="N8" s="793"/>
      <c r="O8" s="793"/>
      <c r="P8" s="821"/>
      <c r="Q8" s="821"/>
      <c r="R8" s="821"/>
      <c r="S8" s="821"/>
      <c r="T8" s="821"/>
      <c r="U8" s="821"/>
      <c r="V8" s="821"/>
      <c r="W8" s="821"/>
      <c r="X8" s="821"/>
      <c r="Y8" s="821"/>
      <c r="Z8" s="821"/>
      <c r="AA8" s="821"/>
      <c r="AB8" s="821"/>
      <c r="AC8" s="821"/>
      <c r="AD8" s="821"/>
      <c r="AE8" s="821"/>
      <c r="AF8" s="821"/>
      <c r="AG8" s="821"/>
      <c r="AH8" s="821"/>
      <c r="AI8" s="821"/>
      <c r="AJ8" s="821"/>
      <c r="AK8" s="821"/>
      <c r="AL8" s="821"/>
      <c r="AM8" s="821"/>
      <c r="AN8" s="821"/>
      <c r="AO8" s="821"/>
      <c r="AP8" s="821"/>
      <c r="AQ8" s="821"/>
      <c r="AR8" s="821"/>
      <c r="AS8" s="821"/>
      <c r="AT8" s="821"/>
      <c r="AU8" s="821"/>
      <c r="AV8" s="821"/>
      <c r="AW8" s="821"/>
      <c r="AX8" s="821"/>
      <c r="AY8" s="821"/>
      <c r="AZ8" s="821"/>
      <c r="BA8" s="821"/>
      <c r="BB8" s="821"/>
      <c r="BC8" s="821"/>
      <c r="BD8" s="821"/>
      <c r="BE8" s="821"/>
      <c r="BF8" s="821"/>
      <c r="BG8" s="821"/>
      <c r="BH8" s="821"/>
      <c r="BI8" s="821"/>
      <c r="BJ8" s="821"/>
      <c r="BK8" s="821"/>
      <c r="BL8" s="821"/>
      <c r="BM8" s="821"/>
      <c r="BQ8" s="974" t="s">
        <v>1184</v>
      </c>
      <c r="BR8" s="974"/>
      <c r="BS8" s="968" t="s">
        <v>1185</v>
      </c>
      <c r="BT8" s="974"/>
      <c r="BU8" s="966" t="s">
        <v>1186</v>
      </c>
      <c r="BV8" s="967"/>
      <c r="BW8" s="968" t="s">
        <v>1187</v>
      </c>
      <c r="BX8" s="968"/>
      <c r="BY8" s="968" t="s">
        <v>1188</v>
      </c>
      <c r="BZ8" s="968"/>
      <c r="CA8" s="968" t="s">
        <v>1189</v>
      </c>
      <c r="CB8" s="968"/>
      <c r="CC8" s="968" t="s">
        <v>1190</v>
      </c>
      <c r="CD8" s="968"/>
    </row>
    <row r="9" spans="2:82" ht="25.5">
      <c r="B9" s="758"/>
      <c r="C9" s="964"/>
      <c r="D9" s="969"/>
      <c r="E9" s="969"/>
      <c r="F9" s="964"/>
      <c r="G9" s="969"/>
      <c r="H9" s="964"/>
      <c r="I9" s="794" t="str">
        <f>[1]KI2!$E$8</f>
        <v>SB (Sangat Baik)</v>
      </c>
      <c r="J9" s="794" t="str">
        <f>[1]KI2!$F$8</f>
        <v>PB (Perlu Bimbingan)</v>
      </c>
      <c r="K9" s="973"/>
      <c r="L9" s="794" t="s">
        <v>297</v>
      </c>
      <c r="M9" s="794" t="s">
        <v>1178</v>
      </c>
      <c r="N9" s="794" t="s">
        <v>298</v>
      </c>
      <c r="O9" s="794" t="s">
        <v>1178</v>
      </c>
      <c r="P9" s="821"/>
      <c r="Q9" s="821"/>
      <c r="R9" s="821"/>
      <c r="S9" s="821"/>
      <c r="T9" s="821"/>
      <c r="U9" s="821"/>
      <c r="V9" s="821"/>
      <c r="W9" s="821"/>
      <c r="X9" s="821"/>
      <c r="Y9" s="821"/>
      <c r="Z9" s="821"/>
      <c r="AA9" s="821"/>
      <c r="AB9" s="821"/>
      <c r="AC9" s="821"/>
      <c r="AD9" s="821"/>
      <c r="AE9" s="821"/>
      <c r="AF9" s="821"/>
      <c r="AG9" s="821"/>
      <c r="AH9" s="821"/>
      <c r="AI9" s="821"/>
      <c r="AJ9" s="821"/>
      <c r="AK9" s="821"/>
      <c r="AL9" s="821"/>
      <c r="AM9" s="821"/>
      <c r="AN9" s="821"/>
      <c r="AO9" s="821"/>
      <c r="AP9" s="821"/>
      <c r="AQ9" s="821"/>
      <c r="AR9" s="821"/>
      <c r="AS9" s="821"/>
      <c r="AT9" s="821"/>
      <c r="AU9" s="821"/>
      <c r="AV9" s="821"/>
      <c r="AW9" s="821"/>
      <c r="AX9" s="821"/>
      <c r="AY9" s="821"/>
      <c r="AZ9" s="821"/>
      <c r="BA9" s="821"/>
      <c r="BB9" s="821"/>
      <c r="BC9" s="821"/>
      <c r="BD9" s="821"/>
      <c r="BE9" s="821"/>
      <c r="BF9" s="821"/>
      <c r="BG9" s="821"/>
      <c r="BH9" s="821"/>
      <c r="BI9" s="821"/>
      <c r="BJ9" s="821"/>
      <c r="BK9" s="821"/>
      <c r="BL9" s="821"/>
      <c r="BM9" s="821"/>
      <c r="BO9" s="405" t="s">
        <v>2</v>
      </c>
      <c r="BP9" s="405" t="s">
        <v>965</v>
      </c>
      <c r="BQ9" s="405" t="s">
        <v>297</v>
      </c>
      <c r="BR9" s="405" t="s">
        <v>298</v>
      </c>
      <c r="BS9" s="405" t="s">
        <v>297</v>
      </c>
      <c r="BT9" s="405" t="s">
        <v>298</v>
      </c>
      <c r="BU9" s="405" t="s">
        <v>297</v>
      </c>
      <c r="BV9" s="405" t="s">
        <v>298</v>
      </c>
      <c r="BW9" s="405" t="s">
        <v>297</v>
      </c>
      <c r="BX9" s="405" t="s">
        <v>298</v>
      </c>
      <c r="BY9" s="405" t="s">
        <v>297</v>
      </c>
      <c r="BZ9" s="405" t="s">
        <v>298</v>
      </c>
      <c r="CA9" s="405" t="s">
        <v>297</v>
      </c>
      <c r="CB9" s="405" t="s">
        <v>298</v>
      </c>
      <c r="CC9" s="405" t="s">
        <v>297</v>
      </c>
      <c r="CD9" s="405" t="s">
        <v>298</v>
      </c>
    </row>
    <row r="10" spans="2:82" ht="34.5" customHeight="1">
      <c r="B10" s="758"/>
      <c r="C10" s="795">
        <v>1</v>
      </c>
      <c r="D10" s="756">
        <v>43472</v>
      </c>
      <c r="E10" s="757">
        <v>4</v>
      </c>
      <c r="F10" s="796" t="str">
        <f>IF(E10=0," ",VLOOKUP(E10,SISWA!$A$6:$C$55,3,FALSE))</f>
        <v>Anak 4</v>
      </c>
      <c r="G10" s="797">
        <f t="shared" ref="G10:G41" si="0">IF(H10=0," ",VLOOKUP(H10,$BN$10:$BO$16,2,FALSE))</f>
        <v>2</v>
      </c>
      <c r="H10" s="813" t="s">
        <v>1066</v>
      </c>
      <c r="I10" s="824"/>
      <c r="J10" s="824" t="s">
        <v>1074</v>
      </c>
      <c r="K10" s="824"/>
      <c r="L10" s="822" t="str">
        <f>IF(I10=0," ",1)</f>
        <v xml:space="preserve"> </v>
      </c>
      <c r="M10" s="822" t="str">
        <f>IF(G10=0,"", IF(G10=1,"A", IF(G10=2,"B", IF(G10=3,"C", IF(G10=4,"D", IF(G10=5,"E", IF(G10=6,"F", IF(G10=7,"G"))))))))</f>
        <v>B</v>
      </c>
      <c r="N10" s="414">
        <f>IF(J10=0," ",1)</f>
        <v>1</v>
      </c>
      <c r="O10" s="414" t="str">
        <f t="shared" ref="O10:O41" si="1">IF(G10=0,"", IF(G10=1,"A", IF(G10=2,"B", IF(G10=3,"C", IF(G10=4,"D", IF(G10=5,"E", IF(G10=6,"F", IF(G10=7,"G"))))))))</f>
        <v>B</v>
      </c>
      <c r="P10" s="823"/>
      <c r="Q10" s="823"/>
      <c r="R10" s="823"/>
      <c r="S10" s="823"/>
      <c r="T10" s="823"/>
      <c r="U10" s="823"/>
      <c r="V10" s="823"/>
      <c r="W10" s="823"/>
      <c r="X10" s="823"/>
      <c r="Y10" s="823"/>
      <c r="Z10" s="823"/>
      <c r="AA10" s="823"/>
      <c r="AB10" s="823"/>
      <c r="AC10" s="823"/>
      <c r="AD10" s="823"/>
      <c r="AE10" s="823"/>
      <c r="AF10" s="823"/>
      <c r="AG10" s="823"/>
      <c r="AH10" s="823"/>
      <c r="AI10" s="823"/>
      <c r="AJ10" s="823"/>
      <c r="AK10" s="823"/>
      <c r="AL10" s="823"/>
      <c r="AM10" s="823"/>
      <c r="AN10" s="823"/>
      <c r="AO10" s="823"/>
      <c r="AP10" s="823"/>
      <c r="AQ10" s="823"/>
      <c r="AR10" s="823"/>
      <c r="AS10" s="823"/>
      <c r="AT10" s="823"/>
      <c r="AU10" s="823"/>
      <c r="AV10" s="823"/>
      <c r="AW10" s="823"/>
      <c r="AX10" s="823"/>
      <c r="AY10" s="823"/>
      <c r="AZ10" s="823"/>
      <c r="BA10" s="823"/>
      <c r="BB10" s="823"/>
      <c r="BC10" s="823"/>
      <c r="BD10" s="823"/>
      <c r="BE10" s="823"/>
      <c r="BF10" s="823"/>
      <c r="BG10" s="823"/>
      <c r="BH10" s="823"/>
      <c r="BI10" s="823"/>
      <c r="BJ10" s="823"/>
      <c r="BK10" s="823"/>
      <c r="BL10" s="823"/>
      <c r="BM10" s="823"/>
      <c r="BN10" s="104" t="str">
        <f>IND!D40</f>
        <v>Jujur</v>
      </c>
      <c r="BO10" s="408">
        <v>1</v>
      </c>
      <c r="BP10" s="799" t="str">
        <f>SISWA!C6</f>
        <v>Anak 1</v>
      </c>
      <c r="BQ10" s="408">
        <f t="shared" ref="BQ10:BQ54" si="2">SUMIFS($L$10:$L$109,$M$10:$M$109,"A",$E$10:$E$109,BO10)</f>
        <v>0</v>
      </c>
      <c r="BR10" s="408">
        <f t="shared" ref="BR10:BR41" si="3">SUMIFS($N$10:$N$109,$O$10:$O$109,"A",$E$10:$E$109,BO10)</f>
        <v>0</v>
      </c>
      <c r="BS10" s="408">
        <f t="shared" ref="BS10:BS54" si="4">SUMIFS($L$10:$L$109,$M$10:$M$109,"B",$E$10:$E$109,BO10)</f>
        <v>0</v>
      </c>
      <c r="BT10" s="408">
        <f t="shared" ref="BT10:BT41" si="5">SUMIFS($N$10:$N$109,$O$10:$O$109,"B",$E$10:$E$109,BO10)</f>
        <v>0</v>
      </c>
      <c r="BU10" s="408">
        <f t="shared" ref="BU10:BU54" si="6">SUMIFS($L$10:$L$109,$M$10:$M$109,"C",$E$10:$E$109,BO10)</f>
        <v>0</v>
      </c>
      <c r="BV10" s="408">
        <f t="shared" ref="BV10:BV41" si="7">SUMIFS($N$10:$N$109,$O$10:$O$109,"C",$E$10:$E$109,BO10)</f>
        <v>0</v>
      </c>
      <c r="BW10" s="408">
        <f t="shared" ref="BW10:BW54" si="8">SUMIFS($L$10:$L$109,$M$10:$M$109,"D",$E$10:$E$109,BO10)</f>
        <v>0</v>
      </c>
      <c r="BX10" s="408">
        <f t="shared" ref="BX10:BX41" si="9">SUMIFS($N$10:$N$109,$O$10:$O$109,"D",$E$10:$E$109,BO10)</f>
        <v>1</v>
      </c>
      <c r="BY10" s="408">
        <f t="shared" ref="BY10:BY54" si="10">SUMIFS($L$10:$L$109,$M$10:$M$109,"E",$E$10:$E$109,BO10)</f>
        <v>0</v>
      </c>
      <c r="BZ10" s="408">
        <f t="shared" ref="BZ10:BZ41" si="11">SUMIFS($N$10:$N$109,$O$10:$O$109,"E",$E$10:$E$109,BO10)</f>
        <v>0</v>
      </c>
      <c r="CA10" s="408">
        <f t="shared" ref="CA10:CA54" si="12">SUMIFS($L$10:$L$109,$M$10:$M$109,"F",$E$10:$E$109,BO10)</f>
        <v>0</v>
      </c>
      <c r="CB10" s="408">
        <f t="shared" ref="CB10:CB41" si="13">SUMIFS($N$10:$N$109,$O$10:$O$109,"F",$E$10:$E$109,BO10)</f>
        <v>0</v>
      </c>
      <c r="CC10" s="408">
        <f t="shared" ref="CC10:CC54" si="14">SUMIFS($L$10:$L$109,$M$10:$M$109,"G",$E$10:$E$109,BO10)</f>
        <v>0</v>
      </c>
      <c r="CD10" s="408">
        <f t="shared" ref="CD10:CD41" si="15">SUMIFS($N$10:$N$109,$O$10:$O$109,"G",$E$10:$E$109,BO10)</f>
        <v>0</v>
      </c>
    </row>
    <row r="11" spans="2:82" ht="34.5" customHeight="1">
      <c r="B11" s="758"/>
      <c r="C11" s="762">
        <v>2</v>
      </c>
      <c r="D11" s="756">
        <v>43474</v>
      </c>
      <c r="E11" s="757">
        <v>9</v>
      </c>
      <c r="F11" s="796" t="str">
        <f>IF(E11=0," ",VLOOKUP(E11,SISWA!$A$6:$C$55,3,FALSE))</f>
        <v>Anak 9</v>
      </c>
      <c r="G11" s="797">
        <f t="shared" si="0"/>
        <v>7</v>
      </c>
      <c r="H11" s="813" t="s">
        <v>1163</v>
      </c>
      <c r="I11" s="824"/>
      <c r="J11" s="824" t="s">
        <v>1169</v>
      </c>
      <c r="K11" s="824"/>
      <c r="L11" s="822" t="str">
        <f t="shared" ref="L11:L74" si="16">IF(I11=0," ",1)</f>
        <v xml:space="preserve"> </v>
      </c>
      <c r="M11" s="822" t="str">
        <f t="shared" ref="M11:M74" si="17">IF(G11=0,"", IF(G11=1,"A", IF(G11=2,"B", IF(G11=3,"C", IF(G11=4,"D", IF(G11=5,"E", IF(G11=6,"F", IF(G11=7,"G"))))))))</f>
        <v>G</v>
      </c>
      <c r="N11" s="414">
        <f t="shared" ref="N11:N74" si="18">IF(J11=0," ",1)</f>
        <v>1</v>
      </c>
      <c r="O11" s="414" t="str">
        <f t="shared" si="1"/>
        <v>G</v>
      </c>
      <c r="P11" s="823"/>
      <c r="Q11" s="823"/>
      <c r="R11" s="823"/>
      <c r="S11" s="823"/>
      <c r="T11" s="823"/>
      <c r="U11" s="823"/>
      <c r="V11" s="823"/>
      <c r="W11" s="823"/>
      <c r="X11" s="823"/>
      <c r="Y11" s="823"/>
      <c r="Z11" s="823"/>
      <c r="AA11" s="823"/>
      <c r="AB11" s="823"/>
      <c r="AC11" s="823"/>
      <c r="AD11" s="823"/>
      <c r="AE11" s="823"/>
      <c r="AF11" s="823"/>
      <c r="AG11" s="823"/>
      <c r="AH11" s="823"/>
      <c r="AI11" s="823"/>
      <c r="AJ11" s="823"/>
      <c r="AK11" s="823"/>
      <c r="AL11" s="823"/>
      <c r="AM11" s="823"/>
      <c r="AN11" s="823"/>
      <c r="AO11" s="823"/>
      <c r="AP11" s="823"/>
      <c r="AQ11" s="823"/>
      <c r="AR11" s="823"/>
      <c r="AS11" s="823"/>
      <c r="AT11" s="823"/>
      <c r="AU11" s="823"/>
      <c r="AV11" s="823"/>
      <c r="AW11" s="823"/>
      <c r="AX11" s="823"/>
      <c r="AY11" s="823"/>
      <c r="AZ11" s="823"/>
      <c r="BA11" s="823"/>
      <c r="BB11" s="823"/>
      <c r="BC11" s="823"/>
      <c r="BD11" s="823"/>
      <c r="BE11" s="823"/>
      <c r="BF11" s="823"/>
      <c r="BG11" s="823"/>
      <c r="BH11" s="823"/>
      <c r="BI11" s="823"/>
      <c r="BJ11" s="823"/>
      <c r="BK11" s="823"/>
      <c r="BL11" s="823"/>
      <c r="BM11" s="823"/>
      <c r="BN11" s="104" t="str">
        <f>IND!D51</f>
        <v>Disiplin</v>
      </c>
      <c r="BO11" s="408">
        <v>2</v>
      </c>
      <c r="BP11" s="799" t="str">
        <f>SISWA!C7</f>
        <v>Anak 2</v>
      </c>
      <c r="BQ11" s="408">
        <f t="shared" si="2"/>
        <v>0</v>
      </c>
      <c r="BR11" s="408">
        <f t="shared" si="3"/>
        <v>0</v>
      </c>
      <c r="BS11" s="408">
        <f t="shared" si="4"/>
        <v>0</v>
      </c>
      <c r="BT11" s="408">
        <f t="shared" si="5"/>
        <v>0</v>
      </c>
      <c r="BU11" s="408">
        <f t="shared" si="6"/>
        <v>2</v>
      </c>
      <c r="BV11" s="408">
        <f t="shared" si="7"/>
        <v>0</v>
      </c>
      <c r="BW11" s="408">
        <f t="shared" si="8"/>
        <v>0</v>
      </c>
      <c r="BX11" s="408">
        <f t="shared" si="9"/>
        <v>0</v>
      </c>
      <c r="BY11" s="408">
        <f t="shared" si="10"/>
        <v>0</v>
      </c>
      <c r="BZ11" s="408">
        <f t="shared" si="11"/>
        <v>0</v>
      </c>
      <c r="CA11" s="408">
        <f t="shared" si="12"/>
        <v>0</v>
      </c>
      <c r="CB11" s="408">
        <f t="shared" si="13"/>
        <v>0</v>
      </c>
      <c r="CC11" s="408">
        <f t="shared" si="14"/>
        <v>0</v>
      </c>
      <c r="CD11" s="408">
        <f t="shared" si="15"/>
        <v>0</v>
      </c>
    </row>
    <row r="12" spans="2:82" ht="34.5" customHeight="1">
      <c r="B12" s="758"/>
      <c r="C12" s="762">
        <v>3</v>
      </c>
      <c r="D12" s="756">
        <v>43474</v>
      </c>
      <c r="E12" s="757">
        <v>6</v>
      </c>
      <c r="F12" s="796" t="str">
        <f>IF(E12=0," ",VLOOKUP(E12,SISWA!$A$6:$C$55,3,FALSE))</f>
        <v>Anak 6</v>
      </c>
      <c r="G12" s="797">
        <f t="shared" si="0"/>
        <v>7</v>
      </c>
      <c r="H12" s="813" t="s">
        <v>1163</v>
      </c>
      <c r="I12" s="824" t="s">
        <v>1164</v>
      </c>
      <c r="J12" s="824"/>
      <c r="K12" s="824"/>
      <c r="L12" s="822">
        <f t="shared" si="16"/>
        <v>1</v>
      </c>
      <c r="M12" s="822" t="str">
        <f t="shared" si="17"/>
        <v>G</v>
      </c>
      <c r="N12" s="414" t="str">
        <f t="shared" si="18"/>
        <v xml:space="preserve"> </v>
      </c>
      <c r="O12" s="414" t="str">
        <f t="shared" si="1"/>
        <v>G</v>
      </c>
      <c r="P12" s="823"/>
      <c r="Q12" s="823"/>
      <c r="R12" s="823"/>
      <c r="S12" s="823"/>
      <c r="T12" s="823"/>
      <c r="U12" s="823"/>
      <c r="V12" s="823"/>
      <c r="W12" s="823"/>
      <c r="X12" s="823"/>
      <c r="Y12" s="823"/>
      <c r="Z12" s="823"/>
      <c r="AA12" s="823"/>
      <c r="AB12" s="823"/>
      <c r="AC12" s="823"/>
      <c r="AD12" s="823"/>
      <c r="AE12" s="823"/>
      <c r="AF12" s="823"/>
      <c r="AG12" s="823"/>
      <c r="AH12" s="823"/>
      <c r="AI12" s="823"/>
      <c r="AJ12" s="823"/>
      <c r="AK12" s="823"/>
      <c r="AL12" s="823"/>
      <c r="AM12" s="823"/>
      <c r="AN12" s="823"/>
      <c r="AO12" s="823"/>
      <c r="AP12" s="823"/>
      <c r="AQ12" s="823"/>
      <c r="AR12" s="823"/>
      <c r="AS12" s="823"/>
      <c r="AT12" s="823"/>
      <c r="AU12" s="823"/>
      <c r="AV12" s="823"/>
      <c r="AW12" s="823"/>
      <c r="AX12" s="823"/>
      <c r="AY12" s="823"/>
      <c r="AZ12" s="823"/>
      <c r="BA12" s="823"/>
      <c r="BB12" s="823"/>
      <c r="BC12" s="823"/>
      <c r="BD12" s="823"/>
      <c r="BE12" s="823"/>
      <c r="BF12" s="823"/>
      <c r="BG12" s="823"/>
      <c r="BH12" s="823"/>
      <c r="BI12" s="823"/>
      <c r="BJ12" s="823"/>
      <c r="BK12" s="823"/>
      <c r="BL12" s="823"/>
      <c r="BM12" s="823"/>
      <c r="BN12" s="104" t="str">
        <f>IND!D64</f>
        <v>Tanggung jawab</v>
      </c>
      <c r="BO12" s="408">
        <v>3</v>
      </c>
      <c r="BP12" s="799" t="str">
        <f>SISWA!C8</f>
        <v>Anak 3</v>
      </c>
      <c r="BQ12" s="408">
        <f t="shared" si="2"/>
        <v>0</v>
      </c>
      <c r="BR12" s="408">
        <f t="shared" si="3"/>
        <v>0</v>
      </c>
      <c r="BS12" s="408">
        <f t="shared" si="4"/>
        <v>0</v>
      </c>
      <c r="BT12" s="408">
        <f t="shared" si="5"/>
        <v>0</v>
      </c>
      <c r="BU12" s="408">
        <f t="shared" si="6"/>
        <v>0</v>
      </c>
      <c r="BV12" s="408">
        <f t="shared" si="7"/>
        <v>0</v>
      </c>
      <c r="BW12" s="408">
        <f t="shared" si="8"/>
        <v>0</v>
      </c>
      <c r="BX12" s="408">
        <f t="shared" si="9"/>
        <v>0</v>
      </c>
      <c r="BY12" s="408">
        <f t="shared" si="10"/>
        <v>0</v>
      </c>
      <c r="BZ12" s="408">
        <f t="shared" si="11"/>
        <v>0</v>
      </c>
      <c r="CA12" s="408">
        <f t="shared" si="12"/>
        <v>0</v>
      </c>
      <c r="CB12" s="408">
        <f t="shared" si="13"/>
        <v>0</v>
      </c>
      <c r="CC12" s="408">
        <f t="shared" si="14"/>
        <v>0</v>
      </c>
      <c r="CD12" s="408">
        <f t="shared" si="15"/>
        <v>0</v>
      </c>
    </row>
    <row r="13" spans="2:82" ht="34.5" customHeight="1">
      <c r="B13" s="758"/>
      <c r="C13" s="762">
        <v>4</v>
      </c>
      <c r="D13" s="756">
        <v>43475</v>
      </c>
      <c r="E13" s="757">
        <v>1</v>
      </c>
      <c r="F13" s="796" t="str">
        <f>IF(E13=0," ",VLOOKUP(E13,SISWA!$A$6:$C$55,3,FALSE))</f>
        <v>Anak 1</v>
      </c>
      <c r="G13" s="797">
        <f t="shared" si="0"/>
        <v>4</v>
      </c>
      <c r="H13" s="813" t="s">
        <v>1110</v>
      </c>
      <c r="I13" s="824"/>
      <c r="J13" s="824" t="s">
        <v>1120</v>
      </c>
      <c r="K13" s="824"/>
      <c r="L13" s="822" t="str">
        <f t="shared" si="16"/>
        <v xml:space="preserve"> </v>
      </c>
      <c r="M13" s="822" t="str">
        <f t="shared" si="17"/>
        <v>D</v>
      </c>
      <c r="N13" s="414">
        <f t="shared" si="18"/>
        <v>1</v>
      </c>
      <c r="O13" s="414" t="str">
        <f t="shared" si="1"/>
        <v>D</v>
      </c>
      <c r="P13" s="823"/>
      <c r="Q13" s="823"/>
      <c r="R13" s="823"/>
      <c r="S13" s="823"/>
      <c r="T13" s="823"/>
      <c r="U13" s="823"/>
      <c r="V13" s="823"/>
      <c r="W13" s="823"/>
      <c r="X13" s="823"/>
      <c r="Y13" s="823"/>
      <c r="Z13" s="823"/>
      <c r="AA13" s="823"/>
      <c r="AB13" s="823"/>
      <c r="AC13" s="823"/>
      <c r="AD13" s="823"/>
      <c r="AE13" s="823"/>
      <c r="AF13" s="823"/>
      <c r="AG13" s="823"/>
      <c r="AH13" s="823"/>
      <c r="AI13" s="823"/>
      <c r="AJ13" s="823"/>
      <c r="AK13" s="823"/>
      <c r="AL13" s="823"/>
      <c r="AM13" s="823"/>
      <c r="AN13" s="823"/>
      <c r="AO13" s="823"/>
      <c r="AP13" s="823"/>
      <c r="AQ13" s="823"/>
      <c r="AR13" s="823"/>
      <c r="AS13" s="823"/>
      <c r="AT13" s="823"/>
      <c r="AU13" s="823"/>
      <c r="AV13" s="823"/>
      <c r="AW13" s="823"/>
      <c r="AX13" s="823"/>
      <c r="AY13" s="823"/>
      <c r="AZ13" s="823"/>
      <c r="BA13" s="823"/>
      <c r="BB13" s="823"/>
      <c r="BC13" s="823"/>
      <c r="BD13" s="823"/>
      <c r="BE13" s="823"/>
      <c r="BF13" s="823"/>
      <c r="BG13" s="823"/>
      <c r="BH13" s="823"/>
      <c r="BI13" s="823"/>
      <c r="BJ13" s="823"/>
      <c r="BK13" s="823"/>
      <c r="BL13" s="823"/>
      <c r="BM13" s="823"/>
      <c r="BN13" s="104" t="str">
        <f>IND!D75</f>
        <v>Santun</v>
      </c>
      <c r="BO13" s="408">
        <v>4</v>
      </c>
      <c r="BP13" s="799" t="str">
        <f>SISWA!C9</f>
        <v>Anak 4</v>
      </c>
      <c r="BQ13" s="408">
        <f t="shared" si="2"/>
        <v>0</v>
      </c>
      <c r="BR13" s="408">
        <f t="shared" si="3"/>
        <v>0</v>
      </c>
      <c r="BS13" s="408">
        <f t="shared" si="4"/>
        <v>1</v>
      </c>
      <c r="BT13" s="408">
        <f t="shared" si="5"/>
        <v>1</v>
      </c>
      <c r="BU13" s="408">
        <f t="shared" si="6"/>
        <v>0</v>
      </c>
      <c r="BV13" s="408">
        <f t="shared" si="7"/>
        <v>0</v>
      </c>
      <c r="BW13" s="408">
        <f t="shared" si="8"/>
        <v>0</v>
      </c>
      <c r="BX13" s="408">
        <f t="shared" si="9"/>
        <v>0</v>
      </c>
      <c r="BY13" s="408">
        <f t="shared" si="10"/>
        <v>0</v>
      </c>
      <c r="BZ13" s="408">
        <f t="shared" si="11"/>
        <v>0</v>
      </c>
      <c r="CA13" s="408">
        <f t="shared" si="12"/>
        <v>0</v>
      </c>
      <c r="CB13" s="408">
        <f t="shared" si="13"/>
        <v>0</v>
      </c>
      <c r="CC13" s="408">
        <f t="shared" si="14"/>
        <v>0</v>
      </c>
      <c r="CD13" s="408">
        <f t="shared" si="15"/>
        <v>0</v>
      </c>
    </row>
    <row r="14" spans="2:82" ht="34.5" customHeight="1">
      <c r="B14" s="758"/>
      <c r="C14" s="762">
        <v>5</v>
      </c>
      <c r="D14" s="756">
        <v>43476</v>
      </c>
      <c r="E14" s="757">
        <v>2</v>
      </c>
      <c r="F14" s="796" t="str">
        <f>IF(E14=0," ",VLOOKUP(E14,SISWA!$A$6:$C$55,3,FALSE))</f>
        <v>Anak 2</v>
      </c>
      <c r="G14" s="797">
        <f t="shared" si="0"/>
        <v>3</v>
      </c>
      <c r="H14" s="813" t="s">
        <v>1090</v>
      </c>
      <c r="I14" s="824" t="s">
        <v>1081</v>
      </c>
      <c r="J14" s="824"/>
      <c r="K14" s="824"/>
      <c r="L14" s="822">
        <f t="shared" si="16"/>
        <v>1</v>
      </c>
      <c r="M14" s="822" t="str">
        <f t="shared" si="17"/>
        <v>C</v>
      </c>
      <c r="N14" s="414" t="str">
        <f t="shared" si="18"/>
        <v xml:space="preserve"> </v>
      </c>
      <c r="O14" s="414" t="str">
        <f t="shared" si="1"/>
        <v>C</v>
      </c>
      <c r="P14" s="823"/>
      <c r="Q14" s="823"/>
      <c r="R14" s="823"/>
      <c r="S14" s="823"/>
      <c r="T14" s="823"/>
      <c r="U14" s="823"/>
      <c r="V14" s="823"/>
      <c r="W14" s="823"/>
      <c r="X14" s="823"/>
      <c r="Y14" s="823"/>
      <c r="Z14" s="823"/>
      <c r="AA14" s="823"/>
      <c r="AB14" s="823"/>
      <c r="AC14" s="823"/>
      <c r="AD14" s="823"/>
      <c r="AE14" s="823"/>
      <c r="AF14" s="823"/>
      <c r="AG14" s="823"/>
      <c r="AH14" s="823"/>
      <c r="AI14" s="823"/>
      <c r="AJ14" s="823"/>
      <c r="AK14" s="823"/>
      <c r="AL14" s="823"/>
      <c r="AM14" s="823"/>
      <c r="AN14" s="823"/>
      <c r="AO14" s="823"/>
      <c r="AP14" s="823"/>
      <c r="AQ14" s="823"/>
      <c r="AR14" s="823"/>
      <c r="AS14" s="823"/>
      <c r="AT14" s="823"/>
      <c r="AU14" s="823"/>
      <c r="AV14" s="823"/>
      <c r="AW14" s="823"/>
      <c r="AX14" s="823"/>
      <c r="AY14" s="823"/>
      <c r="AZ14" s="823"/>
      <c r="BA14" s="823"/>
      <c r="BB14" s="823"/>
      <c r="BC14" s="823"/>
      <c r="BD14" s="823"/>
      <c r="BE14" s="823"/>
      <c r="BF14" s="823"/>
      <c r="BG14" s="823"/>
      <c r="BH14" s="823"/>
      <c r="BI14" s="823"/>
      <c r="BJ14" s="823"/>
      <c r="BK14" s="823"/>
      <c r="BL14" s="823"/>
      <c r="BM14" s="823"/>
      <c r="BN14" s="104" t="str">
        <f>IND!D84</f>
        <v>Peduli</v>
      </c>
      <c r="BO14" s="408">
        <v>5</v>
      </c>
      <c r="BP14" s="799" t="str">
        <f>SISWA!C10</f>
        <v>Anak 5</v>
      </c>
      <c r="BQ14" s="408">
        <f t="shared" si="2"/>
        <v>0</v>
      </c>
      <c r="BR14" s="408">
        <f t="shared" si="3"/>
        <v>0</v>
      </c>
      <c r="BS14" s="408">
        <f t="shared" si="4"/>
        <v>0</v>
      </c>
      <c r="BT14" s="408">
        <f t="shared" si="5"/>
        <v>0</v>
      </c>
      <c r="BU14" s="408">
        <f t="shared" si="6"/>
        <v>0</v>
      </c>
      <c r="BV14" s="408">
        <f t="shared" si="7"/>
        <v>0</v>
      </c>
      <c r="BW14" s="408">
        <f t="shared" si="8"/>
        <v>0</v>
      </c>
      <c r="BX14" s="408">
        <f t="shared" si="9"/>
        <v>0</v>
      </c>
      <c r="BY14" s="408">
        <f t="shared" si="10"/>
        <v>0</v>
      </c>
      <c r="BZ14" s="408">
        <f t="shared" si="11"/>
        <v>0</v>
      </c>
      <c r="CA14" s="408">
        <f t="shared" si="12"/>
        <v>0</v>
      </c>
      <c r="CB14" s="408">
        <f t="shared" si="13"/>
        <v>0</v>
      </c>
      <c r="CC14" s="408">
        <f t="shared" si="14"/>
        <v>0</v>
      </c>
      <c r="CD14" s="408">
        <f t="shared" si="15"/>
        <v>0</v>
      </c>
    </row>
    <row r="15" spans="2:82" ht="34.5" customHeight="1">
      <c r="B15" s="758"/>
      <c r="C15" s="762">
        <v>6</v>
      </c>
      <c r="D15" s="756">
        <v>43479</v>
      </c>
      <c r="E15" s="757">
        <v>4</v>
      </c>
      <c r="F15" s="796" t="str">
        <f>IF(E15=0," ",VLOOKUP(E15,SISWA!$A$6:$C$55,3,FALSE))</f>
        <v>Anak 4</v>
      </c>
      <c r="G15" s="797">
        <f t="shared" si="0"/>
        <v>2</v>
      </c>
      <c r="H15" s="813" t="s">
        <v>1066</v>
      </c>
      <c r="I15" s="824" t="s">
        <v>1083</v>
      </c>
      <c r="J15" s="824"/>
      <c r="K15" s="824"/>
      <c r="L15" s="822">
        <f t="shared" si="16"/>
        <v>1</v>
      </c>
      <c r="M15" s="822" t="str">
        <f t="shared" si="17"/>
        <v>B</v>
      </c>
      <c r="N15" s="414" t="str">
        <f t="shared" si="18"/>
        <v xml:space="preserve"> </v>
      </c>
      <c r="O15" s="414" t="str">
        <f t="shared" si="1"/>
        <v>B</v>
      </c>
      <c r="P15" s="823"/>
      <c r="Q15" s="823"/>
      <c r="R15" s="823"/>
      <c r="S15" s="823"/>
      <c r="T15" s="823"/>
      <c r="U15" s="823"/>
      <c r="V15" s="823"/>
      <c r="W15" s="823"/>
      <c r="X15" s="823"/>
      <c r="Y15" s="823"/>
      <c r="Z15" s="823"/>
      <c r="AA15" s="823"/>
      <c r="AB15" s="823"/>
      <c r="AC15" s="823"/>
      <c r="AD15" s="823"/>
      <c r="AE15" s="823"/>
      <c r="AF15" s="823"/>
      <c r="AG15" s="823"/>
      <c r="AH15" s="823"/>
      <c r="AI15" s="823"/>
      <c r="AJ15" s="823"/>
      <c r="AK15" s="823"/>
      <c r="AL15" s="823"/>
      <c r="AM15" s="823"/>
      <c r="AN15" s="823"/>
      <c r="AO15" s="823"/>
      <c r="AP15" s="823"/>
      <c r="AQ15" s="823"/>
      <c r="AR15" s="823"/>
      <c r="AS15" s="823"/>
      <c r="AT15" s="823"/>
      <c r="AU15" s="823"/>
      <c r="AV15" s="823"/>
      <c r="AW15" s="823"/>
      <c r="AX15" s="823"/>
      <c r="AY15" s="823"/>
      <c r="AZ15" s="823"/>
      <c r="BA15" s="823"/>
      <c r="BB15" s="823"/>
      <c r="BC15" s="823"/>
      <c r="BD15" s="823"/>
      <c r="BE15" s="823"/>
      <c r="BF15" s="823"/>
      <c r="BG15" s="823"/>
      <c r="BH15" s="823"/>
      <c r="BI15" s="823"/>
      <c r="BJ15" s="823"/>
      <c r="BK15" s="823"/>
      <c r="BL15" s="823"/>
      <c r="BM15" s="823"/>
      <c r="BN15" s="104" t="str">
        <f>IND!D93</f>
        <v>Percaya diri</v>
      </c>
      <c r="BO15" s="408">
        <v>6</v>
      </c>
      <c r="BP15" s="799" t="str">
        <f>SISWA!C11</f>
        <v>Anak 6</v>
      </c>
      <c r="BQ15" s="408">
        <f t="shared" si="2"/>
        <v>0</v>
      </c>
      <c r="BR15" s="408">
        <f t="shared" si="3"/>
        <v>0</v>
      </c>
      <c r="BS15" s="408">
        <f t="shared" si="4"/>
        <v>0</v>
      </c>
      <c r="BT15" s="408">
        <f t="shared" si="5"/>
        <v>0</v>
      </c>
      <c r="BU15" s="408">
        <f t="shared" si="6"/>
        <v>0</v>
      </c>
      <c r="BV15" s="408">
        <f t="shared" si="7"/>
        <v>1</v>
      </c>
      <c r="BW15" s="408">
        <f t="shared" si="8"/>
        <v>0</v>
      </c>
      <c r="BX15" s="408">
        <f t="shared" si="9"/>
        <v>0</v>
      </c>
      <c r="BY15" s="408">
        <f t="shared" si="10"/>
        <v>0</v>
      </c>
      <c r="BZ15" s="408">
        <f t="shared" si="11"/>
        <v>0</v>
      </c>
      <c r="CA15" s="408">
        <f t="shared" si="12"/>
        <v>0</v>
      </c>
      <c r="CB15" s="408">
        <f t="shared" si="13"/>
        <v>0</v>
      </c>
      <c r="CC15" s="408">
        <f t="shared" si="14"/>
        <v>1</v>
      </c>
      <c r="CD15" s="408">
        <f t="shared" si="15"/>
        <v>0</v>
      </c>
    </row>
    <row r="16" spans="2:82" ht="34.5" customHeight="1">
      <c r="B16" s="758"/>
      <c r="C16" s="762">
        <v>7</v>
      </c>
      <c r="D16" s="756">
        <v>43480</v>
      </c>
      <c r="E16" s="757">
        <v>2</v>
      </c>
      <c r="F16" s="796" t="str">
        <f>IF(E16=0," ",VLOOKUP(E16,SISWA!$A$6:$C$55,3,FALSE))</f>
        <v>Anak 2</v>
      </c>
      <c r="G16" s="797">
        <f t="shared" si="0"/>
        <v>3</v>
      </c>
      <c r="H16" s="813" t="s">
        <v>1090</v>
      </c>
      <c r="I16" s="824" t="s">
        <v>1108</v>
      </c>
      <c r="J16" s="824"/>
      <c r="K16" s="824"/>
      <c r="L16" s="822">
        <f t="shared" si="16"/>
        <v>1</v>
      </c>
      <c r="M16" s="822" t="str">
        <f t="shared" si="17"/>
        <v>C</v>
      </c>
      <c r="N16" s="414" t="str">
        <f t="shared" si="18"/>
        <v xml:space="preserve"> </v>
      </c>
      <c r="O16" s="414" t="str">
        <f t="shared" si="1"/>
        <v>C</v>
      </c>
      <c r="P16" s="823"/>
      <c r="Q16" s="823"/>
      <c r="R16" s="823"/>
      <c r="S16" s="823"/>
      <c r="T16" s="823"/>
      <c r="U16" s="823"/>
      <c r="V16" s="823"/>
      <c r="W16" s="823"/>
      <c r="X16" s="823"/>
      <c r="Y16" s="823"/>
      <c r="Z16" s="823"/>
      <c r="AA16" s="823"/>
      <c r="AB16" s="823"/>
      <c r="AC16" s="823"/>
      <c r="AD16" s="823"/>
      <c r="AE16" s="823"/>
      <c r="AF16" s="823"/>
      <c r="AG16" s="823"/>
      <c r="AH16" s="823"/>
      <c r="AI16" s="823"/>
      <c r="AJ16" s="823"/>
      <c r="AK16" s="823"/>
      <c r="AL16" s="823"/>
      <c r="AM16" s="823"/>
      <c r="AN16" s="823"/>
      <c r="AO16" s="823"/>
      <c r="AP16" s="823"/>
      <c r="AQ16" s="823"/>
      <c r="AR16" s="823"/>
      <c r="AS16" s="823"/>
      <c r="AT16" s="823"/>
      <c r="AU16" s="823"/>
      <c r="AV16" s="823"/>
      <c r="AW16" s="823"/>
      <c r="AX16" s="823"/>
      <c r="AY16" s="823"/>
      <c r="AZ16" s="823"/>
      <c r="BA16" s="823"/>
      <c r="BB16" s="823"/>
      <c r="BC16" s="823"/>
      <c r="BD16" s="823"/>
      <c r="BE16" s="823"/>
      <c r="BF16" s="823"/>
      <c r="BG16" s="823"/>
      <c r="BH16" s="823"/>
      <c r="BI16" s="823"/>
      <c r="BJ16" s="823"/>
      <c r="BK16" s="823"/>
      <c r="BL16" s="823"/>
      <c r="BM16" s="823"/>
      <c r="BN16" s="800" t="str">
        <f>IND!D103</f>
        <v>Kerjasama</v>
      </c>
      <c r="BO16" s="408">
        <v>7</v>
      </c>
      <c r="BP16" s="799" t="str">
        <f>SISWA!C12</f>
        <v>Anak 7</v>
      </c>
      <c r="BQ16" s="408">
        <f t="shared" si="2"/>
        <v>0</v>
      </c>
      <c r="BR16" s="408">
        <f t="shared" si="3"/>
        <v>0</v>
      </c>
      <c r="BS16" s="408">
        <f t="shared" si="4"/>
        <v>0</v>
      </c>
      <c r="BT16" s="408">
        <f t="shared" si="5"/>
        <v>0</v>
      </c>
      <c r="BU16" s="408">
        <f t="shared" si="6"/>
        <v>0</v>
      </c>
      <c r="BV16" s="408">
        <f t="shared" si="7"/>
        <v>0</v>
      </c>
      <c r="BW16" s="408">
        <f t="shared" si="8"/>
        <v>0</v>
      </c>
      <c r="BX16" s="408">
        <f t="shared" si="9"/>
        <v>0</v>
      </c>
      <c r="BY16" s="408">
        <f t="shared" si="10"/>
        <v>0</v>
      </c>
      <c r="BZ16" s="408">
        <f t="shared" si="11"/>
        <v>0</v>
      </c>
      <c r="CA16" s="408">
        <f t="shared" si="12"/>
        <v>0</v>
      </c>
      <c r="CB16" s="408">
        <f t="shared" si="13"/>
        <v>0</v>
      </c>
      <c r="CC16" s="408">
        <f t="shared" si="14"/>
        <v>0</v>
      </c>
      <c r="CD16" s="408">
        <f t="shared" si="15"/>
        <v>0</v>
      </c>
    </row>
    <row r="17" spans="2:82" ht="34.5" customHeight="1">
      <c r="B17" s="758"/>
      <c r="C17" s="762">
        <v>8</v>
      </c>
      <c r="D17" s="756">
        <v>43487</v>
      </c>
      <c r="E17" s="757">
        <v>6</v>
      </c>
      <c r="F17" s="796" t="str">
        <f>IF(E17=0," ",VLOOKUP(E17,SISWA!$A$6:$C$55,3,FALSE))</f>
        <v>Anak 6</v>
      </c>
      <c r="G17" s="797">
        <f t="shared" si="0"/>
        <v>3</v>
      </c>
      <c r="H17" s="813" t="s">
        <v>1090</v>
      </c>
      <c r="I17" s="824"/>
      <c r="J17" s="824" t="s">
        <v>1105</v>
      </c>
      <c r="K17" s="824"/>
      <c r="L17" s="822" t="str">
        <f t="shared" si="16"/>
        <v xml:space="preserve"> </v>
      </c>
      <c r="M17" s="822" t="str">
        <f t="shared" si="17"/>
        <v>C</v>
      </c>
      <c r="N17" s="414">
        <f t="shared" si="18"/>
        <v>1</v>
      </c>
      <c r="O17" s="414" t="str">
        <f t="shared" si="1"/>
        <v>C</v>
      </c>
      <c r="P17" s="823"/>
      <c r="Q17" s="823"/>
      <c r="R17" s="823"/>
      <c r="S17" s="823"/>
      <c r="T17" s="823"/>
      <c r="U17" s="823"/>
      <c r="V17" s="823"/>
      <c r="W17" s="823"/>
      <c r="X17" s="823"/>
      <c r="Y17" s="823"/>
      <c r="Z17" s="823"/>
      <c r="AA17" s="823"/>
      <c r="AB17" s="823"/>
      <c r="AC17" s="823"/>
      <c r="AD17" s="823"/>
      <c r="AE17" s="823"/>
      <c r="AF17" s="823"/>
      <c r="AG17" s="823"/>
      <c r="AH17" s="823"/>
      <c r="AI17" s="823"/>
      <c r="AJ17" s="823"/>
      <c r="AK17" s="823"/>
      <c r="AL17" s="823"/>
      <c r="AM17" s="823"/>
      <c r="AN17" s="823"/>
      <c r="AO17" s="823"/>
      <c r="AP17" s="823"/>
      <c r="AQ17" s="823"/>
      <c r="AR17" s="823"/>
      <c r="AS17" s="823"/>
      <c r="AT17" s="823"/>
      <c r="AU17" s="823"/>
      <c r="AV17" s="823"/>
      <c r="AW17" s="823"/>
      <c r="AX17" s="823"/>
      <c r="AY17" s="823"/>
      <c r="AZ17" s="823"/>
      <c r="BA17" s="823"/>
      <c r="BB17" s="823"/>
      <c r="BC17" s="823"/>
      <c r="BD17" s="823"/>
      <c r="BE17" s="823"/>
      <c r="BF17" s="823"/>
      <c r="BG17" s="823"/>
      <c r="BH17" s="823"/>
      <c r="BI17" s="823"/>
      <c r="BJ17" s="823"/>
      <c r="BK17" s="823"/>
      <c r="BL17" s="823"/>
      <c r="BM17" s="823"/>
      <c r="BN17" s="800"/>
      <c r="BO17" s="408">
        <v>8</v>
      </c>
      <c r="BP17" s="799" t="str">
        <f>SISWA!C13</f>
        <v>Anak 8</v>
      </c>
      <c r="BQ17" s="408">
        <f t="shared" si="2"/>
        <v>0</v>
      </c>
      <c r="BR17" s="408">
        <f t="shared" si="3"/>
        <v>0</v>
      </c>
      <c r="BS17" s="408">
        <f t="shared" si="4"/>
        <v>0</v>
      </c>
      <c r="BT17" s="408">
        <f t="shared" si="5"/>
        <v>0</v>
      </c>
      <c r="BU17" s="408">
        <f t="shared" si="6"/>
        <v>0</v>
      </c>
      <c r="BV17" s="408">
        <f t="shared" si="7"/>
        <v>0</v>
      </c>
      <c r="BW17" s="408">
        <f t="shared" si="8"/>
        <v>0</v>
      </c>
      <c r="BX17" s="408">
        <f t="shared" si="9"/>
        <v>0</v>
      </c>
      <c r="BY17" s="408">
        <f t="shared" si="10"/>
        <v>0</v>
      </c>
      <c r="BZ17" s="408">
        <f t="shared" si="11"/>
        <v>0</v>
      </c>
      <c r="CA17" s="408">
        <f t="shared" si="12"/>
        <v>0</v>
      </c>
      <c r="CB17" s="408">
        <f t="shared" si="13"/>
        <v>0</v>
      </c>
      <c r="CC17" s="408">
        <f t="shared" si="14"/>
        <v>0</v>
      </c>
      <c r="CD17" s="408">
        <f t="shared" si="15"/>
        <v>0</v>
      </c>
    </row>
    <row r="18" spans="2:82" ht="34.5" customHeight="1">
      <c r="B18" s="758"/>
      <c r="C18" s="762">
        <v>9</v>
      </c>
      <c r="D18" s="756"/>
      <c r="E18" s="757"/>
      <c r="F18" s="796" t="str">
        <f>IF(E18=0," ",VLOOKUP(E18,SISWA!$A$6:$C$55,3,FALSE))</f>
        <v xml:space="preserve"> </v>
      </c>
      <c r="G18" s="797" t="str">
        <f t="shared" si="0"/>
        <v xml:space="preserve"> </v>
      </c>
      <c r="H18" s="813"/>
      <c r="I18" s="824"/>
      <c r="J18" s="824"/>
      <c r="K18" s="824"/>
      <c r="L18" s="822" t="str">
        <f t="shared" si="16"/>
        <v xml:space="preserve"> </v>
      </c>
      <c r="M18" s="822" t="b">
        <f t="shared" si="17"/>
        <v>0</v>
      </c>
      <c r="N18" s="414" t="str">
        <f t="shared" si="18"/>
        <v xml:space="preserve"> </v>
      </c>
      <c r="O18" s="414" t="b">
        <f t="shared" si="1"/>
        <v>0</v>
      </c>
      <c r="P18" s="823"/>
      <c r="Q18" s="823"/>
      <c r="R18" s="823"/>
      <c r="S18" s="823"/>
      <c r="T18" s="823"/>
      <c r="U18" s="823"/>
      <c r="V18" s="823"/>
      <c r="W18" s="823"/>
      <c r="X18" s="823"/>
      <c r="Y18" s="823"/>
      <c r="Z18" s="823"/>
      <c r="AA18" s="823"/>
      <c r="AB18" s="823"/>
      <c r="AC18" s="823"/>
      <c r="AD18" s="823"/>
      <c r="AE18" s="823"/>
      <c r="AF18" s="823"/>
      <c r="AG18" s="823"/>
      <c r="AH18" s="823"/>
      <c r="AI18" s="823"/>
      <c r="AJ18" s="823"/>
      <c r="AK18" s="823"/>
      <c r="AL18" s="823"/>
      <c r="AM18" s="823"/>
      <c r="AN18" s="823"/>
      <c r="AO18" s="823"/>
      <c r="AP18" s="823"/>
      <c r="AQ18" s="823"/>
      <c r="AR18" s="823"/>
      <c r="AS18" s="823"/>
      <c r="AT18" s="823"/>
      <c r="AU18" s="823"/>
      <c r="AV18" s="823"/>
      <c r="AW18" s="823"/>
      <c r="AX18" s="823"/>
      <c r="AY18" s="823"/>
      <c r="AZ18" s="823"/>
      <c r="BA18" s="823"/>
      <c r="BB18" s="823"/>
      <c r="BC18" s="823"/>
      <c r="BD18" s="823"/>
      <c r="BE18" s="823"/>
      <c r="BF18" s="823"/>
      <c r="BG18" s="823"/>
      <c r="BH18" s="823"/>
      <c r="BI18" s="823"/>
      <c r="BJ18" s="823"/>
      <c r="BK18" s="823"/>
      <c r="BL18" s="823"/>
      <c r="BM18" s="823"/>
      <c r="BN18" s="800"/>
      <c r="BO18" s="408">
        <v>9</v>
      </c>
      <c r="BP18" s="799" t="str">
        <f>SISWA!C14</f>
        <v>Anak 9</v>
      </c>
      <c r="BQ18" s="408">
        <f t="shared" si="2"/>
        <v>0</v>
      </c>
      <c r="BR18" s="408">
        <f t="shared" si="3"/>
        <v>0</v>
      </c>
      <c r="BS18" s="408">
        <f t="shared" si="4"/>
        <v>0</v>
      </c>
      <c r="BT18" s="408">
        <f t="shared" si="5"/>
        <v>0</v>
      </c>
      <c r="BU18" s="408">
        <f t="shared" si="6"/>
        <v>0</v>
      </c>
      <c r="BV18" s="408">
        <f t="shared" si="7"/>
        <v>0</v>
      </c>
      <c r="BW18" s="408">
        <f t="shared" si="8"/>
        <v>0</v>
      </c>
      <c r="BX18" s="408">
        <f t="shared" si="9"/>
        <v>0</v>
      </c>
      <c r="BY18" s="408">
        <f t="shared" si="10"/>
        <v>0</v>
      </c>
      <c r="BZ18" s="408">
        <f t="shared" si="11"/>
        <v>0</v>
      </c>
      <c r="CA18" s="408">
        <f t="shared" si="12"/>
        <v>0</v>
      </c>
      <c r="CB18" s="408">
        <f t="shared" si="13"/>
        <v>0</v>
      </c>
      <c r="CC18" s="408">
        <f t="shared" si="14"/>
        <v>0</v>
      </c>
      <c r="CD18" s="408">
        <f t="shared" si="15"/>
        <v>1</v>
      </c>
    </row>
    <row r="19" spans="2:82" ht="34.5" customHeight="1">
      <c r="B19" s="758"/>
      <c r="C19" s="762">
        <v>10</v>
      </c>
      <c r="D19" s="756"/>
      <c r="E19" s="757"/>
      <c r="F19" s="796" t="str">
        <f>IF(E19=0," ",VLOOKUP(E19,SISWA!$A$6:$C$55,3,FALSE))</f>
        <v xml:space="preserve"> </v>
      </c>
      <c r="G19" s="797" t="str">
        <f t="shared" si="0"/>
        <v xml:space="preserve"> </v>
      </c>
      <c r="H19" s="813"/>
      <c r="I19" s="824"/>
      <c r="J19" s="824"/>
      <c r="K19" s="824"/>
      <c r="L19" s="822" t="str">
        <f t="shared" si="16"/>
        <v xml:space="preserve"> </v>
      </c>
      <c r="M19" s="822" t="b">
        <f t="shared" si="17"/>
        <v>0</v>
      </c>
      <c r="N19" s="414" t="str">
        <f t="shared" si="18"/>
        <v xml:space="preserve"> </v>
      </c>
      <c r="O19" s="414" t="b">
        <f t="shared" si="1"/>
        <v>0</v>
      </c>
      <c r="P19" s="823"/>
      <c r="Q19" s="823"/>
      <c r="R19" s="823"/>
      <c r="S19" s="823"/>
      <c r="T19" s="823"/>
      <c r="U19" s="823"/>
      <c r="V19" s="823"/>
      <c r="W19" s="823"/>
      <c r="X19" s="823"/>
      <c r="Y19" s="823"/>
      <c r="Z19" s="823"/>
      <c r="AA19" s="823"/>
      <c r="AB19" s="823"/>
      <c r="AC19" s="823"/>
      <c r="AD19" s="823"/>
      <c r="AE19" s="823"/>
      <c r="AF19" s="823"/>
      <c r="AG19" s="823"/>
      <c r="AH19" s="823"/>
      <c r="AI19" s="823"/>
      <c r="AJ19" s="823"/>
      <c r="AK19" s="823"/>
      <c r="AL19" s="823"/>
      <c r="AM19" s="823"/>
      <c r="AN19" s="823"/>
      <c r="AO19" s="823"/>
      <c r="AP19" s="823"/>
      <c r="AQ19" s="823"/>
      <c r="AR19" s="823"/>
      <c r="AS19" s="823"/>
      <c r="AT19" s="823"/>
      <c r="AU19" s="823"/>
      <c r="AV19" s="823"/>
      <c r="AW19" s="823"/>
      <c r="AX19" s="823"/>
      <c r="AY19" s="823"/>
      <c r="AZ19" s="823"/>
      <c r="BA19" s="823"/>
      <c r="BB19" s="823"/>
      <c r="BC19" s="823"/>
      <c r="BD19" s="823"/>
      <c r="BE19" s="823"/>
      <c r="BF19" s="823"/>
      <c r="BG19" s="823"/>
      <c r="BH19" s="823"/>
      <c r="BI19" s="823"/>
      <c r="BJ19" s="823"/>
      <c r="BK19" s="823"/>
      <c r="BL19" s="823"/>
      <c r="BM19" s="823"/>
      <c r="BN19" s="801"/>
      <c r="BO19" s="408">
        <v>10</v>
      </c>
      <c r="BP19" s="799" t="str">
        <f>SISWA!C15</f>
        <v>Anak 10</v>
      </c>
      <c r="BQ19" s="408">
        <f t="shared" si="2"/>
        <v>0</v>
      </c>
      <c r="BR19" s="408">
        <f t="shared" si="3"/>
        <v>0</v>
      </c>
      <c r="BS19" s="408">
        <f t="shared" si="4"/>
        <v>0</v>
      </c>
      <c r="BT19" s="408">
        <f t="shared" si="5"/>
        <v>0</v>
      </c>
      <c r="BU19" s="408">
        <f t="shared" si="6"/>
        <v>0</v>
      </c>
      <c r="BV19" s="408">
        <f t="shared" si="7"/>
        <v>0</v>
      </c>
      <c r="BW19" s="408">
        <f t="shared" si="8"/>
        <v>0</v>
      </c>
      <c r="BX19" s="408">
        <f t="shared" si="9"/>
        <v>0</v>
      </c>
      <c r="BY19" s="408">
        <f t="shared" si="10"/>
        <v>0</v>
      </c>
      <c r="BZ19" s="408">
        <f t="shared" si="11"/>
        <v>0</v>
      </c>
      <c r="CA19" s="408">
        <f t="shared" si="12"/>
        <v>0</v>
      </c>
      <c r="CB19" s="408">
        <f t="shared" si="13"/>
        <v>0</v>
      </c>
      <c r="CC19" s="408">
        <f t="shared" si="14"/>
        <v>0</v>
      </c>
      <c r="CD19" s="408">
        <f t="shared" si="15"/>
        <v>0</v>
      </c>
    </row>
    <row r="20" spans="2:82" ht="34.5" customHeight="1">
      <c r="B20" s="758"/>
      <c r="C20" s="762">
        <v>11</v>
      </c>
      <c r="D20" s="756"/>
      <c r="E20" s="757"/>
      <c r="F20" s="796" t="str">
        <f>IF(E20=0," ",VLOOKUP(E20,SISWA!$A$6:$C$55,3,FALSE))</f>
        <v xml:space="preserve"> </v>
      </c>
      <c r="G20" s="797" t="str">
        <f t="shared" si="0"/>
        <v xml:space="preserve"> </v>
      </c>
      <c r="H20" s="813"/>
      <c r="I20" s="824"/>
      <c r="J20" s="824"/>
      <c r="K20" s="824"/>
      <c r="L20" s="822" t="str">
        <f t="shared" si="16"/>
        <v xml:space="preserve"> </v>
      </c>
      <c r="M20" s="822" t="b">
        <f t="shared" si="17"/>
        <v>0</v>
      </c>
      <c r="N20" s="414" t="str">
        <f t="shared" si="18"/>
        <v xml:space="preserve"> </v>
      </c>
      <c r="O20" s="414" t="b">
        <f t="shared" si="1"/>
        <v>0</v>
      </c>
      <c r="P20" s="823"/>
      <c r="Q20" s="823"/>
      <c r="R20" s="823"/>
      <c r="S20" s="823"/>
      <c r="T20" s="823"/>
      <c r="U20" s="823"/>
      <c r="V20" s="823"/>
      <c r="W20" s="823"/>
      <c r="X20" s="823"/>
      <c r="Y20" s="823"/>
      <c r="Z20" s="823"/>
      <c r="AA20" s="823"/>
      <c r="AB20" s="823"/>
      <c r="AC20" s="823"/>
      <c r="AD20" s="823"/>
      <c r="AE20" s="823"/>
      <c r="AF20" s="823"/>
      <c r="AG20" s="823"/>
      <c r="AH20" s="823"/>
      <c r="AI20" s="823"/>
      <c r="AJ20" s="823"/>
      <c r="AK20" s="823"/>
      <c r="AL20" s="823"/>
      <c r="AM20" s="823"/>
      <c r="AN20" s="823"/>
      <c r="AO20" s="823"/>
      <c r="AP20" s="823"/>
      <c r="AQ20" s="823"/>
      <c r="AR20" s="823"/>
      <c r="AS20" s="823"/>
      <c r="AT20" s="823"/>
      <c r="AU20" s="823"/>
      <c r="AV20" s="823"/>
      <c r="AW20" s="823"/>
      <c r="AX20" s="823"/>
      <c r="AY20" s="823"/>
      <c r="AZ20" s="823"/>
      <c r="BA20" s="823"/>
      <c r="BB20" s="823"/>
      <c r="BC20" s="823"/>
      <c r="BD20" s="823"/>
      <c r="BE20" s="823"/>
      <c r="BF20" s="823"/>
      <c r="BG20" s="823"/>
      <c r="BH20" s="823"/>
      <c r="BI20" s="823"/>
      <c r="BJ20" s="823"/>
      <c r="BK20" s="823"/>
      <c r="BL20" s="823"/>
      <c r="BM20" s="823"/>
      <c r="BO20" s="408">
        <v>11</v>
      </c>
      <c r="BP20" s="799" t="str">
        <f>SISWA!C16</f>
        <v>Anak 11</v>
      </c>
      <c r="BQ20" s="408">
        <f t="shared" si="2"/>
        <v>0</v>
      </c>
      <c r="BR20" s="408">
        <f t="shared" si="3"/>
        <v>0</v>
      </c>
      <c r="BS20" s="408">
        <f t="shared" si="4"/>
        <v>0</v>
      </c>
      <c r="BT20" s="408">
        <f t="shared" si="5"/>
        <v>0</v>
      </c>
      <c r="BU20" s="408">
        <f t="shared" si="6"/>
        <v>0</v>
      </c>
      <c r="BV20" s="408">
        <f t="shared" si="7"/>
        <v>0</v>
      </c>
      <c r="BW20" s="408">
        <f t="shared" si="8"/>
        <v>0</v>
      </c>
      <c r="BX20" s="408">
        <f t="shared" si="9"/>
        <v>0</v>
      </c>
      <c r="BY20" s="408">
        <f t="shared" si="10"/>
        <v>0</v>
      </c>
      <c r="BZ20" s="408">
        <f t="shared" si="11"/>
        <v>0</v>
      </c>
      <c r="CA20" s="408">
        <f t="shared" si="12"/>
        <v>0</v>
      </c>
      <c r="CB20" s="408">
        <f t="shared" si="13"/>
        <v>0</v>
      </c>
      <c r="CC20" s="408">
        <f t="shared" si="14"/>
        <v>0</v>
      </c>
      <c r="CD20" s="408">
        <f t="shared" si="15"/>
        <v>0</v>
      </c>
    </row>
    <row r="21" spans="2:82" ht="34.5" customHeight="1">
      <c r="B21" s="758"/>
      <c r="C21" s="762">
        <v>12</v>
      </c>
      <c r="D21" s="756"/>
      <c r="E21" s="757"/>
      <c r="F21" s="796" t="str">
        <f>IF(E21=0," ",VLOOKUP(E21,SISWA!$A$6:$C$55,3,FALSE))</f>
        <v xml:space="preserve"> </v>
      </c>
      <c r="G21" s="797" t="str">
        <f t="shared" si="0"/>
        <v xml:space="preserve"> </v>
      </c>
      <c r="H21" s="813"/>
      <c r="I21" s="824"/>
      <c r="J21" s="824"/>
      <c r="K21" s="824"/>
      <c r="L21" s="822" t="str">
        <f t="shared" si="16"/>
        <v xml:space="preserve"> </v>
      </c>
      <c r="M21" s="822" t="b">
        <f t="shared" si="17"/>
        <v>0</v>
      </c>
      <c r="N21" s="414" t="str">
        <f t="shared" si="18"/>
        <v xml:space="preserve"> </v>
      </c>
      <c r="O21" s="414" t="b">
        <f t="shared" si="1"/>
        <v>0</v>
      </c>
      <c r="P21" s="823"/>
      <c r="Q21" s="823"/>
      <c r="R21" s="823"/>
      <c r="S21" s="823"/>
      <c r="T21" s="823"/>
      <c r="U21" s="823"/>
      <c r="V21" s="823"/>
      <c r="W21" s="823"/>
      <c r="X21" s="823"/>
      <c r="Y21" s="823"/>
      <c r="Z21" s="823"/>
      <c r="AA21" s="823"/>
      <c r="AB21" s="823"/>
      <c r="AC21" s="823"/>
      <c r="AD21" s="823"/>
      <c r="AE21" s="823"/>
      <c r="AF21" s="823"/>
      <c r="AG21" s="823"/>
      <c r="AH21" s="823"/>
      <c r="AI21" s="823"/>
      <c r="AJ21" s="823"/>
      <c r="AK21" s="823"/>
      <c r="AL21" s="823"/>
      <c r="AM21" s="823"/>
      <c r="AN21" s="823"/>
      <c r="AO21" s="823"/>
      <c r="AP21" s="823"/>
      <c r="AQ21" s="823"/>
      <c r="AR21" s="823"/>
      <c r="AS21" s="823"/>
      <c r="AT21" s="823"/>
      <c r="AU21" s="823"/>
      <c r="AV21" s="823"/>
      <c r="AW21" s="823"/>
      <c r="AX21" s="823"/>
      <c r="AY21" s="823"/>
      <c r="AZ21" s="823"/>
      <c r="BA21" s="823"/>
      <c r="BB21" s="823"/>
      <c r="BC21" s="823"/>
      <c r="BD21" s="823"/>
      <c r="BE21" s="823"/>
      <c r="BF21" s="823"/>
      <c r="BG21" s="823"/>
      <c r="BH21" s="823"/>
      <c r="BI21" s="823"/>
      <c r="BJ21" s="823"/>
      <c r="BK21" s="823"/>
      <c r="BL21" s="823"/>
      <c r="BM21" s="823"/>
      <c r="BO21" s="408">
        <v>12</v>
      </c>
      <c r="BP21" s="799" t="str">
        <f>SISWA!C17</f>
        <v>Anak 12</v>
      </c>
      <c r="BQ21" s="408">
        <f t="shared" si="2"/>
        <v>0</v>
      </c>
      <c r="BR21" s="408">
        <f t="shared" si="3"/>
        <v>0</v>
      </c>
      <c r="BS21" s="408">
        <f t="shared" si="4"/>
        <v>0</v>
      </c>
      <c r="BT21" s="408">
        <f t="shared" si="5"/>
        <v>0</v>
      </c>
      <c r="BU21" s="408">
        <f t="shared" si="6"/>
        <v>0</v>
      </c>
      <c r="BV21" s="408">
        <f t="shared" si="7"/>
        <v>0</v>
      </c>
      <c r="BW21" s="408">
        <f t="shared" si="8"/>
        <v>0</v>
      </c>
      <c r="BX21" s="408">
        <f t="shared" si="9"/>
        <v>0</v>
      </c>
      <c r="BY21" s="408">
        <f t="shared" si="10"/>
        <v>0</v>
      </c>
      <c r="BZ21" s="408">
        <f t="shared" si="11"/>
        <v>0</v>
      </c>
      <c r="CA21" s="408">
        <f t="shared" si="12"/>
        <v>0</v>
      </c>
      <c r="CB21" s="408">
        <f t="shared" si="13"/>
        <v>0</v>
      </c>
      <c r="CC21" s="408">
        <f t="shared" si="14"/>
        <v>0</v>
      </c>
      <c r="CD21" s="408">
        <f t="shared" si="15"/>
        <v>0</v>
      </c>
    </row>
    <row r="22" spans="2:82" ht="34.5" customHeight="1">
      <c r="B22" s="758"/>
      <c r="C22" s="762">
        <v>13</v>
      </c>
      <c r="D22" s="756"/>
      <c r="E22" s="757"/>
      <c r="F22" s="796" t="str">
        <f>IF(E22=0," ",VLOOKUP(E22,SISWA!$A$6:$C$55,3,FALSE))</f>
        <v xml:space="preserve"> </v>
      </c>
      <c r="G22" s="797" t="str">
        <f t="shared" si="0"/>
        <v xml:space="preserve"> </v>
      </c>
      <c r="H22" s="813"/>
      <c r="I22" s="824"/>
      <c r="J22" s="824"/>
      <c r="K22" s="824"/>
      <c r="L22" s="822" t="str">
        <f t="shared" si="16"/>
        <v xml:space="preserve"> </v>
      </c>
      <c r="M22" s="822" t="b">
        <f t="shared" si="17"/>
        <v>0</v>
      </c>
      <c r="N22" s="414" t="str">
        <f t="shared" si="18"/>
        <v xml:space="preserve"> </v>
      </c>
      <c r="O22" s="414" t="b">
        <f t="shared" si="1"/>
        <v>0</v>
      </c>
      <c r="P22" s="823"/>
      <c r="Q22" s="823"/>
      <c r="R22" s="823"/>
      <c r="S22" s="823"/>
      <c r="T22" s="823"/>
      <c r="U22" s="823"/>
      <c r="V22" s="823"/>
      <c r="W22" s="823"/>
      <c r="X22" s="823"/>
      <c r="Y22" s="823"/>
      <c r="Z22" s="823"/>
      <c r="AA22" s="823"/>
      <c r="AB22" s="823"/>
      <c r="AC22" s="823"/>
      <c r="AD22" s="823"/>
      <c r="AE22" s="823"/>
      <c r="AF22" s="823"/>
      <c r="AG22" s="823"/>
      <c r="AH22" s="823"/>
      <c r="AI22" s="823"/>
      <c r="AJ22" s="823"/>
      <c r="AK22" s="823"/>
      <c r="AL22" s="823"/>
      <c r="AM22" s="823"/>
      <c r="AN22" s="823"/>
      <c r="AO22" s="823"/>
      <c r="AP22" s="823"/>
      <c r="AQ22" s="823"/>
      <c r="AR22" s="823"/>
      <c r="AS22" s="823"/>
      <c r="AT22" s="823"/>
      <c r="AU22" s="823"/>
      <c r="AV22" s="823"/>
      <c r="AW22" s="823"/>
      <c r="AX22" s="823"/>
      <c r="AY22" s="823"/>
      <c r="AZ22" s="823"/>
      <c r="BA22" s="823"/>
      <c r="BB22" s="823"/>
      <c r="BC22" s="823"/>
      <c r="BD22" s="823"/>
      <c r="BE22" s="823"/>
      <c r="BF22" s="823"/>
      <c r="BG22" s="823"/>
      <c r="BH22" s="823"/>
      <c r="BI22" s="823"/>
      <c r="BJ22" s="823"/>
      <c r="BK22" s="823"/>
      <c r="BL22" s="823"/>
      <c r="BM22" s="823"/>
      <c r="BO22" s="408">
        <v>13</v>
      </c>
      <c r="BP22" s="799" t="str">
        <f>SISWA!C18</f>
        <v>Anak 13</v>
      </c>
      <c r="BQ22" s="408">
        <f t="shared" si="2"/>
        <v>0</v>
      </c>
      <c r="BR22" s="408">
        <f t="shared" si="3"/>
        <v>0</v>
      </c>
      <c r="BS22" s="408">
        <f t="shared" si="4"/>
        <v>0</v>
      </c>
      <c r="BT22" s="408">
        <f t="shared" si="5"/>
        <v>0</v>
      </c>
      <c r="BU22" s="408">
        <f t="shared" si="6"/>
        <v>0</v>
      </c>
      <c r="BV22" s="408">
        <f t="shared" si="7"/>
        <v>0</v>
      </c>
      <c r="BW22" s="408">
        <f t="shared" si="8"/>
        <v>0</v>
      </c>
      <c r="BX22" s="408">
        <f t="shared" si="9"/>
        <v>0</v>
      </c>
      <c r="BY22" s="408">
        <f t="shared" si="10"/>
        <v>0</v>
      </c>
      <c r="BZ22" s="408">
        <f t="shared" si="11"/>
        <v>0</v>
      </c>
      <c r="CA22" s="408">
        <f t="shared" si="12"/>
        <v>0</v>
      </c>
      <c r="CB22" s="408">
        <f t="shared" si="13"/>
        <v>0</v>
      </c>
      <c r="CC22" s="408">
        <f t="shared" si="14"/>
        <v>0</v>
      </c>
      <c r="CD22" s="408">
        <f t="shared" si="15"/>
        <v>0</v>
      </c>
    </row>
    <row r="23" spans="2:82" ht="34.5" customHeight="1">
      <c r="B23" s="758"/>
      <c r="C23" s="762">
        <v>14</v>
      </c>
      <c r="D23" s="756"/>
      <c r="E23" s="757"/>
      <c r="F23" s="796" t="str">
        <f>IF(E23=0," ",VLOOKUP(E23,SISWA!$A$6:$C$55,3,FALSE))</f>
        <v xml:space="preserve"> </v>
      </c>
      <c r="G23" s="797" t="str">
        <f t="shared" si="0"/>
        <v xml:space="preserve"> </v>
      </c>
      <c r="H23" s="813"/>
      <c r="I23" s="824"/>
      <c r="J23" s="824"/>
      <c r="K23" s="824"/>
      <c r="L23" s="822" t="str">
        <f t="shared" si="16"/>
        <v xml:space="preserve"> </v>
      </c>
      <c r="M23" s="822" t="b">
        <f t="shared" si="17"/>
        <v>0</v>
      </c>
      <c r="N23" s="414" t="str">
        <f t="shared" si="18"/>
        <v xml:space="preserve"> </v>
      </c>
      <c r="O23" s="414" t="b">
        <f t="shared" si="1"/>
        <v>0</v>
      </c>
      <c r="P23" s="823"/>
      <c r="Q23" s="823"/>
      <c r="R23" s="823"/>
      <c r="S23" s="823"/>
      <c r="T23" s="823"/>
      <c r="U23" s="823"/>
      <c r="V23" s="823"/>
      <c r="W23" s="823"/>
      <c r="X23" s="823"/>
      <c r="Y23" s="823"/>
      <c r="Z23" s="823"/>
      <c r="AA23" s="823"/>
      <c r="AB23" s="823"/>
      <c r="AC23" s="823"/>
      <c r="AD23" s="823"/>
      <c r="AE23" s="823"/>
      <c r="AF23" s="823"/>
      <c r="AG23" s="823"/>
      <c r="AH23" s="823"/>
      <c r="AI23" s="823"/>
      <c r="AJ23" s="823"/>
      <c r="AK23" s="823"/>
      <c r="AL23" s="823"/>
      <c r="AM23" s="823"/>
      <c r="AN23" s="823"/>
      <c r="AO23" s="823"/>
      <c r="AP23" s="823"/>
      <c r="AQ23" s="823"/>
      <c r="AR23" s="823"/>
      <c r="AS23" s="823"/>
      <c r="AT23" s="823"/>
      <c r="AU23" s="823"/>
      <c r="AV23" s="823"/>
      <c r="AW23" s="823"/>
      <c r="AX23" s="823"/>
      <c r="AY23" s="823"/>
      <c r="AZ23" s="823"/>
      <c r="BA23" s="823"/>
      <c r="BB23" s="823"/>
      <c r="BC23" s="823"/>
      <c r="BD23" s="823"/>
      <c r="BE23" s="823"/>
      <c r="BF23" s="823"/>
      <c r="BG23" s="823"/>
      <c r="BH23" s="823"/>
      <c r="BI23" s="823"/>
      <c r="BJ23" s="823"/>
      <c r="BK23" s="823"/>
      <c r="BL23" s="823"/>
      <c r="BM23" s="823"/>
      <c r="BO23" s="408">
        <v>14</v>
      </c>
      <c r="BP23" s="799" t="str">
        <f>SISWA!C19</f>
        <v>Anak 14</v>
      </c>
      <c r="BQ23" s="408">
        <f t="shared" si="2"/>
        <v>0</v>
      </c>
      <c r="BR23" s="408">
        <f t="shared" si="3"/>
        <v>0</v>
      </c>
      <c r="BS23" s="408">
        <f t="shared" si="4"/>
        <v>0</v>
      </c>
      <c r="BT23" s="408">
        <f t="shared" si="5"/>
        <v>0</v>
      </c>
      <c r="BU23" s="408">
        <f t="shared" si="6"/>
        <v>0</v>
      </c>
      <c r="BV23" s="408">
        <f t="shared" si="7"/>
        <v>0</v>
      </c>
      <c r="BW23" s="408">
        <f t="shared" si="8"/>
        <v>0</v>
      </c>
      <c r="BX23" s="408">
        <f t="shared" si="9"/>
        <v>0</v>
      </c>
      <c r="BY23" s="408">
        <f t="shared" si="10"/>
        <v>0</v>
      </c>
      <c r="BZ23" s="408">
        <f t="shared" si="11"/>
        <v>0</v>
      </c>
      <c r="CA23" s="408">
        <f t="shared" si="12"/>
        <v>0</v>
      </c>
      <c r="CB23" s="408">
        <f t="shared" si="13"/>
        <v>0</v>
      </c>
      <c r="CC23" s="408">
        <f t="shared" si="14"/>
        <v>0</v>
      </c>
      <c r="CD23" s="408">
        <f t="shared" si="15"/>
        <v>0</v>
      </c>
    </row>
    <row r="24" spans="2:82" ht="34.5" customHeight="1">
      <c r="B24" s="758"/>
      <c r="C24" s="762">
        <v>15</v>
      </c>
      <c r="D24" s="756"/>
      <c r="E24" s="757"/>
      <c r="F24" s="796" t="str">
        <f>IF(E24=0," ",VLOOKUP(E24,SISWA!$A$6:$C$55,3,FALSE))</f>
        <v xml:space="preserve"> </v>
      </c>
      <c r="G24" s="797" t="str">
        <f t="shared" si="0"/>
        <v xml:space="preserve"> </v>
      </c>
      <c r="H24" s="813"/>
      <c r="I24" s="824"/>
      <c r="J24" s="824"/>
      <c r="K24" s="824"/>
      <c r="L24" s="822" t="str">
        <f t="shared" si="16"/>
        <v xml:space="preserve"> </v>
      </c>
      <c r="M24" s="822" t="b">
        <f t="shared" si="17"/>
        <v>0</v>
      </c>
      <c r="N24" s="414" t="str">
        <f t="shared" si="18"/>
        <v xml:space="preserve"> </v>
      </c>
      <c r="O24" s="414" t="b">
        <f t="shared" si="1"/>
        <v>0</v>
      </c>
      <c r="P24" s="823"/>
      <c r="Q24" s="823"/>
      <c r="R24" s="823"/>
      <c r="S24" s="823"/>
      <c r="T24" s="823"/>
      <c r="U24" s="823"/>
      <c r="V24" s="823"/>
      <c r="W24" s="823"/>
      <c r="X24" s="823"/>
      <c r="Y24" s="823"/>
      <c r="Z24" s="823"/>
      <c r="AA24" s="823"/>
      <c r="AB24" s="823"/>
      <c r="AC24" s="823"/>
      <c r="AD24" s="823"/>
      <c r="AE24" s="823"/>
      <c r="AF24" s="823"/>
      <c r="AG24" s="823"/>
      <c r="AH24" s="823"/>
      <c r="AI24" s="823"/>
      <c r="AJ24" s="823"/>
      <c r="AK24" s="823"/>
      <c r="AL24" s="823"/>
      <c r="AM24" s="823"/>
      <c r="AN24" s="823"/>
      <c r="AO24" s="823"/>
      <c r="AP24" s="823"/>
      <c r="AQ24" s="823"/>
      <c r="AR24" s="823"/>
      <c r="AS24" s="823"/>
      <c r="AT24" s="823"/>
      <c r="AU24" s="823"/>
      <c r="AV24" s="823"/>
      <c r="AW24" s="823"/>
      <c r="AX24" s="823"/>
      <c r="AY24" s="823"/>
      <c r="AZ24" s="823"/>
      <c r="BA24" s="823"/>
      <c r="BB24" s="823"/>
      <c r="BC24" s="823"/>
      <c r="BD24" s="823"/>
      <c r="BE24" s="823"/>
      <c r="BF24" s="823"/>
      <c r="BG24" s="823"/>
      <c r="BH24" s="823"/>
      <c r="BI24" s="823"/>
      <c r="BJ24" s="823"/>
      <c r="BK24" s="823"/>
      <c r="BL24" s="823"/>
      <c r="BM24" s="823"/>
      <c r="BO24" s="408">
        <v>15</v>
      </c>
      <c r="BP24" s="799" t="str">
        <f>SISWA!C20</f>
        <v>Anak 15</v>
      </c>
      <c r="BQ24" s="408">
        <f t="shared" si="2"/>
        <v>0</v>
      </c>
      <c r="BR24" s="408">
        <f t="shared" si="3"/>
        <v>0</v>
      </c>
      <c r="BS24" s="408">
        <f t="shared" si="4"/>
        <v>0</v>
      </c>
      <c r="BT24" s="408">
        <f t="shared" si="5"/>
        <v>0</v>
      </c>
      <c r="BU24" s="408">
        <f t="shared" si="6"/>
        <v>0</v>
      </c>
      <c r="BV24" s="408">
        <f t="shared" si="7"/>
        <v>0</v>
      </c>
      <c r="BW24" s="408">
        <f t="shared" si="8"/>
        <v>0</v>
      </c>
      <c r="BX24" s="408">
        <f t="shared" si="9"/>
        <v>0</v>
      </c>
      <c r="BY24" s="408">
        <f t="shared" si="10"/>
        <v>0</v>
      </c>
      <c r="BZ24" s="408">
        <f t="shared" si="11"/>
        <v>0</v>
      </c>
      <c r="CA24" s="408">
        <f t="shared" si="12"/>
        <v>0</v>
      </c>
      <c r="CB24" s="408">
        <f t="shared" si="13"/>
        <v>0</v>
      </c>
      <c r="CC24" s="408">
        <f t="shared" si="14"/>
        <v>0</v>
      </c>
      <c r="CD24" s="408">
        <f t="shared" si="15"/>
        <v>0</v>
      </c>
    </row>
    <row r="25" spans="2:82" ht="34.5" customHeight="1">
      <c r="B25" s="758"/>
      <c r="C25" s="762">
        <v>16</v>
      </c>
      <c r="D25" s="756"/>
      <c r="E25" s="757"/>
      <c r="F25" s="796" t="str">
        <f>IF(E25=0," ",VLOOKUP(E25,SISWA!$A$6:$C$55,3,FALSE))</f>
        <v xml:space="preserve"> </v>
      </c>
      <c r="G25" s="797" t="str">
        <f t="shared" si="0"/>
        <v xml:space="preserve"> </v>
      </c>
      <c r="H25" s="813"/>
      <c r="I25" s="824"/>
      <c r="J25" s="824"/>
      <c r="K25" s="824"/>
      <c r="L25" s="822" t="str">
        <f t="shared" si="16"/>
        <v xml:space="preserve"> </v>
      </c>
      <c r="M25" s="822" t="b">
        <f t="shared" si="17"/>
        <v>0</v>
      </c>
      <c r="N25" s="414" t="str">
        <f t="shared" si="18"/>
        <v xml:space="preserve"> </v>
      </c>
      <c r="O25" s="414" t="b">
        <f t="shared" si="1"/>
        <v>0</v>
      </c>
      <c r="P25" s="823"/>
      <c r="Q25" s="823"/>
      <c r="R25" s="823"/>
      <c r="S25" s="823"/>
      <c r="T25" s="823"/>
      <c r="U25" s="823"/>
      <c r="V25" s="823"/>
      <c r="W25" s="823"/>
      <c r="X25" s="823"/>
      <c r="Y25" s="823"/>
      <c r="Z25" s="823"/>
      <c r="AA25" s="823"/>
      <c r="AB25" s="823"/>
      <c r="AC25" s="823"/>
      <c r="AD25" s="823"/>
      <c r="AE25" s="823"/>
      <c r="AF25" s="823"/>
      <c r="AG25" s="823"/>
      <c r="AH25" s="823"/>
      <c r="AI25" s="823"/>
      <c r="AJ25" s="823"/>
      <c r="AK25" s="823"/>
      <c r="AL25" s="823"/>
      <c r="AM25" s="823"/>
      <c r="AN25" s="823"/>
      <c r="AO25" s="823"/>
      <c r="AP25" s="823"/>
      <c r="AQ25" s="823"/>
      <c r="AR25" s="823"/>
      <c r="AS25" s="823"/>
      <c r="AT25" s="823"/>
      <c r="AU25" s="823"/>
      <c r="AV25" s="823"/>
      <c r="AW25" s="823"/>
      <c r="AX25" s="823"/>
      <c r="AY25" s="823"/>
      <c r="AZ25" s="823"/>
      <c r="BA25" s="823"/>
      <c r="BB25" s="823"/>
      <c r="BC25" s="823"/>
      <c r="BD25" s="823"/>
      <c r="BE25" s="823"/>
      <c r="BF25" s="823"/>
      <c r="BG25" s="823"/>
      <c r="BH25" s="823"/>
      <c r="BI25" s="823"/>
      <c r="BJ25" s="823"/>
      <c r="BK25" s="823"/>
      <c r="BL25" s="823"/>
      <c r="BM25" s="823"/>
      <c r="BO25" s="408">
        <v>16</v>
      </c>
      <c r="BP25" s="799" t="str">
        <f>SISWA!C21</f>
        <v>Anak 16</v>
      </c>
      <c r="BQ25" s="408">
        <f t="shared" si="2"/>
        <v>0</v>
      </c>
      <c r="BR25" s="408">
        <f t="shared" si="3"/>
        <v>0</v>
      </c>
      <c r="BS25" s="408">
        <f t="shared" si="4"/>
        <v>0</v>
      </c>
      <c r="BT25" s="408">
        <f t="shared" si="5"/>
        <v>0</v>
      </c>
      <c r="BU25" s="408">
        <f t="shared" si="6"/>
        <v>0</v>
      </c>
      <c r="BV25" s="408">
        <f t="shared" si="7"/>
        <v>0</v>
      </c>
      <c r="BW25" s="408">
        <f t="shared" si="8"/>
        <v>0</v>
      </c>
      <c r="BX25" s="408">
        <f t="shared" si="9"/>
        <v>0</v>
      </c>
      <c r="BY25" s="408">
        <f t="shared" si="10"/>
        <v>0</v>
      </c>
      <c r="BZ25" s="408">
        <f t="shared" si="11"/>
        <v>0</v>
      </c>
      <c r="CA25" s="408">
        <f t="shared" si="12"/>
        <v>0</v>
      </c>
      <c r="CB25" s="408">
        <f t="shared" si="13"/>
        <v>0</v>
      </c>
      <c r="CC25" s="408">
        <f t="shared" si="14"/>
        <v>0</v>
      </c>
      <c r="CD25" s="408">
        <f t="shared" si="15"/>
        <v>0</v>
      </c>
    </row>
    <row r="26" spans="2:82" ht="34.5" customHeight="1">
      <c r="B26" s="758"/>
      <c r="C26" s="762">
        <v>17</v>
      </c>
      <c r="D26" s="756"/>
      <c r="E26" s="757"/>
      <c r="F26" s="796" t="str">
        <f>IF(E26=0," ",VLOOKUP(E26,SISWA!$A$6:$C$55,3,FALSE))</f>
        <v xml:space="preserve"> </v>
      </c>
      <c r="G26" s="797" t="str">
        <f t="shared" si="0"/>
        <v xml:space="preserve"> </v>
      </c>
      <c r="H26" s="813"/>
      <c r="I26" s="824"/>
      <c r="J26" s="824"/>
      <c r="K26" s="824"/>
      <c r="L26" s="822" t="str">
        <f t="shared" si="16"/>
        <v xml:space="preserve"> </v>
      </c>
      <c r="M26" s="822" t="b">
        <f t="shared" si="17"/>
        <v>0</v>
      </c>
      <c r="N26" s="414" t="str">
        <f t="shared" si="18"/>
        <v xml:space="preserve"> </v>
      </c>
      <c r="O26" s="414" t="b">
        <f t="shared" si="1"/>
        <v>0</v>
      </c>
      <c r="P26" s="823"/>
      <c r="Q26" s="823"/>
      <c r="R26" s="823"/>
      <c r="S26" s="823"/>
      <c r="T26" s="823"/>
      <c r="U26" s="823"/>
      <c r="V26" s="823"/>
      <c r="W26" s="823"/>
      <c r="X26" s="823"/>
      <c r="Y26" s="823"/>
      <c r="Z26" s="823"/>
      <c r="AA26" s="823"/>
      <c r="AB26" s="823"/>
      <c r="AC26" s="823"/>
      <c r="AD26" s="823"/>
      <c r="AE26" s="823"/>
      <c r="AF26" s="823"/>
      <c r="AG26" s="823"/>
      <c r="AH26" s="823"/>
      <c r="AI26" s="823"/>
      <c r="AJ26" s="823"/>
      <c r="AK26" s="823"/>
      <c r="AL26" s="823"/>
      <c r="AM26" s="823"/>
      <c r="AN26" s="823"/>
      <c r="AO26" s="823"/>
      <c r="AP26" s="823"/>
      <c r="AQ26" s="823"/>
      <c r="AR26" s="823"/>
      <c r="AS26" s="823"/>
      <c r="AT26" s="823"/>
      <c r="AU26" s="823"/>
      <c r="AV26" s="823"/>
      <c r="AW26" s="823"/>
      <c r="AX26" s="823"/>
      <c r="AY26" s="823"/>
      <c r="AZ26" s="823"/>
      <c r="BA26" s="823"/>
      <c r="BB26" s="823"/>
      <c r="BC26" s="823"/>
      <c r="BD26" s="823"/>
      <c r="BE26" s="823"/>
      <c r="BF26" s="823"/>
      <c r="BG26" s="823"/>
      <c r="BH26" s="823"/>
      <c r="BI26" s="823"/>
      <c r="BJ26" s="823"/>
      <c r="BK26" s="823"/>
      <c r="BL26" s="823"/>
      <c r="BM26" s="823"/>
      <c r="BO26" s="408">
        <v>17</v>
      </c>
      <c r="BP26" s="799" t="str">
        <f>SISWA!C22</f>
        <v>Anak 17</v>
      </c>
      <c r="BQ26" s="408">
        <f t="shared" si="2"/>
        <v>0</v>
      </c>
      <c r="BR26" s="408">
        <f t="shared" si="3"/>
        <v>0</v>
      </c>
      <c r="BS26" s="408">
        <f t="shared" si="4"/>
        <v>0</v>
      </c>
      <c r="BT26" s="408">
        <f t="shared" si="5"/>
        <v>0</v>
      </c>
      <c r="BU26" s="408">
        <f t="shared" si="6"/>
        <v>0</v>
      </c>
      <c r="BV26" s="408">
        <f t="shared" si="7"/>
        <v>0</v>
      </c>
      <c r="BW26" s="408">
        <f t="shared" si="8"/>
        <v>0</v>
      </c>
      <c r="BX26" s="408">
        <f t="shared" si="9"/>
        <v>0</v>
      </c>
      <c r="BY26" s="408">
        <f t="shared" si="10"/>
        <v>0</v>
      </c>
      <c r="BZ26" s="408">
        <f t="shared" si="11"/>
        <v>0</v>
      </c>
      <c r="CA26" s="408">
        <f t="shared" si="12"/>
        <v>0</v>
      </c>
      <c r="CB26" s="408">
        <f t="shared" si="13"/>
        <v>0</v>
      </c>
      <c r="CC26" s="408">
        <f t="shared" si="14"/>
        <v>0</v>
      </c>
      <c r="CD26" s="408">
        <f t="shared" si="15"/>
        <v>0</v>
      </c>
    </row>
    <row r="27" spans="2:82" ht="34.5" customHeight="1">
      <c r="B27" s="758"/>
      <c r="C27" s="762">
        <v>18</v>
      </c>
      <c r="D27" s="756"/>
      <c r="E27" s="757"/>
      <c r="F27" s="796" t="str">
        <f>IF(E27=0," ",VLOOKUP(E27,SISWA!$A$6:$C$55,3,FALSE))</f>
        <v xml:space="preserve"> </v>
      </c>
      <c r="G27" s="797" t="str">
        <f t="shared" si="0"/>
        <v xml:space="preserve"> </v>
      </c>
      <c r="H27" s="813"/>
      <c r="I27" s="824"/>
      <c r="J27" s="824"/>
      <c r="K27" s="824"/>
      <c r="L27" s="822" t="str">
        <f t="shared" si="16"/>
        <v xml:space="preserve"> </v>
      </c>
      <c r="M27" s="822" t="b">
        <f t="shared" si="17"/>
        <v>0</v>
      </c>
      <c r="N27" s="414" t="str">
        <f t="shared" si="18"/>
        <v xml:space="preserve"> </v>
      </c>
      <c r="O27" s="414" t="b">
        <f t="shared" si="1"/>
        <v>0</v>
      </c>
      <c r="P27" s="823"/>
      <c r="Q27" s="823"/>
      <c r="R27" s="823"/>
      <c r="S27" s="823"/>
      <c r="T27" s="823"/>
      <c r="U27" s="823"/>
      <c r="V27" s="823"/>
      <c r="W27" s="823"/>
      <c r="X27" s="823"/>
      <c r="Y27" s="823"/>
      <c r="Z27" s="823"/>
      <c r="AA27" s="823"/>
      <c r="AB27" s="823"/>
      <c r="AC27" s="823"/>
      <c r="AD27" s="823"/>
      <c r="AE27" s="823"/>
      <c r="AF27" s="823"/>
      <c r="AG27" s="823"/>
      <c r="AH27" s="823"/>
      <c r="AI27" s="823"/>
      <c r="AJ27" s="823"/>
      <c r="AK27" s="823"/>
      <c r="AL27" s="823"/>
      <c r="AM27" s="823"/>
      <c r="AN27" s="823"/>
      <c r="AO27" s="823"/>
      <c r="AP27" s="823"/>
      <c r="AQ27" s="823"/>
      <c r="AR27" s="823"/>
      <c r="AS27" s="823"/>
      <c r="AT27" s="823"/>
      <c r="AU27" s="823"/>
      <c r="AV27" s="823"/>
      <c r="AW27" s="823"/>
      <c r="AX27" s="823"/>
      <c r="AY27" s="823"/>
      <c r="AZ27" s="823"/>
      <c r="BA27" s="823"/>
      <c r="BB27" s="823"/>
      <c r="BC27" s="823"/>
      <c r="BD27" s="823"/>
      <c r="BE27" s="823"/>
      <c r="BF27" s="823"/>
      <c r="BG27" s="823"/>
      <c r="BH27" s="823"/>
      <c r="BI27" s="823"/>
      <c r="BJ27" s="823"/>
      <c r="BK27" s="823"/>
      <c r="BL27" s="823"/>
      <c r="BM27" s="823"/>
      <c r="BO27" s="408">
        <v>18</v>
      </c>
      <c r="BP27" s="799" t="str">
        <f>SISWA!C23</f>
        <v>Anak 18</v>
      </c>
      <c r="BQ27" s="408">
        <f t="shared" si="2"/>
        <v>0</v>
      </c>
      <c r="BR27" s="408">
        <f t="shared" si="3"/>
        <v>0</v>
      </c>
      <c r="BS27" s="408">
        <f t="shared" si="4"/>
        <v>0</v>
      </c>
      <c r="BT27" s="408">
        <f t="shared" si="5"/>
        <v>0</v>
      </c>
      <c r="BU27" s="408">
        <f t="shared" si="6"/>
        <v>0</v>
      </c>
      <c r="BV27" s="408">
        <f t="shared" si="7"/>
        <v>0</v>
      </c>
      <c r="BW27" s="408">
        <f t="shared" si="8"/>
        <v>0</v>
      </c>
      <c r="BX27" s="408">
        <f t="shared" si="9"/>
        <v>0</v>
      </c>
      <c r="BY27" s="408">
        <f t="shared" si="10"/>
        <v>0</v>
      </c>
      <c r="BZ27" s="408">
        <f t="shared" si="11"/>
        <v>0</v>
      </c>
      <c r="CA27" s="408">
        <f t="shared" si="12"/>
        <v>0</v>
      </c>
      <c r="CB27" s="408">
        <f t="shared" si="13"/>
        <v>0</v>
      </c>
      <c r="CC27" s="408">
        <f t="shared" si="14"/>
        <v>0</v>
      </c>
      <c r="CD27" s="408">
        <f t="shared" si="15"/>
        <v>0</v>
      </c>
    </row>
    <row r="28" spans="2:82" ht="34.5" customHeight="1">
      <c r="B28" s="758"/>
      <c r="C28" s="762">
        <v>19</v>
      </c>
      <c r="D28" s="756"/>
      <c r="E28" s="757"/>
      <c r="F28" s="796" t="str">
        <f>IF(E28=0," ",VLOOKUP(E28,SISWA!$A$6:$C$55,3,FALSE))</f>
        <v xml:space="preserve"> </v>
      </c>
      <c r="G28" s="797" t="str">
        <f t="shared" si="0"/>
        <v xml:space="preserve"> </v>
      </c>
      <c r="H28" s="813"/>
      <c r="I28" s="824"/>
      <c r="J28" s="824"/>
      <c r="K28" s="824"/>
      <c r="L28" s="822" t="str">
        <f t="shared" si="16"/>
        <v xml:space="preserve"> </v>
      </c>
      <c r="M28" s="822" t="b">
        <f t="shared" si="17"/>
        <v>0</v>
      </c>
      <c r="N28" s="414" t="str">
        <f t="shared" si="18"/>
        <v xml:space="preserve"> </v>
      </c>
      <c r="O28" s="414" t="b">
        <f t="shared" si="1"/>
        <v>0</v>
      </c>
      <c r="P28" s="823"/>
      <c r="Q28" s="823"/>
      <c r="R28" s="823"/>
      <c r="S28" s="823"/>
      <c r="T28" s="823"/>
      <c r="U28" s="823"/>
      <c r="V28" s="823"/>
      <c r="W28" s="823"/>
      <c r="X28" s="823"/>
      <c r="Y28" s="823"/>
      <c r="Z28" s="823"/>
      <c r="AA28" s="823"/>
      <c r="AB28" s="823"/>
      <c r="AC28" s="823"/>
      <c r="AD28" s="823"/>
      <c r="AE28" s="823"/>
      <c r="AF28" s="823"/>
      <c r="AG28" s="823"/>
      <c r="AH28" s="823"/>
      <c r="AI28" s="823"/>
      <c r="AJ28" s="823"/>
      <c r="AK28" s="823"/>
      <c r="AL28" s="823"/>
      <c r="AM28" s="823"/>
      <c r="AN28" s="823"/>
      <c r="AO28" s="823"/>
      <c r="AP28" s="823"/>
      <c r="AQ28" s="823"/>
      <c r="AR28" s="823"/>
      <c r="AS28" s="823"/>
      <c r="AT28" s="823"/>
      <c r="AU28" s="823"/>
      <c r="AV28" s="823"/>
      <c r="AW28" s="823"/>
      <c r="AX28" s="823"/>
      <c r="AY28" s="823"/>
      <c r="AZ28" s="823"/>
      <c r="BA28" s="823"/>
      <c r="BB28" s="823"/>
      <c r="BC28" s="823"/>
      <c r="BD28" s="823"/>
      <c r="BE28" s="823"/>
      <c r="BF28" s="823"/>
      <c r="BG28" s="823"/>
      <c r="BH28" s="823"/>
      <c r="BI28" s="823"/>
      <c r="BJ28" s="823"/>
      <c r="BK28" s="823"/>
      <c r="BL28" s="823"/>
      <c r="BM28" s="823"/>
      <c r="BO28" s="408">
        <v>19</v>
      </c>
      <c r="BP28" s="799" t="str">
        <f>SISWA!C24</f>
        <v>Anak 19</v>
      </c>
      <c r="BQ28" s="408">
        <f t="shared" si="2"/>
        <v>0</v>
      </c>
      <c r="BR28" s="408">
        <f t="shared" si="3"/>
        <v>0</v>
      </c>
      <c r="BS28" s="408">
        <f t="shared" si="4"/>
        <v>0</v>
      </c>
      <c r="BT28" s="408">
        <f t="shared" si="5"/>
        <v>0</v>
      </c>
      <c r="BU28" s="408">
        <f t="shared" si="6"/>
        <v>0</v>
      </c>
      <c r="BV28" s="408">
        <f t="shared" si="7"/>
        <v>0</v>
      </c>
      <c r="BW28" s="408">
        <f t="shared" si="8"/>
        <v>0</v>
      </c>
      <c r="BX28" s="408">
        <f t="shared" si="9"/>
        <v>0</v>
      </c>
      <c r="BY28" s="408">
        <f t="shared" si="10"/>
        <v>0</v>
      </c>
      <c r="BZ28" s="408">
        <f t="shared" si="11"/>
        <v>0</v>
      </c>
      <c r="CA28" s="408">
        <f t="shared" si="12"/>
        <v>0</v>
      </c>
      <c r="CB28" s="408">
        <f t="shared" si="13"/>
        <v>0</v>
      </c>
      <c r="CC28" s="408">
        <f t="shared" si="14"/>
        <v>0</v>
      </c>
      <c r="CD28" s="408">
        <f t="shared" si="15"/>
        <v>0</v>
      </c>
    </row>
    <row r="29" spans="2:82" ht="34.5" customHeight="1">
      <c r="B29" s="758"/>
      <c r="C29" s="762">
        <v>20</v>
      </c>
      <c r="D29" s="756"/>
      <c r="E29" s="757"/>
      <c r="F29" s="796" t="str">
        <f>IF(E29=0," ",VLOOKUP(E29,SISWA!$A$6:$C$55,3,FALSE))</f>
        <v xml:space="preserve"> </v>
      </c>
      <c r="G29" s="797" t="str">
        <f t="shared" si="0"/>
        <v xml:space="preserve"> </v>
      </c>
      <c r="H29" s="813"/>
      <c r="I29" s="824"/>
      <c r="J29" s="824"/>
      <c r="K29" s="824"/>
      <c r="L29" s="822" t="str">
        <f t="shared" si="16"/>
        <v xml:space="preserve"> </v>
      </c>
      <c r="M29" s="822" t="b">
        <f t="shared" si="17"/>
        <v>0</v>
      </c>
      <c r="N29" s="414" t="str">
        <f t="shared" si="18"/>
        <v xml:space="preserve"> </v>
      </c>
      <c r="O29" s="414" t="b">
        <f t="shared" si="1"/>
        <v>0</v>
      </c>
      <c r="P29" s="823"/>
      <c r="Q29" s="823"/>
      <c r="R29" s="823"/>
      <c r="S29" s="823"/>
      <c r="T29" s="823"/>
      <c r="U29" s="823"/>
      <c r="V29" s="823"/>
      <c r="W29" s="823"/>
      <c r="X29" s="823"/>
      <c r="Y29" s="823"/>
      <c r="Z29" s="823"/>
      <c r="AA29" s="823"/>
      <c r="AB29" s="823"/>
      <c r="AC29" s="823"/>
      <c r="AD29" s="823"/>
      <c r="AE29" s="823"/>
      <c r="AF29" s="823"/>
      <c r="AG29" s="823"/>
      <c r="AH29" s="823"/>
      <c r="AI29" s="823"/>
      <c r="AJ29" s="823"/>
      <c r="AK29" s="823"/>
      <c r="AL29" s="823"/>
      <c r="AM29" s="823"/>
      <c r="AN29" s="823"/>
      <c r="AO29" s="823"/>
      <c r="AP29" s="823"/>
      <c r="AQ29" s="823"/>
      <c r="AR29" s="823"/>
      <c r="AS29" s="823"/>
      <c r="AT29" s="823"/>
      <c r="AU29" s="823"/>
      <c r="AV29" s="823"/>
      <c r="AW29" s="823"/>
      <c r="AX29" s="823"/>
      <c r="AY29" s="823"/>
      <c r="AZ29" s="823"/>
      <c r="BA29" s="823"/>
      <c r="BB29" s="823"/>
      <c r="BC29" s="823"/>
      <c r="BD29" s="823"/>
      <c r="BE29" s="823"/>
      <c r="BF29" s="823"/>
      <c r="BG29" s="823"/>
      <c r="BH29" s="823"/>
      <c r="BI29" s="823"/>
      <c r="BJ29" s="823"/>
      <c r="BK29" s="823"/>
      <c r="BL29" s="823"/>
      <c r="BM29" s="823"/>
      <c r="BO29" s="408">
        <v>20</v>
      </c>
      <c r="BP29" s="799" t="str">
        <f>SISWA!C25</f>
        <v>Anak 20</v>
      </c>
      <c r="BQ29" s="408">
        <f t="shared" si="2"/>
        <v>0</v>
      </c>
      <c r="BR29" s="408">
        <f t="shared" si="3"/>
        <v>0</v>
      </c>
      <c r="BS29" s="408">
        <f t="shared" si="4"/>
        <v>0</v>
      </c>
      <c r="BT29" s="408">
        <f t="shared" si="5"/>
        <v>0</v>
      </c>
      <c r="BU29" s="408">
        <f t="shared" si="6"/>
        <v>0</v>
      </c>
      <c r="BV29" s="408">
        <f t="shared" si="7"/>
        <v>0</v>
      </c>
      <c r="BW29" s="408">
        <f t="shared" si="8"/>
        <v>0</v>
      </c>
      <c r="BX29" s="408">
        <f t="shared" si="9"/>
        <v>0</v>
      </c>
      <c r="BY29" s="408">
        <f t="shared" si="10"/>
        <v>0</v>
      </c>
      <c r="BZ29" s="408">
        <f t="shared" si="11"/>
        <v>0</v>
      </c>
      <c r="CA29" s="408">
        <f t="shared" si="12"/>
        <v>0</v>
      </c>
      <c r="CB29" s="408">
        <f t="shared" si="13"/>
        <v>0</v>
      </c>
      <c r="CC29" s="408">
        <f t="shared" si="14"/>
        <v>0</v>
      </c>
      <c r="CD29" s="408">
        <f t="shared" si="15"/>
        <v>0</v>
      </c>
    </row>
    <row r="30" spans="2:82" ht="34.5" customHeight="1">
      <c r="B30" s="758"/>
      <c r="C30" s="762">
        <v>21</v>
      </c>
      <c r="D30" s="756"/>
      <c r="E30" s="757"/>
      <c r="F30" s="796" t="str">
        <f>IF(E30=0," ",VLOOKUP(E30,SISWA!$A$6:$C$55,3,FALSE))</f>
        <v xml:space="preserve"> </v>
      </c>
      <c r="G30" s="797" t="str">
        <f t="shared" si="0"/>
        <v xml:space="preserve"> </v>
      </c>
      <c r="H30" s="813"/>
      <c r="I30" s="824"/>
      <c r="J30" s="824"/>
      <c r="K30" s="824"/>
      <c r="L30" s="822" t="str">
        <f t="shared" si="16"/>
        <v xml:space="preserve"> </v>
      </c>
      <c r="M30" s="822" t="b">
        <f t="shared" si="17"/>
        <v>0</v>
      </c>
      <c r="N30" s="414" t="str">
        <f t="shared" si="18"/>
        <v xml:space="preserve"> </v>
      </c>
      <c r="O30" s="414" t="b">
        <f t="shared" si="1"/>
        <v>0</v>
      </c>
      <c r="P30" s="823"/>
      <c r="Q30" s="823"/>
      <c r="R30" s="823"/>
      <c r="S30" s="823"/>
      <c r="T30" s="823"/>
      <c r="U30" s="823"/>
      <c r="V30" s="823"/>
      <c r="W30" s="823"/>
      <c r="X30" s="823"/>
      <c r="Y30" s="823"/>
      <c r="Z30" s="823"/>
      <c r="AA30" s="823"/>
      <c r="AB30" s="823"/>
      <c r="AC30" s="823"/>
      <c r="AD30" s="823"/>
      <c r="AE30" s="823"/>
      <c r="AF30" s="823"/>
      <c r="AG30" s="823"/>
      <c r="AH30" s="823"/>
      <c r="AI30" s="823"/>
      <c r="AJ30" s="823"/>
      <c r="AK30" s="823"/>
      <c r="AL30" s="823"/>
      <c r="AM30" s="823"/>
      <c r="AN30" s="823"/>
      <c r="AO30" s="823"/>
      <c r="AP30" s="823"/>
      <c r="AQ30" s="823"/>
      <c r="AR30" s="823"/>
      <c r="AS30" s="823"/>
      <c r="AT30" s="823"/>
      <c r="AU30" s="823"/>
      <c r="AV30" s="823"/>
      <c r="AW30" s="823"/>
      <c r="AX30" s="823"/>
      <c r="AY30" s="823"/>
      <c r="AZ30" s="823"/>
      <c r="BA30" s="823"/>
      <c r="BB30" s="823"/>
      <c r="BC30" s="823"/>
      <c r="BD30" s="823"/>
      <c r="BE30" s="823"/>
      <c r="BF30" s="823"/>
      <c r="BG30" s="823"/>
      <c r="BH30" s="823"/>
      <c r="BI30" s="823"/>
      <c r="BJ30" s="823"/>
      <c r="BK30" s="823"/>
      <c r="BL30" s="823"/>
      <c r="BM30" s="823"/>
      <c r="BO30" s="408">
        <v>21</v>
      </c>
      <c r="BP30" s="799" t="str">
        <f>SISWA!C26</f>
        <v>Anak 21</v>
      </c>
      <c r="BQ30" s="408">
        <f t="shared" si="2"/>
        <v>0</v>
      </c>
      <c r="BR30" s="408">
        <f t="shared" si="3"/>
        <v>0</v>
      </c>
      <c r="BS30" s="408">
        <f t="shared" si="4"/>
        <v>0</v>
      </c>
      <c r="BT30" s="408">
        <f t="shared" si="5"/>
        <v>0</v>
      </c>
      <c r="BU30" s="408">
        <f t="shared" si="6"/>
        <v>0</v>
      </c>
      <c r="BV30" s="408">
        <f t="shared" si="7"/>
        <v>0</v>
      </c>
      <c r="BW30" s="408">
        <f t="shared" si="8"/>
        <v>0</v>
      </c>
      <c r="BX30" s="408">
        <f t="shared" si="9"/>
        <v>0</v>
      </c>
      <c r="BY30" s="408">
        <f t="shared" si="10"/>
        <v>0</v>
      </c>
      <c r="BZ30" s="408">
        <f t="shared" si="11"/>
        <v>0</v>
      </c>
      <c r="CA30" s="408">
        <f t="shared" si="12"/>
        <v>0</v>
      </c>
      <c r="CB30" s="408">
        <f t="shared" si="13"/>
        <v>0</v>
      </c>
      <c r="CC30" s="408">
        <f t="shared" si="14"/>
        <v>0</v>
      </c>
      <c r="CD30" s="408">
        <f t="shared" si="15"/>
        <v>0</v>
      </c>
    </row>
    <row r="31" spans="2:82" ht="34.5" customHeight="1">
      <c r="B31" s="758"/>
      <c r="C31" s="762">
        <v>22</v>
      </c>
      <c r="D31" s="756"/>
      <c r="E31" s="757"/>
      <c r="F31" s="796" t="str">
        <f>IF(E31=0," ",VLOOKUP(E31,SISWA!$A$6:$C$55,3,FALSE))</f>
        <v xml:space="preserve"> </v>
      </c>
      <c r="G31" s="797" t="str">
        <f t="shared" si="0"/>
        <v xml:space="preserve"> </v>
      </c>
      <c r="H31" s="813"/>
      <c r="I31" s="824"/>
      <c r="J31" s="824"/>
      <c r="K31" s="824"/>
      <c r="L31" s="822" t="str">
        <f t="shared" si="16"/>
        <v xml:space="preserve"> </v>
      </c>
      <c r="M31" s="822" t="b">
        <f t="shared" si="17"/>
        <v>0</v>
      </c>
      <c r="N31" s="414" t="str">
        <f t="shared" si="18"/>
        <v xml:space="preserve"> </v>
      </c>
      <c r="O31" s="414" t="b">
        <f t="shared" si="1"/>
        <v>0</v>
      </c>
      <c r="P31" s="823"/>
      <c r="Q31" s="823"/>
      <c r="R31" s="823"/>
      <c r="S31" s="823"/>
      <c r="T31" s="823"/>
      <c r="U31" s="823"/>
      <c r="V31" s="823"/>
      <c r="W31" s="823"/>
      <c r="X31" s="823"/>
      <c r="Y31" s="823"/>
      <c r="Z31" s="823"/>
      <c r="AA31" s="823"/>
      <c r="AB31" s="823"/>
      <c r="AC31" s="823"/>
      <c r="AD31" s="823"/>
      <c r="AE31" s="823"/>
      <c r="AF31" s="823"/>
      <c r="AG31" s="823"/>
      <c r="AH31" s="823"/>
      <c r="AI31" s="823"/>
      <c r="AJ31" s="823"/>
      <c r="AK31" s="823"/>
      <c r="AL31" s="823"/>
      <c r="AM31" s="823"/>
      <c r="AN31" s="823"/>
      <c r="AO31" s="823"/>
      <c r="AP31" s="823"/>
      <c r="AQ31" s="823"/>
      <c r="AR31" s="823"/>
      <c r="AS31" s="823"/>
      <c r="AT31" s="823"/>
      <c r="AU31" s="823"/>
      <c r="AV31" s="823"/>
      <c r="AW31" s="823"/>
      <c r="AX31" s="823"/>
      <c r="AY31" s="823"/>
      <c r="AZ31" s="823"/>
      <c r="BA31" s="823"/>
      <c r="BB31" s="823"/>
      <c r="BC31" s="823"/>
      <c r="BD31" s="823"/>
      <c r="BE31" s="823"/>
      <c r="BF31" s="823"/>
      <c r="BG31" s="823"/>
      <c r="BH31" s="823"/>
      <c r="BI31" s="823"/>
      <c r="BJ31" s="823"/>
      <c r="BK31" s="823"/>
      <c r="BL31" s="823"/>
      <c r="BM31" s="823"/>
      <c r="BO31" s="408">
        <v>22</v>
      </c>
      <c r="BP31" s="799" t="str">
        <f>SISWA!C27</f>
        <v>Anak 22</v>
      </c>
      <c r="BQ31" s="408">
        <f t="shared" si="2"/>
        <v>0</v>
      </c>
      <c r="BR31" s="408">
        <f t="shared" si="3"/>
        <v>0</v>
      </c>
      <c r="BS31" s="408">
        <f t="shared" si="4"/>
        <v>0</v>
      </c>
      <c r="BT31" s="408">
        <f t="shared" si="5"/>
        <v>0</v>
      </c>
      <c r="BU31" s="408">
        <f t="shared" si="6"/>
        <v>0</v>
      </c>
      <c r="BV31" s="408">
        <f t="shared" si="7"/>
        <v>0</v>
      </c>
      <c r="BW31" s="408">
        <f t="shared" si="8"/>
        <v>0</v>
      </c>
      <c r="BX31" s="408">
        <f t="shared" si="9"/>
        <v>0</v>
      </c>
      <c r="BY31" s="408">
        <f t="shared" si="10"/>
        <v>0</v>
      </c>
      <c r="BZ31" s="408">
        <f t="shared" si="11"/>
        <v>0</v>
      </c>
      <c r="CA31" s="408">
        <f t="shared" si="12"/>
        <v>0</v>
      </c>
      <c r="CB31" s="408">
        <f t="shared" si="13"/>
        <v>0</v>
      </c>
      <c r="CC31" s="408">
        <f t="shared" si="14"/>
        <v>0</v>
      </c>
      <c r="CD31" s="408">
        <f t="shared" si="15"/>
        <v>0</v>
      </c>
    </row>
    <row r="32" spans="2:82" ht="34.5" customHeight="1">
      <c r="B32" s="758"/>
      <c r="C32" s="762">
        <v>23</v>
      </c>
      <c r="D32" s="756"/>
      <c r="E32" s="757"/>
      <c r="F32" s="796" t="str">
        <f>IF(E32=0," ",VLOOKUP(E32,SISWA!$A$6:$C$55,3,FALSE))</f>
        <v xml:space="preserve"> </v>
      </c>
      <c r="G32" s="797" t="str">
        <f t="shared" si="0"/>
        <v xml:space="preserve"> </v>
      </c>
      <c r="H32" s="813"/>
      <c r="I32" s="824"/>
      <c r="J32" s="824"/>
      <c r="K32" s="824"/>
      <c r="L32" s="822" t="str">
        <f t="shared" si="16"/>
        <v xml:space="preserve"> </v>
      </c>
      <c r="M32" s="822" t="b">
        <f t="shared" si="17"/>
        <v>0</v>
      </c>
      <c r="N32" s="414" t="str">
        <f t="shared" si="18"/>
        <v xml:space="preserve"> </v>
      </c>
      <c r="O32" s="414" t="b">
        <f t="shared" si="1"/>
        <v>0</v>
      </c>
      <c r="P32" s="823"/>
      <c r="Q32" s="823"/>
      <c r="R32" s="823"/>
      <c r="S32" s="823"/>
      <c r="T32" s="823"/>
      <c r="U32" s="823"/>
      <c r="V32" s="823"/>
      <c r="W32" s="823"/>
      <c r="X32" s="823"/>
      <c r="Y32" s="823"/>
      <c r="Z32" s="823"/>
      <c r="AA32" s="823"/>
      <c r="AB32" s="823"/>
      <c r="AC32" s="823"/>
      <c r="AD32" s="823"/>
      <c r="AE32" s="823"/>
      <c r="AF32" s="823"/>
      <c r="AG32" s="823"/>
      <c r="AH32" s="823"/>
      <c r="AI32" s="823"/>
      <c r="AJ32" s="823"/>
      <c r="AK32" s="823"/>
      <c r="AL32" s="823"/>
      <c r="AM32" s="823"/>
      <c r="AN32" s="823"/>
      <c r="AO32" s="823"/>
      <c r="AP32" s="823"/>
      <c r="AQ32" s="823"/>
      <c r="AR32" s="823"/>
      <c r="AS32" s="823"/>
      <c r="AT32" s="823"/>
      <c r="AU32" s="823"/>
      <c r="AV32" s="823"/>
      <c r="AW32" s="823"/>
      <c r="AX32" s="823"/>
      <c r="AY32" s="823"/>
      <c r="AZ32" s="823"/>
      <c r="BA32" s="823"/>
      <c r="BB32" s="823"/>
      <c r="BC32" s="823"/>
      <c r="BD32" s="823"/>
      <c r="BE32" s="823"/>
      <c r="BF32" s="823"/>
      <c r="BG32" s="823"/>
      <c r="BH32" s="823"/>
      <c r="BI32" s="823"/>
      <c r="BJ32" s="823"/>
      <c r="BK32" s="823"/>
      <c r="BL32" s="823"/>
      <c r="BM32" s="823"/>
      <c r="BO32" s="408">
        <v>23</v>
      </c>
      <c r="BP32" s="799" t="str">
        <f>SISWA!C28</f>
        <v>Anak 23</v>
      </c>
      <c r="BQ32" s="408">
        <f t="shared" si="2"/>
        <v>0</v>
      </c>
      <c r="BR32" s="408">
        <f t="shared" si="3"/>
        <v>0</v>
      </c>
      <c r="BS32" s="408">
        <f t="shared" si="4"/>
        <v>0</v>
      </c>
      <c r="BT32" s="408">
        <f t="shared" si="5"/>
        <v>0</v>
      </c>
      <c r="BU32" s="408">
        <f t="shared" si="6"/>
        <v>0</v>
      </c>
      <c r="BV32" s="408">
        <f t="shared" si="7"/>
        <v>0</v>
      </c>
      <c r="BW32" s="408">
        <f t="shared" si="8"/>
        <v>0</v>
      </c>
      <c r="BX32" s="408">
        <f t="shared" si="9"/>
        <v>0</v>
      </c>
      <c r="BY32" s="408">
        <f t="shared" si="10"/>
        <v>0</v>
      </c>
      <c r="BZ32" s="408">
        <f t="shared" si="11"/>
        <v>0</v>
      </c>
      <c r="CA32" s="408">
        <f t="shared" si="12"/>
        <v>0</v>
      </c>
      <c r="CB32" s="408">
        <f t="shared" si="13"/>
        <v>0</v>
      </c>
      <c r="CC32" s="408">
        <f t="shared" si="14"/>
        <v>0</v>
      </c>
      <c r="CD32" s="408">
        <f t="shared" si="15"/>
        <v>0</v>
      </c>
    </row>
    <row r="33" spans="2:82" ht="34.5" customHeight="1">
      <c r="B33" s="758"/>
      <c r="C33" s="762">
        <v>24</v>
      </c>
      <c r="D33" s="756"/>
      <c r="E33" s="757"/>
      <c r="F33" s="796" t="str">
        <f>IF(E33=0," ",VLOOKUP(E33,SISWA!$A$6:$C$55,3,FALSE))</f>
        <v xml:space="preserve"> </v>
      </c>
      <c r="G33" s="797" t="str">
        <f t="shared" si="0"/>
        <v xml:space="preserve"> </v>
      </c>
      <c r="H33" s="813"/>
      <c r="I33" s="824"/>
      <c r="J33" s="824"/>
      <c r="K33" s="824"/>
      <c r="L33" s="822" t="str">
        <f t="shared" si="16"/>
        <v xml:space="preserve"> </v>
      </c>
      <c r="M33" s="822" t="b">
        <f t="shared" si="17"/>
        <v>0</v>
      </c>
      <c r="N33" s="414" t="str">
        <f t="shared" si="18"/>
        <v xml:space="preserve"> </v>
      </c>
      <c r="O33" s="414" t="b">
        <f t="shared" si="1"/>
        <v>0</v>
      </c>
      <c r="P33" s="823"/>
      <c r="Q33" s="823"/>
      <c r="R33" s="823"/>
      <c r="S33" s="823"/>
      <c r="T33" s="823"/>
      <c r="U33" s="823"/>
      <c r="V33" s="823"/>
      <c r="W33" s="823"/>
      <c r="X33" s="823"/>
      <c r="Y33" s="823"/>
      <c r="Z33" s="823"/>
      <c r="AA33" s="823"/>
      <c r="AB33" s="823"/>
      <c r="AC33" s="823"/>
      <c r="AD33" s="823"/>
      <c r="AE33" s="823"/>
      <c r="AF33" s="823"/>
      <c r="AG33" s="823"/>
      <c r="AH33" s="823"/>
      <c r="AI33" s="823"/>
      <c r="AJ33" s="823"/>
      <c r="AK33" s="823"/>
      <c r="AL33" s="823"/>
      <c r="AM33" s="823"/>
      <c r="AN33" s="823"/>
      <c r="AO33" s="823"/>
      <c r="AP33" s="823"/>
      <c r="AQ33" s="823"/>
      <c r="AR33" s="823"/>
      <c r="AS33" s="823"/>
      <c r="AT33" s="823"/>
      <c r="AU33" s="823"/>
      <c r="AV33" s="823"/>
      <c r="AW33" s="823"/>
      <c r="AX33" s="823"/>
      <c r="AY33" s="823"/>
      <c r="AZ33" s="823"/>
      <c r="BA33" s="823"/>
      <c r="BB33" s="823"/>
      <c r="BC33" s="823"/>
      <c r="BD33" s="823"/>
      <c r="BE33" s="823"/>
      <c r="BF33" s="823"/>
      <c r="BG33" s="823"/>
      <c r="BH33" s="823"/>
      <c r="BI33" s="823"/>
      <c r="BJ33" s="823"/>
      <c r="BK33" s="823"/>
      <c r="BL33" s="823"/>
      <c r="BM33" s="823"/>
      <c r="BO33" s="408">
        <v>24</v>
      </c>
      <c r="BP33" s="799" t="str">
        <f>SISWA!C29</f>
        <v>Anak 24</v>
      </c>
      <c r="BQ33" s="408">
        <f t="shared" si="2"/>
        <v>0</v>
      </c>
      <c r="BR33" s="408">
        <f t="shared" si="3"/>
        <v>0</v>
      </c>
      <c r="BS33" s="408">
        <f t="shared" si="4"/>
        <v>0</v>
      </c>
      <c r="BT33" s="408">
        <f t="shared" si="5"/>
        <v>0</v>
      </c>
      <c r="BU33" s="408">
        <f t="shared" si="6"/>
        <v>0</v>
      </c>
      <c r="BV33" s="408">
        <f t="shared" si="7"/>
        <v>0</v>
      </c>
      <c r="BW33" s="408">
        <f t="shared" si="8"/>
        <v>0</v>
      </c>
      <c r="BX33" s="408">
        <f t="shared" si="9"/>
        <v>0</v>
      </c>
      <c r="BY33" s="408">
        <f t="shared" si="10"/>
        <v>0</v>
      </c>
      <c r="BZ33" s="408">
        <f t="shared" si="11"/>
        <v>0</v>
      </c>
      <c r="CA33" s="408">
        <f t="shared" si="12"/>
        <v>0</v>
      </c>
      <c r="CB33" s="408">
        <f t="shared" si="13"/>
        <v>0</v>
      </c>
      <c r="CC33" s="408">
        <f t="shared" si="14"/>
        <v>0</v>
      </c>
      <c r="CD33" s="408">
        <f t="shared" si="15"/>
        <v>0</v>
      </c>
    </row>
    <row r="34" spans="2:82" ht="34.5" customHeight="1">
      <c r="B34" s="758"/>
      <c r="C34" s="762">
        <v>25</v>
      </c>
      <c r="D34" s="756"/>
      <c r="E34" s="757"/>
      <c r="F34" s="796" t="str">
        <f>IF(E34=0," ",VLOOKUP(E34,SISWA!$A$6:$C$55,3,FALSE))</f>
        <v xml:space="preserve"> </v>
      </c>
      <c r="G34" s="797" t="str">
        <f t="shared" si="0"/>
        <v xml:space="preserve"> </v>
      </c>
      <c r="H34" s="813"/>
      <c r="I34" s="824"/>
      <c r="J34" s="824"/>
      <c r="K34" s="824"/>
      <c r="L34" s="822" t="str">
        <f t="shared" si="16"/>
        <v xml:space="preserve"> </v>
      </c>
      <c r="M34" s="822" t="b">
        <f t="shared" si="17"/>
        <v>0</v>
      </c>
      <c r="N34" s="414" t="str">
        <f t="shared" si="18"/>
        <v xml:space="preserve"> </v>
      </c>
      <c r="O34" s="414" t="b">
        <f t="shared" si="1"/>
        <v>0</v>
      </c>
      <c r="P34" s="823"/>
      <c r="Q34" s="823"/>
      <c r="R34" s="823"/>
      <c r="S34" s="823"/>
      <c r="T34" s="823"/>
      <c r="U34" s="823"/>
      <c r="V34" s="823"/>
      <c r="W34" s="823"/>
      <c r="X34" s="823"/>
      <c r="Y34" s="823"/>
      <c r="Z34" s="823"/>
      <c r="AA34" s="823"/>
      <c r="AB34" s="823"/>
      <c r="AC34" s="823"/>
      <c r="AD34" s="823"/>
      <c r="AE34" s="823"/>
      <c r="AF34" s="823"/>
      <c r="AG34" s="823"/>
      <c r="AH34" s="823"/>
      <c r="AI34" s="823"/>
      <c r="AJ34" s="823"/>
      <c r="AK34" s="823"/>
      <c r="AL34" s="823"/>
      <c r="AM34" s="823"/>
      <c r="AN34" s="823"/>
      <c r="AO34" s="823"/>
      <c r="AP34" s="823"/>
      <c r="AQ34" s="823"/>
      <c r="AR34" s="823"/>
      <c r="AS34" s="823"/>
      <c r="AT34" s="823"/>
      <c r="AU34" s="823"/>
      <c r="AV34" s="823"/>
      <c r="AW34" s="823"/>
      <c r="AX34" s="823"/>
      <c r="AY34" s="823"/>
      <c r="AZ34" s="823"/>
      <c r="BA34" s="823"/>
      <c r="BB34" s="823"/>
      <c r="BC34" s="823"/>
      <c r="BD34" s="823"/>
      <c r="BE34" s="823"/>
      <c r="BF34" s="823"/>
      <c r="BG34" s="823"/>
      <c r="BH34" s="823"/>
      <c r="BI34" s="823"/>
      <c r="BJ34" s="823"/>
      <c r="BK34" s="823"/>
      <c r="BL34" s="823"/>
      <c r="BM34" s="823"/>
      <c r="BO34" s="408">
        <v>25</v>
      </c>
      <c r="BP34" s="799" t="str">
        <f>SISWA!C30</f>
        <v>Anak 25</v>
      </c>
      <c r="BQ34" s="408">
        <f t="shared" si="2"/>
        <v>0</v>
      </c>
      <c r="BR34" s="408">
        <f t="shared" si="3"/>
        <v>0</v>
      </c>
      <c r="BS34" s="408">
        <f t="shared" si="4"/>
        <v>0</v>
      </c>
      <c r="BT34" s="408">
        <f t="shared" si="5"/>
        <v>0</v>
      </c>
      <c r="BU34" s="408">
        <f t="shared" si="6"/>
        <v>0</v>
      </c>
      <c r="BV34" s="408">
        <f t="shared" si="7"/>
        <v>0</v>
      </c>
      <c r="BW34" s="408">
        <f t="shared" si="8"/>
        <v>0</v>
      </c>
      <c r="BX34" s="408">
        <f t="shared" si="9"/>
        <v>0</v>
      </c>
      <c r="BY34" s="408">
        <f t="shared" si="10"/>
        <v>0</v>
      </c>
      <c r="BZ34" s="408">
        <f t="shared" si="11"/>
        <v>0</v>
      </c>
      <c r="CA34" s="408">
        <f t="shared" si="12"/>
        <v>0</v>
      </c>
      <c r="CB34" s="408">
        <f t="shared" si="13"/>
        <v>0</v>
      </c>
      <c r="CC34" s="408">
        <f t="shared" si="14"/>
        <v>0</v>
      </c>
      <c r="CD34" s="408">
        <f t="shared" si="15"/>
        <v>0</v>
      </c>
    </row>
    <row r="35" spans="2:82" ht="34.5" customHeight="1">
      <c r="B35" s="758"/>
      <c r="C35" s="762">
        <v>26</v>
      </c>
      <c r="D35" s="756"/>
      <c r="E35" s="757"/>
      <c r="F35" s="796" t="str">
        <f>IF(E35=0," ",VLOOKUP(E35,SISWA!$A$6:$C$55,3,FALSE))</f>
        <v xml:space="preserve"> </v>
      </c>
      <c r="G35" s="797" t="str">
        <f t="shared" si="0"/>
        <v xml:space="preserve"> </v>
      </c>
      <c r="H35" s="813"/>
      <c r="I35" s="824"/>
      <c r="J35" s="824"/>
      <c r="K35" s="824"/>
      <c r="L35" s="822" t="str">
        <f t="shared" si="16"/>
        <v xml:space="preserve"> </v>
      </c>
      <c r="M35" s="822" t="b">
        <f t="shared" si="17"/>
        <v>0</v>
      </c>
      <c r="N35" s="414" t="str">
        <f t="shared" si="18"/>
        <v xml:space="preserve"> </v>
      </c>
      <c r="O35" s="414" t="b">
        <f t="shared" si="1"/>
        <v>0</v>
      </c>
      <c r="P35" s="823"/>
      <c r="Q35" s="823"/>
      <c r="R35" s="823"/>
      <c r="S35" s="823"/>
      <c r="T35" s="823"/>
      <c r="U35" s="823"/>
      <c r="V35" s="823"/>
      <c r="W35" s="823"/>
      <c r="X35" s="823"/>
      <c r="Y35" s="823"/>
      <c r="Z35" s="823"/>
      <c r="AA35" s="823"/>
      <c r="AB35" s="823"/>
      <c r="AC35" s="823"/>
      <c r="AD35" s="823"/>
      <c r="AE35" s="823"/>
      <c r="AF35" s="823"/>
      <c r="AG35" s="823"/>
      <c r="AH35" s="823"/>
      <c r="AI35" s="823"/>
      <c r="AJ35" s="823"/>
      <c r="AK35" s="823"/>
      <c r="AL35" s="823"/>
      <c r="AM35" s="823"/>
      <c r="AN35" s="823"/>
      <c r="AO35" s="823"/>
      <c r="AP35" s="823"/>
      <c r="AQ35" s="823"/>
      <c r="AR35" s="823"/>
      <c r="AS35" s="823"/>
      <c r="AT35" s="823"/>
      <c r="AU35" s="823"/>
      <c r="AV35" s="823"/>
      <c r="AW35" s="823"/>
      <c r="AX35" s="823"/>
      <c r="AY35" s="823"/>
      <c r="AZ35" s="823"/>
      <c r="BA35" s="823"/>
      <c r="BB35" s="823"/>
      <c r="BC35" s="823"/>
      <c r="BD35" s="823"/>
      <c r="BE35" s="823"/>
      <c r="BF35" s="823"/>
      <c r="BG35" s="823"/>
      <c r="BH35" s="823"/>
      <c r="BI35" s="823"/>
      <c r="BJ35" s="823"/>
      <c r="BK35" s="823"/>
      <c r="BL35" s="823"/>
      <c r="BM35" s="823"/>
      <c r="BO35" s="408">
        <v>26</v>
      </c>
      <c r="BP35" s="799" t="str">
        <f>SISWA!C31</f>
        <v>Anak 26</v>
      </c>
      <c r="BQ35" s="408">
        <f t="shared" si="2"/>
        <v>0</v>
      </c>
      <c r="BR35" s="408">
        <f t="shared" si="3"/>
        <v>0</v>
      </c>
      <c r="BS35" s="408">
        <f t="shared" si="4"/>
        <v>0</v>
      </c>
      <c r="BT35" s="408">
        <f t="shared" si="5"/>
        <v>0</v>
      </c>
      <c r="BU35" s="408">
        <f t="shared" si="6"/>
        <v>0</v>
      </c>
      <c r="BV35" s="408">
        <f t="shared" si="7"/>
        <v>0</v>
      </c>
      <c r="BW35" s="408">
        <f t="shared" si="8"/>
        <v>0</v>
      </c>
      <c r="BX35" s="408">
        <f t="shared" si="9"/>
        <v>0</v>
      </c>
      <c r="BY35" s="408">
        <f t="shared" si="10"/>
        <v>0</v>
      </c>
      <c r="BZ35" s="408">
        <f t="shared" si="11"/>
        <v>0</v>
      </c>
      <c r="CA35" s="408">
        <f t="shared" si="12"/>
        <v>0</v>
      </c>
      <c r="CB35" s="408">
        <f t="shared" si="13"/>
        <v>0</v>
      </c>
      <c r="CC35" s="408">
        <f t="shared" si="14"/>
        <v>0</v>
      </c>
      <c r="CD35" s="408">
        <f t="shared" si="15"/>
        <v>0</v>
      </c>
    </row>
    <row r="36" spans="2:82" ht="34.5" customHeight="1">
      <c r="B36" s="758"/>
      <c r="C36" s="762">
        <v>27</v>
      </c>
      <c r="D36" s="756"/>
      <c r="E36" s="757"/>
      <c r="F36" s="796" t="str">
        <f>IF(E36=0," ",VLOOKUP(E36,SISWA!$A$6:$C$55,3,FALSE))</f>
        <v xml:space="preserve"> </v>
      </c>
      <c r="G36" s="797" t="str">
        <f t="shared" si="0"/>
        <v xml:space="preserve"> </v>
      </c>
      <c r="H36" s="813"/>
      <c r="I36" s="824"/>
      <c r="J36" s="824"/>
      <c r="K36" s="824"/>
      <c r="L36" s="822" t="str">
        <f t="shared" si="16"/>
        <v xml:space="preserve"> </v>
      </c>
      <c r="M36" s="822" t="b">
        <f t="shared" si="17"/>
        <v>0</v>
      </c>
      <c r="N36" s="414" t="str">
        <f t="shared" si="18"/>
        <v xml:space="preserve"> </v>
      </c>
      <c r="O36" s="414" t="b">
        <f t="shared" si="1"/>
        <v>0</v>
      </c>
      <c r="P36" s="823"/>
      <c r="Q36" s="823"/>
      <c r="R36" s="823"/>
      <c r="S36" s="823"/>
      <c r="T36" s="823"/>
      <c r="U36" s="823"/>
      <c r="V36" s="823"/>
      <c r="W36" s="823"/>
      <c r="X36" s="823"/>
      <c r="Y36" s="823"/>
      <c r="Z36" s="823"/>
      <c r="AA36" s="823"/>
      <c r="AB36" s="823"/>
      <c r="AC36" s="823"/>
      <c r="AD36" s="823"/>
      <c r="AE36" s="823"/>
      <c r="AF36" s="823"/>
      <c r="AG36" s="823"/>
      <c r="AH36" s="823"/>
      <c r="AI36" s="823"/>
      <c r="AJ36" s="823"/>
      <c r="AK36" s="823"/>
      <c r="AL36" s="823"/>
      <c r="AM36" s="823"/>
      <c r="AN36" s="823"/>
      <c r="AO36" s="823"/>
      <c r="AP36" s="823"/>
      <c r="AQ36" s="823"/>
      <c r="AR36" s="823"/>
      <c r="AS36" s="823"/>
      <c r="AT36" s="823"/>
      <c r="AU36" s="823"/>
      <c r="AV36" s="823"/>
      <c r="AW36" s="823"/>
      <c r="AX36" s="823"/>
      <c r="AY36" s="823"/>
      <c r="AZ36" s="823"/>
      <c r="BA36" s="823"/>
      <c r="BB36" s="823"/>
      <c r="BC36" s="823"/>
      <c r="BD36" s="823"/>
      <c r="BE36" s="823"/>
      <c r="BF36" s="823"/>
      <c r="BG36" s="823"/>
      <c r="BH36" s="823"/>
      <c r="BI36" s="823"/>
      <c r="BJ36" s="823"/>
      <c r="BK36" s="823"/>
      <c r="BL36" s="823"/>
      <c r="BM36" s="823"/>
      <c r="BO36" s="408">
        <v>27</v>
      </c>
      <c r="BP36" s="799" t="str">
        <f>SISWA!C32</f>
        <v>Anak 27</v>
      </c>
      <c r="BQ36" s="408">
        <f t="shared" si="2"/>
        <v>0</v>
      </c>
      <c r="BR36" s="408">
        <f t="shared" si="3"/>
        <v>0</v>
      </c>
      <c r="BS36" s="408">
        <f t="shared" si="4"/>
        <v>0</v>
      </c>
      <c r="BT36" s="408">
        <f t="shared" si="5"/>
        <v>0</v>
      </c>
      <c r="BU36" s="408">
        <f t="shared" si="6"/>
        <v>0</v>
      </c>
      <c r="BV36" s="408">
        <f t="shared" si="7"/>
        <v>0</v>
      </c>
      <c r="BW36" s="408">
        <f t="shared" si="8"/>
        <v>0</v>
      </c>
      <c r="BX36" s="408">
        <f t="shared" si="9"/>
        <v>0</v>
      </c>
      <c r="BY36" s="408">
        <f t="shared" si="10"/>
        <v>0</v>
      </c>
      <c r="BZ36" s="408">
        <f t="shared" si="11"/>
        <v>0</v>
      </c>
      <c r="CA36" s="408">
        <f t="shared" si="12"/>
        <v>0</v>
      </c>
      <c r="CB36" s="408">
        <f t="shared" si="13"/>
        <v>0</v>
      </c>
      <c r="CC36" s="408">
        <f t="shared" si="14"/>
        <v>0</v>
      </c>
      <c r="CD36" s="408">
        <f t="shared" si="15"/>
        <v>0</v>
      </c>
    </row>
    <row r="37" spans="2:82" ht="34.5" customHeight="1">
      <c r="B37" s="758"/>
      <c r="C37" s="762">
        <v>28</v>
      </c>
      <c r="D37" s="756"/>
      <c r="E37" s="757"/>
      <c r="F37" s="796" t="str">
        <f>IF(E37=0," ",VLOOKUP(E37,SISWA!$A$6:$C$55,3,FALSE))</f>
        <v xml:space="preserve"> </v>
      </c>
      <c r="G37" s="797" t="str">
        <f t="shared" si="0"/>
        <v xml:space="preserve"> </v>
      </c>
      <c r="H37" s="813"/>
      <c r="I37" s="824"/>
      <c r="J37" s="824"/>
      <c r="K37" s="824"/>
      <c r="L37" s="822" t="str">
        <f t="shared" si="16"/>
        <v xml:space="preserve"> </v>
      </c>
      <c r="M37" s="822" t="b">
        <f t="shared" si="17"/>
        <v>0</v>
      </c>
      <c r="N37" s="414" t="str">
        <f t="shared" si="18"/>
        <v xml:space="preserve"> </v>
      </c>
      <c r="O37" s="414" t="b">
        <f t="shared" si="1"/>
        <v>0</v>
      </c>
      <c r="P37" s="823"/>
      <c r="Q37" s="823"/>
      <c r="R37" s="823"/>
      <c r="S37" s="823"/>
      <c r="T37" s="823"/>
      <c r="U37" s="823"/>
      <c r="V37" s="823"/>
      <c r="W37" s="823"/>
      <c r="X37" s="823"/>
      <c r="Y37" s="823"/>
      <c r="Z37" s="823"/>
      <c r="AA37" s="823"/>
      <c r="AB37" s="823"/>
      <c r="AC37" s="823"/>
      <c r="AD37" s="823"/>
      <c r="AE37" s="823"/>
      <c r="AF37" s="823"/>
      <c r="AG37" s="823"/>
      <c r="AH37" s="823"/>
      <c r="AI37" s="823"/>
      <c r="AJ37" s="823"/>
      <c r="AK37" s="823"/>
      <c r="AL37" s="823"/>
      <c r="AM37" s="823"/>
      <c r="AN37" s="823"/>
      <c r="AO37" s="823"/>
      <c r="AP37" s="823"/>
      <c r="AQ37" s="823"/>
      <c r="AR37" s="823"/>
      <c r="AS37" s="823"/>
      <c r="AT37" s="823"/>
      <c r="AU37" s="823"/>
      <c r="AV37" s="823"/>
      <c r="AW37" s="823"/>
      <c r="AX37" s="823"/>
      <c r="AY37" s="823"/>
      <c r="AZ37" s="823"/>
      <c r="BA37" s="823"/>
      <c r="BB37" s="823"/>
      <c r="BC37" s="823"/>
      <c r="BD37" s="823"/>
      <c r="BE37" s="823"/>
      <c r="BF37" s="823"/>
      <c r="BG37" s="823"/>
      <c r="BH37" s="823"/>
      <c r="BI37" s="823"/>
      <c r="BJ37" s="823"/>
      <c r="BK37" s="823"/>
      <c r="BL37" s="823"/>
      <c r="BM37" s="823"/>
      <c r="BO37" s="408">
        <v>28</v>
      </c>
      <c r="BP37" s="799" t="str">
        <f>SISWA!C33</f>
        <v>Anak 28</v>
      </c>
      <c r="BQ37" s="408">
        <f t="shared" si="2"/>
        <v>0</v>
      </c>
      <c r="BR37" s="408">
        <f t="shared" si="3"/>
        <v>0</v>
      </c>
      <c r="BS37" s="408">
        <f t="shared" si="4"/>
        <v>0</v>
      </c>
      <c r="BT37" s="408">
        <f t="shared" si="5"/>
        <v>0</v>
      </c>
      <c r="BU37" s="408">
        <f t="shared" si="6"/>
        <v>0</v>
      </c>
      <c r="BV37" s="408">
        <f t="shared" si="7"/>
        <v>0</v>
      </c>
      <c r="BW37" s="408">
        <f t="shared" si="8"/>
        <v>0</v>
      </c>
      <c r="BX37" s="408">
        <f t="shared" si="9"/>
        <v>0</v>
      </c>
      <c r="BY37" s="408">
        <f t="shared" si="10"/>
        <v>0</v>
      </c>
      <c r="BZ37" s="408">
        <f t="shared" si="11"/>
        <v>0</v>
      </c>
      <c r="CA37" s="408">
        <f t="shared" si="12"/>
        <v>0</v>
      </c>
      <c r="CB37" s="408">
        <f t="shared" si="13"/>
        <v>0</v>
      </c>
      <c r="CC37" s="408">
        <f t="shared" si="14"/>
        <v>0</v>
      </c>
      <c r="CD37" s="408">
        <f t="shared" si="15"/>
        <v>0</v>
      </c>
    </row>
    <row r="38" spans="2:82" ht="34.5" customHeight="1">
      <c r="B38" s="758"/>
      <c r="C38" s="762">
        <v>29</v>
      </c>
      <c r="D38" s="756"/>
      <c r="E38" s="757"/>
      <c r="F38" s="796" t="str">
        <f>IF(E38=0," ",VLOOKUP(E38,SISWA!$A$6:$C$55,3,FALSE))</f>
        <v xml:space="preserve"> </v>
      </c>
      <c r="G38" s="797" t="str">
        <f t="shared" si="0"/>
        <v xml:space="preserve"> </v>
      </c>
      <c r="H38" s="813"/>
      <c r="I38" s="824"/>
      <c r="J38" s="824"/>
      <c r="K38" s="824"/>
      <c r="L38" s="822" t="str">
        <f t="shared" si="16"/>
        <v xml:space="preserve"> </v>
      </c>
      <c r="M38" s="822" t="b">
        <f t="shared" si="17"/>
        <v>0</v>
      </c>
      <c r="N38" s="414" t="str">
        <f t="shared" si="18"/>
        <v xml:space="preserve"> </v>
      </c>
      <c r="O38" s="414" t="b">
        <f t="shared" si="1"/>
        <v>0</v>
      </c>
      <c r="P38" s="823"/>
      <c r="Q38" s="823"/>
      <c r="R38" s="823"/>
      <c r="S38" s="823"/>
      <c r="T38" s="823"/>
      <c r="U38" s="823"/>
      <c r="V38" s="823"/>
      <c r="W38" s="823"/>
      <c r="X38" s="823"/>
      <c r="Y38" s="823"/>
      <c r="Z38" s="823"/>
      <c r="AA38" s="823"/>
      <c r="AB38" s="823"/>
      <c r="AC38" s="823"/>
      <c r="AD38" s="823"/>
      <c r="AE38" s="823"/>
      <c r="AF38" s="823"/>
      <c r="AG38" s="823"/>
      <c r="AH38" s="823"/>
      <c r="AI38" s="823"/>
      <c r="AJ38" s="823"/>
      <c r="AK38" s="823"/>
      <c r="AL38" s="823"/>
      <c r="AM38" s="823"/>
      <c r="AN38" s="823"/>
      <c r="AO38" s="823"/>
      <c r="AP38" s="823"/>
      <c r="AQ38" s="823"/>
      <c r="AR38" s="823"/>
      <c r="AS38" s="823"/>
      <c r="AT38" s="823"/>
      <c r="AU38" s="823"/>
      <c r="AV38" s="823"/>
      <c r="AW38" s="823"/>
      <c r="AX38" s="823"/>
      <c r="AY38" s="823"/>
      <c r="AZ38" s="823"/>
      <c r="BA38" s="823"/>
      <c r="BB38" s="823"/>
      <c r="BC38" s="823"/>
      <c r="BD38" s="823"/>
      <c r="BE38" s="823"/>
      <c r="BF38" s="823"/>
      <c r="BG38" s="823"/>
      <c r="BH38" s="823"/>
      <c r="BI38" s="823"/>
      <c r="BJ38" s="823"/>
      <c r="BK38" s="823"/>
      <c r="BL38" s="823"/>
      <c r="BM38" s="823"/>
      <c r="BO38" s="408">
        <v>29</v>
      </c>
      <c r="BP38" s="799" t="str">
        <f>SISWA!C34</f>
        <v>Anak 29</v>
      </c>
      <c r="BQ38" s="408">
        <f t="shared" si="2"/>
        <v>0</v>
      </c>
      <c r="BR38" s="408">
        <f t="shared" si="3"/>
        <v>0</v>
      </c>
      <c r="BS38" s="408">
        <f t="shared" si="4"/>
        <v>0</v>
      </c>
      <c r="BT38" s="408">
        <f t="shared" si="5"/>
        <v>0</v>
      </c>
      <c r="BU38" s="408">
        <f t="shared" si="6"/>
        <v>0</v>
      </c>
      <c r="BV38" s="408">
        <f t="shared" si="7"/>
        <v>0</v>
      </c>
      <c r="BW38" s="408">
        <f t="shared" si="8"/>
        <v>0</v>
      </c>
      <c r="BX38" s="408">
        <f t="shared" si="9"/>
        <v>0</v>
      </c>
      <c r="BY38" s="408">
        <f t="shared" si="10"/>
        <v>0</v>
      </c>
      <c r="BZ38" s="408">
        <f t="shared" si="11"/>
        <v>0</v>
      </c>
      <c r="CA38" s="408">
        <f t="shared" si="12"/>
        <v>0</v>
      </c>
      <c r="CB38" s="408">
        <f t="shared" si="13"/>
        <v>0</v>
      </c>
      <c r="CC38" s="408">
        <f t="shared" si="14"/>
        <v>0</v>
      </c>
      <c r="CD38" s="408">
        <f t="shared" si="15"/>
        <v>0</v>
      </c>
    </row>
    <row r="39" spans="2:82" ht="34.5" customHeight="1">
      <c r="B39" s="758"/>
      <c r="C39" s="762">
        <v>30</v>
      </c>
      <c r="D39" s="756"/>
      <c r="E39" s="757"/>
      <c r="F39" s="796" t="str">
        <f>IF(E39=0," ",VLOOKUP(E39,SISWA!$A$6:$C$55,3,FALSE))</f>
        <v xml:space="preserve"> </v>
      </c>
      <c r="G39" s="797" t="str">
        <f t="shared" si="0"/>
        <v xml:space="preserve"> </v>
      </c>
      <c r="H39" s="813"/>
      <c r="I39" s="824"/>
      <c r="J39" s="824"/>
      <c r="K39" s="824"/>
      <c r="L39" s="822" t="str">
        <f t="shared" si="16"/>
        <v xml:space="preserve"> </v>
      </c>
      <c r="M39" s="822" t="b">
        <f t="shared" si="17"/>
        <v>0</v>
      </c>
      <c r="N39" s="414" t="str">
        <f t="shared" si="18"/>
        <v xml:space="preserve"> </v>
      </c>
      <c r="O39" s="414" t="b">
        <f t="shared" si="1"/>
        <v>0</v>
      </c>
      <c r="P39" s="823"/>
      <c r="Q39" s="823"/>
      <c r="R39" s="823"/>
      <c r="S39" s="823"/>
      <c r="T39" s="823"/>
      <c r="U39" s="823"/>
      <c r="V39" s="823"/>
      <c r="W39" s="823"/>
      <c r="X39" s="823"/>
      <c r="Y39" s="823"/>
      <c r="Z39" s="823"/>
      <c r="AA39" s="823"/>
      <c r="AB39" s="823"/>
      <c r="AC39" s="823"/>
      <c r="AD39" s="823"/>
      <c r="AE39" s="823"/>
      <c r="AF39" s="823"/>
      <c r="AG39" s="823"/>
      <c r="AH39" s="823"/>
      <c r="AI39" s="823"/>
      <c r="AJ39" s="823"/>
      <c r="AK39" s="823"/>
      <c r="AL39" s="823"/>
      <c r="AM39" s="823"/>
      <c r="AN39" s="823"/>
      <c r="AO39" s="823"/>
      <c r="AP39" s="823"/>
      <c r="AQ39" s="823"/>
      <c r="AR39" s="823"/>
      <c r="AS39" s="823"/>
      <c r="AT39" s="823"/>
      <c r="AU39" s="823"/>
      <c r="AV39" s="823"/>
      <c r="AW39" s="823"/>
      <c r="AX39" s="823"/>
      <c r="AY39" s="823"/>
      <c r="AZ39" s="823"/>
      <c r="BA39" s="823"/>
      <c r="BB39" s="823"/>
      <c r="BC39" s="823"/>
      <c r="BD39" s="823"/>
      <c r="BE39" s="823"/>
      <c r="BF39" s="823"/>
      <c r="BG39" s="823"/>
      <c r="BH39" s="823"/>
      <c r="BI39" s="823"/>
      <c r="BJ39" s="823"/>
      <c r="BK39" s="823"/>
      <c r="BL39" s="823"/>
      <c r="BM39" s="823"/>
      <c r="BO39" s="408">
        <v>30</v>
      </c>
      <c r="BP39" s="799" t="str">
        <f>SISWA!C35</f>
        <v>Anak 30</v>
      </c>
      <c r="BQ39" s="408">
        <f t="shared" si="2"/>
        <v>0</v>
      </c>
      <c r="BR39" s="408">
        <f t="shared" si="3"/>
        <v>0</v>
      </c>
      <c r="BS39" s="408">
        <f t="shared" si="4"/>
        <v>0</v>
      </c>
      <c r="BT39" s="408">
        <f t="shared" si="5"/>
        <v>0</v>
      </c>
      <c r="BU39" s="408">
        <f t="shared" si="6"/>
        <v>0</v>
      </c>
      <c r="BV39" s="408">
        <f t="shared" si="7"/>
        <v>0</v>
      </c>
      <c r="BW39" s="408">
        <f t="shared" si="8"/>
        <v>0</v>
      </c>
      <c r="BX39" s="408">
        <f t="shared" si="9"/>
        <v>0</v>
      </c>
      <c r="BY39" s="408">
        <f t="shared" si="10"/>
        <v>0</v>
      </c>
      <c r="BZ39" s="408">
        <f t="shared" si="11"/>
        <v>0</v>
      </c>
      <c r="CA39" s="408">
        <f t="shared" si="12"/>
        <v>0</v>
      </c>
      <c r="CB39" s="408">
        <f t="shared" si="13"/>
        <v>0</v>
      </c>
      <c r="CC39" s="408">
        <f t="shared" si="14"/>
        <v>0</v>
      </c>
      <c r="CD39" s="408">
        <f t="shared" si="15"/>
        <v>0</v>
      </c>
    </row>
    <row r="40" spans="2:82" ht="34.5" customHeight="1">
      <c r="B40" s="758"/>
      <c r="C40" s="762">
        <v>31</v>
      </c>
      <c r="D40" s="756"/>
      <c r="E40" s="757"/>
      <c r="F40" s="796" t="str">
        <f>IF(E40=0," ",VLOOKUP(E40,SISWA!$A$6:$C$55,3,FALSE))</f>
        <v xml:space="preserve"> </v>
      </c>
      <c r="G40" s="797" t="str">
        <f t="shared" si="0"/>
        <v xml:space="preserve"> </v>
      </c>
      <c r="H40" s="813"/>
      <c r="I40" s="824"/>
      <c r="J40" s="824"/>
      <c r="K40" s="824"/>
      <c r="L40" s="822" t="str">
        <f t="shared" si="16"/>
        <v xml:space="preserve"> </v>
      </c>
      <c r="M40" s="822" t="b">
        <f t="shared" si="17"/>
        <v>0</v>
      </c>
      <c r="N40" s="414" t="str">
        <f t="shared" si="18"/>
        <v xml:space="preserve"> </v>
      </c>
      <c r="O40" s="414" t="b">
        <f t="shared" si="1"/>
        <v>0</v>
      </c>
      <c r="P40" s="823"/>
      <c r="Q40" s="823"/>
      <c r="R40" s="823"/>
      <c r="S40" s="823"/>
      <c r="T40" s="823"/>
      <c r="U40" s="823"/>
      <c r="V40" s="823"/>
      <c r="W40" s="823"/>
      <c r="X40" s="823"/>
      <c r="Y40" s="823"/>
      <c r="Z40" s="823"/>
      <c r="AA40" s="823"/>
      <c r="AB40" s="823"/>
      <c r="AC40" s="823"/>
      <c r="AD40" s="823"/>
      <c r="AE40" s="823"/>
      <c r="AF40" s="823"/>
      <c r="AG40" s="823"/>
      <c r="AH40" s="823"/>
      <c r="AI40" s="823"/>
      <c r="AJ40" s="823"/>
      <c r="AK40" s="823"/>
      <c r="AL40" s="823"/>
      <c r="AM40" s="823"/>
      <c r="AN40" s="823"/>
      <c r="AO40" s="823"/>
      <c r="AP40" s="823"/>
      <c r="AQ40" s="823"/>
      <c r="AR40" s="823"/>
      <c r="AS40" s="823"/>
      <c r="AT40" s="823"/>
      <c r="AU40" s="823"/>
      <c r="AV40" s="823"/>
      <c r="AW40" s="823"/>
      <c r="AX40" s="823"/>
      <c r="AY40" s="823"/>
      <c r="AZ40" s="823"/>
      <c r="BA40" s="823"/>
      <c r="BB40" s="823"/>
      <c r="BC40" s="823"/>
      <c r="BD40" s="823"/>
      <c r="BE40" s="823"/>
      <c r="BF40" s="823"/>
      <c r="BG40" s="823"/>
      <c r="BH40" s="823"/>
      <c r="BI40" s="823"/>
      <c r="BJ40" s="823"/>
      <c r="BK40" s="823"/>
      <c r="BL40" s="823"/>
      <c r="BM40" s="823"/>
      <c r="BO40" s="408">
        <v>31</v>
      </c>
      <c r="BP40" s="799" t="str">
        <f>SISWA!C36</f>
        <v>Anak 31</v>
      </c>
      <c r="BQ40" s="408">
        <f t="shared" si="2"/>
        <v>0</v>
      </c>
      <c r="BR40" s="408">
        <f t="shared" si="3"/>
        <v>0</v>
      </c>
      <c r="BS40" s="408">
        <f t="shared" si="4"/>
        <v>0</v>
      </c>
      <c r="BT40" s="408">
        <f t="shared" si="5"/>
        <v>0</v>
      </c>
      <c r="BU40" s="408">
        <f t="shared" si="6"/>
        <v>0</v>
      </c>
      <c r="BV40" s="408">
        <f t="shared" si="7"/>
        <v>0</v>
      </c>
      <c r="BW40" s="408">
        <f t="shared" si="8"/>
        <v>0</v>
      </c>
      <c r="BX40" s="408">
        <f t="shared" si="9"/>
        <v>0</v>
      </c>
      <c r="BY40" s="408">
        <f t="shared" si="10"/>
        <v>0</v>
      </c>
      <c r="BZ40" s="408">
        <f t="shared" si="11"/>
        <v>0</v>
      </c>
      <c r="CA40" s="408">
        <f t="shared" si="12"/>
        <v>0</v>
      </c>
      <c r="CB40" s="408">
        <f t="shared" si="13"/>
        <v>0</v>
      </c>
      <c r="CC40" s="408">
        <f t="shared" si="14"/>
        <v>0</v>
      </c>
      <c r="CD40" s="408">
        <f t="shared" si="15"/>
        <v>0</v>
      </c>
    </row>
    <row r="41" spans="2:82" ht="34.5" customHeight="1">
      <c r="B41" s="758"/>
      <c r="C41" s="762">
        <v>32</v>
      </c>
      <c r="D41" s="756"/>
      <c r="E41" s="757"/>
      <c r="F41" s="796" t="str">
        <f>IF(E41=0," ",VLOOKUP(E41,SISWA!$A$6:$C$55,3,FALSE))</f>
        <v xml:space="preserve"> </v>
      </c>
      <c r="G41" s="797" t="str">
        <f t="shared" si="0"/>
        <v xml:space="preserve"> </v>
      </c>
      <c r="H41" s="813"/>
      <c r="I41" s="824"/>
      <c r="J41" s="824"/>
      <c r="K41" s="824"/>
      <c r="L41" s="822" t="str">
        <f t="shared" si="16"/>
        <v xml:space="preserve"> </v>
      </c>
      <c r="M41" s="822" t="b">
        <f t="shared" si="17"/>
        <v>0</v>
      </c>
      <c r="N41" s="414" t="str">
        <f t="shared" si="18"/>
        <v xml:space="preserve"> </v>
      </c>
      <c r="O41" s="414" t="b">
        <f t="shared" si="1"/>
        <v>0</v>
      </c>
      <c r="P41" s="823"/>
      <c r="Q41" s="823"/>
      <c r="R41" s="823"/>
      <c r="S41" s="823"/>
      <c r="T41" s="823"/>
      <c r="U41" s="823"/>
      <c r="V41" s="823"/>
      <c r="W41" s="823"/>
      <c r="X41" s="823"/>
      <c r="Y41" s="823"/>
      <c r="Z41" s="823"/>
      <c r="AA41" s="823"/>
      <c r="AB41" s="823"/>
      <c r="AC41" s="823"/>
      <c r="AD41" s="823"/>
      <c r="AE41" s="823"/>
      <c r="AF41" s="823"/>
      <c r="AG41" s="823"/>
      <c r="AH41" s="823"/>
      <c r="AI41" s="823"/>
      <c r="AJ41" s="823"/>
      <c r="AK41" s="823"/>
      <c r="AL41" s="823"/>
      <c r="AM41" s="823"/>
      <c r="AN41" s="823"/>
      <c r="AO41" s="823"/>
      <c r="AP41" s="823"/>
      <c r="AQ41" s="823"/>
      <c r="AR41" s="823"/>
      <c r="AS41" s="823"/>
      <c r="AT41" s="823"/>
      <c r="AU41" s="823"/>
      <c r="AV41" s="823"/>
      <c r="AW41" s="823"/>
      <c r="AX41" s="823"/>
      <c r="AY41" s="823"/>
      <c r="AZ41" s="823"/>
      <c r="BA41" s="823"/>
      <c r="BB41" s="823"/>
      <c r="BC41" s="823"/>
      <c r="BD41" s="823"/>
      <c r="BE41" s="823"/>
      <c r="BF41" s="823"/>
      <c r="BG41" s="823"/>
      <c r="BH41" s="823"/>
      <c r="BI41" s="823"/>
      <c r="BJ41" s="823"/>
      <c r="BK41" s="823"/>
      <c r="BL41" s="823"/>
      <c r="BM41" s="823"/>
      <c r="BO41" s="408">
        <v>32</v>
      </c>
      <c r="BP41" s="799" t="str">
        <f>SISWA!C37</f>
        <v>Anak 32</v>
      </c>
      <c r="BQ41" s="408">
        <f t="shared" si="2"/>
        <v>0</v>
      </c>
      <c r="BR41" s="408">
        <f t="shared" si="3"/>
        <v>0</v>
      </c>
      <c r="BS41" s="408">
        <f t="shared" si="4"/>
        <v>0</v>
      </c>
      <c r="BT41" s="408">
        <f t="shared" si="5"/>
        <v>0</v>
      </c>
      <c r="BU41" s="408">
        <f t="shared" si="6"/>
        <v>0</v>
      </c>
      <c r="BV41" s="408">
        <f t="shared" si="7"/>
        <v>0</v>
      </c>
      <c r="BW41" s="408">
        <f t="shared" si="8"/>
        <v>0</v>
      </c>
      <c r="BX41" s="408">
        <f t="shared" si="9"/>
        <v>0</v>
      </c>
      <c r="BY41" s="408">
        <f t="shared" si="10"/>
        <v>0</v>
      </c>
      <c r="BZ41" s="408">
        <f t="shared" si="11"/>
        <v>0</v>
      </c>
      <c r="CA41" s="408">
        <f t="shared" si="12"/>
        <v>0</v>
      </c>
      <c r="CB41" s="408">
        <f t="shared" si="13"/>
        <v>0</v>
      </c>
      <c r="CC41" s="408">
        <f t="shared" si="14"/>
        <v>0</v>
      </c>
      <c r="CD41" s="408">
        <f t="shared" si="15"/>
        <v>0</v>
      </c>
    </row>
    <row r="42" spans="2:82" ht="34.5" customHeight="1">
      <c r="B42" s="758"/>
      <c r="C42" s="762">
        <v>33</v>
      </c>
      <c r="D42" s="756"/>
      <c r="E42" s="757"/>
      <c r="F42" s="796" t="str">
        <f>IF(E42=0," ",VLOOKUP(E42,SISWA!$A$6:$C$55,3,FALSE))</f>
        <v xml:space="preserve"> </v>
      </c>
      <c r="G42" s="797" t="str">
        <f t="shared" ref="G42:G73" si="19">IF(H42=0," ",VLOOKUP(H42,$BN$10:$BO$16,2,FALSE))</f>
        <v xml:space="preserve"> </v>
      </c>
      <c r="H42" s="813"/>
      <c r="I42" s="824"/>
      <c r="J42" s="824"/>
      <c r="K42" s="824"/>
      <c r="L42" s="822" t="str">
        <f t="shared" si="16"/>
        <v xml:space="preserve"> </v>
      </c>
      <c r="M42" s="822" t="b">
        <f t="shared" si="17"/>
        <v>0</v>
      </c>
      <c r="N42" s="414" t="str">
        <f t="shared" si="18"/>
        <v xml:space="preserve"> </v>
      </c>
      <c r="O42" s="414" t="b">
        <f t="shared" ref="O42:O74" si="20">IF(G42=0,"", IF(G42=1,"A", IF(G42=2,"B", IF(G42=3,"C", IF(G42=4,"D", IF(G42=5,"E", IF(G42=6,"F", IF(G42=7,"G"))))))))</f>
        <v>0</v>
      </c>
      <c r="P42" s="823"/>
      <c r="Q42" s="823"/>
      <c r="R42" s="823"/>
      <c r="S42" s="823"/>
      <c r="T42" s="823"/>
      <c r="U42" s="823"/>
      <c r="V42" s="823"/>
      <c r="W42" s="823"/>
      <c r="X42" s="823"/>
      <c r="Y42" s="823"/>
      <c r="Z42" s="823"/>
      <c r="AA42" s="823"/>
      <c r="AB42" s="823"/>
      <c r="AC42" s="823"/>
      <c r="AD42" s="823"/>
      <c r="AE42" s="823"/>
      <c r="AF42" s="823"/>
      <c r="AG42" s="823"/>
      <c r="AH42" s="823"/>
      <c r="AI42" s="823"/>
      <c r="AJ42" s="823"/>
      <c r="AK42" s="823"/>
      <c r="AL42" s="823"/>
      <c r="AM42" s="823"/>
      <c r="AN42" s="823"/>
      <c r="AO42" s="823"/>
      <c r="AP42" s="823"/>
      <c r="AQ42" s="823"/>
      <c r="AR42" s="823"/>
      <c r="AS42" s="823"/>
      <c r="AT42" s="823"/>
      <c r="AU42" s="823"/>
      <c r="AV42" s="823"/>
      <c r="AW42" s="823"/>
      <c r="AX42" s="823"/>
      <c r="AY42" s="823"/>
      <c r="AZ42" s="823"/>
      <c r="BA42" s="823"/>
      <c r="BB42" s="823"/>
      <c r="BC42" s="823"/>
      <c r="BD42" s="823"/>
      <c r="BE42" s="823"/>
      <c r="BF42" s="823"/>
      <c r="BG42" s="823"/>
      <c r="BH42" s="823"/>
      <c r="BI42" s="823"/>
      <c r="BJ42" s="823"/>
      <c r="BK42" s="823"/>
      <c r="BL42" s="823"/>
      <c r="BM42" s="823"/>
      <c r="BO42" s="408">
        <v>33</v>
      </c>
      <c r="BP42" s="799" t="str">
        <f>SISWA!C38</f>
        <v>Anak 33</v>
      </c>
      <c r="BQ42" s="408">
        <f t="shared" si="2"/>
        <v>0</v>
      </c>
      <c r="BR42" s="408">
        <f t="shared" ref="BR42:BR58" si="21">SUMIFS($N$10:$N$109,$O$10:$O$109,"A",$E$10:$E$109,BO42)</f>
        <v>0</v>
      </c>
      <c r="BS42" s="408">
        <f t="shared" si="4"/>
        <v>0</v>
      </c>
      <c r="BT42" s="408">
        <f t="shared" ref="BT42:BT58" si="22">SUMIFS($N$10:$N$109,$O$10:$O$109,"B",$E$10:$E$109,BO42)</f>
        <v>0</v>
      </c>
      <c r="BU42" s="408">
        <f t="shared" si="6"/>
        <v>0</v>
      </c>
      <c r="BV42" s="408">
        <f t="shared" ref="BV42:BV58" si="23">SUMIFS($N$10:$N$109,$O$10:$O$109,"C",$E$10:$E$109,BO42)</f>
        <v>0</v>
      </c>
      <c r="BW42" s="408">
        <f t="shared" si="8"/>
        <v>0</v>
      </c>
      <c r="BX42" s="408">
        <f t="shared" ref="BX42:BX58" si="24">SUMIFS($N$10:$N$109,$O$10:$O$109,"D",$E$10:$E$109,BO42)</f>
        <v>0</v>
      </c>
      <c r="BY42" s="408">
        <f t="shared" si="10"/>
        <v>0</v>
      </c>
      <c r="BZ42" s="408">
        <f t="shared" ref="BZ42:BZ58" si="25">SUMIFS($N$10:$N$109,$O$10:$O$109,"E",$E$10:$E$109,BO42)</f>
        <v>0</v>
      </c>
      <c r="CA42" s="408">
        <f t="shared" si="12"/>
        <v>0</v>
      </c>
      <c r="CB42" s="408">
        <f t="shared" ref="CB42:CB58" si="26">SUMIFS($N$10:$N$109,$O$10:$O$109,"F",$E$10:$E$109,BO42)</f>
        <v>0</v>
      </c>
      <c r="CC42" s="408">
        <f t="shared" si="14"/>
        <v>0</v>
      </c>
      <c r="CD42" s="408">
        <f t="shared" ref="CD42:CD58" si="27">SUMIFS($N$10:$N$109,$O$10:$O$109,"G",$E$10:$E$109,BO42)</f>
        <v>0</v>
      </c>
    </row>
    <row r="43" spans="2:82" ht="34.5" customHeight="1">
      <c r="B43" s="758"/>
      <c r="C43" s="762">
        <v>34</v>
      </c>
      <c r="D43" s="756"/>
      <c r="E43" s="757"/>
      <c r="F43" s="796" t="str">
        <f>IF(E43=0," ",VLOOKUP(E43,SISWA!$A$6:$C$55,3,FALSE))</f>
        <v xml:space="preserve"> </v>
      </c>
      <c r="G43" s="797" t="str">
        <f t="shared" si="19"/>
        <v xml:space="preserve"> </v>
      </c>
      <c r="H43" s="813"/>
      <c r="I43" s="824"/>
      <c r="J43" s="824"/>
      <c r="K43" s="824"/>
      <c r="L43" s="822" t="str">
        <f t="shared" si="16"/>
        <v xml:space="preserve"> </v>
      </c>
      <c r="M43" s="822" t="b">
        <f t="shared" si="17"/>
        <v>0</v>
      </c>
      <c r="N43" s="414" t="str">
        <f t="shared" si="18"/>
        <v xml:space="preserve"> </v>
      </c>
      <c r="O43" s="414" t="b">
        <f t="shared" si="20"/>
        <v>0</v>
      </c>
      <c r="P43" s="823"/>
      <c r="Q43" s="823"/>
      <c r="R43" s="823"/>
      <c r="S43" s="823"/>
      <c r="T43" s="823"/>
      <c r="U43" s="823"/>
      <c r="V43" s="823"/>
      <c r="W43" s="823"/>
      <c r="X43" s="823"/>
      <c r="Y43" s="823"/>
      <c r="Z43" s="823"/>
      <c r="AA43" s="823"/>
      <c r="AB43" s="823"/>
      <c r="AC43" s="823"/>
      <c r="AD43" s="823"/>
      <c r="AE43" s="823"/>
      <c r="AF43" s="823"/>
      <c r="AG43" s="823"/>
      <c r="AH43" s="823"/>
      <c r="AI43" s="823"/>
      <c r="AJ43" s="823"/>
      <c r="AK43" s="823"/>
      <c r="AL43" s="823"/>
      <c r="AM43" s="823"/>
      <c r="AN43" s="823"/>
      <c r="AO43" s="823"/>
      <c r="AP43" s="823"/>
      <c r="AQ43" s="823"/>
      <c r="AR43" s="823"/>
      <c r="AS43" s="823"/>
      <c r="AT43" s="823"/>
      <c r="AU43" s="823"/>
      <c r="AV43" s="823"/>
      <c r="AW43" s="823"/>
      <c r="AX43" s="823"/>
      <c r="AY43" s="823"/>
      <c r="AZ43" s="823"/>
      <c r="BA43" s="823"/>
      <c r="BB43" s="823"/>
      <c r="BC43" s="823"/>
      <c r="BD43" s="823"/>
      <c r="BE43" s="823"/>
      <c r="BF43" s="823"/>
      <c r="BG43" s="823"/>
      <c r="BH43" s="823"/>
      <c r="BI43" s="823"/>
      <c r="BJ43" s="823"/>
      <c r="BK43" s="823"/>
      <c r="BL43" s="823"/>
      <c r="BM43" s="823"/>
      <c r="BO43" s="408">
        <v>34</v>
      </c>
      <c r="BP43" s="799" t="str">
        <f>SISWA!C39</f>
        <v>Anak 34</v>
      </c>
      <c r="BQ43" s="408">
        <f t="shared" si="2"/>
        <v>0</v>
      </c>
      <c r="BR43" s="408">
        <f t="shared" si="21"/>
        <v>0</v>
      </c>
      <c r="BS43" s="408">
        <f t="shared" si="4"/>
        <v>0</v>
      </c>
      <c r="BT43" s="408">
        <f t="shared" si="22"/>
        <v>0</v>
      </c>
      <c r="BU43" s="408">
        <f t="shared" si="6"/>
        <v>0</v>
      </c>
      <c r="BV43" s="408">
        <f t="shared" si="23"/>
        <v>0</v>
      </c>
      <c r="BW43" s="408">
        <f t="shared" si="8"/>
        <v>0</v>
      </c>
      <c r="BX43" s="408">
        <f t="shared" si="24"/>
        <v>0</v>
      </c>
      <c r="BY43" s="408">
        <f t="shared" si="10"/>
        <v>0</v>
      </c>
      <c r="BZ43" s="408">
        <f t="shared" si="25"/>
        <v>0</v>
      </c>
      <c r="CA43" s="408">
        <f t="shared" si="12"/>
        <v>0</v>
      </c>
      <c r="CB43" s="408">
        <f t="shared" si="26"/>
        <v>0</v>
      </c>
      <c r="CC43" s="408">
        <f t="shared" si="14"/>
        <v>0</v>
      </c>
      <c r="CD43" s="408">
        <f t="shared" si="27"/>
        <v>0</v>
      </c>
    </row>
    <row r="44" spans="2:82" ht="34.5" customHeight="1">
      <c r="B44" s="758"/>
      <c r="C44" s="762">
        <v>35</v>
      </c>
      <c r="D44" s="756"/>
      <c r="E44" s="757"/>
      <c r="F44" s="796" t="str">
        <f>IF(E44=0," ",VLOOKUP(E44,SISWA!$A$6:$C$55,3,FALSE))</f>
        <v xml:space="preserve"> </v>
      </c>
      <c r="G44" s="797" t="str">
        <f t="shared" si="19"/>
        <v xml:space="preserve"> </v>
      </c>
      <c r="H44" s="813"/>
      <c r="I44" s="824"/>
      <c r="J44" s="824"/>
      <c r="K44" s="824"/>
      <c r="L44" s="822" t="str">
        <f t="shared" si="16"/>
        <v xml:space="preserve"> </v>
      </c>
      <c r="M44" s="822" t="b">
        <f t="shared" si="17"/>
        <v>0</v>
      </c>
      <c r="N44" s="414" t="str">
        <f t="shared" si="18"/>
        <v xml:space="preserve"> </v>
      </c>
      <c r="O44" s="414" t="b">
        <f t="shared" si="20"/>
        <v>0</v>
      </c>
      <c r="P44" s="823"/>
      <c r="Q44" s="823"/>
      <c r="R44" s="823"/>
      <c r="S44" s="823"/>
      <c r="T44" s="823"/>
      <c r="U44" s="823"/>
      <c r="V44" s="823"/>
      <c r="W44" s="823"/>
      <c r="X44" s="823"/>
      <c r="Y44" s="823"/>
      <c r="Z44" s="823"/>
      <c r="AA44" s="823"/>
      <c r="AB44" s="823"/>
      <c r="AC44" s="823"/>
      <c r="AD44" s="823"/>
      <c r="AE44" s="823"/>
      <c r="AF44" s="823"/>
      <c r="AG44" s="823"/>
      <c r="AH44" s="823"/>
      <c r="AI44" s="823"/>
      <c r="AJ44" s="823"/>
      <c r="AK44" s="823"/>
      <c r="AL44" s="823"/>
      <c r="AM44" s="823"/>
      <c r="AN44" s="823"/>
      <c r="AO44" s="823"/>
      <c r="AP44" s="823"/>
      <c r="AQ44" s="823"/>
      <c r="AR44" s="823"/>
      <c r="AS44" s="823"/>
      <c r="AT44" s="823"/>
      <c r="AU44" s="823"/>
      <c r="AV44" s="823"/>
      <c r="AW44" s="823"/>
      <c r="AX44" s="823"/>
      <c r="AY44" s="823"/>
      <c r="AZ44" s="823"/>
      <c r="BA44" s="823"/>
      <c r="BB44" s="823"/>
      <c r="BC44" s="823"/>
      <c r="BD44" s="823"/>
      <c r="BE44" s="823"/>
      <c r="BF44" s="823"/>
      <c r="BG44" s="823"/>
      <c r="BH44" s="823"/>
      <c r="BI44" s="823"/>
      <c r="BJ44" s="823"/>
      <c r="BK44" s="823"/>
      <c r="BL44" s="823"/>
      <c r="BM44" s="823"/>
      <c r="BO44" s="408">
        <v>35</v>
      </c>
      <c r="BP44" s="799" t="str">
        <f>SISWA!C40</f>
        <v>Anak 35</v>
      </c>
      <c r="BQ44" s="408">
        <f t="shared" si="2"/>
        <v>0</v>
      </c>
      <c r="BR44" s="408">
        <f t="shared" si="21"/>
        <v>0</v>
      </c>
      <c r="BS44" s="408">
        <f t="shared" si="4"/>
        <v>0</v>
      </c>
      <c r="BT44" s="408">
        <f t="shared" si="22"/>
        <v>0</v>
      </c>
      <c r="BU44" s="408">
        <f t="shared" si="6"/>
        <v>0</v>
      </c>
      <c r="BV44" s="408">
        <f t="shared" si="23"/>
        <v>0</v>
      </c>
      <c r="BW44" s="408">
        <f t="shared" si="8"/>
        <v>0</v>
      </c>
      <c r="BX44" s="408">
        <f t="shared" si="24"/>
        <v>0</v>
      </c>
      <c r="BY44" s="408">
        <f t="shared" si="10"/>
        <v>0</v>
      </c>
      <c r="BZ44" s="408">
        <f t="shared" si="25"/>
        <v>0</v>
      </c>
      <c r="CA44" s="408">
        <f t="shared" si="12"/>
        <v>0</v>
      </c>
      <c r="CB44" s="408">
        <f t="shared" si="26"/>
        <v>0</v>
      </c>
      <c r="CC44" s="408">
        <f t="shared" si="14"/>
        <v>0</v>
      </c>
      <c r="CD44" s="408">
        <f t="shared" si="27"/>
        <v>0</v>
      </c>
    </row>
    <row r="45" spans="2:82" ht="34.5" customHeight="1">
      <c r="B45" s="758"/>
      <c r="C45" s="762">
        <v>36</v>
      </c>
      <c r="D45" s="756"/>
      <c r="E45" s="757"/>
      <c r="F45" s="796" t="str">
        <f>IF(E45=0," ",VLOOKUP(E45,SISWA!$A$6:$C$55,3,FALSE))</f>
        <v xml:space="preserve"> </v>
      </c>
      <c r="G45" s="797" t="str">
        <f t="shared" si="19"/>
        <v xml:space="preserve"> </v>
      </c>
      <c r="H45" s="813"/>
      <c r="I45" s="824"/>
      <c r="J45" s="824"/>
      <c r="K45" s="824"/>
      <c r="L45" s="822" t="str">
        <f t="shared" si="16"/>
        <v xml:space="preserve"> </v>
      </c>
      <c r="M45" s="822" t="b">
        <f t="shared" si="17"/>
        <v>0</v>
      </c>
      <c r="N45" s="414" t="str">
        <f t="shared" si="18"/>
        <v xml:space="preserve"> </v>
      </c>
      <c r="O45" s="414" t="b">
        <f t="shared" si="20"/>
        <v>0</v>
      </c>
      <c r="P45" s="823"/>
      <c r="Q45" s="823"/>
      <c r="R45" s="823"/>
      <c r="S45" s="823"/>
      <c r="T45" s="823"/>
      <c r="U45" s="823"/>
      <c r="V45" s="823"/>
      <c r="W45" s="823"/>
      <c r="X45" s="823"/>
      <c r="Y45" s="823"/>
      <c r="Z45" s="823"/>
      <c r="AA45" s="823"/>
      <c r="AB45" s="823"/>
      <c r="AC45" s="823"/>
      <c r="AD45" s="823"/>
      <c r="AE45" s="823"/>
      <c r="AF45" s="823"/>
      <c r="AG45" s="823"/>
      <c r="AH45" s="823"/>
      <c r="AI45" s="823"/>
      <c r="AJ45" s="823"/>
      <c r="AK45" s="823"/>
      <c r="AL45" s="823"/>
      <c r="AM45" s="823"/>
      <c r="AN45" s="823"/>
      <c r="AO45" s="823"/>
      <c r="AP45" s="823"/>
      <c r="AQ45" s="823"/>
      <c r="AR45" s="823"/>
      <c r="AS45" s="823"/>
      <c r="AT45" s="823"/>
      <c r="AU45" s="823"/>
      <c r="AV45" s="823"/>
      <c r="AW45" s="823"/>
      <c r="AX45" s="823"/>
      <c r="AY45" s="823"/>
      <c r="AZ45" s="823"/>
      <c r="BA45" s="823"/>
      <c r="BB45" s="823"/>
      <c r="BC45" s="823"/>
      <c r="BD45" s="823"/>
      <c r="BE45" s="823"/>
      <c r="BF45" s="823"/>
      <c r="BG45" s="823"/>
      <c r="BH45" s="823"/>
      <c r="BI45" s="823"/>
      <c r="BJ45" s="823"/>
      <c r="BK45" s="823"/>
      <c r="BL45" s="823"/>
      <c r="BM45" s="823"/>
      <c r="BO45" s="408">
        <v>36</v>
      </c>
      <c r="BP45" s="799" t="str">
        <f>SISWA!C41</f>
        <v>Anak 36</v>
      </c>
      <c r="BQ45" s="408">
        <f t="shared" si="2"/>
        <v>0</v>
      </c>
      <c r="BR45" s="408">
        <f t="shared" si="21"/>
        <v>0</v>
      </c>
      <c r="BS45" s="408">
        <f t="shared" si="4"/>
        <v>0</v>
      </c>
      <c r="BT45" s="408">
        <f t="shared" si="22"/>
        <v>0</v>
      </c>
      <c r="BU45" s="408">
        <f t="shared" si="6"/>
        <v>0</v>
      </c>
      <c r="BV45" s="408">
        <f t="shared" si="23"/>
        <v>0</v>
      </c>
      <c r="BW45" s="408">
        <f t="shared" si="8"/>
        <v>0</v>
      </c>
      <c r="BX45" s="408">
        <f t="shared" si="24"/>
        <v>0</v>
      </c>
      <c r="BY45" s="408">
        <f t="shared" si="10"/>
        <v>0</v>
      </c>
      <c r="BZ45" s="408">
        <f t="shared" si="25"/>
        <v>0</v>
      </c>
      <c r="CA45" s="408">
        <f t="shared" si="12"/>
        <v>0</v>
      </c>
      <c r="CB45" s="408">
        <f t="shared" si="26"/>
        <v>0</v>
      </c>
      <c r="CC45" s="408">
        <f t="shared" si="14"/>
        <v>0</v>
      </c>
      <c r="CD45" s="408">
        <f t="shared" si="27"/>
        <v>0</v>
      </c>
    </row>
    <row r="46" spans="2:82" ht="34.5" customHeight="1">
      <c r="B46" s="758"/>
      <c r="C46" s="762">
        <v>37</v>
      </c>
      <c r="D46" s="756"/>
      <c r="E46" s="757"/>
      <c r="F46" s="796" t="str">
        <f>IF(E46=0," ",VLOOKUP(E46,SISWA!$A$6:$C$55,3,FALSE))</f>
        <v xml:space="preserve"> </v>
      </c>
      <c r="G46" s="797" t="str">
        <f t="shared" si="19"/>
        <v xml:space="preserve"> </v>
      </c>
      <c r="H46" s="813"/>
      <c r="I46" s="824"/>
      <c r="J46" s="824"/>
      <c r="K46" s="824"/>
      <c r="L46" s="822" t="str">
        <f t="shared" si="16"/>
        <v xml:space="preserve"> </v>
      </c>
      <c r="M46" s="822" t="b">
        <f t="shared" si="17"/>
        <v>0</v>
      </c>
      <c r="N46" s="414" t="str">
        <f t="shared" si="18"/>
        <v xml:space="preserve"> </v>
      </c>
      <c r="O46" s="414" t="b">
        <f t="shared" si="20"/>
        <v>0</v>
      </c>
      <c r="P46" s="823"/>
      <c r="Q46" s="823"/>
      <c r="R46" s="823"/>
      <c r="S46" s="823"/>
      <c r="T46" s="823"/>
      <c r="U46" s="823"/>
      <c r="V46" s="823"/>
      <c r="W46" s="823"/>
      <c r="X46" s="823"/>
      <c r="Y46" s="823"/>
      <c r="Z46" s="823"/>
      <c r="AA46" s="823"/>
      <c r="AB46" s="823"/>
      <c r="AC46" s="823"/>
      <c r="AD46" s="823"/>
      <c r="AE46" s="823"/>
      <c r="AF46" s="823"/>
      <c r="AG46" s="823"/>
      <c r="AH46" s="823"/>
      <c r="AI46" s="823"/>
      <c r="AJ46" s="823"/>
      <c r="AK46" s="823"/>
      <c r="AL46" s="823"/>
      <c r="AM46" s="823"/>
      <c r="AN46" s="823"/>
      <c r="AO46" s="823"/>
      <c r="AP46" s="823"/>
      <c r="AQ46" s="823"/>
      <c r="AR46" s="823"/>
      <c r="AS46" s="823"/>
      <c r="AT46" s="823"/>
      <c r="AU46" s="823"/>
      <c r="AV46" s="823"/>
      <c r="AW46" s="823"/>
      <c r="AX46" s="823"/>
      <c r="AY46" s="823"/>
      <c r="AZ46" s="823"/>
      <c r="BA46" s="823"/>
      <c r="BB46" s="823"/>
      <c r="BC46" s="823"/>
      <c r="BD46" s="823"/>
      <c r="BE46" s="823"/>
      <c r="BF46" s="823"/>
      <c r="BG46" s="823"/>
      <c r="BH46" s="823"/>
      <c r="BI46" s="823"/>
      <c r="BJ46" s="823"/>
      <c r="BK46" s="823"/>
      <c r="BL46" s="823"/>
      <c r="BM46" s="823"/>
      <c r="BO46" s="408">
        <v>37</v>
      </c>
      <c r="BP46" s="799" t="str">
        <f>SISWA!C42</f>
        <v>Anak 37</v>
      </c>
      <c r="BQ46" s="408">
        <f t="shared" si="2"/>
        <v>0</v>
      </c>
      <c r="BR46" s="408">
        <f t="shared" si="21"/>
        <v>0</v>
      </c>
      <c r="BS46" s="408">
        <f t="shared" si="4"/>
        <v>0</v>
      </c>
      <c r="BT46" s="408">
        <f t="shared" si="22"/>
        <v>0</v>
      </c>
      <c r="BU46" s="408">
        <f t="shared" si="6"/>
        <v>0</v>
      </c>
      <c r="BV46" s="408">
        <f t="shared" si="23"/>
        <v>0</v>
      </c>
      <c r="BW46" s="408">
        <f t="shared" si="8"/>
        <v>0</v>
      </c>
      <c r="BX46" s="408">
        <f t="shared" si="24"/>
        <v>0</v>
      </c>
      <c r="BY46" s="408">
        <f t="shared" si="10"/>
        <v>0</v>
      </c>
      <c r="BZ46" s="408">
        <f t="shared" si="25"/>
        <v>0</v>
      </c>
      <c r="CA46" s="408">
        <f t="shared" si="12"/>
        <v>0</v>
      </c>
      <c r="CB46" s="408">
        <f t="shared" si="26"/>
        <v>0</v>
      </c>
      <c r="CC46" s="408">
        <f t="shared" si="14"/>
        <v>0</v>
      </c>
      <c r="CD46" s="408">
        <f t="shared" si="27"/>
        <v>0</v>
      </c>
    </row>
    <row r="47" spans="2:82" ht="34.5" customHeight="1">
      <c r="B47" s="758"/>
      <c r="C47" s="762">
        <v>38</v>
      </c>
      <c r="D47" s="756"/>
      <c r="E47" s="757"/>
      <c r="F47" s="796" t="str">
        <f>IF(E47=0," ",VLOOKUP(E47,SISWA!$A$6:$C$55,3,FALSE))</f>
        <v xml:space="preserve"> </v>
      </c>
      <c r="G47" s="797" t="str">
        <f t="shared" si="19"/>
        <v xml:space="preserve"> </v>
      </c>
      <c r="H47" s="813"/>
      <c r="I47" s="824"/>
      <c r="J47" s="824"/>
      <c r="K47" s="824"/>
      <c r="L47" s="822" t="str">
        <f t="shared" si="16"/>
        <v xml:space="preserve"> </v>
      </c>
      <c r="M47" s="822" t="b">
        <f t="shared" si="17"/>
        <v>0</v>
      </c>
      <c r="N47" s="414" t="str">
        <f t="shared" si="18"/>
        <v xml:space="preserve"> </v>
      </c>
      <c r="O47" s="414" t="b">
        <f t="shared" si="20"/>
        <v>0</v>
      </c>
      <c r="P47" s="823"/>
      <c r="Q47" s="823"/>
      <c r="R47" s="823"/>
      <c r="S47" s="823"/>
      <c r="T47" s="823"/>
      <c r="U47" s="823"/>
      <c r="V47" s="823"/>
      <c r="W47" s="823"/>
      <c r="X47" s="823"/>
      <c r="Y47" s="823"/>
      <c r="Z47" s="823"/>
      <c r="AA47" s="823"/>
      <c r="AB47" s="823"/>
      <c r="AC47" s="823"/>
      <c r="AD47" s="823"/>
      <c r="AE47" s="823"/>
      <c r="AF47" s="823"/>
      <c r="AG47" s="823"/>
      <c r="AH47" s="823"/>
      <c r="AI47" s="823"/>
      <c r="AJ47" s="823"/>
      <c r="AK47" s="823"/>
      <c r="AL47" s="823"/>
      <c r="AM47" s="823"/>
      <c r="AN47" s="823"/>
      <c r="AO47" s="823"/>
      <c r="AP47" s="823"/>
      <c r="AQ47" s="823"/>
      <c r="AR47" s="823"/>
      <c r="AS47" s="823"/>
      <c r="AT47" s="823"/>
      <c r="AU47" s="823"/>
      <c r="AV47" s="823"/>
      <c r="AW47" s="823"/>
      <c r="AX47" s="823"/>
      <c r="AY47" s="823"/>
      <c r="AZ47" s="823"/>
      <c r="BA47" s="823"/>
      <c r="BB47" s="823"/>
      <c r="BC47" s="823"/>
      <c r="BD47" s="823"/>
      <c r="BE47" s="823"/>
      <c r="BF47" s="823"/>
      <c r="BG47" s="823"/>
      <c r="BH47" s="823"/>
      <c r="BI47" s="823"/>
      <c r="BJ47" s="823"/>
      <c r="BK47" s="823"/>
      <c r="BL47" s="823"/>
      <c r="BM47" s="823"/>
      <c r="BO47" s="408">
        <v>38</v>
      </c>
      <c r="BP47" s="799" t="str">
        <f>SISWA!C43</f>
        <v>Anak 38</v>
      </c>
      <c r="BQ47" s="408">
        <f t="shared" si="2"/>
        <v>0</v>
      </c>
      <c r="BR47" s="408">
        <f t="shared" si="21"/>
        <v>0</v>
      </c>
      <c r="BS47" s="408">
        <f t="shared" si="4"/>
        <v>0</v>
      </c>
      <c r="BT47" s="408">
        <f t="shared" si="22"/>
        <v>0</v>
      </c>
      <c r="BU47" s="408">
        <f t="shared" si="6"/>
        <v>0</v>
      </c>
      <c r="BV47" s="408">
        <f t="shared" si="23"/>
        <v>0</v>
      </c>
      <c r="BW47" s="408">
        <f t="shared" si="8"/>
        <v>0</v>
      </c>
      <c r="BX47" s="408">
        <f t="shared" si="24"/>
        <v>0</v>
      </c>
      <c r="BY47" s="408">
        <f t="shared" si="10"/>
        <v>0</v>
      </c>
      <c r="BZ47" s="408">
        <f t="shared" si="25"/>
        <v>0</v>
      </c>
      <c r="CA47" s="408">
        <f t="shared" si="12"/>
        <v>0</v>
      </c>
      <c r="CB47" s="408">
        <f t="shared" si="26"/>
        <v>0</v>
      </c>
      <c r="CC47" s="408">
        <f t="shared" si="14"/>
        <v>0</v>
      </c>
      <c r="CD47" s="408">
        <f t="shared" si="27"/>
        <v>0</v>
      </c>
    </row>
    <row r="48" spans="2:82" ht="34.5" customHeight="1">
      <c r="B48" s="758"/>
      <c r="C48" s="762">
        <v>39</v>
      </c>
      <c r="D48" s="756"/>
      <c r="E48" s="757"/>
      <c r="F48" s="796" t="str">
        <f>IF(E48=0," ",VLOOKUP(E48,SISWA!$A$6:$C$55,3,FALSE))</f>
        <v xml:space="preserve"> </v>
      </c>
      <c r="G48" s="797" t="str">
        <f t="shared" si="19"/>
        <v xml:space="preserve"> </v>
      </c>
      <c r="H48" s="813"/>
      <c r="I48" s="824"/>
      <c r="J48" s="824"/>
      <c r="K48" s="824"/>
      <c r="L48" s="822" t="str">
        <f t="shared" si="16"/>
        <v xml:space="preserve"> </v>
      </c>
      <c r="M48" s="822" t="b">
        <f t="shared" si="17"/>
        <v>0</v>
      </c>
      <c r="N48" s="414" t="str">
        <f t="shared" si="18"/>
        <v xml:space="preserve"> </v>
      </c>
      <c r="O48" s="414" t="b">
        <f t="shared" si="20"/>
        <v>0</v>
      </c>
      <c r="P48" s="823"/>
      <c r="Q48" s="823"/>
      <c r="R48" s="823"/>
      <c r="S48" s="823"/>
      <c r="T48" s="823"/>
      <c r="U48" s="823"/>
      <c r="V48" s="823"/>
      <c r="W48" s="823"/>
      <c r="X48" s="823"/>
      <c r="Y48" s="823"/>
      <c r="Z48" s="823"/>
      <c r="AA48" s="823"/>
      <c r="AB48" s="823"/>
      <c r="AC48" s="823"/>
      <c r="AD48" s="823"/>
      <c r="AE48" s="823"/>
      <c r="AF48" s="823"/>
      <c r="AG48" s="823"/>
      <c r="AH48" s="823"/>
      <c r="AI48" s="823"/>
      <c r="AJ48" s="823"/>
      <c r="AK48" s="823"/>
      <c r="AL48" s="823"/>
      <c r="AM48" s="823"/>
      <c r="AN48" s="823"/>
      <c r="AO48" s="823"/>
      <c r="AP48" s="823"/>
      <c r="AQ48" s="823"/>
      <c r="AR48" s="823"/>
      <c r="AS48" s="823"/>
      <c r="AT48" s="823"/>
      <c r="AU48" s="823"/>
      <c r="AV48" s="823"/>
      <c r="AW48" s="823"/>
      <c r="AX48" s="823"/>
      <c r="AY48" s="823"/>
      <c r="AZ48" s="823"/>
      <c r="BA48" s="823"/>
      <c r="BB48" s="823"/>
      <c r="BC48" s="823"/>
      <c r="BD48" s="823"/>
      <c r="BE48" s="823"/>
      <c r="BF48" s="823"/>
      <c r="BG48" s="823"/>
      <c r="BH48" s="823"/>
      <c r="BI48" s="823"/>
      <c r="BJ48" s="823"/>
      <c r="BK48" s="823"/>
      <c r="BL48" s="823"/>
      <c r="BM48" s="823"/>
      <c r="BO48" s="408">
        <v>39</v>
      </c>
      <c r="BP48" s="799" t="str">
        <f>SISWA!C44</f>
        <v>Anak 39</v>
      </c>
      <c r="BQ48" s="408">
        <f t="shared" si="2"/>
        <v>0</v>
      </c>
      <c r="BR48" s="408">
        <f t="shared" si="21"/>
        <v>0</v>
      </c>
      <c r="BS48" s="408">
        <f t="shared" si="4"/>
        <v>0</v>
      </c>
      <c r="BT48" s="408">
        <f t="shared" si="22"/>
        <v>0</v>
      </c>
      <c r="BU48" s="408">
        <f t="shared" si="6"/>
        <v>0</v>
      </c>
      <c r="BV48" s="408">
        <f t="shared" si="23"/>
        <v>0</v>
      </c>
      <c r="BW48" s="408">
        <f t="shared" si="8"/>
        <v>0</v>
      </c>
      <c r="BX48" s="408">
        <f t="shared" si="24"/>
        <v>0</v>
      </c>
      <c r="BY48" s="408">
        <f t="shared" si="10"/>
        <v>0</v>
      </c>
      <c r="BZ48" s="408">
        <f t="shared" si="25"/>
        <v>0</v>
      </c>
      <c r="CA48" s="408">
        <f t="shared" si="12"/>
        <v>0</v>
      </c>
      <c r="CB48" s="408">
        <f t="shared" si="26"/>
        <v>0</v>
      </c>
      <c r="CC48" s="408">
        <f t="shared" si="14"/>
        <v>0</v>
      </c>
      <c r="CD48" s="408">
        <f t="shared" si="27"/>
        <v>0</v>
      </c>
    </row>
    <row r="49" spans="2:82" ht="34.5" customHeight="1">
      <c r="B49" s="758"/>
      <c r="C49" s="762">
        <v>40</v>
      </c>
      <c r="D49" s="756"/>
      <c r="E49" s="757"/>
      <c r="F49" s="796" t="str">
        <f>IF(E49=0," ",VLOOKUP(E49,SISWA!$A$6:$C$55,3,FALSE))</f>
        <v xml:space="preserve"> </v>
      </c>
      <c r="G49" s="797" t="str">
        <f t="shared" si="19"/>
        <v xml:space="preserve"> </v>
      </c>
      <c r="H49" s="813"/>
      <c r="I49" s="824"/>
      <c r="J49" s="824"/>
      <c r="K49" s="824"/>
      <c r="L49" s="822" t="str">
        <f t="shared" si="16"/>
        <v xml:space="preserve"> </v>
      </c>
      <c r="M49" s="822" t="b">
        <f t="shared" si="17"/>
        <v>0</v>
      </c>
      <c r="N49" s="414" t="str">
        <f t="shared" si="18"/>
        <v xml:space="preserve"> </v>
      </c>
      <c r="O49" s="414" t="b">
        <f t="shared" si="20"/>
        <v>0</v>
      </c>
      <c r="P49" s="823"/>
      <c r="Q49" s="823"/>
      <c r="R49" s="823"/>
      <c r="S49" s="823"/>
      <c r="T49" s="823"/>
      <c r="U49" s="823"/>
      <c r="V49" s="823"/>
      <c r="W49" s="823"/>
      <c r="X49" s="823"/>
      <c r="Y49" s="823"/>
      <c r="Z49" s="823"/>
      <c r="AA49" s="823"/>
      <c r="AB49" s="823"/>
      <c r="AC49" s="823"/>
      <c r="AD49" s="823"/>
      <c r="AE49" s="823"/>
      <c r="AF49" s="823"/>
      <c r="AG49" s="823"/>
      <c r="AH49" s="823"/>
      <c r="AI49" s="823"/>
      <c r="AJ49" s="823"/>
      <c r="AK49" s="823"/>
      <c r="AL49" s="823"/>
      <c r="AM49" s="823"/>
      <c r="AN49" s="823"/>
      <c r="AO49" s="823"/>
      <c r="AP49" s="823"/>
      <c r="AQ49" s="823"/>
      <c r="AR49" s="823"/>
      <c r="AS49" s="823"/>
      <c r="AT49" s="823"/>
      <c r="AU49" s="823"/>
      <c r="AV49" s="823"/>
      <c r="AW49" s="823"/>
      <c r="AX49" s="823"/>
      <c r="AY49" s="823"/>
      <c r="AZ49" s="823"/>
      <c r="BA49" s="823"/>
      <c r="BB49" s="823"/>
      <c r="BC49" s="823"/>
      <c r="BD49" s="823"/>
      <c r="BE49" s="823"/>
      <c r="BF49" s="823"/>
      <c r="BG49" s="823"/>
      <c r="BH49" s="823"/>
      <c r="BI49" s="823"/>
      <c r="BJ49" s="823"/>
      <c r="BK49" s="823"/>
      <c r="BL49" s="823"/>
      <c r="BM49" s="823"/>
      <c r="BO49" s="408">
        <v>40</v>
      </c>
      <c r="BP49" s="799" t="str">
        <f>SISWA!C45</f>
        <v>Anak 40</v>
      </c>
      <c r="BQ49" s="408">
        <f t="shared" si="2"/>
        <v>0</v>
      </c>
      <c r="BR49" s="408">
        <f t="shared" si="21"/>
        <v>0</v>
      </c>
      <c r="BS49" s="408">
        <f t="shared" si="4"/>
        <v>0</v>
      </c>
      <c r="BT49" s="408">
        <f t="shared" si="22"/>
        <v>0</v>
      </c>
      <c r="BU49" s="408">
        <f t="shared" si="6"/>
        <v>0</v>
      </c>
      <c r="BV49" s="408">
        <f t="shared" si="23"/>
        <v>0</v>
      </c>
      <c r="BW49" s="408">
        <f t="shared" si="8"/>
        <v>0</v>
      </c>
      <c r="BX49" s="408">
        <f t="shared" si="24"/>
        <v>0</v>
      </c>
      <c r="BY49" s="408">
        <f t="shared" si="10"/>
        <v>0</v>
      </c>
      <c r="BZ49" s="408">
        <f t="shared" si="25"/>
        <v>0</v>
      </c>
      <c r="CA49" s="408">
        <f t="shared" si="12"/>
        <v>0</v>
      </c>
      <c r="CB49" s="408">
        <f t="shared" si="26"/>
        <v>0</v>
      </c>
      <c r="CC49" s="408">
        <f t="shared" si="14"/>
        <v>0</v>
      </c>
      <c r="CD49" s="408">
        <f t="shared" si="27"/>
        <v>0</v>
      </c>
    </row>
    <row r="50" spans="2:82" ht="34.5" customHeight="1">
      <c r="B50" s="758"/>
      <c r="C50" s="762">
        <v>41</v>
      </c>
      <c r="D50" s="756"/>
      <c r="E50" s="757"/>
      <c r="F50" s="796" t="str">
        <f>IF(E50=0," ",VLOOKUP(E50,SISWA!$A$6:$C$55,3,FALSE))</f>
        <v xml:space="preserve"> </v>
      </c>
      <c r="G50" s="797" t="str">
        <f t="shared" si="19"/>
        <v xml:space="preserve"> </v>
      </c>
      <c r="H50" s="813"/>
      <c r="I50" s="824"/>
      <c r="J50" s="824"/>
      <c r="K50" s="824"/>
      <c r="L50" s="822" t="str">
        <f t="shared" si="16"/>
        <v xml:space="preserve"> </v>
      </c>
      <c r="M50" s="822" t="b">
        <f t="shared" si="17"/>
        <v>0</v>
      </c>
      <c r="N50" s="414" t="str">
        <f t="shared" si="18"/>
        <v xml:space="preserve"> </v>
      </c>
      <c r="O50" s="414" t="b">
        <f t="shared" si="20"/>
        <v>0</v>
      </c>
      <c r="P50" s="823"/>
      <c r="Q50" s="823"/>
      <c r="R50" s="823"/>
      <c r="S50" s="823"/>
      <c r="T50" s="823"/>
      <c r="U50" s="823"/>
      <c r="V50" s="823"/>
      <c r="W50" s="823"/>
      <c r="X50" s="823"/>
      <c r="Y50" s="823"/>
      <c r="Z50" s="823"/>
      <c r="AA50" s="823"/>
      <c r="AB50" s="823"/>
      <c r="AC50" s="823"/>
      <c r="AD50" s="823"/>
      <c r="AE50" s="823"/>
      <c r="AF50" s="823"/>
      <c r="AG50" s="823"/>
      <c r="AH50" s="823"/>
      <c r="AI50" s="823"/>
      <c r="AJ50" s="823"/>
      <c r="AK50" s="823"/>
      <c r="AL50" s="823"/>
      <c r="AM50" s="823"/>
      <c r="AN50" s="823"/>
      <c r="AO50" s="823"/>
      <c r="AP50" s="823"/>
      <c r="AQ50" s="823"/>
      <c r="AR50" s="823"/>
      <c r="AS50" s="823"/>
      <c r="AT50" s="823"/>
      <c r="AU50" s="823"/>
      <c r="AV50" s="823"/>
      <c r="AW50" s="823"/>
      <c r="AX50" s="823"/>
      <c r="AY50" s="823"/>
      <c r="AZ50" s="823"/>
      <c r="BA50" s="823"/>
      <c r="BB50" s="823"/>
      <c r="BC50" s="823"/>
      <c r="BD50" s="823"/>
      <c r="BE50" s="823"/>
      <c r="BF50" s="823"/>
      <c r="BG50" s="823"/>
      <c r="BH50" s="823"/>
      <c r="BI50" s="823"/>
      <c r="BJ50" s="823"/>
      <c r="BK50" s="823"/>
      <c r="BL50" s="823"/>
      <c r="BM50" s="823"/>
      <c r="BO50" s="408">
        <v>41</v>
      </c>
      <c r="BP50" s="799" t="str">
        <f>SISWA!C46</f>
        <v>Anak 41</v>
      </c>
      <c r="BQ50" s="408">
        <f t="shared" si="2"/>
        <v>0</v>
      </c>
      <c r="BR50" s="408">
        <f t="shared" si="21"/>
        <v>0</v>
      </c>
      <c r="BS50" s="408">
        <f t="shared" si="4"/>
        <v>0</v>
      </c>
      <c r="BT50" s="408">
        <f t="shared" si="22"/>
        <v>0</v>
      </c>
      <c r="BU50" s="408">
        <f t="shared" si="6"/>
        <v>0</v>
      </c>
      <c r="BV50" s="408">
        <f t="shared" si="23"/>
        <v>0</v>
      </c>
      <c r="BW50" s="408">
        <f t="shared" si="8"/>
        <v>0</v>
      </c>
      <c r="BX50" s="408">
        <f t="shared" si="24"/>
        <v>0</v>
      </c>
      <c r="BY50" s="408">
        <f t="shared" si="10"/>
        <v>0</v>
      </c>
      <c r="BZ50" s="408">
        <f t="shared" si="25"/>
        <v>0</v>
      </c>
      <c r="CA50" s="408">
        <f t="shared" si="12"/>
        <v>0</v>
      </c>
      <c r="CB50" s="408">
        <f t="shared" si="26"/>
        <v>0</v>
      </c>
      <c r="CC50" s="408">
        <f t="shared" si="14"/>
        <v>0</v>
      </c>
      <c r="CD50" s="408">
        <f t="shared" si="27"/>
        <v>0</v>
      </c>
    </row>
    <row r="51" spans="2:82" ht="34.5" customHeight="1">
      <c r="B51" s="758"/>
      <c r="C51" s="762">
        <v>42</v>
      </c>
      <c r="D51" s="756"/>
      <c r="E51" s="757"/>
      <c r="F51" s="796" t="str">
        <f>IF(E51=0," ",VLOOKUP(E51,SISWA!$A$6:$C$55,3,FALSE))</f>
        <v xml:space="preserve"> </v>
      </c>
      <c r="G51" s="797" t="str">
        <f t="shared" si="19"/>
        <v xml:space="preserve"> </v>
      </c>
      <c r="H51" s="813"/>
      <c r="I51" s="824"/>
      <c r="J51" s="824"/>
      <c r="K51" s="824"/>
      <c r="L51" s="822" t="str">
        <f t="shared" si="16"/>
        <v xml:space="preserve"> </v>
      </c>
      <c r="M51" s="822" t="b">
        <f t="shared" si="17"/>
        <v>0</v>
      </c>
      <c r="N51" s="414" t="str">
        <f t="shared" si="18"/>
        <v xml:space="preserve"> </v>
      </c>
      <c r="O51" s="414" t="b">
        <f t="shared" si="20"/>
        <v>0</v>
      </c>
      <c r="P51" s="823"/>
      <c r="Q51" s="823"/>
      <c r="R51" s="823"/>
      <c r="S51" s="823"/>
      <c r="T51" s="823"/>
      <c r="U51" s="823"/>
      <c r="V51" s="823"/>
      <c r="W51" s="823"/>
      <c r="X51" s="823"/>
      <c r="Y51" s="823"/>
      <c r="Z51" s="823"/>
      <c r="AA51" s="823"/>
      <c r="AB51" s="823"/>
      <c r="AC51" s="823"/>
      <c r="AD51" s="823"/>
      <c r="AE51" s="823"/>
      <c r="AF51" s="823"/>
      <c r="AG51" s="823"/>
      <c r="AH51" s="823"/>
      <c r="AI51" s="823"/>
      <c r="AJ51" s="823"/>
      <c r="AK51" s="823"/>
      <c r="AL51" s="823"/>
      <c r="AM51" s="823"/>
      <c r="AN51" s="823"/>
      <c r="AO51" s="823"/>
      <c r="AP51" s="823"/>
      <c r="AQ51" s="823"/>
      <c r="AR51" s="823"/>
      <c r="AS51" s="823"/>
      <c r="AT51" s="823"/>
      <c r="AU51" s="823"/>
      <c r="AV51" s="823"/>
      <c r="AW51" s="823"/>
      <c r="AX51" s="823"/>
      <c r="AY51" s="823"/>
      <c r="AZ51" s="823"/>
      <c r="BA51" s="823"/>
      <c r="BB51" s="823"/>
      <c r="BC51" s="823"/>
      <c r="BD51" s="823"/>
      <c r="BE51" s="823"/>
      <c r="BF51" s="823"/>
      <c r="BG51" s="823"/>
      <c r="BH51" s="823"/>
      <c r="BI51" s="823"/>
      <c r="BJ51" s="823"/>
      <c r="BK51" s="823"/>
      <c r="BL51" s="823"/>
      <c r="BM51" s="823"/>
      <c r="BO51" s="408">
        <v>42</v>
      </c>
      <c r="BP51" s="799" t="str">
        <f>SISWA!C47</f>
        <v>Anak 42</v>
      </c>
      <c r="BQ51" s="408">
        <f t="shared" si="2"/>
        <v>0</v>
      </c>
      <c r="BR51" s="408">
        <f t="shared" si="21"/>
        <v>0</v>
      </c>
      <c r="BS51" s="408">
        <f t="shared" si="4"/>
        <v>0</v>
      </c>
      <c r="BT51" s="408">
        <f t="shared" si="22"/>
        <v>0</v>
      </c>
      <c r="BU51" s="408">
        <f t="shared" si="6"/>
        <v>0</v>
      </c>
      <c r="BV51" s="408">
        <f t="shared" si="23"/>
        <v>0</v>
      </c>
      <c r="BW51" s="408">
        <f t="shared" si="8"/>
        <v>0</v>
      </c>
      <c r="BX51" s="408">
        <f t="shared" si="24"/>
        <v>0</v>
      </c>
      <c r="BY51" s="408">
        <f t="shared" si="10"/>
        <v>0</v>
      </c>
      <c r="BZ51" s="408">
        <f t="shared" si="25"/>
        <v>0</v>
      </c>
      <c r="CA51" s="408">
        <f t="shared" si="12"/>
        <v>0</v>
      </c>
      <c r="CB51" s="408">
        <f t="shared" si="26"/>
        <v>0</v>
      </c>
      <c r="CC51" s="408">
        <f t="shared" si="14"/>
        <v>0</v>
      </c>
      <c r="CD51" s="408">
        <f t="shared" si="27"/>
        <v>0</v>
      </c>
    </row>
    <row r="52" spans="2:82" ht="34.5" customHeight="1">
      <c r="B52" s="758"/>
      <c r="C52" s="762">
        <v>43</v>
      </c>
      <c r="D52" s="756"/>
      <c r="E52" s="757"/>
      <c r="F52" s="796" t="str">
        <f>IF(E52=0," ",VLOOKUP(E52,SISWA!$A$6:$C$55,3,FALSE))</f>
        <v xml:space="preserve"> </v>
      </c>
      <c r="G52" s="797" t="str">
        <f t="shared" si="19"/>
        <v xml:space="preserve"> </v>
      </c>
      <c r="H52" s="813"/>
      <c r="I52" s="824"/>
      <c r="J52" s="824"/>
      <c r="K52" s="824"/>
      <c r="L52" s="822" t="str">
        <f t="shared" si="16"/>
        <v xml:space="preserve"> </v>
      </c>
      <c r="M52" s="822" t="b">
        <f t="shared" si="17"/>
        <v>0</v>
      </c>
      <c r="N52" s="414" t="str">
        <f t="shared" si="18"/>
        <v xml:space="preserve"> </v>
      </c>
      <c r="O52" s="414" t="b">
        <f t="shared" si="20"/>
        <v>0</v>
      </c>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O52" s="408">
        <v>43</v>
      </c>
      <c r="BP52" s="799" t="str">
        <f>SISWA!C48</f>
        <v>Anak 43</v>
      </c>
      <c r="BQ52" s="408">
        <f t="shared" si="2"/>
        <v>0</v>
      </c>
      <c r="BR52" s="408">
        <f t="shared" si="21"/>
        <v>0</v>
      </c>
      <c r="BS52" s="408">
        <f t="shared" si="4"/>
        <v>0</v>
      </c>
      <c r="BT52" s="408">
        <f t="shared" si="22"/>
        <v>0</v>
      </c>
      <c r="BU52" s="408">
        <f t="shared" si="6"/>
        <v>0</v>
      </c>
      <c r="BV52" s="408">
        <f t="shared" si="23"/>
        <v>0</v>
      </c>
      <c r="BW52" s="408">
        <f t="shared" si="8"/>
        <v>0</v>
      </c>
      <c r="BX52" s="408">
        <f t="shared" si="24"/>
        <v>0</v>
      </c>
      <c r="BY52" s="408">
        <f t="shared" si="10"/>
        <v>0</v>
      </c>
      <c r="BZ52" s="408">
        <f t="shared" si="25"/>
        <v>0</v>
      </c>
      <c r="CA52" s="408">
        <f t="shared" si="12"/>
        <v>0</v>
      </c>
      <c r="CB52" s="408">
        <f t="shared" si="26"/>
        <v>0</v>
      </c>
      <c r="CC52" s="408">
        <f t="shared" si="14"/>
        <v>0</v>
      </c>
      <c r="CD52" s="408">
        <f t="shared" si="27"/>
        <v>0</v>
      </c>
    </row>
    <row r="53" spans="2:82" ht="34.5" customHeight="1">
      <c r="B53" s="758"/>
      <c r="C53" s="762">
        <v>44</v>
      </c>
      <c r="D53" s="756"/>
      <c r="E53" s="757"/>
      <c r="F53" s="796" t="str">
        <f>IF(E53=0," ",VLOOKUP(E53,SISWA!$A$6:$C$55,3,FALSE))</f>
        <v xml:space="preserve"> </v>
      </c>
      <c r="G53" s="797" t="str">
        <f t="shared" si="19"/>
        <v xml:space="preserve"> </v>
      </c>
      <c r="H53" s="813"/>
      <c r="I53" s="824"/>
      <c r="J53" s="824"/>
      <c r="K53" s="824"/>
      <c r="L53" s="822" t="str">
        <f t="shared" si="16"/>
        <v xml:space="preserve"> </v>
      </c>
      <c r="M53" s="822" t="b">
        <f t="shared" si="17"/>
        <v>0</v>
      </c>
      <c r="N53" s="414" t="str">
        <f t="shared" si="18"/>
        <v xml:space="preserve"> </v>
      </c>
      <c r="O53" s="414" t="b">
        <f t="shared" si="20"/>
        <v>0</v>
      </c>
      <c r="P53" s="823"/>
      <c r="Q53" s="823"/>
      <c r="R53" s="823"/>
      <c r="S53" s="823"/>
      <c r="T53" s="823"/>
      <c r="U53" s="823"/>
      <c r="V53" s="823"/>
      <c r="W53" s="823"/>
      <c r="X53" s="823"/>
      <c r="Y53" s="823"/>
      <c r="Z53" s="823"/>
      <c r="AA53" s="823"/>
      <c r="AB53" s="823"/>
      <c r="AC53" s="823"/>
      <c r="AD53" s="823"/>
      <c r="AE53" s="823"/>
      <c r="AF53" s="823"/>
      <c r="AG53" s="823"/>
      <c r="AH53" s="823"/>
      <c r="AI53" s="823"/>
      <c r="AJ53" s="823"/>
      <c r="AK53" s="823"/>
      <c r="AL53" s="823"/>
      <c r="AM53" s="823"/>
      <c r="AN53" s="823"/>
      <c r="AO53" s="823"/>
      <c r="AP53" s="823"/>
      <c r="AQ53" s="823"/>
      <c r="AR53" s="823"/>
      <c r="AS53" s="823"/>
      <c r="AT53" s="823"/>
      <c r="AU53" s="823"/>
      <c r="AV53" s="823"/>
      <c r="AW53" s="823"/>
      <c r="AX53" s="823"/>
      <c r="AY53" s="823"/>
      <c r="AZ53" s="823"/>
      <c r="BA53" s="823"/>
      <c r="BB53" s="823"/>
      <c r="BC53" s="823"/>
      <c r="BD53" s="823"/>
      <c r="BE53" s="823"/>
      <c r="BF53" s="823"/>
      <c r="BG53" s="823"/>
      <c r="BH53" s="823"/>
      <c r="BI53" s="823"/>
      <c r="BJ53" s="823"/>
      <c r="BK53" s="823"/>
      <c r="BL53" s="823"/>
      <c r="BM53" s="823"/>
      <c r="BO53" s="408">
        <v>44</v>
      </c>
      <c r="BP53" s="799" t="str">
        <f>SISWA!C49</f>
        <v>Anak 44</v>
      </c>
      <c r="BQ53" s="408">
        <f t="shared" si="2"/>
        <v>0</v>
      </c>
      <c r="BR53" s="408">
        <f t="shared" si="21"/>
        <v>0</v>
      </c>
      <c r="BS53" s="408">
        <f t="shared" si="4"/>
        <v>0</v>
      </c>
      <c r="BT53" s="408">
        <f t="shared" si="22"/>
        <v>0</v>
      </c>
      <c r="BU53" s="408">
        <f t="shared" si="6"/>
        <v>0</v>
      </c>
      <c r="BV53" s="408">
        <f t="shared" si="23"/>
        <v>0</v>
      </c>
      <c r="BW53" s="408">
        <f t="shared" si="8"/>
        <v>0</v>
      </c>
      <c r="BX53" s="408">
        <f t="shared" si="24"/>
        <v>0</v>
      </c>
      <c r="BY53" s="408">
        <f t="shared" si="10"/>
        <v>0</v>
      </c>
      <c r="BZ53" s="408">
        <f t="shared" si="25"/>
        <v>0</v>
      </c>
      <c r="CA53" s="408">
        <f t="shared" si="12"/>
        <v>0</v>
      </c>
      <c r="CB53" s="408">
        <f t="shared" si="26"/>
        <v>0</v>
      </c>
      <c r="CC53" s="408">
        <f t="shared" si="14"/>
        <v>0</v>
      </c>
      <c r="CD53" s="408">
        <f t="shared" si="27"/>
        <v>0</v>
      </c>
    </row>
    <row r="54" spans="2:82" ht="34.5" customHeight="1">
      <c r="B54" s="758"/>
      <c r="C54" s="762">
        <v>45</v>
      </c>
      <c r="D54" s="756"/>
      <c r="E54" s="757"/>
      <c r="F54" s="796" t="str">
        <f>IF(E54=0," ",VLOOKUP(E54,SISWA!$A$6:$C$55,3,FALSE))</f>
        <v xml:space="preserve"> </v>
      </c>
      <c r="G54" s="797" t="str">
        <f t="shared" si="19"/>
        <v xml:space="preserve"> </v>
      </c>
      <c r="H54" s="813"/>
      <c r="I54" s="824"/>
      <c r="J54" s="824"/>
      <c r="K54" s="824"/>
      <c r="L54" s="822" t="str">
        <f t="shared" si="16"/>
        <v xml:space="preserve"> </v>
      </c>
      <c r="M54" s="822" t="b">
        <f t="shared" si="17"/>
        <v>0</v>
      </c>
      <c r="N54" s="414" t="str">
        <f t="shared" si="18"/>
        <v xml:space="preserve"> </v>
      </c>
      <c r="O54" s="414" t="b">
        <f t="shared" si="20"/>
        <v>0</v>
      </c>
      <c r="P54" s="823"/>
      <c r="Q54" s="823"/>
      <c r="R54" s="823"/>
      <c r="S54" s="823"/>
      <c r="T54" s="823"/>
      <c r="U54" s="823"/>
      <c r="V54" s="823"/>
      <c r="W54" s="823"/>
      <c r="X54" s="823"/>
      <c r="Y54" s="823"/>
      <c r="Z54" s="823"/>
      <c r="AA54" s="823"/>
      <c r="AB54" s="823"/>
      <c r="AC54" s="823"/>
      <c r="AD54" s="823"/>
      <c r="AE54" s="823"/>
      <c r="AF54" s="823"/>
      <c r="AG54" s="823"/>
      <c r="AH54" s="823"/>
      <c r="AI54" s="823"/>
      <c r="AJ54" s="823"/>
      <c r="AK54" s="823"/>
      <c r="AL54" s="823"/>
      <c r="AM54" s="823"/>
      <c r="AN54" s="823"/>
      <c r="AO54" s="823"/>
      <c r="AP54" s="823"/>
      <c r="AQ54" s="823"/>
      <c r="AR54" s="823"/>
      <c r="AS54" s="823"/>
      <c r="AT54" s="823"/>
      <c r="AU54" s="823"/>
      <c r="AV54" s="823"/>
      <c r="AW54" s="823"/>
      <c r="AX54" s="823"/>
      <c r="AY54" s="823"/>
      <c r="AZ54" s="823"/>
      <c r="BA54" s="823"/>
      <c r="BB54" s="823"/>
      <c r="BC54" s="823"/>
      <c r="BD54" s="823"/>
      <c r="BE54" s="823"/>
      <c r="BF54" s="823"/>
      <c r="BG54" s="823"/>
      <c r="BH54" s="823"/>
      <c r="BI54" s="823"/>
      <c r="BJ54" s="823"/>
      <c r="BK54" s="823"/>
      <c r="BL54" s="823"/>
      <c r="BM54" s="823"/>
      <c r="BO54" s="408">
        <v>45</v>
      </c>
      <c r="BP54" s="799" t="str">
        <f>SISWA!C50</f>
        <v>Anak 45</v>
      </c>
      <c r="BQ54" s="408">
        <f t="shared" si="2"/>
        <v>0</v>
      </c>
      <c r="BR54" s="408">
        <f t="shared" si="21"/>
        <v>0</v>
      </c>
      <c r="BS54" s="408">
        <f t="shared" si="4"/>
        <v>0</v>
      </c>
      <c r="BT54" s="408">
        <f t="shared" si="22"/>
        <v>0</v>
      </c>
      <c r="BU54" s="408">
        <f t="shared" si="6"/>
        <v>0</v>
      </c>
      <c r="BV54" s="408">
        <f t="shared" si="23"/>
        <v>0</v>
      </c>
      <c r="BW54" s="408">
        <f t="shared" si="8"/>
        <v>0</v>
      </c>
      <c r="BX54" s="408">
        <f t="shared" si="24"/>
        <v>0</v>
      </c>
      <c r="BY54" s="408">
        <f t="shared" si="10"/>
        <v>0</v>
      </c>
      <c r="BZ54" s="408">
        <f t="shared" si="25"/>
        <v>0</v>
      </c>
      <c r="CA54" s="408">
        <f t="shared" si="12"/>
        <v>0</v>
      </c>
      <c r="CB54" s="408">
        <f t="shared" si="26"/>
        <v>0</v>
      </c>
      <c r="CC54" s="408">
        <f t="shared" si="14"/>
        <v>0</v>
      </c>
      <c r="CD54" s="408">
        <f t="shared" si="27"/>
        <v>0</v>
      </c>
    </row>
    <row r="55" spans="2:82" ht="34.5" customHeight="1">
      <c r="B55" s="758"/>
      <c r="C55" s="762">
        <v>46</v>
      </c>
      <c r="D55" s="756"/>
      <c r="E55" s="757"/>
      <c r="F55" s="796" t="str">
        <f>IF(E55=0," ",VLOOKUP(E55,SISWA!$A$6:$C$55,3,FALSE))</f>
        <v xml:space="preserve"> </v>
      </c>
      <c r="G55" s="797" t="str">
        <f t="shared" si="19"/>
        <v xml:space="preserve"> </v>
      </c>
      <c r="H55" s="813"/>
      <c r="I55" s="824"/>
      <c r="J55" s="824"/>
      <c r="K55" s="824"/>
      <c r="L55" s="822" t="str">
        <f t="shared" si="16"/>
        <v xml:space="preserve"> </v>
      </c>
      <c r="M55" s="822" t="b">
        <f t="shared" si="17"/>
        <v>0</v>
      </c>
      <c r="N55" s="414" t="str">
        <f t="shared" si="18"/>
        <v xml:space="preserve"> </v>
      </c>
      <c r="O55" s="414" t="b">
        <f t="shared" si="20"/>
        <v>0</v>
      </c>
      <c r="P55" s="823"/>
      <c r="Q55" s="823"/>
      <c r="R55" s="823"/>
      <c r="S55" s="823"/>
      <c r="T55" s="823"/>
      <c r="U55" s="823"/>
      <c r="V55" s="823"/>
      <c r="W55" s="823"/>
      <c r="X55" s="823"/>
      <c r="Y55" s="823"/>
      <c r="Z55" s="823"/>
      <c r="AA55" s="823"/>
      <c r="AB55" s="823"/>
      <c r="AC55" s="823"/>
      <c r="AD55" s="823"/>
      <c r="AE55" s="823"/>
      <c r="AF55" s="823"/>
      <c r="AG55" s="823"/>
      <c r="AH55" s="823"/>
      <c r="AI55" s="823"/>
      <c r="AJ55" s="823"/>
      <c r="AK55" s="823"/>
      <c r="AL55" s="823"/>
      <c r="AM55" s="823"/>
      <c r="AN55" s="823"/>
      <c r="AO55" s="823"/>
      <c r="AP55" s="823"/>
      <c r="AQ55" s="823"/>
      <c r="AR55" s="823"/>
      <c r="AS55" s="823"/>
      <c r="AT55" s="823"/>
      <c r="AU55" s="823"/>
      <c r="AV55" s="823"/>
      <c r="AW55" s="823"/>
      <c r="AX55" s="823"/>
      <c r="AY55" s="823"/>
      <c r="AZ55" s="823"/>
      <c r="BA55" s="823"/>
      <c r="BB55" s="823"/>
      <c r="BC55" s="823"/>
      <c r="BD55" s="823"/>
      <c r="BE55" s="823"/>
      <c r="BF55" s="823"/>
      <c r="BG55" s="823"/>
      <c r="BH55" s="823"/>
      <c r="BI55" s="823"/>
      <c r="BJ55" s="823"/>
      <c r="BK55" s="823"/>
      <c r="BL55" s="823"/>
      <c r="BM55" s="823"/>
      <c r="BO55" s="408">
        <v>46</v>
      </c>
      <c r="BP55" s="799" t="str">
        <f>SISWA!C51</f>
        <v>Anak 46</v>
      </c>
      <c r="BQ55" s="408">
        <f t="shared" ref="BQ55:BQ58" si="28">SUMIFS($L$10:$L$109,$M$10:$M$109,"A",$E$10:$E$109,BO55)</f>
        <v>0</v>
      </c>
      <c r="BR55" s="408">
        <f t="shared" si="21"/>
        <v>0</v>
      </c>
      <c r="BS55" s="408">
        <f t="shared" ref="BS55:BS58" si="29">SUMIFS($L$10:$L$109,$M$10:$M$109,"B",$E$10:$E$109,BO55)</f>
        <v>0</v>
      </c>
      <c r="BT55" s="408">
        <f t="shared" si="22"/>
        <v>0</v>
      </c>
      <c r="BU55" s="408">
        <f t="shared" ref="BU55:BU58" si="30">SUMIFS($L$10:$L$109,$M$10:$M$109,"C",$E$10:$E$109,BO55)</f>
        <v>0</v>
      </c>
      <c r="BV55" s="408">
        <f t="shared" si="23"/>
        <v>0</v>
      </c>
      <c r="BW55" s="408">
        <f t="shared" ref="BW55:BW58" si="31">SUMIFS($L$10:$L$109,$M$10:$M$109,"D",$E$10:$E$109,BO55)</f>
        <v>0</v>
      </c>
      <c r="BX55" s="408">
        <f t="shared" si="24"/>
        <v>0</v>
      </c>
      <c r="BY55" s="408">
        <f t="shared" ref="BY55:BY58" si="32">SUMIFS($L$10:$L$109,$M$10:$M$109,"E",$E$10:$E$109,BO55)</f>
        <v>0</v>
      </c>
      <c r="BZ55" s="408">
        <f t="shared" si="25"/>
        <v>0</v>
      </c>
      <c r="CA55" s="408">
        <f t="shared" ref="CA55:CA58" si="33">SUMIFS($L$10:$L$109,$M$10:$M$109,"F",$E$10:$E$109,BO55)</f>
        <v>0</v>
      </c>
      <c r="CB55" s="408">
        <f t="shared" si="26"/>
        <v>0</v>
      </c>
      <c r="CC55" s="408">
        <f t="shared" ref="CC55:CC58" si="34">SUMIFS($L$10:$L$109,$M$10:$M$109,"G",$E$10:$E$109,BO55)</f>
        <v>0</v>
      </c>
      <c r="CD55" s="408">
        <f t="shared" si="27"/>
        <v>0</v>
      </c>
    </row>
    <row r="56" spans="2:82" ht="34.5" customHeight="1">
      <c r="B56" s="758"/>
      <c r="C56" s="762">
        <v>47</v>
      </c>
      <c r="D56" s="756"/>
      <c r="E56" s="757"/>
      <c r="F56" s="796" t="str">
        <f>IF(E56=0," ",VLOOKUP(E56,SISWA!$A$6:$C$55,3,FALSE))</f>
        <v xml:space="preserve"> </v>
      </c>
      <c r="G56" s="797" t="str">
        <f t="shared" si="19"/>
        <v xml:space="preserve"> </v>
      </c>
      <c r="H56" s="813"/>
      <c r="I56" s="824"/>
      <c r="J56" s="824"/>
      <c r="K56" s="824"/>
      <c r="L56" s="822" t="str">
        <f t="shared" si="16"/>
        <v xml:space="preserve"> </v>
      </c>
      <c r="M56" s="822" t="b">
        <f t="shared" si="17"/>
        <v>0</v>
      </c>
      <c r="N56" s="414" t="str">
        <f t="shared" si="18"/>
        <v xml:space="preserve"> </v>
      </c>
      <c r="O56" s="414" t="b">
        <f t="shared" si="20"/>
        <v>0</v>
      </c>
      <c r="P56" s="823"/>
      <c r="Q56" s="823"/>
      <c r="R56" s="823"/>
      <c r="S56" s="823"/>
      <c r="T56" s="823"/>
      <c r="U56" s="823"/>
      <c r="V56" s="823"/>
      <c r="W56" s="823"/>
      <c r="X56" s="823"/>
      <c r="Y56" s="823"/>
      <c r="Z56" s="823"/>
      <c r="AA56" s="823"/>
      <c r="AB56" s="823"/>
      <c r="AC56" s="823"/>
      <c r="AD56" s="823"/>
      <c r="AE56" s="823"/>
      <c r="AF56" s="823"/>
      <c r="AG56" s="823"/>
      <c r="AH56" s="823"/>
      <c r="AI56" s="823"/>
      <c r="AJ56" s="823"/>
      <c r="AK56" s="823"/>
      <c r="AL56" s="823"/>
      <c r="AM56" s="823"/>
      <c r="AN56" s="823"/>
      <c r="AO56" s="823"/>
      <c r="AP56" s="823"/>
      <c r="AQ56" s="823"/>
      <c r="AR56" s="823"/>
      <c r="AS56" s="823"/>
      <c r="AT56" s="823"/>
      <c r="AU56" s="823"/>
      <c r="AV56" s="823"/>
      <c r="AW56" s="823"/>
      <c r="AX56" s="823"/>
      <c r="AY56" s="823"/>
      <c r="AZ56" s="823"/>
      <c r="BA56" s="823"/>
      <c r="BB56" s="823"/>
      <c r="BC56" s="823"/>
      <c r="BD56" s="823"/>
      <c r="BE56" s="823"/>
      <c r="BF56" s="823"/>
      <c r="BG56" s="823"/>
      <c r="BH56" s="823"/>
      <c r="BI56" s="823"/>
      <c r="BJ56" s="823"/>
      <c r="BK56" s="823"/>
      <c r="BL56" s="823"/>
      <c r="BM56" s="823"/>
      <c r="BO56" s="408">
        <v>47</v>
      </c>
      <c r="BP56" s="799" t="str">
        <f>SISWA!C52</f>
        <v>Anak 47</v>
      </c>
      <c r="BQ56" s="408">
        <f t="shared" si="28"/>
        <v>0</v>
      </c>
      <c r="BR56" s="408">
        <f t="shared" si="21"/>
        <v>0</v>
      </c>
      <c r="BS56" s="408">
        <f t="shared" si="29"/>
        <v>0</v>
      </c>
      <c r="BT56" s="408">
        <f t="shared" si="22"/>
        <v>0</v>
      </c>
      <c r="BU56" s="408">
        <f t="shared" si="30"/>
        <v>0</v>
      </c>
      <c r="BV56" s="408">
        <f t="shared" si="23"/>
        <v>0</v>
      </c>
      <c r="BW56" s="408">
        <f t="shared" si="31"/>
        <v>0</v>
      </c>
      <c r="BX56" s="408">
        <f t="shared" si="24"/>
        <v>0</v>
      </c>
      <c r="BY56" s="408">
        <f t="shared" si="32"/>
        <v>0</v>
      </c>
      <c r="BZ56" s="408">
        <f t="shared" si="25"/>
        <v>0</v>
      </c>
      <c r="CA56" s="408">
        <f t="shared" si="33"/>
        <v>0</v>
      </c>
      <c r="CB56" s="408">
        <f t="shared" si="26"/>
        <v>0</v>
      </c>
      <c r="CC56" s="408">
        <f t="shared" si="34"/>
        <v>0</v>
      </c>
      <c r="CD56" s="408">
        <f t="shared" si="27"/>
        <v>0</v>
      </c>
    </row>
    <row r="57" spans="2:82" ht="34.5" customHeight="1">
      <c r="B57" s="758"/>
      <c r="C57" s="762">
        <v>48</v>
      </c>
      <c r="D57" s="756"/>
      <c r="E57" s="757"/>
      <c r="F57" s="796" t="str">
        <f>IF(E57=0," ",VLOOKUP(E57,SISWA!$A$6:$C$55,3,FALSE))</f>
        <v xml:space="preserve"> </v>
      </c>
      <c r="G57" s="797" t="str">
        <f t="shared" si="19"/>
        <v xml:space="preserve"> </v>
      </c>
      <c r="H57" s="813"/>
      <c r="I57" s="824"/>
      <c r="J57" s="824"/>
      <c r="K57" s="824"/>
      <c r="L57" s="822" t="str">
        <f t="shared" si="16"/>
        <v xml:space="preserve"> </v>
      </c>
      <c r="M57" s="822" t="b">
        <f t="shared" si="17"/>
        <v>0</v>
      </c>
      <c r="N57" s="414" t="str">
        <f t="shared" si="18"/>
        <v xml:space="preserve"> </v>
      </c>
      <c r="O57" s="414" t="b">
        <f t="shared" si="20"/>
        <v>0</v>
      </c>
      <c r="P57" s="823"/>
      <c r="Q57" s="823"/>
      <c r="R57" s="823"/>
      <c r="S57" s="823"/>
      <c r="T57" s="823"/>
      <c r="U57" s="823"/>
      <c r="V57" s="823"/>
      <c r="W57" s="823"/>
      <c r="X57" s="823"/>
      <c r="Y57" s="823"/>
      <c r="Z57" s="823"/>
      <c r="AA57" s="823"/>
      <c r="AB57" s="823"/>
      <c r="AC57" s="823"/>
      <c r="AD57" s="823"/>
      <c r="AE57" s="823"/>
      <c r="AF57" s="823"/>
      <c r="AG57" s="823"/>
      <c r="AH57" s="823"/>
      <c r="AI57" s="823"/>
      <c r="AJ57" s="823"/>
      <c r="AK57" s="823"/>
      <c r="AL57" s="823"/>
      <c r="AM57" s="823"/>
      <c r="AN57" s="823"/>
      <c r="AO57" s="823"/>
      <c r="AP57" s="823"/>
      <c r="AQ57" s="823"/>
      <c r="AR57" s="823"/>
      <c r="AS57" s="823"/>
      <c r="AT57" s="823"/>
      <c r="AU57" s="823"/>
      <c r="AV57" s="823"/>
      <c r="AW57" s="823"/>
      <c r="AX57" s="823"/>
      <c r="AY57" s="823"/>
      <c r="AZ57" s="823"/>
      <c r="BA57" s="823"/>
      <c r="BB57" s="823"/>
      <c r="BC57" s="823"/>
      <c r="BD57" s="823"/>
      <c r="BE57" s="823"/>
      <c r="BF57" s="823"/>
      <c r="BG57" s="823"/>
      <c r="BH57" s="823"/>
      <c r="BI57" s="823"/>
      <c r="BJ57" s="823"/>
      <c r="BK57" s="823"/>
      <c r="BL57" s="823"/>
      <c r="BM57" s="823"/>
      <c r="BO57" s="408">
        <v>48</v>
      </c>
      <c r="BP57" s="799" t="str">
        <f>SISWA!C53</f>
        <v>Anak 48</v>
      </c>
      <c r="BQ57" s="408">
        <f t="shared" si="28"/>
        <v>0</v>
      </c>
      <c r="BR57" s="408">
        <f t="shared" si="21"/>
        <v>0</v>
      </c>
      <c r="BS57" s="408">
        <f t="shared" si="29"/>
        <v>0</v>
      </c>
      <c r="BT57" s="408">
        <f t="shared" si="22"/>
        <v>0</v>
      </c>
      <c r="BU57" s="408">
        <f t="shared" si="30"/>
        <v>0</v>
      </c>
      <c r="BV57" s="408">
        <f t="shared" si="23"/>
        <v>0</v>
      </c>
      <c r="BW57" s="408">
        <f t="shared" si="31"/>
        <v>0</v>
      </c>
      <c r="BX57" s="408">
        <f t="shared" si="24"/>
        <v>0</v>
      </c>
      <c r="BY57" s="408">
        <f t="shared" si="32"/>
        <v>0</v>
      </c>
      <c r="BZ57" s="408">
        <f t="shared" si="25"/>
        <v>0</v>
      </c>
      <c r="CA57" s="408">
        <f t="shared" si="33"/>
        <v>0</v>
      </c>
      <c r="CB57" s="408">
        <f t="shared" si="26"/>
        <v>0</v>
      </c>
      <c r="CC57" s="408">
        <f t="shared" si="34"/>
        <v>0</v>
      </c>
      <c r="CD57" s="408">
        <f t="shared" si="27"/>
        <v>0</v>
      </c>
    </row>
    <row r="58" spans="2:82" ht="34.5" customHeight="1">
      <c r="B58" s="758"/>
      <c r="C58" s="762">
        <v>49</v>
      </c>
      <c r="D58" s="756"/>
      <c r="E58" s="757"/>
      <c r="F58" s="796" t="str">
        <f>IF(E58=0," ",VLOOKUP(E58,SISWA!$A$6:$C$55,3,FALSE))</f>
        <v xml:space="preserve"> </v>
      </c>
      <c r="G58" s="797" t="str">
        <f t="shared" si="19"/>
        <v xml:space="preserve"> </v>
      </c>
      <c r="H58" s="813"/>
      <c r="I58" s="824"/>
      <c r="J58" s="824"/>
      <c r="K58" s="824"/>
      <c r="L58" s="822" t="str">
        <f t="shared" si="16"/>
        <v xml:space="preserve"> </v>
      </c>
      <c r="M58" s="822" t="b">
        <f t="shared" si="17"/>
        <v>0</v>
      </c>
      <c r="N58" s="414" t="str">
        <f t="shared" si="18"/>
        <v xml:space="preserve"> </v>
      </c>
      <c r="O58" s="414" t="b">
        <f t="shared" si="20"/>
        <v>0</v>
      </c>
      <c r="P58" s="823"/>
      <c r="Q58" s="823"/>
      <c r="R58" s="823"/>
      <c r="S58" s="823"/>
      <c r="T58" s="823"/>
      <c r="U58" s="823"/>
      <c r="V58" s="823"/>
      <c r="W58" s="823"/>
      <c r="X58" s="823"/>
      <c r="Y58" s="823"/>
      <c r="Z58" s="823"/>
      <c r="AA58" s="823"/>
      <c r="AB58" s="823"/>
      <c r="AC58" s="823"/>
      <c r="AD58" s="823"/>
      <c r="AE58" s="823"/>
      <c r="AF58" s="823"/>
      <c r="AG58" s="823"/>
      <c r="AH58" s="823"/>
      <c r="AI58" s="823"/>
      <c r="AJ58" s="823"/>
      <c r="AK58" s="823"/>
      <c r="AL58" s="823"/>
      <c r="AM58" s="823"/>
      <c r="AN58" s="823"/>
      <c r="AO58" s="823"/>
      <c r="AP58" s="823"/>
      <c r="AQ58" s="823"/>
      <c r="AR58" s="823"/>
      <c r="AS58" s="823"/>
      <c r="AT58" s="823"/>
      <c r="AU58" s="823"/>
      <c r="AV58" s="823"/>
      <c r="AW58" s="823"/>
      <c r="AX58" s="823"/>
      <c r="AY58" s="823"/>
      <c r="AZ58" s="823"/>
      <c r="BA58" s="823"/>
      <c r="BB58" s="823"/>
      <c r="BC58" s="823"/>
      <c r="BD58" s="823"/>
      <c r="BE58" s="823"/>
      <c r="BF58" s="823"/>
      <c r="BG58" s="823"/>
      <c r="BH58" s="823"/>
      <c r="BI58" s="823"/>
      <c r="BJ58" s="823"/>
      <c r="BK58" s="823"/>
      <c r="BL58" s="823"/>
      <c r="BM58" s="823"/>
      <c r="BO58" s="408">
        <v>49</v>
      </c>
      <c r="BP58" s="799" t="str">
        <f>SISWA!C54</f>
        <v>Anak 49</v>
      </c>
      <c r="BQ58" s="408">
        <f t="shared" si="28"/>
        <v>0</v>
      </c>
      <c r="BR58" s="408">
        <f t="shared" si="21"/>
        <v>0</v>
      </c>
      <c r="BS58" s="408">
        <f t="shared" si="29"/>
        <v>0</v>
      </c>
      <c r="BT58" s="408">
        <f t="shared" si="22"/>
        <v>0</v>
      </c>
      <c r="BU58" s="408">
        <f t="shared" si="30"/>
        <v>0</v>
      </c>
      <c r="BV58" s="408">
        <f t="shared" si="23"/>
        <v>0</v>
      </c>
      <c r="BW58" s="408">
        <f t="shared" si="31"/>
        <v>0</v>
      </c>
      <c r="BX58" s="408">
        <f t="shared" si="24"/>
        <v>0</v>
      </c>
      <c r="BY58" s="408">
        <f t="shared" si="32"/>
        <v>0</v>
      </c>
      <c r="BZ58" s="408">
        <f t="shared" si="25"/>
        <v>0</v>
      </c>
      <c r="CA58" s="408">
        <f t="shared" si="33"/>
        <v>0</v>
      </c>
      <c r="CB58" s="408">
        <f t="shared" si="26"/>
        <v>0</v>
      </c>
      <c r="CC58" s="408">
        <f t="shared" si="34"/>
        <v>0</v>
      </c>
      <c r="CD58" s="408">
        <f t="shared" si="27"/>
        <v>0</v>
      </c>
    </row>
    <row r="59" spans="2:82" ht="34.5" customHeight="1">
      <c r="B59" s="758"/>
      <c r="C59" s="762">
        <v>50</v>
      </c>
      <c r="D59" s="756"/>
      <c r="E59" s="757"/>
      <c r="F59" s="796" t="str">
        <f>IF(E59=0," ",VLOOKUP(E59,SISWA!$A$6:$C$55,3,FALSE))</f>
        <v xml:space="preserve"> </v>
      </c>
      <c r="G59" s="797" t="str">
        <f t="shared" si="19"/>
        <v xml:space="preserve"> </v>
      </c>
      <c r="H59" s="813"/>
      <c r="I59" s="824"/>
      <c r="J59" s="824"/>
      <c r="K59" s="824"/>
      <c r="L59" s="822" t="str">
        <f t="shared" si="16"/>
        <v xml:space="preserve"> </v>
      </c>
      <c r="M59" s="822" t="b">
        <f t="shared" si="17"/>
        <v>0</v>
      </c>
      <c r="N59" s="414" t="str">
        <f t="shared" si="18"/>
        <v xml:space="preserve"> </v>
      </c>
      <c r="O59" s="414" t="b">
        <f t="shared" si="20"/>
        <v>0</v>
      </c>
      <c r="P59" s="823"/>
      <c r="Q59" s="823"/>
      <c r="R59" s="823"/>
      <c r="S59" s="823"/>
      <c r="T59" s="823"/>
      <c r="U59" s="823"/>
      <c r="V59" s="823"/>
      <c r="W59" s="823"/>
      <c r="X59" s="823"/>
      <c r="Y59" s="823"/>
      <c r="Z59" s="823"/>
      <c r="AA59" s="823"/>
      <c r="AB59" s="823"/>
      <c r="AC59" s="823"/>
      <c r="AD59" s="823"/>
      <c r="AE59" s="823"/>
      <c r="AF59" s="823"/>
      <c r="AG59" s="823"/>
      <c r="AH59" s="823"/>
      <c r="AI59" s="823"/>
      <c r="AJ59" s="823"/>
      <c r="AK59" s="823"/>
      <c r="AL59" s="823"/>
      <c r="AM59" s="823"/>
      <c r="AN59" s="823"/>
      <c r="AO59" s="823"/>
      <c r="AP59" s="823"/>
      <c r="AQ59" s="823"/>
      <c r="AR59" s="823"/>
      <c r="AS59" s="823"/>
      <c r="AT59" s="823"/>
      <c r="AU59" s="823"/>
      <c r="AV59" s="823"/>
      <c r="AW59" s="823"/>
      <c r="AX59" s="823"/>
      <c r="AY59" s="823"/>
      <c r="AZ59" s="823"/>
      <c r="BA59" s="823"/>
      <c r="BB59" s="823"/>
      <c r="BC59" s="823"/>
      <c r="BD59" s="823"/>
      <c r="BE59" s="823"/>
      <c r="BF59" s="823"/>
      <c r="BG59" s="823"/>
      <c r="BH59" s="823"/>
      <c r="BI59" s="823"/>
      <c r="BJ59" s="823"/>
      <c r="BK59" s="823"/>
      <c r="BL59" s="823"/>
      <c r="BM59" s="823"/>
      <c r="BO59" s="408">
        <v>50</v>
      </c>
      <c r="BP59" s="799" t="str">
        <f>SISWA!C55</f>
        <v>Anak 50</v>
      </c>
    </row>
    <row r="60" spans="2:82" ht="34.5" customHeight="1">
      <c r="B60" s="758"/>
      <c r="C60" s="762">
        <v>51</v>
      </c>
      <c r="D60" s="756"/>
      <c r="E60" s="757"/>
      <c r="F60" s="796" t="str">
        <f>IF(E60=0," ",VLOOKUP(E60,SISWA!$A$6:$C$55,3,FALSE))</f>
        <v xml:space="preserve"> </v>
      </c>
      <c r="G60" s="797" t="str">
        <f t="shared" si="19"/>
        <v xml:space="preserve"> </v>
      </c>
      <c r="H60" s="813"/>
      <c r="I60" s="824"/>
      <c r="J60" s="824"/>
      <c r="K60" s="824"/>
      <c r="L60" s="822" t="str">
        <f t="shared" si="16"/>
        <v xml:space="preserve"> </v>
      </c>
      <c r="M60" s="822" t="b">
        <f t="shared" si="17"/>
        <v>0</v>
      </c>
      <c r="N60" s="414" t="str">
        <f t="shared" si="18"/>
        <v xml:space="preserve"> </v>
      </c>
      <c r="O60" s="414" t="b">
        <f t="shared" si="20"/>
        <v>0</v>
      </c>
      <c r="P60" s="823"/>
      <c r="Q60" s="823"/>
      <c r="R60" s="823"/>
      <c r="S60" s="823"/>
      <c r="T60" s="823"/>
      <c r="U60" s="823"/>
      <c r="V60" s="823"/>
      <c r="W60" s="823"/>
      <c r="X60" s="823"/>
      <c r="Y60" s="823"/>
      <c r="Z60" s="823"/>
      <c r="AA60" s="823"/>
      <c r="AB60" s="823"/>
      <c r="AC60" s="823"/>
      <c r="AD60" s="823"/>
      <c r="AE60" s="823"/>
      <c r="AF60" s="823"/>
      <c r="AG60" s="823"/>
      <c r="AH60" s="823"/>
      <c r="AI60" s="823"/>
      <c r="AJ60" s="823"/>
      <c r="AK60" s="823"/>
      <c r="AL60" s="823"/>
      <c r="AM60" s="823"/>
      <c r="AN60" s="823"/>
      <c r="AO60" s="823"/>
      <c r="AP60" s="823"/>
      <c r="AQ60" s="823"/>
      <c r="AR60" s="823"/>
      <c r="AS60" s="823"/>
      <c r="AT60" s="823"/>
      <c r="AU60" s="823"/>
      <c r="AV60" s="823"/>
      <c r="AW60" s="823"/>
      <c r="AX60" s="823"/>
      <c r="AY60" s="823"/>
      <c r="AZ60" s="823"/>
      <c r="BA60" s="823"/>
      <c r="BB60" s="823"/>
      <c r="BC60" s="823"/>
      <c r="BD60" s="823"/>
      <c r="BE60" s="823"/>
      <c r="BF60" s="823"/>
      <c r="BG60" s="823"/>
      <c r="BH60" s="823"/>
      <c r="BI60" s="823"/>
      <c r="BJ60" s="823"/>
      <c r="BK60" s="823"/>
      <c r="BL60" s="823"/>
      <c r="BM60" s="823"/>
    </row>
    <row r="61" spans="2:82" ht="34.5" customHeight="1">
      <c r="B61" s="758"/>
      <c r="C61" s="762">
        <v>52</v>
      </c>
      <c r="D61" s="756"/>
      <c r="E61" s="757"/>
      <c r="F61" s="796" t="str">
        <f>IF(E61=0," ",VLOOKUP(E61,SISWA!$A$6:$C$55,3,FALSE))</f>
        <v xml:space="preserve"> </v>
      </c>
      <c r="G61" s="797" t="str">
        <f t="shared" si="19"/>
        <v xml:space="preserve"> </v>
      </c>
      <c r="H61" s="813"/>
      <c r="I61" s="824"/>
      <c r="J61" s="824"/>
      <c r="K61" s="824"/>
      <c r="L61" s="822" t="str">
        <f t="shared" si="16"/>
        <v xml:space="preserve"> </v>
      </c>
      <c r="M61" s="822" t="b">
        <f t="shared" si="17"/>
        <v>0</v>
      </c>
      <c r="N61" s="414" t="str">
        <f t="shared" si="18"/>
        <v xml:space="preserve"> </v>
      </c>
      <c r="O61" s="414" t="b">
        <f t="shared" si="20"/>
        <v>0</v>
      </c>
      <c r="P61" s="823"/>
      <c r="Q61" s="823"/>
      <c r="R61" s="823"/>
      <c r="S61" s="823"/>
      <c r="T61" s="823"/>
      <c r="U61" s="823"/>
      <c r="V61" s="823"/>
      <c r="W61" s="823"/>
      <c r="X61" s="823"/>
      <c r="Y61" s="823"/>
      <c r="Z61" s="823"/>
      <c r="AA61" s="823"/>
      <c r="AB61" s="823"/>
      <c r="AC61" s="823"/>
      <c r="AD61" s="823"/>
      <c r="AE61" s="823"/>
      <c r="AF61" s="823"/>
      <c r="AG61" s="823"/>
      <c r="AH61" s="823"/>
      <c r="AI61" s="823"/>
      <c r="AJ61" s="823"/>
      <c r="AK61" s="823"/>
      <c r="AL61" s="823"/>
      <c r="AM61" s="823"/>
      <c r="AN61" s="823"/>
      <c r="AO61" s="823"/>
      <c r="AP61" s="823"/>
      <c r="AQ61" s="823"/>
      <c r="AR61" s="823"/>
      <c r="AS61" s="823"/>
      <c r="AT61" s="823"/>
      <c r="AU61" s="823"/>
      <c r="AV61" s="823"/>
      <c r="AW61" s="823"/>
      <c r="AX61" s="823"/>
      <c r="AY61" s="823"/>
      <c r="AZ61" s="823"/>
      <c r="BA61" s="823"/>
      <c r="BB61" s="823"/>
      <c r="BC61" s="823"/>
      <c r="BD61" s="823"/>
      <c r="BE61" s="823"/>
      <c r="BF61" s="823"/>
      <c r="BG61" s="823"/>
      <c r="BH61" s="823"/>
      <c r="BI61" s="823"/>
      <c r="BJ61" s="823"/>
      <c r="BK61" s="823"/>
      <c r="BL61" s="823"/>
      <c r="BM61" s="823"/>
    </row>
    <row r="62" spans="2:82" ht="34.5" customHeight="1">
      <c r="B62" s="758"/>
      <c r="C62" s="762">
        <v>53</v>
      </c>
      <c r="D62" s="756"/>
      <c r="E62" s="757"/>
      <c r="F62" s="796" t="str">
        <f>IF(E62=0," ",VLOOKUP(E62,SISWA!$A$6:$C$55,3,FALSE))</f>
        <v xml:space="preserve"> </v>
      </c>
      <c r="G62" s="797" t="str">
        <f t="shared" si="19"/>
        <v xml:space="preserve"> </v>
      </c>
      <c r="H62" s="813"/>
      <c r="I62" s="824"/>
      <c r="J62" s="824"/>
      <c r="K62" s="824"/>
      <c r="L62" s="822" t="str">
        <f t="shared" si="16"/>
        <v xml:space="preserve"> </v>
      </c>
      <c r="M62" s="822" t="b">
        <f t="shared" si="17"/>
        <v>0</v>
      </c>
      <c r="N62" s="414" t="str">
        <f t="shared" si="18"/>
        <v xml:space="preserve"> </v>
      </c>
      <c r="O62" s="414" t="b">
        <f t="shared" si="20"/>
        <v>0</v>
      </c>
      <c r="P62" s="823"/>
      <c r="Q62" s="823"/>
      <c r="R62" s="823"/>
      <c r="S62" s="823"/>
      <c r="T62" s="823"/>
      <c r="U62" s="823"/>
      <c r="V62" s="823"/>
      <c r="W62" s="823"/>
      <c r="X62" s="823"/>
      <c r="Y62" s="823"/>
      <c r="Z62" s="823"/>
      <c r="AA62" s="823"/>
      <c r="AB62" s="823"/>
      <c r="AC62" s="823"/>
      <c r="AD62" s="823"/>
      <c r="AE62" s="823"/>
      <c r="AF62" s="823"/>
      <c r="AG62" s="823"/>
      <c r="AH62" s="823"/>
      <c r="AI62" s="823"/>
      <c r="AJ62" s="823"/>
      <c r="AK62" s="823"/>
      <c r="AL62" s="823"/>
      <c r="AM62" s="823"/>
      <c r="AN62" s="823"/>
      <c r="AO62" s="823"/>
      <c r="AP62" s="823"/>
      <c r="AQ62" s="823"/>
      <c r="AR62" s="823"/>
      <c r="AS62" s="823"/>
      <c r="AT62" s="823"/>
      <c r="AU62" s="823"/>
      <c r="AV62" s="823"/>
      <c r="AW62" s="823"/>
      <c r="AX62" s="823"/>
      <c r="AY62" s="823"/>
      <c r="AZ62" s="823"/>
      <c r="BA62" s="823"/>
      <c r="BB62" s="823"/>
      <c r="BC62" s="823"/>
      <c r="BD62" s="823"/>
      <c r="BE62" s="823"/>
      <c r="BF62" s="823"/>
      <c r="BG62" s="823"/>
      <c r="BH62" s="823"/>
      <c r="BI62" s="823"/>
      <c r="BJ62" s="823"/>
      <c r="BK62" s="823"/>
      <c r="BL62" s="823"/>
      <c r="BM62" s="823"/>
    </row>
    <row r="63" spans="2:82" ht="34.5" customHeight="1">
      <c r="B63" s="758"/>
      <c r="C63" s="762">
        <v>54</v>
      </c>
      <c r="D63" s="756"/>
      <c r="E63" s="757"/>
      <c r="F63" s="796" t="str">
        <f>IF(E63=0," ",VLOOKUP(E63,SISWA!$A$6:$C$55,3,FALSE))</f>
        <v xml:space="preserve"> </v>
      </c>
      <c r="G63" s="797" t="str">
        <f t="shared" si="19"/>
        <v xml:space="preserve"> </v>
      </c>
      <c r="H63" s="813"/>
      <c r="I63" s="824"/>
      <c r="J63" s="824"/>
      <c r="K63" s="824"/>
      <c r="L63" s="822" t="str">
        <f t="shared" si="16"/>
        <v xml:space="preserve"> </v>
      </c>
      <c r="M63" s="822" t="b">
        <f t="shared" si="17"/>
        <v>0</v>
      </c>
      <c r="N63" s="414" t="str">
        <f t="shared" si="18"/>
        <v xml:space="preserve"> </v>
      </c>
      <c r="O63" s="414" t="b">
        <f t="shared" si="20"/>
        <v>0</v>
      </c>
      <c r="P63" s="823"/>
      <c r="Q63" s="823"/>
      <c r="R63" s="823"/>
      <c r="S63" s="823"/>
      <c r="T63" s="823"/>
      <c r="U63" s="823"/>
      <c r="V63" s="823"/>
      <c r="W63" s="823"/>
      <c r="X63" s="823"/>
      <c r="Y63" s="823"/>
      <c r="Z63" s="823"/>
      <c r="AA63" s="823"/>
      <c r="AB63" s="823"/>
      <c r="AC63" s="823"/>
      <c r="AD63" s="823"/>
      <c r="AE63" s="823"/>
      <c r="AF63" s="823"/>
      <c r="AG63" s="823"/>
      <c r="AH63" s="823"/>
      <c r="AI63" s="823"/>
      <c r="AJ63" s="823"/>
      <c r="AK63" s="823"/>
      <c r="AL63" s="823"/>
      <c r="AM63" s="823"/>
      <c r="AN63" s="823"/>
      <c r="AO63" s="823"/>
      <c r="AP63" s="823"/>
      <c r="AQ63" s="823"/>
      <c r="AR63" s="823"/>
      <c r="AS63" s="823"/>
      <c r="AT63" s="823"/>
      <c r="AU63" s="823"/>
      <c r="AV63" s="823"/>
      <c r="AW63" s="823"/>
      <c r="AX63" s="823"/>
      <c r="AY63" s="823"/>
      <c r="AZ63" s="823"/>
      <c r="BA63" s="823"/>
      <c r="BB63" s="823"/>
      <c r="BC63" s="823"/>
      <c r="BD63" s="823"/>
      <c r="BE63" s="823"/>
      <c r="BF63" s="823"/>
      <c r="BG63" s="823"/>
      <c r="BH63" s="823"/>
      <c r="BI63" s="823"/>
      <c r="BJ63" s="823"/>
      <c r="BK63" s="823"/>
      <c r="BL63" s="823"/>
      <c r="BM63" s="823"/>
    </row>
    <row r="64" spans="2:82" ht="34.5" customHeight="1">
      <c r="B64" s="758"/>
      <c r="C64" s="762">
        <v>55</v>
      </c>
      <c r="D64" s="756"/>
      <c r="E64" s="757"/>
      <c r="F64" s="796" t="str">
        <f>IF(E64=0," ",VLOOKUP(E64,SISWA!$A$6:$C$55,3,FALSE))</f>
        <v xml:space="preserve"> </v>
      </c>
      <c r="G64" s="797" t="str">
        <f t="shared" si="19"/>
        <v xml:space="preserve"> </v>
      </c>
      <c r="H64" s="813"/>
      <c r="I64" s="824"/>
      <c r="J64" s="824"/>
      <c r="K64" s="824"/>
      <c r="L64" s="822" t="str">
        <f t="shared" si="16"/>
        <v xml:space="preserve"> </v>
      </c>
      <c r="M64" s="822" t="b">
        <f t="shared" si="17"/>
        <v>0</v>
      </c>
      <c r="N64" s="414" t="str">
        <f t="shared" si="18"/>
        <v xml:space="preserve"> </v>
      </c>
      <c r="O64" s="414" t="b">
        <f t="shared" si="20"/>
        <v>0</v>
      </c>
      <c r="P64" s="823"/>
      <c r="Q64" s="823"/>
      <c r="R64" s="823"/>
      <c r="S64" s="823"/>
      <c r="T64" s="823"/>
      <c r="U64" s="823"/>
      <c r="V64" s="823"/>
      <c r="W64" s="823"/>
      <c r="X64" s="823"/>
      <c r="Y64" s="823"/>
      <c r="Z64" s="823"/>
      <c r="AA64" s="823"/>
      <c r="AB64" s="823"/>
      <c r="AC64" s="823"/>
      <c r="AD64" s="823"/>
      <c r="AE64" s="823"/>
      <c r="AF64" s="823"/>
      <c r="AG64" s="823"/>
      <c r="AH64" s="823"/>
      <c r="AI64" s="823"/>
      <c r="AJ64" s="823"/>
      <c r="AK64" s="823"/>
      <c r="AL64" s="823"/>
      <c r="AM64" s="823"/>
      <c r="AN64" s="823"/>
      <c r="AO64" s="823"/>
      <c r="AP64" s="823"/>
      <c r="AQ64" s="823"/>
      <c r="AR64" s="823"/>
      <c r="AS64" s="823"/>
      <c r="AT64" s="823"/>
      <c r="AU64" s="823"/>
      <c r="AV64" s="823"/>
      <c r="AW64" s="823"/>
      <c r="AX64" s="823"/>
      <c r="AY64" s="823"/>
      <c r="AZ64" s="823"/>
      <c r="BA64" s="823"/>
      <c r="BB64" s="823"/>
      <c r="BC64" s="823"/>
      <c r="BD64" s="823"/>
      <c r="BE64" s="823"/>
      <c r="BF64" s="823"/>
      <c r="BG64" s="823"/>
      <c r="BH64" s="823"/>
      <c r="BI64" s="823"/>
      <c r="BJ64" s="823"/>
      <c r="BK64" s="823"/>
      <c r="BL64" s="823"/>
      <c r="BM64" s="823"/>
    </row>
    <row r="65" spans="2:65" ht="34.5" customHeight="1">
      <c r="B65" s="758"/>
      <c r="C65" s="762">
        <v>56</v>
      </c>
      <c r="D65" s="756"/>
      <c r="E65" s="757"/>
      <c r="F65" s="796" t="str">
        <f>IF(E65=0," ",VLOOKUP(E65,SISWA!$A$6:$C$55,3,FALSE))</f>
        <v xml:space="preserve"> </v>
      </c>
      <c r="G65" s="797" t="str">
        <f t="shared" si="19"/>
        <v xml:space="preserve"> </v>
      </c>
      <c r="H65" s="813"/>
      <c r="I65" s="824"/>
      <c r="J65" s="824"/>
      <c r="K65" s="824"/>
      <c r="L65" s="822" t="str">
        <f t="shared" si="16"/>
        <v xml:space="preserve"> </v>
      </c>
      <c r="M65" s="822" t="b">
        <f t="shared" si="17"/>
        <v>0</v>
      </c>
      <c r="N65" s="414" t="str">
        <f t="shared" si="18"/>
        <v xml:space="preserve"> </v>
      </c>
      <c r="O65" s="414" t="b">
        <f t="shared" si="20"/>
        <v>0</v>
      </c>
      <c r="P65" s="823"/>
      <c r="Q65" s="823"/>
      <c r="R65" s="823"/>
      <c r="S65" s="823"/>
      <c r="T65" s="823"/>
      <c r="U65" s="823"/>
      <c r="V65" s="823"/>
      <c r="W65" s="823"/>
      <c r="X65" s="823"/>
      <c r="Y65" s="823"/>
      <c r="Z65" s="823"/>
      <c r="AA65" s="823"/>
      <c r="AB65" s="823"/>
      <c r="AC65" s="823"/>
      <c r="AD65" s="823"/>
      <c r="AE65" s="823"/>
      <c r="AF65" s="823"/>
      <c r="AG65" s="823"/>
      <c r="AH65" s="823"/>
      <c r="AI65" s="823"/>
      <c r="AJ65" s="823"/>
      <c r="AK65" s="823"/>
      <c r="AL65" s="823"/>
      <c r="AM65" s="823"/>
      <c r="AN65" s="823"/>
      <c r="AO65" s="823"/>
      <c r="AP65" s="823"/>
      <c r="AQ65" s="823"/>
      <c r="AR65" s="823"/>
      <c r="AS65" s="823"/>
      <c r="AT65" s="823"/>
      <c r="AU65" s="823"/>
      <c r="AV65" s="823"/>
      <c r="AW65" s="823"/>
      <c r="AX65" s="823"/>
      <c r="AY65" s="823"/>
      <c r="AZ65" s="823"/>
      <c r="BA65" s="823"/>
      <c r="BB65" s="823"/>
      <c r="BC65" s="823"/>
      <c r="BD65" s="823"/>
      <c r="BE65" s="823"/>
      <c r="BF65" s="823"/>
      <c r="BG65" s="823"/>
      <c r="BH65" s="823"/>
      <c r="BI65" s="823"/>
      <c r="BJ65" s="823"/>
      <c r="BK65" s="823"/>
      <c r="BL65" s="823"/>
      <c r="BM65" s="823"/>
    </row>
    <row r="66" spans="2:65" ht="34.5" customHeight="1">
      <c r="B66" s="758"/>
      <c r="C66" s="762">
        <v>57</v>
      </c>
      <c r="D66" s="756"/>
      <c r="E66" s="757"/>
      <c r="F66" s="796" t="str">
        <f>IF(E66=0," ",VLOOKUP(E66,SISWA!$A$6:$C$55,3,FALSE))</f>
        <v xml:space="preserve"> </v>
      </c>
      <c r="G66" s="797" t="str">
        <f t="shared" si="19"/>
        <v xml:space="preserve"> </v>
      </c>
      <c r="H66" s="813"/>
      <c r="I66" s="824"/>
      <c r="J66" s="824"/>
      <c r="K66" s="824"/>
      <c r="L66" s="822" t="str">
        <f t="shared" si="16"/>
        <v xml:space="preserve"> </v>
      </c>
      <c r="M66" s="822" t="b">
        <f t="shared" si="17"/>
        <v>0</v>
      </c>
      <c r="N66" s="414" t="str">
        <f t="shared" si="18"/>
        <v xml:space="preserve"> </v>
      </c>
      <c r="O66" s="414" t="b">
        <f t="shared" si="20"/>
        <v>0</v>
      </c>
      <c r="P66" s="823"/>
      <c r="Q66" s="823"/>
      <c r="R66" s="823"/>
      <c r="S66" s="823"/>
      <c r="T66" s="823"/>
      <c r="U66" s="823"/>
      <c r="V66" s="823"/>
      <c r="W66" s="823"/>
      <c r="X66" s="823"/>
      <c r="Y66" s="823"/>
      <c r="Z66" s="823"/>
      <c r="AA66" s="823"/>
      <c r="AB66" s="823"/>
      <c r="AC66" s="823"/>
      <c r="AD66" s="823"/>
      <c r="AE66" s="823"/>
      <c r="AF66" s="823"/>
      <c r="AG66" s="823"/>
      <c r="AH66" s="823"/>
      <c r="AI66" s="823"/>
      <c r="AJ66" s="823"/>
      <c r="AK66" s="823"/>
      <c r="AL66" s="823"/>
      <c r="AM66" s="823"/>
      <c r="AN66" s="823"/>
      <c r="AO66" s="823"/>
      <c r="AP66" s="823"/>
      <c r="AQ66" s="823"/>
      <c r="AR66" s="823"/>
      <c r="AS66" s="823"/>
      <c r="AT66" s="823"/>
      <c r="AU66" s="823"/>
      <c r="AV66" s="823"/>
      <c r="AW66" s="823"/>
      <c r="AX66" s="823"/>
      <c r="AY66" s="823"/>
      <c r="AZ66" s="823"/>
      <c r="BA66" s="823"/>
      <c r="BB66" s="823"/>
      <c r="BC66" s="823"/>
      <c r="BD66" s="823"/>
      <c r="BE66" s="823"/>
      <c r="BF66" s="823"/>
      <c r="BG66" s="823"/>
      <c r="BH66" s="823"/>
      <c r="BI66" s="823"/>
      <c r="BJ66" s="823"/>
      <c r="BK66" s="823"/>
      <c r="BL66" s="823"/>
      <c r="BM66" s="823"/>
    </row>
    <row r="67" spans="2:65" ht="34.5" customHeight="1">
      <c r="B67" s="758"/>
      <c r="C67" s="762">
        <v>58</v>
      </c>
      <c r="D67" s="756"/>
      <c r="E67" s="757"/>
      <c r="F67" s="796" t="str">
        <f>IF(E67=0," ",VLOOKUP(E67,SISWA!$A$6:$C$55,3,FALSE))</f>
        <v xml:space="preserve"> </v>
      </c>
      <c r="G67" s="797" t="str">
        <f t="shared" si="19"/>
        <v xml:space="preserve"> </v>
      </c>
      <c r="H67" s="813"/>
      <c r="I67" s="824"/>
      <c r="J67" s="824"/>
      <c r="K67" s="824"/>
      <c r="L67" s="822" t="str">
        <f t="shared" si="16"/>
        <v xml:space="preserve"> </v>
      </c>
      <c r="M67" s="822" t="b">
        <f t="shared" si="17"/>
        <v>0</v>
      </c>
      <c r="N67" s="414" t="str">
        <f t="shared" si="18"/>
        <v xml:space="preserve"> </v>
      </c>
      <c r="O67" s="414" t="b">
        <f t="shared" si="20"/>
        <v>0</v>
      </c>
      <c r="P67" s="823"/>
      <c r="Q67" s="823"/>
      <c r="R67" s="823"/>
      <c r="S67" s="823"/>
      <c r="T67" s="823"/>
      <c r="U67" s="823"/>
      <c r="V67" s="823"/>
      <c r="W67" s="823"/>
      <c r="X67" s="823"/>
      <c r="Y67" s="823"/>
      <c r="Z67" s="823"/>
      <c r="AA67" s="823"/>
      <c r="AB67" s="823"/>
      <c r="AC67" s="823"/>
      <c r="AD67" s="823"/>
      <c r="AE67" s="823"/>
      <c r="AF67" s="823"/>
      <c r="AG67" s="823"/>
      <c r="AH67" s="823"/>
      <c r="AI67" s="823"/>
      <c r="AJ67" s="823"/>
      <c r="AK67" s="823"/>
      <c r="AL67" s="823"/>
      <c r="AM67" s="823"/>
      <c r="AN67" s="823"/>
      <c r="AO67" s="823"/>
      <c r="AP67" s="823"/>
      <c r="AQ67" s="823"/>
      <c r="AR67" s="823"/>
      <c r="AS67" s="823"/>
      <c r="AT67" s="823"/>
      <c r="AU67" s="823"/>
      <c r="AV67" s="823"/>
      <c r="AW67" s="823"/>
      <c r="AX67" s="823"/>
      <c r="AY67" s="823"/>
      <c r="AZ67" s="823"/>
      <c r="BA67" s="823"/>
      <c r="BB67" s="823"/>
      <c r="BC67" s="823"/>
      <c r="BD67" s="823"/>
      <c r="BE67" s="823"/>
      <c r="BF67" s="823"/>
      <c r="BG67" s="823"/>
      <c r="BH67" s="823"/>
      <c r="BI67" s="823"/>
      <c r="BJ67" s="823"/>
      <c r="BK67" s="823"/>
      <c r="BL67" s="823"/>
      <c r="BM67" s="823"/>
    </row>
    <row r="68" spans="2:65" ht="34.5" customHeight="1">
      <c r="B68" s="758"/>
      <c r="C68" s="762">
        <v>59</v>
      </c>
      <c r="D68" s="756"/>
      <c r="E68" s="757"/>
      <c r="F68" s="796" t="str">
        <f>IF(E68=0," ",VLOOKUP(E68,SISWA!$A$6:$C$55,3,FALSE))</f>
        <v xml:space="preserve"> </v>
      </c>
      <c r="G68" s="797" t="str">
        <f t="shared" si="19"/>
        <v xml:space="preserve"> </v>
      </c>
      <c r="H68" s="813"/>
      <c r="I68" s="824"/>
      <c r="J68" s="824"/>
      <c r="K68" s="824"/>
      <c r="L68" s="822" t="str">
        <f t="shared" si="16"/>
        <v xml:space="preserve"> </v>
      </c>
      <c r="M68" s="822" t="b">
        <f t="shared" si="17"/>
        <v>0</v>
      </c>
      <c r="N68" s="414" t="str">
        <f t="shared" si="18"/>
        <v xml:space="preserve"> </v>
      </c>
      <c r="O68" s="414" t="b">
        <f t="shared" si="20"/>
        <v>0</v>
      </c>
      <c r="P68" s="823"/>
      <c r="Q68" s="823"/>
      <c r="R68" s="823"/>
      <c r="S68" s="823"/>
      <c r="T68" s="823"/>
      <c r="U68" s="823"/>
      <c r="V68" s="823"/>
      <c r="W68" s="823"/>
      <c r="X68" s="823"/>
      <c r="Y68" s="823"/>
      <c r="Z68" s="823"/>
      <c r="AA68" s="823"/>
      <c r="AB68" s="823"/>
      <c r="AC68" s="823"/>
      <c r="AD68" s="823"/>
      <c r="AE68" s="823"/>
      <c r="AF68" s="823"/>
      <c r="AG68" s="823"/>
      <c r="AH68" s="823"/>
      <c r="AI68" s="823"/>
      <c r="AJ68" s="823"/>
      <c r="AK68" s="823"/>
      <c r="AL68" s="823"/>
      <c r="AM68" s="823"/>
      <c r="AN68" s="823"/>
      <c r="AO68" s="823"/>
      <c r="AP68" s="823"/>
      <c r="AQ68" s="823"/>
      <c r="AR68" s="823"/>
      <c r="AS68" s="823"/>
      <c r="AT68" s="823"/>
      <c r="AU68" s="823"/>
      <c r="AV68" s="823"/>
      <c r="AW68" s="823"/>
      <c r="AX68" s="823"/>
      <c r="AY68" s="823"/>
      <c r="AZ68" s="823"/>
      <c r="BA68" s="823"/>
      <c r="BB68" s="823"/>
      <c r="BC68" s="823"/>
      <c r="BD68" s="823"/>
      <c r="BE68" s="823"/>
      <c r="BF68" s="823"/>
      <c r="BG68" s="823"/>
      <c r="BH68" s="823"/>
      <c r="BI68" s="823"/>
      <c r="BJ68" s="823"/>
      <c r="BK68" s="823"/>
      <c r="BL68" s="823"/>
      <c r="BM68" s="823"/>
    </row>
    <row r="69" spans="2:65" ht="34.5" customHeight="1">
      <c r="B69" s="758"/>
      <c r="C69" s="762">
        <v>60</v>
      </c>
      <c r="D69" s="756"/>
      <c r="E69" s="757"/>
      <c r="F69" s="796" t="str">
        <f>IF(E69=0," ",VLOOKUP(E69,SISWA!$A$6:$C$55,3,FALSE))</f>
        <v xml:space="preserve"> </v>
      </c>
      <c r="G69" s="797" t="str">
        <f t="shared" si="19"/>
        <v xml:space="preserve"> </v>
      </c>
      <c r="H69" s="813"/>
      <c r="I69" s="824"/>
      <c r="J69" s="824"/>
      <c r="K69" s="824"/>
      <c r="L69" s="822" t="str">
        <f t="shared" si="16"/>
        <v xml:space="preserve"> </v>
      </c>
      <c r="M69" s="822" t="b">
        <f t="shared" si="17"/>
        <v>0</v>
      </c>
      <c r="N69" s="414" t="str">
        <f t="shared" si="18"/>
        <v xml:space="preserve"> </v>
      </c>
      <c r="O69" s="414" t="b">
        <f t="shared" si="20"/>
        <v>0</v>
      </c>
      <c r="P69" s="823"/>
      <c r="Q69" s="823"/>
      <c r="R69" s="823"/>
      <c r="S69" s="823"/>
      <c r="T69" s="823"/>
      <c r="U69" s="823"/>
      <c r="V69" s="823"/>
      <c r="W69" s="823"/>
      <c r="X69" s="823"/>
      <c r="Y69" s="823"/>
      <c r="Z69" s="823"/>
      <c r="AA69" s="823"/>
      <c r="AB69" s="823"/>
      <c r="AC69" s="823"/>
      <c r="AD69" s="823"/>
      <c r="AE69" s="823"/>
      <c r="AF69" s="823"/>
      <c r="AG69" s="823"/>
      <c r="AH69" s="823"/>
      <c r="AI69" s="823"/>
      <c r="AJ69" s="823"/>
      <c r="AK69" s="823"/>
      <c r="AL69" s="823"/>
      <c r="AM69" s="823"/>
      <c r="AN69" s="823"/>
      <c r="AO69" s="823"/>
      <c r="AP69" s="823"/>
      <c r="AQ69" s="823"/>
      <c r="AR69" s="823"/>
      <c r="AS69" s="823"/>
      <c r="AT69" s="823"/>
      <c r="AU69" s="823"/>
      <c r="AV69" s="823"/>
      <c r="AW69" s="823"/>
      <c r="AX69" s="823"/>
      <c r="AY69" s="823"/>
      <c r="AZ69" s="823"/>
      <c r="BA69" s="823"/>
      <c r="BB69" s="823"/>
      <c r="BC69" s="823"/>
      <c r="BD69" s="823"/>
      <c r="BE69" s="823"/>
      <c r="BF69" s="823"/>
      <c r="BG69" s="823"/>
      <c r="BH69" s="823"/>
      <c r="BI69" s="823"/>
      <c r="BJ69" s="823"/>
      <c r="BK69" s="823"/>
      <c r="BL69" s="823"/>
      <c r="BM69" s="823"/>
    </row>
    <row r="70" spans="2:65" ht="34.5" customHeight="1">
      <c r="B70" s="758"/>
      <c r="C70" s="762">
        <v>61</v>
      </c>
      <c r="D70" s="756"/>
      <c r="E70" s="757"/>
      <c r="F70" s="796" t="str">
        <f>IF(E70=0," ",VLOOKUP(E70,SISWA!$A$6:$C$55,3,FALSE))</f>
        <v xml:space="preserve"> </v>
      </c>
      <c r="G70" s="797" t="str">
        <f t="shared" si="19"/>
        <v xml:space="preserve"> </v>
      </c>
      <c r="H70" s="813"/>
      <c r="I70" s="824"/>
      <c r="J70" s="824"/>
      <c r="K70" s="824"/>
      <c r="L70" s="822" t="str">
        <f t="shared" si="16"/>
        <v xml:space="preserve"> </v>
      </c>
      <c r="M70" s="822" t="b">
        <f t="shared" si="17"/>
        <v>0</v>
      </c>
      <c r="N70" s="414" t="str">
        <f t="shared" si="18"/>
        <v xml:space="preserve"> </v>
      </c>
      <c r="O70" s="414" t="b">
        <f t="shared" si="20"/>
        <v>0</v>
      </c>
      <c r="P70" s="823"/>
      <c r="Q70" s="823"/>
      <c r="R70" s="823"/>
      <c r="S70" s="823"/>
      <c r="T70" s="823"/>
      <c r="U70" s="823"/>
      <c r="V70" s="823"/>
      <c r="W70" s="823"/>
      <c r="X70" s="823"/>
      <c r="Y70" s="823"/>
      <c r="Z70" s="823"/>
      <c r="AA70" s="823"/>
      <c r="AB70" s="823"/>
      <c r="AC70" s="823"/>
      <c r="AD70" s="823"/>
      <c r="AE70" s="823"/>
      <c r="AF70" s="823"/>
      <c r="AG70" s="823"/>
      <c r="AH70" s="823"/>
      <c r="AI70" s="823"/>
      <c r="AJ70" s="823"/>
      <c r="AK70" s="823"/>
      <c r="AL70" s="823"/>
      <c r="AM70" s="823"/>
      <c r="AN70" s="823"/>
      <c r="AO70" s="823"/>
      <c r="AP70" s="823"/>
      <c r="AQ70" s="823"/>
      <c r="AR70" s="823"/>
      <c r="AS70" s="823"/>
      <c r="AT70" s="823"/>
      <c r="AU70" s="823"/>
      <c r="AV70" s="823"/>
      <c r="AW70" s="823"/>
      <c r="AX70" s="823"/>
      <c r="AY70" s="823"/>
      <c r="AZ70" s="823"/>
      <c r="BA70" s="823"/>
      <c r="BB70" s="823"/>
      <c r="BC70" s="823"/>
      <c r="BD70" s="823"/>
      <c r="BE70" s="823"/>
      <c r="BF70" s="823"/>
      <c r="BG70" s="823"/>
      <c r="BH70" s="823"/>
      <c r="BI70" s="823"/>
      <c r="BJ70" s="823"/>
      <c r="BK70" s="823"/>
      <c r="BL70" s="823"/>
      <c r="BM70" s="823"/>
    </row>
    <row r="71" spans="2:65" ht="34.5" customHeight="1">
      <c r="B71" s="758"/>
      <c r="C71" s="762">
        <v>62</v>
      </c>
      <c r="D71" s="756"/>
      <c r="E71" s="757"/>
      <c r="F71" s="796" t="str">
        <f>IF(E71=0," ",VLOOKUP(E71,SISWA!$A$6:$C$55,3,FALSE))</f>
        <v xml:space="preserve"> </v>
      </c>
      <c r="G71" s="797" t="str">
        <f t="shared" si="19"/>
        <v xml:space="preserve"> </v>
      </c>
      <c r="H71" s="813"/>
      <c r="I71" s="824"/>
      <c r="J71" s="824"/>
      <c r="K71" s="824"/>
      <c r="L71" s="822" t="str">
        <f t="shared" si="16"/>
        <v xml:space="preserve"> </v>
      </c>
      <c r="M71" s="822" t="b">
        <f t="shared" si="17"/>
        <v>0</v>
      </c>
      <c r="N71" s="414" t="str">
        <f t="shared" si="18"/>
        <v xml:space="preserve"> </v>
      </c>
      <c r="O71" s="414" t="b">
        <f t="shared" si="20"/>
        <v>0</v>
      </c>
      <c r="P71" s="823"/>
      <c r="Q71" s="823"/>
      <c r="R71" s="823"/>
      <c r="S71" s="823"/>
      <c r="T71" s="823"/>
      <c r="U71" s="823"/>
      <c r="V71" s="823"/>
      <c r="W71" s="823"/>
      <c r="X71" s="823"/>
      <c r="Y71" s="823"/>
      <c r="Z71" s="823"/>
      <c r="AA71" s="823"/>
      <c r="AB71" s="823"/>
      <c r="AC71" s="823"/>
      <c r="AD71" s="823"/>
      <c r="AE71" s="823"/>
      <c r="AF71" s="823"/>
      <c r="AG71" s="823"/>
      <c r="AH71" s="823"/>
      <c r="AI71" s="823"/>
      <c r="AJ71" s="823"/>
      <c r="AK71" s="823"/>
      <c r="AL71" s="823"/>
      <c r="AM71" s="823"/>
      <c r="AN71" s="823"/>
      <c r="AO71" s="823"/>
      <c r="AP71" s="823"/>
      <c r="AQ71" s="823"/>
      <c r="AR71" s="823"/>
      <c r="AS71" s="823"/>
      <c r="AT71" s="823"/>
      <c r="AU71" s="823"/>
      <c r="AV71" s="823"/>
      <c r="AW71" s="823"/>
      <c r="AX71" s="823"/>
      <c r="AY71" s="823"/>
      <c r="AZ71" s="823"/>
      <c r="BA71" s="823"/>
      <c r="BB71" s="823"/>
      <c r="BC71" s="823"/>
      <c r="BD71" s="823"/>
      <c r="BE71" s="823"/>
      <c r="BF71" s="823"/>
      <c r="BG71" s="823"/>
      <c r="BH71" s="823"/>
      <c r="BI71" s="823"/>
      <c r="BJ71" s="823"/>
      <c r="BK71" s="823"/>
      <c r="BL71" s="823"/>
      <c r="BM71" s="823"/>
    </row>
    <row r="72" spans="2:65" ht="34.5" customHeight="1">
      <c r="B72" s="758"/>
      <c r="C72" s="762">
        <v>63</v>
      </c>
      <c r="D72" s="756"/>
      <c r="E72" s="757"/>
      <c r="F72" s="796" t="str">
        <f>IF(E72=0," ",VLOOKUP(E72,SISWA!$A$6:$C$55,3,FALSE))</f>
        <v xml:space="preserve"> </v>
      </c>
      <c r="G72" s="797" t="str">
        <f t="shared" si="19"/>
        <v xml:space="preserve"> </v>
      </c>
      <c r="H72" s="813"/>
      <c r="I72" s="824"/>
      <c r="J72" s="824"/>
      <c r="K72" s="824"/>
      <c r="L72" s="822" t="str">
        <f t="shared" si="16"/>
        <v xml:space="preserve"> </v>
      </c>
      <c r="M72" s="822" t="b">
        <f t="shared" si="17"/>
        <v>0</v>
      </c>
      <c r="N72" s="414" t="str">
        <f t="shared" si="18"/>
        <v xml:space="preserve"> </v>
      </c>
      <c r="O72" s="414" t="b">
        <f t="shared" si="20"/>
        <v>0</v>
      </c>
      <c r="P72" s="823"/>
      <c r="Q72" s="823"/>
      <c r="R72" s="823"/>
      <c r="S72" s="823"/>
      <c r="T72" s="823"/>
      <c r="U72" s="823"/>
      <c r="V72" s="823"/>
      <c r="W72" s="823"/>
      <c r="X72" s="823"/>
      <c r="Y72" s="823"/>
      <c r="Z72" s="823"/>
      <c r="AA72" s="823"/>
      <c r="AB72" s="823"/>
      <c r="AC72" s="823"/>
      <c r="AD72" s="823"/>
      <c r="AE72" s="823"/>
      <c r="AF72" s="823"/>
      <c r="AG72" s="823"/>
      <c r="AH72" s="823"/>
      <c r="AI72" s="823"/>
      <c r="AJ72" s="823"/>
      <c r="AK72" s="823"/>
      <c r="AL72" s="823"/>
      <c r="AM72" s="823"/>
      <c r="AN72" s="823"/>
      <c r="AO72" s="823"/>
      <c r="AP72" s="823"/>
      <c r="AQ72" s="823"/>
      <c r="AR72" s="823"/>
      <c r="AS72" s="823"/>
      <c r="AT72" s="823"/>
      <c r="AU72" s="823"/>
      <c r="AV72" s="823"/>
      <c r="AW72" s="823"/>
      <c r="AX72" s="823"/>
      <c r="AY72" s="823"/>
      <c r="AZ72" s="823"/>
      <c r="BA72" s="823"/>
      <c r="BB72" s="823"/>
      <c r="BC72" s="823"/>
      <c r="BD72" s="823"/>
      <c r="BE72" s="823"/>
      <c r="BF72" s="823"/>
      <c r="BG72" s="823"/>
      <c r="BH72" s="823"/>
      <c r="BI72" s="823"/>
      <c r="BJ72" s="823"/>
      <c r="BK72" s="823"/>
      <c r="BL72" s="823"/>
      <c r="BM72" s="823"/>
    </row>
    <row r="73" spans="2:65" ht="34.5" customHeight="1">
      <c r="B73" s="758"/>
      <c r="C73" s="762">
        <v>64</v>
      </c>
      <c r="D73" s="756"/>
      <c r="E73" s="757"/>
      <c r="F73" s="796" t="str">
        <f>IF(E73=0," ",VLOOKUP(E73,SISWA!$A$6:$C$55,3,FALSE))</f>
        <v xml:space="preserve"> </v>
      </c>
      <c r="G73" s="797" t="str">
        <f t="shared" si="19"/>
        <v xml:space="preserve"> </v>
      </c>
      <c r="H73" s="813"/>
      <c r="I73" s="824"/>
      <c r="J73" s="824"/>
      <c r="K73" s="824"/>
      <c r="L73" s="822" t="str">
        <f t="shared" si="16"/>
        <v xml:space="preserve"> </v>
      </c>
      <c r="M73" s="822" t="b">
        <f t="shared" si="17"/>
        <v>0</v>
      </c>
      <c r="N73" s="414" t="str">
        <f t="shared" si="18"/>
        <v xml:space="preserve"> </v>
      </c>
      <c r="O73" s="414" t="b">
        <f t="shared" si="20"/>
        <v>0</v>
      </c>
      <c r="P73" s="823"/>
      <c r="Q73" s="823"/>
      <c r="R73" s="823"/>
      <c r="S73" s="823"/>
      <c r="T73" s="823"/>
      <c r="U73" s="823"/>
      <c r="V73" s="823"/>
      <c r="W73" s="823"/>
      <c r="X73" s="823"/>
      <c r="Y73" s="823"/>
      <c r="Z73" s="823"/>
      <c r="AA73" s="823"/>
      <c r="AB73" s="823"/>
      <c r="AC73" s="823"/>
      <c r="AD73" s="823"/>
      <c r="AE73" s="823"/>
      <c r="AF73" s="823"/>
      <c r="AG73" s="823"/>
      <c r="AH73" s="823"/>
      <c r="AI73" s="823"/>
      <c r="AJ73" s="823"/>
      <c r="AK73" s="823"/>
      <c r="AL73" s="823"/>
      <c r="AM73" s="823"/>
      <c r="AN73" s="823"/>
      <c r="AO73" s="823"/>
      <c r="AP73" s="823"/>
      <c r="AQ73" s="823"/>
      <c r="AR73" s="823"/>
      <c r="AS73" s="823"/>
      <c r="AT73" s="823"/>
      <c r="AU73" s="823"/>
      <c r="AV73" s="823"/>
      <c r="AW73" s="823"/>
      <c r="AX73" s="823"/>
      <c r="AY73" s="823"/>
      <c r="AZ73" s="823"/>
      <c r="BA73" s="823"/>
      <c r="BB73" s="823"/>
      <c r="BC73" s="823"/>
      <c r="BD73" s="823"/>
      <c r="BE73" s="823"/>
      <c r="BF73" s="823"/>
      <c r="BG73" s="823"/>
      <c r="BH73" s="823"/>
      <c r="BI73" s="823"/>
      <c r="BJ73" s="823"/>
      <c r="BK73" s="823"/>
      <c r="BL73" s="823"/>
      <c r="BM73" s="823"/>
    </row>
    <row r="74" spans="2:65" ht="34.5" customHeight="1">
      <c r="B74" s="758"/>
      <c r="C74" s="762">
        <v>65</v>
      </c>
      <c r="D74" s="756"/>
      <c r="E74" s="757"/>
      <c r="F74" s="796" t="str">
        <f>IF(E74=0," ",VLOOKUP(E74,SISWA!$A$6:$C$55,3,FALSE))</f>
        <v xml:space="preserve"> </v>
      </c>
      <c r="G74" s="797" t="str">
        <f t="shared" ref="G74" si="35">IF(H74=0," ",VLOOKUP(H74,$BN$10:$BO$16,2,FALSE))</f>
        <v xml:space="preserve"> </v>
      </c>
      <c r="H74" s="813"/>
      <c r="I74" s="824"/>
      <c r="J74" s="824"/>
      <c r="K74" s="824"/>
      <c r="L74" s="822" t="str">
        <f t="shared" si="16"/>
        <v xml:space="preserve"> </v>
      </c>
      <c r="M74" s="822" t="b">
        <f t="shared" si="17"/>
        <v>0</v>
      </c>
      <c r="N74" s="414" t="str">
        <f t="shared" si="18"/>
        <v xml:space="preserve"> </v>
      </c>
      <c r="O74" s="414" t="b">
        <f t="shared" si="20"/>
        <v>0</v>
      </c>
      <c r="P74" s="823"/>
      <c r="Q74" s="823"/>
      <c r="R74" s="823"/>
      <c r="S74" s="823"/>
      <c r="T74" s="823"/>
      <c r="U74" s="823"/>
      <c r="V74" s="823"/>
      <c r="W74" s="823"/>
      <c r="X74" s="823"/>
      <c r="Y74" s="823"/>
      <c r="Z74" s="823"/>
      <c r="AA74" s="823"/>
      <c r="AB74" s="823"/>
      <c r="AC74" s="823"/>
      <c r="AD74" s="823"/>
      <c r="AE74" s="823"/>
      <c r="AF74" s="823"/>
      <c r="AG74" s="823"/>
      <c r="AH74" s="823"/>
      <c r="AI74" s="823"/>
      <c r="AJ74" s="823"/>
      <c r="AK74" s="823"/>
      <c r="AL74" s="823"/>
      <c r="AM74" s="823"/>
      <c r="AN74" s="823"/>
      <c r="AO74" s="823"/>
      <c r="AP74" s="823"/>
      <c r="AQ74" s="823"/>
      <c r="AR74" s="823"/>
      <c r="AS74" s="823"/>
      <c r="AT74" s="823"/>
      <c r="AU74" s="823"/>
      <c r="AV74" s="823"/>
      <c r="AW74" s="823"/>
      <c r="AX74" s="823"/>
      <c r="AY74" s="823"/>
      <c r="AZ74" s="823"/>
      <c r="BA74" s="823"/>
      <c r="BB74" s="823"/>
      <c r="BC74" s="823"/>
      <c r="BD74" s="823"/>
      <c r="BE74" s="823"/>
      <c r="BF74" s="823"/>
      <c r="BG74" s="823"/>
      <c r="BH74" s="823"/>
      <c r="BI74" s="823"/>
      <c r="BJ74" s="823"/>
      <c r="BK74" s="823"/>
      <c r="BL74" s="823"/>
      <c r="BM74" s="823"/>
    </row>
    <row r="75" spans="2:65" ht="34.5" customHeight="1">
      <c r="B75" s="758"/>
      <c r="C75" s="762">
        <v>66</v>
      </c>
      <c r="D75" s="756"/>
      <c r="E75" s="757"/>
      <c r="F75" s="796" t="str">
        <f>IF(E75=0," ",VLOOKUP(E75,SISWA!$A$6:$C$55,3,FALSE))</f>
        <v xml:space="preserve"> </v>
      </c>
      <c r="G75" s="797" t="str">
        <f t="shared" ref="G75:G109" si="36">IF(H75=0," ",VLOOKUP(H75,$BN$10:$BO$16,2,FALSE))</f>
        <v xml:space="preserve"> </v>
      </c>
      <c r="H75" s="813"/>
      <c r="I75" s="824"/>
      <c r="J75" s="824"/>
      <c r="K75" s="824"/>
      <c r="L75" s="822" t="str">
        <f t="shared" ref="L75:L109" si="37">IF(I75=0," ",1)</f>
        <v xml:space="preserve"> </v>
      </c>
      <c r="M75" s="822" t="b">
        <f t="shared" ref="M75:M109" si="38">IF(G75=0,"", IF(G75=1,"A", IF(G75=2,"B", IF(G75=3,"C", IF(G75=4,"D", IF(G75=5,"E", IF(G75=6,"F", IF(G75=7,"G"))))))))</f>
        <v>0</v>
      </c>
      <c r="N75" s="414" t="str">
        <f t="shared" ref="N75:N109" si="39">IF(J75=0," ",1)</f>
        <v xml:space="preserve"> </v>
      </c>
      <c r="O75" s="414" t="b">
        <f t="shared" ref="O75:O109" si="40">IF(G75=0,"", IF(G75=1,"A", IF(G75=2,"B", IF(G75=3,"C", IF(G75=4,"D", IF(G75=5,"E", IF(G75=6,"F", IF(G75=7,"G"))))))))</f>
        <v>0</v>
      </c>
      <c r="P75" s="823"/>
      <c r="Q75" s="823"/>
      <c r="R75" s="823"/>
      <c r="S75" s="823"/>
      <c r="T75" s="823"/>
      <c r="U75" s="823"/>
      <c r="V75" s="823"/>
      <c r="W75" s="823"/>
      <c r="X75" s="823"/>
      <c r="Y75" s="823"/>
      <c r="Z75" s="823"/>
      <c r="AA75" s="823"/>
      <c r="AB75" s="823"/>
      <c r="AC75" s="823"/>
      <c r="AD75" s="823"/>
      <c r="AE75" s="823"/>
      <c r="AF75" s="823"/>
      <c r="AG75" s="823"/>
      <c r="AH75" s="823"/>
      <c r="AI75" s="823"/>
      <c r="AJ75" s="823"/>
      <c r="AK75" s="823"/>
      <c r="AL75" s="823"/>
      <c r="AM75" s="823"/>
      <c r="AN75" s="823"/>
      <c r="AO75" s="823"/>
      <c r="AP75" s="823"/>
      <c r="AQ75" s="823"/>
      <c r="AR75" s="823"/>
      <c r="AS75" s="823"/>
      <c r="AT75" s="823"/>
      <c r="AU75" s="823"/>
      <c r="AV75" s="823"/>
      <c r="AW75" s="823"/>
      <c r="AX75" s="823"/>
      <c r="AY75" s="823"/>
      <c r="AZ75" s="823"/>
      <c r="BA75" s="823"/>
      <c r="BB75" s="823"/>
      <c r="BC75" s="823"/>
      <c r="BD75" s="823"/>
      <c r="BE75" s="823"/>
      <c r="BF75" s="823"/>
      <c r="BG75" s="823"/>
      <c r="BH75" s="823"/>
      <c r="BI75" s="823"/>
      <c r="BJ75" s="823"/>
      <c r="BK75" s="823"/>
      <c r="BL75" s="823"/>
      <c r="BM75" s="823"/>
    </row>
    <row r="76" spans="2:65" ht="34.5" customHeight="1">
      <c r="B76" s="758"/>
      <c r="C76" s="762">
        <v>67</v>
      </c>
      <c r="D76" s="756"/>
      <c r="E76" s="757"/>
      <c r="F76" s="796" t="str">
        <f>IF(E76=0," ",VLOOKUP(E76,SISWA!$A$6:$C$55,3,FALSE))</f>
        <v xml:space="preserve"> </v>
      </c>
      <c r="G76" s="797" t="str">
        <f t="shared" si="36"/>
        <v xml:space="preserve"> </v>
      </c>
      <c r="H76" s="813"/>
      <c r="I76" s="824"/>
      <c r="J76" s="824"/>
      <c r="K76" s="824"/>
      <c r="L76" s="822" t="str">
        <f t="shared" si="37"/>
        <v xml:space="preserve"> </v>
      </c>
      <c r="M76" s="822" t="b">
        <f t="shared" si="38"/>
        <v>0</v>
      </c>
      <c r="N76" s="414" t="str">
        <f t="shared" si="39"/>
        <v xml:space="preserve"> </v>
      </c>
      <c r="O76" s="414" t="b">
        <f t="shared" si="40"/>
        <v>0</v>
      </c>
      <c r="P76" s="823"/>
      <c r="Q76" s="823"/>
      <c r="R76" s="823"/>
      <c r="S76" s="823"/>
      <c r="T76" s="823"/>
      <c r="U76" s="823"/>
      <c r="V76" s="823"/>
      <c r="W76" s="823"/>
      <c r="X76" s="823"/>
      <c r="Y76" s="823"/>
      <c r="Z76" s="823"/>
      <c r="AA76" s="823"/>
      <c r="AB76" s="823"/>
      <c r="AC76" s="823"/>
      <c r="AD76" s="823"/>
      <c r="AE76" s="823"/>
      <c r="AF76" s="823"/>
      <c r="AG76" s="823"/>
      <c r="AH76" s="823"/>
      <c r="AI76" s="823"/>
      <c r="AJ76" s="823"/>
      <c r="AK76" s="823"/>
      <c r="AL76" s="823"/>
      <c r="AM76" s="823"/>
      <c r="AN76" s="823"/>
      <c r="AO76" s="823"/>
      <c r="AP76" s="823"/>
      <c r="AQ76" s="823"/>
      <c r="AR76" s="823"/>
      <c r="AS76" s="823"/>
      <c r="AT76" s="823"/>
      <c r="AU76" s="823"/>
      <c r="AV76" s="823"/>
      <c r="AW76" s="823"/>
      <c r="AX76" s="823"/>
      <c r="AY76" s="823"/>
      <c r="AZ76" s="823"/>
      <c r="BA76" s="823"/>
      <c r="BB76" s="823"/>
      <c r="BC76" s="823"/>
      <c r="BD76" s="823"/>
      <c r="BE76" s="823"/>
      <c r="BF76" s="823"/>
      <c r="BG76" s="823"/>
      <c r="BH76" s="823"/>
      <c r="BI76" s="823"/>
      <c r="BJ76" s="823"/>
      <c r="BK76" s="823"/>
      <c r="BL76" s="823"/>
      <c r="BM76" s="823"/>
    </row>
    <row r="77" spans="2:65" ht="34.5" customHeight="1">
      <c r="B77" s="758"/>
      <c r="C77" s="762">
        <v>68</v>
      </c>
      <c r="D77" s="756"/>
      <c r="E77" s="757"/>
      <c r="F77" s="796" t="str">
        <f>IF(E77=0," ",VLOOKUP(E77,SISWA!$A$6:$C$55,3,FALSE))</f>
        <v xml:space="preserve"> </v>
      </c>
      <c r="G77" s="797" t="str">
        <f t="shared" si="36"/>
        <v xml:space="preserve"> </v>
      </c>
      <c r="H77" s="813"/>
      <c r="I77" s="824"/>
      <c r="J77" s="824"/>
      <c r="K77" s="824"/>
      <c r="L77" s="822" t="str">
        <f t="shared" si="37"/>
        <v xml:space="preserve"> </v>
      </c>
      <c r="M77" s="822" t="b">
        <f t="shared" si="38"/>
        <v>0</v>
      </c>
      <c r="N77" s="414" t="str">
        <f t="shared" si="39"/>
        <v xml:space="preserve"> </v>
      </c>
      <c r="O77" s="414" t="b">
        <f t="shared" si="40"/>
        <v>0</v>
      </c>
      <c r="P77" s="823"/>
      <c r="Q77" s="823"/>
      <c r="R77" s="823"/>
      <c r="S77" s="823"/>
      <c r="T77" s="823"/>
      <c r="U77" s="823"/>
      <c r="V77" s="823"/>
      <c r="W77" s="823"/>
      <c r="X77" s="823"/>
      <c r="Y77" s="823"/>
      <c r="Z77" s="823"/>
      <c r="AA77" s="823"/>
      <c r="AB77" s="823"/>
      <c r="AC77" s="823"/>
      <c r="AD77" s="823"/>
      <c r="AE77" s="823"/>
      <c r="AF77" s="823"/>
      <c r="AG77" s="823"/>
      <c r="AH77" s="823"/>
      <c r="AI77" s="823"/>
      <c r="AJ77" s="823"/>
      <c r="AK77" s="823"/>
      <c r="AL77" s="823"/>
      <c r="AM77" s="823"/>
      <c r="AN77" s="823"/>
      <c r="AO77" s="823"/>
      <c r="AP77" s="823"/>
      <c r="AQ77" s="823"/>
      <c r="AR77" s="823"/>
      <c r="AS77" s="823"/>
      <c r="AT77" s="823"/>
      <c r="AU77" s="823"/>
      <c r="AV77" s="823"/>
      <c r="AW77" s="823"/>
      <c r="AX77" s="823"/>
      <c r="AY77" s="823"/>
      <c r="AZ77" s="823"/>
      <c r="BA77" s="823"/>
      <c r="BB77" s="823"/>
      <c r="BC77" s="823"/>
      <c r="BD77" s="823"/>
      <c r="BE77" s="823"/>
      <c r="BF77" s="823"/>
      <c r="BG77" s="823"/>
      <c r="BH77" s="823"/>
      <c r="BI77" s="823"/>
      <c r="BJ77" s="823"/>
      <c r="BK77" s="823"/>
      <c r="BL77" s="823"/>
      <c r="BM77" s="823"/>
    </row>
    <row r="78" spans="2:65" ht="34.5" customHeight="1">
      <c r="B78" s="758"/>
      <c r="C78" s="762">
        <v>69</v>
      </c>
      <c r="D78" s="756"/>
      <c r="E78" s="757"/>
      <c r="F78" s="796" t="str">
        <f>IF(E78=0," ",VLOOKUP(E78,SISWA!$A$6:$C$55,3,FALSE))</f>
        <v xml:space="preserve"> </v>
      </c>
      <c r="G78" s="797" t="str">
        <f t="shared" si="36"/>
        <v xml:space="preserve"> </v>
      </c>
      <c r="H78" s="813"/>
      <c r="I78" s="824"/>
      <c r="J78" s="824"/>
      <c r="K78" s="824"/>
      <c r="L78" s="822" t="str">
        <f t="shared" si="37"/>
        <v xml:space="preserve"> </v>
      </c>
      <c r="M78" s="822" t="b">
        <f t="shared" si="38"/>
        <v>0</v>
      </c>
      <c r="N78" s="414" t="str">
        <f t="shared" si="39"/>
        <v xml:space="preserve"> </v>
      </c>
      <c r="O78" s="414" t="b">
        <f t="shared" si="40"/>
        <v>0</v>
      </c>
      <c r="P78" s="823"/>
      <c r="Q78" s="823"/>
      <c r="R78" s="823"/>
      <c r="S78" s="823"/>
      <c r="T78" s="823"/>
      <c r="U78" s="823"/>
      <c r="V78" s="823"/>
      <c r="W78" s="823"/>
      <c r="X78" s="823"/>
      <c r="Y78" s="823"/>
      <c r="Z78" s="823"/>
      <c r="AA78" s="823"/>
      <c r="AB78" s="823"/>
      <c r="AC78" s="823"/>
      <c r="AD78" s="823"/>
      <c r="AE78" s="823"/>
      <c r="AF78" s="823"/>
      <c r="AG78" s="823"/>
      <c r="AH78" s="823"/>
      <c r="AI78" s="823"/>
      <c r="AJ78" s="823"/>
      <c r="AK78" s="823"/>
      <c r="AL78" s="823"/>
      <c r="AM78" s="823"/>
      <c r="AN78" s="823"/>
      <c r="AO78" s="823"/>
      <c r="AP78" s="823"/>
      <c r="AQ78" s="823"/>
      <c r="AR78" s="823"/>
      <c r="AS78" s="823"/>
      <c r="AT78" s="823"/>
      <c r="AU78" s="823"/>
      <c r="AV78" s="823"/>
      <c r="AW78" s="823"/>
      <c r="AX78" s="823"/>
      <c r="AY78" s="823"/>
      <c r="AZ78" s="823"/>
      <c r="BA78" s="823"/>
      <c r="BB78" s="823"/>
      <c r="BC78" s="823"/>
      <c r="BD78" s="823"/>
      <c r="BE78" s="823"/>
      <c r="BF78" s="823"/>
      <c r="BG78" s="823"/>
      <c r="BH78" s="823"/>
      <c r="BI78" s="823"/>
      <c r="BJ78" s="823"/>
      <c r="BK78" s="823"/>
      <c r="BL78" s="823"/>
      <c r="BM78" s="823"/>
    </row>
    <row r="79" spans="2:65" ht="34.5" customHeight="1">
      <c r="B79" s="758"/>
      <c r="C79" s="762">
        <v>70</v>
      </c>
      <c r="D79" s="756"/>
      <c r="E79" s="757"/>
      <c r="F79" s="796" t="str">
        <f>IF(E79=0," ",VLOOKUP(E79,SISWA!$A$6:$C$55,3,FALSE))</f>
        <v xml:space="preserve"> </v>
      </c>
      <c r="G79" s="797" t="str">
        <f t="shared" si="36"/>
        <v xml:space="preserve"> </v>
      </c>
      <c r="H79" s="813"/>
      <c r="I79" s="824"/>
      <c r="J79" s="824"/>
      <c r="K79" s="824"/>
      <c r="L79" s="822" t="str">
        <f t="shared" si="37"/>
        <v xml:space="preserve"> </v>
      </c>
      <c r="M79" s="822" t="b">
        <f t="shared" si="38"/>
        <v>0</v>
      </c>
      <c r="N79" s="414" t="str">
        <f t="shared" si="39"/>
        <v xml:space="preserve"> </v>
      </c>
      <c r="O79" s="414" t="b">
        <f t="shared" si="40"/>
        <v>0</v>
      </c>
      <c r="P79" s="823"/>
      <c r="Q79" s="823"/>
      <c r="R79" s="823"/>
      <c r="S79" s="823"/>
      <c r="T79" s="823"/>
      <c r="U79" s="823"/>
      <c r="V79" s="823"/>
      <c r="W79" s="823"/>
      <c r="X79" s="823"/>
      <c r="Y79" s="823"/>
      <c r="Z79" s="823"/>
      <c r="AA79" s="823"/>
      <c r="AB79" s="823"/>
      <c r="AC79" s="823"/>
      <c r="AD79" s="823"/>
      <c r="AE79" s="823"/>
      <c r="AF79" s="823"/>
      <c r="AG79" s="823"/>
      <c r="AH79" s="823"/>
      <c r="AI79" s="823"/>
      <c r="AJ79" s="823"/>
      <c r="AK79" s="823"/>
      <c r="AL79" s="823"/>
      <c r="AM79" s="823"/>
      <c r="AN79" s="823"/>
      <c r="AO79" s="823"/>
      <c r="AP79" s="823"/>
      <c r="AQ79" s="823"/>
      <c r="AR79" s="823"/>
      <c r="AS79" s="823"/>
      <c r="AT79" s="823"/>
      <c r="AU79" s="823"/>
      <c r="AV79" s="823"/>
      <c r="AW79" s="823"/>
      <c r="AX79" s="823"/>
      <c r="AY79" s="823"/>
      <c r="AZ79" s="823"/>
      <c r="BA79" s="823"/>
      <c r="BB79" s="823"/>
      <c r="BC79" s="823"/>
      <c r="BD79" s="823"/>
      <c r="BE79" s="823"/>
      <c r="BF79" s="823"/>
      <c r="BG79" s="823"/>
      <c r="BH79" s="823"/>
      <c r="BI79" s="823"/>
      <c r="BJ79" s="823"/>
      <c r="BK79" s="823"/>
      <c r="BL79" s="823"/>
      <c r="BM79" s="823"/>
    </row>
    <row r="80" spans="2:65" ht="34.5" customHeight="1">
      <c r="B80" s="758"/>
      <c r="C80" s="762">
        <v>71</v>
      </c>
      <c r="D80" s="756"/>
      <c r="E80" s="757"/>
      <c r="F80" s="796" t="str">
        <f>IF(E80=0," ",VLOOKUP(E80,SISWA!$A$6:$C$55,3,FALSE))</f>
        <v xml:space="preserve"> </v>
      </c>
      <c r="G80" s="797" t="str">
        <f t="shared" si="36"/>
        <v xml:space="preserve"> </v>
      </c>
      <c r="H80" s="813"/>
      <c r="I80" s="824"/>
      <c r="J80" s="824"/>
      <c r="K80" s="824"/>
      <c r="L80" s="822" t="str">
        <f t="shared" si="37"/>
        <v xml:space="preserve"> </v>
      </c>
      <c r="M80" s="822" t="b">
        <f t="shared" si="38"/>
        <v>0</v>
      </c>
      <c r="N80" s="414" t="str">
        <f t="shared" si="39"/>
        <v xml:space="preserve"> </v>
      </c>
      <c r="O80" s="414" t="b">
        <f t="shared" si="40"/>
        <v>0</v>
      </c>
      <c r="P80" s="823"/>
      <c r="Q80" s="823"/>
      <c r="R80" s="823"/>
      <c r="S80" s="823"/>
      <c r="T80" s="823"/>
      <c r="U80" s="823"/>
      <c r="V80" s="823"/>
      <c r="W80" s="823"/>
      <c r="X80" s="823"/>
      <c r="Y80" s="823"/>
      <c r="Z80" s="823"/>
      <c r="AA80" s="823"/>
      <c r="AB80" s="823"/>
      <c r="AC80" s="823"/>
      <c r="AD80" s="823"/>
      <c r="AE80" s="823"/>
      <c r="AF80" s="823"/>
      <c r="AG80" s="823"/>
      <c r="AH80" s="823"/>
      <c r="AI80" s="823"/>
      <c r="AJ80" s="823"/>
      <c r="AK80" s="823"/>
      <c r="AL80" s="823"/>
      <c r="AM80" s="823"/>
      <c r="AN80" s="823"/>
      <c r="AO80" s="823"/>
      <c r="AP80" s="823"/>
      <c r="AQ80" s="823"/>
      <c r="AR80" s="823"/>
      <c r="AS80" s="823"/>
      <c r="AT80" s="823"/>
      <c r="AU80" s="823"/>
      <c r="AV80" s="823"/>
      <c r="AW80" s="823"/>
      <c r="AX80" s="823"/>
      <c r="AY80" s="823"/>
      <c r="AZ80" s="823"/>
      <c r="BA80" s="823"/>
      <c r="BB80" s="823"/>
      <c r="BC80" s="823"/>
      <c r="BD80" s="823"/>
      <c r="BE80" s="823"/>
      <c r="BF80" s="823"/>
      <c r="BG80" s="823"/>
      <c r="BH80" s="823"/>
      <c r="BI80" s="823"/>
      <c r="BJ80" s="823"/>
      <c r="BK80" s="823"/>
      <c r="BL80" s="823"/>
      <c r="BM80" s="823"/>
    </row>
    <row r="81" spans="2:65" ht="34.5" customHeight="1">
      <c r="B81" s="758"/>
      <c r="C81" s="762">
        <v>72</v>
      </c>
      <c r="D81" s="756"/>
      <c r="E81" s="757"/>
      <c r="F81" s="796" t="str">
        <f>IF(E81=0," ",VLOOKUP(E81,SISWA!$A$6:$C$55,3,FALSE))</f>
        <v xml:space="preserve"> </v>
      </c>
      <c r="G81" s="797" t="str">
        <f t="shared" si="36"/>
        <v xml:space="preserve"> </v>
      </c>
      <c r="H81" s="813"/>
      <c r="I81" s="824"/>
      <c r="J81" s="824"/>
      <c r="K81" s="824"/>
      <c r="L81" s="822" t="str">
        <f t="shared" si="37"/>
        <v xml:space="preserve"> </v>
      </c>
      <c r="M81" s="822" t="b">
        <f t="shared" si="38"/>
        <v>0</v>
      </c>
      <c r="N81" s="414" t="str">
        <f t="shared" si="39"/>
        <v xml:space="preserve"> </v>
      </c>
      <c r="O81" s="414" t="b">
        <f t="shared" si="40"/>
        <v>0</v>
      </c>
      <c r="P81" s="823"/>
      <c r="Q81" s="823"/>
      <c r="R81" s="823"/>
      <c r="S81" s="823"/>
      <c r="T81" s="823"/>
      <c r="U81" s="823"/>
      <c r="V81" s="823"/>
      <c r="W81" s="823"/>
      <c r="X81" s="823"/>
      <c r="Y81" s="823"/>
      <c r="Z81" s="823"/>
      <c r="AA81" s="823"/>
      <c r="AB81" s="823"/>
      <c r="AC81" s="823"/>
      <c r="AD81" s="823"/>
      <c r="AE81" s="823"/>
      <c r="AF81" s="823"/>
      <c r="AG81" s="823"/>
      <c r="AH81" s="823"/>
      <c r="AI81" s="823"/>
      <c r="AJ81" s="823"/>
      <c r="AK81" s="823"/>
      <c r="AL81" s="823"/>
      <c r="AM81" s="823"/>
      <c r="AN81" s="823"/>
      <c r="AO81" s="823"/>
      <c r="AP81" s="823"/>
      <c r="AQ81" s="823"/>
      <c r="AR81" s="823"/>
      <c r="AS81" s="823"/>
      <c r="AT81" s="823"/>
      <c r="AU81" s="823"/>
      <c r="AV81" s="823"/>
      <c r="AW81" s="823"/>
      <c r="AX81" s="823"/>
      <c r="AY81" s="823"/>
      <c r="AZ81" s="823"/>
      <c r="BA81" s="823"/>
      <c r="BB81" s="823"/>
      <c r="BC81" s="823"/>
      <c r="BD81" s="823"/>
      <c r="BE81" s="823"/>
      <c r="BF81" s="823"/>
      <c r="BG81" s="823"/>
      <c r="BH81" s="823"/>
      <c r="BI81" s="823"/>
      <c r="BJ81" s="823"/>
      <c r="BK81" s="823"/>
      <c r="BL81" s="823"/>
      <c r="BM81" s="823"/>
    </row>
    <row r="82" spans="2:65" ht="34.5" customHeight="1">
      <c r="B82" s="758"/>
      <c r="C82" s="762">
        <v>73</v>
      </c>
      <c r="D82" s="756"/>
      <c r="E82" s="757"/>
      <c r="F82" s="796" t="str">
        <f>IF(E82=0," ",VLOOKUP(E82,SISWA!$A$6:$C$55,3,FALSE))</f>
        <v xml:space="preserve"> </v>
      </c>
      <c r="G82" s="797" t="str">
        <f t="shared" si="36"/>
        <v xml:space="preserve"> </v>
      </c>
      <c r="H82" s="813"/>
      <c r="I82" s="824"/>
      <c r="J82" s="824"/>
      <c r="K82" s="824"/>
      <c r="L82" s="822" t="str">
        <f t="shared" si="37"/>
        <v xml:space="preserve"> </v>
      </c>
      <c r="M82" s="822" t="b">
        <f t="shared" si="38"/>
        <v>0</v>
      </c>
      <c r="N82" s="414" t="str">
        <f t="shared" si="39"/>
        <v xml:space="preserve"> </v>
      </c>
      <c r="O82" s="414" t="b">
        <f t="shared" si="40"/>
        <v>0</v>
      </c>
      <c r="P82" s="823"/>
      <c r="Q82" s="823"/>
      <c r="R82" s="823"/>
      <c r="S82" s="823"/>
      <c r="T82" s="823"/>
      <c r="U82" s="823"/>
      <c r="V82" s="823"/>
      <c r="W82" s="823"/>
      <c r="X82" s="823"/>
      <c r="Y82" s="823"/>
      <c r="Z82" s="823"/>
      <c r="AA82" s="823"/>
      <c r="AB82" s="823"/>
      <c r="AC82" s="823"/>
      <c r="AD82" s="823"/>
      <c r="AE82" s="823"/>
      <c r="AF82" s="823"/>
      <c r="AG82" s="823"/>
      <c r="AH82" s="823"/>
      <c r="AI82" s="823"/>
      <c r="AJ82" s="823"/>
      <c r="AK82" s="823"/>
      <c r="AL82" s="823"/>
      <c r="AM82" s="823"/>
      <c r="AN82" s="823"/>
      <c r="AO82" s="823"/>
      <c r="AP82" s="823"/>
      <c r="AQ82" s="823"/>
      <c r="AR82" s="823"/>
      <c r="AS82" s="823"/>
      <c r="AT82" s="823"/>
      <c r="AU82" s="823"/>
      <c r="AV82" s="823"/>
      <c r="AW82" s="823"/>
      <c r="AX82" s="823"/>
      <c r="AY82" s="823"/>
      <c r="AZ82" s="823"/>
      <c r="BA82" s="823"/>
      <c r="BB82" s="823"/>
      <c r="BC82" s="823"/>
      <c r="BD82" s="823"/>
      <c r="BE82" s="823"/>
      <c r="BF82" s="823"/>
      <c r="BG82" s="823"/>
      <c r="BH82" s="823"/>
      <c r="BI82" s="823"/>
      <c r="BJ82" s="823"/>
      <c r="BK82" s="823"/>
      <c r="BL82" s="823"/>
      <c r="BM82" s="823"/>
    </row>
    <row r="83" spans="2:65" ht="34.5" customHeight="1">
      <c r="B83" s="758"/>
      <c r="C83" s="762">
        <v>74</v>
      </c>
      <c r="D83" s="756"/>
      <c r="E83" s="757"/>
      <c r="F83" s="796" t="str">
        <f>IF(E83=0," ",VLOOKUP(E83,SISWA!$A$6:$C$55,3,FALSE))</f>
        <v xml:space="preserve"> </v>
      </c>
      <c r="G83" s="797" t="str">
        <f t="shared" si="36"/>
        <v xml:space="preserve"> </v>
      </c>
      <c r="H83" s="813"/>
      <c r="I83" s="824"/>
      <c r="J83" s="824"/>
      <c r="K83" s="824"/>
      <c r="L83" s="822" t="str">
        <f t="shared" si="37"/>
        <v xml:space="preserve"> </v>
      </c>
      <c r="M83" s="822" t="b">
        <f t="shared" si="38"/>
        <v>0</v>
      </c>
      <c r="N83" s="414" t="str">
        <f t="shared" si="39"/>
        <v xml:space="preserve"> </v>
      </c>
      <c r="O83" s="414" t="b">
        <f t="shared" si="40"/>
        <v>0</v>
      </c>
      <c r="P83" s="823"/>
      <c r="Q83" s="823"/>
      <c r="R83" s="823"/>
      <c r="S83" s="823"/>
      <c r="T83" s="823"/>
      <c r="U83" s="823"/>
      <c r="V83" s="823"/>
      <c r="W83" s="823"/>
      <c r="X83" s="823"/>
      <c r="Y83" s="823"/>
      <c r="Z83" s="823"/>
      <c r="AA83" s="823"/>
      <c r="AB83" s="823"/>
      <c r="AC83" s="823"/>
      <c r="AD83" s="823"/>
      <c r="AE83" s="823"/>
      <c r="AF83" s="823"/>
      <c r="AG83" s="823"/>
      <c r="AH83" s="823"/>
      <c r="AI83" s="823"/>
      <c r="AJ83" s="823"/>
      <c r="AK83" s="823"/>
      <c r="AL83" s="823"/>
      <c r="AM83" s="823"/>
      <c r="AN83" s="823"/>
      <c r="AO83" s="823"/>
      <c r="AP83" s="823"/>
      <c r="AQ83" s="823"/>
      <c r="AR83" s="823"/>
      <c r="AS83" s="823"/>
      <c r="AT83" s="823"/>
      <c r="AU83" s="823"/>
      <c r="AV83" s="823"/>
      <c r="AW83" s="823"/>
      <c r="AX83" s="823"/>
      <c r="AY83" s="823"/>
      <c r="AZ83" s="823"/>
      <c r="BA83" s="823"/>
      <c r="BB83" s="823"/>
      <c r="BC83" s="823"/>
      <c r="BD83" s="823"/>
      <c r="BE83" s="823"/>
      <c r="BF83" s="823"/>
      <c r="BG83" s="823"/>
      <c r="BH83" s="823"/>
      <c r="BI83" s="823"/>
      <c r="BJ83" s="823"/>
      <c r="BK83" s="823"/>
      <c r="BL83" s="823"/>
      <c r="BM83" s="823"/>
    </row>
    <row r="84" spans="2:65" ht="34.5" customHeight="1">
      <c r="B84" s="758"/>
      <c r="C84" s="762">
        <v>75</v>
      </c>
      <c r="D84" s="756"/>
      <c r="E84" s="757"/>
      <c r="F84" s="796" t="str">
        <f>IF(E84=0," ",VLOOKUP(E84,SISWA!$A$6:$C$55,3,FALSE))</f>
        <v xml:space="preserve"> </v>
      </c>
      <c r="G84" s="797" t="str">
        <f t="shared" si="36"/>
        <v xml:space="preserve"> </v>
      </c>
      <c r="H84" s="813"/>
      <c r="I84" s="824"/>
      <c r="J84" s="824"/>
      <c r="K84" s="824"/>
      <c r="L84" s="822" t="str">
        <f t="shared" si="37"/>
        <v xml:space="preserve"> </v>
      </c>
      <c r="M84" s="822" t="b">
        <f t="shared" si="38"/>
        <v>0</v>
      </c>
      <c r="N84" s="414" t="str">
        <f t="shared" si="39"/>
        <v xml:space="preserve"> </v>
      </c>
      <c r="O84" s="414" t="b">
        <f t="shared" si="40"/>
        <v>0</v>
      </c>
      <c r="P84" s="823"/>
      <c r="Q84" s="823"/>
      <c r="R84" s="823"/>
      <c r="S84" s="823"/>
      <c r="T84" s="823"/>
      <c r="U84" s="823"/>
      <c r="V84" s="823"/>
      <c r="W84" s="823"/>
      <c r="X84" s="823"/>
      <c r="Y84" s="823"/>
      <c r="Z84" s="823"/>
      <c r="AA84" s="823"/>
      <c r="AB84" s="823"/>
      <c r="AC84" s="823"/>
      <c r="AD84" s="823"/>
      <c r="AE84" s="823"/>
      <c r="AF84" s="823"/>
      <c r="AG84" s="823"/>
      <c r="AH84" s="823"/>
      <c r="AI84" s="823"/>
      <c r="AJ84" s="823"/>
      <c r="AK84" s="823"/>
      <c r="AL84" s="823"/>
      <c r="AM84" s="823"/>
      <c r="AN84" s="823"/>
      <c r="AO84" s="823"/>
      <c r="AP84" s="823"/>
      <c r="AQ84" s="823"/>
      <c r="AR84" s="823"/>
      <c r="AS84" s="823"/>
      <c r="AT84" s="823"/>
      <c r="AU84" s="823"/>
      <c r="AV84" s="823"/>
      <c r="AW84" s="823"/>
      <c r="AX84" s="823"/>
      <c r="AY84" s="823"/>
      <c r="AZ84" s="823"/>
      <c r="BA84" s="823"/>
      <c r="BB84" s="823"/>
      <c r="BC84" s="823"/>
      <c r="BD84" s="823"/>
      <c r="BE84" s="823"/>
      <c r="BF84" s="823"/>
      <c r="BG84" s="823"/>
      <c r="BH84" s="823"/>
      <c r="BI84" s="823"/>
      <c r="BJ84" s="823"/>
      <c r="BK84" s="823"/>
      <c r="BL84" s="823"/>
      <c r="BM84" s="823"/>
    </row>
    <row r="85" spans="2:65" ht="34.5" customHeight="1">
      <c r="B85" s="758"/>
      <c r="C85" s="762">
        <v>76</v>
      </c>
      <c r="D85" s="756"/>
      <c r="E85" s="757"/>
      <c r="F85" s="796" t="str">
        <f>IF(E85=0," ",VLOOKUP(E85,SISWA!$A$6:$C$55,3,FALSE))</f>
        <v xml:space="preserve"> </v>
      </c>
      <c r="G85" s="797" t="str">
        <f t="shared" si="36"/>
        <v xml:space="preserve"> </v>
      </c>
      <c r="H85" s="813"/>
      <c r="I85" s="824"/>
      <c r="J85" s="824"/>
      <c r="K85" s="824"/>
      <c r="L85" s="822" t="str">
        <f t="shared" si="37"/>
        <v xml:space="preserve"> </v>
      </c>
      <c r="M85" s="822" t="b">
        <f t="shared" si="38"/>
        <v>0</v>
      </c>
      <c r="N85" s="414" t="str">
        <f t="shared" si="39"/>
        <v xml:space="preserve"> </v>
      </c>
      <c r="O85" s="414" t="b">
        <f t="shared" si="40"/>
        <v>0</v>
      </c>
      <c r="P85" s="823"/>
      <c r="Q85" s="823"/>
      <c r="R85" s="823"/>
      <c r="S85" s="823"/>
      <c r="T85" s="823"/>
      <c r="U85" s="823"/>
      <c r="V85" s="823"/>
      <c r="W85" s="823"/>
      <c r="X85" s="823"/>
      <c r="Y85" s="823"/>
      <c r="Z85" s="823"/>
      <c r="AA85" s="823"/>
      <c r="AB85" s="823"/>
      <c r="AC85" s="823"/>
      <c r="AD85" s="823"/>
      <c r="AE85" s="823"/>
      <c r="AF85" s="823"/>
      <c r="AG85" s="823"/>
      <c r="AH85" s="823"/>
      <c r="AI85" s="823"/>
      <c r="AJ85" s="823"/>
      <c r="AK85" s="823"/>
      <c r="AL85" s="823"/>
      <c r="AM85" s="823"/>
      <c r="AN85" s="823"/>
      <c r="AO85" s="823"/>
      <c r="AP85" s="823"/>
      <c r="AQ85" s="823"/>
      <c r="AR85" s="823"/>
      <c r="AS85" s="823"/>
      <c r="AT85" s="823"/>
      <c r="AU85" s="823"/>
      <c r="AV85" s="823"/>
      <c r="AW85" s="823"/>
      <c r="AX85" s="823"/>
      <c r="AY85" s="823"/>
      <c r="AZ85" s="823"/>
      <c r="BA85" s="823"/>
      <c r="BB85" s="823"/>
      <c r="BC85" s="823"/>
      <c r="BD85" s="823"/>
      <c r="BE85" s="823"/>
      <c r="BF85" s="823"/>
      <c r="BG85" s="823"/>
      <c r="BH85" s="823"/>
      <c r="BI85" s="823"/>
      <c r="BJ85" s="823"/>
      <c r="BK85" s="823"/>
      <c r="BL85" s="823"/>
      <c r="BM85" s="823"/>
    </row>
    <row r="86" spans="2:65" ht="34.5" customHeight="1">
      <c r="B86" s="758"/>
      <c r="C86" s="762">
        <v>77</v>
      </c>
      <c r="D86" s="756"/>
      <c r="E86" s="757"/>
      <c r="F86" s="796" t="str">
        <f>IF(E86=0," ",VLOOKUP(E86,SISWA!$A$6:$C$55,3,FALSE))</f>
        <v xml:space="preserve"> </v>
      </c>
      <c r="G86" s="797" t="str">
        <f t="shared" si="36"/>
        <v xml:space="preserve"> </v>
      </c>
      <c r="H86" s="813"/>
      <c r="I86" s="824"/>
      <c r="J86" s="824"/>
      <c r="K86" s="824"/>
      <c r="L86" s="822" t="str">
        <f t="shared" si="37"/>
        <v xml:space="preserve"> </v>
      </c>
      <c r="M86" s="822" t="b">
        <f t="shared" si="38"/>
        <v>0</v>
      </c>
      <c r="N86" s="414" t="str">
        <f t="shared" si="39"/>
        <v xml:space="preserve"> </v>
      </c>
      <c r="O86" s="414" t="b">
        <f t="shared" si="40"/>
        <v>0</v>
      </c>
      <c r="P86" s="823"/>
      <c r="Q86" s="823"/>
      <c r="R86" s="823"/>
      <c r="S86" s="823"/>
      <c r="T86" s="823"/>
      <c r="U86" s="823"/>
      <c r="V86" s="823"/>
      <c r="W86" s="823"/>
      <c r="X86" s="823"/>
      <c r="Y86" s="823"/>
      <c r="Z86" s="823"/>
      <c r="AA86" s="823"/>
      <c r="AB86" s="823"/>
      <c r="AC86" s="823"/>
      <c r="AD86" s="823"/>
      <c r="AE86" s="823"/>
      <c r="AF86" s="823"/>
      <c r="AG86" s="823"/>
      <c r="AH86" s="823"/>
      <c r="AI86" s="823"/>
      <c r="AJ86" s="823"/>
      <c r="AK86" s="823"/>
      <c r="AL86" s="823"/>
      <c r="AM86" s="823"/>
      <c r="AN86" s="823"/>
      <c r="AO86" s="823"/>
      <c r="AP86" s="823"/>
      <c r="AQ86" s="823"/>
      <c r="AR86" s="823"/>
      <c r="AS86" s="823"/>
      <c r="AT86" s="823"/>
      <c r="AU86" s="823"/>
      <c r="AV86" s="823"/>
      <c r="AW86" s="823"/>
      <c r="AX86" s="823"/>
      <c r="AY86" s="823"/>
      <c r="AZ86" s="823"/>
      <c r="BA86" s="823"/>
      <c r="BB86" s="823"/>
      <c r="BC86" s="823"/>
      <c r="BD86" s="823"/>
      <c r="BE86" s="823"/>
      <c r="BF86" s="823"/>
      <c r="BG86" s="823"/>
      <c r="BH86" s="823"/>
      <c r="BI86" s="823"/>
      <c r="BJ86" s="823"/>
      <c r="BK86" s="823"/>
      <c r="BL86" s="823"/>
      <c r="BM86" s="823"/>
    </row>
    <row r="87" spans="2:65" ht="34.5" customHeight="1">
      <c r="B87" s="758"/>
      <c r="C87" s="762">
        <v>78</v>
      </c>
      <c r="D87" s="756"/>
      <c r="E87" s="757"/>
      <c r="F87" s="796" t="str">
        <f>IF(E87=0," ",VLOOKUP(E87,SISWA!$A$6:$C$55,3,FALSE))</f>
        <v xml:space="preserve"> </v>
      </c>
      <c r="G87" s="797" t="str">
        <f t="shared" si="36"/>
        <v xml:space="preserve"> </v>
      </c>
      <c r="H87" s="813"/>
      <c r="I87" s="824"/>
      <c r="J87" s="824"/>
      <c r="K87" s="824"/>
      <c r="L87" s="822" t="str">
        <f t="shared" si="37"/>
        <v xml:space="preserve"> </v>
      </c>
      <c r="M87" s="822" t="b">
        <f t="shared" si="38"/>
        <v>0</v>
      </c>
      <c r="N87" s="414" t="str">
        <f t="shared" si="39"/>
        <v xml:space="preserve"> </v>
      </c>
      <c r="O87" s="414" t="b">
        <f t="shared" si="40"/>
        <v>0</v>
      </c>
      <c r="P87" s="823"/>
      <c r="Q87" s="823"/>
      <c r="R87" s="823"/>
      <c r="S87" s="823"/>
      <c r="T87" s="823"/>
      <c r="U87" s="823"/>
      <c r="V87" s="823"/>
      <c r="W87" s="823"/>
      <c r="X87" s="823"/>
      <c r="Y87" s="823"/>
      <c r="Z87" s="823"/>
      <c r="AA87" s="823"/>
      <c r="AB87" s="823"/>
      <c r="AC87" s="823"/>
      <c r="AD87" s="823"/>
      <c r="AE87" s="823"/>
      <c r="AF87" s="823"/>
      <c r="AG87" s="823"/>
      <c r="AH87" s="823"/>
      <c r="AI87" s="823"/>
      <c r="AJ87" s="823"/>
      <c r="AK87" s="823"/>
      <c r="AL87" s="823"/>
      <c r="AM87" s="823"/>
      <c r="AN87" s="823"/>
      <c r="AO87" s="823"/>
      <c r="AP87" s="823"/>
      <c r="AQ87" s="823"/>
      <c r="AR87" s="823"/>
      <c r="AS87" s="823"/>
      <c r="AT87" s="823"/>
      <c r="AU87" s="823"/>
      <c r="AV87" s="823"/>
      <c r="AW87" s="823"/>
      <c r="AX87" s="823"/>
      <c r="AY87" s="823"/>
      <c r="AZ87" s="823"/>
      <c r="BA87" s="823"/>
      <c r="BB87" s="823"/>
      <c r="BC87" s="823"/>
      <c r="BD87" s="823"/>
      <c r="BE87" s="823"/>
      <c r="BF87" s="823"/>
      <c r="BG87" s="823"/>
      <c r="BH87" s="823"/>
      <c r="BI87" s="823"/>
      <c r="BJ87" s="823"/>
      <c r="BK87" s="823"/>
      <c r="BL87" s="823"/>
      <c r="BM87" s="823"/>
    </row>
    <row r="88" spans="2:65" ht="34.5" customHeight="1">
      <c r="B88" s="758"/>
      <c r="C88" s="762">
        <v>79</v>
      </c>
      <c r="D88" s="756"/>
      <c r="E88" s="757"/>
      <c r="F88" s="796" t="str">
        <f>IF(E88=0," ",VLOOKUP(E88,SISWA!$A$6:$C$55,3,FALSE))</f>
        <v xml:space="preserve"> </v>
      </c>
      <c r="G88" s="797" t="str">
        <f t="shared" si="36"/>
        <v xml:space="preserve"> </v>
      </c>
      <c r="H88" s="813"/>
      <c r="I88" s="824"/>
      <c r="J88" s="824"/>
      <c r="K88" s="824"/>
      <c r="L88" s="822" t="str">
        <f t="shared" si="37"/>
        <v xml:space="preserve"> </v>
      </c>
      <c r="M88" s="822" t="b">
        <f t="shared" si="38"/>
        <v>0</v>
      </c>
      <c r="N88" s="414" t="str">
        <f t="shared" si="39"/>
        <v xml:space="preserve"> </v>
      </c>
      <c r="O88" s="414" t="b">
        <f t="shared" si="40"/>
        <v>0</v>
      </c>
      <c r="P88" s="823"/>
      <c r="Q88" s="823"/>
      <c r="R88" s="823"/>
      <c r="S88" s="823"/>
      <c r="T88" s="823"/>
      <c r="U88" s="823"/>
      <c r="V88" s="823"/>
      <c r="W88" s="823"/>
      <c r="X88" s="823"/>
      <c r="Y88" s="823"/>
      <c r="Z88" s="823"/>
      <c r="AA88" s="823"/>
      <c r="AB88" s="823"/>
      <c r="AC88" s="823"/>
      <c r="AD88" s="823"/>
      <c r="AE88" s="823"/>
      <c r="AF88" s="823"/>
      <c r="AG88" s="823"/>
      <c r="AH88" s="823"/>
      <c r="AI88" s="823"/>
      <c r="AJ88" s="823"/>
      <c r="AK88" s="823"/>
      <c r="AL88" s="823"/>
      <c r="AM88" s="823"/>
      <c r="AN88" s="823"/>
      <c r="AO88" s="823"/>
      <c r="AP88" s="823"/>
      <c r="AQ88" s="823"/>
      <c r="AR88" s="823"/>
      <c r="AS88" s="823"/>
      <c r="AT88" s="823"/>
      <c r="AU88" s="823"/>
      <c r="AV88" s="823"/>
      <c r="AW88" s="823"/>
      <c r="AX88" s="823"/>
      <c r="AY88" s="823"/>
      <c r="AZ88" s="823"/>
      <c r="BA88" s="823"/>
      <c r="BB88" s="823"/>
      <c r="BC88" s="823"/>
      <c r="BD88" s="823"/>
      <c r="BE88" s="823"/>
      <c r="BF88" s="823"/>
      <c r="BG88" s="823"/>
      <c r="BH88" s="823"/>
      <c r="BI88" s="823"/>
      <c r="BJ88" s="823"/>
      <c r="BK88" s="823"/>
      <c r="BL88" s="823"/>
      <c r="BM88" s="823"/>
    </row>
    <row r="89" spans="2:65" ht="34.5" customHeight="1">
      <c r="B89" s="758"/>
      <c r="C89" s="762">
        <v>80</v>
      </c>
      <c r="D89" s="756"/>
      <c r="E89" s="757"/>
      <c r="F89" s="796" t="str">
        <f>IF(E89=0," ",VLOOKUP(E89,SISWA!$A$6:$C$55,3,FALSE))</f>
        <v xml:space="preserve"> </v>
      </c>
      <c r="G89" s="797" t="str">
        <f t="shared" si="36"/>
        <v xml:space="preserve"> </v>
      </c>
      <c r="H89" s="813"/>
      <c r="I89" s="824"/>
      <c r="J89" s="824"/>
      <c r="K89" s="824"/>
      <c r="L89" s="822" t="str">
        <f t="shared" si="37"/>
        <v xml:space="preserve"> </v>
      </c>
      <c r="M89" s="822" t="b">
        <f t="shared" si="38"/>
        <v>0</v>
      </c>
      <c r="N89" s="414" t="str">
        <f t="shared" si="39"/>
        <v xml:space="preserve"> </v>
      </c>
      <c r="O89" s="414" t="b">
        <f t="shared" si="40"/>
        <v>0</v>
      </c>
      <c r="P89" s="823"/>
      <c r="Q89" s="823"/>
      <c r="R89" s="823"/>
      <c r="S89" s="823"/>
      <c r="T89" s="823"/>
      <c r="U89" s="823"/>
      <c r="V89" s="823"/>
      <c r="W89" s="823"/>
      <c r="X89" s="823"/>
      <c r="Y89" s="823"/>
      <c r="Z89" s="823"/>
      <c r="AA89" s="823"/>
      <c r="AB89" s="823"/>
      <c r="AC89" s="823"/>
      <c r="AD89" s="823"/>
      <c r="AE89" s="823"/>
      <c r="AF89" s="823"/>
      <c r="AG89" s="823"/>
      <c r="AH89" s="823"/>
      <c r="AI89" s="823"/>
      <c r="AJ89" s="823"/>
      <c r="AK89" s="823"/>
      <c r="AL89" s="823"/>
      <c r="AM89" s="823"/>
      <c r="AN89" s="823"/>
      <c r="AO89" s="823"/>
      <c r="AP89" s="823"/>
      <c r="AQ89" s="823"/>
      <c r="AR89" s="823"/>
      <c r="AS89" s="823"/>
      <c r="AT89" s="823"/>
      <c r="AU89" s="823"/>
      <c r="AV89" s="823"/>
      <c r="AW89" s="823"/>
      <c r="AX89" s="823"/>
      <c r="AY89" s="823"/>
      <c r="AZ89" s="823"/>
      <c r="BA89" s="823"/>
      <c r="BB89" s="823"/>
      <c r="BC89" s="823"/>
      <c r="BD89" s="823"/>
      <c r="BE89" s="823"/>
      <c r="BF89" s="823"/>
      <c r="BG89" s="823"/>
      <c r="BH89" s="823"/>
      <c r="BI89" s="823"/>
      <c r="BJ89" s="823"/>
      <c r="BK89" s="823"/>
      <c r="BL89" s="823"/>
      <c r="BM89" s="823"/>
    </row>
    <row r="90" spans="2:65" ht="34.5" customHeight="1">
      <c r="B90" s="758"/>
      <c r="C90" s="762">
        <v>81</v>
      </c>
      <c r="D90" s="756"/>
      <c r="E90" s="757"/>
      <c r="F90" s="796" t="str">
        <f>IF(E90=0," ",VLOOKUP(E90,SISWA!$A$6:$C$55,3,FALSE))</f>
        <v xml:space="preserve"> </v>
      </c>
      <c r="G90" s="797" t="str">
        <f t="shared" si="36"/>
        <v xml:space="preserve"> </v>
      </c>
      <c r="H90" s="813"/>
      <c r="I90" s="824"/>
      <c r="J90" s="824"/>
      <c r="K90" s="824"/>
      <c r="L90" s="822" t="str">
        <f t="shared" si="37"/>
        <v xml:space="preserve"> </v>
      </c>
      <c r="M90" s="822" t="b">
        <f t="shared" si="38"/>
        <v>0</v>
      </c>
      <c r="N90" s="414" t="str">
        <f t="shared" si="39"/>
        <v xml:space="preserve"> </v>
      </c>
      <c r="O90" s="414" t="b">
        <f t="shared" si="40"/>
        <v>0</v>
      </c>
      <c r="P90" s="823"/>
      <c r="Q90" s="823"/>
      <c r="R90" s="823"/>
      <c r="S90" s="823"/>
      <c r="T90" s="823"/>
      <c r="U90" s="823"/>
      <c r="V90" s="823"/>
      <c r="W90" s="823"/>
      <c r="X90" s="823"/>
      <c r="Y90" s="823"/>
      <c r="Z90" s="823"/>
      <c r="AA90" s="823"/>
      <c r="AB90" s="823"/>
      <c r="AC90" s="823"/>
      <c r="AD90" s="823"/>
      <c r="AE90" s="823"/>
      <c r="AF90" s="823"/>
      <c r="AG90" s="823"/>
      <c r="AH90" s="823"/>
      <c r="AI90" s="823"/>
      <c r="AJ90" s="823"/>
      <c r="AK90" s="823"/>
      <c r="AL90" s="823"/>
      <c r="AM90" s="823"/>
      <c r="AN90" s="823"/>
      <c r="AO90" s="823"/>
      <c r="AP90" s="823"/>
      <c r="AQ90" s="823"/>
      <c r="AR90" s="823"/>
      <c r="AS90" s="823"/>
      <c r="AT90" s="823"/>
      <c r="AU90" s="823"/>
      <c r="AV90" s="823"/>
      <c r="AW90" s="823"/>
      <c r="AX90" s="823"/>
      <c r="AY90" s="823"/>
      <c r="AZ90" s="823"/>
      <c r="BA90" s="823"/>
      <c r="BB90" s="823"/>
      <c r="BC90" s="823"/>
      <c r="BD90" s="823"/>
      <c r="BE90" s="823"/>
      <c r="BF90" s="823"/>
      <c r="BG90" s="823"/>
      <c r="BH90" s="823"/>
      <c r="BI90" s="823"/>
      <c r="BJ90" s="823"/>
      <c r="BK90" s="823"/>
      <c r="BL90" s="823"/>
      <c r="BM90" s="823"/>
    </row>
    <row r="91" spans="2:65" ht="34.5" customHeight="1">
      <c r="B91" s="758"/>
      <c r="C91" s="762">
        <v>82</v>
      </c>
      <c r="D91" s="756"/>
      <c r="E91" s="757"/>
      <c r="F91" s="796" t="str">
        <f>IF(E91=0," ",VLOOKUP(E91,SISWA!$A$6:$C$55,3,FALSE))</f>
        <v xml:space="preserve"> </v>
      </c>
      <c r="G91" s="797" t="str">
        <f t="shared" si="36"/>
        <v xml:space="preserve"> </v>
      </c>
      <c r="H91" s="813"/>
      <c r="I91" s="824"/>
      <c r="J91" s="824"/>
      <c r="K91" s="824"/>
      <c r="L91" s="822" t="str">
        <f t="shared" si="37"/>
        <v xml:space="preserve"> </v>
      </c>
      <c r="M91" s="822" t="b">
        <f t="shared" si="38"/>
        <v>0</v>
      </c>
      <c r="N91" s="414" t="str">
        <f t="shared" si="39"/>
        <v xml:space="preserve"> </v>
      </c>
      <c r="O91" s="414" t="b">
        <f t="shared" si="40"/>
        <v>0</v>
      </c>
      <c r="P91" s="823"/>
      <c r="Q91" s="823"/>
      <c r="R91" s="823"/>
      <c r="S91" s="823"/>
      <c r="T91" s="823"/>
      <c r="U91" s="823"/>
      <c r="V91" s="823"/>
      <c r="W91" s="823"/>
      <c r="X91" s="823"/>
      <c r="Y91" s="823"/>
      <c r="Z91" s="823"/>
      <c r="AA91" s="823"/>
      <c r="AB91" s="823"/>
      <c r="AC91" s="823"/>
      <c r="AD91" s="823"/>
      <c r="AE91" s="823"/>
      <c r="AF91" s="823"/>
      <c r="AG91" s="823"/>
      <c r="AH91" s="823"/>
      <c r="AI91" s="823"/>
      <c r="AJ91" s="823"/>
      <c r="AK91" s="823"/>
      <c r="AL91" s="823"/>
      <c r="AM91" s="823"/>
      <c r="AN91" s="823"/>
      <c r="AO91" s="823"/>
      <c r="AP91" s="823"/>
      <c r="AQ91" s="823"/>
      <c r="AR91" s="823"/>
      <c r="AS91" s="823"/>
      <c r="AT91" s="823"/>
      <c r="AU91" s="823"/>
      <c r="AV91" s="823"/>
      <c r="AW91" s="823"/>
      <c r="AX91" s="823"/>
      <c r="AY91" s="823"/>
      <c r="AZ91" s="823"/>
      <c r="BA91" s="823"/>
      <c r="BB91" s="823"/>
      <c r="BC91" s="823"/>
      <c r="BD91" s="823"/>
      <c r="BE91" s="823"/>
      <c r="BF91" s="823"/>
      <c r="BG91" s="823"/>
      <c r="BH91" s="823"/>
      <c r="BI91" s="823"/>
      <c r="BJ91" s="823"/>
      <c r="BK91" s="823"/>
      <c r="BL91" s="823"/>
      <c r="BM91" s="823"/>
    </row>
    <row r="92" spans="2:65" ht="34.5" customHeight="1">
      <c r="B92" s="758"/>
      <c r="C92" s="762">
        <v>83</v>
      </c>
      <c r="D92" s="756"/>
      <c r="E92" s="757"/>
      <c r="F92" s="796" t="str">
        <f>IF(E92=0," ",VLOOKUP(E92,SISWA!$A$6:$C$55,3,FALSE))</f>
        <v xml:space="preserve"> </v>
      </c>
      <c r="G92" s="797" t="str">
        <f t="shared" si="36"/>
        <v xml:space="preserve"> </v>
      </c>
      <c r="H92" s="813"/>
      <c r="I92" s="824"/>
      <c r="J92" s="824"/>
      <c r="K92" s="824"/>
      <c r="L92" s="822" t="str">
        <f t="shared" si="37"/>
        <v xml:space="preserve"> </v>
      </c>
      <c r="M92" s="822" t="b">
        <f t="shared" si="38"/>
        <v>0</v>
      </c>
      <c r="N92" s="414" t="str">
        <f t="shared" si="39"/>
        <v xml:space="preserve"> </v>
      </c>
      <c r="O92" s="414" t="b">
        <f t="shared" si="40"/>
        <v>0</v>
      </c>
      <c r="P92" s="823"/>
      <c r="Q92" s="823"/>
      <c r="R92" s="823"/>
      <c r="S92" s="823"/>
      <c r="T92" s="823"/>
      <c r="U92" s="823"/>
      <c r="V92" s="823"/>
      <c r="W92" s="823"/>
      <c r="X92" s="823"/>
      <c r="Y92" s="823"/>
      <c r="Z92" s="823"/>
      <c r="AA92" s="823"/>
      <c r="AB92" s="823"/>
      <c r="AC92" s="823"/>
      <c r="AD92" s="823"/>
      <c r="AE92" s="823"/>
      <c r="AF92" s="823"/>
      <c r="AG92" s="823"/>
      <c r="AH92" s="823"/>
      <c r="AI92" s="823"/>
      <c r="AJ92" s="823"/>
      <c r="AK92" s="823"/>
      <c r="AL92" s="823"/>
      <c r="AM92" s="823"/>
      <c r="AN92" s="823"/>
      <c r="AO92" s="823"/>
      <c r="AP92" s="823"/>
      <c r="AQ92" s="823"/>
      <c r="AR92" s="823"/>
      <c r="AS92" s="823"/>
      <c r="AT92" s="823"/>
      <c r="AU92" s="823"/>
      <c r="AV92" s="823"/>
      <c r="AW92" s="823"/>
      <c r="AX92" s="823"/>
      <c r="AY92" s="823"/>
      <c r="AZ92" s="823"/>
      <c r="BA92" s="823"/>
      <c r="BB92" s="823"/>
      <c r="BC92" s="823"/>
      <c r="BD92" s="823"/>
      <c r="BE92" s="823"/>
      <c r="BF92" s="823"/>
      <c r="BG92" s="823"/>
      <c r="BH92" s="823"/>
      <c r="BI92" s="823"/>
      <c r="BJ92" s="823"/>
      <c r="BK92" s="823"/>
      <c r="BL92" s="823"/>
      <c r="BM92" s="823"/>
    </row>
    <row r="93" spans="2:65" ht="34.5" customHeight="1">
      <c r="B93" s="758"/>
      <c r="C93" s="762">
        <v>84</v>
      </c>
      <c r="D93" s="756"/>
      <c r="E93" s="757"/>
      <c r="F93" s="796" t="str">
        <f>IF(E93=0," ",VLOOKUP(E93,SISWA!$A$6:$C$55,3,FALSE))</f>
        <v xml:space="preserve"> </v>
      </c>
      <c r="G93" s="797" t="str">
        <f t="shared" si="36"/>
        <v xml:space="preserve"> </v>
      </c>
      <c r="H93" s="813"/>
      <c r="I93" s="824"/>
      <c r="J93" s="824"/>
      <c r="K93" s="824"/>
      <c r="L93" s="822" t="str">
        <f t="shared" si="37"/>
        <v xml:space="preserve"> </v>
      </c>
      <c r="M93" s="822" t="b">
        <f t="shared" si="38"/>
        <v>0</v>
      </c>
      <c r="N93" s="414" t="str">
        <f t="shared" si="39"/>
        <v xml:space="preserve"> </v>
      </c>
      <c r="O93" s="414" t="b">
        <f t="shared" si="40"/>
        <v>0</v>
      </c>
      <c r="P93" s="823"/>
      <c r="Q93" s="823"/>
      <c r="R93" s="823"/>
      <c r="S93" s="823"/>
      <c r="T93" s="823"/>
      <c r="U93" s="823"/>
      <c r="V93" s="823"/>
      <c r="W93" s="823"/>
      <c r="X93" s="823"/>
      <c r="Y93" s="823"/>
      <c r="Z93" s="823"/>
      <c r="AA93" s="823"/>
      <c r="AB93" s="823"/>
      <c r="AC93" s="823"/>
      <c r="AD93" s="823"/>
      <c r="AE93" s="823"/>
      <c r="AF93" s="823"/>
      <c r="AG93" s="823"/>
      <c r="AH93" s="823"/>
      <c r="AI93" s="823"/>
      <c r="AJ93" s="823"/>
      <c r="AK93" s="823"/>
      <c r="AL93" s="823"/>
      <c r="AM93" s="823"/>
      <c r="AN93" s="823"/>
      <c r="AO93" s="823"/>
      <c r="AP93" s="823"/>
      <c r="AQ93" s="823"/>
      <c r="AR93" s="823"/>
      <c r="AS93" s="823"/>
      <c r="AT93" s="823"/>
      <c r="AU93" s="823"/>
      <c r="AV93" s="823"/>
      <c r="AW93" s="823"/>
      <c r="AX93" s="823"/>
      <c r="AY93" s="823"/>
      <c r="AZ93" s="823"/>
      <c r="BA93" s="823"/>
      <c r="BB93" s="823"/>
      <c r="BC93" s="823"/>
      <c r="BD93" s="823"/>
      <c r="BE93" s="823"/>
      <c r="BF93" s="823"/>
      <c r="BG93" s="823"/>
      <c r="BH93" s="823"/>
      <c r="BI93" s="823"/>
      <c r="BJ93" s="823"/>
      <c r="BK93" s="823"/>
      <c r="BL93" s="823"/>
      <c r="BM93" s="823"/>
    </row>
    <row r="94" spans="2:65" ht="34.5" customHeight="1">
      <c r="B94" s="758"/>
      <c r="C94" s="762">
        <v>85</v>
      </c>
      <c r="D94" s="756"/>
      <c r="E94" s="757"/>
      <c r="F94" s="796" t="str">
        <f>IF(E94=0," ",VLOOKUP(E94,SISWA!$A$6:$C$55,3,FALSE))</f>
        <v xml:space="preserve"> </v>
      </c>
      <c r="G94" s="797" t="str">
        <f t="shared" si="36"/>
        <v xml:space="preserve"> </v>
      </c>
      <c r="H94" s="813"/>
      <c r="I94" s="824"/>
      <c r="J94" s="824"/>
      <c r="K94" s="824"/>
      <c r="L94" s="822" t="str">
        <f t="shared" si="37"/>
        <v xml:space="preserve"> </v>
      </c>
      <c r="M94" s="822" t="b">
        <f t="shared" si="38"/>
        <v>0</v>
      </c>
      <c r="N94" s="414" t="str">
        <f t="shared" si="39"/>
        <v xml:space="preserve"> </v>
      </c>
      <c r="O94" s="414" t="b">
        <f t="shared" si="40"/>
        <v>0</v>
      </c>
      <c r="P94" s="823"/>
      <c r="Q94" s="823"/>
      <c r="R94" s="823"/>
      <c r="S94" s="823"/>
      <c r="T94" s="823"/>
      <c r="U94" s="823"/>
      <c r="V94" s="823"/>
      <c r="W94" s="823"/>
      <c r="X94" s="823"/>
      <c r="Y94" s="823"/>
      <c r="Z94" s="823"/>
      <c r="AA94" s="823"/>
      <c r="AB94" s="823"/>
      <c r="AC94" s="823"/>
      <c r="AD94" s="823"/>
      <c r="AE94" s="823"/>
      <c r="AF94" s="823"/>
      <c r="AG94" s="823"/>
      <c r="AH94" s="823"/>
      <c r="AI94" s="823"/>
      <c r="AJ94" s="823"/>
      <c r="AK94" s="823"/>
      <c r="AL94" s="823"/>
      <c r="AM94" s="823"/>
      <c r="AN94" s="823"/>
      <c r="AO94" s="823"/>
      <c r="AP94" s="823"/>
      <c r="AQ94" s="823"/>
      <c r="AR94" s="823"/>
      <c r="AS94" s="823"/>
      <c r="AT94" s="823"/>
      <c r="AU94" s="823"/>
      <c r="AV94" s="823"/>
      <c r="AW94" s="823"/>
      <c r="AX94" s="823"/>
      <c r="AY94" s="823"/>
      <c r="AZ94" s="823"/>
      <c r="BA94" s="823"/>
      <c r="BB94" s="823"/>
      <c r="BC94" s="823"/>
      <c r="BD94" s="823"/>
      <c r="BE94" s="823"/>
      <c r="BF94" s="823"/>
      <c r="BG94" s="823"/>
      <c r="BH94" s="823"/>
      <c r="BI94" s="823"/>
      <c r="BJ94" s="823"/>
      <c r="BK94" s="823"/>
      <c r="BL94" s="823"/>
      <c r="BM94" s="823"/>
    </row>
    <row r="95" spans="2:65" ht="34.5" customHeight="1">
      <c r="B95" s="758"/>
      <c r="C95" s="762">
        <v>86</v>
      </c>
      <c r="D95" s="756"/>
      <c r="E95" s="757"/>
      <c r="F95" s="796" t="str">
        <f>IF(E95=0," ",VLOOKUP(E95,SISWA!$A$6:$C$55,3,FALSE))</f>
        <v xml:space="preserve"> </v>
      </c>
      <c r="G95" s="797" t="str">
        <f t="shared" si="36"/>
        <v xml:space="preserve"> </v>
      </c>
      <c r="H95" s="813"/>
      <c r="I95" s="824"/>
      <c r="J95" s="824"/>
      <c r="K95" s="824"/>
      <c r="L95" s="822" t="str">
        <f t="shared" si="37"/>
        <v xml:space="preserve"> </v>
      </c>
      <c r="M95" s="822" t="b">
        <f t="shared" si="38"/>
        <v>0</v>
      </c>
      <c r="N95" s="414" t="str">
        <f t="shared" si="39"/>
        <v xml:space="preserve"> </v>
      </c>
      <c r="O95" s="414" t="b">
        <f t="shared" si="40"/>
        <v>0</v>
      </c>
      <c r="P95" s="823"/>
      <c r="Q95" s="823"/>
      <c r="R95" s="823"/>
      <c r="S95" s="823"/>
      <c r="T95" s="823"/>
      <c r="U95" s="823"/>
      <c r="V95" s="823"/>
      <c r="W95" s="823"/>
      <c r="X95" s="823"/>
      <c r="Y95" s="823"/>
      <c r="Z95" s="823"/>
      <c r="AA95" s="823"/>
      <c r="AB95" s="823"/>
      <c r="AC95" s="823"/>
      <c r="AD95" s="823"/>
      <c r="AE95" s="823"/>
      <c r="AF95" s="823"/>
      <c r="AG95" s="823"/>
      <c r="AH95" s="823"/>
      <c r="AI95" s="823"/>
      <c r="AJ95" s="823"/>
      <c r="AK95" s="823"/>
      <c r="AL95" s="823"/>
      <c r="AM95" s="823"/>
      <c r="AN95" s="823"/>
      <c r="AO95" s="823"/>
      <c r="AP95" s="823"/>
      <c r="AQ95" s="823"/>
      <c r="AR95" s="823"/>
      <c r="AS95" s="823"/>
      <c r="AT95" s="823"/>
      <c r="AU95" s="823"/>
      <c r="AV95" s="823"/>
      <c r="AW95" s="823"/>
      <c r="AX95" s="823"/>
      <c r="AY95" s="823"/>
      <c r="AZ95" s="823"/>
      <c r="BA95" s="823"/>
      <c r="BB95" s="823"/>
      <c r="BC95" s="823"/>
      <c r="BD95" s="823"/>
      <c r="BE95" s="823"/>
      <c r="BF95" s="823"/>
      <c r="BG95" s="823"/>
      <c r="BH95" s="823"/>
      <c r="BI95" s="823"/>
      <c r="BJ95" s="823"/>
      <c r="BK95" s="823"/>
      <c r="BL95" s="823"/>
      <c r="BM95" s="823"/>
    </row>
    <row r="96" spans="2:65" ht="34.5" customHeight="1">
      <c r="B96" s="758"/>
      <c r="C96" s="762">
        <v>87</v>
      </c>
      <c r="D96" s="756"/>
      <c r="E96" s="757"/>
      <c r="F96" s="796" t="str">
        <f>IF(E96=0," ",VLOOKUP(E96,SISWA!$A$6:$C$55,3,FALSE))</f>
        <v xml:space="preserve"> </v>
      </c>
      <c r="G96" s="797" t="str">
        <f t="shared" si="36"/>
        <v xml:space="preserve"> </v>
      </c>
      <c r="H96" s="813"/>
      <c r="I96" s="824"/>
      <c r="J96" s="824"/>
      <c r="K96" s="824"/>
      <c r="L96" s="822" t="str">
        <f t="shared" si="37"/>
        <v xml:space="preserve"> </v>
      </c>
      <c r="M96" s="822" t="b">
        <f t="shared" si="38"/>
        <v>0</v>
      </c>
      <c r="N96" s="414" t="str">
        <f t="shared" si="39"/>
        <v xml:space="preserve"> </v>
      </c>
      <c r="O96" s="414" t="b">
        <f t="shared" si="40"/>
        <v>0</v>
      </c>
      <c r="P96" s="823"/>
      <c r="Q96" s="823"/>
      <c r="R96" s="823"/>
      <c r="S96" s="823"/>
      <c r="T96" s="823"/>
      <c r="U96" s="823"/>
      <c r="V96" s="823"/>
      <c r="W96" s="823"/>
      <c r="X96" s="823"/>
      <c r="Y96" s="823"/>
      <c r="Z96" s="823"/>
      <c r="AA96" s="823"/>
      <c r="AB96" s="823"/>
      <c r="AC96" s="823"/>
      <c r="AD96" s="823"/>
      <c r="AE96" s="823"/>
      <c r="AF96" s="823"/>
      <c r="AG96" s="823"/>
      <c r="AH96" s="823"/>
      <c r="AI96" s="823"/>
      <c r="AJ96" s="823"/>
      <c r="AK96" s="823"/>
      <c r="AL96" s="823"/>
      <c r="AM96" s="823"/>
      <c r="AN96" s="823"/>
      <c r="AO96" s="823"/>
      <c r="AP96" s="823"/>
      <c r="AQ96" s="823"/>
      <c r="AR96" s="823"/>
      <c r="AS96" s="823"/>
      <c r="AT96" s="823"/>
      <c r="AU96" s="823"/>
      <c r="AV96" s="823"/>
      <c r="AW96" s="823"/>
      <c r="AX96" s="823"/>
      <c r="AY96" s="823"/>
      <c r="AZ96" s="823"/>
      <c r="BA96" s="823"/>
      <c r="BB96" s="823"/>
      <c r="BC96" s="823"/>
      <c r="BD96" s="823"/>
      <c r="BE96" s="823"/>
      <c r="BF96" s="823"/>
      <c r="BG96" s="823"/>
      <c r="BH96" s="823"/>
      <c r="BI96" s="823"/>
      <c r="BJ96" s="823"/>
      <c r="BK96" s="823"/>
      <c r="BL96" s="823"/>
      <c r="BM96" s="823"/>
    </row>
    <row r="97" spans="2:65" ht="34.5" customHeight="1">
      <c r="B97" s="758"/>
      <c r="C97" s="762">
        <v>88</v>
      </c>
      <c r="D97" s="756"/>
      <c r="E97" s="757"/>
      <c r="F97" s="796" t="str">
        <f>IF(E97=0," ",VLOOKUP(E97,SISWA!$A$6:$C$55,3,FALSE))</f>
        <v xml:space="preserve"> </v>
      </c>
      <c r="G97" s="797" t="str">
        <f t="shared" si="36"/>
        <v xml:space="preserve"> </v>
      </c>
      <c r="H97" s="813"/>
      <c r="I97" s="824"/>
      <c r="J97" s="824"/>
      <c r="K97" s="824"/>
      <c r="L97" s="822" t="str">
        <f t="shared" si="37"/>
        <v xml:space="preserve"> </v>
      </c>
      <c r="M97" s="822" t="b">
        <f t="shared" si="38"/>
        <v>0</v>
      </c>
      <c r="N97" s="414" t="str">
        <f t="shared" si="39"/>
        <v xml:space="preserve"> </v>
      </c>
      <c r="O97" s="414" t="b">
        <f t="shared" si="40"/>
        <v>0</v>
      </c>
      <c r="P97" s="823"/>
      <c r="Q97" s="823"/>
      <c r="R97" s="823"/>
      <c r="S97" s="823"/>
      <c r="T97" s="823"/>
      <c r="U97" s="823"/>
      <c r="V97" s="823"/>
      <c r="W97" s="823"/>
      <c r="X97" s="823"/>
      <c r="Y97" s="823"/>
      <c r="Z97" s="823"/>
      <c r="AA97" s="823"/>
      <c r="AB97" s="823"/>
      <c r="AC97" s="823"/>
      <c r="AD97" s="823"/>
      <c r="AE97" s="823"/>
      <c r="AF97" s="823"/>
      <c r="AG97" s="823"/>
      <c r="AH97" s="823"/>
      <c r="AI97" s="823"/>
      <c r="AJ97" s="823"/>
      <c r="AK97" s="823"/>
      <c r="AL97" s="823"/>
      <c r="AM97" s="823"/>
      <c r="AN97" s="823"/>
      <c r="AO97" s="823"/>
      <c r="AP97" s="823"/>
      <c r="AQ97" s="823"/>
      <c r="AR97" s="823"/>
      <c r="AS97" s="823"/>
      <c r="AT97" s="823"/>
      <c r="AU97" s="823"/>
      <c r="AV97" s="823"/>
      <c r="AW97" s="823"/>
      <c r="AX97" s="823"/>
      <c r="AY97" s="823"/>
      <c r="AZ97" s="823"/>
      <c r="BA97" s="823"/>
      <c r="BB97" s="823"/>
      <c r="BC97" s="823"/>
      <c r="BD97" s="823"/>
      <c r="BE97" s="823"/>
      <c r="BF97" s="823"/>
      <c r="BG97" s="823"/>
      <c r="BH97" s="823"/>
      <c r="BI97" s="823"/>
      <c r="BJ97" s="823"/>
      <c r="BK97" s="823"/>
      <c r="BL97" s="823"/>
      <c r="BM97" s="823"/>
    </row>
    <row r="98" spans="2:65" ht="34.5" customHeight="1">
      <c r="B98" s="758"/>
      <c r="C98" s="762">
        <v>89</v>
      </c>
      <c r="D98" s="756"/>
      <c r="E98" s="757"/>
      <c r="F98" s="796" t="str">
        <f>IF(E98=0," ",VLOOKUP(E98,SISWA!$A$6:$C$55,3,FALSE))</f>
        <v xml:space="preserve"> </v>
      </c>
      <c r="G98" s="797" t="str">
        <f t="shared" si="36"/>
        <v xml:space="preserve"> </v>
      </c>
      <c r="H98" s="813"/>
      <c r="I98" s="824"/>
      <c r="J98" s="824"/>
      <c r="K98" s="824"/>
      <c r="L98" s="822" t="str">
        <f t="shared" si="37"/>
        <v xml:space="preserve"> </v>
      </c>
      <c r="M98" s="822" t="b">
        <f t="shared" si="38"/>
        <v>0</v>
      </c>
      <c r="N98" s="414" t="str">
        <f t="shared" si="39"/>
        <v xml:space="preserve"> </v>
      </c>
      <c r="O98" s="414" t="b">
        <f t="shared" si="40"/>
        <v>0</v>
      </c>
      <c r="P98" s="823"/>
      <c r="Q98" s="823"/>
      <c r="R98" s="823"/>
      <c r="S98" s="823"/>
      <c r="T98" s="823"/>
      <c r="U98" s="823"/>
      <c r="V98" s="823"/>
      <c r="W98" s="823"/>
      <c r="X98" s="823"/>
      <c r="Y98" s="823"/>
      <c r="Z98" s="823"/>
      <c r="AA98" s="823"/>
      <c r="AB98" s="823"/>
      <c r="AC98" s="823"/>
      <c r="AD98" s="823"/>
      <c r="AE98" s="823"/>
      <c r="AF98" s="823"/>
      <c r="AG98" s="823"/>
      <c r="AH98" s="823"/>
      <c r="AI98" s="823"/>
      <c r="AJ98" s="823"/>
      <c r="AK98" s="823"/>
      <c r="AL98" s="823"/>
      <c r="AM98" s="823"/>
      <c r="AN98" s="823"/>
      <c r="AO98" s="823"/>
      <c r="AP98" s="823"/>
      <c r="AQ98" s="823"/>
      <c r="AR98" s="823"/>
      <c r="AS98" s="823"/>
      <c r="AT98" s="823"/>
      <c r="AU98" s="823"/>
      <c r="AV98" s="823"/>
      <c r="AW98" s="823"/>
      <c r="AX98" s="823"/>
      <c r="AY98" s="823"/>
      <c r="AZ98" s="823"/>
      <c r="BA98" s="823"/>
      <c r="BB98" s="823"/>
      <c r="BC98" s="823"/>
      <c r="BD98" s="823"/>
      <c r="BE98" s="823"/>
      <c r="BF98" s="823"/>
      <c r="BG98" s="823"/>
      <c r="BH98" s="823"/>
      <c r="BI98" s="823"/>
      <c r="BJ98" s="823"/>
      <c r="BK98" s="823"/>
      <c r="BL98" s="823"/>
      <c r="BM98" s="823"/>
    </row>
    <row r="99" spans="2:65" ht="34.5" customHeight="1">
      <c r="B99" s="758"/>
      <c r="C99" s="762">
        <v>90</v>
      </c>
      <c r="D99" s="756"/>
      <c r="E99" s="757"/>
      <c r="F99" s="796" t="str">
        <f>IF(E99=0," ",VLOOKUP(E99,SISWA!$A$6:$C$55,3,FALSE))</f>
        <v xml:space="preserve"> </v>
      </c>
      <c r="G99" s="797" t="str">
        <f t="shared" si="36"/>
        <v xml:space="preserve"> </v>
      </c>
      <c r="H99" s="813"/>
      <c r="I99" s="824"/>
      <c r="J99" s="824"/>
      <c r="K99" s="824"/>
      <c r="L99" s="822" t="str">
        <f t="shared" si="37"/>
        <v xml:space="preserve"> </v>
      </c>
      <c r="M99" s="822" t="b">
        <f t="shared" si="38"/>
        <v>0</v>
      </c>
      <c r="N99" s="414" t="str">
        <f t="shared" si="39"/>
        <v xml:space="preserve"> </v>
      </c>
      <c r="O99" s="414" t="b">
        <f t="shared" si="40"/>
        <v>0</v>
      </c>
      <c r="P99" s="823"/>
      <c r="Q99" s="823"/>
      <c r="R99" s="823"/>
      <c r="S99" s="823"/>
      <c r="T99" s="823"/>
      <c r="U99" s="823"/>
      <c r="V99" s="823"/>
      <c r="W99" s="823"/>
      <c r="X99" s="823"/>
      <c r="Y99" s="823"/>
      <c r="Z99" s="823"/>
      <c r="AA99" s="823"/>
      <c r="AB99" s="823"/>
      <c r="AC99" s="823"/>
      <c r="AD99" s="823"/>
      <c r="AE99" s="823"/>
      <c r="AF99" s="823"/>
      <c r="AG99" s="823"/>
      <c r="AH99" s="823"/>
      <c r="AI99" s="823"/>
      <c r="AJ99" s="823"/>
      <c r="AK99" s="823"/>
      <c r="AL99" s="823"/>
      <c r="AM99" s="823"/>
      <c r="AN99" s="823"/>
      <c r="AO99" s="823"/>
      <c r="AP99" s="823"/>
      <c r="AQ99" s="823"/>
      <c r="AR99" s="823"/>
      <c r="AS99" s="823"/>
      <c r="AT99" s="823"/>
      <c r="AU99" s="823"/>
      <c r="AV99" s="823"/>
      <c r="AW99" s="823"/>
      <c r="AX99" s="823"/>
      <c r="AY99" s="823"/>
      <c r="AZ99" s="823"/>
      <c r="BA99" s="823"/>
      <c r="BB99" s="823"/>
      <c r="BC99" s="823"/>
      <c r="BD99" s="823"/>
      <c r="BE99" s="823"/>
      <c r="BF99" s="823"/>
      <c r="BG99" s="823"/>
      <c r="BH99" s="823"/>
      <c r="BI99" s="823"/>
      <c r="BJ99" s="823"/>
      <c r="BK99" s="823"/>
      <c r="BL99" s="823"/>
      <c r="BM99" s="823"/>
    </row>
    <row r="100" spans="2:65" ht="34.5" customHeight="1">
      <c r="B100" s="758"/>
      <c r="C100" s="762">
        <v>91</v>
      </c>
      <c r="D100" s="756"/>
      <c r="E100" s="757"/>
      <c r="F100" s="796" t="str">
        <f>IF(E100=0," ",VLOOKUP(E100,SISWA!$A$6:$C$55,3,FALSE))</f>
        <v xml:space="preserve"> </v>
      </c>
      <c r="G100" s="797" t="str">
        <f t="shared" si="36"/>
        <v xml:space="preserve"> </v>
      </c>
      <c r="H100" s="813"/>
      <c r="I100" s="824"/>
      <c r="J100" s="824"/>
      <c r="K100" s="824"/>
      <c r="L100" s="822" t="str">
        <f t="shared" si="37"/>
        <v xml:space="preserve"> </v>
      </c>
      <c r="M100" s="822" t="b">
        <f t="shared" si="38"/>
        <v>0</v>
      </c>
      <c r="N100" s="414" t="str">
        <f t="shared" si="39"/>
        <v xml:space="preserve"> </v>
      </c>
      <c r="O100" s="414" t="b">
        <f t="shared" si="40"/>
        <v>0</v>
      </c>
      <c r="P100" s="823"/>
      <c r="Q100" s="823"/>
      <c r="R100" s="823"/>
      <c r="S100" s="823"/>
      <c r="T100" s="823"/>
      <c r="U100" s="823"/>
      <c r="V100" s="823"/>
      <c r="W100" s="823"/>
      <c r="X100" s="823"/>
      <c r="Y100" s="823"/>
      <c r="Z100" s="823"/>
      <c r="AA100" s="823"/>
      <c r="AB100" s="823"/>
      <c r="AC100" s="823"/>
      <c r="AD100" s="823"/>
      <c r="AE100" s="823"/>
      <c r="AF100" s="823"/>
      <c r="AG100" s="823"/>
      <c r="AH100" s="823"/>
      <c r="AI100" s="823"/>
      <c r="AJ100" s="823"/>
      <c r="AK100" s="823"/>
      <c r="AL100" s="823"/>
      <c r="AM100" s="823"/>
      <c r="AN100" s="823"/>
      <c r="AO100" s="823"/>
      <c r="AP100" s="823"/>
      <c r="AQ100" s="823"/>
      <c r="AR100" s="823"/>
      <c r="AS100" s="823"/>
      <c r="AT100" s="823"/>
      <c r="AU100" s="823"/>
      <c r="AV100" s="823"/>
      <c r="AW100" s="823"/>
      <c r="AX100" s="823"/>
      <c r="AY100" s="823"/>
      <c r="AZ100" s="823"/>
      <c r="BA100" s="823"/>
      <c r="BB100" s="823"/>
      <c r="BC100" s="823"/>
      <c r="BD100" s="823"/>
      <c r="BE100" s="823"/>
      <c r="BF100" s="823"/>
      <c r="BG100" s="823"/>
      <c r="BH100" s="823"/>
      <c r="BI100" s="823"/>
      <c r="BJ100" s="823"/>
      <c r="BK100" s="823"/>
      <c r="BL100" s="823"/>
      <c r="BM100" s="823"/>
    </row>
    <row r="101" spans="2:65" ht="34.5" customHeight="1">
      <c r="B101" s="758"/>
      <c r="C101" s="762">
        <v>92</v>
      </c>
      <c r="D101" s="756"/>
      <c r="E101" s="757"/>
      <c r="F101" s="796" t="str">
        <f>IF(E101=0," ",VLOOKUP(E101,SISWA!$A$6:$C$55,3,FALSE))</f>
        <v xml:space="preserve"> </v>
      </c>
      <c r="G101" s="797" t="str">
        <f t="shared" si="36"/>
        <v xml:space="preserve"> </v>
      </c>
      <c r="H101" s="813"/>
      <c r="I101" s="824"/>
      <c r="J101" s="824"/>
      <c r="K101" s="824"/>
      <c r="L101" s="822" t="str">
        <f t="shared" si="37"/>
        <v xml:space="preserve"> </v>
      </c>
      <c r="M101" s="822" t="b">
        <f t="shared" si="38"/>
        <v>0</v>
      </c>
      <c r="N101" s="414" t="str">
        <f t="shared" si="39"/>
        <v xml:space="preserve"> </v>
      </c>
      <c r="O101" s="414" t="b">
        <f t="shared" si="40"/>
        <v>0</v>
      </c>
      <c r="P101" s="823"/>
      <c r="Q101" s="823"/>
      <c r="R101" s="823"/>
      <c r="S101" s="823"/>
      <c r="T101" s="823"/>
      <c r="U101" s="823"/>
      <c r="V101" s="823"/>
      <c r="W101" s="823"/>
      <c r="X101" s="823"/>
      <c r="Y101" s="823"/>
      <c r="Z101" s="823"/>
      <c r="AA101" s="823"/>
      <c r="AB101" s="823"/>
      <c r="AC101" s="823"/>
      <c r="AD101" s="823"/>
      <c r="AE101" s="823"/>
      <c r="AF101" s="823"/>
      <c r="AG101" s="823"/>
      <c r="AH101" s="823"/>
      <c r="AI101" s="823"/>
      <c r="AJ101" s="823"/>
      <c r="AK101" s="823"/>
      <c r="AL101" s="823"/>
      <c r="AM101" s="823"/>
      <c r="AN101" s="823"/>
      <c r="AO101" s="823"/>
      <c r="AP101" s="823"/>
      <c r="AQ101" s="823"/>
      <c r="AR101" s="823"/>
      <c r="AS101" s="823"/>
      <c r="AT101" s="823"/>
      <c r="AU101" s="823"/>
      <c r="AV101" s="823"/>
      <c r="AW101" s="823"/>
      <c r="AX101" s="823"/>
      <c r="AY101" s="823"/>
      <c r="AZ101" s="823"/>
      <c r="BA101" s="823"/>
      <c r="BB101" s="823"/>
      <c r="BC101" s="823"/>
      <c r="BD101" s="823"/>
      <c r="BE101" s="823"/>
      <c r="BF101" s="823"/>
      <c r="BG101" s="823"/>
      <c r="BH101" s="823"/>
      <c r="BI101" s="823"/>
      <c r="BJ101" s="823"/>
      <c r="BK101" s="823"/>
      <c r="BL101" s="823"/>
      <c r="BM101" s="823"/>
    </row>
    <row r="102" spans="2:65" ht="34.5" customHeight="1">
      <c r="B102" s="758"/>
      <c r="C102" s="762">
        <v>93</v>
      </c>
      <c r="D102" s="756"/>
      <c r="E102" s="757"/>
      <c r="F102" s="796" t="str">
        <f>IF(E102=0," ",VLOOKUP(E102,SISWA!$A$6:$C$55,3,FALSE))</f>
        <v xml:space="preserve"> </v>
      </c>
      <c r="G102" s="797" t="str">
        <f t="shared" si="36"/>
        <v xml:space="preserve"> </v>
      </c>
      <c r="H102" s="813"/>
      <c r="I102" s="824"/>
      <c r="J102" s="824"/>
      <c r="K102" s="824"/>
      <c r="L102" s="822" t="str">
        <f t="shared" si="37"/>
        <v xml:space="preserve"> </v>
      </c>
      <c r="M102" s="822" t="b">
        <f t="shared" si="38"/>
        <v>0</v>
      </c>
      <c r="N102" s="414" t="str">
        <f t="shared" si="39"/>
        <v xml:space="preserve"> </v>
      </c>
      <c r="O102" s="414" t="b">
        <f t="shared" si="40"/>
        <v>0</v>
      </c>
      <c r="P102" s="823"/>
      <c r="Q102" s="823"/>
      <c r="R102" s="823"/>
      <c r="S102" s="823"/>
      <c r="T102" s="823"/>
      <c r="U102" s="823"/>
      <c r="V102" s="823"/>
      <c r="W102" s="823"/>
      <c r="X102" s="823"/>
      <c r="Y102" s="823"/>
      <c r="Z102" s="823"/>
      <c r="AA102" s="823"/>
      <c r="AB102" s="823"/>
      <c r="AC102" s="823"/>
      <c r="AD102" s="823"/>
      <c r="AE102" s="823"/>
      <c r="AF102" s="823"/>
      <c r="AG102" s="823"/>
      <c r="AH102" s="823"/>
      <c r="AI102" s="823"/>
      <c r="AJ102" s="823"/>
      <c r="AK102" s="823"/>
      <c r="AL102" s="823"/>
      <c r="AM102" s="823"/>
      <c r="AN102" s="823"/>
      <c r="AO102" s="823"/>
      <c r="AP102" s="823"/>
      <c r="AQ102" s="823"/>
      <c r="AR102" s="823"/>
      <c r="AS102" s="823"/>
      <c r="AT102" s="823"/>
      <c r="AU102" s="823"/>
      <c r="AV102" s="823"/>
      <c r="AW102" s="823"/>
      <c r="AX102" s="823"/>
      <c r="AY102" s="823"/>
      <c r="AZ102" s="823"/>
      <c r="BA102" s="823"/>
      <c r="BB102" s="823"/>
      <c r="BC102" s="823"/>
      <c r="BD102" s="823"/>
      <c r="BE102" s="823"/>
      <c r="BF102" s="823"/>
      <c r="BG102" s="823"/>
      <c r="BH102" s="823"/>
      <c r="BI102" s="823"/>
      <c r="BJ102" s="823"/>
      <c r="BK102" s="823"/>
      <c r="BL102" s="823"/>
      <c r="BM102" s="823"/>
    </row>
    <row r="103" spans="2:65" ht="34.5" customHeight="1">
      <c r="B103" s="758"/>
      <c r="C103" s="762">
        <v>94</v>
      </c>
      <c r="D103" s="756"/>
      <c r="E103" s="757"/>
      <c r="F103" s="796" t="str">
        <f>IF(E103=0," ",VLOOKUP(E103,SISWA!$A$6:$C$55,3,FALSE))</f>
        <v xml:space="preserve"> </v>
      </c>
      <c r="G103" s="797" t="str">
        <f t="shared" si="36"/>
        <v xml:space="preserve"> </v>
      </c>
      <c r="H103" s="813"/>
      <c r="I103" s="824"/>
      <c r="J103" s="824"/>
      <c r="K103" s="824"/>
      <c r="L103" s="822" t="str">
        <f t="shared" si="37"/>
        <v xml:space="preserve"> </v>
      </c>
      <c r="M103" s="822" t="b">
        <f t="shared" si="38"/>
        <v>0</v>
      </c>
      <c r="N103" s="414" t="str">
        <f t="shared" si="39"/>
        <v xml:space="preserve"> </v>
      </c>
      <c r="O103" s="414" t="b">
        <f t="shared" si="40"/>
        <v>0</v>
      </c>
      <c r="P103" s="823"/>
      <c r="Q103" s="823"/>
      <c r="R103" s="823"/>
      <c r="S103" s="823"/>
      <c r="T103" s="823"/>
      <c r="U103" s="823"/>
      <c r="V103" s="823"/>
      <c r="W103" s="823"/>
      <c r="X103" s="823"/>
      <c r="Y103" s="823"/>
      <c r="Z103" s="823"/>
      <c r="AA103" s="823"/>
      <c r="AB103" s="823"/>
      <c r="AC103" s="823"/>
      <c r="AD103" s="823"/>
      <c r="AE103" s="823"/>
      <c r="AF103" s="823"/>
      <c r="AG103" s="823"/>
      <c r="AH103" s="823"/>
      <c r="AI103" s="823"/>
      <c r="AJ103" s="823"/>
      <c r="AK103" s="823"/>
      <c r="AL103" s="823"/>
      <c r="AM103" s="823"/>
      <c r="AN103" s="823"/>
      <c r="AO103" s="823"/>
      <c r="AP103" s="823"/>
      <c r="AQ103" s="823"/>
      <c r="AR103" s="823"/>
      <c r="AS103" s="823"/>
      <c r="AT103" s="823"/>
      <c r="AU103" s="823"/>
      <c r="AV103" s="823"/>
      <c r="AW103" s="823"/>
      <c r="AX103" s="823"/>
      <c r="AY103" s="823"/>
      <c r="AZ103" s="823"/>
      <c r="BA103" s="823"/>
      <c r="BB103" s="823"/>
      <c r="BC103" s="823"/>
      <c r="BD103" s="823"/>
      <c r="BE103" s="823"/>
      <c r="BF103" s="823"/>
      <c r="BG103" s="823"/>
      <c r="BH103" s="823"/>
      <c r="BI103" s="823"/>
      <c r="BJ103" s="823"/>
      <c r="BK103" s="823"/>
      <c r="BL103" s="823"/>
      <c r="BM103" s="823"/>
    </row>
    <row r="104" spans="2:65" ht="34.5" customHeight="1">
      <c r="B104" s="758"/>
      <c r="C104" s="762">
        <v>95</v>
      </c>
      <c r="D104" s="756"/>
      <c r="E104" s="757"/>
      <c r="F104" s="796" t="str">
        <f>IF(E104=0," ",VLOOKUP(E104,SISWA!$A$6:$C$55,3,FALSE))</f>
        <v xml:space="preserve"> </v>
      </c>
      <c r="G104" s="797" t="str">
        <f t="shared" si="36"/>
        <v xml:space="preserve"> </v>
      </c>
      <c r="H104" s="813"/>
      <c r="I104" s="824"/>
      <c r="J104" s="824"/>
      <c r="K104" s="824"/>
      <c r="L104" s="822" t="str">
        <f t="shared" si="37"/>
        <v xml:space="preserve"> </v>
      </c>
      <c r="M104" s="822" t="b">
        <f t="shared" si="38"/>
        <v>0</v>
      </c>
      <c r="N104" s="414" t="str">
        <f t="shared" si="39"/>
        <v xml:space="preserve"> </v>
      </c>
      <c r="O104" s="414" t="b">
        <f t="shared" si="40"/>
        <v>0</v>
      </c>
      <c r="P104" s="823"/>
      <c r="Q104" s="823"/>
      <c r="R104" s="823"/>
      <c r="S104" s="823"/>
      <c r="T104" s="823"/>
      <c r="U104" s="823"/>
      <c r="V104" s="823"/>
      <c r="W104" s="823"/>
      <c r="X104" s="823"/>
      <c r="Y104" s="823"/>
      <c r="Z104" s="823"/>
      <c r="AA104" s="823"/>
      <c r="AB104" s="823"/>
      <c r="AC104" s="823"/>
      <c r="AD104" s="823"/>
      <c r="AE104" s="823"/>
      <c r="AF104" s="823"/>
      <c r="AG104" s="823"/>
      <c r="AH104" s="823"/>
      <c r="AI104" s="823"/>
      <c r="AJ104" s="823"/>
      <c r="AK104" s="823"/>
      <c r="AL104" s="823"/>
      <c r="AM104" s="823"/>
      <c r="AN104" s="823"/>
      <c r="AO104" s="823"/>
      <c r="AP104" s="823"/>
      <c r="AQ104" s="823"/>
      <c r="AR104" s="823"/>
      <c r="AS104" s="823"/>
      <c r="AT104" s="823"/>
      <c r="AU104" s="823"/>
      <c r="AV104" s="823"/>
      <c r="AW104" s="823"/>
      <c r="AX104" s="823"/>
      <c r="AY104" s="823"/>
      <c r="AZ104" s="823"/>
      <c r="BA104" s="823"/>
      <c r="BB104" s="823"/>
      <c r="BC104" s="823"/>
      <c r="BD104" s="823"/>
      <c r="BE104" s="823"/>
      <c r="BF104" s="823"/>
      <c r="BG104" s="823"/>
      <c r="BH104" s="823"/>
      <c r="BI104" s="823"/>
      <c r="BJ104" s="823"/>
      <c r="BK104" s="823"/>
      <c r="BL104" s="823"/>
      <c r="BM104" s="823"/>
    </row>
    <row r="105" spans="2:65" ht="34.5" customHeight="1">
      <c r="B105" s="758"/>
      <c r="C105" s="762">
        <v>96</v>
      </c>
      <c r="D105" s="756"/>
      <c r="E105" s="757"/>
      <c r="F105" s="796" t="str">
        <f>IF(E105=0," ",VLOOKUP(E105,SISWA!$A$6:$C$55,3,FALSE))</f>
        <v xml:space="preserve"> </v>
      </c>
      <c r="G105" s="797" t="str">
        <f t="shared" si="36"/>
        <v xml:space="preserve"> </v>
      </c>
      <c r="H105" s="813"/>
      <c r="I105" s="824"/>
      <c r="J105" s="824"/>
      <c r="K105" s="824"/>
      <c r="L105" s="822" t="str">
        <f t="shared" si="37"/>
        <v xml:space="preserve"> </v>
      </c>
      <c r="M105" s="822" t="b">
        <f t="shared" si="38"/>
        <v>0</v>
      </c>
      <c r="N105" s="414" t="str">
        <f t="shared" si="39"/>
        <v xml:space="preserve"> </v>
      </c>
      <c r="O105" s="414" t="b">
        <f t="shared" si="40"/>
        <v>0</v>
      </c>
      <c r="P105" s="823"/>
      <c r="Q105" s="823"/>
      <c r="R105" s="823"/>
      <c r="S105" s="823"/>
      <c r="T105" s="823"/>
      <c r="U105" s="823"/>
      <c r="V105" s="823"/>
      <c r="W105" s="823"/>
      <c r="X105" s="823"/>
      <c r="Y105" s="823"/>
      <c r="Z105" s="823"/>
      <c r="AA105" s="823"/>
      <c r="AB105" s="823"/>
      <c r="AC105" s="823"/>
      <c r="AD105" s="823"/>
      <c r="AE105" s="823"/>
      <c r="AF105" s="823"/>
      <c r="AG105" s="823"/>
      <c r="AH105" s="823"/>
      <c r="AI105" s="823"/>
      <c r="AJ105" s="823"/>
      <c r="AK105" s="823"/>
      <c r="AL105" s="823"/>
      <c r="AM105" s="823"/>
      <c r="AN105" s="823"/>
      <c r="AO105" s="823"/>
      <c r="AP105" s="823"/>
      <c r="AQ105" s="823"/>
      <c r="AR105" s="823"/>
      <c r="AS105" s="823"/>
      <c r="AT105" s="823"/>
      <c r="AU105" s="823"/>
      <c r="AV105" s="823"/>
      <c r="AW105" s="823"/>
      <c r="AX105" s="823"/>
      <c r="AY105" s="823"/>
      <c r="AZ105" s="823"/>
      <c r="BA105" s="823"/>
      <c r="BB105" s="823"/>
      <c r="BC105" s="823"/>
      <c r="BD105" s="823"/>
      <c r="BE105" s="823"/>
      <c r="BF105" s="823"/>
      <c r="BG105" s="823"/>
      <c r="BH105" s="823"/>
      <c r="BI105" s="823"/>
      <c r="BJ105" s="823"/>
      <c r="BK105" s="823"/>
      <c r="BL105" s="823"/>
      <c r="BM105" s="823"/>
    </row>
    <row r="106" spans="2:65" ht="34.5" customHeight="1">
      <c r="B106" s="758"/>
      <c r="C106" s="762">
        <v>97</v>
      </c>
      <c r="D106" s="756"/>
      <c r="E106" s="757"/>
      <c r="F106" s="796" t="str">
        <f>IF(E106=0," ",VLOOKUP(E106,SISWA!$A$6:$C$55,3,FALSE))</f>
        <v xml:space="preserve"> </v>
      </c>
      <c r="G106" s="797" t="str">
        <f t="shared" si="36"/>
        <v xml:space="preserve"> </v>
      </c>
      <c r="H106" s="813"/>
      <c r="I106" s="824"/>
      <c r="J106" s="824"/>
      <c r="K106" s="824"/>
      <c r="L106" s="822" t="str">
        <f t="shared" si="37"/>
        <v xml:space="preserve"> </v>
      </c>
      <c r="M106" s="822" t="b">
        <f t="shared" si="38"/>
        <v>0</v>
      </c>
      <c r="N106" s="414" t="str">
        <f t="shared" si="39"/>
        <v xml:space="preserve"> </v>
      </c>
      <c r="O106" s="414" t="b">
        <f t="shared" si="40"/>
        <v>0</v>
      </c>
      <c r="P106" s="823"/>
      <c r="Q106" s="823"/>
      <c r="R106" s="823"/>
      <c r="S106" s="823"/>
      <c r="T106" s="823"/>
      <c r="U106" s="823"/>
      <c r="V106" s="823"/>
      <c r="W106" s="823"/>
      <c r="X106" s="823"/>
      <c r="Y106" s="823"/>
      <c r="Z106" s="823"/>
      <c r="AA106" s="823"/>
      <c r="AB106" s="823"/>
      <c r="AC106" s="823"/>
      <c r="AD106" s="823"/>
      <c r="AE106" s="823"/>
      <c r="AF106" s="823"/>
      <c r="AG106" s="823"/>
      <c r="AH106" s="823"/>
      <c r="AI106" s="823"/>
      <c r="AJ106" s="823"/>
      <c r="AK106" s="823"/>
      <c r="AL106" s="823"/>
      <c r="AM106" s="823"/>
      <c r="AN106" s="823"/>
      <c r="AO106" s="823"/>
      <c r="AP106" s="823"/>
      <c r="AQ106" s="823"/>
      <c r="AR106" s="823"/>
      <c r="AS106" s="823"/>
      <c r="AT106" s="823"/>
      <c r="AU106" s="823"/>
      <c r="AV106" s="823"/>
      <c r="AW106" s="823"/>
      <c r="AX106" s="823"/>
      <c r="AY106" s="823"/>
      <c r="AZ106" s="823"/>
      <c r="BA106" s="823"/>
      <c r="BB106" s="823"/>
      <c r="BC106" s="823"/>
      <c r="BD106" s="823"/>
      <c r="BE106" s="823"/>
      <c r="BF106" s="823"/>
      <c r="BG106" s="823"/>
      <c r="BH106" s="823"/>
      <c r="BI106" s="823"/>
      <c r="BJ106" s="823"/>
      <c r="BK106" s="823"/>
      <c r="BL106" s="823"/>
      <c r="BM106" s="823"/>
    </row>
    <row r="107" spans="2:65" ht="34.5" customHeight="1">
      <c r="B107" s="758"/>
      <c r="C107" s="762">
        <v>98</v>
      </c>
      <c r="D107" s="756"/>
      <c r="E107" s="757"/>
      <c r="F107" s="796" t="str">
        <f>IF(E107=0," ",VLOOKUP(E107,SISWA!$A$6:$C$55,3,FALSE))</f>
        <v xml:space="preserve"> </v>
      </c>
      <c r="G107" s="797" t="str">
        <f t="shared" si="36"/>
        <v xml:space="preserve"> </v>
      </c>
      <c r="H107" s="813"/>
      <c r="I107" s="824"/>
      <c r="J107" s="824"/>
      <c r="K107" s="824"/>
      <c r="L107" s="822" t="str">
        <f t="shared" si="37"/>
        <v xml:space="preserve"> </v>
      </c>
      <c r="M107" s="822" t="b">
        <f t="shared" si="38"/>
        <v>0</v>
      </c>
      <c r="N107" s="414" t="str">
        <f t="shared" si="39"/>
        <v xml:space="preserve"> </v>
      </c>
      <c r="O107" s="414" t="b">
        <f t="shared" si="40"/>
        <v>0</v>
      </c>
      <c r="P107" s="823"/>
      <c r="Q107" s="823"/>
      <c r="R107" s="823"/>
      <c r="S107" s="823"/>
      <c r="T107" s="823"/>
      <c r="U107" s="823"/>
      <c r="V107" s="823"/>
      <c r="W107" s="823"/>
      <c r="X107" s="823"/>
      <c r="Y107" s="823"/>
      <c r="Z107" s="823"/>
      <c r="AA107" s="823"/>
      <c r="AB107" s="823"/>
      <c r="AC107" s="823"/>
      <c r="AD107" s="823"/>
      <c r="AE107" s="823"/>
      <c r="AF107" s="823"/>
      <c r="AG107" s="823"/>
      <c r="AH107" s="823"/>
      <c r="AI107" s="823"/>
      <c r="AJ107" s="823"/>
      <c r="AK107" s="823"/>
      <c r="AL107" s="823"/>
      <c r="AM107" s="823"/>
      <c r="AN107" s="823"/>
      <c r="AO107" s="823"/>
      <c r="AP107" s="823"/>
      <c r="AQ107" s="823"/>
      <c r="AR107" s="823"/>
      <c r="AS107" s="823"/>
      <c r="AT107" s="823"/>
      <c r="AU107" s="823"/>
      <c r="AV107" s="823"/>
      <c r="AW107" s="823"/>
      <c r="AX107" s="823"/>
      <c r="AY107" s="823"/>
      <c r="AZ107" s="823"/>
      <c r="BA107" s="823"/>
      <c r="BB107" s="823"/>
      <c r="BC107" s="823"/>
      <c r="BD107" s="823"/>
      <c r="BE107" s="823"/>
      <c r="BF107" s="823"/>
      <c r="BG107" s="823"/>
      <c r="BH107" s="823"/>
      <c r="BI107" s="823"/>
      <c r="BJ107" s="823"/>
      <c r="BK107" s="823"/>
      <c r="BL107" s="823"/>
      <c r="BM107" s="823"/>
    </row>
    <row r="108" spans="2:65" ht="34.5" customHeight="1">
      <c r="B108" s="758"/>
      <c r="C108" s="762">
        <v>99</v>
      </c>
      <c r="D108" s="756"/>
      <c r="E108" s="757"/>
      <c r="F108" s="796" t="str">
        <f>IF(E108=0," ",VLOOKUP(E108,SISWA!$A$6:$C$55,3,FALSE))</f>
        <v xml:space="preserve"> </v>
      </c>
      <c r="G108" s="797" t="str">
        <f t="shared" si="36"/>
        <v xml:space="preserve"> </v>
      </c>
      <c r="H108" s="813"/>
      <c r="I108" s="824"/>
      <c r="J108" s="824"/>
      <c r="K108" s="824"/>
      <c r="L108" s="822" t="str">
        <f t="shared" si="37"/>
        <v xml:space="preserve"> </v>
      </c>
      <c r="M108" s="822" t="b">
        <f t="shared" si="38"/>
        <v>0</v>
      </c>
      <c r="N108" s="414" t="str">
        <f t="shared" si="39"/>
        <v xml:space="preserve"> </v>
      </c>
      <c r="O108" s="414" t="b">
        <f t="shared" si="40"/>
        <v>0</v>
      </c>
      <c r="P108" s="823"/>
      <c r="Q108" s="823"/>
      <c r="R108" s="823"/>
      <c r="S108" s="823"/>
      <c r="T108" s="823"/>
      <c r="U108" s="823"/>
      <c r="V108" s="823"/>
      <c r="W108" s="823"/>
      <c r="X108" s="823"/>
      <c r="Y108" s="823"/>
      <c r="Z108" s="823"/>
      <c r="AA108" s="823"/>
      <c r="AB108" s="823"/>
      <c r="AC108" s="823"/>
      <c r="AD108" s="823"/>
      <c r="AE108" s="823"/>
      <c r="AF108" s="823"/>
      <c r="AG108" s="823"/>
      <c r="AH108" s="823"/>
      <c r="AI108" s="823"/>
      <c r="AJ108" s="823"/>
      <c r="AK108" s="823"/>
      <c r="AL108" s="823"/>
      <c r="AM108" s="823"/>
      <c r="AN108" s="823"/>
      <c r="AO108" s="823"/>
      <c r="AP108" s="823"/>
      <c r="AQ108" s="823"/>
      <c r="AR108" s="823"/>
      <c r="AS108" s="823"/>
      <c r="AT108" s="823"/>
      <c r="AU108" s="823"/>
      <c r="AV108" s="823"/>
      <c r="AW108" s="823"/>
      <c r="AX108" s="823"/>
      <c r="AY108" s="823"/>
      <c r="AZ108" s="823"/>
      <c r="BA108" s="823"/>
      <c r="BB108" s="823"/>
      <c r="BC108" s="823"/>
      <c r="BD108" s="823"/>
      <c r="BE108" s="823"/>
      <c r="BF108" s="823"/>
      <c r="BG108" s="823"/>
      <c r="BH108" s="823"/>
      <c r="BI108" s="823"/>
      <c r="BJ108" s="823"/>
      <c r="BK108" s="823"/>
      <c r="BL108" s="823"/>
      <c r="BM108" s="823"/>
    </row>
    <row r="109" spans="2:65" ht="34.5" customHeight="1">
      <c r="B109" s="758"/>
      <c r="C109" s="762">
        <v>100</v>
      </c>
      <c r="D109" s="756"/>
      <c r="E109" s="757"/>
      <c r="F109" s="796" t="str">
        <f>IF(E109=0," ",VLOOKUP(E109,SISWA!$A$6:$C$55,3,FALSE))</f>
        <v xml:space="preserve"> </v>
      </c>
      <c r="G109" s="797" t="str">
        <f t="shared" si="36"/>
        <v xml:space="preserve"> </v>
      </c>
      <c r="H109" s="813"/>
      <c r="I109" s="824"/>
      <c r="J109" s="824"/>
      <c r="K109" s="824"/>
      <c r="L109" s="822" t="str">
        <f t="shared" si="37"/>
        <v xml:space="preserve"> </v>
      </c>
      <c r="M109" s="822" t="b">
        <f t="shared" si="38"/>
        <v>0</v>
      </c>
      <c r="N109" s="414" t="str">
        <f t="shared" si="39"/>
        <v xml:space="preserve"> </v>
      </c>
      <c r="O109" s="414" t="b">
        <f t="shared" si="40"/>
        <v>0</v>
      </c>
      <c r="P109" s="823"/>
      <c r="Q109" s="823"/>
      <c r="R109" s="823"/>
      <c r="S109" s="823"/>
      <c r="T109" s="823"/>
      <c r="U109" s="823"/>
      <c r="V109" s="823"/>
      <c r="W109" s="823"/>
      <c r="X109" s="823"/>
      <c r="Y109" s="823"/>
      <c r="Z109" s="823"/>
      <c r="AA109" s="823"/>
      <c r="AB109" s="823"/>
      <c r="AC109" s="823"/>
      <c r="AD109" s="823"/>
      <c r="AE109" s="823"/>
      <c r="AF109" s="823"/>
      <c r="AG109" s="823"/>
      <c r="AH109" s="823"/>
      <c r="AI109" s="823"/>
      <c r="AJ109" s="823"/>
      <c r="AK109" s="823"/>
      <c r="AL109" s="823"/>
      <c r="AM109" s="823"/>
      <c r="AN109" s="823"/>
      <c r="AO109" s="823"/>
      <c r="AP109" s="823"/>
      <c r="AQ109" s="823"/>
      <c r="AR109" s="823"/>
      <c r="AS109" s="823"/>
      <c r="AT109" s="823"/>
      <c r="AU109" s="823"/>
      <c r="AV109" s="823"/>
      <c r="AW109" s="823"/>
      <c r="AX109" s="823"/>
      <c r="AY109" s="823"/>
      <c r="AZ109" s="823"/>
      <c r="BA109" s="823"/>
      <c r="BB109" s="823"/>
      <c r="BC109" s="823"/>
      <c r="BD109" s="823"/>
      <c r="BE109" s="823"/>
      <c r="BF109" s="823"/>
      <c r="BG109" s="823"/>
      <c r="BH109" s="823"/>
      <c r="BI109" s="823"/>
      <c r="BJ109" s="823"/>
      <c r="BK109" s="823"/>
      <c r="BL109" s="823"/>
      <c r="BM109" s="823"/>
    </row>
    <row r="110" spans="2:65" ht="15"/>
    <row r="111" spans="2:65" ht="15">
      <c r="D111" s="198" t="s">
        <v>244</v>
      </c>
      <c r="E111" s="803"/>
      <c r="F111" s="803"/>
      <c r="G111" s="803"/>
      <c r="H111" s="803"/>
      <c r="I111" s="803"/>
      <c r="J111" s="803"/>
      <c r="K111" s="825" t="s">
        <v>970</v>
      </c>
      <c r="L111" s="803"/>
      <c r="M111" s="803"/>
    </row>
    <row r="112" spans="2:65" ht="15" customHeight="1">
      <c r="D112" s="198" t="s">
        <v>245</v>
      </c>
      <c r="E112" s="803"/>
      <c r="F112" s="803"/>
      <c r="G112" s="803"/>
      <c r="H112" s="803"/>
      <c r="I112" s="804"/>
      <c r="J112" s="804"/>
      <c r="K112" s="198" t="s">
        <v>971</v>
      </c>
      <c r="L112" s="803"/>
      <c r="M112" s="803"/>
    </row>
    <row r="113" spans="4:13" ht="15" customHeight="1">
      <c r="D113" s="24"/>
      <c r="E113" s="804"/>
      <c r="F113" s="804"/>
      <c r="G113" s="804"/>
      <c r="H113" s="804"/>
      <c r="I113" s="804"/>
      <c r="J113" s="804"/>
      <c r="K113" s="198"/>
      <c r="L113" s="804"/>
      <c r="M113" s="804"/>
    </row>
    <row r="114" spans="4:13" ht="15" customHeight="1">
      <c r="D114" s="24"/>
      <c r="E114" s="804"/>
      <c r="F114" s="804"/>
      <c r="G114" s="804"/>
      <c r="H114" s="804"/>
      <c r="I114" s="804"/>
      <c r="J114" s="804"/>
      <c r="K114" s="198"/>
      <c r="L114" s="804"/>
      <c r="M114" s="804"/>
    </row>
    <row r="115" spans="4:13" ht="15" customHeight="1">
      <c r="D115" s="24"/>
      <c r="E115" s="804"/>
      <c r="F115" s="804"/>
      <c r="G115" s="804"/>
      <c r="H115" s="804"/>
      <c r="I115" s="805"/>
      <c r="J115" s="805"/>
      <c r="K115" s="198"/>
      <c r="L115" s="806"/>
      <c r="M115" s="806"/>
    </row>
    <row r="116" spans="4:13" ht="15" customHeight="1">
      <c r="D116" s="24"/>
      <c r="E116" s="807"/>
      <c r="F116" s="807"/>
      <c r="G116" s="807"/>
      <c r="H116" s="807"/>
      <c r="I116" s="806"/>
      <c r="J116" s="806"/>
      <c r="K116" s="198"/>
      <c r="L116" s="806"/>
      <c r="M116" s="806"/>
    </row>
    <row r="117" spans="4:13" ht="15" customHeight="1">
      <c r="D117" s="808" t="str">
        <f>DEPAN!E12</f>
        <v>H. SAMSUDIN,M.Pd</v>
      </c>
      <c r="E117" s="807"/>
      <c r="F117" s="807"/>
      <c r="G117" s="807"/>
      <c r="H117" s="807"/>
      <c r="I117" s="807"/>
      <c r="J117" s="807"/>
      <c r="K117" s="808" t="str">
        <f>DEPAN!E16</f>
        <v>SITI PONIMAH,M.Pd</v>
      </c>
      <c r="L117" s="807"/>
      <c r="M117" s="807"/>
    </row>
    <row r="118" spans="4:13" ht="15" customHeight="1">
      <c r="D118" s="763" t="str">
        <f>CONCATENATE("NIP.",DEPAN!E13)</f>
        <v>NIP.19921233 198777 1 336</v>
      </c>
      <c r="E118" s="810"/>
      <c r="K118" s="763" t="str">
        <f>CONCATENATE("NIP.",DEPAN!E17)</f>
        <v>NIP.19616566 201808 2 033</v>
      </c>
    </row>
  </sheetData>
  <sheetProtection password="DC81" sheet="1" objects="1" scenarios="1"/>
  <mergeCells count="16">
    <mergeCell ref="CC8:CD8"/>
    <mergeCell ref="BQ8:BR8"/>
    <mergeCell ref="BS8:BT8"/>
    <mergeCell ref="BU8:BV8"/>
    <mergeCell ref="BW8:BX8"/>
    <mergeCell ref="I8:J8"/>
    <mergeCell ref="K8:K9"/>
    <mergeCell ref="C1:O1"/>
    <mergeCell ref="BY8:BZ8"/>
    <mergeCell ref="CA8:CB8"/>
    <mergeCell ref="C8:C9"/>
    <mergeCell ref="D8:D9"/>
    <mergeCell ref="E8:E9"/>
    <mergeCell ref="F8:F9"/>
    <mergeCell ref="G8:G9"/>
    <mergeCell ref="H8:H9"/>
  </mergeCells>
  <dataValidations count="4">
    <dataValidation type="list" allowBlank="1" showInputMessage="1" showErrorMessage="1" promptTitle="INFO" prompt="Silakan pilih butir sikap" sqref="H10:H109">
      <formula1>$BN$10:$BN$16</formula1>
    </dataValidation>
    <dataValidation allowBlank="1" showInputMessage="1" showErrorMessage="1" promptTitle="INFO" prompt="Silakan isi MANUAL" sqref="K10:K109"/>
    <dataValidation type="decimal" allowBlank="1" showInputMessage="1" showErrorMessage="1" errorTitle="Informasi" error="Mohon di isi dengan angka 1- 50" promptTitle="Information" prompt="Silahkan isi angka 1 - 50" sqref="E10:E109">
      <formula1>1</formula1>
      <formula2>45</formula2>
    </dataValidation>
    <dataValidation allowBlank="1" showInputMessage="1" showErrorMessage="1" promptTitle="JANGAN DIEDIT" prompt="Otomatis akan muncul sendiri siswanya" sqref="F10:F109"/>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promptTitle="INFO" prompt="Diisi manual atau dengan memilih list yg ada">
          <x14:formula1>
            <xm:f>IF(G10=1,IND!$G$40:$G$50,IF(G10=2,IND!$G$51:$G$63,IF(G10=3,IND!$G$64:$G$74,IF(G10=4,IND!$G$75:$G$83,IF(G10=5,IND!$G$84:$G$92,IF(G10=6,IND!$G$93:$G$102,IF(G10=7,IND!$G$103:$G$107,IF(G10=0,#REF!-1))))))))</xm:f>
          </x14:formula1>
          <xm:sqref>J10:J109</xm:sqref>
        </x14:dataValidation>
        <x14:dataValidation type="list" allowBlank="1" showInputMessage="1" promptTitle="INFO" prompt="Diisi manual atau dengan memilih list yg ada">
          <x14:formula1>
            <xm:f>IF(G10=1,IND!$F$40:$F$50,IF(G10=2,IND!$F$51:$F$63,IF(G10=3,IND!$F$64:$F$74,IF(G10=4,IND!$F$75:$F$83,IF(G10=5,IND!$F$84:$F$92,IF(G10=6,IND!$F$93:$F$102,IF(G10=7,IND!$F$103:$F$107,IF(G10=0,I10-1))))))))</xm:f>
          </x14:formula1>
          <xm:sqref>I10:I109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55"/>
  <sheetViews>
    <sheetView zoomScale="85" zoomScaleNormal="85" workbookViewId="0">
      <pane ySplit="4" topLeftCell="A5" activePane="bottomLeft" state="frozen"/>
      <selection pane="bottomLeft"/>
    </sheetView>
  </sheetViews>
  <sheetFormatPr defaultColWidth="9.140625" defaultRowHeight="15"/>
  <cols>
    <col min="1" max="1" width="14.28515625" style="24" customWidth="1"/>
    <col min="2" max="2" width="5.28515625" style="24" customWidth="1"/>
    <col min="3" max="3" width="7.140625" style="24" hidden="1" customWidth="1"/>
    <col min="4" max="4" width="21.7109375" style="24" customWidth="1"/>
    <col min="5" max="12" width="4.85546875" style="24" customWidth="1"/>
    <col min="13" max="13" width="17.85546875" style="326" customWidth="1"/>
    <col min="14" max="15" width="9.7109375" style="326" customWidth="1"/>
    <col min="16" max="16" width="18.5703125" style="326" customWidth="1"/>
    <col min="17" max="17" width="66.7109375" style="24" customWidth="1"/>
    <col min="18" max="18" width="4.42578125" style="24" customWidth="1"/>
    <col min="19" max="26" width="15.85546875" style="24" hidden="1" customWidth="1"/>
    <col min="27" max="27" width="21.28515625" style="24" hidden="1" customWidth="1"/>
    <col min="28" max="28" width="12" style="24" hidden="1" customWidth="1"/>
    <col min="29" max="36" width="9.140625" style="24" hidden="1" customWidth="1"/>
    <col min="37" max="37" width="9.140625" style="24" customWidth="1"/>
    <col min="38" max="38" width="6.42578125" style="24" customWidth="1"/>
    <col min="39" max="39" width="65.5703125" style="24" customWidth="1"/>
    <col min="40" max="41" width="9.140625" style="24" customWidth="1"/>
    <col min="42" max="16384" width="9.140625" style="24"/>
  </cols>
  <sheetData>
    <row r="1" spans="1:39" ht="43.5" customHeight="1" thickBot="1">
      <c r="A1" s="758"/>
      <c r="B1" s="976" t="s">
        <v>1195</v>
      </c>
      <c r="C1" s="976"/>
      <c r="D1" s="976"/>
      <c r="E1" s="976"/>
      <c r="F1" s="976"/>
      <c r="G1" s="976"/>
      <c r="H1" s="976"/>
      <c r="I1" s="976"/>
      <c r="J1" s="976"/>
      <c r="K1" s="976"/>
      <c r="L1" s="976"/>
      <c r="M1" s="976"/>
      <c r="N1" s="976"/>
      <c r="O1" s="976"/>
      <c r="P1" s="976"/>
      <c r="Q1" s="976"/>
      <c r="R1" s="264"/>
      <c r="S1" s="126"/>
      <c r="T1" s="126"/>
      <c r="U1" s="126"/>
      <c r="V1" s="126"/>
      <c r="W1" s="126"/>
      <c r="X1" s="126"/>
      <c r="Y1" s="126"/>
      <c r="Z1" s="126"/>
      <c r="AA1" s="126"/>
      <c r="AB1" s="126"/>
      <c r="AC1" s="126"/>
      <c r="AD1" s="126"/>
      <c r="AL1" s="977" t="s">
        <v>44</v>
      </c>
      <c r="AM1" s="977"/>
    </row>
    <row r="2" spans="1:39" ht="43.5" customHeight="1" thickBot="1">
      <c r="A2" s="758"/>
      <c r="B2" s="979" t="s">
        <v>1200</v>
      </c>
      <c r="C2" s="980"/>
      <c r="D2" s="980"/>
      <c r="E2" s="980"/>
      <c r="F2" s="980"/>
      <c r="G2" s="980"/>
      <c r="H2" s="980"/>
      <c r="I2" s="980"/>
      <c r="J2" s="980"/>
      <c r="K2" s="980"/>
      <c r="L2" s="980"/>
      <c r="M2" s="980"/>
      <c r="N2" s="980"/>
      <c r="O2" s="980"/>
      <c r="P2" s="980"/>
      <c r="Q2" s="981"/>
      <c r="R2" s="264"/>
      <c r="S2" s="126"/>
      <c r="T2" s="126"/>
      <c r="U2" s="126"/>
      <c r="V2" s="126"/>
      <c r="W2" s="126"/>
      <c r="X2" s="126"/>
      <c r="Y2" s="126"/>
      <c r="Z2" s="126"/>
      <c r="AA2" s="126"/>
      <c r="AB2" s="126"/>
      <c r="AC2" s="126"/>
      <c r="AD2" s="126"/>
      <c r="AL2" s="977"/>
      <c r="AM2" s="977"/>
    </row>
    <row r="3" spans="1:39" ht="25.5" customHeight="1">
      <c r="A3" s="758"/>
      <c r="B3" s="982" t="s">
        <v>2</v>
      </c>
      <c r="C3" s="982" t="s">
        <v>45</v>
      </c>
      <c r="D3" s="982" t="s">
        <v>46</v>
      </c>
      <c r="E3" s="984" t="s">
        <v>293</v>
      </c>
      <c r="F3" s="984"/>
      <c r="G3" s="985" t="s">
        <v>294</v>
      </c>
      <c r="H3" s="985"/>
      <c r="I3" s="986" t="s">
        <v>295</v>
      </c>
      <c r="J3" s="986"/>
      <c r="K3" s="987" t="s">
        <v>296</v>
      </c>
      <c r="L3" s="987"/>
      <c r="M3" s="990" t="s">
        <v>338</v>
      </c>
      <c r="N3" s="991"/>
      <c r="O3" s="991"/>
      <c r="P3" s="992"/>
      <c r="Q3" s="988" t="s">
        <v>339</v>
      </c>
      <c r="R3" s="264"/>
      <c r="S3" s="761" t="s">
        <v>34</v>
      </c>
      <c r="T3" s="975" t="s">
        <v>303</v>
      </c>
      <c r="U3" s="975"/>
      <c r="V3" s="975"/>
      <c r="W3" s="975"/>
      <c r="X3" s="975"/>
      <c r="Y3" s="265"/>
      <c r="Z3" s="975" t="s">
        <v>304</v>
      </c>
      <c r="AA3" s="975"/>
      <c r="AB3" s="975"/>
      <c r="AC3" s="975"/>
      <c r="AD3" s="975"/>
      <c r="AE3" s="266"/>
      <c r="AF3" s="975" t="s">
        <v>305</v>
      </c>
      <c r="AG3" s="975"/>
      <c r="AH3" s="975"/>
      <c r="AI3" s="975"/>
      <c r="AJ3" s="975"/>
      <c r="AL3" s="977"/>
      <c r="AM3" s="977"/>
    </row>
    <row r="4" spans="1:39" s="128" customFormat="1" ht="29.25" customHeight="1">
      <c r="A4" s="759"/>
      <c r="B4" s="983"/>
      <c r="C4" s="983"/>
      <c r="D4" s="983"/>
      <c r="E4" s="267" t="s">
        <v>297</v>
      </c>
      <c r="F4" s="267" t="s">
        <v>298</v>
      </c>
      <c r="G4" s="268" t="s">
        <v>297</v>
      </c>
      <c r="H4" s="268" t="s">
        <v>298</v>
      </c>
      <c r="I4" s="269" t="s">
        <v>297</v>
      </c>
      <c r="J4" s="269" t="s">
        <v>298</v>
      </c>
      <c r="K4" s="270" t="s">
        <v>297</v>
      </c>
      <c r="L4" s="270" t="s">
        <v>298</v>
      </c>
      <c r="M4" s="993"/>
      <c r="N4" s="994"/>
      <c r="O4" s="994"/>
      <c r="P4" s="995"/>
      <c r="Q4" s="989"/>
      <c r="R4" s="271"/>
      <c r="S4" s="272"/>
      <c r="T4" s="273"/>
      <c r="U4" s="761">
        <v>1</v>
      </c>
      <c r="V4" s="761">
        <v>2</v>
      </c>
      <c r="W4" s="761">
        <v>3</v>
      </c>
      <c r="X4" s="761">
        <v>4</v>
      </c>
      <c r="Y4" s="274"/>
      <c r="Z4" s="761"/>
      <c r="AA4" s="761">
        <v>1</v>
      </c>
      <c r="AB4" s="761">
        <v>2</v>
      </c>
      <c r="AC4" s="761">
        <v>3</v>
      </c>
      <c r="AD4" s="761">
        <v>4</v>
      </c>
      <c r="AE4" s="266"/>
      <c r="AF4" s="273"/>
      <c r="AG4" s="761">
        <v>1</v>
      </c>
      <c r="AH4" s="761">
        <v>2</v>
      </c>
      <c r="AI4" s="761">
        <v>3</v>
      </c>
      <c r="AJ4" s="761">
        <v>4</v>
      </c>
      <c r="AK4" s="24"/>
      <c r="AL4" s="978"/>
      <c r="AM4" s="978"/>
    </row>
    <row r="5" spans="1:39" ht="38.25" customHeight="1">
      <c r="A5" s="758"/>
      <c r="B5" s="129">
        <v>1</v>
      </c>
      <c r="C5" s="130">
        <f>SISWA!B6</f>
        <v>4822</v>
      </c>
      <c r="D5" s="131" t="str">
        <f>SISWA!E6</f>
        <v>Anak 1</v>
      </c>
      <c r="E5" s="764">
        <f>'KI1'!BC10</f>
        <v>0</v>
      </c>
      <c r="F5" s="764">
        <f>'KI1'!BD10</f>
        <v>0</v>
      </c>
      <c r="G5" s="764">
        <f>'KI1'!BE10</f>
        <v>0</v>
      </c>
      <c r="H5" s="764">
        <f>'KI1'!BF10</f>
        <v>0</v>
      </c>
      <c r="I5" s="764">
        <f>'KI1'!BG10</f>
        <v>0</v>
      </c>
      <c r="J5" s="764">
        <f>'KI1'!BH10</f>
        <v>0</v>
      </c>
      <c r="K5" s="764">
        <f>'KI1'!BI10</f>
        <v>0</v>
      </c>
      <c r="L5" s="764">
        <f>'KI1'!BJ10</f>
        <v>0</v>
      </c>
      <c r="M5" s="826" t="str">
        <f>"Ananda "&amp;D5</f>
        <v>Ananda Anak 1</v>
      </c>
      <c r="N5" s="325" t="str">
        <f>IF(AND(U5="",V5="",W5="",X5=""),"","sangat baik dalam ")</f>
        <v/>
      </c>
      <c r="O5" s="325" t="str">
        <f>IF(AND(AA5="",AB5="",AC5="",AD5=""),"","baik dalam ")</f>
        <v xml:space="preserve">baik dalam </v>
      </c>
      <c r="P5" s="325" t="str">
        <f>IF(AND(AF5="",AG5="",AH5="",AI5=""),"","dan sudah mampu meningkatkan sikap ")</f>
        <v/>
      </c>
      <c r="Q5" s="275" t="str">
        <f>M5&amp;" "&amp;N5&amp;U5&amp;V5&amp;W5&amp;X5&amp;O5&amp;AA5&amp;AB5&amp;AC5&amp;AD5&amp;P5&amp;AG5&amp;AH5&amp;AI5&amp;AJ5</f>
        <v xml:space="preserve">Ananda Anak 1 baik dalam  ketaatan beribadah,  berperilaku syukur,  berdoa sebelum dan sesudah melakukan kegiatan,  toleransi dalam beribadah, </v>
      </c>
      <c r="R5" s="132"/>
      <c r="S5" s="276" t="str">
        <f t="shared" ref="S5" si="0">"Ananda "&amp;D5</f>
        <v>Ananda Anak 1</v>
      </c>
      <c r="T5" s="276" t="str">
        <f t="shared" ref="T5" si="1">IF(AND(U5="",V5="",W5="",X5=""),"","sangat baik dalam ")</f>
        <v/>
      </c>
      <c r="U5" s="276" t="str">
        <f t="shared" ref="U5" si="2">IF($E5&gt;F5,($AM$5&amp;", "),"")</f>
        <v/>
      </c>
      <c r="V5" s="276" t="str">
        <f t="shared" ref="V5" si="3">IF($G5&gt;H5,($AM$6&amp;", "),"")</f>
        <v/>
      </c>
      <c r="W5" s="276" t="str">
        <f t="shared" ref="W5" si="4">IF($I5&gt;J5,($AM$7&amp;", "),"")</f>
        <v/>
      </c>
      <c r="X5" s="276" t="str">
        <f t="shared" ref="X5" si="5">IF($K5&gt;L5,($AM$8&amp;", "),"")</f>
        <v/>
      </c>
      <c r="Y5" s="276"/>
      <c r="Z5" s="276" t="str">
        <f t="shared" ref="Z5" si="6">IF(AND(AA5="",AB5="",AC5="",AD5=""),"","baik dalam ")</f>
        <v xml:space="preserve">baik dalam </v>
      </c>
      <c r="AA5" s="276" t="str">
        <f t="shared" ref="AA5" si="7">IF(AND($T5&lt;&gt;"",$AF5&lt;&gt;""),"",IF(AND(U5="",AG5=""),$AM$5&amp;", ",""))</f>
        <v xml:space="preserve"> ketaatan beribadah, </v>
      </c>
      <c r="AB5" s="276" t="str">
        <f t="shared" ref="AB5" si="8">IF(AND($T5&lt;&gt;"",$AF5&lt;&gt;""),"",IF(AND(V5="",AH5=""),$AM$6&amp;", ",""))</f>
        <v xml:space="preserve"> berperilaku syukur, </v>
      </c>
      <c r="AC5" s="276" t="str">
        <f t="shared" ref="AC5" si="9">IF(AND($T5&lt;&gt;"",$AF5&lt;&gt;""),"",IF(AND(W5="",AI5=""),$AM$7&amp;", ",""))</f>
        <v xml:space="preserve"> berdoa sebelum dan sesudah melakukan kegiatan, </v>
      </c>
      <c r="AD5" s="276" t="str">
        <f t="shared" ref="AD5" si="10">IF(AND($T5&lt;&gt;"",$AF5&lt;&gt;""),"",IF(AND(X5="",AJ5=""),$AM$8&amp;", ",""))</f>
        <v xml:space="preserve"> toleransi dalam beribadah, </v>
      </c>
      <c r="AE5" s="276"/>
      <c r="AF5" s="276" t="str">
        <f t="shared" ref="AF5" si="11">IF(AND(AG5="",AH5="",AI5="",AJ5=""),"","dan sudah mampu meningkatkan sikap ")</f>
        <v/>
      </c>
      <c r="AG5" s="276" t="str">
        <f t="shared" ref="AG5" si="12">IF($F5&gt;E5,($AM$5&amp;", "),"")</f>
        <v/>
      </c>
      <c r="AH5" s="276" t="str">
        <f t="shared" ref="AH5" si="13">IF($H5&gt;G5,($AM$6&amp;", "),"")</f>
        <v/>
      </c>
      <c r="AI5" s="276" t="str">
        <f t="shared" ref="AI5" si="14">IF($J5&gt;I5,($AM$7&amp;", "),"")</f>
        <v/>
      </c>
      <c r="AJ5" s="276" t="str">
        <f t="shared" ref="AJ5" si="15">IF($L5&gt;K5,($AM$8&amp;", "),"")</f>
        <v/>
      </c>
      <c r="AL5" s="277">
        <v>1</v>
      </c>
      <c r="AM5" s="209" t="s">
        <v>299</v>
      </c>
    </row>
    <row r="6" spans="1:39" ht="38.25" customHeight="1">
      <c r="A6" s="758"/>
      <c r="B6" s="134">
        <v>2</v>
      </c>
      <c r="C6" s="130">
        <f>SISWA!B7</f>
        <v>0</v>
      </c>
      <c r="D6" s="131" t="str">
        <f>SISWA!E7</f>
        <v>Anak 2</v>
      </c>
      <c r="E6" s="764">
        <f>'KI1'!BC11</f>
        <v>0</v>
      </c>
      <c r="F6" s="764">
        <f>'KI1'!BD11</f>
        <v>0</v>
      </c>
      <c r="G6" s="764">
        <f>'KI1'!BE11</f>
        <v>0</v>
      </c>
      <c r="H6" s="764">
        <f>'KI1'!BF11</f>
        <v>0</v>
      </c>
      <c r="I6" s="764">
        <f>'KI1'!BG11</f>
        <v>1</v>
      </c>
      <c r="J6" s="764">
        <f>'KI1'!BH11</f>
        <v>0</v>
      </c>
      <c r="K6" s="764">
        <f>'KI1'!BI11</f>
        <v>0</v>
      </c>
      <c r="L6" s="764">
        <f>'KI1'!BJ11</f>
        <v>0</v>
      </c>
      <c r="M6" s="826" t="str">
        <f t="shared" ref="M6:M54" si="16">"Ananda "&amp;D6</f>
        <v>Ananda Anak 2</v>
      </c>
      <c r="N6" s="325" t="str">
        <f t="shared" ref="N6:N54" si="17">IF(AND(U6="",V6="",W6="",X6=""),"","sangat baik dalam ")</f>
        <v xml:space="preserve">sangat baik dalam </v>
      </c>
      <c r="O6" s="325" t="str">
        <f t="shared" ref="O6:O54" si="18">IF(AND(AA6="",AB6="",AC6="",AD6=""),"","baik dalam ")</f>
        <v xml:space="preserve">baik dalam </v>
      </c>
      <c r="P6" s="325" t="str">
        <f t="shared" ref="P6:P54" si="19">IF(AND(AF6="",AG6="",AH6="",AI6=""),"","dan sudah mampu meningkatkan sikap ")</f>
        <v/>
      </c>
      <c r="Q6" s="275" t="str">
        <f t="shared" ref="Q6:Q54" si="20">M6&amp;" "&amp;N6&amp;U6&amp;V6&amp;W6&amp;X6&amp;O6&amp;AA6&amp;AB6&amp;AC6&amp;AD6&amp;P6&amp;AG6&amp;AH6&amp;AI6&amp;AJ6</f>
        <v xml:space="preserve">Ananda Anak 2 sangat baik dalam  berdoa sebelum dan sesudah melakukan kegiatan, baik dalam  ketaatan beribadah,  berperilaku syukur,  toleransi dalam beribadah, </v>
      </c>
      <c r="S6" s="276" t="str">
        <f t="shared" ref="S6:S54" si="21">"Ananda "&amp;D6</f>
        <v>Ananda Anak 2</v>
      </c>
      <c r="T6" s="276" t="str">
        <f t="shared" ref="T6:T54" si="22">IF(AND(U6="",V6="",W6="",X6=""),"","sangat baik dalam ")</f>
        <v xml:space="preserve">sangat baik dalam </v>
      </c>
      <c r="U6" s="276" t="str">
        <f t="shared" ref="U6:U36" si="23">IF($E6&gt;F6,($AM$5&amp;", "),"")</f>
        <v/>
      </c>
      <c r="V6" s="276" t="str">
        <f t="shared" ref="V6:V36" si="24">IF($G6&gt;H6,($AM$6&amp;", "),"")</f>
        <v/>
      </c>
      <c r="W6" s="276" t="str">
        <f t="shared" ref="W6:W36" si="25">IF($I6&gt;J6,($AM$7&amp;", "),"")</f>
        <v xml:space="preserve"> berdoa sebelum dan sesudah melakukan kegiatan, </v>
      </c>
      <c r="X6" s="276" t="str">
        <f t="shared" ref="X6:X36" si="26">IF($K6&gt;L6,($AM$8&amp;", "),"")</f>
        <v/>
      </c>
      <c r="Y6" s="276"/>
      <c r="Z6" s="276" t="str">
        <f t="shared" ref="Z6:Z54" si="27">IF(AND(AA6="",AB6="",AC6="",AD6=""),"","baik dalam ")</f>
        <v xml:space="preserve">baik dalam </v>
      </c>
      <c r="AA6" s="276" t="str">
        <f t="shared" ref="AA6:AA36" si="28">IF(AND($T6&lt;&gt;"",$AF6&lt;&gt;""),"",IF(AND(U6="",AG6=""),$AM$5&amp;", ",""))</f>
        <v xml:space="preserve"> ketaatan beribadah, </v>
      </c>
      <c r="AB6" s="276" t="str">
        <f t="shared" ref="AB6:AB36" si="29">IF(AND($T6&lt;&gt;"",$AF6&lt;&gt;""),"",IF(AND(V6="",AH6=""),$AM$6&amp;", ",""))</f>
        <v xml:space="preserve"> berperilaku syukur, </v>
      </c>
      <c r="AC6" s="276" t="str">
        <f t="shared" ref="AC6:AC36" si="30">IF(AND($T6&lt;&gt;"",$AF6&lt;&gt;""),"",IF(AND(W6="",AI6=""),$AM$7&amp;", ",""))</f>
        <v/>
      </c>
      <c r="AD6" s="276" t="str">
        <f t="shared" ref="AD6:AD36" si="31">IF(AND($T6&lt;&gt;"",$AF6&lt;&gt;""),"",IF(AND(X6="",AJ6=""),$AM$8&amp;", ",""))</f>
        <v xml:space="preserve"> toleransi dalam beribadah, </v>
      </c>
      <c r="AE6" s="276"/>
      <c r="AF6" s="276" t="str">
        <f t="shared" ref="AF6:AF54" si="32">IF(AND(AG6="",AH6="",AI6="",AJ6=""),"","dan sudah mampu meningkatkan sikap ")</f>
        <v/>
      </c>
      <c r="AG6" s="276" t="str">
        <f t="shared" ref="AG6:AG36" si="33">IF($F6&gt;E6,($AM$5&amp;", "),"")</f>
        <v/>
      </c>
      <c r="AH6" s="276" t="str">
        <f t="shared" ref="AH6:AH36" si="34">IF($H6&gt;G6,($AM$6&amp;", "),"")</f>
        <v/>
      </c>
      <c r="AI6" s="276" t="str">
        <f t="shared" ref="AI6:AI36" si="35">IF($J6&gt;I6,($AM$7&amp;", "),"")</f>
        <v/>
      </c>
      <c r="AJ6" s="276" t="str">
        <f t="shared" ref="AJ6:AJ36" si="36">IF($L6&gt;K6,($AM$8&amp;", "),"")</f>
        <v/>
      </c>
      <c r="AL6" s="277">
        <v>2</v>
      </c>
      <c r="AM6" s="209" t="s">
        <v>300</v>
      </c>
    </row>
    <row r="7" spans="1:39" ht="38.25" customHeight="1">
      <c r="A7" s="758"/>
      <c r="B7" s="129">
        <v>3</v>
      </c>
      <c r="C7" s="130">
        <f>SISWA!B8</f>
        <v>0</v>
      </c>
      <c r="D7" s="131" t="str">
        <f>SISWA!E8</f>
        <v>Anak 3</v>
      </c>
      <c r="E7" s="764">
        <f>'KI1'!BC12</f>
        <v>0</v>
      </c>
      <c r="F7" s="764">
        <f>'KI1'!BD12</f>
        <v>0</v>
      </c>
      <c r="G7" s="764">
        <f>'KI1'!BE12</f>
        <v>1</v>
      </c>
      <c r="H7" s="764">
        <f>'KI1'!BF12</f>
        <v>0</v>
      </c>
      <c r="I7" s="764">
        <f>'KI1'!BG12</f>
        <v>0</v>
      </c>
      <c r="J7" s="764">
        <f>'KI1'!BH12</f>
        <v>0</v>
      </c>
      <c r="K7" s="764">
        <f>'KI1'!BI12</f>
        <v>0</v>
      </c>
      <c r="L7" s="764">
        <f>'KI1'!BJ12</f>
        <v>0</v>
      </c>
      <c r="M7" s="826" t="str">
        <f t="shared" si="16"/>
        <v>Ananda Anak 3</v>
      </c>
      <c r="N7" s="325" t="str">
        <f t="shared" si="17"/>
        <v xml:space="preserve">sangat baik dalam </v>
      </c>
      <c r="O7" s="325" t="str">
        <f t="shared" si="18"/>
        <v xml:space="preserve">baik dalam </v>
      </c>
      <c r="P7" s="325" t="str">
        <f t="shared" si="19"/>
        <v/>
      </c>
      <c r="Q7" s="275" t="str">
        <f t="shared" si="20"/>
        <v xml:space="preserve">Ananda Anak 3 sangat baik dalam  berperilaku syukur, baik dalam  ketaatan beribadah,  berdoa sebelum dan sesudah melakukan kegiatan,  toleransi dalam beribadah, </v>
      </c>
      <c r="S7" s="276" t="str">
        <f t="shared" si="21"/>
        <v>Ananda Anak 3</v>
      </c>
      <c r="T7" s="276" t="str">
        <f t="shared" si="22"/>
        <v xml:space="preserve">sangat baik dalam </v>
      </c>
      <c r="U7" s="276" t="str">
        <f t="shared" si="23"/>
        <v/>
      </c>
      <c r="V7" s="276" t="str">
        <f t="shared" si="24"/>
        <v xml:space="preserve"> berperilaku syukur, </v>
      </c>
      <c r="W7" s="276" t="str">
        <f t="shared" si="25"/>
        <v/>
      </c>
      <c r="X7" s="276" t="str">
        <f t="shared" si="26"/>
        <v/>
      </c>
      <c r="Y7" s="276"/>
      <c r="Z7" s="276" t="str">
        <f t="shared" si="27"/>
        <v xml:space="preserve">baik dalam </v>
      </c>
      <c r="AA7" s="276" t="str">
        <f t="shared" si="28"/>
        <v xml:space="preserve"> ketaatan beribadah, </v>
      </c>
      <c r="AB7" s="276" t="str">
        <f t="shared" si="29"/>
        <v/>
      </c>
      <c r="AC7" s="276" t="str">
        <f t="shared" si="30"/>
        <v xml:space="preserve"> berdoa sebelum dan sesudah melakukan kegiatan, </v>
      </c>
      <c r="AD7" s="276" t="str">
        <f t="shared" si="31"/>
        <v xml:space="preserve"> toleransi dalam beribadah, </v>
      </c>
      <c r="AE7" s="276"/>
      <c r="AF7" s="276" t="str">
        <f t="shared" si="32"/>
        <v/>
      </c>
      <c r="AG7" s="276" t="str">
        <f t="shared" si="33"/>
        <v/>
      </c>
      <c r="AH7" s="276" t="str">
        <f t="shared" si="34"/>
        <v/>
      </c>
      <c r="AI7" s="276" t="str">
        <f t="shared" si="35"/>
        <v/>
      </c>
      <c r="AJ7" s="276" t="str">
        <f t="shared" si="36"/>
        <v/>
      </c>
      <c r="AL7" s="277">
        <v>3</v>
      </c>
      <c r="AM7" s="209" t="s">
        <v>301</v>
      </c>
    </row>
    <row r="8" spans="1:39" ht="38.25" customHeight="1">
      <c r="A8" s="758"/>
      <c r="B8" s="134">
        <v>4</v>
      </c>
      <c r="C8" s="130">
        <f>SISWA!B9</f>
        <v>0</v>
      </c>
      <c r="D8" s="131" t="str">
        <f>SISWA!E9</f>
        <v>Anak 4</v>
      </c>
      <c r="E8" s="764">
        <f>'KI1'!BC13</f>
        <v>0</v>
      </c>
      <c r="F8" s="764">
        <f>'KI1'!BD13</f>
        <v>0</v>
      </c>
      <c r="G8" s="764">
        <f>'KI1'!BE13</f>
        <v>0</v>
      </c>
      <c r="H8" s="764">
        <f>'KI1'!BF13</f>
        <v>1</v>
      </c>
      <c r="I8" s="764">
        <f>'KI1'!BG13</f>
        <v>0</v>
      </c>
      <c r="J8" s="764">
        <f>'KI1'!BH13</f>
        <v>0</v>
      </c>
      <c r="K8" s="764">
        <f>'KI1'!BI13</f>
        <v>0</v>
      </c>
      <c r="L8" s="764">
        <f>'KI1'!BJ13</f>
        <v>1</v>
      </c>
      <c r="M8" s="826" t="str">
        <f t="shared" si="16"/>
        <v>Ananda Anak 4</v>
      </c>
      <c r="N8" s="325" t="str">
        <f t="shared" si="17"/>
        <v/>
      </c>
      <c r="O8" s="325" t="str">
        <f t="shared" si="18"/>
        <v xml:space="preserve">baik dalam </v>
      </c>
      <c r="P8" s="325" t="str">
        <f t="shared" si="19"/>
        <v xml:space="preserve">dan sudah mampu meningkatkan sikap </v>
      </c>
      <c r="Q8" s="275" t="str">
        <f t="shared" si="20"/>
        <v xml:space="preserve">Ananda Anak 4 baik dalam  ketaatan beribadah,  berdoa sebelum dan sesudah melakukan kegiatan, dan sudah mampu meningkatkan sikap  berperilaku syukur,  toleransi dalam beribadah, </v>
      </c>
      <c r="S8" s="276" t="str">
        <f t="shared" si="21"/>
        <v>Ananda Anak 4</v>
      </c>
      <c r="T8" s="276" t="str">
        <f t="shared" si="22"/>
        <v/>
      </c>
      <c r="U8" s="276" t="str">
        <f t="shared" si="23"/>
        <v/>
      </c>
      <c r="V8" s="276" t="str">
        <f t="shared" si="24"/>
        <v/>
      </c>
      <c r="W8" s="276" t="str">
        <f t="shared" si="25"/>
        <v/>
      </c>
      <c r="X8" s="276" t="str">
        <f t="shared" si="26"/>
        <v/>
      </c>
      <c r="Y8" s="276"/>
      <c r="Z8" s="276" t="str">
        <f t="shared" si="27"/>
        <v xml:space="preserve">baik dalam </v>
      </c>
      <c r="AA8" s="276" t="str">
        <f t="shared" si="28"/>
        <v xml:space="preserve"> ketaatan beribadah, </v>
      </c>
      <c r="AB8" s="276" t="str">
        <f t="shared" si="29"/>
        <v/>
      </c>
      <c r="AC8" s="276" t="str">
        <f t="shared" si="30"/>
        <v xml:space="preserve"> berdoa sebelum dan sesudah melakukan kegiatan, </v>
      </c>
      <c r="AD8" s="276" t="str">
        <f t="shared" si="31"/>
        <v/>
      </c>
      <c r="AE8" s="276"/>
      <c r="AF8" s="276" t="str">
        <f t="shared" si="32"/>
        <v xml:space="preserve">dan sudah mampu meningkatkan sikap </v>
      </c>
      <c r="AG8" s="276" t="str">
        <f t="shared" si="33"/>
        <v/>
      </c>
      <c r="AH8" s="276" t="str">
        <f t="shared" si="34"/>
        <v xml:space="preserve"> berperilaku syukur, </v>
      </c>
      <c r="AI8" s="276" t="str">
        <f t="shared" si="35"/>
        <v/>
      </c>
      <c r="AJ8" s="276" t="str">
        <f t="shared" si="36"/>
        <v xml:space="preserve"> toleransi dalam beribadah, </v>
      </c>
      <c r="AL8" s="277">
        <v>4</v>
      </c>
      <c r="AM8" s="209" t="s">
        <v>302</v>
      </c>
    </row>
    <row r="9" spans="1:39" ht="38.25" customHeight="1">
      <c r="A9" s="758"/>
      <c r="B9" s="129">
        <v>5</v>
      </c>
      <c r="C9" s="130">
        <f>SISWA!B10</f>
        <v>0</v>
      </c>
      <c r="D9" s="131" t="str">
        <f>SISWA!E10</f>
        <v>Anak 5</v>
      </c>
      <c r="E9" s="764">
        <f>'KI1'!BC14</f>
        <v>0</v>
      </c>
      <c r="F9" s="764">
        <f>'KI1'!BD14</f>
        <v>0</v>
      </c>
      <c r="G9" s="764">
        <f>'KI1'!BE14</f>
        <v>0</v>
      </c>
      <c r="H9" s="764">
        <f>'KI1'!BF14</f>
        <v>0</v>
      </c>
      <c r="I9" s="764">
        <f>'KI1'!BG14</f>
        <v>0</v>
      </c>
      <c r="J9" s="764">
        <f>'KI1'!BH14</f>
        <v>0</v>
      </c>
      <c r="K9" s="764">
        <f>'KI1'!BI14</f>
        <v>0</v>
      </c>
      <c r="L9" s="764">
        <f>'KI1'!BJ14</f>
        <v>0</v>
      </c>
      <c r="M9" s="826" t="str">
        <f t="shared" si="16"/>
        <v>Ananda Anak 5</v>
      </c>
      <c r="N9" s="325" t="str">
        <f t="shared" si="17"/>
        <v/>
      </c>
      <c r="O9" s="325" t="str">
        <f t="shared" si="18"/>
        <v xml:space="preserve">baik dalam </v>
      </c>
      <c r="P9" s="325" t="str">
        <f t="shared" si="19"/>
        <v/>
      </c>
      <c r="Q9" s="275" t="str">
        <f t="shared" si="20"/>
        <v xml:space="preserve">Ananda Anak 5 baik dalam  ketaatan beribadah,  berperilaku syukur,  berdoa sebelum dan sesudah melakukan kegiatan,  toleransi dalam beribadah, </v>
      </c>
      <c r="S9" s="276" t="str">
        <f t="shared" si="21"/>
        <v>Ananda Anak 5</v>
      </c>
      <c r="T9" s="276" t="str">
        <f t="shared" si="22"/>
        <v/>
      </c>
      <c r="U9" s="276" t="str">
        <f t="shared" si="23"/>
        <v/>
      </c>
      <c r="V9" s="276" t="str">
        <f t="shared" si="24"/>
        <v/>
      </c>
      <c r="W9" s="276" t="str">
        <f t="shared" si="25"/>
        <v/>
      </c>
      <c r="X9" s="276" t="str">
        <f t="shared" si="26"/>
        <v/>
      </c>
      <c r="Y9" s="276"/>
      <c r="Z9" s="276" t="str">
        <f t="shared" si="27"/>
        <v xml:space="preserve">baik dalam </v>
      </c>
      <c r="AA9" s="276" t="str">
        <f t="shared" si="28"/>
        <v xml:space="preserve"> ketaatan beribadah, </v>
      </c>
      <c r="AB9" s="276" t="str">
        <f t="shared" si="29"/>
        <v xml:space="preserve"> berperilaku syukur, </v>
      </c>
      <c r="AC9" s="276" t="str">
        <f t="shared" si="30"/>
        <v xml:space="preserve"> berdoa sebelum dan sesudah melakukan kegiatan, </v>
      </c>
      <c r="AD9" s="276" t="str">
        <f t="shared" si="31"/>
        <v xml:space="preserve"> toleransi dalam beribadah, </v>
      </c>
      <c r="AE9" s="276"/>
      <c r="AF9" s="276" t="str">
        <f t="shared" si="32"/>
        <v/>
      </c>
      <c r="AG9" s="276" t="str">
        <f t="shared" si="33"/>
        <v/>
      </c>
      <c r="AH9" s="276" t="str">
        <f t="shared" si="34"/>
        <v/>
      </c>
      <c r="AI9" s="276" t="str">
        <f t="shared" si="35"/>
        <v/>
      </c>
      <c r="AJ9" s="276" t="str">
        <f t="shared" si="36"/>
        <v/>
      </c>
    </row>
    <row r="10" spans="1:39" ht="38.25" customHeight="1">
      <c r="A10" s="758"/>
      <c r="B10" s="134">
        <v>6</v>
      </c>
      <c r="C10" s="130">
        <f>SISWA!B11</f>
        <v>0</v>
      </c>
      <c r="D10" s="131" t="str">
        <f>SISWA!E11</f>
        <v>Anak 6</v>
      </c>
      <c r="E10" s="764">
        <f>'KI1'!BC15</f>
        <v>0</v>
      </c>
      <c r="F10" s="764">
        <f>'KI1'!BD15</f>
        <v>0</v>
      </c>
      <c r="G10" s="764">
        <f>'KI1'!BE15</f>
        <v>0</v>
      </c>
      <c r="H10" s="764">
        <f>'KI1'!BF15</f>
        <v>0</v>
      </c>
      <c r="I10" s="764">
        <f>'KI1'!BG15</f>
        <v>0</v>
      </c>
      <c r="J10" s="764">
        <f>'KI1'!BH15</f>
        <v>0</v>
      </c>
      <c r="K10" s="764">
        <f>'KI1'!BI15</f>
        <v>0</v>
      </c>
      <c r="L10" s="764">
        <f>'KI1'!BJ15</f>
        <v>0</v>
      </c>
      <c r="M10" s="826" t="str">
        <f t="shared" si="16"/>
        <v>Ananda Anak 6</v>
      </c>
      <c r="N10" s="325" t="str">
        <f t="shared" si="17"/>
        <v/>
      </c>
      <c r="O10" s="325" t="str">
        <f t="shared" si="18"/>
        <v xml:space="preserve">baik dalam </v>
      </c>
      <c r="P10" s="325" t="str">
        <f t="shared" si="19"/>
        <v/>
      </c>
      <c r="Q10" s="275" t="str">
        <f t="shared" si="20"/>
        <v xml:space="preserve">Ananda Anak 6 baik dalam  ketaatan beribadah,  berperilaku syukur,  berdoa sebelum dan sesudah melakukan kegiatan,  toleransi dalam beribadah, </v>
      </c>
      <c r="S10" s="276" t="str">
        <f t="shared" si="21"/>
        <v>Ananda Anak 6</v>
      </c>
      <c r="T10" s="276" t="str">
        <f t="shared" si="22"/>
        <v/>
      </c>
      <c r="U10" s="276" t="str">
        <f t="shared" si="23"/>
        <v/>
      </c>
      <c r="V10" s="276" t="str">
        <f t="shared" si="24"/>
        <v/>
      </c>
      <c r="W10" s="276" t="str">
        <f t="shared" si="25"/>
        <v/>
      </c>
      <c r="X10" s="276" t="str">
        <f t="shared" si="26"/>
        <v/>
      </c>
      <c r="Y10" s="276"/>
      <c r="Z10" s="276" t="str">
        <f t="shared" si="27"/>
        <v xml:space="preserve">baik dalam </v>
      </c>
      <c r="AA10" s="276" t="str">
        <f t="shared" si="28"/>
        <v xml:space="preserve"> ketaatan beribadah, </v>
      </c>
      <c r="AB10" s="276" t="str">
        <f t="shared" si="29"/>
        <v xml:space="preserve"> berperilaku syukur, </v>
      </c>
      <c r="AC10" s="276" t="str">
        <f t="shared" si="30"/>
        <v xml:space="preserve"> berdoa sebelum dan sesudah melakukan kegiatan, </v>
      </c>
      <c r="AD10" s="276" t="str">
        <f t="shared" si="31"/>
        <v xml:space="preserve"> toleransi dalam beribadah, </v>
      </c>
      <c r="AE10" s="276"/>
      <c r="AF10" s="276" t="str">
        <f t="shared" si="32"/>
        <v/>
      </c>
      <c r="AG10" s="276" t="str">
        <f t="shared" si="33"/>
        <v/>
      </c>
      <c r="AH10" s="276" t="str">
        <f t="shared" si="34"/>
        <v/>
      </c>
      <c r="AI10" s="276" t="str">
        <f t="shared" si="35"/>
        <v/>
      </c>
      <c r="AJ10" s="276" t="str">
        <f t="shared" si="36"/>
        <v/>
      </c>
    </row>
    <row r="11" spans="1:39" ht="38.25" customHeight="1">
      <c r="A11" s="758"/>
      <c r="B11" s="129">
        <v>7</v>
      </c>
      <c r="C11" s="130">
        <f>SISWA!B12</f>
        <v>0</v>
      </c>
      <c r="D11" s="131" t="str">
        <f>SISWA!E12</f>
        <v>Anak 7</v>
      </c>
      <c r="E11" s="764">
        <f>'KI1'!BC16</f>
        <v>1</v>
      </c>
      <c r="F11" s="764">
        <f>'KI1'!BD16</f>
        <v>0</v>
      </c>
      <c r="G11" s="764">
        <f>'KI1'!BE16</f>
        <v>0</v>
      </c>
      <c r="H11" s="764">
        <f>'KI1'!BF16</f>
        <v>0</v>
      </c>
      <c r="I11" s="764">
        <f>'KI1'!BG16</f>
        <v>0</v>
      </c>
      <c r="J11" s="764">
        <f>'KI1'!BH16</f>
        <v>0</v>
      </c>
      <c r="K11" s="764">
        <f>'KI1'!BI16</f>
        <v>0</v>
      </c>
      <c r="L11" s="764">
        <f>'KI1'!BJ16</f>
        <v>0</v>
      </c>
      <c r="M11" s="826" t="str">
        <f t="shared" si="16"/>
        <v>Ananda Anak 7</v>
      </c>
      <c r="N11" s="325" t="str">
        <f t="shared" si="17"/>
        <v xml:space="preserve">sangat baik dalam </v>
      </c>
      <c r="O11" s="325" t="str">
        <f t="shared" si="18"/>
        <v xml:space="preserve">baik dalam </v>
      </c>
      <c r="P11" s="325" t="str">
        <f t="shared" si="19"/>
        <v/>
      </c>
      <c r="Q11" s="275" t="str">
        <f t="shared" si="20"/>
        <v xml:space="preserve">Ananda Anak 7 sangat baik dalam  ketaatan beribadah, baik dalam  berperilaku syukur,  berdoa sebelum dan sesudah melakukan kegiatan,  toleransi dalam beribadah, </v>
      </c>
      <c r="S11" s="276" t="str">
        <f t="shared" si="21"/>
        <v>Ananda Anak 7</v>
      </c>
      <c r="T11" s="276" t="str">
        <f t="shared" si="22"/>
        <v xml:space="preserve">sangat baik dalam </v>
      </c>
      <c r="U11" s="276" t="str">
        <f t="shared" si="23"/>
        <v xml:space="preserve"> ketaatan beribadah, </v>
      </c>
      <c r="V11" s="276" t="str">
        <f t="shared" si="24"/>
        <v/>
      </c>
      <c r="W11" s="276" t="str">
        <f t="shared" si="25"/>
        <v/>
      </c>
      <c r="X11" s="276" t="str">
        <f t="shared" si="26"/>
        <v/>
      </c>
      <c r="Y11" s="276"/>
      <c r="Z11" s="276" t="str">
        <f t="shared" si="27"/>
        <v xml:space="preserve">baik dalam </v>
      </c>
      <c r="AA11" s="276" t="str">
        <f t="shared" si="28"/>
        <v/>
      </c>
      <c r="AB11" s="276" t="str">
        <f t="shared" si="29"/>
        <v xml:space="preserve"> berperilaku syukur, </v>
      </c>
      <c r="AC11" s="276" t="str">
        <f t="shared" si="30"/>
        <v xml:space="preserve"> berdoa sebelum dan sesudah melakukan kegiatan, </v>
      </c>
      <c r="AD11" s="276" t="str">
        <f t="shared" si="31"/>
        <v xml:space="preserve"> toleransi dalam beribadah, </v>
      </c>
      <c r="AE11" s="276"/>
      <c r="AF11" s="276" t="str">
        <f t="shared" si="32"/>
        <v/>
      </c>
      <c r="AG11" s="276" t="str">
        <f t="shared" si="33"/>
        <v/>
      </c>
      <c r="AH11" s="276" t="str">
        <f t="shared" si="34"/>
        <v/>
      </c>
      <c r="AI11" s="276" t="str">
        <f t="shared" si="35"/>
        <v/>
      </c>
      <c r="AJ11" s="276" t="str">
        <f t="shared" si="36"/>
        <v/>
      </c>
    </row>
    <row r="12" spans="1:39" ht="38.25" customHeight="1">
      <c r="A12" s="758"/>
      <c r="B12" s="134">
        <v>8</v>
      </c>
      <c r="C12" s="130">
        <f>SISWA!B13</f>
        <v>0</v>
      </c>
      <c r="D12" s="131" t="str">
        <f>SISWA!E13</f>
        <v>Anak 8</v>
      </c>
      <c r="E12" s="764">
        <f>'KI1'!BC17</f>
        <v>0</v>
      </c>
      <c r="F12" s="764">
        <f>'KI1'!BD17</f>
        <v>0</v>
      </c>
      <c r="G12" s="764">
        <f>'KI1'!BE17</f>
        <v>0</v>
      </c>
      <c r="H12" s="764">
        <f>'KI1'!BF17</f>
        <v>0</v>
      </c>
      <c r="I12" s="764">
        <f>'KI1'!BG17</f>
        <v>0</v>
      </c>
      <c r="J12" s="764">
        <f>'KI1'!BH17</f>
        <v>0</v>
      </c>
      <c r="K12" s="764">
        <f>'KI1'!BI17</f>
        <v>0</v>
      </c>
      <c r="L12" s="764">
        <f>'KI1'!BJ17</f>
        <v>0</v>
      </c>
      <c r="M12" s="826" t="str">
        <f t="shared" si="16"/>
        <v>Ananda Anak 8</v>
      </c>
      <c r="N12" s="325" t="str">
        <f t="shared" si="17"/>
        <v/>
      </c>
      <c r="O12" s="325" t="str">
        <f t="shared" si="18"/>
        <v xml:space="preserve">baik dalam </v>
      </c>
      <c r="P12" s="325" t="str">
        <f t="shared" si="19"/>
        <v/>
      </c>
      <c r="Q12" s="275" t="str">
        <f t="shared" si="20"/>
        <v xml:space="preserve">Ananda Anak 8 baik dalam  ketaatan beribadah,  berperilaku syukur,  berdoa sebelum dan sesudah melakukan kegiatan,  toleransi dalam beribadah, </v>
      </c>
      <c r="S12" s="276" t="str">
        <f t="shared" si="21"/>
        <v>Ananda Anak 8</v>
      </c>
      <c r="T12" s="276" t="str">
        <f t="shared" si="22"/>
        <v/>
      </c>
      <c r="U12" s="276" t="str">
        <f t="shared" si="23"/>
        <v/>
      </c>
      <c r="V12" s="276" t="str">
        <f t="shared" si="24"/>
        <v/>
      </c>
      <c r="W12" s="276" t="str">
        <f t="shared" si="25"/>
        <v/>
      </c>
      <c r="X12" s="276" t="str">
        <f t="shared" si="26"/>
        <v/>
      </c>
      <c r="Y12" s="276"/>
      <c r="Z12" s="276" t="str">
        <f t="shared" si="27"/>
        <v xml:space="preserve">baik dalam </v>
      </c>
      <c r="AA12" s="276" t="str">
        <f t="shared" si="28"/>
        <v xml:space="preserve"> ketaatan beribadah, </v>
      </c>
      <c r="AB12" s="276" t="str">
        <f t="shared" si="29"/>
        <v xml:space="preserve"> berperilaku syukur, </v>
      </c>
      <c r="AC12" s="276" t="str">
        <f t="shared" si="30"/>
        <v xml:space="preserve"> berdoa sebelum dan sesudah melakukan kegiatan, </v>
      </c>
      <c r="AD12" s="276" t="str">
        <f t="shared" si="31"/>
        <v xml:space="preserve"> toleransi dalam beribadah, </v>
      </c>
      <c r="AE12" s="276"/>
      <c r="AF12" s="276" t="str">
        <f t="shared" si="32"/>
        <v/>
      </c>
      <c r="AG12" s="276" t="str">
        <f t="shared" si="33"/>
        <v/>
      </c>
      <c r="AH12" s="276" t="str">
        <f t="shared" si="34"/>
        <v/>
      </c>
      <c r="AI12" s="276" t="str">
        <f t="shared" si="35"/>
        <v/>
      </c>
      <c r="AJ12" s="276" t="str">
        <f t="shared" si="36"/>
        <v/>
      </c>
    </row>
    <row r="13" spans="1:39" ht="38.25" customHeight="1">
      <c r="A13" s="758"/>
      <c r="B13" s="129">
        <v>9</v>
      </c>
      <c r="C13" s="130">
        <f>SISWA!B14</f>
        <v>0</v>
      </c>
      <c r="D13" s="131" t="str">
        <f>SISWA!E14</f>
        <v>Anak 9</v>
      </c>
      <c r="E13" s="764">
        <f>'KI1'!BC18</f>
        <v>0</v>
      </c>
      <c r="F13" s="764">
        <f>'KI1'!BD18</f>
        <v>0</v>
      </c>
      <c r="G13" s="764">
        <f>'KI1'!BE18</f>
        <v>0</v>
      </c>
      <c r="H13" s="764">
        <f>'KI1'!BF18</f>
        <v>0</v>
      </c>
      <c r="I13" s="764">
        <f>'KI1'!BG18</f>
        <v>0</v>
      </c>
      <c r="J13" s="764">
        <f>'KI1'!BH18</f>
        <v>0</v>
      </c>
      <c r="K13" s="764">
        <f>'KI1'!BI18</f>
        <v>0</v>
      </c>
      <c r="L13" s="764">
        <f>'KI1'!BJ18</f>
        <v>0</v>
      </c>
      <c r="M13" s="826" t="str">
        <f t="shared" si="16"/>
        <v>Ananda Anak 9</v>
      </c>
      <c r="N13" s="325" t="str">
        <f t="shared" si="17"/>
        <v/>
      </c>
      <c r="O13" s="325" t="str">
        <f t="shared" si="18"/>
        <v xml:space="preserve">baik dalam </v>
      </c>
      <c r="P13" s="325" t="str">
        <f t="shared" si="19"/>
        <v/>
      </c>
      <c r="Q13" s="275" t="str">
        <f t="shared" si="20"/>
        <v xml:space="preserve">Ananda Anak 9 baik dalam  ketaatan beribadah,  berperilaku syukur,  berdoa sebelum dan sesudah melakukan kegiatan,  toleransi dalam beribadah, </v>
      </c>
      <c r="S13" s="276" t="str">
        <f t="shared" si="21"/>
        <v>Ananda Anak 9</v>
      </c>
      <c r="T13" s="276" t="str">
        <f t="shared" si="22"/>
        <v/>
      </c>
      <c r="U13" s="276" t="str">
        <f t="shared" si="23"/>
        <v/>
      </c>
      <c r="V13" s="276" t="str">
        <f t="shared" si="24"/>
        <v/>
      </c>
      <c r="W13" s="276" t="str">
        <f t="shared" si="25"/>
        <v/>
      </c>
      <c r="X13" s="276" t="str">
        <f t="shared" si="26"/>
        <v/>
      </c>
      <c r="Y13" s="276"/>
      <c r="Z13" s="276" t="str">
        <f t="shared" si="27"/>
        <v xml:space="preserve">baik dalam </v>
      </c>
      <c r="AA13" s="276" t="str">
        <f t="shared" si="28"/>
        <v xml:space="preserve"> ketaatan beribadah, </v>
      </c>
      <c r="AB13" s="276" t="str">
        <f t="shared" si="29"/>
        <v xml:space="preserve"> berperilaku syukur, </v>
      </c>
      <c r="AC13" s="276" t="str">
        <f t="shared" si="30"/>
        <v xml:space="preserve"> berdoa sebelum dan sesudah melakukan kegiatan, </v>
      </c>
      <c r="AD13" s="276" t="str">
        <f t="shared" si="31"/>
        <v xml:space="preserve"> toleransi dalam beribadah, </v>
      </c>
      <c r="AE13" s="276"/>
      <c r="AF13" s="276" t="str">
        <f t="shared" si="32"/>
        <v/>
      </c>
      <c r="AG13" s="276" t="str">
        <f t="shared" si="33"/>
        <v/>
      </c>
      <c r="AH13" s="276" t="str">
        <f t="shared" si="34"/>
        <v/>
      </c>
      <c r="AI13" s="276" t="str">
        <f t="shared" si="35"/>
        <v/>
      </c>
      <c r="AJ13" s="276" t="str">
        <f t="shared" si="36"/>
        <v/>
      </c>
    </row>
    <row r="14" spans="1:39" ht="38.25" customHeight="1">
      <c r="A14" s="758"/>
      <c r="B14" s="134">
        <v>10</v>
      </c>
      <c r="C14" s="130">
        <f>SISWA!B15</f>
        <v>0</v>
      </c>
      <c r="D14" s="131" t="str">
        <f>SISWA!E15</f>
        <v>Anak 10</v>
      </c>
      <c r="E14" s="764">
        <f>'KI1'!BC19</f>
        <v>0</v>
      </c>
      <c r="F14" s="764">
        <f>'KI1'!BD19</f>
        <v>0</v>
      </c>
      <c r="G14" s="764">
        <f>'KI1'!BE19</f>
        <v>0</v>
      </c>
      <c r="H14" s="764">
        <f>'KI1'!BF19</f>
        <v>0</v>
      </c>
      <c r="I14" s="764">
        <f>'KI1'!BG19</f>
        <v>0</v>
      </c>
      <c r="J14" s="764">
        <f>'KI1'!BH19</f>
        <v>0</v>
      </c>
      <c r="K14" s="764">
        <f>'KI1'!BI19</f>
        <v>0</v>
      </c>
      <c r="L14" s="764">
        <f>'KI1'!BJ19</f>
        <v>0</v>
      </c>
      <c r="M14" s="826" t="str">
        <f t="shared" si="16"/>
        <v>Ananda Anak 10</v>
      </c>
      <c r="N14" s="325" t="str">
        <f t="shared" si="17"/>
        <v/>
      </c>
      <c r="O14" s="325" t="str">
        <f t="shared" si="18"/>
        <v xml:space="preserve">baik dalam </v>
      </c>
      <c r="P14" s="325" t="str">
        <f t="shared" si="19"/>
        <v/>
      </c>
      <c r="Q14" s="275" t="str">
        <f t="shared" si="20"/>
        <v xml:space="preserve">Ananda Anak 10 baik dalam  ketaatan beribadah,  berperilaku syukur,  berdoa sebelum dan sesudah melakukan kegiatan,  toleransi dalam beribadah, </v>
      </c>
      <c r="S14" s="276" t="str">
        <f t="shared" si="21"/>
        <v>Ananda Anak 10</v>
      </c>
      <c r="T14" s="276" t="str">
        <f t="shared" si="22"/>
        <v/>
      </c>
      <c r="U14" s="276" t="str">
        <f t="shared" si="23"/>
        <v/>
      </c>
      <c r="V14" s="276" t="str">
        <f t="shared" si="24"/>
        <v/>
      </c>
      <c r="W14" s="276" t="str">
        <f t="shared" si="25"/>
        <v/>
      </c>
      <c r="X14" s="276" t="str">
        <f t="shared" si="26"/>
        <v/>
      </c>
      <c r="Y14" s="276"/>
      <c r="Z14" s="276" t="str">
        <f t="shared" si="27"/>
        <v xml:space="preserve">baik dalam </v>
      </c>
      <c r="AA14" s="276" t="str">
        <f t="shared" si="28"/>
        <v xml:space="preserve"> ketaatan beribadah, </v>
      </c>
      <c r="AB14" s="276" t="str">
        <f t="shared" si="29"/>
        <v xml:space="preserve"> berperilaku syukur, </v>
      </c>
      <c r="AC14" s="276" t="str">
        <f t="shared" si="30"/>
        <v xml:space="preserve"> berdoa sebelum dan sesudah melakukan kegiatan, </v>
      </c>
      <c r="AD14" s="276" t="str">
        <f t="shared" si="31"/>
        <v xml:space="preserve"> toleransi dalam beribadah, </v>
      </c>
      <c r="AE14" s="276"/>
      <c r="AF14" s="276" t="str">
        <f t="shared" si="32"/>
        <v/>
      </c>
      <c r="AG14" s="276" t="str">
        <f t="shared" si="33"/>
        <v/>
      </c>
      <c r="AH14" s="276" t="str">
        <f t="shared" si="34"/>
        <v/>
      </c>
      <c r="AI14" s="276" t="str">
        <f t="shared" si="35"/>
        <v/>
      </c>
      <c r="AJ14" s="276" t="str">
        <f t="shared" si="36"/>
        <v/>
      </c>
    </row>
    <row r="15" spans="1:39" ht="38.25" customHeight="1">
      <c r="A15" s="758"/>
      <c r="B15" s="129">
        <v>11</v>
      </c>
      <c r="C15" s="130">
        <f>SISWA!B16</f>
        <v>0</v>
      </c>
      <c r="D15" s="131" t="str">
        <f>SISWA!E16</f>
        <v>Anak 11</v>
      </c>
      <c r="E15" s="764">
        <f>'KI1'!BC20</f>
        <v>0</v>
      </c>
      <c r="F15" s="764">
        <f>'KI1'!BD20</f>
        <v>0</v>
      </c>
      <c r="G15" s="764">
        <f>'KI1'!BE20</f>
        <v>0</v>
      </c>
      <c r="H15" s="764">
        <f>'KI1'!BF20</f>
        <v>0</v>
      </c>
      <c r="I15" s="764">
        <f>'KI1'!BG20</f>
        <v>0</v>
      </c>
      <c r="J15" s="764">
        <f>'KI1'!BH20</f>
        <v>0</v>
      </c>
      <c r="K15" s="764">
        <f>'KI1'!BI20</f>
        <v>0</v>
      </c>
      <c r="L15" s="764">
        <f>'KI1'!BJ20</f>
        <v>0</v>
      </c>
      <c r="M15" s="826" t="str">
        <f t="shared" si="16"/>
        <v>Ananda Anak 11</v>
      </c>
      <c r="N15" s="325" t="str">
        <f t="shared" si="17"/>
        <v/>
      </c>
      <c r="O15" s="325" t="str">
        <f t="shared" si="18"/>
        <v xml:space="preserve">baik dalam </v>
      </c>
      <c r="P15" s="325" t="str">
        <f t="shared" si="19"/>
        <v/>
      </c>
      <c r="Q15" s="275" t="str">
        <f t="shared" si="20"/>
        <v xml:space="preserve">Ananda Anak 11 baik dalam  ketaatan beribadah,  berperilaku syukur,  berdoa sebelum dan sesudah melakukan kegiatan,  toleransi dalam beribadah, </v>
      </c>
      <c r="S15" s="276" t="str">
        <f t="shared" si="21"/>
        <v>Ananda Anak 11</v>
      </c>
      <c r="T15" s="276" t="str">
        <f t="shared" si="22"/>
        <v/>
      </c>
      <c r="U15" s="276" t="str">
        <f t="shared" si="23"/>
        <v/>
      </c>
      <c r="V15" s="276" t="str">
        <f t="shared" si="24"/>
        <v/>
      </c>
      <c r="W15" s="276" t="str">
        <f t="shared" si="25"/>
        <v/>
      </c>
      <c r="X15" s="276" t="str">
        <f t="shared" si="26"/>
        <v/>
      </c>
      <c r="Y15" s="276"/>
      <c r="Z15" s="276" t="str">
        <f t="shared" si="27"/>
        <v xml:space="preserve">baik dalam </v>
      </c>
      <c r="AA15" s="276" t="str">
        <f t="shared" si="28"/>
        <v xml:space="preserve"> ketaatan beribadah, </v>
      </c>
      <c r="AB15" s="276" t="str">
        <f t="shared" si="29"/>
        <v xml:space="preserve"> berperilaku syukur, </v>
      </c>
      <c r="AC15" s="276" t="str">
        <f t="shared" si="30"/>
        <v xml:space="preserve"> berdoa sebelum dan sesudah melakukan kegiatan, </v>
      </c>
      <c r="AD15" s="276" t="str">
        <f t="shared" si="31"/>
        <v xml:space="preserve"> toleransi dalam beribadah, </v>
      </c>
      <c r="AE15" s="276"/>
      <c r="AF15" s="276" t="str">
        <f t="shared" si="32"/>
        <v/>
      </c>
      <c r="AG15" s="276" t="str">
        <f t="shared" si="33"/>
        <v/>
      </c>
      <c r="AH15" s="276" t="str">
        <f t="shared" si="34"/>
        <v/>
      </c>
      <c r="AI15" s="276" t="str">
        <f t="shared" si="35"/>
        <v/>
      </c>
      <c r="AJ15" s="276" t="str">
        <f t="shared" si="36"/>
        <v/>
      </c>
    </row>
    <row r="16" spans="1:39" ht="38.25" customHeight="1">
      <c r="A16" s="758"/>
      <c r="B16" s="134">
        <v>12</v>
      </c>
      <c r="C16" s="130">
        <f>SISWA!B17</f>
        <v>0</v>
      </c>
      <c r="D16" s="131" t="str">
        <f>SISWA!E17</f>
        <v>Anak 12</v>
      </c>
      <c r="E16" s="764">
        <f>'KI1'!BC21</f>
        <v>0</v>
      </c>
      <c r="F16" s="764">
        <f>'KI1'!BD21</f>
        <v>0</v>
      </c>
      <c r="G16" s="764">
        <f>'KI1'!BE21</f>
        <v>0</v>
      </c>
      <c r="H16" s="764">
        <f>'KI1'!BF21</f>
        <v>0</v>
      </c>
      <c r="I16" s="764">
        <f>'KI1'!BG21</f>
        <v>0</v>
      </c>
      <c r="J16" s="764">
        <f>'KI1'!BH21</f>
        <v>0</v>
      </c>
      <c r="K16" s="764">
        <f>'KI1'!BI21</f>
        <v>0</v>
      </c>
      <c r="L16" s="764">
        <f>'KI1'!BJ21</f>
        <v>0</v>
      </c>
      <c r="M16" s="826" t="str">
        <f t="shared" si="16"/>
        <v>Ananda Anak 12</v>
      </c>
      <c r="N16" s="325" t="str">
        <f t="shared" si="17"/>
        <v/>
      </c>
      <c r="O16" s="325" t="str">
        <f t="shared" si="18"/>
        <v xml:space="preserve">baik dalam </v>
      </c>
      <c r="P16" s="325" t="str">
        <f t="shared" si="19"/>
        <v/>
      </c>
      <c r="Q16" s="275" t="str">
        <f t="shared" si="20"/>
        <v xml:space="preserve">Ananda Anak 12 baik dalam  ketaatan beribadah,  berperilaku syukur,  berdoa sebelum dan sesudah melakukan kegiatan,  toleransi dalam beribadah, </v>
      </c>
      <c r="S16" s="276" t="str">
        <f t="shared" si="21"/>
        <v>Ananda Anak 12</v>
      </c>
      <c r="T16" s="276" t="str">
        <f t="shared" si="22"/>
        <v/>
      </c>
      <c r="U16" s="276" t="str">
        <f t="shared" si="23"/>
        <v/>
      </c>
      <c r="V16" s="276" t="str">
        <f t="shared" si="24"/>
        <v/>
      </c>
      <c r="W16" s="276" t="str">
        <f t="shared" si="25"/>
        <v/>
      </c>
      <c r="X16" s="276" t="str">
        <f t="shared" si="26"/>
        <v/>
      </c>
      <c r="Y16" s="276"/>
      <c r="Z16" s="276" t="str">
        <f t="shared" si="27"/>
        <v xml:space="preserve">baik dalam </v>
      </c>
      <c r="AA16" s="276" t="str">
        <f t="shared" si="28"/>
        <v xml:space="preserve"> ketaatan beribadah, </v>
      </c>
      <c r="AB16" s="276" t="str">
        <f t="shared" si="29"/>
        <v xml:space="preserve"> berperilaku syukur, </v>
      </c>
      <c r="AC16" s="276" t="str">
        <f t="shared" si="30"/>
        <v xml:space="preserve"> berdoa sebelum dan sesudah melakukan kegiatan, </v>
      </c>
      <c r="AD16" s="276" t="str">
        <f t="shared" si="31"/>
        <v xml:space="preserve"> toleransi dalam beribadah, </v>
      </c>
      <c r="AE16" s="276"/>
      <c r="AF16" s="276" t="str">
        <f t="shared" si="32"/>
        <v/>
      </c>
      <c r="AG16" s="276" t="str">
        <f t="shared" si="33"/>
        <v/>
      </c>
      <c r="AH16" s="276" t="str">
        <f t="shared" si="34"/>
        <v/>
      </c>
      <c r="AI16" s="276" t="str">
        <f t="shared" si="35"/>
        <v/>
      </c>
      <c r="AJ16" s="276" t="str">
        <f t="shared" si="36"/>
        <v/>
      </c>
    </row>
    <row r="17" spans="1:36" ht="38.25" customHeight="1">
      <c r="A17" s="758"/>
      <c r="B17" s="129">
        <v>13</v>
      </c>
      <c r="C17" s="130">
        <f>SISWA!B18</f>
        <v>0</v>
      </c>
      <c r="D17" s="131" t="str">
        <f>SISWA!E18</f>
        <v>Anak 13</v>
      </c>
      <c r="E17" s="764">
        <f>'KI1'!BC22</f>
        <v>0</v>
      </c>
      <c r="F17" s="764">
        <f>'KI1'!BD22</f>
        <v>0</v>
      </c>
      <c r="G17" s="764">
        <f>'KI1'!BE22</f>
        <v>0</v>
      </c>
      <c r="H17" s="764">
        <f>'KI1'!BF22</f>
        <v>0</v>
      </c>
      <c r="I17" s="764">
        <f>'KI1'!BG22</f>
        <v>0</v>
      </c>
      <c r="J17" s="764">
        <f>'KI1'!BH22</f>
        <v>0</v>
      </c>
      <c r="K17" s="764">
        <f>'KI1'!BI22</f>
        <v>0</v>
      </c>
      <c r="L17" s="764">
        <f>'KI1'!BJ22</f>
        <v>0</v>
      </c>
      <c r="M17" s="826" t="str">
        <f t="shared" si="16"/>
        <v>Ananda Anak 13</v>
      </c>
      <c r="N17" s="325" t="str">
        <f t="shared" si="17"/>
        <v/>
      </c>
      <c r="O17" s="325" t="str">
        <f t="shared" si="18"/>
        <v xml:space="preserve">baik dalam </v>
      </c>
      <c r="P17" s="325" t="str">
        <f t="shared" si="19"/>
        <v/>
      </c>
      <c r="Q17" s="275" t="str">
        <f t="shared" si="20"/>
        <v xml:space="preserve">Ananda Anak 13 baik dalam  ketaatan beribadah,  berperilaku syukur,  berdoa sebelum dan sesudah melakukan kegiatan,  toleransi dalam beribadah, </v>
      </c>
      <c r="S17" s="276" t="str">
        <f t="shared" si="21"/>
        <v>Ananda Anak 13</v>
      </c>
      <c r="T17" s="276" t="str">
        <f t="shared" si="22"/>
        <v/>
      </c>
      <c r="U17" s="276" t="str">
        <f t="shared" si="23"/>
        <v/>
      </c>
      <c r="V17" s="276" t="str">
        <f t="shared" si="24"/>
        <v/>
      </c>
      <c r="W17" s="276" t="str">
        <f t="shared" si="25"/>
        <v/>
      </c>
      <c r="X17" s="276" t="str">
        <f t="shared" si="26"/>
        <v/>
      </c>
      <c r="Y17" s="276"/>
      <c r="Z17" s="276" t="str">
        <f t="shared" si="27"/>
        <v xml:space="preserve">baik dalam </v>
      </c>
      <c r="AA17" s="276" t="str">
        <f t="shared" si="28"/>
        <v xml:space="preserve"> ketaatan beribadah, </v>
      </c>
      <c r="AB17" s="276" t="str">
        <f t="shared" si="29"/>
        <v xml:space="preserve"> berperilaku syukur, </v>
      </c>
      <c r="AC17" s="276" t="str">
        <f t="shared" si="30"/>
        <v xml:space="preserve"> berdoa sebelum dan sesudah melakukan kegiatan, </v>
      </c>
      <c r="AD17" s="276" t="str">
        <f t="shared" si="31"/>
        <v xml:space="preserve"> toleransi dalam beribadah, </v>
      </c>
      <c r="AE17" s="276"/>
      <c r="AF17" s="276" t="str">
        <f t="shared" si="32"/>
        <v/>
      </c>
      <c r="AG17" s="276" t="str">
        <f t="shared" si="33"/>
        <v/>
      </c>
      <c r="AH17" s="276" t="str">
        <f t="shared" si="34"/>
        <v/>
      </c>
      <c r="AI17" s="276" t="str">
        <f t="shared" si="35"/>
        <v/>
      </c>
      <c r="AJ17" s="276" t="str">
        <f t="shared" si="36"/>
        <v/>
      </c>
    </row>
    <row r="18" spans="1:36" ht="38.25" customHeight="1">
      <c r="A18" s="758"/>
      <c r="B18" s="134">
        <v>14</v>
      </c>
      <c r="C18" s="130">
        <f>SISWA!B19</f>
        <v>0</v>
      </c>
      <c r="D18" s="131" t="str">
        <f>SISWA!E19</f>
        <v>Anak 14</v>
      </c>
      <c r="E18" s="764">
        <f>'KI1'!BC23</f>
        <v>0</v>
      </c>
      <c r="F18" s="764">
        <f>'KI1'!BD23</f>
        <v>0</v>
      </c>
      <c r="G18" s="764">
        <f>'KI1'!BE23</f>
        <v>0</v>
      </c>
      <c r="H18" s="764">
        <f>'KI1'!BF23</f>
        <v>0</v>
      </c>
      <c r="I18" s="764">
        <f>'KI1'!BG23</f>
        <v>0</v>
      </c>
      <c r="J18" s="764">
        <f>'KI1'!BH23</f>
        <v>0</v>
      </c>
      <c r="K18" s="764">
        <f>'KI1'!BI23</f>
        <v>0</v>
      </c>
      <c r="L18" s="764">
        <f>'KI1'!BJ23</f>
        <v>0</v>
      </c>
      <c r="M18" s="826" t="str">
        <f t="shared" si="16"/>
        <v>Ananda Anak 14</v>
      </c>
      <c r="N18" s="325" t="str">
        <f t="shared" si="17"/>
        <v/>
      </c>
      <c r="O18" s="325" t="str">
        <f t="shared" si="18"/>
        <v xml:space="preserve">baik dalam </v>
      </c>
      <c r="P18" s="325" t="str">
        <f t="shared" si="19"/>
        <v/>
      </c>
      <c r="Q18" s="275" t="str">
        <f t="shared" si="20"/>
        <v xml:space="preserve">Ananda Anak 14 baik dalam  ketaatan beribadah,  berperilaku syukur,  berdoa sebelum dan sesudah melakukan kegiatan,  toleransi dalam beribadah, </v>
      </c>
      <c r="S18" s="276" t="str">
        <f t="shared" si="21"/>
        <v>Ananda Anak 14</v>
      </c>
      <c r="T18" s="276" t="str">
        <f t="shared" si="22"/>
        <v/>
      </c>
      <c r="U18" s="276" t="str">
        <f t="shared" si="23"/>
        <v/>
      </c>
      <c r="V18" s="276" t="str">
        <f t="shared" si="24"/>
        <v/>
      </c>
      <c r="W18" s="276" t="str">
        <f t="shared" si="25"/>
        <v/>
      </c>
      <c r="X18" s="276" t="str">
        <f t="shared" si="26"/>
        <v/>
      </c>
      <c r="Y18" s="276"/>
      <c r="Z18" s="276" t="str">
        <f t="shared" si="27"/>
        <v xml:space="preserve">baik dalam </v>
      </c>
      <c r="AA18" s="276" t="str">
        <f t="shared" si="28"/>
        <v xml:space="preserve"> ketaatan beribadah, </v>
      </c>
      <c r="AB18" s="276" t="str">
        <f t="shared" si="29"/>
        <v xml:space="preserve"> berperilaku syukur, </v>
      </c>
      <c r="AC18" s="276" t="str">
        <f t="shared" si="30"/>
        <v xml:space="preserve"> berdoa sebelum dan sesudah melakukan kegiatan, </v>
      </c>
      <c r="AD18" s="276" t="str">
        <f t="shared" si="31"/>
        <v xml:space="preserve"> toleransi dalam beribadah, </v>
      </c>
      <c r="AE18" s="276"/>
      <c r="AF18" s="276" t="str">
        <f t="shared" si="32"/>
        <v/>
      </c>
      <c r="AG18" s="276" t="str">
        <f t="shared" si="33"/>
        <v/>
      </c>
      <c r="AH18" s="276" t="str">
        <f t="shared" si="34"/>
        <v/>
      </c>
      <c r="AI18" s="276" t="str">
        <f t="shared" si="35"/>
        <v/>
      </c>
      <c r="AJ18" s="276" t="str">
        <f t="shared" si="36"/>
        <v/>
      </c>
    </row>
    <row r="19" spans="1:36" ht="38.25" customHeight="1">
      <c r="A19" s="758"/>
      <c r="B19" s="129">
        <v>15</v>
      </c>
      <c r="C19" s="130">
        <f>SISWA!B20</f>
        <v>0</v>
      </c>
      <c r="D19" s="131" t="str">
        <f>SISWA!E20</f>
        <v>Anak 15</v>
      </c>
      <c r="E19" s="764">
        <f>'KI1'!BC24</f>
        <v>0</v>
      </c>
      <c r="F19" s="764">
        <f>'KI1'!BD24</f>
        <v>0</v>
      </c>
      <c r="G19" s="764">
        <f>'KI1'!BE24</f>
        <v>0</v>
      </c>
      <c r="H19" s="764">
        <f>'KI1'!BF24</f>
        <v>0</v>
      </c>
      <c r="I19" s="764">
        <f>'KI1'!BG24</f>
        <v>0</v>
      </c>
      <c r="J19" s="764">
        <f>'KI1'!BH24</f>
        <v>0</v>
      </c>
      <c r="K19" s="764">
        <f>'KI1'!BI24</f>
        <v>0</v>
      </c>
      <c r="L19" s="764">
        <f>'KI1'!BJ24</f>
        <v>0</v>
      </c>
      <c r="M19" s="826" t="str">
        <f t="shared" si="16"/>
        <v>Ananda Anak 15</v>
      </c>
      <c r="N19" s="325" t="str">
        <f t="shared" si="17"/>
        <v/>
      </c>
      <c r="O19" s="325" t="str">
        <f t="shared" si="18"/>
        <v xml:space="preserve">baik dalam </v>
      </c>
      <c r="P19" s="325" t="str">
        <f t="shared" si="19"/>
        <v/>
      </c>
      <c r="Q19" s="275" t="str">
        <f t="shared" si="20"/>
        <v xml:space="preserve">Ananda Anak 15 baik dalam  ketaatan beribadah,  berperilaku syukur,  berdoa sebelum dan sesudah melakukan kegiatan,  toleransi dalam beribadah, </v>
      </c>
      <c r="S19" s="276" t="str">
        <f t="shared" si="21"/>
        <v>Ananda Anak 15</v>
      </c>
      <c r="T19" s="276" t="str">
        <f t="shared" si="22"/>
        <v/>
      </c>
      <c r="U19" s="276" t="str">
        <f t="shared" si="23"/>
        <v/>
      </c>
      <c r="V19" s="276" t="str">
        <f t="shared" si="24"/>
        <v/>
      </c>
      <c r="W19" s="276" t="str">
        <f t="shared" si="25"/>
        <v/>
      </c>
      <c r="X19" s="276" t="str">
        <f t="shared" si="26"/>
        <v/>
      </c>
      <c r="Y19" s="276"/>
      <c r="Z19" s="276" t="str">
        <f t="shared" si="27"/>
        <v xml:space="preserve">baik dalam </v>
      </c>
      <c r="AA19" s="276" t="str">
        <f t="shared" si="28"/>
        <v xml:space="preserve"> ketaatan beribadah, </v>
      </c>
      <c r="AB19" s="276" t="str">
        <f t="shared" si="29"/>
        <v xml:space="preserve"> berperilaku syukur, </v>
      </c>
      <c r="AC19" s="276" t="str">
        <f t="shared" si="30"/>
        <v xml:space="preserve"> berdoa sebelum dan sesudah melakukan kegiatan, </v>
      </c>
      <c r="AD19" s="276" t="str">
        <f t="shared" si="31"/>
        <v xml:space="preserve"> toleransi dalam beribadah, </v>
      </c>
      <c r="AE19" s="276"/>
      <c r="AF19" s="276" t="str">
        <f t="shared" si="32"/>
        <v/>
      </c>
      <c r="AG19" s="276" t="str">
        <f t="shared" si="33"/>
        <v/>
      </c>
      <c r="AH19" s="276" t="str">
        <f t="shared" si="34"/>
        <v/>
      </c>
      <c r="AI19" s="276" t="str">
        <f t="shared" si="35"/>
        <v/>
      </c>
      <c r="AJ19" s="276" t="str">
        <f t="shared" si="36"/>
        <v/>
      </c>
    </row>
    <row r="20" spans="1:36" ht="38.25" customHeight="1">
      <c r="A20" s="758"/>
      <c r="B20" s="134">
        <v>16</v>
      </c>
      <c r="C20" s="130">
        <f>SISWA!B21</f>
        <v>0</v>
      </c>
      <c r="D20" s="131" t="str">
        <f>SISWA!E21</f>
        <v>Anak 16</v>
      </c>
      <c r="E20" s="764">
        <f>'KI1'!BC25</f>
        <v>0</v>
      </c>
      <c r="F20" s="764">
        <f>'KI1'!BD25</f>
        <v>0</v>
      </c>
      <c r="G20" s="764">
        <f>'KI1'!BE25</f>
        <v>0</v>
      </c>
      <c r="H20" s="764">
        <f>'KI1'!BF25</f>
        <v>0</v>
      </c>
      <c r="I20" s="764">
        <f>'KI1'!BG25</f>
        <v>0</v>
      </c>
      <c r="J20" s="764">
        <f>'KI1'!BH25</f>
        <v>0</v>
      </c>
      <c r="K20" s="764">
        <f>'KI1'!BI25</f>
        <v>0</v>
      </c>
      <c r="L20" s="764">
        <f>'KI1'!BJ25</f>
        <v>0</v>
      </c>
      <c r="M20" s="826" t="str">
        <f t="shared" si="16"/>
        <v>Ananda Anak 16</v>
      </c>
      <c r="N20" s="325" t="str">
        <f t="shared" si="17"/>
        <v/>
      </c>
      <c r="O20" s="325" t="str">
        <f t="shared" si="18"/>
        <v xml:space="preserve">baik dalam </v>
      </c>
      <c r="P20" s="325" t="str">
        <f t="shared" si="19"/>
        <v/>
      </c>
      <c r="Q20" s="275" t="str">
        <f t="shared" si="20"/>
        <v xml:space="preserve">Ananda Anak 16 baik dalam  ketaatan beribadah,  berperilaku syukur,  berdoa sebelum dan sesudah melakukan kegiatan,  toleransi dalam beribadah, </v>
      </c>
      <c r="S20" s="276" t="str">
        <f t="shared" si="21"/>
        <v>Ananda Anak 16</v>
      </c>
      <c r="T20" s="276" t="str">
        <f t="shared" si="22"/>
        <v/>
      </c>
      <c r="U20" s="276" t="str">
        <f t="shared" si="23"/>
        <v/>
      </c>
      <c r="V20" s="276" t="str">
        <f t="shared" si="24"/>
        <v/>
      </c>
      <c r="W20" s="276" t="str">
        <f t="shared" si="25"/>
        <v/>
      </c>
      <c r="X20" s="276" t="str">
        <f t="shared" si="26"/>
        <v/>
      </c>
      <c r="Y20" s="276"/>
      <c r="Z20" s="276" t="str">
        <f t="shared" si="27"/>
        <v xml:space="preserve">baik dalam </v>
      </c>
      <c r="AA20" s="276" t="str">
        <f t="shared" si="28"/>
        <v xml:space="preserve"> ketaatan beribadah, </v>
      </c>
      <c r="AB20" s="276" t="str">
        <f t="shared" si="29"/>
        <v xml:space="preserve"> berperilaku syukur, </v>
      </c>
      <c r="AC20" s="276" t="str">
        <f t="shared" si="30"/>
        <v xml:space="preserve"> berdoa sebelum dan sesudah melakukan kegiatan, </v>
      </c>
      <c r="AD20" s="276" t="str">
        <f t="shared" si="31"/>
        <v xml:space="preserve"> toleransi dalam beribadah, </v>
      </c>
      <c r="AE20" s="276"/>
      <c r="AF20" s="276" t="str">
        <f t="shared" si="32"/>
        <v/>
      </c>
      <c r="AG20" s="276" t="str">
        <f t="shared" si="33"/>
        <v/>
      </c>
      <c r="AH20" s="276" t="str">
        <f t="shared" si="34"/>
        <v/>
      </c>
      <c r="AI20" s="276" t="str">
        <f t="shared" si="35"/>
        <v/>
      </c>
      <c r="AJ20" s="276" t="str">
        <f t="shared" si="36"/>
        <v/>
      </c>
    </row>
    <row r="21" spans="1:36" ht="38.25" customHeight="1">
      <c r="A21" s="758"/>
      <c r="B21" s="129">
        <v>17</v>
      </c>
      <c r="C21" s="130">
        <f>SISWA!B22</f>
        <v>0</v>
      </c>
      <c r="D21" s="131" t="str">
        <f>SISWA!E22</f>
        <v>Anak 17</v>
      </c>
      <c r="E21" s="764">
        <f>'KI1'!BC26</f>
        <v>0</v>
      </c>
      <c r="F21" s="764">
        <f>'KI1'!BD26</f>
        <v>0</v>
      </c>
      <c r="G21" s="764">
        <f>'KI1'!BE26</f>
        <v>0</v>
      </c>
      <c r="H21" s="764">
        <f>'KI1'!BF26</f>
        <v>0</v>
      </c>
      <c r="I21" s="764">
        <f>'KI1'!BG26</f>
        <v>0</v>
      </c>
      <c r="J21" s="764">
        <f>'KI1'!BH26</f>
        <v>0</v>
      </c>
      <c r="K21" s="764">
        <f>'KI1'!BI26</f>
        <v>0</v>
      </c>
      <c r="L21" s="764">
        <f>'KI1'!BJ26</f>
        <v>0</v>
      </c>
      <c r="M21" s="826" t="str">
        <f t="shared" si="16"/>
        <v>Ananda Anak 17</v>
      </c>
      <c r="N21" s="325" t="str">
        <f t="shared" si="17"/>
        <v/>
      </c>
      <c r="O21" s="325" t="str">
        <f t="shared" si="18"/>
        <v xml:space="preserve">baik dalam </v>
      </c>
      <c r="P21" s="325" t="str">
        <f t="shared" si="19"/>
        <v/>
      </c>
      <c r="Q21" s="275" t="str">
        <f t="shared" si="20"/>
        <v xml:space="preserve">Ananda Anak 17 baik dalam  ketaatan beribadah,  berperilaku syukur,  berdoa sebelum dan sesudah melakukan kegiatan,  toleransi dalam beribadah, </v>
      </c>
      <c r="S21" s="276" t="str">
        <f t="shared" si="21"/>
        <v>Ananda Anak 17</v>
      </c>
      <c r="T21" s="276" t="str">
        <f t="shared" si="22"/>
        <v/>
      </c>
      <c r="U21" s="276" t="str">
        <f t="shared" si="23"/>
        <v/>
      </c>
      <c r="V21" s="276" t="str">
        <f t="shared" si="24"/>
        <v/>
      </c>
      <c r="W21" s="276" t="str">
        <f t="shared" si="25"/>
        <v/>
      </c>
      <c r="X21" s="276" t="str">
        <f t="shared" si="26"/>
        <v/>
      </c>
      <c r="Y21" s="276"/>
      <c r="Z21" s="276" t="str">
        <f t="shared" si="27"/>
        <v xml:space="preserve">baik dalam </v>
      </c>
      <c r="AA21" s="276" t="str">
        <f t="shared" si="28"/>
        <v xml:space="preserve"> ketaatan beribadah, </v>
      </c>
      <c r="AB21" s="276" t="str">
        <f t="shared" si="29"/>
        <v xml:space="preserve"> berperilaku syukur, </v>
      </c>
      <c r="AC21" s="276" t="str">
        <f t="shared" si="30"/>
        <v xml:space="preserve"> berdoa sebelum dan sesudah melakukan kegiatan, </v>
      </c>
      <c r="AD21" s="276" t="str">
        <f t="shared" si="31"/>
        <v xml:space="preserve"> toleransi dalam beribadah, </v>
      </c>
      <c r="AE21" s="276"/>
      <c r="AF21" s="276" t="str">
        <f t="shared" si="32"/>
        <v/>
      </c>
      <c r="AG21" s="276" t="str">
        <f t="shared" si="33"/>
        <v/>
      </c>
      <c r="AH21" s="276" t="str">
        <f t="shared" si="34"/>
        <v/>
      </c>
      <c r="AI21" s="276" t="str">
        <f t="shared" si="35"/>
        <v/>
      </c>
      <c r="AJ21" s="276" t="str">
        <f t="shared" si="36"/>
        <v/>
      </c>
    </row>
    <row r="22" spans="1:36" ht="38.25" customHeight="1">
      <c r="A22" s="758"/>
      <c r="B22" s="134">
        <v>18</v>
      </c>
      <c r="C22" s="130">
        <f>SISWA!B23</f>
        <v>0</v>
      </c>
      <c r="D22" s="131" t="str">
        <f>SISWA!E23</f>
        <v>Anak 18</v>
      </c>
      <c r="E22" s="764">
        <f>'KI1'!BC27</f>
        <v>0</v>
      </c>
      <c r="F22" s="764">
        <f>'KI1'!BD27</f>
        <v>0</v>
      </c>
      <c r="G22" s="764">
        <f>'KI1'!BE27</f>
        <v>0</v>
      </c>
      <c r="H22" s="764">
        <f>'KI1'!BF27</f>
        <v>0</v>
      </c>
      <c r="I22" s="764">
        <f>'KI1'!BG27</f>
        <v>0</v>
      </c>
      <c r="J22" s="764">
        <f>'KI1'!BH27</f>
        <v>0</v>
      </c>
      <c r="K22" s="764">
        <f>'KI1'!BI27</f>
        <v>0</v>
      </c>
      <c r="L22" s="764">
        <f>'KI1'!BJ27</f>
        <v>0</v>
      </c>
      <c r="M22" s="826" t="str">
        <f t="shared" si="16"/>
        <v>Ananda Anak 18</v>
      </c>
      <c r="N22" s="325" t="str">
        <f t="shared" si="17"/>
        <v/>
      </c>
      <c r="O22" s="325" t="str">
        <f t="shared" si="18"/>
        <v xml:space="preserve">baik dalam </v>
      </c>
      <c r="P22" s="325" t="str">
        <f t="shared" si="19"/>
        <v/>
      </c>
      <c r="Q22" s="275" t="str">
        <f t="shared" si="20"/>
        <v xml:space="preserve">Ananda Anak 18 baik dalam  ketaatan beribadah,  berperilaku syukur,  berdoa sebelum dan sesudah melakukan kegiatan,  toleransi dalam beribadah, </v>
      </c>
      <c r="S22" s="276" t="str">
        <f t="shared" si="21"/>
        <v>Ananda Anak 18</v>
      </c>
      <c r="T22" s="276" t="str">
        <f t="shared" si="22"/>
        <v/>
      </c>
      <c r="U22" s="276" t="str">
        <f t="shared" si="23"/>
        <v/>
      </c>
      <c r="V22" s="276" t="str">
        <f t="shared" si="24"/>
        <v/>
      </c>
      <c r="W22" s="276" t="str">
        <f t="shared" si="25"/>
        <v/>
      </c>
      <c r="X22" s="276" t="str">
        <f t="shared" si="26"/>
        <v/>
      </c>
      <c r="Y22" s="276"/>
      <c r="Z22" s="276" t="str">
        <f t="shared" si="27"/>
        <v xml:space="preserve">baik dalam </v>
      </c>
      <c r="AA22" s="276" t="str">
        <f t="shared" si="28"/>
        <v xml:space="preserve"> ketaatan beribadah, </v>
      </c>
      <c r="AB22" s="276" t="str">
        <f t="shared" si="29"/>
        <v xml:space="preserve"> berperilaku syukur, </v>
      </c>
      <c r="AC22" s="276" t="str">
        <f t="shared" si="30"/>
        <v xml:space="preserve"> berdoa sebelum dan sesudah melakukan kegiatan, </v>
      </c>
      <c r="AD22" s="276" t="str">
        <f t="shared" si="31"/>
        <v xml:space="preserve"> toleransi dalam beribadah, </v>
      </c>
      <c r="AE22" s="276"/>
      <c r="AF22" s="276" t="str">
        <f t="shared" si="32"/>
        <v/>
      </c>
      <c r="AG22" s="276" t="str">
        <f t="shared" si="33"/>
        <v/>
      </c>
      <c r="AH22" s="276" t="str">
        <f t="shared" si="34"/>
        <v/>
      </c>
      <c r="AI22" s="276" t="str">
        <f t="shared" si="35"/>
        <v/>
      </c>
      <c r="AJ22" s="276" t="str">
        <f t="shared" si="36"/>
        <v/>
      </c>
    </row>
    <row r="23" spans="1:36" ht="38.25" customHeight="1">
      <c r="A23" s="758"/>
      <c r="B23" s="129">
        <v>19</v>
      </c>
      <c r="C23" s="130">
        <f>SISWA!B24</f>
        <v>0</v>
      </c>
      <c r="D23" s="131" t="str">
        <f>SISWA!E24</f>
        <v>Anak 19</v>
      </c>
      <c r="E23" s="764">
        <f>'KI1'!BC28</f>
        <v>0</v>
      </c>
      <c r="F23" s="764">
        <f>'KI1'!BD28</f>
        <v>0</v>
      </c>
      <c r="G23" s="764">
        <f>'KI1'!BE28</f>
        <v>0</v>
      </c>
      <c r="H23" s="764">
        <f>'KI1'!BF28</f>
        <v>0</v>
      </c>
      <c r="I23" s="764">
        <f>'KI1'!BG28</f>
        <v>0</v>
      </c>
      <c r="J23" s="764">
        <f>'KI1'!BH28</f>
        <v>0</v>
      </c>
      <c r="K23" s="764">
        <f>'KI1'!BI28</f>
        <v>0</v>
      </c>
      <c r="L23" s="764">
        <f>'KI1'!BJ28</f>
        <v>0</v>
      </c>
      <c r="M23" s="826" t="str">
        <f t="shared" si="16"/>
        <v>Ananda Anak 19</v>
      </c>
      <c r="N23" s="325" t="str">
        <f t="shared" si="17"/>
        <v/>
      </c>
      <c r="O23" s="325" t="str">
        <f t="shared" si="18"/>
        <v xml:space="preserve">baik dalam </v>
      </c>
      <c r="P23" s="325" t="str">
        <f t="shared" si="19"/>
        <v/>
      </c>
      <c r="Q23" s="275" t="str">
        <f t="shared" si="20"/>
        <v xml:space="preserve">Ananda Anak 19 baik dalam  ketaatan beribadah,  berperilaku syukur,  berdoa sebelum dan sesudah melakukan kegiatan,  toleransi dalam beribadah, </v>
      </c>
      <c r="S23" s="276" t="str">
        <f t="shared" si="21"/>
        <v>Ananda Anak 19</v>
      </c>
      <c r="T23" s="276" t="str">
        <f t="shared" si="22"/>
        <v/>
      </c>
      <c r="U23" s="276" t="str">
        <f t="shared" si="23"/>
        <v/>
      </c>
      <c r="V23" s="276" t="str">
        <f t="shared" si="24"/>
        <v/>
      </c>
      <c r="W23" s="276" t="str">
        <f t="shared" si="25"/>
        <v/>
      </c>
      <c r="X23" s="276" t="str">
        <f t="shared" si="26"/>
        <v/>
      </c>
      <c r="Y23" s="276"/>
      <c r="Z23" s="276" t="str">
        <f t="shared" si="27"/>
        <v xml:space="preserve">baik dalam </v>
      </c>
      <c r="AA23" s="276" t="str">
        <f t="shared" si="28"/>
        <v xml:space="preserve"> ketaatan beribadah, </v>
      </c>
      <c r="AB23" s="276" t="str">
        <f t="shared" si="29"/>
        <v xml:space="preserve"> berperilaku syukur, </v>
      </c>
      <c r="AC23" s="276" t="str">
        <f t="shared" si="30"/>
        <v xml:space="preserve"> berdoa sebelum dan sesudah melakukan kegiatan, </v>
      </c>
      <c r="AD23" s="276" t="str">
        <f t="shared" si="31"/>
        <v xml:space="preserve"> toleransi dalam beribadah, </v>
      </c>
      <c r="AE23" s="276"/>
      <c r="AF23" s="276" t="str">
        <f t="shared" si="32"/>
        <v/>
      </c>
      <c r="AG23" s="276" t="str">
        <f t="shared" si="33"/>
        <v/>
      </c>
      <c r="AH23" s="276" t="str">
        <f t="shared" si="34"/>
        <v/>
      </c>
      <c r="AI23" s="276" t="str">
        <f t="shared" si="35"/>
        <v/>
      </c>
      <c r="AJ23" s="276" t="str">
        <f t="shared" si="36"/>
        <v/>
      </c>
    </row>
    <row r="24" spans="1:36" ht="38.25" customHeight="1">
      <c r="A24" s="758"/>
      <c r="B24" s="134">
        <v>20</v>
      </c>
      <c r="C24" s="130">
        <f>SISWA!B25</f>
        <v>0</v>
      </c>
      <c r="D24" s="131" t="str">
        <f>SISWA!E25</f>
        <v>Anak 20</v>
      </c>
      <c r="E24" s="764">
        <f>'KI1'!BC29</f>
        <v>0</v>
      </c>
      <c r="F24" s="764">
        <f>'KI1'!BD29</f>
        <v>0</v>
      </c>
      <c r="G24" s="764">
        <f>'KI1'!BE29</f>
        <v>0</v>
      </c>
      <c r="H24" s="764">
        <f>'KI1'!BF29</f>
        <v>0</v>
      </c>
      <c r="I24" s="764">
        <f>'KI1'!BG29</f>
        <v>0</v>
      </c>
      <c r="J24" s="764">
        <f>'KI1'!BH29</f>
        <v>0</v>
      </c>
      <c r="K24" s="764">
        <f>'KI1'!BI29</f>
        <v>0</v>
      </c>
      <c r="L24" s="764">
        <f>'KI1'!BJ29</f>
        <v>0</v>
      </c>
      <c r="M24" s="826" t="str">
        <f t="shared" si="16"/>
        <v>Ananda Anak 20</v>
      </c>
      <c r="N24" s="325" t="str">
        <f t="shared" si="17"/>
        <v/>
      </c>
      <c r="O24" s="325" t="str">
        <f t="shared" si="18"/>
        <v xml:space="preserve">baik dalam </v>
      </c>
      <c r="P24" s="325" t="str">
        <f t="shared" si="19"/>
        <v/>
      </c>
      <c r="Q24" s="275" t="str">
        <f t="shared" si="20"/>
        <v xml:space="preserve">Ananda Anak 20 baik dalam  ketaatan beribadah,  berperilaku syukur,  berdoa sebelum dan sesudah melakukan kegiatan,  toleransi dalam beribadah, </v>
      </c>
      <c r="S24" s="276" t="str">
        <f t="shared" si="21"/>
        <v>Ananda Anak 20</v>
      </c>
      <c r="T24" s="276" t="str">
        <f t="shared" si="22"/>
        <v/>
      </c>
      <c r="U24" s="276" t="str">
        <f t="shared" si="23"/>
        <v/>
      </c>
      <c r="V24" s="276" t="str">
        <f t="shared" si="24"/>
        <v/>
      </c>
      <c r="W24" s="276" t="str">
        <f t="shared" si="25"/>
        <v/>
      </c>
      <c r="X24" s="276" t="str">
        <f t="shared" si="26"/>
        <v/>
      </c>
      <c r="Y24" s="276"/>
      <c r="Z24" s="276" t="str">
        <f t="shared" si="27"/>
        <v xml:space="preserve">baik dalam </v>
      </c>
      <c r="AA24" s="276" t="str">
        <f t="shared" si="28"/>
        <v xml:space="preserve"> ketaatan beribadah, </v>
      </c>
      <c r="AB24" s="276" t="str">
        <f t="shared" si="29"/>
        <v xml:space="preserve"> berperilaku syukur, </v>
      </c>
      <c r="AC24" s="276" t="str">
        <f t="shared" si="30"/>
        <v xml:space="preserve"> berdoa sebelum dan sesudah melakukan kegiatan, </v>
      </c>
      <c r="AD24" s="276" t="str">
        <f t="shared" si="31"/>
        <v xml:space="preserve"> toleransi dalam beribadah, </v>
      </c>
      <c r="AE24" s="276"/>
      <c r="AF24" s="276" t="str">
        <f t="shared" si="32"/>
        <v/>
      </c>
      <c r="AG24" s="276" t="str">
        <f t="shared" si="33"/>
        <v/>
      </c>
      <c r="AH24" s="276" t="str">
        <f t="shared" si="34"/>
        <v/>
      </c>
      <c r="AI24" s="276" t="str">
        <f t="shared" si="35"/>
        <v/>
      </c>
      <c r="AJ24" s="276" t="str">
        <f t="shared" si="36"/>
        <v/>
      </c>
    </row>
    <row r="25" spans="1:36" ht="38.25" customHeight="1">
      <c r="A25" s="758"/>
      <c r="B25" s="129">
        <v>21</v>
      </c>
      <c r="C25" s="130">
        <f>SISWA!B26</f>
        <v>0</v>
      </c>
      <c r="D25" s="131" t="str">
        <f>SISWA!E26</f>
        <v>Anak 21</v>
      </c>
      <c r="E25" s="764">
        <f>'KI1'!BC30</f>
        <v>0</v>
      </c>
      <c r="F25" s="764">
        <f>'KI1'!BD30</f>
        <v>0</v>
      </c>
      <c r="G25" s="764">
        <f>'KI1'!BE30</f>
        <v>0</v>
      </c>
      <c r="H25" s="764">
        <f>'KI1'!BF30</f>
        <v>0</v>
      </c>
      <c r="I25" s="764">
        <f>'KI1'!BG30</f>
        <v>0</v>
      </c>
      <c r="J25" s="764">
        <f>'KI1'!BH30</f>
        <v>0</v>
      </c>
      <c r="K25" s="764">
        <f>'KI1'!BI30</f>
        <v>0</v>
      </c>
      <c r="L25" s="764">
        <f>'KI1'!BJ30</f>
        <v>0</v>
      </c>
      <c r="M25" s="826" t="str">
        <f t="shared" si="16"/>
        <v>Ananda Anak 21</v>
      </c>
      <c r="N25" s="325" t="str">
        <f t="shared" si="17"/>
        <v/>
      </c>
      <c r="O25" s="325" t="str">
        <f t="shared" si="18"/>
        <v xml:space="preserve">baik dalam </v>
      </c>
      <c r="P25" s="325" t="str">
        <f t="shared" si="19"/>
        <v/>
      </c>
      <c r="Q25" s="275" t="str">
        <f t="shared" si="20"/>
        <v xml:space="preserve">Ananda Anak 21 baik dalam  ketaatan beribadah,  berperilaku syukur,  berdoa sebelum dan sesudah melakukan kegiatan,  toleransi dalam beribadah, </v>
      </c>
      <c r="S25" s="276" t="str">
        <f t="shared" si="21"/>
        <v>Ananda Anak 21</v>
      </c>
      <c r="T25" s="276" t="str">
        <f t="shared" si="22"/>
        <v/>
      </c>
      <c r="U25" s="276" t="str">
        <f t="shared" si="23"/>
        <v/>
      </c>
      <c r="V25" s="276" t="str">
        <f t="shared" si="24"/>
        <v/>
      </c>
      <c r="W25" s="276" t="str">
        <f t="shared" si="25"/>
        <v/>
      </c>
      <c r="X25" s="276" t="str">
        <f t="shared" si="26"/>
        <v/>
      </c>
      <c r="Y25" s="276"/>
      <c r="Z25" s="276" t="str">
        <f t="shared" si="27"/>
        <v xml:space="preserve">baik dalam </v>
      </c>
      <c r="AA25" s="276" t="str">
        <f t="shared" si="28"/>
        <v xml:space="preserve"> ketaatan beribadah, </v>
      </c>
      <c r="AB25" s="276" t="str">
        <f t="shared" si="29"/>
        <v xml:space="preserve"> berperilaku syukur, </v>
      </c>
      <c r="AC25" s="276" t="str">
        <f t="shared" si="30"/>
        <v xml:space="preserve"> berdoa sebelum dan sesudah melakukan kegiatan, </v>
      </c>
      <c r="AD25" s="276" t="str">
        <f t="shared" si="31"/>
        <v xml:space="preserve"> toleransi dalam beribadah, </v>
      </c>
      <c r="AE25" s="276"/>
      <c r="AF25" s="276" t="str">
        <f t="shared" si="32"/>
        <v/>
      </c>
      <c r="AG25" s="276" t="str">
        <f t="shared" si="33"/>
        <v/>
      </c>
      <c r="AH25" s="276" t="str">
        <f t="shared" si="34"/>
        <v/>
      </c>
      <c r="AI25" s="276" t="str">
        <f t="shared" si="35"/>
        <v/>
      </c>
      <c r="AJ25" s="276" t="str">
        <f t="shared" si="36"/>
        <v/>
      </c>
    </row>
    <row r="26" spans="1:36" ht="38.25" customHeight="1">
      <c r="A26" s="758"/>
      <c r="B26" s="134">
        <v>22</v>
      </c>
      <c r="C26" s="130">
        <f>SISWA!B27</f>
        <v>0</v>
      </c>
      <c r="D26" s="131" t="str">
        <f>SISWA!E27</f>
        <v>Anak 22</v>
      </c>
      <c r="E26" s="764">
        <f>'KI1'!BC31</f>
        <v>0</v>
      </c>
      <c r="F26" s="764">
        <f>'KI1'!BD31</f>
        <v>0</v>
      </c>
      <c r="G26" s="764">
        <f>'KI1'!BE31</f>
        <v>0</v>
      </c>
      <c r="H26" s="764">
        <f>'KI1'!BF31</f>
        <v>0</v>
      </c>
      <c r="I26" s="764">
        <f>'KI1'!BG31</f>
        <v>0</v>
      </c>
      <c r="J26" s="764">
        <f>'KI1'!BH31</f>
        <v>0</v>
      </c>
      <c r="K26" s="764">
        <f>'KI1'!BI31</f>
        <v>0</v>
      </c>
      <c r="L26" s="764">
        <f>'KI1'!BJ31</f>
        <v>0</v>
      </c>
      <c r="M26" s="826" t="str">
        <f t="shared" si="16"/>
        <v>Ananda Anak 22</v>
      </c>
      <c r="N26" s="325" t="str">
        <f t="shared" si="17"/>
        <v/>
      </c>
      <c r="O26" s="325" t="str">
        <f t="shared" si="18"/>
        <v xml:space="preserve">baik dalam </v>
      </c>
      <c r="P26" s="325" t="str">
        <f t="shared" si="19"/>
        <v/>
      </c>
      <c r="Q26" s="275" t="str">
        <f t="shared" si="20"/>
        <v xml:space="preserve">Ananda Anak 22 baik dalam  ketaatan beribadah,  berperilaku syukur,  berdoa sebelum dan sesudah melakukan kegiatan,  toleransi dalam beribadah, </v>
      </c>
      <c r="S26" s="276" t="str">
        <f t="shared" si="21"/>
        <v>Ananda Anak 22</v>
      </c>
      <c r="T26" s="276" t="str">
        <f t="shared" si="22"/>
        <v/>
      </c>
      <c r="U26" s="276" t="str">
        <f t="shared" si="23"/>
        <v/>
      </c>
      <c r="V26" s="276" t="str">
        <f t="shared" si="24"/>
        <v/>
      </c>
      <c r="W26" s="276" t="str">
        <f t="shared" si="25"/>
        <v/>
      </c>
      <c r="X26" s="276" t="str">
        <f t="shared" si="26"/>
        <v/>
      </c>
      <c r="Y26" s="276"/>
      <c r="Z26" s="276" t="str">
        <f t="shared" si="27"/>
        <v xml:space="preserve">baik dalam </v>
      </c>
      <c r="AA26" s="276" t="str">
        <f t="shared" si="28"/>
        <v xml:space="preserve"> ketaatan beribadah, </v>
      </c>
      <c r="AB26" s="276" t="str">
        <f t="shared" si="29"/>
        <v xml:space="preserve"> berperilaku syukur, </v>
      </c>
      <c r="AC26" s="276" t="str">
        <f t="shared" si="30"/>
        <v xml:space="preserve"> berdoa sebelum dan sesudah melakukan kegiatan, </v>
      </c>
      <c r="AD26" s="276" t="str">
        <f t="shared" si="31"/>
        <v xml:space="preserve"> toleransi dalam beribadah, </v>
      </c>
      <c r="AE26" s="276"/>
      <c r="AF26" s="276" t="str">
        <f t="shared" si="32"/>
        <v/>
      </c>
      <c r="AG26" s="276" t="str">
        <f t="shared" si="33"/>
        <v/>
      </c>
      <c r="AH26" s="276" t="str">
        <f t="shared" si="34"/>
        <v/>
      </c>
      <c r="AI26" s="276" t="str">
        <f t="shared" si="35"/>
        <v/>
      </c>
      <c r="AJ26" s="276" t="str">
        <f t="shared" si="36"/>
        <v/>
      </c>
    </row>
    <row r="27" spans="1:36" ht="38.25" customHeight="1">
      <c r="A27" s="758"/>
      <c r="B27" s="129">
        <v>23</v>
      </c>
      <c r="C27" s="130">
        <f>SISWA!B28</f>
        <v>0</v>
      </c>
      <c r="D27" s="131" t="str">
        <f>SISWA!E28</f>
        <v>Anak 23</v>
      </c>
      <c r="E27" s="764">
        <f>'KI1'!BC32</f>
        <v>0</v>
      </c>
      <c r="F27" s="764">
        <f>'KI1'!BD32</f>
        <v>0</v>
      </c>
      <c r="G27" s="764">
        <f>'KI1'!BE32</f>
        <v>0</v>
      </c>
      <c r="H27" s="764">
        <f>'KI1'!BF32</f>
        <v>0</v>
      </c>
      <c r="I27" s="764">
        <f>'KI1'!BG32</f>
        <v>0</v>
      </c>
      <c r="J27" s="764">
        <f>'KI1'!BH32</f>
        <v>0</v>
      </c>
      <c r="K27" s="764">
        <f>'KI1'!BI32</f>
        <v>0</v>
      </c>
      <c r="L27" s="764">
        <f>'KI1'!BJ32</f>
        <v>0</v>
      </c>
      <c r="M27" s="826" t="str">
        <f t="shared" si="16"/>
        <v>Ananda Anak 23</v>
      </c>
      <c r="N27" s="325" t="str">
        <f t="shared" si="17"/>
        <v/>
      </c>
      <c r="O27" s="325" t="str">
        <f t="shared" si="18"/>
        <v xml:space="preserve">baik dalam </v>
      </c>
      <c r="P27" s="325" t="str">
        <f t="shared" si="19"/>
        <v/>
      </c>
      <c r="Q27" s="275" t="str">
        <f t="shared" si="20"/>
        <v xml:space="preserve">Ananda Anak 23 baik dalam  ketaatan beribadah,  berperilaku syukur,  berdoa sebelum dan sesudah melakukan kegiatan,  toleransi dalam beribadah, </v>
      </c>
      <c r="S27" s="276" t="str">
        <f t="shared" si="21"/>
        <v>Ananda Anak 23</v>
      </c>
      <c r="T27" s="276" t="str">
        <f t="shared" si="22"/>
        <v/>
      </c>
      <c r="U27" s="276" t="str">
        <f t="shared" si="23"/>
        <v/>
      </c>
      <c r="V27" s="276" t="str">
        <f t="shared" si="24"/>
        <v/>
      </c>
      <c r="W27" s="276" t="str">
        <f t="shared" si="25"/>
        <v/>
      </c>
      <c r="X27" s="276" t="str">
        <f t="shared" si="26"/>
        <v/>
      </c>
      <c r="Y27" s="276"/>
      <c r="Z27" s="276" t="str">
        <f t="shared" si="27"/>
        <v xml:space="preserve">baik dalam </v>
      </c>
      <c r="AA27" s="276" t="str">
        <f t="shared" si="28"/>
        <v xml:space="preserve"> ketaatan beribadah, </v>
      </c>
      <c r="AB27" s="276" t="str">
        <f t="shared" si="29"/>
        <v xml:space="preserve"> berperilaku syukur, </v>
      </c>
      <c r="AC27" s="276" t="str">
        <f t="shared" si="30"/>
        <v xml:space="preserve"> berdoa sebelum dan sesudah melakukan kegiatan, </v>
      </c>
      <c r="AD27" s="276" t="str">
        <f t="shared" si="31"/>
        <v xml:space="preserve"> toleransi dalam beribadah, </v>
      </c>
      <c r="AE27" s="276"/>
      <c r="AF27" s="276" t="str">
        <f t="shared" si="32"/>
        <v/>
      </c>
      <c r="AG27" s="276" t="str">
        <f t="shared" si="33"/>
        <v/>
      </c>
      <c r="AH27" s="276" t="str">
        <f t="shared" si="34"/>
        <v/>
      </c>
      <c r="AI27" s="276" t="str">
        <f t="shared" si="35"/>
        <v/>
      </c>
      <c r="AJ27" s="276" t="str">
        <f t="shared" si="36"/>
        <v/>
      </c>
    </row>
    <row r="28" spans="1:36" ht="38.25" customHeight="1">
      <c r="A28" s="758"/>
      <c r="B28" s="134">
        <v>24</v>
      </c>
      <c r="C28" s="130">
        <f>SISWA!B29</f>
        <v>0</v>
      </c>
      <c r="D28" s="131" t="str">
        <f>SISWA!E29</f>
        <v>Anak 24</v>
      </c>
      <c r="E28" s="764">
        <f>'KI1'!BC33</f>
        <v>0</v>
      </c>
      <c r="F28" s="764">
        <f>'KI1'!BD33</f>
        <v>0</v>
      </c>
      <c r="G28" s="764">
        <f>'KI1'!BE33</f>
        <v>0</v>
      </c>
      <c r="H28" s="764">
        <f>'KI1'!BF33</f>
        <v>0</v>
      </c>
      <c r="I28" s="764">
        <f>'KI1'!BG33</f>
        <v>0</v>
      </c>
      <c r="J28" s="764">
        <f>'KI1'!BH33</f>
        <v>0</v>
      </c>
      <c r="K28" s="764">
        <f>'KI1'!BI33</f>
        <v>0</v>
      </c>
      <c r="L28" s="764">
        <f>'KI1'!BJ33</f>
        <v>0</v>
      </c>
      <c r="M28" s="826" t="str">
        <f t="shared" si="16"/>
        <v>Ananda Anak 24</v>
      </c>
      <c r="N28" s="325" t="str">
        <f t="shared" si="17"/>
        <v/>
      </c>
      <c r="O28" s="325" t="str">
        <f t="shared" si="18"/>
        <v xml:space="preserve">baik dalam </v>
      </c>
      <c r="P28" s="325" t="str">
        <f t="shared" si="19"/>
        <v/>
      </c>
      <c r="Q28" s="275" t="str">
        <f t="shared" si="20"/>
        <v xml:space="preserve">Ananda Anak 24 baik dalam  ketaatan beribadah,  berperilaku syukur,  berdoa sebelum dan sesudah melakukan kegiatan,  toleransi dalam beribadah, </v>
      </c>
      <c r="S28" s="276" t="str">
        <f t="shared" si="21"/>
        <v>Ananda Anak 24</v>
      </c>
      <c r="T28" s="276" t="str">
        <f t="shared" si="22"/>
        <v/>
      </c>
      <c r="U28" s="276" t="str">
        <f t="shared" si="23"/>
        <v/>
      </c>
      <c r="V28" s="276" t="str">
        <f t="shared" si="24"/>
        <v/>
      </c>
      <c r="W28" s="276" t="str">
        <f t="shared" si="25"/>
        <v/>
      </c>
      <c r="X28" s="276" t="str">
        <f t="shared" si="26"/>
        <v/>
      </c>
      <c r="Y28" s="276"/>
      <c r="Z28" s="276" t="str">
        <f t="shared" si="27"/>
        <v xml:space="preserve">baik dalam </v>
      </c>
      <c r="AA28" s="276" t="str">
        <f t="shared" si="28"/>
        <v xml:space="preserve"> ketaatan beribadah, </v>
      </c>
      <c r="AB28" s="276" t="str">
        <f t="shared" si="29"/>
        <v xml:space="preserve"> berperilaku syukur, </v>
      </c>
      <c r="AC28" s="276" t="str">
        <f t="shared" si="30"/>
        <v xml:space="preserve"> berdoa sebelum dan sesudah melakukan kegiatan, </v>
      </c>
      <c r="AD28" s="276" t="str">
        <f t="shared" si="31"/>
        <v xml:space="preserve"> toleransi dalam beribadah, </v>
      </c>
      <c r="AE28" s="276"/>
      <c r="AF28" s="276" t="str">
        <f t="shared" si="32"/>
        <v/>
      </c>
      <c r="AG28" s="276" t="str">
        <f t="shared" si="33"/>
        <v/>
      </c>
      <c r="AH28" s="276" t="str">
        <f t="shared" si="34"/>
        <v/>
      </c>
      <c r="AI28" s="276" t="str">
        <f t="shared" si="35"/>
        <v/>
      </c>
      <c r="AJ28" s="276" t="str">
        <f t="shared" si="36"/>
        <v/>
      </c>
    </row>
    <row r="29" spans="1:36" ht="38.25" customHeight="1">
      <c r="A29" s="758"/>
      <c r="B29" s="129">
        <v>25</v>
      </c>
      <c r="C29" s="130">
        <f>SISWA!B30</f>
        <v>0</v>
      </c>
      <c r="D29" s="131" t="str">
        <f>SISWA!E30</f>
        <v>Anak 25</v>
      </c>
      <c r="E29" s="764">
        <f>'KI1'!BC34</f>
        <v>0</v>
      </c>
      <c r="F29" s="764">
        <f>'KI1'!BD34</f>
        <v>0</v>
      </c>
      <c r="G29" s="764">
        <f>'KI1'!BE34</f>
        <v>0</v>
      </c>
      <c r="H29" s="764">
        <f>'KI1'!BF34</f>
        <v>0</v>
      </c>
      <c r="I29" s="764">
        <f>'KI1'!BG34</f>
        <v>0</v>
      </c>
      <c r="J29" s="764">
        <f>'KI1'!BH34</f>
        <v>0</v>
      </c>
      <c r="K29" s="764">
        <f>'KI1'!BI34</f>
        <v>0</v>
      </c>
      <c r="L29" s="764">
        <f>'KI1'!BJ34</f>
        <v>0</v>
      </c>
      <c r="M29" s="826" t="str">
        <f t="shared" si="16"/>
        <v>Ananda Anak 25</v>
      </c>
      <c r="N29" s="325" t="str">
        <f t="shared" si="17"/>
        <v/>
      </c>
      <c r="O29" s="325" t="str">
        <f t="shared" si="18"/>
        <v xml:space="preserve">baik dalam </v>
      </c>
      <c r="P29" s="325" t="str">
        <f t="shared" si="19"/>
        <v/>
      </c>
      <c r="Q29" s="275" t="str">
        <f t="shared" si="20"/>
        <v xml:space="preserve">Ananda Anak 25 baik dalam  ketaatan beribadah,  berperilaku syukur,  berdoa sebelum dan sesudah melakukan kegiatan,  toleransi dalam beribadah, </v>
      </c>
      <c r="S29" s="276" t="str">
        <f t="shared" si="21"/>
        <v>Ananda Anak 25</v>
      </c>
      <c r="T29" s="276" t="str">
        <f t="shared" si="22"/>
        <v/>
      </c>
      <c r="U29" s="276" t="str">
        <f t="shared" si="23"/>
        <v/>
      </c>
      <c r="V29" s="276" t="str">
        <f t="shared" si="24"/>
        <v/>
      </c>
      <c r="W29" s="276" t="str">
        <f t="shared" si="25"/>
        <v/>
      </c>
      <c r="X29" s="276" t="str">
        <f t="shared" si="26"/>
        <v/>
      </c>
      <c r="Y29" s="276"/>
      <c r="Z29" s="276" t="str">
        <f t="shared" si="27"/>
        <v xml:space="preserve">baik dalam </v>
      </c>
      <c r="AA29" s="276" t="str">
        <f t="shared" si="28"/>
        <v xml:space="preserve"> ketaatan beribadah, </v>
      </c>
      <c r="AB29" s="276" t="str">
        <f t="shared" si="29"/>
        <v xml:space="preserve"> berperilaku syukur, </v>
      </c>
      <c r="AC29" s="276" t="str">
        <f t="shared" si="30"/>
        <v xml:space="preserve"> berdoa sebelum dan sesudah melakukan kegiatan, </v>
      </c>
      <c r="AD29" s="276" t="str">
        <f t="shared" si="31"/>
        <v xml:space="preserve"> toleransi dalam beribadah, </v>
      </c>
      <c r="AE29" s="276"/>
      <c r="AF29" s="276" t="str">
        <f t="shared" si="32"/>
        <v/>
      </c>
      <c r="AG29" s="276" t="str">
        <f t="shared" si="33"/>
        <v/>
      </c>
      <c r="AH29" s="276" t="str">
        <f t="shared" si="34"/>
        <v/>
      </c>
      <c r="AI29" s="276" t="str">
        <f t="shared" si="35"/>
        <v/>
      </c>
      <c r="AJ29" s="276" t="str">
        <f t="shared" si="36"/>
        <v/>
      </c>
    </row>
    <row r="30" spans="1:36" ht="38.25" customHeight="1">
      <c r="A30" s="758"/>
      <c r="B30" s="134">
        <v>26</v>
      </c>
      <c r="C30" s="130">
        <f>SISWA!B31</f>
        <v>0</v>
      </c>
      <c r="D30" s="131" t="str">
        <f>SISWA!E31</f>
        <v>Anak 26</v>
      </c>
      <c r="E30" s="764">
        <f>'KI1'!BC35</f>
        <v>0</v>
      </c>
      <c r="F30" s="764">
        <f>'KI1'!BD35</f>
        <v>0</v>
      </c>
      <c r="G30" s="764">
        <f>'KI1'!BE35</f>
        <v>0</v>
      </c>
      <c r="H30" s="764">
        <f>'KI1'!BF35</f>
        <v>0</v>
      </c>
      <c r="I30" s="764">
        <f>'KI1'!BG35</f>
        <v>0</v>
      </c>
      <c r="J30" s="764">
        <f>'KI1'!BH35</f>
        <v>0</v>
      </c>
      <c r="K30" s="764">
        <f>'KI1'!BI35</f>
        <v>0</v>
      </c>
      <c r="L30" s="764">
        <f>'KI1'!BJ35</f>
        <v>0</v>
      </c>
      <c r="M30" s="826" t="str">
        <f t="shared" si="16"/>
        <v>Ananda Anak 26</v>
      </c>
      <c r="N30" s="325" t="str">
        <f t="shared" si="17"/>
        <v/>
      </c>
      <c r="O30" s="325" t="str">
        <f t="shared" si="18"/>
        <v xml:space="preserve">baik dalam </v>
      </c>
      <c r="P30" s="325" t="str">
        <f t="shared" si="19"/>
        <v/>
      </c>
      <c r="Q30" s="275" t="str">
        <f t="shared" si="20"/>
        <v xml:space="preserve">Ananda Anak 26 baik dalam  ketaatan beribadah,  berperilaku syukur,  berdoa sebelum dan sesudah melakukan kegiatan,  toleransi dalam beribadah, </v>
      </c>
      <c r="S30" s="276" t="str">
        <f t="shared" si="21"/>
        <v>Ananda Anak 26</v>
      </c>
      <c r="T30" s="276" t="str">
        <f t="shared" si="22"/>
        <v/>
      </c>
      <c r="U30" s="276" t="str">
        <f t="shared" si="23"/>
        <v/>
      </c>
      <c r="V30" s="276" t="str">
        <f t="shared" si="24"/>
        <v/>
      </c>
      <c r="W30" s="276" t="str">
        <f t="shared" si="25"/>
        <v/>
      </c>
      <c r="X30" s="276" t="str">
        <f t="shared" si="26"/>
        <v/>
      </c>
      <c r="Y30" s="276"/>
      <c r="Z30" s="276" t="str">
        <f t="shared" si="27"/>
        <v xml:space="preserve">baik dalam </v>
      </c>
      <c r="AA30" s="276" t="str">
        <f t="shared" si="28"/>
        <v xml:space="preserve"> ketaatan beribadah, </v>
      </c>
      <c r="AB30" s="276" t="str">
        <f t="shared" si="29"/>
        <v xml:space="preserve"> berperilaku syukur, </v>
      </c>
      <c r="AC30" s="276" t="str">
        <f t="shared" si="30"/>
        <v xml:space="preserve"> berdoa sebelum dan sesudah melakukan kegiatan, </v>
      </c>
      <c r="AD30" s="276" t="str">
        <f t="shared" si="31"/>
        <v xml:space="preserve"> toleransi dalam beribadah, </v>
      </c>
      <c r="AE30" s="276"/>
      <c r="AF30" s="276" t="str">
        <f t="shared" si="32"/>
        <v/>
      </c>
      <c r="AG30" s="276" t="str">
        <f t="shared" si="33"/>
        <v/>
      </c>
      <c r="AH30" s="276" t="str">
        <f t="shared" si="34"/>
        <v/>
      </c>
      <c r="AI30" s="276" t="str">
        <f t="shared" si="35"/>
        <v/>
      </c>
      <c r="AJ30" s="276" t="str">
        <f t="shared" si="36"/>
        <v/>
      </c>
    </row>
    <row r="31" spans="1:36" ht="38.25" customHeight="1">
      <c r="A31" s="758"/>
      <c r="B31" s="129">
        <v>27</v>
      </c>
      <c r="C31" s="130">
        <f>SISWA!B32</f>
        <v>0</v>
      </c>
      <c r="D31" s="131" t="str">
        <f>SISWA!E32</f>
        <v>Anak 27</v>
      </c>
      <c r="E31" s="764">
        <f>'KI1'!BC36</f>
        <v>0</v>
      </c>
      <c r="F31" s="764">
        <f>'KI1'!BD36</f>
        <v>0</v>
      </c>
      <c r="G31" s="764">
        <f>'KI1'!BE36</f>
        <v>0</v>
      </c>
      <c r="H31" s="764">
        <f>'KI1'!BF36</f>
        <v>0</v>
      </c>
      <c r="I31" s="764">
        <f>'KI1'!BG36</f>
        <v>0</v>
      </c>
      <c r="J31" s="764">
        <f>'KI1'!BH36</f>
        <v>0</v>
      </c>
      <c r="K31" s="764">
        <f>'KI1'!BI36</f>
        <v>0</v>
      </c>
      <c r="L31" s="764">
        <f>'KI1'!BJ36</f>
        <v>0</v>
      </c>
      <c r="M31" s="826" t="str">
        <f t="shared" si="16"/>
        <v>Ananda Anak 27</v>
      </c>
      <c r="N31" s="325" t="str">
        <f t="shared" si="17"/>
        <v/>
      </c>
      <c r="O31" s="325" t="str">
        <f t="shared" si="18"/>
        <v xml:space="preserve">baik dalam </v>
      </c>
      <c r="P31" s="325" t="str">
        <f t="shared" si="19"/>
        <v/>
      </c>
      <c r="Q31" s="275" t="str">
        <f t="shared" si="20"/>
        <v xml:space="preserve">Ananda Anak 27 baik dalam  ketaatan beribadah,  berperilaku syukur,  berdoa sebelum dan sesudah melakukan kegiatan,  toleransi dalam beribadah, </v>
      </c>
      <c r="S31" s="276" t="str">
        <f t="shared" si="21"/>
        <v>Ananda Anak 27</v>
      </c>
      <c r="T31" s="276" t="str">
        <f t="shared" si="22"/>
        <v/>
      </c>
      <c r="U31" s="276" t="str">
        <f t="shared" si="23"/>
        <v/>
      </c>
      <c r="V31" s="276" t="str">
        <f t="shared" si="24"/>
        <v/>
      </c>
      <c r="W31" s="276" t="str">
        <f t="shared" si="25"/>
        <v/>
      </c>
      <c r="X31" s="276" t="str">
        <f t="shared" si="26"/>
        <v/>
      </c>
      <c r="Y31" s="276"/>
      <c r="Z31" s="276" t="str">
        <f t="shared" si="27"/>
        <v xml:space="preserve">baik dalam </v>
      </c>
      <c r="AA31" s="276" t="str">
        <f t="shared" si="28"/>
        <v xml:space="preserve"> ketaatan beribadah, </v>
      </c>
      <c r="AB31" s="276" t="str">
        <f t="shared" si="29"/>
        <v xml:space="preserve"> berperilaku syukur, </v>
      </c>
      <c r="AC31" s="276" t="str">
        <f t="shared" si="30"/>
        <v xml:space="preserve"> berdoa sebelum dan sesudah melakukan kegiatan, </v>
      </c>
      <c r="AD31" s="276" t="str">
        <f t="shared" si="31"/>
        <v xml:space="preserve"> toleransi dalam beribadah, </v>
      </c>
      <c r="AE31" s="276"/>
      <c r="AF31" s="276" t="str">
        <f t="shared" si="32"/>
        <v/>
      </c>
      <c r="AG31" s="276" t="str">
        <f t="shared" si="33"/>
        <v/>
      </c>
      <c r="AH31" s="276" t="str">
        <f t="shared" si="34"/>
        <v/>
      </c>
      <c r="AI31" s="276" t="str">
        <f t="shared" si="35"/>
        <v/>
      </c>
      <c r="AJ31" s="276" t="str">
        <f t="shared" si="36"/>
        <v/>
      </c>
    </row>
    <row r="32" spans="1:36" ht="38.25" customHeight="1">
      <c r="A32" s="758"/>
      <c r="B32" s="134">
        <v>28</v>
      </c>
      <c r="C32" s="130">
        <f>SISWA!B33</f>
        <v>0</v>
      </c>
      <c r="D32" s="131" t="str">
        <f>SISWA!E33</f>
        <v>Anak 28</v>
      </c>
      <c r="E32" s="764">
        <f>'KI1'!BC37</f>
        <v>0</v>
      </c>
      <c r="F32" s="764">
        <f>'KI1'!BD37</f>
        <v>0</v>
      </c>
      <c r="G32" s="764">
        <f>'KI1'!BE37</f>
        <v>0</v>
      </c>
      <c r="H32" s="764">
        <f>'KI1'!BF37</f>
        <v>0</v>
      </c>
      <c r="I32" s="764">
        <f>'KI1'!BG37</f>
        <v>0</v>
      </c>
      <c r="J32" s="764">
        <f>'KI1'!BH37</f>
        <v>0</v>
      </c>
      <c r="K32" s="764">
        <f>'KI1'!BI37</f>
        <v>0</v>
      </c>
      <c r="L32" s="764">
        <f>'KI1'!BJ37</f>
        <v>0</v>
      </c>
      <c r="M32" s="826" t="str">
        <f t="shared" si="16"/>
        <v>Ananda Anak 28</v>
      </c>
      <c r="N32" s="325" t="str">
        <f t="shared" si="17"/>
        <v/>
      </c>
      <c r="O32" s="325" t="str">
        <f t="shared" si="18"/>
        <v xml:space="preserve">baik dalam </v>
      </c>
      <c r="P32" s="325" t="str">
        <f t="shared" si="19"/>
        <v/>
      </c>
      <c r="Q32" s="275" t="str">
        <f t="shared" si="20"/>
        <v xml:space="preserve">Ananda Anak 28 baik dalam  ketaatan beribadah,  berperilaku syukur,  berdoa sebelum dan sesudah melakukan kegiatan,  toleransi dalam beribadah, </v>
      </c>
      <c r="S32" s="276" t="str">
        <f t="shared" si="21"/>
        <v>Ananda Anak 28</v>
      </c>
      <c r="T32" s="276" t="str">
        <f t="shared" si="22"/>
        <v/>
      </c>
      <c r="U32" s="276" t="str">
        <f t="shared" si="23"/>
        <v/>
      </c>
      <c r="V32" s="276" t="str">
        <f t="shared" si="24"/>
        <v/>
      </c>
      <c r="W32" s="276" t="str">
        <f t="shared" si="25"/>
        <v/>
      </c>
      <c r="X32" s="276" t="str">
        <f t="shared" si="26"/>
        <v/>
      </c>
      <c r="Y32" s="276"/>
      <c r="Z32" s="276" t="str">
        <f t="shared" si="27"/>
        <v xml:space="preserve">baik dalam </v>
      </c>
      <c r="AA32" s="276" t="str">
        <f t="shared" si="28"/>
        <v xml:space="preserve"> ketaatan beribadah, </v>
      </c>
      <c r="AB32" s="276" t="str">
        <f t="shared" si="29"/>
        <v xml:space="preserve"> berperilaku syukur, </v>
      </c>
      <c r="AC32" s="276" t="str">
        <f t="shared" si="30"/>
        <v xml:space="preserve"> berdoa sebelum dan sesudah melakukan kegiatan, </v>
      </c>
      <c r="AD32" s="276" t="str">
        <f t="shared" si="31"/>
        <v xml:space="preserve"> toleransi dalam beribadah, </v>
      </c>
      <c r="AE32" s="276"/>
      <c r="AF32" s="276" t="str">
        <f t="shared" si="32"/>
        <v/>
      </c>
      <c r="AG32" s="276" t="str">
        <f t="shared" si="33"/>
        <v/>
      </c>
      <c r="AH32" s="276" t="str">
        <f t="shared" si="34"/>
        <v/>
      </c>
      <c r="AI32" s="276" t="str">
        <f t="shared" si="35"/>
        <v/>
      </c>
      <c r="AJ32" s="276" t="str">
        <f t="shared" si="36"/>
        <v/>
      </c>
    </row>
    <row r="33" spans="1:36" ht="38.25" customHeight="1">
      <c r="A33" s="758"/>
      <c r="B33" s="129">
        <v>29</v>
      </c>
      <c r="C33" s="130">
        <f>SISWA!B34</f>
        <v>0</v>
      </c>
      <c r="D33" s="131" t="str">
        <f>SISWA!E34</f>
        <v>Anak 29</v>
      </c>
      <c r="E33" s="764">
        <f>'KI1'!BC38</f>
        <v>0</v>
      </c>
      <c r="F33" s="764">
        <f>'KI1'!BD38</f>
        <v>0</v>
      </c>
      <c r="G33" s="764">
        <f>'KI1'!BE38</f>
        <v>0</v>
      </c>
      <c r="H33" s="764">
        <f>'KI1'!BF38</f>
        <v>0</v>
      </c>
      <c r="I33" s="764">
        <f>'KI1'!BG38</f>
        <v>0</v>
      </c>
      <c r="J33" s="764">
        <f>'KI1'!BH38</f>
        <v>0</v>
      </c>
      <c r="K33" s="764">
        <f>'KI1'!BI38</f>
        <v>0</v>
      </c>
      <c r="L33" s="764">
        <f>'KI1'!BJ38</f>
        <v>0</v>
      </c>
      <c r="M33" s="826" t="str">
        <f t="shared" si="16"/>
        <v>Ananda Anak 29</v>
      </c>
      <c r="N33" s="325" t="str">
        <f t="shared" si="17"/>
        <v/>
      </c>
      <c r="O33" s="325" t="str">
        <f t="shared" si="18"/>
        <v xml:space="preserve">baik dalam </v>
      </c>
      <c r="P33" s="325" t="str">
        <f t="shared" si="19"/>
        <v/>
      </c>
      <c r="Q33" s="275" t="str">
        <f t="shared" si="20"/>
        <v xml:space="preserve">Ananda Anak 29 baik dalam  ketaatan beribadah,  berperilaku syukur,  berdoa sebelum dan sesudah melakukan kegiatan,  toleransi dalam beribadah, </v>
      </c>
      <c r="S33" s="276" t="str">
        <f t="shared" si="21"/>
        <v>Ananda Anak 29</v>
      </c>
      <c r="T33" s="276" t="str">
        <f t="shared" si="22"/>
        <v/>
      </c>
      <c r="U33" s="276" t="str">
        <f t="shared" si="23"/>
        <v/>
      </c>
      <c r="V33" s="276" t="str">
        <f t="shared" si="24"/>
        <v/>
      </c>
      <c r="W33" s="276" t="str">
        <f t="shared" si="25"/>
        <v/>
      </c>
      <c r="X33" s="276" t="str">
        <f t="shared" si="26"/>
        <v/>
      </c>
      <c r="Y33" s="276"/>
      <c r="Z33" s="276" t="str">
        <f t="shared" si="27"/>
        <v xml:space="preserve">baik dalam </v>
      </c>
      <c r="AA33" s="276" t="str">
        <f t="shared" si="28"/>
        <v xml:space="preserve"> ketaatan beribadah, </v>
      </c>
      <c r="AB33" s="276" t="str">
        <f t="shared" si="29"/>
        <v xml:space="preserve"> berperilaku syukur, </v>
      </c>
      <c r="AC33" s="276" t="str">
        <f t="shared" si="30"/>
        <v xml:space="preserve"> berdoa sebelum dan sesudah melakukan kegiatan, </v>
      </c>
      <c r="AD33" s="276" t="str">
        <f t="shared" si="31"/>
        <v xml:space="preserve"> toleransi dalam beribadah, </v>
      </c>
      <c r="AE33" s="276"/>
      <c r="AF33" s="276" t="str">
        <f t="shared" si="32"/>
        <v/>
      </c>
      <c r="AG33" s="276" t="str">
        <f t="shared" si="33"/>
        <v/>
      </c>
      <c r="AH33" s="276" t="str">
        <f t="shared" si="34"/>
        <v/>
      </c>
      <c r="AI33" s="276" t="str">
        <f t="shared" si="35"/>
        <v/>
      </c>
      <c r="AJ33" s="276" t="str">
        <f t="shared" si="36"/>
        <v/>
      </c>
    </row>
    <row r="34" spans="1:36" ht="38.25" customHeight="1">
      <c r="A34" s="758"/>
      <c r="B34" s="134">
        <v>30</v>
      </c>
      <c r="C34" s="130">
        <f>SISWA!B35</f>
        <v>0</v>
      </c>
      <c r="D34" s="131" t="str">
        <f>SISWA!E35</f>
        <v>Anak 30</v>
      </c>
      <c r="E34" s="764">
        <f>'KI1'!BC39</f>
        <v>0</v>
      </c>
      <c r="F34" s="764">
        <f>'KI1'!BD39</f>
        <v>0</v>
      </c>
      <c r="G34" s="764">
        <f>'KI1'!BE39</f>
        <v>0</v>
      </c>
      <c r="H34" s="764">
        <f>'KI1'!BF39</f>
        <v>0</v>
      </c>
      <c r="I34" s="764">
        <f>'KI1'!BG39</f>
        <v>0</v>
      </c>
      <c r="J34" s="764">
        <f>'KI1'!BH39</f>
        <v>0</v>
      </c>
      <c r="K34" s="764">
        <f>'KI1'!BI39</f>
        <v>0</v>
      </c>
      <c r="L34" s="764">
        <f>'KI1'!BJ39</f>
        <v>0</v>
      </c>
      <c r="M34" s="826" t="str">
        <f t="shared" si="16"/>
        <v>Ananda Anak 30</v>
      </c>
      <c r="N34" s="325" t="str">
        <f t="shared" si="17"/>
        <v/>
      </c>
      <c r="O34" s="325" t="str">
        <f t="shared" si="18"/>
        <v xml:space="preserve">baik dalam </v>
      </c>
      <c r="P34" s="325" t="str">
        <f t="shared" si="19"/>
        <v/>
      </c>
      <c r="Q34" s="275" t="str">
        <f t="shared" si="20"/>
        <v xml:space="preserve">Ananda Anak 30 baik dalam  ketaatan beribadah,  berperilaku syukur,  berdoa sebelum dan sesudah melakukan kegiatan,  toleransi dalam beribadah, </v>
      </c>
      <c r="S34" s="276" t="str">
        <f t="shared" si="21"/>
        <v>Ananda Anak 30</v>
      </c>
      <c r="T34" s="276" t="str">
        <f t="shared" si="22"/>
        <v/>
      </c>
      <c r="U34" s="276" t="str">
        <f t="shared" si="23"/>
        <v/>
      </c>
      <c r="V34" s="276" t="str">
        <f t="shared" si="24"/>
        <v/>
      </c>
      <c r="W34" s="276" t="str">
        <f t="shared" si="25"/>
        <v/>
      </c>
      <c r="X34" s="276" t="str">
        <f t="shared" si="26"/>
        <v/>
      </c>
      <c r="Y34" s="276"/>
      <c r="Z34" s="276" t="str">
        <f t="shared" si="27"/>
        <v xml:space="preserve">baik dalam </v>
      </c>
      <c r="AA34" s="276" t="str">
        <f t="shared" si="28"/>
        <v xml:space="preserve"> ketaatan beribadah, </v>
      </c>
      <c r="AB34" s="276" t="str">
        <f t="shared" si="29"/>
        <v xml:space="preserve"> berperilaku syukur, </v>
      </c>
      <c r="AC34" s="276" t="str">
        <f t="shared" si="30"/>
        <v xml:space="preserve"> berdoa sebelum dan sesudah melakukan kegiatan, </v>
      </c>
      <c r="AD34" s="276" t="str">
        <f t="shared" si="31"/>
        <v xml:space="preserve"> toleransi dalam beribadah, </v>
      </c>
      <c r="AE34" s="276"/>
      <c r="AF34" s="276" t="str">
        <f t="shared" si="32"/>
        <v/>
      </c>
      <c r="AG34" s="276" t="str">
        <f t="shared" si="33"/>
        <v/>
      </c>
      <c r="AH34" s="276" t="str">
        <f t="shared" si="34"/>
        <v/>
      </c>
      <c r="AI34" s="276" t="str">
        <f t="shared" si="35"/>
        <v/>
      </c>
      <c r="AJ34" s="276" t="str">
        <f t="shared" si="36"/>
        <v/>
      </c>
    </row>
    <row r="35" spans="1:36" ht="38.25" customHeight="1">
      <c r="A35" s="758"/>
      <c r="B35" s="129">
        <v>31</v>
      </c>
      <c r="C35" s="130">
        <f>SISWA!B36</f>
        <v>0</v>
      </c>
      <c r="D35" s="131" t="str">
        <f>SISWA!E36</f>
        <v>Anak 31</v>
      </c>
      <c r="E35" s="764">
        <f>'KI1'!BC40</f>
        <v>0</v>
      </c>
      <c r="F35" s="764">
        <f>'KI1'!BD40</f>
        <v>0</v>
      </c>
      <c r="G35" s="764">
        <f>'KI1'!BE40</f>
        <v>0</v>
      </c>
      <c r="H35" s="764">
        <f>'KI1'!BF40</f>
        <v>0</v>
      </c>
      <c r="I35" s="764">
        <f>'KI1'!BG40</f>
        <v>0</v>
      </c>
      <c r="J35" s="764">
        <f>'KI1'!BH40</f>
        <v>0</v>
      </c>
      <c r="K35" s="764">
        <f>'KI1'!BI40</f>
        <v>0</v>
      </c>
      <c r="L35" s="764">
        <f>'KI1'!BJ40</f>
        <v>0</v>
      </c>
      <c r="M35" s="826" t="str">
        <f t="shared" si="16"/>
        <v>Ananda Anak 31</v>
      </c>
      <c r="N35" s="325" t="str">
        <f t="shared" si="17"/>
        <v/>
      </c>
      <c r="O35" s="325" t="str">
        <f t="shared" si="18"/>
        <v xml:space="preserve">baik dalam </v>
      </c>
      <c r="P35" s="325" t="str">
        <f t="shared" si="19"/>
        <v/>
      </c>
      <c r="Q35" s="275" t="str">
        <f t="shared" si="20"/>
        <v xml:space="preserve">Ananda Anak 31 baik dalam  ketaatan beribadah,  berperilaku syukur,  berdoa sebelum dan sesudah melakukan kegiatan,  toleransi dalam beribadah, </v>
      </c>
      <c r="S35" s="276" t="str">
        <f t="shared" si="21"/>
        <v>Ananda Anak 31</v>
      </c>
      <c r="T35" s="276" t="str">
        <f t="shared" si="22"/>
        <v/>
      </c>
      <c r="U35" s="276" t="str">
        <f t="shared" si="23"/>
        <v/>
      </c>
      <c r="V35" s="276" t="str">
        <f t="shared" si="24"/>
        <v/>
      </c>
      <c r="W35" s="276" t="str">
        <f t="shared" si="25"/>
        <v/>
      </c>
      <c r="X35" s="276" t="str">
        <f t="shared" si="26"/>
        <v/>
      </c>
      <c r="Y35" s="276"/>
      <c r="Z35" s="276" t="str">
        <f t="shared" si="27"/>
        <v xml:space="preserve">baik dalam </v>
      </c>
      <c r="AA35" s="276" t="str">
        <f t="shared" si="28"/>
        <v xml:space="preserve"> ketaatan beribadah, </v>
      </c>
      <c r="AB35" s="276" t="str">
        <f t="shared" si="29"/>
        <v xml:space="preserve"> berperilaku syukur, </v>
      </c>
      <c r="AC35" s="276" t="str">
        <f t="shared" si="30"/>
        <v xml:space="preserve"> berdoa sebelum dan sesudah melakukan kegiatan, </v>
      </c>
      <c r="AD35" s="276" t="str">
        <f t="shared" si="31"/>
        <v xml:space="preserve"> toleransi dalam beribadah, </v>
      </c>
      <c r="AE35" s="276"/>
      <c r="AF35" s="276" t="str">
        <f t="shared" si="32"/>
        <v/>
      </c>
      <c r="AG35" s="276" t="str">
        <f t="shared" si="33"/>
        <v/>
      </c>
      <c r="AH35" s="276" t="str">
        <f t="shared" si="34"/>
        <v/>
      </c>
      <c r="AI35" s="276" t="str">
        <f t="shared" si="35"/>
        <v/>
      </c>
      <c r="AJ35" s="276" t="str">
        <f t="shared" si="36"/>
        <v/>
      </c>
    </row>
    <row r="36" spans="1:36" ht="38.25" customHeight="1">
      <c r="A36" s="758"/>
      <c r="B36" s="134">
        <v>32</v>
      </c>
      <c r="C36" s="130">
        <f>SISWA!B37</f>
        <v>0</v>
      </c>
      <c r="D36" s="131" t="str">
        <f>SISWA!E37</f>
        <v>Anak 32</v>
      </c>
      <c r="E36" s="764">
        <f>'KI1'!BC41</f>
        <v>0</v>
      </c>
      <c r="F36" s="764">
        <f>'KI1'!BD41</f>
        <v>0</v>
      </c>
      <c r="G36" s="764">
        <f>'KI1'!BE41</f>
        <v>0</v>
      </c>
      <c r="H36" s="764">
        <f>'KI1'!BF41</f>
        <v>0</v>
      </c>
      <c r="I36" s="764">
        <f>'KI1'!BG41</f>
        <v>0</v>
      </c>
      <c r="J36" s="764">
        <f>'KI1'!BH41</f>
        <v>0</v>
      </c>
      <c r="K36" s="764">
        <f>'KI1'!BI41</f>
        <v>0</v>
      </c>
      <c r="L36" s="764">
        <f>'KI1'!BJ41</f>
        <v>0</v>
      </c>
      <c r="M36" s="826" t="str">
        <f t="shared" si="16"/>
        <v>Ananda Anak 32</v>
      </c>
      <c r="N36" s="325" t="str">
        <f t="shared" si="17"/>
        <v/>
      </c>
      <c r="O36" s="325" t="str">
        <f t="shared" si="18"/>
        <v xml:space="preserve">baik dalam </v>
      </c>
      <c r="P36" s="325" t="str">
        <f t="shared" si="19"/>
        <v/>
      </c>
      <c r="Q36" s="275" t="str">
        <f t="shared" si="20"/>
        <v xml:space="preserve">Ananda Anak 32 baik dalam  ketaatan beribadah,  berperilaku syukur,  berdoa sebelum dan sesudah melakukan kegiatan,  toleransi dalam beribadah, </v>
      </c>
      <c r="S36" s="276" t="str">
        <f t="shared" si="21"/>
        <v>Ananda Anak 32</v>
      </c>
      <c r="T36" s="276" t="str">
        <f t="shared" si="22"/>
        <v/>
      </c>
      <c r="U36" s="276" t="str">
        <f t="shared" si="23"/>
        <v/>
      </c>
      <c r="V36" s="276" t="str">
        <f t="shared" si="24"/>
        <v/>
      </c>
      <c r="W36" s="276" t="str">
        <f t="shared" si="25"/>
        <v/>
      </c>
      <c r="X36" s="276" t="str">
        <f t="shared" si="26"/>
        <v/>
      </c>
      <c r="Y36" s="276"/>
      <c r="Z36" s="276" t="str">
        <f t="shared" si="27"/>
        <v xml:space="preserve">baik dalam </v>
      </c>
      <c r="AA36" s="276" t="str">
        <f t="shared" si="28"/>
        <v xml:space="preserve"> ketaatan beribadah, </v>
      </c>
      <c r="AB36" s="276" t="str">
        <f t="shared" si="29"/>
        <v xml:space="preserve"> berperilaku syukur, </v>
      </c>
      <c r="AC36" s="276" t="str">
        <f t="shared" si="30"/>
        <v xml:space="preserve"> berdoa sebelum dan sesudah melakukan kegiatan, </v>
      </c>
      <c r="AD36" s="276" t="str">
        <f t="shared" si="31"/>
        <v xml:space="preserve"> toleransi dalam beribadah, </v>
      </c>
      <c r="AE36" s="276"/>
      <c r="AF36" s="276" t="str">
        <f t="shared" si="32"/>
        <v/>
      </c>
      <c r="AG36" s="276" t="str">
        <f t="shared" si="33"/>
        <v/>
      </c>
      <c r="AH36" s="276" t="str">
        <f t="shared" si="34"/>
        <v/>
      </c>
      <c r="AI36" s="276" t="str">
        <f t="shared" si="35"/>
        <v/>
      </c>
      <c r="AJ36" s="276" t="str">
        <f t="shared" si="36"/>
        <v/>
      </c>
    </row>
    <row r="37" spans="1:36" ht="38.25" customHeight="1">
      <c r="A37" s="758"/>
      <c r="B37" s="129">
        <v>33</v>
      </c>
      <c r="C37" s="130">
        <f>SISWA!B38</f>
        <v>0</v>
      </c>
      <c r="D37" s="131" t="str">
        <f>SISWA!E38</f>
        <v>Anak 33</v>
      </c>
      <c r="E37" s="764">
        <f>'KI1'!BC42</f>
        <v>0</v>
      </c>
      <c r="F37" s="764">
        <f>'KI1'!BD42</f>
        <v>0</v>
      </c>
      <c r="G37" s="764">
        <f>'KI1'!BE42</f>
        <v>0</v>
      </c>
      <c r="H37" s="764">
        <f>'KI1'!BF42</f>
        <v>0</v>
      </c>
      <c r="I37" s="764">
        <f>'KI1'!BG42</f>
        <v>0</v>
      </c>
      <c r="J37" s="764">
        <f>'KI1'!BH42</f>
        <v>0</v>
      </c>
      <c r="K37" s="764">
        <f>'KI1'!BI42</f>
        <v>0</v>
      </c>
      <c r="L37" s="764">
        <f>'KI1'!BJ42</f>
        <v>0</v>
      </c>
      <c r="M37" s="826" t="str">
        <f t="shared" si="16"/>
        <v>Ananda Anak 33</v>
      </c>
      <c r="N37" s="325" t="str">
        <f t="shared" si="17"/>
        <v/>
      </c>
      <c r="O37" s="325" t="str">
        <f t="shared" si="18"/>
        <v xml:space="preserve">baik dalam </v>
      </c>
      <c r="P37" s="325" t="str">
        <f t="shared" si="19"/>
        <v/>
      </c>
      <c r="Q37" s="275" t="str">
        <f t="shared" si="20"/>
        <v xml:space="preserve">Ananda Anak 33 baik dalam  ketaatan beribadah,  berperilaku syukur,  berdoa sebelum dan sesudah melakukan kegiatan,  toleransi dalam beribadah, </v>
      </c>
      <c r="S37" s="276" t="str">
        <f t="shared" si="21"/>
        <v>Ananda Anak 33</v>
      </c>
      <c r="T37" s="276" t="str">
        <f t="shared" si="22"/>
        <v/>
      </c>
      <c r="U37" s="276" t="str">
        <f t="shared" ref="U37:U54" si="37">IF($E37&gt;F37,($AM$5&amp;", "),"")</f>
        <v/>
      </c>
      <c r="V37" s="276" t="str">
        <f t="shared" ref="V37:V54" si="38">IF($G37&gt;H37,($AM$6&amp;", "),"")</f>
        <v/>
      </c>
      <c r="W37" s="276" t="str">
        <f t="shared" ref="W37:W54" si="39">IF($I37&gt;J37,($AM$7&amp;", "),"")</f>
        <v/>
      </c>
      <c r="X37" s="276" t="str">
        <f t="shared" ref="X37:X54" si="40">IF($K37&gt;L37,($AM$8&amp;", "),"")</f>
        <v/>
      </c>
      <c r="Y37" s="276"/>
      <c r="Z37" s="276" t="str">
        <f t="shared" si="27"/>
        <v xml:space="preserve">baik dalam </v>
      </c>
      <c r="AA37" s="276" t="str">
        <f t="shared" ref="AA37:AA54" si="41">IF(AND($T37&lt;&gt;"",$AF37&lt;&gt;""),"",IF(AND(U37="",AG37=""),$AM$5&amp;", ",""))</f>
        <v xml:space="preserve"> ketaatan beribadah, </v>
      </c>
      <c r="AB37" s="276" t="str">
        <f t="shared" ref="AB37:AB54" si="42">IF(AND($T37&lt;&gt;"",$AF37&lt;&gt;""),"",IF(AND(V37="",AH37=""),$AM$6&amp;", ",""))</f>
        <v xml:space="preserve"> berperilaku syukur, </v>
      </c>
      <c r="AC37" s="276" t="str">
        <f t="shared" ref="AC37:AC54" si="43">IF(AND($T37&lt;&gt;"",$AF37&lt;&gt;""),"",IF(AND(W37="",AI37=""),$AM$7&amp;", ",""))</f>
        <v xml:space="preserve"> berdoa sebelum dan sesudah melakukan kegiatan, </v>
      </c>
      <c r="AD37" s="276" t="str">
        <f t="shared" ref="AD37:AD54" si="44">IF(AND($T37&lt;&gt;"",$AF37&lt;&gt;""),"",IF(AND(X37="",AJ37=""),$AM$8&amp;", ",""))</f>
        <v xml:space="preserve"> toleransi dalam beribadah, </v>
      </c>
      <c r="AE37" s="276"/>
      <c r="AF37" s="276" t="str">
        <f t="shared" si="32"/>
        <v/>
      </c>
      <c r="AG37" s="276" t="str">
        <f t="shared" ref="AG37:AG54" si="45">IF($F37&gt;E37,($AM$5&amp;", "),"")</f>
        <v/>
      </c>
      <c r="AH37" s="276" t="str">
        <f t="shared" ref="AH37:AH54" si="46">IF($H37&gt;G37,($AM$6&amp;", "),"")</f>
        <v/>
      </c>
      <c r="AI37" s="276" t="str">
        <f t="shared" ref="AI37:AI54" si="47">IF($J37&gt;I37,($AM$7&amp;", "),"")</f>
        <v/>
      </c>
      <c r="AJ37" s="276" t="str">
        <f t="shared" ref="AJ37:AJ54" si="48">IF($L37&gt;K37,($AM$8&amp;", "),"")</f>
        <v/>
      </c>
    </row>
    <row r="38" spans="1:36" ht="38.25" customHeight="1">
      <c r="A38" s="758"/>
      <c r="B38" s="134">
        <v>34</v>
      </c>
      <c r="C38" s="130">
        <f>SISWA!B39</f>
        <v>0</v>
      </c>
      <c r="D38" s="131" t="str">
        <f>SISWA!E39</f>
        <v>Anak 34</v>
      </c>
      <c r="E38" s="764">
        <f>'KI1'!BC43</f>
        <v>0</v>
      </c>
      <c r="F38" s="764">
        <f>'KI1'!BD43</f>
        <v>0</v>
      </c>
      <c r="G38" s="764">
        <f>'KI1'!BE43</f>
        <v>0</v>
      </c>
      <c r="H38" s="764">
        <f>'KI1'!BF43</f>
        <v>0</v>
      </c>
      <c r="I38" s="764">
        <f>'KI1'!BG43</f>
        <v>0</v>
      </c>
      <c r="J38" s="764">
        <f>'KI1'!BH43</f>
        <v>0</v>
      </c>
      <c r="K38" s="764">
        <f>'KI1'!BI43</f>
        <v>0</v>
      </c>
      <c r="L38" s="764">
        <f>'KI1'!BJ43</f>
        <v>0</v>
      </c>
      <c r="M38" s="826" t="str">
        <f t="shared" si="16"/>
        <v>Ananda Anak 34</v>
      </c>
      <c r="N38" s="325" t="str">
        <f t="shared" si="17"/>
        <v/>
      </c>
      <c r="O38" s="325" t="str">
        <f t="shared" si="18"/>
        <v xml:space="preserve">baik dalam </v>
      </c>
      <c r="P38" s="325" t="str">
        <f t="shared" si="19"/>
        <v/>
      </c>
      <c r="Q38" s="275" t="str">
        <f t="shared" si="20"/>
        <v xml:space="preserve">Ananda Anak 34 baik dalam  ketaatan beribadah,  berperilaku syukur,  berdoa sebelum dan sesudah melakukan kegiatan,  toleransi dalam beribadah, </v>
      </c>
      <c r="S38" s="276" t="str">
        <f t="shared" si="21"/>
        <v>Ananda Anak 34</v>
      </c>
      <c r="T38" s="276" t="str">
        <f t="shared" si="22"/>
        <v/>
      </c>
      <c r="U38" s="276" t="str">
        <f t="shared" si="37"/>
        <v/>
      </c>
      <c r="V38" s="276" t="str">
        <f t="shared" si="38"/>
        <v/>
      </c>
      <c r="W38" s="276" t="str">
        <f t="shared" si="39"/>
        <v/>
      </c>
      <c r="X38" s="276" t="str">
        <f t="shared" si="40"/>
        <v/>
      </c>
      <c r="Y38" s="276"/>
      <c r="Z38" s="276" t="str">
        <f t="shared" si="27"/>
        <v xml:space="preserve">baik dalam </v>
      </c>
      <c r="AA38" s="276" t="str">
        <f t="shared" si="41"/>
        <v xml:space="preserve"> ketaatan beribadah, </v>
      </c>
      <c r="AB38" s="276" t="str">
        <f t="shared" si="42"/>
        <v xml:space="preserve"> berperilaku syukur, </v>
      </c>
      <c r="AC38" s="276" t="str">
        <f t="shared" si="43"/>
        <v xml:space="preserve"> berdoa sebelum dan sesudah melakukan kegiatan, </v>
      </c>
      <c r="AD38" s="276" t="str">
        <f t="shared" si="44"/>
        <v xml:space="preserve"> toleransi dalam beribadah, </v>
      </c>
      <c r="AE38" s="276"/>
      <c r="AF38" s="276" t="str">
        <f t="shared" si="32"/>
        <v/>
      </c>
      <c r="AG38" s="276" t="str">
        <f t="shared" si="45"/>
        <v/>
      </c>
      <c r="AH38" s="276" t="str">
        <f t="shared" si="46"/>
        <v/>
      </c>
      <c r="AI38" s="276" t="str">
        <f t="shared" si="47"/>
        <v/>
      </c>
      <c r="AJ38" s="276" t="str">
        <f t="shared" si="48"/>
        <v/>
      </c>
    </row>
    <row r="39" spans="1:36" ht="38.25" customHeight="1">
      <c r="A39" s="758"/>
      <c r="B39" s="129">
        <v>35</v>
      </c>
      <c r="C39" s="130">
        <f>SISWA!B40</f>
        <v>0</v>
      </c>
      <c r="D39" s="131" t="str">
        <f>SISWA!E40</f>
        <v>Anak 35</v>
      </c>
      <c r="E39" s="764">
        <f>'KI1'!BC44</f>
        <v>0</v>
      </c>
      <c r="F39" s="764">
        <f>'KI1'!BD44</f>
        <v>0</v>
      </c>
      <c r="G39" s="764">
        <f>'KI1'!BE44</f>
        <v>0</v>
      </c>
      <c r="H39" s="764">
        <f>'KI1'!BF44</f>
        <v>0</v>
      </c>
      <c r="I39" s="764">
        <f>'KI1'!BG44</f>
        <v>0</v>
      </c>
      <c r="J39" s="764">
        <f>'KI1'!BH44</f>
        <v>0</v>
      </c>
      <c r="K39" s="764">
        <f>'KI1'!BI44</f>
        <v>0</v>
      </c>
      <c r="L39" s="764">
        <f>'KI1'!BJ44</f>
        <v>0</v>
      </c>
      <c r="M39" s="826" t="str">
        <f t="shared" si="16"/>
        <v>Ananda Anak 35</v>
      </c>
      <c r="N39" s="325" t="str">
        <f t="shared" si="17"/>
        <v/>
      </c>
      <c r="O39" s="325" t="str">
        <f t="shared" si="18"/>
        <v xml:space="preserve">baik dalam </v>
      </c>
      <c r="P39" s="325" t="str">
        <f t="shared" si="19"/>
        <v/>
      </c>
      <c r="Q39" s="275" t="str">
        <f t="shared" si="20"/>
        <v xml:space="preserve">Ananda Anak 35 baik dalam  ketaatan beribadah,  berperilaku syukur,  berdoa sebelum dan sesudah melakukan kegiatan,  toleransi dalam beribadah, </v>
      </c>
      <c r="S39" s="276" t="str">
        <f t="shared" si="21"/>
        <v>Ananda Anak 35</v>
      </c>
      <c r="T39" s="276" t="str">
        <f t="shared" si="22"/>
        <v/>
      </c>
      <c r="U39" s="276" t="str">
        <f t="shared" si="37"/>
        <v/>
      </c>
      <c r="V39" s="276" t="str">
        <f t="shared" si="38"/>
        <v/>
      </c>
      <c r="W39" s="276" t="str">
        <f t="shared" si="39"/>
        <v/>
      </c>
      <c r="X39" s="276" t="str">
        <f t="shared" si="40"/>
        <v/>
      </c>
      <c r="Y39" s="276"/>
      <c r="Z39" s="276" t="str">
        <f t="shared" si="27"/>
        <v xml:space="preserve">baik dalam </v>
      </c>
      <c r="AA39" s="276" t="str">
        <f t="shared" si="41"/>
        <v xml:space="preserve"> ketaatan beribadah, </v>
      </c>
      <c r="AB39" s="276" t="str">
        <f t="shared" si="42"/>
        <v xml:space="preserve"> berperilaku syukur, </v>
      </c>
      <c r="AC39" s="276" t="str">
        <f t="shared" si="43"/>
        <v xml:space="preserve"> berdoa sebelum dan sesudah melakukan kegiatan, </v>
      </c>
      <c r="AD39" s="276" t="str">
        <f t="shared" si="44"/>
        <v xml:space="preserve"> toleransi dalam beribadah, </v>
      </c>
      <c r="AE39" s="276"/>
      <c r="AF39" s="276" t="str">
        <f t="shared" si="32"/>
        <v/>
      </c>
      <c r="AG39" s="276" t="str">
        <f t="shared" si="45"/>
        <v/>
      </c>
      <c r="AH39" s="276" t="str">
        <f t="shared" si="46"/>
        <v/>
      </c>
      <c r="AI39" s="276" t="str">
        <f t="shared" si="47"/>
        <v/>
      </c>
      <c r="AJ39" s="276" t="str">
        <f t="shared" si="48"/>
        <v/>
      </c>
    </row>
    <row r="40" spans="1:36" ht="38.25" customHeight="1">
      <c r="A40" s="758"/>
      <c r="B40" s="134">
        <v>36</v>
      </c>
      <c r="C40" s="130">
        <f>SISWA!B41</f>
        <v>0</v>
      </c>
      <c r="D40" s="131" t="str">
        <f>SISWA!E41</f>
        <v>Anak 36</v>
      </c>
      <c r="E40" s="764">
        <f>'KI1'!BC45</f>
        <v>0</v>
      </c>
      <c r="F40" s="764">
        <f>'KI1'!BD45</f>
        <v>0</v>
      </c>
      <c r="G40" s="764">
        <f>'KI1'!BE45</f>
        <v>0</v>
      </c>
      <c r="H40" s="764">
        <f>'KI1'!BF45</f>
        <v>0</v>
      </c>
      <c r="I40" s="764">
        <f>'KI1'!BG45</f>
        <v>0</v>
      </c>
      <c r="J40" s="764">
        <f>'KI1'!BH45</f>
        <v>0</v>
      </c>
      <c r="K40" s="764">
        <f>'KI1'!BI45</f>
        <v>0</v>
      </c>
      <c r="L40" s="764">
        <f>'KI1'!BJ45</f>
        <v>0</v>
      </c>
      <c r="M40" s="826" t="str">
        <f t="shared" si="16"/>
        <v>Ananda Anak 36</v>
      </c>
      <c r="N40" s="325" t="str">
        <f t="shared" si="17"/>
        <v/>
      </c>
      <c r="O40" s="325" t="str">
        <f t="shared" si="18"/>
        <v xml:space="preserve">baik dalam </v>
      </c>
      <c r="P40" s="325" t="str">
        <f t="shared" si="19"/>
        <v/>
      </c>
      <c r="Q40" s="275" t="str">
        <f t="shared" si="20"/>
        <v xml:space="preserve">Ananda Anak 36 baik dalam  ketaatan beribadah,  berperilaku syukur,  berdoa sebelum dan sesudah melakukan kegiatan,  toleransi dalam beribadah, </v>
      </c>
      <c r="S40" s="276" t="str">
        <f t="shared" si="21"/>
        <v>Ananda Anak 36</v>
      </c>
      <c r="T40" s="276" t="str">
        <f t="shared" si="22"/>
        <v/>
      </c>
      <c r="U40" s="276" t="str">
        <f t="shared" si="37"/>
        <v/>
      </c>
      <c r="V40" s="276" t="str">
        <f t="shared" si="38"/>
        <v/>
      </c>
      <c r="W40" s="276" t="str">
        <f t="shared" si="39"/>
        <v/>
      </c>
      <c r="X40" s="276" t="str">
        <f t="shared" si="40"/>
        <v/>
      </c>
      <c r="Y40" s="276"/>
      <c r="Z40" s="276" t="str">
        <f t="shared" si="27"/>
        <v xml:space="preserve">baik dalam </v>
      </c>
      <c r="AA40" s="276" t="str">
        <f t="shared" si="41"/>
        <v xml:space="preserve"> ketaatan beribadah, </v>
      </c>
      <c r="AB40" s="276" t="str">
        <f t="shared" si="42"/>
        <v xml:space="preserve"> berperilaku syukur, </v>
      </c>
      <c r="AC40" s="276" t="str">
        <f t="shared" si="43"/>
        <v xml:space="preserve"> berdoa sebelum dan sesudah melakukan kegiatan, </v>
      </c>
      <c r="AD40" s="276" t="str">
        <f t="shared" si="44"/>
        <v xml:space="preserve"> toleransi dalam beribadah, </v>
      </c>
      <c r="AE40" s="276"/>
      <c r="AF40" s="276" t="str">
        <f t="shared" si="32"/>
        <v/>
      </c>
      <c r="AG40" s="276" t="str">
        <f t="shared" si="45"/>
        <v/>
      </c>
      <c r="AH40" s="276" t="str">
        <f t="shared" si="46"/>
        <v/>
      </c>
      <c r="AI40" s="276" t="str">
        <f t="shared" si="47"/>
        <v/>
      </c>
      <c r="AJ40" s="276" t="str">
        <f t="shared" si="48"/>
        <v/>
      </c>
    </row>
    <row r="41" spans="1:36" ht="38.25" customHeight="1">
      <c r="A41" s="758"/>
      <c r="B41" s="129">
        <v>37</v>
      </c>
      <c r="C41" s="130">
        <f>SISWA!B42</f>
        <v>0</v>
      </c>
      <c r="D41" s="131" t="str">
        <f>SISWA!E42</f>
        <v>Anak 37</v>
      </c>
      <c r="E41" s="764">
        <f>'KI1'!BC46</f>
        <v>0</v>
      </c>
      <c r="F41" s="764">
        <f>'KI1'!BD46</f>
        <v>0</v>
      </c>
      <c r="G41" s="764">
        <f>'KI1'!BE46</f>
        <v>0</v>
      </c>
      <c r="H41" s="764">
        <f>'KI1'!BF46</f>
        <v>0</v>
      </c>
      <c r="I41" s="764">
        <f>'KI1'!BG46</f>
        <v>0</v>
      </c>
      <c r="J41" s="764">
        <f>'KI1'!BH46</f>
        <v>0</v>
      </c>
      <c r="K41" s="764">
        <f>'KI1'!BI46</f>
        <v>0</v>
      </c>
      <c r="L41" s="764">
        <f>'KI1'!BJ46</f>
        <v>0</v>
      </c>
      <c r="M41" s="826" t="str">
        <f t="shared" si="16"/>
        <v>Ananda Anak 37</v>
      </c>
      <c r="N41" s="325" t="str">
        <f t="shared" si="17"/>
        <v/>
      </c>
      <c r="O41" s="325" t="str">
        <f t="shared" si="18"/>
        <v xml:space="preserve">baik dalam </v>
      </c>
      <c r="P41" s="325" t="str">
        <f t="shared" si="19"/>
        <v/>
      </c>
      <c r="Q41" s="275" t="str">
        <f t="shared" si="20"/>
        <v xml:space="preserve">Ananda Anak 37 baik dalam  ketaatan beribadah,  berperilaku syukur,  berdoa sebelum dan sesudah melakukan kegiatan,  toleransi dalam beribadah, </v>
      </c>
      <c r="S41" s="276" t="str">
        <f t="shared" si="21"/>
        <v>Ananda Anak 37</v>
      </c>
      <c r="T41" s="276" t="str">
        <f t="shared" si="22"/>
        <v/>
      </c>
      <c r="U41" s="276" t="str">
        <f t="shared" si="37"/>
        <v/>
      </c>
      <c r="V41" s="276" t="str">
        <f t="shared" si="38"/>
        <v/>
      </c>
      <c r="W41" s="276" t="str">
        <f t="shared" si="39"/>
        <v/>
      </c>
      <c r="X41" s="276" t="str">
        <f t="shared" si="40"/>
        <v/>
      </c>
      <c r="Y41" s="276"/>
      <c r="Z41" s="276" t="str">
        <f t="shared" si="27"/>
        <v xml:space="preserve">baik dalam </v>
      </c>
      <c r="AA41" s="276" t="str">
        <f t="shared" si="41"/>
        <v xml:space="preserve"> ketaatan beribadah, </v>
      </c>
      <c r="AB41" s="276" t="str">
        <f t="shared" si="42"/>
        <v xml:space="preserve"> berperilaku syukur, </v>
      </c>
      <c r="AC41" s="276" t="str">
        <f t="shared" si="43"/>
        <v xml:space="preserve"> berdoa sebelum dan sesudah melakukan kegiatan, </v>
      </c>
      <c r="AD41" s="276" t="str">
        <f t="shared" si="44"/>
        <v xml:space="preserve"> toleransi dalam beribadah, </v>
      </c>
      <c r="AE41" s="276"/>
      <c r="AF41" s="276" t="str">
        <f t="shared" si="32"/>
        <v/>
      </c>
      <c r="AG41" s="276" t="str">
        <f t="shared" si="45"/>
        <v/>
      </c>
      <c r="AH41" s="276" t="str">
        <f t="shared" si="46"/>
        <v/>
      </c>
      <c r="AI41" s="276" t="str">
        <f t="shared" si="47"/>
        <v/>
      </c>
      <c r="AJ41" s="276" t="str">
        <f t="shared" si="48"/>
        <v/>
      </c>
    </row>
    <row r="42" spans="1:36" ht="38.25" customHeight="1">
      <c r="A42" s="758"/>
      <c r="B42" s="134">
        <v>38</v>
      </c>
      <c r="C42" s="130">
        <f>SISWA!B43</f>
        <v>0</v>
      </c>
      <c r="D42" s="131" t="str">
        <f>SISWA!E43</f>
        <v>Anak 38</v>
      </c>
      <c r="E42" s="764">
        <f>'KI1'!BC47</f>
        <v>0</v>
      </c>
      <c r="F42" s="764">
        <f>'KI1'!BD47</f>
        <v>0</v>
      </c>
      <c r="G42" s="764">
        <f>'KI1'!BE47</f>
        <v>0</v>
      </c>
      <c r="H42" s="764">
        <f>'KI1'!BF47</f>
        <v>0</v>
      </c>
      <c r="I42" s="764">
        <f>'KI1'!BG47</f>
        <v>0</v>
      </c>
      <c r="J42" s="764">
        <f>'KI1'!BH47</f>
        <v>0</v>
      </c>
      <c r="K42" s="764">
        <f>'KI1'!BI47</f>
        <v>0</v>
      </c>
      <c r="L42" s="764">
        <f>'KI1'!BJ47</f>
        <v>0</v>
      </c>
      <c r="M42" s="826" t="str">
        <f t="shared" si="16"/>
        <v>Ananda Anak 38</v>
      </c>
      <c r="N42" s="325" t="str">
        <f t="shared" si="17"/>
        <v/>
      </c>
      <c r="O42" s="325" t="str">
        <f t="shared" si="18"/>
        <v xml:space="preserve">baik dalam </v>
      </c>
      <c r="P42" s="325" t="str">
        <f t="shared" si="19"/>
        <v/>
      </c>
      <c r="Q42" s="275" t="str">
        <f t="shared" si="20"/>
        <v xml:space="preserve">Ananda Anak 38 baik dalam  ketaatan beribadah,  berperilaku syukur,  berdoa sebelum dan sesudah melakukan kegiatan,  toleransi dalam beribadah, </v>
      </c>
      <c r="S42" s="276" t="str">
        <f t="shared" si="21"/>
        <v>Ananda Anak 38</v>
      </c>
      <c r="T42" s="276" t="str">
        <f t="shared" si="22"/>
        <v/>
      </c>
      <c r="U42" s="276" t="str">
        <f t="shared" si="37"/>
        <v/>
      </c>
      <c r="V42" s="276" t="str">
        <f t="shared" si="38"/>
        <v/>
      </c>
      <c r="W42" s="276" t="str">
        <f t="shared" si="39"/>
        <v/>
      </c>
      <c r="X42" s="276" t="str">
        <f t="shared" si="40"/>
        <v/>
      </c>
      <c r="Y42" s="276"/>
      <c r="Z42" s="276" t="str">
        <f t="shared" si="27"/>
        <v xml:space="preserve">baik dalam </v>
      </c>
      <c r="AA42" s="276" t="str">
        <f t="shared" si="41"/>
        <v xml:space="preserve"> ketaatan beribadah, </v>
      </c>
      <c r="AB42" s="276" t="str">
        <f t="shared" si="42"/>
        <v xml:space="preserve"> berperilaku syukur, </v>
      </c>
      <c r="AC42" s="276" t="str">
        <f t="shared" si="43"/>
        <v xml:space="preserve"> berdoa sebelum dan sesudah melakukan kegiatan, </v>
      </c>
      <c r="AD42" s="276" t="str">
        <f t="shared" si="44"/>
        <v xml:space="preserve"> toleransi dalam beribadah, </v>
      </c>
      <c r="AE42" s="276"/>
      <c r="AF42" s="276" t="str">
        <f t="shared" si="32"/>
        <v/>
      </c>
      <c r="AG42" s="276" t="str">
        <f t="shared" si="45"/>
        <v/>
      </c>
      <c r="AH42" s="276" t="str">
        <f t="shared" si="46"/>
        <v/>
      </c>
      <c r="AI42" s="276" t="str">
        <f t="shared" si="47"/>
        <v/>
      </c>
      <c r="AJ42" s="276" t="str">
        <f t="shared" si="48"/>
        <v/>
      </c>
    </row>
    <row r="43" spans="1:36" ht="38.25" customHeight="1">
      <c r="A43" s="758"/>
      <c r="B43" s="129">
        <v>39</v>
      </c>
      <c r="C43" s="130">
        <f>SISWA!B44</f>
        <v>0</v>
      </c>
      <c r="D43" s="131" t="str">
        <f>SISWA!E44</f>
        <v>Anak 39</v>
      </c>
      <c r="E43" s="764">
        <f>'KI1'!BC48</f>
        <v>0</v>
      </c>
      <c r="F43" s="764">
        <f>'KI1'!BD48</f>
        <v>0</v>
      </c>
      <c r="G43" s="764">
        <f>'KI1'!BE48</f>
        <v>0</v>
      </c>
      <c r="H43" s="764">
        <f>'KI1'!BF48</f>
        <v>0</v>
      </c>
      <c r="I43" s="764">
        <f>'KI1'!BG48</f>
        <v>0</v>
      </c>
      <c r="J43" s="764">
        <f>'KI1'!BH48</f>
        <v>0</v>
      </c>
      <c r="K43" s="764">
        <f>'KI1'!BI48</f>
        <v>0</v>
      </c>
      <c r="L43" s="764">
        <f>'KI1'!BJ48</f>
        <v>0</v>
      </c>
      <c r="M43" s="826" t="str">
        <f t="shared" si="16"/>
        <v>Ananda Anak 39</v>
      </c>
      <c r="N43" s="325" t="str">
        <f t="shared" si="17"/>
        <v/>
      </c>
      <c r="O43" s="325" t="str">
        <f t="shared" si="18"/>
        <v xml:space="preserve">baik dalam </v>
      </c>
      <c r="P43" s="325" t="str">
        <f t="shared" si="19"/>
        <v/>
      </c>
      <c r="Q43" s="275" t="str">
        <f t="shared" si="20"/>
        <v xml:space="preserve">Ananda Anak 39 baik dalam  ketaatan beribadah,  berperilaku syukur,  berdoa sebelum dan sesudah melakukan kegiatan,  toleransi dalam beribadah, </v>
      </c>
      <c r="S43" s="276" t="str">
        <f t="shared" si="21"/>
        <v>Ananda Anak 39</v>
      </c>
      <c r="T43" s="276" t="str">
        <f t="shared" si="22"/>
        <v/>
      </c>
      <c r="U43" s="276" t="str">
        <f t="shared" si="37"/>
        <v/>
      </c>
      <c r="V43" s="276" t="str">
        <f t="shared" si="38"/>
        <v/>
      </c>
      <c r="W43" s="276" t="str">
        <f t="shared" si="39"/>
        <v/>
      </c>
      <c r="X43" s="276" t="str">
        <f t="shared" si="40"/>
        <v/>
      </c>
      <c r="Y43" s="276"/>
      <c r="Z43" s="276" t="str">
        <f t="shared" si="27"/>
        <v xml:space="preserve">baik dalam </v>
      </c>
      <c r="AA43" s="276" t="str">
        <f t="shared" si="41"/>
        <v xml:space="preserve"> ketaatan beribadah, </v>
      </c>
      <c r="AB43" s="276" t="str">
        <f t="shared" si="42"/>
        <v xml:space="preserve"> berperilaku syukur, </v>
      </c>
      <c r="AC43" s="276" t="str">
        <f t="shared" si="43"/>
        <v xml:space="preserve"> berdoa sebelum dan sesudah melakukan kegiatan, </v>
      </c>
      <c r="AD43" s="276" t="str">
        <f t="shared" si="44"/>
        <v xml:space="preserve"> toleransi dalam beribadah, </v>
      </c>
      <c r="AE43" s="276"/>
      <c r="AF43" s="276" t="str">
        <f t="shared" si="32"/>
        <v/>
      </c>
      <c r="AG43" s="276" t="str">
        <f t="shared" si="45"/>
        <v/>
      </c>
      <c r="AH43" s="276" t="str">
        <f t="shared" si="46"/>
        <v/>
      </c>
      <c r="AI43" s="276" t="str">
        <f t="shared" si="47"/>
        <v/>
      </c>
      <c r="AJ43" s="276" t="str">
        <f t="shared" si="48"/>
        <v/>
      </c>
    </row>
    <row r="44" spans="1:36" ht="38.25" customHeight="1">
      <c r="A44" s="758"/>
      <c r="B44" s="134">
        <v>40</v>
      </c>
      <c r="C44" s="130">
        <f>SISWA!B45</f>
        <v>0</v>
      </c>
      <c r="D44" s="131" t="str">
        <f>SISWA!E45</f>
        <v>Anak 40</v>
      </c>
      <c r="E44" s="764">
        <f>'KI1'!BC49</f>
        <v>0</v>
      </c>
      <c r="F44" s="764">
        <f>'KI1'!BD49</f>
        <v>0</v>
      </c>
      <c r="G44" s="764">
        <f>'KI1'!BE49</f>
        <v>0</v>
      </c>
      <c r="H44" s="764">
        <f>'KI1'!BF49</f>
        <v>0</v>
      </c>
      <c r="I44" s="764">
        <f>'KI1'!BG49</f>
        <v>0</v>
      </c>
      <c r="J44" s="764">
        <f>'KI1'!BH49</f>
        <v>0</v>
      </c>
      <c r="K44" s="764">
        <f>'KI1'!BI49</f>
        <v>0</v>
      </c>
      <c r="L44" s="764">
        <f>'KI1'!BJ49</f>
        <v>0</v>
      </c>
      <c r="M44" s="826" t="str">
        <f t="shared" si="16"/>
        <v>Ananda Anak 40</v>
      </c>
      <c r="N44" s="325" t="str">
        <f t="shared" si="17"/>
        <v/>
      </c>
      <c r="O44" s="325" t="str">
        <f t="shared" si="18"/>
        <v xml:space="preserve">baik dalam </v>
      </c>
      <c r="P44" s="325" t="str">
        <f t="shared" si="19"/>
        <v/>
      </c>
      <c r="Q44" s="275" t="str">
        <f t="shared" si="20"/>
        <v xml:space="preserve">Ananda Anak 40 baik dalam  ketaatan beribadah,  berperilaku syukur,  berdoa sebelum dan sesudah melakukan kegiatan,  toleransi dalam beribadah, </v>
      </c>
      <c r="S44" s="276" t="str">
        <f t="shared" si="21"/>
        <v>Ananda Anak 40</v>
      </c>
      <c r="T44" s="276" t="str">
        <f t="shared" si="22"/>
        <v/>
      </c>
      <c r="U44" s="276" t="str">
        <f t="shared" si="37"/>
        <v/>
      </c>
      <c r="V44" s="276" t="str">
        <f t="shared" si="38"/>
        <v/>
      </c>
      <c r="W44" s="276" t="str">
        <f t="shared" si="39"/>
        <v/>
      </c>
      <c r="X44" s="276" t="str">
        <f t="shared" si="40"/>
        <v/>
      </c>
      <c r="Y44" s="276"/>
      <c r="Z44" s="276" t="str">
        <f t="shared" si="27"/>
        <v xml:space="preserve">baik dalam </v>
      </c>
      <c r="AA44" s="276" t="str">
        <f t="shared" si="41"/>
        <v xml:space="preserve"> ketaatan beribadah, </v>
      </c>
      <c r="AB44" s="276" t="str">
        <f t="shared" si="42"/>
        <v xml:space="preserve"> berperilaku syukur, </v>
      </c>
      <c r="AC44" s="276" t="str">
        <f t="shared" si="43"/>
        <v xml:space="preserve"> berdoa sebelum dan sesudah melakukan kegiatan, </v>
      </c>
      <c r="AD44" s="276" t="str">
        <f t="shared" si="44"/>
        <v xml:space="preserve"> toleransi dalam beribadah, </v>
      </c>
      <c r="AE44" s="276"/>
      <c r="AF44" s="276" t="str">
        <f t="shared" si="32"/>
        <v/>
      </c>
      <c r="AG44" s="276" t="str">
        <f t="shared" si="45"/>
        <v/>
      </c>
      <c r="AH44" s="276" t="str">
        <f t="shared" si="46"/>
        <v/>
      </c>
      <c r="AI44" s="276" t="str">
        <f t="shared" si="47"/>
        <v/>
      </c>
      <c r="AJ44" s="276" t="str">
        <f t="shared" si="48"/>
        <v/>
      </c>
    </row>
    <row r="45" spans="1:36" ht="38.25" customHeight="1">
      <c r="A45" s="758"/>
      <c r="B45" s="129">
        <v>41</v>
      </c>
      <c r="C45" s="130">
        <f>SISWA!B46</f>
        <v>0</v>
      </c>
      <c r="D45" s="131" t="str">
        <f>SISWA!E46</f>
        <v>Anak 41</v>
      </c>
      <c r="E45" s="764">
        <f>'KI1'!BC50</f>
        <v>0</v>
      </c>
      <c r="F45" s="764">
        <f>'KI1'!BD50</f>
        <v>0</v>
      </c>
      <c r="G45" s="764">
        <f>'KI1'!BE50</f>
        <v>0</v>
      </c>
      <c r="H45" s="764">
        <f>'KI1'!BF50</f>
        <v>0</v>
      </c>
      <c r="I45" s="764">
        <f>'KI1'!BG50</f>
        <v>0</v>
      </c>
      <c r="J45" s="764">
        <f>'KI1'!BH50</f>
        <v>0</v>
      </c>
      <c r="K45" s="764">
        <f>'KI1'!BI50</f>
        <v>0</v>
      </c>
      <c r="L45" s="764">
        <f>'KI1'!BJ50</f>
        <v>0</v>
      </c>
      <c r="M45" s="826" t="str">
        <f t="shared" si="16"/>
        <v>Ananda Anak 41</v>
      </c>
      <c r="N45" s="325" t="str">
        <f t="shared" si="17"/>
        <v/>
      </c>
      <c r="O45" s="325" t="str">
        <f t="shared" si="18"/>
        <v xml:space="preserve">baik dalam </v>
      </c>
      <c r="P45" s="325" t="str">
        <f t="shared" si="19"/>
        <v/>
      </c>
      <c r="Q45" s="275" t="str">
        <f t="shared" si="20"/>
        <v xml:space="preserve">Ananda Anak 41 baik dalam  ketaatan beribadah,  berperilaku syukur,  berdoa sebelum dan sesudah melakukan kegiatan,  toleransi dalam beribadah, </v>
      </c>
      <c r="S45" s="276" t="str">
        <f t="shared" si="21"/>
        <v>Ananda Anak 41</v>
      </c>
      <c r="T45" s="276" t="str">
        <f t="shared" si="22"/>
        <v/>
      </c>
      <c r="U45" s="276" t="str">
        <f t="shared" si="37"/>
        <v/>
      </c>
      <c r="V45" s="276" t="str">
        <f t="shared" si="38"/>
        <v/>
      </c>
      <c r="W45" s="276" t="str">
        <f t="shared" si="39"/>
        <v/>
      </c>
      <c r="X45" s="276" t="str">
        <f t="shared" si="40"/>
        <v/>
      </c>
      <c r="Y45" s="276"/>
      <c r="Z45" s="276" t="str">
        <f t="shared" si="27"/>
        <v xml:space="preserve">baik dalam </v>
      </c>
      <c r="AA45" s="276" t="str">
        <f t="shared" si="41"/>
        <v xml:space="preserve"> ketaatan beribadah, </v>
      </c>
      <c r="AB45" s="276" t="str">
        <f t="shared" si="42"/>
        <v xml:space="preserve"> berperilaku syukur, </v>
      </c>
      <c r="AC45" s="276" t="str">
        <f t="shared" si="43"/>
        <v xml:space="preserve"> berdoa sebelum dan sesudah melakukan kegiatan, </v>
      </c>
      <c r="AD45" s="276" t="str">
        <f t="shared" si="44"/>
        <v xml:space="preserve"> toleransi dalam beribadah, </v>
      </c>
      <c r="AE45" s="276"/>
      <c r="AF45" s="276" t="str">
        <f t="shared" si="32"/>
        <v/>
      </c>
      <c r="AG45" s="276" t="str">
        <f t="shared" si="45"/>
        <v/>
      </c>
      <c r="AH45" s="276" t="str">
        <f t="shared" si="46"/>
        <v/>
      </c>
      <c r="AI45" s="276" t="str">
        <f t="shared" si="47"/>
        <v/>
      </c>
      <c r="AJ45" s="276" t="str">
        <f t="shared" si="48"/>
        <v/>
      </c>
    </row>
    <row r="46" spans="1:36" ht="38.25" customHeight="1">
      <c r="A46" s="758"/>
      <c r="B46" s="134">
        <v>42</v>
      </c>
      <c r="C46" s="130">
        <f>SISWA!B47</f>
        <v>0</v>
      </c>
      <c r="D46" s="131" t="str">
        <f>SISWA!E47</f>
        <v>Anak 42</v>
      </c>
      <c r="E46" s="764">
        <f>'KI1'!BC51</f>
        <v>0</v>
      </c>
      <c r="F46" s="764">
        <f>'KI1'!BD51</f>
        <v>0</v>
      </c>
      <c r="G46" s="764">
        <f>'KI1'!BE51</f>
        <v>0</v>
      </c>
      <c r="H46" s="764">
        <f>'KI1'!BF51</f>
        <v>0</v>
      </c>
      <c r="I46" s="764">
        <f>'KI1'!BG51</f>
        <v>0</v>
      </c>
      <c r="J46" s="764">
        <f>'KI1'!BH51</f>
        <v>0</v>
      </c>
      <c r="K46" s="764">
        <f>'KI1'!BI51</f>
        <v>0</v>
      </c>
      <c r="L46" s="764">
        <f>'KI1'!BJ51</f>
        <v>0</v>
      </c>
      <c r="M46" s="826" t="str">
        <f t="shared" si="16"/>
        <v>Ananda Anak 42</v>
      </c>
      <c r="N46" s="325" t="str">
        <f t="shared" si="17"/>
        <v/>
      </c>
      <c r="O46" s="325" t="str">
        <f t="shared" si="18"/>
        <v xml:space="preserve">baik dalam </v>
      </c>
      <c r="P46" s="325" t="str">
        <f t="shared" si="19"/>
        <v/>
      </c>
      <c r="Q46" s="275" t="str">
        <f t="shared" si="20"/>
        <v xml:space="preserve">Ananda Anak 42 baik dalam  ketaatan beribadah,  berperilaku syukur,  berdoa sebelum dan sesudah melakukan kegiatan,  toleransi dalam beribadah, </v>
      </c>
      <c r="S46" s="276" t="str">
        <f t="shared" si="21"/>
        <v>Ananda Anak 42</v>
      </c>
      <c r="T46" s="276" t="str">
        <f t="shared" si="22"/>
        <v/>
      </c>
      <c r="U46" s="276" t="str">
        <f t="shared" si="37"/>
        <v/>
      </c>
      <c r="V46" s="276" t="str">
        <f t="shared" si="38"/>
        <v/>
      </c>
      <c r="W46" s="276" t="str">
        <f t="shared" si="39"/>
        <v/>
      </c>
      <c r="X46" s="276" t="str">
        <f t="shared" si="40"/>
        <v/>
      </c>
      <c r="Y46" s="276"/>
      <c r="Z46" s="276" t="str">
        <f t="shared" si="27"/>
        <v xml:space="preserve">baik dalam </v>
      </c>
      <c r="AA46" s="276" t="str">
        <f t="shared" si="41"/>
        <v xml:space="preserve"> ketaatan beribadah, </v>
      </c>
      <c r="AB46" s="276" t="str">
        <f t="shared" si="42"/>
        <v xml:space="preserve"> berperilaku syukur, </v>
      </c>
      <c r="AC46" s="276" t="str">
        <f t="shared" si="43"/>
        <v xml:space="preserve"> berdoa sebelum dan sesudah melakukan kegiatan, </v>
      </c>
      <c r="AD46" s="276" t="str">
        <f t="shared" si="44"/>
        <v xml:space="preserve"> toleransi dalam beribadah, </v>
      </c>
      <c r="AE46" s="276"/>
      <c r="AF46" s="276" t="str">
        <f t="shared" si="32"/>
        <v/>
      </c>
      <c r="AG46" s="276" t="str">
        <f t="shared" si="45"/>
        <v/>
      </c>
      <c r="AH46" s="276" t="str">
        <f t="shared" si="46"/>
        <v/>
      </c>
      <c r="AI46" s="276" t="str">
        <f t="shared" si="47"/>
        <v/>
      </c>
      <c r="AJ46" s="276" t="str">
        <f t="shared" si="48"/>
        <v/>
      </c>
    </row>
    <row r="47" spans="1:36" ht="38.25" customHeight="1">
      <c r="A47" s="758"/>
      <c r="B47" s="129">
        <v>43</v>
      </c>
      <c r="C47" s="130">
        <f>SISWA!B48</f>
        <v>0</v>
      </c>
      <c r="D47" s="131" t="str">
        <f>SISWA!E48</f>
        <v>Anak 43</v>
      </c>
      <c r="E47" s="764">
        <f>'KI1'!BC52</f>
        <v>0</v>
      </c>
      <c r="F47" s="764">
        <f>'KI1'!BD52</f>
        <v>0</v>
      </c>
      <c r="G47" s="764">
        <f>'KI1'!BE52</f>
        <v>0</v>
      </c>
      <c r="H47" s="764">
        <f>'KI1'!BF52</f>
        <v>0</v>
      </c>
      <c r="I47" s="764">
        <f>'KI1'!BG52</f>
        <v>0</v>
      </c>
      <c r="J47" s="764">
        <f>'KI1'!BH52</f>
        <v>0</v>
      </c>
      <c r="K47" s="764">
        <f>'KI1'!BI52</f>
        <v>0</v>
      </c>
      <c r="L47" s="764">
        <f>'KI1'!BJ52</f>
        <v>0</v>
      </c>
      <c r="M47" s="826" t="str">
        <f t="shared" si="16"/>
        <v>Ananda Anak 43</v>
      </c>
      <c r="N47" s="325" t="str">
        <f t="shared" si="17"/>
        <v/>
      </c>
      <c r="O47" s="325" t="str">
        <f t="shared" si="18"/>
        <v xml:space="preserve">baik dalam </v>
      </c>
      <c r="P47" s="325" t="str">
        <f t="shared" si="19"/>
        <v/>
      </c>
      <c r="Q47" s="275" t="str">
        <f t="shared" si="20"/>
        <v xml:space="preserve">Ananda Anak 43 baik dalam  ketaatan beribadah,  berperilaku syukur,  berdoa sebelum dan sesudah melakukan kegiatan,  toleransi dalam beribadah, </v>
      </c>
      <c r="S47" s="276" t="str">
        <f t="shared" si="21"/>
        <v>Ananda Anak 43</v>
      </c>
      <c r="T47" s="276" t="str">
        <f t="shared" si="22"/>
        <v/>
      </c>
      <c r="U47" s="276" t="str">
        <f t="shared" si="37"/>
        <v/>
      </c>
      <c r="V47" s="276" t="str">
        <f t="shared" si="38"/>
        <v/>
      </c>
      <c r="W47" s="276" t="str">
        <f t="shared" si="39"/>
        <v/>
      </c>
      <c r="X47" s="276" t="str">
        <f t="shared" si="40"/>
        <v/>
      </c>
      <c r="Y47" s="276"/>
      <c r="Z47" s="276" t="str">
        <f t="shared" si="27"/>
        <v xml:space="preserve">baik dalam </v>
      </c>
      <c r="AA47" s="276" t="str">
        <f t="shared" si="41"/>
        <v xml:space="preserve"> ketaatan beribadah, </v>
      </c>
      <c r="AB47" s="276" t="str">
        <f t="shared" si="42"/>
        <v xml:space="preserve"> berperilaku syukur, </v>
      </c>
      <c r="AC47" s="276" t="str">
        <f t="shared" si="43"/>
        <v xml:space="preserve"> berdoa sebelum dan sesudah melakukan kegiatan, </v>
      </c>
      <c r="AD47" s="276" t="str">
        <f t="shared" si="44"/>
        <v xml:space="preserve"> toleransi dalam beribadah, </v>
      </c>
      <c r="AE47" s="276"/>
      <c r="AF47" s="276" t="str">
        <f t="shared" si="32"/>
        <v/>
      </c>
      <c r="AG47" s="276" t="str">
        <f t="shared" si="45"/>
        <v/>
      </c>
      <c r="AH47" s="276" t="str">
        <f t="shared" si="46"/>
        <v/>
      </c>
      <c r="AI47" s="276" t="str">
        <f t="shared" si="47"/>
        <v/>
      </c>
      <c r="AJ47" s="276" t="str">
        <f t="shared" si="48"/>
        <v/>
      </c>
    </row>
    <row r="48" spans="1:36" ht="38.25" customHeight="1">
      <c r="A48" s="758"/>
      <c r="B48" s="134">
        <v>44</v>
      </c>
      <c r="C48" s="130">
        <f>SISWA!B49</f>
        <v>0</v>
      </c>
      <c r="D48" s="131" t="str">
        <f>SISWA!E49</f>
        <v>Anak 44</v>
      </c>
      <c r="E48" s="764">
        <f>'KI1'!BC53</f>
        <v>0</v>
      </c>
      <c r="F48" s="764">
        <f>'KI1'!BD53</f>
        <v>0</v>
      </c>
      <c r="G48" s="764">
        <f>'KI1'!BE53</f>
        <v>0</v>
      </c>
      <c r="H48" s="764">
        <f>'KI1'!BF53</f>
        <v>0</v>
      </c>
      <c r="I48" s="764">
        <f>'KI1'!BG53</f>
        <v>0</v>
      </c>
      <c r="J48" s="764">
        <f>'KI1'!BH53</f>
        <v>0</v>
      </c>
      <c r="K48" s="764">
        <f>'KI1'!BI53</f>
        <v>0</v>
      </c>
      <c r="L48" s="764">
        <f>'KI1'!BJ53</f>
        <v>0</v>
      </c>
      <c r="M48" s="826" t="str">
        <f t="shared" si="16"/>
        <v>Ananda Anak 44</v>
      </c>
      <c r="N48" s="325" t="str">
        <f t="shared" si="17"/>
        <v/>
      </c>
      <c r="O48" s="325" t="str">
        <f t="shared" si="18"/>
        <v xml:space="preserve">baik dalam </v>
      </c>
      <c r="P48" s="325" t="str">
        <f t="shared" si="19"/>
        <v/>
      </c>
      <c r="Q48" s="275" t="str">
        <f t="shared" si="20"/>
        <v xml:space="preserve">Ananda Anak 44 baik dalam  ketaatan beribadah,  berperilaku syukur,  berdoa sebelum dan sesudah melakukan kegiatan,  toleransi dalam beribadah, </v>
      </c>
      <c r="S48" s="276" t="str">
        <f t="shared" si="21"/>
        <v>Ananda Anak 44</v>
      </c>
      <c r="T48" s="276" t="str">
        <f t="shared" si="22"/>
        <v/>
      </c>
      <c r="U48" s="276" t="str">
        <f t="shared" si="37"/>
        <v/>
      </c>
      <c r="V48" s="276" t="str">
        <f t="shared" si="38"/>
        <v/>
      </c>
      <c r="W48" s="276" t="str">
        <f t="shared" si="39"/>
        <v/>
      </c>
      <c r="X48" s="276" t="str">
        <f t="shared" si="40"/>
        <v/>
      </c>
      <c r="Y48" s="276"/>
      <c r="Z48" s="276" t="str">
        <f t="shared" si="27"/>
        <v xml:space="preserve">baik dalam </v>
      </c>
      <c r="AA48" s="276" t="str">
        <f t="shared" si="41"/>
        <v xml:space="preserve"> ketaatan beribadah, </v>
      </c>
      <c r="AB48" s="276" t="str">
        <f t="shared" si="42"/>
        <v xml:space="preserve"> berperilaku syukur, </v>
      </c>
      <c r="AC48" s="276" t="str">
        <f t="shared" si="43"/>
        <v xml:space="preserve"> berdoa sebelum dan sesudah melakukan kegiatan, </v>
      </c>
      <c r="AD48" s="276" t="str">
        <f t="shared" si="44"/>
        <v xml:space="preserve"> toleransi dalam beribadah, </v>
      </c>
      <c r="AE48" s="276"/>
      <c r="AF48" s="276" t="str">
        <f t="shared" si="32"/>
        <v/>
      </c>
      <c r="AG48" s="276" t="str">
        <f t="shared" si="45"/>
        <v/>
      </c>
      <c r="AH48" s="276" t="str">
        <f t="shared" si="46"/>
        <v/>
      </c>
      <c r="AI48" s="276" t="str">
        <f t="shared" si="47"/>
        <v/>
      </c>
      <c r="AJ48" s="276" t="str">
        <f t="shared" si="48"/>
        <v/>
      </c>
    </row>
    <row r="49" spans="1:36" ht="38.25" customHeight="1">
      <c r="A49" s="758"/>
      <c r="B49" s="129">
        <v>45</v>
      </c>
      <c r="C49" s="130">
        <f>SISWA!B50</f>
        <v>0</v>
      </c>
      <c r="D49" s="131" t="str">
        <f>SISWA!E50</f>
        <v>Anak 45</v>
      </c>
      <c r="E49" s="764">
        <f>'KI1'!BC54</f>
        <v>0</v>
      </c>
      <c r="F49" s="764">
        <f>'KI1'!BD54</f>
        <v>0</v>
      </c>
      <c r="G49" s="764">
        <f>'KI1'!BE54</f>
        <v>0</v>
      </c>
      <c r="H49" s="764">
        <f>'KI1'!BF54</f>
        <v>0</v>
      </c>
      <c r="I49" s="764">
        <f>'KI1'!BG54</f>
        <v>0</v>
      </c>
      <c r="J49" s="764">
        <f>'KI1'!BH54</f>
        <v>0</v>
      </c>
      <c r="K49" s="764">
        <f>'KI1'!BI54</f>
        <v>0</v>
      </c>
      <c r="L49" s="764">
        <f>'KI1'!BJ54</f>
        <v>0</v>
      </c>
      <c r="M49" s="826" t="str">
        <f t="shared" si="16"/>
        <v>Ananda Anak 45</v>
      </c>
      <c r="N49" s="325" t="str">
        <f t="shared" si="17"/>
        <v/>
      </c>
      <c r="O49" s="325" t="str">
        <f t="shared" si="18"/>
        <v xml:space="preserve">baik dalam </v>
      </c>
      <c r="P49" s="325" t="str">
        <f t="shared" si="19"/>
        <v/>
      </c>
      <c r="Q49" s="275" t="str">
        <f t="shared" si="20"/>
        <v xml:space="preserve">Ananda Anak 45 baik dalam  ketaatan beribadah,  berperilaku syukur,  berdoa sebelum dan sesudah melakukan kegiatan,  toleransi dalam beribadah, </v>
      </c>
      <c r="S49" s="276" t="str">
        <f t="shared" si="21"/>
        <v>Ananda Anak 45</v>
      </c>
      <c r="T49" s="276" t="str">
        <f t="shared" si="22"/>
        <v/>
      </c>
      <c r="U49" s="276" t="str">
        <f t="shared" si="37"/>
        <v/>
      </c>
      <c r="V49" s="276" t="str">
        <f t="shared" si="38"/>
        <v/>
      </c>
      <c r="W49" s="276" t="str">
        <f t="shared" si="39"/>
        <v/>
      </c>
      <c r="X49" s="276" t="str">
        <f t="shared" si="40"/>
        <v/>
      </c>
      <c r="Y49" s="276"/>
      <c r="Z49" s="276" t="str">
        <f t="shared" si="27"/>
        <v xml:space="preserve">baik dalam </v>
      </c>
      <c r="AA49" s="276" t="str">
        <f t="shared" si="41"/>
        <v xml:space="preserve"> ketaatan beribadah, </v>
      </c>
      <c r="AB49" s="276" t="str">
        <f t="shared" si="42"/>
        <v xml:space="preserve"> berperilaku syukur, </v>
      </c>
      <c r="AC49" s="276" t="str">
        <f t="shared" si="43"/>
        <v xml:space="preserve"> berdoa sebelum dan sesudah melakukan kegiatan, </v>
      </c>
      <c r="AD49" s="276" t="str">
        <f t="shared" si="44"/>
        <v xml:space="preserve"> toleransi dalam beribadah, </v>
      </c>
      <c r="AE49" s="276"/>
      <c r="AF49" s="276" t="str">
        <f t="shared" si="32"/>
        <v/>
      </c>
      <c r="AG49" s="276" t="str">
        <f t="shared" si="45"/>
        <v/>
      </c>
      <c r="AH49" s="276" t="str">
        <f t="shared" si="46"/>
        <v/>
      </c>
      <c r="AI49" s="276" t="str">
        <f t="shared" si="47"/>
        <v/>
      </c>
      <c r="AJ49" s="276" t="str">
        <f t="shared" si="48"/>
        <v/>
      </c>
    </row>
    <row r="50" spans="1:36" ht="38.25" customHeight="1">
      <c r="A50" s="758"/>
      <c r="B50" s="134">
        <v>46</v>
      </c>
      <c r="C50" s="130">
        <f>SISWA!B51</f>
        <v>0</v>
      </c>
      <c r="D50" s="131" t="str">
        <f>SISWA!E51</f>
        <v>Anak 46</v>
      </c>
      <c r="E50" s="764">
        <f>'KI1'!BC55</f>
        <v>0</v>
      </c>
      <c r="F50" s="764">
        <f>'KI1'!BD55</f>
        <v>0</v>
      </c>
      <c r="G50" s="764">
        <f>'KI1'!BE55</f>
        <v>0</v>
      </c>
      <c r="H50" s="764">
        <f>'KI1'!BF55</f>
        <v>0</v>
      </c>
      <c r="I50" s="764">
        <f>'KI1'!BG55</f>
        <v>0</v>
      </c>
      <c r="J50" s="764">
        <f>'KI1'!BH55</f>
        <v>0</v>
      </c>
      <c r="K50" s="764">
        <f>'KI1'!BI55</f>
        <v>0</v>
      </c>
      <c r="L50" s="764">
        <f>'KI1'!BJ55</f>
        <v>0</v>
      </c>
      <c r="M50" s="826" t="str">
        <f t="shared" si="16"/>
        <v>Ananda Anak 46</v>
      </c>
      <c r="N50" s="325" t="str">
        <f t="shared" si="17"/>
        <v/>
      </c>
      <c r="O50" s="325" t="str">
        <f t="shared" si="18"/>
        <v xml:space="preserve">baik dalam </v>
      </c>
      <c r="P50" s="325" t="str">
        <f t="shared" si="19"/>
        <v/>
      </c>
      <c r="Q50" s="275" t="str">
        <f t="shared" si="20"/>
        <v xml:space="preserve">Ananda Anak 46 baik dalam  ketaatan beribadah,  berperilaku syukur,  berdoa sebelum dan sesudah melakukan kegiatan,  toleransi dalam beribadah, </v>
      </c>
      <c r="S50" s="276" t="str">
        <f t="shared" si="21"/>
        <v>Ananda Anak 46</v>
      </c>
      <c r="T50" s="276" t="str">
        <f t="shared" si="22"/>
        <v/>
      </c>
      <c r="U50" s="276" t="str">
        <f t="shared" si="37"/>
        <v/>
      </c>
      <c r="V50" s="276" t="str">
        <f t="shared" si="38"/>
        <v/>
      </c>
      <c r="W50" s="276" t="str">
        <f t="shared" si="39"/>
        <v/>
      </c>
      <c r="X50" s="276" t="str">
        <f t="shared" si="40"/>
        <v/>
      </c>
      <c r="Y50" s="276"/>
      <c r="Z50" s="276" t="str">
        <f t="shared" si="27"/>
        <v xml:space="preserve">baik dalam </v>
      </c>
      <c r="AA50" s="276" t="str">
        <f t="shared" si="41"/>
        <v xml:space="preserve"> ketaatan beribadah, </v>
      </c>
      <c r="AB50" s="276" t="str">
        <f t="shared" si="42"/>
        <v xml:space="preserve"> berperilaku syukur, </v>
      </c>
      <c r="AC50" s="276" t="str">
        <f t="shared" si="43"/>
        <v xml:space="preserve"> berdoa sebelum dan sesudah melakukan kegiatan, </v>
      </c>
      <c r="AD50" s="276" t="str">
        <f t="shared" si="44"/>
        <v xml:space="preserve"> toleransi dalam beribadah, </v>
      </c>
      <c r="AE50" s="276"/>
      <c r="AF50" s="276" t="str">
        <f t="shared" si="32"/>
        <v/>
      </c>
      <c r="AG50" s="276" t="str">
        <f t="shared" si="45"/>
        <v/>
      </c>
      <c r="AH50" s="276" t="str">
        <f t="shared" si="46"/>
        <v/>
      </c>
      <c r="AI50" s="276" t="str">
        <f t="shared" si="47"/>
        <v/>
      </c>
      <c r="AJ50" s="276" t="str">
        <f t="shared" si="48"/>
        <v/>
      </c>
    </row>
    <row r="51" spans="1:36" ht="38.25" customHeight="1">
      <c r="A51" s="758"/>
      <c r="B51" s="129">
        <v>47</v>
      </c>
      <c r="C51" s="130">
        <f>SISWA!B52</f>
        <v>0</v>
      </c>
      <c r="D51" s="131" t="str">
        <f>SISWA!E52</f>
        <v>Anak 47</v>
      </c>
      <c r="E51" s="764">
        <f>'KI1'!BC56</f>
        <v>0</v>
      </c>
      <c r="F51" s="764">
        <f>'KI1'!BD56</f>
        <v>0</v>
      </c>
      <c r="G51" s="764">
        <f>'KI1'!BE56</f>
        <v>0</v>
      </c>
      <c r="H51" s="764">
        <f>'KI1'!BF56</f>
        <v>0</v>
      </c>
      <c r="I51" s="764">
        <f>'KI1'!BG56</f>
        <v>0</v>
      </c>
      <c r="J51" s="764">
        <f>'KI1'!BH56</f>
        <v>0</v>
      </c>
      <c r="K51" s="764">
        <f>'KI1'!BI56</f>
        <v>0</v>
      </c>
      <c r="L51" s="764">
        <f>'KI1'!BJ56</f>
        <v>0</v>
      </c>
      <c r="M51" s="826" t="str">
        <f t="shared" si="16"/>
        <v>Ananda Anak 47</v>
      </c>
      <c r="N51" s="325" t="str">
        <f t="shared" si="17"/>
        <v/>
      </c>
      <c r="O51" s="325" t="str">
        <f t="shared" si="18"/>
        <v xml:space="preserve">baik dalam </v>
      </c>
      <c r="P51" s="325" t="str">
        <f t="shared" si="19"/>
        <v/>
      </c>
      <c r="Q51" s="275" t="str">
        <f t="shared" si="20"/>
        <v xml:space="preserve">Ananda Anak 47 baik dalam  ketaatan beribadah,  berperilaku syukur,  berdoa sebelum dan sesudah melakukan kegiatan,  toleransi dalam beribadah, </v>
      </c>
      <c r="S51" s="276" t="str">
        <f t="shared" si="21"/>
        <v>Ananda Anak 47</v>
      </c>
      <c r="T51" s="276" t="str">
        <f t="shared" si="22"/>
        <v/>
      </c>
      <c r="U51" s="276" t="str">
        <f t="shared" si="37"/>
        <v/>
      </c>
      <c r="V51" s="276" t="str">
        <f t="shared" si="38"/>
        <v/>
      </c>
      <c r="W51" s="276" t="str">
        <f t="shared" si="39"/>
        <v/>
      </c>
      <c r="X51" s="276" t="str">
        <f t="shared" si="40"/>
        <v/>
      </c>
      <c r="Y51" s="276"/>
      <c r="Z51" s="276" t="str">
        <f t="shared" si="27"/>
        <v xml:space="preserve">baik dalam </v>
      </c>
      <c r="AA51" s="276" t="str">
        <f t="shared" si="41"/>
        <v xml:space="preserve"> ketaatan beribadah, </v>
      </c>
      <c r="AB51" s="276" t="str">
        <f t="shared" si="42"/>
        <v xml:space="preserve"> berperilaku syukur, </v>
      </c>
      <c r="AC51" s="276" t="str">
        <f t="shared" si="43"/>
        <v xml:space="preserve"> berdoa sebelum dan sesudah melakukan kegiatan, </v>
      </c>
      <c r="AD51" s="276" t="str">
        <f t="shared" si="44"/>
        <v xml:space="preserve"> toleransi dalam beribadah, </v>
      </c>
      <c r="AE51" s="276"/>
      <c r="AF51" s="276" t="str">
        <f t="shared" si="32"/>
        <v/>
      </c>
      <c r="AG51" s="276" t="str">
        <f t="shared" si="45"/>
        <v/>
      </c>
      <c r="AH51" s="276" t="str">
        <f t="shared" si="46"/>
        <v/>
      </c>
      <c r="AI51" s="276" t="str">
        <f t="shared" si="47"/>
        <v/>
      </c>
      <c r="AJ51" s="276" t="str">
        <f t="shared" si="48"/>
        <v/>
      </c>
    </row>
    <row r="52" spans="1:36" ht="38.25" customHeight="1">
      <c r="A52" s="758"/>
      <c r="B52" s="134">
        <v>48</v>
      </c>
      <c r="C52" s="130">
        <f>SISWA!B53</f>
        <v>0</v>
      </c>
      <c r="D52" s="131" t="str">
        <f>SISWA!E53</f>
        <v>Anak 48</v>
      </c>
      <c r="E52" s="764">
        <f>'KI1'!BC57</f>
        <v>0</v>
      </c>
      <c r="F52" s="764">
        <f>'KI1'!BD57</f>
        <v>0</v>
      </c>
      <c r="G52" s="764">
        <f>'KI1'!BE57</f>
        <v>0</v>
      </c>
      <c r="H52" s="764">
        <f>'KI1'!BF57</f>
        <v>0</v>
      </c>
      <c r="I52" s="764">
        <f>'KI1'!BG57</f>
        <v>0</v>
      </c>
      <c r="J52" s="764">
        <f>'KI1'!BH57</f>
        <v>0</v>
      </c>
      <c r="K52" s="764">
        <f>'KI1'!BI57</f>
        <v>0</v>
      </c>
      <c r="L52" s="764">
        <f>'KI1'!BJ57</f>
        <v>0</v>
      </c>
      <c r="M52" s="826" t="str">
        <f t="shared" si="16"/>
        <v>Ananda Anak 48</v>
      </c>
      <c r="N52" s="325" t="str">
        <f t="shared" si="17"/>
        <v/>
      </c>
      <c r="O52" s="325" t="str">
        <f t="shared" si="18"/>
        <v xml:space="preserve">baik dalam </v>
      </c>
      <c r="P52" s="325" t="str">
        <f t="shared" si="19"/>
        <v/>
      </c>
      <c r="Q52" s="275" t="str">
        <f t="shared" si="20"/>
        <v xml:space="preserve">Ananda Anak 48 baik dalam  ketaatan beribadah,  berperilaku syukur,  berdoa sebelum dan sesudah melakukan kegiatan,  toleransi dalam beribadah, </v>
      </c>
      <c r="S52" s="276" t="str">
        <f t="shared" si="21"/>
        <v>Ananda Anak 48</v>
      </c>
      <c r="T52" s="276" t="str">
        <f t="shared" si="22"/>
        <v/>
      </c>
      <c r="U52" s="276" t="str">
        <f t="shared" si="37"/>
        <v/>
      </c>
      <c r="V52" s="276" t="str">
        <f t="shared" si="38"/>
        <v/>
      </c>
      <c r="W52" s="276" t="str">
        <f t="shared" si="39"/>
        <v/>
      </c>
      <c r="X52" s="276" t="str">
        <f t="shared" si="40"/>
        <v/>
      </c>
      <c r="Y52" s="276"/>
      <c r="Z52" s="276" t="str">
        <f t="shared" si="27"/>
        <v xml:space="preserve">baik dalam </v>
      </c>
      <c r="AA52" s="276" t="str">
        <f t="shared" si="41"/>
        <v xml:space="preserve"> ketaatan beribadah, </v>
      </c>
      <c r="AB52" s="276" t="str">
        <f t="shared" si="42"/>
        <v xml:space="preserve"> berperilaku syukur, </v>
      </c>
      <c r="AC52" s="276" t="str">
        <f t="shared" si="43"/>
        <v xml:space="preserve"> berdoa sebelum dan sesudah melakukan kegiatan, </v>
      </c>
      <c r="AD52" s="276" t="str">
        <f t="shared" si="44"/>
        <v xml:space="preserve"> toleransi dalam beribadah, </v>
      </c>
      <c r="AE52" s="276"/>
      <c r="AF52" s="276" t="str">
        <f t="shared" si="32"/>
        <v/>
      </c>
      <c r="AG52" s="276" t="str">
        <f t="shared" si="45"/>
        <v/>
      </c>
      <c r="AH52" s="276" t="str">
        <f t="shared" si="46"/>
        <v/>
      </c>
      <c r="AI52" s="276" t="str">
        <f t="shared" si="47"/>
        <v/>
      </c>
      <c r="AJ52" s="276" t="str">
        <f t="shared" si="48"/>
        <v/>
      </c>
    </row>
    <row r="53" spans="1:36" ht="38.25" customHeight="1">
      <c r="A53" s="758"/>
      <c r="B53" s="129">
        <v>49</v>
      </c>
      <c r="C53" s="130">
        <f>SISWA!B54</f>
        <v>0</v>
      </c>
      <c r="D53" s="131" t="str">
        <f>SISWA!E54</f>
        <v>Anak 49</v>
      </c>
      <c r="E53" s="764">
        <f>'KI1'!BC58</f>
        <v>0</v>
      </c>
      <c r="F53" s="764">
        <f>'KI1'!BD58</f>
        <v>0</v>
      </c>
      <c r="G53" s="764">
        <f>'KI1'!BE58</f>
        <v>0</v>
      </c>
      <c r="H53" s="764">
        <f>'KI1'!BF58</f>
        <v>0</v>
      </c>
      <c r="I53" s="764">
        <f>'KI1'!BG58</f>
        <v>0</v>
      </c>
      <c r="J53" s="764">
        <f>'KI1'!BH58</f>
        <v>0</v>
      </c>
      <c r="K53" s="764">
        <f>'KI1'!BI58</f>
        <v>0</v>
      </c>
      <c r="L53" s="764">
        <f>'KI1'!BJ58</f>
        <v>0</v>
      </c>
      <c r="M53" s="826" t="str">
        <f t="shared" si="16"/>
        <v>Ananda Anak 49</v>
      </c>
      <c r="N53" s="325" t="str">
        <f t="shared" si="17"/>
        <v/>
      </c>
      <c r="O53" s="325" t="str">
        <f t="shared" si="18"/>
        <v xml:space="preserve">baik dalam </v>
      </c>
      <c r="P53" s="325" t="str">
        <f t="shared" si="19"/>
        <v/>
      </c>
      <c r="Q53" s="275" t="str">
        <f t="shared" si="20"/>
        <v xml:space="preserve">Ananda Anak 49 baik dalam  ketaatan beribadah,  berperilaku syukur,  berdoa sebelum dan sesudah melakukan kegiatan,  toleransi dalam beribadah, </v>
      </c>
      <c r="S53" s="276" t="str">
        <f t="shared" si="21"/>
        <v>Ananda Anak 49</v>
      </c>
      <c r="T53" s="276" t="str">
        <f t="shared" si="22"/>
        <v/>
      </c>
      <c r="U53" s="276" t="str">
        <f t="shared" si="37"/>
        <v/>
      </c>
      <c r="V53" s="276" t="str">
        <f t="shared" si="38"/>
        <v/>
      </c>
      <c r="W53" s="276" t="str">
        <f t="shared" si="39"/>
        <v/>
      </c>
      <c r="X53" s="276" t="str">
        <f t="shared" si="40"/>
        <v/>
      </c>
      <c r="Y53" s="276"/>
      <c r="Z53" s="276" t="str">
        <f t="shared" si="27"/>
        <v xml:space="preserve">baik dalam </v>
      </c>
      <c r="AA53" s="276" t="str">
        <f t="shared" si="41"/>
        <v xml:space="preserve"> ketaatan beribadah, </v>
      </c>
      <c r="AB53" s="276" t="str">
        <f t="shared" si="42"/>
        <v xml:space="preserve"> berperilaku syukur, </v>
      </c>
      <c r="AC53" s="276" t="str">
        <f t="shared" si="43"/>
        <v xml:space="preserve"> berdoa sebelum dan sesudah melakukan kegiatan, </v>
      </c>
      <c r="AD53" s="276" t="str">
        <f t="shared" si="44"/>
        <v xml:space="preserve"> toleransi dalam beribadah, </v>
      </c>
      <c r="AE53" s="276"/>
      <c r="AF53" s="276" t="str">
        <f t="shared" si="32"/>
        <v/>
      </c>
      <c r="AG53" s="276" t="str">
        <f t="shared" si="45"/>
        <v/>
      </c>
      <c r="AH53" s="276" t="str">
        <f t="shared" si="46"/>
        <v/>
      </c>
      <c r="AI53" s="276" t="str">
        <f t="shared" si="47"/>
        <v/>
      </c>
      <c r="AJ53" s="276" t="str">
        <f t="shared" si="48"/>
        <v/>
      </c>
    </row>
    <row r="54" spans="1:36" ht="38.25" customHeight="1">
      <c r="A54" s="758"/>
      <c r="B54" s="134">
        <v>50</v>
      </c>
      <c r="C54" s="130">
        <f>SISWA!B55</f>
        <v>0</v>
      </c>
      <c r="D54" s="131" t="str">
        <f>SISWA!E55</f>
        <v>Anak 50</v>
      </c>
      <c r="E54" s="764">
        <f>'KI1'!BC59</f>
        <v>0</v>
      </c>
      <c r="F54" s="764">
        <f>'KI1'!BD59</f>
        <v>0</v>
      </c>
      <c r="G54" s="764">
        <f>'KI1'!BE59</f>
        <v>0</v>
      </c>
      <c r="H54" s="764">
        <f>'KI1'!BF59</f>
        <v>0</v>
      </c>
      <c r="I54" s="764">
        <f>'KI1'!BG59</f>
        <v>0</v>
      </c>
      <c r="J54" s="764">
        <f>'KI1'!BH59</f>
        <v>0</v>
      </c>
      <c r="K54" s="764">
        <f>'KI1'!BI59</f>
        <v>0</v>
      </c>
      <c r="L54" s="764">
        <f>'KI1'!BJ59</f>
        <v>0</v>
      </c>
      <c r="M54" s="826" t="str">
        <f t="shared" si="16"/>
        <v>Ananda Anak 50</v>
      </c>
      <c r="N54" s="325" t="str">
        <f t="shared" si="17"/>
        <v/>
      </c>
      <c r="O54" s="325" t="str">
        <f t="shared" si="18"/>
        <v xml:space="preserve">baik dalam </v>
      </c>
      <c r="P54" s="325" t="str">
        <f t="shared" si="19"/>
        <v/>
      </c>
      <c r="Q54" s="275" t="str">
        <f t="shared" si="20"/>
        <v xml:space="preserve">Ananda Anak 50 baik dalam  ketaatan beribadah,  berperilaku syukur,  berdoa sebelum dan sesudah melakukan kegiatan,  toleransi dalam beribadah, </v>
      </c>
      <c r="S54" s="276" t="str">
        <f t="shared" si="21"/>
        <v>Ananda Anak 50</v>
      </c>
      <c r="T54" s="276" t="str">
        <f t="shared" si="22"/>
        <v/>
      </c>
      <c r="U54" s="276" t="str">
        <f t="shared" si="37"/>
        <v/>
      </c>
      <c r="V54" s="276" t="str">
        <f t="shared" si="38"/>
        <v/>
      </c>
      <c r="W54" s="276" t="str">
        <f t="shared" si="39"/>
        <v/>
      </c>
      <c r="X54" s="276" t="str">
        <f t="shared" si="40"/>
        <v/>
      </c>
      <c r="Y54" s="276"/>
      <c r="Z54" s="276" t="str">
        <f t="shared" si="27"/>
        <v xml:space="preserve">baik dalam </v>
      </c>
      <c r="AA54" s="276" t="str">
        <f t="shared" si="41"/>
        <v xml:space="preserve"> ketaatan beribadah, </v>
      </c>
      <c r="AB54" s="276" t="str">
        <f t="shared" si="42"/>
        <v xml:space="preserve"> berperilaku syukur, </v>
      </c>
      <c r="AC54" s="276" t="str">
        <f t="shared" si="43"/>
        <v xml:space="preserve"> berdoa sebelum dan sesudah melakukan kegiatan, </v>
      </c>
      <c r="AD54" s="276" t="str">
        <f t="shared" si="44"/>
        <v xml:space="preserve"> toleransi dalam beribadah, </v>
      </c>
      <c r="AE54" s="276"/>
      <c r="AF54" s="276" t="str">
        <f t="shared" si="32"/>
        <v/>
      </c>
      <c r="AG54" s="276" t="str">
        <f t="shared" si="45"/>
        <v/>
      </c>
      <c r="AH54" s="276" t="str">
        <f t="shared" si="46"/>
        <v/>
      </c>
      <c r="AI54" s="276" t="str">
        <f t="shared" si="47"/>
        <v/>
      </c>
      <c r="AJ54" s="276" t="str">
        <f t="shared" si="48"/>
        <v/>
      </c>
    </row>
    <row r="55" spans="1:36">
      <c r="AA55" s="127"/>
      <c r="AB55" s="126"/>
      <c r="AC55" s="126"/>
      <c r="AD55" s="126"/>
    </row>
  </sheetData>
  <sheetProtection password="C70C" sheet="1" objects="1" scenarios="1"/>
  <mergeCells count="15">
    <mergeCell ref="AF3:AJ3"/>
    <mergeCell ref="B1:Q1"/>
    <mergeCell ref="AL1:AM4"/>
    <mergeCell ref="B2:Q2"/>
    <mergeCell ref="B3:B4"/>
    <mergeCell ref="C3:C4"/>
    <mergeCell ref="D3:D4"/>
    <mergeCell ref="E3:F3"/>
    <mergeCell ref="G3:H3"/>
    <mergeCell ref="I3:J3"/>
    <mergeCell ref="K3:L3"/>
    <mergeCell ref="Q3:Q4"/>
    <mergeCell ref="T3:X3"/>
    <mergeCell ref="Z3:AD3"/>
    <mergeCell ref="M3:P4"/>
  </mergeCells>
  <dataValidations xWindow="335" yWindow="509" count="2">
    <dataValidation allowBlank="1" showErrorMessage="1" sqref="M5:P54"/>
    <dataValidation allowBlank="1" showInputMessage="1" showErrorMessage="1" promptTitle="INFO" prompt="ini merupakan hasil rekapan sikap siswa yg berkaitan dgn sikap di atas dlm satu semester" sqref="E5:L54"/>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B54"/>
  <sheetViews>
    <sheetView zoomScale="85" zoomScaleNormal="85" workbookViewId="0">
      <pane ySplit="4" topLeftCell="A5" activePane="bottomLeft" state="frozen"/>
      <selection pane="bottomLeft"/>
    </sheetView>
  </sheetViews>
  <sheetFormatPr defaultColWidth="9.140625" defaultRowHeight="15"/>
  <cols>
    <col min="1" max="1" width="15" style="24" customWidth="1"/>
    <col min="2" max="2" width="5.28515625" style="24" customWidth="1"/>
    <col min="3" max="3" width="7.140625" style="24" hidden="1" customWidth="1"/>
    <col min="4" max="4" width="21.7109375" style="24" customWidth="1"/>
    <col min="5" max="18" width="5.28515625" style="24" customWidth="1"/>
    <col min="19" max="19" width="18.140625" style="24" customWidth="1"/>
    <col min="20" max="20" width="7.7109375" style="24" customWidth="1"/>
    <col min="21" max="21" width="9.28515625" style="24" customWidth="1"/>
    <col min="22" max="22" width="15.140625" style="24" customWidth="1"/>
    <col min="23" max="23" width="62.7109375" style="24" customWidth="1"/>
    <col min="24" max="24" width="5" style="24" customWidth="1"/>
    <col min="25" max="25" width="13" style="24" hidden="1" customWidth="1"/>
    <col min="26" max="51" width="7.28515625" style="24" hidden="1" customWidth="1"/>
    <col min="52" max="52" width="9.140625" style="24" hidden="1" customWidth="1"/>
    <col min="53" max="53" width="48" style="24" customWidth="1"/>
    <col min="54" max="54" width="32.7109375" style="24" hidden="1" customWidth="1"/>
    <col min="55" max="56" width="9.140625" style="24" customWidth="1"/>
    <col min="57" max="16384" width="9.140625" style="24"/>
  </cols>
  <sheetData>
    <row r="1" spans="1:54" ht="43.5" customHeight="1">
      <c r="A1" s="758"/>
      <c r="B1" s="1004" t="s">
        <v>1194</v>
      </c>
      <c r="C1" s="1004"/>
      <c r="D1" s="1004"/>
      <c r="E1" s="1004"/>
      <c r="F1" s="1004"/>
      <c r="G1" s="1004"/>
      <c r="H1" s="1004"/>
      <c r="I1" s="1004"/>
      <c r="J1" s="1004"/>
      <c r="K1" s="1004"/>
      <c r="L1" s="1004"/>
      <c r="M1" s="1004"/>
      <c r="N1" s="1004"/>
      <c r="O1" s="1004"/>
      <c r="P1" s="1004"/>
      <c r="Q1" s="1004"/>
      <c r="R1" s="1004"/>
      <c r="S1" s="1004"/>
      <c r="T1" s="1004"/>
      <c r="U1" s="1004"/>
      <c r="V1" s="1004"/>
      <c r="W1" s="1004"/>
      <c r="X1" s="264"/>
      <c r="Y1" s="126"/>
      <c r="Z1" s="126"/>
      <c r="AA1" s="126"/>
      <c r="AB1" s="126"/>
      <c r="AC1" s="126"/>
      <c r="AD1" s="126"/>
      <c r="AE1" s="126"/>
      <c r="BA1" s="977" t="s">
        <v>44</v>
      </c>
      <c r="BB1" s="977"/>
    </row>
    <row r="2" spans="1:54" ht="43.5" customHeight="1" thickBot="1">
      <c r="A2" s="758"/>
      <c r="B2" s="999" t="s">
        <v>1199</v>
      </c>
      <c r="C2" s="1000"/>
      <c r="D2" s="1000"/>
      <c r="E2" s="1000"/>
      <c r="F2" s="1000"/>
      <c r="G2" s="1000"/>
      <c r="H2" s="1000"/>
      <c r="I2" s="1000"/>
      <c r="J2" s="1000"/>
      <c r="K2" s="1000"/>
      <c r="L2" s="1000"/>
      <c r="M2" s="1000"/>
      <c r="N2" s="1000"/>
      <c r="O2" s="1000"/>
      <c r="P2" s="1000"/>
      <c r="Q2" s="1000"/>
      <c r="R2" s="1000"/>
      <c r="S2" s="1000"/>
      <c r="T2" s="1000"/>
      <c r="U2" s="1000"/>
      <c r="V2" s="1000"/>
      <c r="W2" s="1000"/>
      <c r="X2" s="264"/>
      <c r="Y2" s="126"/>
      <c r="Z2" s="126"/>
      <c r="AA2" s="126"/>
      <c r="AB2" s="126"/>
      <c r="AC2" s="126"/>
      <c r="AD2" s="126"/>
      <c r="AE2" s="126"/>
      <c r="BA2" s="977"/>
      <c r="BB2" s="977"/>
    </row>
    <row r="3" spans="1:54" ht="33.75" customHeight="1">
      <c r="A3" s="758"/>
      <c r="B3" s="982" t="s">
        <v>2</v>
      </c>
      <c r="C3" s="982" t="s">
        <v>45</v>
      </c>
      <c r="D3" s="982" t="s">
        <v>46</v>
      </c>
      <c r="E3" s="984" t="s">
        <v>306</v>
      </c>
      <c r="F3" s="984"/>
      <c r="G3" s="985" t="s">
        <v>307</v>
      </c>
      <c r="H3" s="985"/>
      <c r="I3" s="986" t="s">
        <v>308</v>
      </c>
      <c r="J3" s="986"/>
      <c r="K3" s="987" t="s">
        <v>309</v>
      </c>
      <c r="L3" s="987"/>
      <c r="M3" s="1001" t="s">
        <v>310</v>
      </c>
      <c r="N3" s="1001"/>
      <c r="O3" s="996" t="s">
        <v>311</v>
      </c>
      <c r="P3" s="996"/>
      <c r="Q3" s="996" t="s">
        <v>1193</v>
      </c>
      <c r="R3" s="996"/>
      <c r="S3" s="990" t="s">
        <v>338</v>
      </c>
      <c r="T3" s="991"/>
      <c r="U3" s="991"/>
      <c r="V3" s="992"/>
      <c r="W3" s="1002" t="s">
        <v>1</v>
      </c>
      <c r="X3" s="264"/>
      <c r="Y3" s="278" t="s">
        <v>34</v>
      </c>
      <c r="Z3" s="997" t="s">
        <v>312</v>
      </c>
      <c r="AA3" s="998"/>
      <c r="AB3" s="998"/>
      <c r="AC3" s="998"/>
      <c r="AD3" s="998"/>
      <c r="AE3" s="998"/>
      <c r="AF3" s="998"/>
      <c r="AG3" s="998"/>
      <c r="AH3" s="279"/>
      <c r="AI3" s="997" t="s">
        <v>149</v>
      </c>
      <c r="AJ3" s="998"/>
      <c r="AK3" s="998"/>
      <c r="AL3" s="998"/>
      <c r="AM3" s="998"/>
      <c r="AN3" s="998"/>
      <c r="AO3" s="998"/>
      <c r="AP3" s="998"/>
      <c r="AQ3" s="280"/>
      <c r="AR3" s="997" t="s">
        <v>313</v>
      </c>
      <c r="AS3" s="998"/>
      <c r="AT3" s="998"/>
      <c r="AU3" s="998"/>
      <c r="AV3" s="998"/>
      <c r="AW3" s="998"/>
      <c r="AX3" s="998"/>
      <c r="AY3" s="998"/>
      <c r="BA3" s="977"/>
      <c r="BB3" s="977"/>
    </row>
    <row r="4" spans="1:54" s="128" customFormat="1" ht="29.25" customHeight="1">
      <c r="A4" s="759"/>
      <c r="B4" s="983"/>
      <c r="C4" s="983"/>
      <c r="D4" s="983"/>
      <c r="E4" s="267" t="s">
        <v>297</v>
      </c>
      <c r="F4" s="267" t="s">
        <v>298</v>
      </c>
      <c r="G4" s="268" t="s">
        <v>297</v>
      </c>
      <c r="H4" s="268" t="s">
        <v>298</v>
      </c>
      <c r="I4" s="269" t="s">
        <v>297</v>
      </c>
      <c r="J4" s="269" t="s">
        <v>298</v>
      </c>
      <c r="K4" s="270" t="s">
        <v>297</v>
      </c>
      <c r="L4" s="270" t="s">
        <v>298</v>
      </c>
      <c r="M4" s="281" t="s">
        <v>297</v>
      </c>
      <c r="N4" s="281" t="s">
        <v>298</v>
      </c>
      <c r="O4" s="282" t="s">
        <v>297</v>
      </c>
      <c r="P4" s="282" t="s">
        <v>298</v>
      </c>
      <c r="Q4" s="282" t="s">
        <v>297</v>
      </c>
      <c r="R4" s="282" t="s">
        <v>298</v>
      </c>
      <c r="S4" s="993"/>
      <c r="T4" s="994"/>
      <c r="U4" s="994"/>
      <c r="V4" s="995"/>
      <c r="W4" s="1003"/>
      <c r="X4" s="271"/>
      <c r="Y4" s="283"/>
      <c r="Z4" s="284"/>
      <c r="AA4" s="285">
        <v>1</v>
      </c>
      <c r="AB4" s="285">
        <v>2</v>
      </c>
      <c r="AC4" s="285">
        <v>3</v>
      </c>
      <c r="AD4" s="285">
        <v>4</v>
      </c>
      <c r="AE4" s="285">
        <v>5</v>
      </c>
      <c r="AF4" s="285">
        <v>6</v>
      </c>
      <c r="AG4" s="285">
        <v>7</v>
      </c>
      <c r="AH4" s="286"/>
      <c r="AI4" s="285"/>
      <c r="AJ4" s="285">
        <v>1</v>
      </c>
      <c r="AK4" s="285">
        <v>2</v>
      </c>
      <c r="AL4" s="285">
        <v>3</v>
      </c>
      <c r="AM4" s="285">
        <v>4</v>
      </c>
      <c r="AN4" s="285">
        <v>5</v>
      </c>
      <c r="AO4" s="285">
        <v>6</v>
      </c>
      <c r="AP4" s="285">
        <v>7</v>
      </c>
      <c r="AQ4" s="286"/>
      <c r="AR4" s="284"/>
      <c r="AS4" s="285">
        <v>1</v>
      </c>
      <c r="AT4" s="285">
        <v>2</v>
      </c>
      <c r="AU4" s="285">
        <v>3</v>
      </c>
      <c r="AV4" s="285">
        <v>4</v>
      </c>
      <c r="AW4" s="285">
        <v>5</v>
      </c>
      <c r="AX4" s="285">
        <v>6</v>
      </c>
      <c r="AY4" s="285">
        <v>7</v>
      </c>
      <c r="BA4" s="978"/>
      <c r="BB4" s="978"/>
    </row>
    <row r="5" spans="1:54" ht="38.25" customHeight="1">
      <c r="A5" s="758"/>
      <c r="B5" s="129">
        <v>1</v>
      </c>
      <c r="C5" s="130">
        <f>SISWA!B6</f>
        <v>4822</v>
      </c>
      <c r="D5" s="131" t="str">
        <f>SISWA!E6</f>
        <v>Anak 1</v>
      </c>
      <c r="E5" s="764">
        <f>'KI2'!BQ10</f>
        <v>0</v>
      </c>
      <c r="F5" s="764">
        <f>'KI2'!BR10</f>
        <v>0</v>
      </c>
      <c r="G5" s="764">
        <f>'KI2'!BS10</f>
        <v>0</v>
      </c>
      <c r="H5" s="764">
        <f>'KI2'!BT10</f>
        <v>0</v>
      </c>
      <c r="I5" s="764">
        <f>'KI2'!BU10</f>
        <v>0</v>
      </c>
      <c r="J5" s="764">
        <f>'KI2'!BV10</f>
        <v>0</v>
      </c>
      <c r="K5" s="764">
        <f>'KI2'!BW10</f>
        <v>0</v>
      </c>
      <c r="L5" s="764">
        <f>'KI2'!BX10</f>
        <v>1</v>
      </c>
      <c r="M5" s="764">
        <f>'KI2'!BY10</f>
        <v>0</v>
      </c>
      <c r="N5" s="764">
        <f>'KI2'!BZ10</f>
        <v>0</v>
      </c>
      <c r="O5" s="764">
        <f>'KI2'!CA10</f>
        <v>0</v>
      </c>
      <c r="P5" s="764">
        <f>'KI2'!CB10</f>
        <v>0</v>
      </c>
      <c r="Q5" s="764">
        <f>'KI2'!CC10</f>
        <v>0</v>
      </c>
      <c r="R5" s="764">
        <f>'KI2'!CD10</f>
        <v>0</v>
      </c>
      <c r="S5" s="765" t="str">
        <f>"Ananda "&amp;D5</f>
        <v>Ananda Anak 1</v>
      </c>
      <c r="T5" s="827" t="str">
        <f>IF(AND(AA5="",AB5="",AC5="",AD5="",AE5="",AF5="",AG5=""),"","sangat ")</f>
        <v/>
      </c>
      <c r="U5" s="827" t="str">
        <f>IF(AND(AJ5="",AK5="",AL5="",AM5="",AN5="",AO5="",AP5=""),"","baik dalam sikap ")</f>
        <v xml:space="preserve">baik dalam sikap </v>
      </c>
      <c r="V5" s="827" t="str">
        <f>IF(AND(AS5="",AT5="",AU5="",AV5="",AW5="",AX5="",AY5=""),"","dan sudah mampu meningkatkan sikap ")</f>
        <v xml:space="preserve">dan sudah mampu meningkatkan sikap </v>
      </c>
      <c r="W5" s="287" t="str">
        <f>S5&amp;" "&amp;T5&amp;AA5&amp;AB5&amp;AC5&amp;AD5&amp;AE5&amp;AF5&amp;AG5&amp;U5&amp;AJ5&amp;AK5&amp;AL5&amp;AM5&amp;AN5&amp;AO5&amp;AP5&amp;V5&amp;AS5&amp;AT5&amp;AU5&amp;AV5&amp;AW5&amp;AX5&amp;AY5</f>
        <v xml:space="preserve">Ananda Anak 1 baik dalam sikap jujur, disiplin, tanggung jawab, peduli, percaya diri, kerja sama, dan sudah mampu meningkatkan sikap santun, </v>
      </c>
      <c r="X5" s="132"/>
      <c r="Y5" s="288" t="str">
        <f>"Ananda "&amp;D5</f>
        <v>Ananda Anak 1</v>
      </c>
      <c r="Z5" s="289" t="str">
        <f>IF(AND(AA5="",AB5="",AC5="",AD5="",AE5="",AF5="",AG5=""),"","sangat ")</f>
        <v/>
      </c>
      <c r="AA5" s="289" t="str">
        <f>IF($E5&gt;F5,($BA$5&amp;", "),"")</f>
        <v/>
      </c>
      <c r="AB5" s="289" t="str">
        <f>IF($G5&gt;H5,($BA$6&amp;", "),"")</f>
        <v/>
      </c>
      <c r="AC5" s="289" t="str">
        <f>IF($I5&gt;J5,($BA$7&amp;", "),"")</f>
        <v/>
      </c>
      <c r="AD5" s="289" t="str">
        <f>IF($K5&gt;L5,($BA$8&amp;", "),"")</f>
        <v/>
      </c>
      <c r="AE5" s="289" t="str">
        <f>IF($M5&gt;N5,($BA$9&amp;", "),"")</f>
        <v/>
      </c>
      <c r="AF5" s="289" t="str">
        <f>IF($O5&gt;P5,($BA$10&amp;", "),"")</f>
        <v/>
      </c>
      <c r="AG5" s="289" t="str">
        <f>IF($Q5&gt;R5,($BA$11&amp;", "),"")</f>
        <v/>
      </c>
      <c r="AH5" s="290"/>
      <c r="AI5" s="289" t="str">
        <f>IF(AND(AJ5="",AK5="",AL5="",AM5="",AN5="",AO5="",AP5=""),"","baik dalam sikap ")</f>
        <v xml:space="preserve">baik dalam sikap </v>
      </c>
      <c r="AJ5" s="291" t="str">
        <f>IF(AND($Z5&lt;&gt;"",$AR5&lt;&gt;""),"",IF(AND(AA5="",AS5=""),$BA$5&amp;", ",""))</f>
        <v xml:space="preserve">jujur, </v>
      </c>
      <c r="AK5" s="291" t="str">
        <f>IF(AND($Z5&lt;&gt;"",$AR5&lt;&gt;""),"",IF(AND(AB5="",AT5=""),$BA$6&amp;", ",""))</f>
        <v xml:space="preserve">disiplin, </v>
      </c>
      <c r="AL5" s="291" t="str">
        <f>IF(AND($Z5&lt;&gt;"",$AR5&lt;&gt;""),"",IF(AND(AC5="",AU5=""),$BA$7&amp;", ",""))</f>
        <v xml:space="preserve">tanggung jawab, </v>
      </c>
      <c r="AM5" s="291" t="str">
        <f>IF(AND($Z5&lt;&gt;"",$AR5&lt;&gt;""),"",IF(AND(AD5="",AV5=""),$BA$8&amp;", ",""))</f>
        <v/>
      </c>
      <c r="AN5" s="291" t="str">
        <f>IF(AND($Z5&lt;&gt;"",$AR5&lt;&gt;""),"",IF(AND(AE5="",AW5=""),$BA$9&amp;", ",""))</f>
        <v xml:space="preserve">peduli, </v>
      </c>
      <c r="AO5" s="291" t="str">
        <f>IF(AND($Z5&lt;&gt;"",$AR5&lt;&gt;""),"",IF(AND(AF5="",AX5=""),$BA$10&amp;", ",""))</f>
        <v xml:space="preserve">percaya diri, </v>
      </c>
      <c r="AP5" s="291" t="str">
        <f>IF(AND($Z5&lt;&gt;"",$AR5&lt;&gt;""),"",IF(AND(AG5="",AY5=""),$BA$11&amp;", ",""))</f>
        <v xml:space="preserve">kerja sama, </v>
      </c>
      <c r="AQ5" s="290"/>
      <c r="AR5" s="289" t="str">
        <f>IF(AND(AS5="",AT5="",AU5="",AV5="",AW5="",AX5="",AY5=""),"","dan sudah mampu meningkatkan sikap ")</f>
        <v xml:space="preserve">dan sudah mampu meningkatkan sikap </v>
      </c>
      <c r="AS5" s="289" t="str">
        <f>IF($F5&gt;E5,($BA$5&amp;", "),"")</f>
        <v/>
      </c>
      <c r="AT5" s="289" t="str">
        <f>IF($H5&gt;G5,($BA$6&amp;", "),"")</f>
        <v/>
      </c>
      <c r="AU5" s="289" t="str">
        <f>IF($J5&gt;I5,($BA$7&amp;", "),"")</f>
        <v/>
      </c>
      <c r="AV5" s="289" t="str">
        <f>IF($L5&gt;K5,($BA$8&amp;", "),"")</f>
        <v xml:space="preserve">santun, </v>
      </c>
      <c r="AW5" s="289" t="str">
        <f>IF($N5&gt;M5,($BA$9&amp;", "),"")</f>
        <v/>
      </c>
      <c r="AX5" s="289" t="str">
        <f>IF($P5&gt;O5,($BA$10&amp;"."),"")</f>
        <v/>
      </c>
      <c r="AY5" s="289" t="str">
        <f>IF($R5&gt;Q5,($BA$11&amp;"."),"")</f>
        <v/>
      </c>
      <c r="AZ5" s="133" t="str">
        <f>IF(O5=1,$O$3," ")</f>
        <v xml:space="preserve"> </v>
      </c>
      <c r="BA5" s="828" t="s">
        <v>306</v>
      </c>
      <c r="BB5" s="292"/>
    </row>
    <row r="6" spans="1:54" ht="38.25" customHeight="1">
      <c r="A6" s="758"/>
      <c r="B6" s="134">
        <v>2</v>
      </c>
      <c r="C6" s="130">
        <f>SISWA!B7</f>
        <v>0</v>
      </c>
      <c r="D6" s="131" t="str">
        <f>SISWA!E7</f>
        <v>Anak 2</v>
      </c>
      <c r="E6" s="764">
        <f>'KI2'!BQ11</f>
        <v>0</v>
      </c>
      <c r="F6" s="764">
        <f>'KI2'!BR11</f>
        <v>0</v>
      </c>
      <c r="G6" s="764">
        <f>'KI2'!BS11</f>
        <v>0</v>
      </c>
      <c r="H6" s="764">
        <f>'KI2'!BT11</f>
        <v>0</v>
      </c>
      <c r="I6" s="764">
        <f>'KI2'!BU11</f>
        <v>2</v>
      </c>
      <c r="J6" s="764">
        <f>'KI2'!BV11</f>
        <v>0</v>
      </c>
      <c r="K6" s="764">
        <f>'KI2'!BW11</f>
        <v>0</v>
      </c>
      <c r="L6" s="764">
        <f>'KI2'!BX11</f>
        <v>0</v>
      </c>
      <c r="M6" s="764">
        <f>'KI2'!BY11</f>
        <v>0</v>
      </c>
      <c r="N6" s="764">
        <f>'KI2'!BZ11</f>
        <v>0</v>
      </c>
      <c r="O6" s="764">
        <f>'KI2'!CA11</f>
        <v>0</v>
      </c>
      <c r="P6" s="764">
        <f>'KI2'!CB11</f>
        <v>0</v>
      </c>
      <c r="Q6" s="764">
        <f>'KI2'!CC11</f>
        <v>0</v>
      </c>
      <c r="R6" s="764">
        <f>'KI2'!CD11</f>
        <v>0</v>
      </c>
      <c r="S6" s="765" t="str">
        <f t="shared" ref="S6:S54" si="0">"Ananda "&amp;D6</f>
        <v>Ananda Anak 2</v>
      </c>
      <c r="T6" s="827" t="str">
        <f t="shared" ref="T6:T54" si="1">IF(AND(AA6="",AB6="",AC6="",AD6="",AE6="",AF6="",AG6=""),"","sangat ")</f>
        <v xml:space="preserve">sangat </v>
      </c>
      <c r="U6" s="827" t="str">
        <f t="shared" ref="U6:U54" si="2">IF(AND(AJ6="",AK6="",AL6="",AM6="",AN6="",AO6="",AP6=""),"","baik dalam sikap ")</f>
        <v xml:space="preserve">baik dalam sikap </v>
      </c>
      <c r="V6" s="827" t="str">
        <f t="shared" ref="V6:V54" si="3">IF(AND(AS6="",AT6="",AU6="",AV6="",AW6="",AX6="",AY6=""),"","dan sudah mampu meningkatkan sikap ")</f>
        <v/>
      </c>
      <c r="W6" s="287" t="str">
        <f t="shared" ref="W6:W54" si="4">S6&amp;" "&amp;T6&amp;AA6&amp;AB6&amp;AC6&amp;AD6&amp;AE6&amp;AF6&amp;AG6&amp;U6&amp;AJ6&amp;AK6&amp;AL6&amp;AM6&amp;AN6&amp;AO6&amp;AP6&amp;V6&amp;AS6&amp;AT6&amp;AU6&amp;AV6&amp;AW6&amp;AX6&amp;AY6</f>
        <v xml:space="preserve">Ananda Anak 2 sangat tanggung jawab, baik dalam sikap jujur, disiplin, santun, peduli, percaya diri, kerja sama, </v>
      </c>
      <c r="Y6" s="288" t="str">
        <f t="shared" ref="Y6:Y54" si="5">"Ananda "&amp;D6</f>
        <v>Ananda Anak 2</v>
      </c>
      <c r="Z6" s="289" t="str">
        <f t="shared" ref="Z6:Z54" si="6">IF(AND(AA6="",AB6="",AC6="",AD6="",AE6="",AF6="",AG6=""),"","sangat ")</f>
        <v xml:space="preserve">sangat </v>
      </c>
      <c r="AA6" s="289" t="str">
        <f t="shared" ref="AA6:AA54" si="7">IF($E6&gt;F6,($BA$5&amp;", "),"")</f>
        <v/>
      </c>
      <c r="AB6" s="289" t="str">
        <f t="shared" ref="AB6:AB54" si="8">IF($G6&gt;H6,($BA$6&amp;", "),"")</f>
        <v/>
      </c>
      <c r="AC6" s="289" t="str">
        <f t="shared" ref="AC6:AC54" si="9">IF($I6&gt;J6,($BA$7&amp;", "),"")</f>
        <v xml:space="preserve">tanggung jawab, </v>
      </c>
      <c r="AD6" s="289" t="str">
        <f t="shared" ref="AD6:AD54" si="10">IF($K6&gt;L6,($BA$8&amp;", "),"")</f>
        <v/>
      </c>
      <c r="AE6" s="289" t="str">
        <f t="shared" ref="AE6:AE54" si="11">IF($M6&gt;N6,($BA$9&amp;", "),"")</f>
        <v/>
      </c>
      <c r="AF6" s="289" t="str">
        <f t="shared" ref="AF6:AF54" si="12">IF($O6&gt;P6,($BA$10&amp;", "),"")</f>
        <v/>
      </c>
      <c r="AG6" s="289" t="str">
        <f t="shared" ref="AG6:AG54" si="13">IF($Q6&gt;R6,($BA$11&amp;", "),"")</f>
        <v/>
      </c>
      <c r="AH6" s="290"/>
      <c r="AI6" s="289" t="str">
        <f t="shared" ref="AI6:AI54" si="14">IF(AND(AJ6="",AK6="",AL6="",AM6="",AN6="",AO6="",AP6=""),"","baik dalam sikap ")</f>
        <v xml:space="preserve">baik dalam sikap </v>
      </c>
      <c r="AJ6" s="291" t="str">
        <f t="shared" ref="AJ6:AJ54" si="15">IF(AND($Z6&lt;&gt;"",$AR6&lt;&gt;""),"",IF(AND(AA6="",AS6=""),$BA$5&amp;", ",""))</f>
        <v xml:space="preserve">jujur, </v>
      </c>
      <c r="AK6" s="291" t="str">
        <f t="shared" ref="AK6:AK54" si="16">IF(AND($Z6&lt;&gt;"",$AR6&lt;&gt;""),"",IF(AND(AB6="",AT6=""),$BA$6&amp;", ",""))</f>
        <v xml:space="preserve">disiplin, </v>
      </c>
      <c r="AL6" s="291" t="str">
        <f t="shared" ref="AL6:AL54" si="17">IF(AND($Z6&lt;&gt;"",$AR6&lt;&gt;""),"",IF(AND(AC6="",AU6=""),$BA$7&amp;", ",""))</f>
        <v/>
      </c>
      <c r="AM6" s="291" t="str">
        <f t="shared" ref="AM6:AM54" si="18">IF(AND($Z6&lt;&gt;"",$AR6&lt;&gt;""),"",IF(AND(AD6="",AV6=""),$BA$8&amp;", ",""))</f>
        <v xml:space="preserve">santun, </v>
      </c>
      <c r="AN6" s="291" t="str">
        <f t="shared" ref="AN6:AN54" si="19">IF(AND($Z6&lt;&gt;"",$AR6&lt;&gt;""),"",IF(AND(AE6="",AW6=""),$BA$9&amp;", ",""))</f>
        <v xml:space="preserve">peduli, </v>
      </c>
      <c r="AO6" s="291" t="str">
        <f t="shared" ref="AO6:AO54" si="20">IF(AND($Z6&lt;&gt;"",$AR6&lt;&gt;""),"",IF(AND(AF6="",AX6=""),$BA$10&amp;", ",""))</f>
        <v xml:space="preserve">percaya diri, </v>
      </c>
      <c r="AP6" s="291" t="str">
        <f t="shared" ref="AP6:AP54" si="21">IF(AND($Z6&lt;&gt;"",$AR6&lt;&gt;""),"",IF(AND(AG6="",AY6=""),$BA$11&amp;", ",""))</f>
        <v xml:space="preserve">kerja sama, </v>
      </c>
      <c r="AQ6" s="290"/>
      <c r="AR6" s="289" t="str">
        <f t="shared" ref="AR6:AR54" si="22">IF(AND(AS6="",AT6="",AU6="",AV6="",AW6="",AX6="",AY6=""),"","dan sudah mampu meningkatkan sikap ")</f>
        <v/>
      </c>
      <c r="AS6" s="289" t="str">
        <f t="shared" ref="AS6:AS54" si="23">IF($F6&gt;E6,($BA$5&amp;", "),"")</f>
        <v/>
      </c>
      <c r="AT6" s="289" t="str">
        <f t="shared" ref="AT6:AT54" si="24">IF($H6&gt;G6,($BA$6&amp;", "),"")</f>
        <v/>
      </c>
      <c r="AU6" s="289" t="str">
        <f t="shared" ref="AU6:AU54" si="25">IF($J6&gt;I6,($BA$7&amp;", "),"")</f>
        <v/>
      </c>
      <c r="AV6" s="289" t="str">
        <f t="shared" ref="AV6:AV54" si="26">IF($L6&gt;K6,($BA$8&amp;", "),"")</f>
        <v/>
      </c>
      <c r="AW6" s="289" t="str">
        <f t="shared" ref="AW6:AW54" si="27">IF($N6&gt;M6,($BA$9&amp;", "),"")</f>
        <v/>
      </c>
      <c r="AX6" s="289" t="str">
        <f t="shared" ref="AX6:AX54" si="28">IF($P6&gt;O6,($BA$10&amp;"."),"")</f>
        <v/>
      </c>
      <c r="AY6" s="289" t="str">
        <f t="shared" ref="AY6:AY54" si="29">IF($R6&gt;Q6,($BA$11&amp;"."),"")</f>
        <v/>
      </c>
      <c r="AZ6" s="133" t="str">
        <f t="shared" ref="AZ6:AZ54" si="30">IF(O6=1,$O$3," ")</f>
        <v xml:space="preserve"> </v>
      </c>
      <c r="BA6" s="829" t="s">
        <v>307</v>
      </c>
      <c r="BB6" s="293"/>
    </row>
    <row r="7" spans="1:54" ht="38.25" customHeight="1">
      <c r="A7" s="758"/>
      <c r="B7" s="129">
        <v>3</v>
      </c>
      <c r="C7" s="130">
        <f>SISWA!B8</f>
        <v>0</v>
      </c>
      <c r="D7" s="131" t="str">
        <f>SISWA!E8</f>
        <v>Anak 3</v>
      </c>
      <c r="E7" s="764">
        <f>'KI2'!BQ12</f>
        <v>0</v>
      </c>
      <c r="F7" s="764">
        <f>'KI2'!BR12</f>
        <v>0</v>
      </c>
      <c r="G7" s="764">
        <f>'KI2'!BS12</f>
        <v>0</v>
      </c>
      <c r="H7" s="764">
        <f>'KI2'!BT12</f>
        <v>0</v>
      </c>
      <c r="I7" s="764">
        <f>'KI2'!BU12</f>
        <v>0</v>
      </c>
      <c r="J7" s="764">
        <f>'KI2'!BV12</f>
        <v>0</v>
      </c>
      <c r="K7" s="764">
        <f>'KI2'!BW12</f>
        <v>0</v>
      </c>
      <c r="L7" s="764">
        <f>'KI2'!BX12</f>
        <v>0</v>
      </c>
      <c r="M7" s="764">
        <f>'KI2'!BY12</f>
        <v>0</v>
      </c>
      <c r="N7" s="764">
        <f>'KI2'!BZ12</f>
        <v>0</v>
      </c>
      <c r="O7" s="764">
        <f>'KI2'!CA12</f>
        <v>0</v>
      </c>
      <c r="P7" s="764">
        <f>'KI2'!CB12</f>
        <v>0</v>
      </c>
      <c r="Q7" s="764">
        <f>'KI2'!CC12</f>
        <v>0</v>
      </c>
      <c r="R7" s="764">
        <f>'KI2'!CD12</f>
        <v>0</v>
      </c>
      <c r="S7" s="765" t="str">
        <f t="shared" si="0"/>
        <v>Ananda Anak 3</v>
      </c>
      <c r="T7" s="827" t="str">
        <f t="shared" si="1"/>
        <v/>
      </c>
      <c r="U7" s="827" t="str">
        <f t="shared" si="2"/>
        <v xml:space="preserve">baik dalam sikap </v>
      </c>
      <c r="V7" s="827" t="str">
        <f t="shared" si="3"/>
        <v/>
      </c>
      <c r="W7" s="287" t="str">
        <f t="shared" si="4"/>
        <v xml:space="preserve">Ananda Anak 3 baik dalam sikap jujur, disiplin, tanggung jawab, santun, peduli, percaya diri, kerja sama, </v>
      </c>
      <c r="Y7" s="288" t="str">
        <f t="shared" si="5"/>
        <v>Ananda Anak 3</v>
      </c>
      <c r="Z7" s="289" t="str">
        <f t="shared" si="6"/>
        <v/>
      </c>
      <c r="AA7" s="289" t="str">
        <f t="shared" si="7"/>
        <v/>
      </c>
      <c r="AB7" s="289" t="str">
        <f t="shared" si="8"/>
        <v/>
      </c>
      <c r="AC7" s="289" t="str">
        <f t="shared" si="9"/>
        <v/>
      </c>
      <c r="AD7" s="289" t="str">
        <f t="shared" si="10"/>
        <v/>
      </c>
      <c r="AE7" s="289" t="str">
        <f t="shared" si="11"/>
        <v/>
      </c>
      <c r="AF7" s="289" t="str">
        <f t="shared" si="12"/>
        <v/>
      </c>
      <c r="AG7" s="289" t="str">
        <f t="shared" si="13"/>
        <v/>
      </c>
      <c r="AH7" s="290"/>
      <c r="AI7" s="289" t="str">
        <f t="shared" si="14"/>
        <v xml:space="preserve">baik dalam sikap </v>
      </c>
      <c r="AJ7" s="291" t="str">
        <f t="shared" si="15"/>
        <v xml:space="preserve">jujur, </v>
      </c>
      <c r="AK7" s="291" t="str">
        <f t="shared" si="16"/>
        <v xml:space="preserve">disiplin, </v>
      </c>
      <c r="AL7" s="291" t="str">
        <f t="shared" si="17"/>
        <v xml:space="preserve">tanggung jawab, </v>
      </c>
      <c r="AM7" s="291" t="str">
        <f t="shared" si="18"/>
        <v xml:space="preserve">santun, </v>
      </c>
      <c r="AN7" s="291" t="str">
        <f t="shared" si="19"/>
        <v xml:space="preserve">peduli, </v>
      </c>
      <c r="AO7" s="291" t="str">
        <f t="shared" si="20"/>
        <v xml:space="preserve">percaya diri, </v>
      </c>
      <c r="AP7" s="291" t="str">
        <f t="shared" si="21"/>
        <v xml:space="preserve">kerja sama, </v>
      </c>
      <c r="AQ7" s="290"/>
      <c r="AR7" s="289" t="str">
        <f t="shared" si="22"/>
        <v/>
      </c>
      <c r="AS7" s="289" t="str">
        <f t="shared" si="23"/>
        <v/>
      </c>
      <c r="AT7" s="289" t="str">
        <f t="shared" si="24"/>
        <v/>
      </c>
      <c r="AU7" s="289" t="str">
        <f t="shared" si="25"/>
        <v/>
      </c>
      <c r="AV7" s="289" t="str">
        <f t="shared" si="26"/>
        <v/>
      </c>
      <c r="AW7" s="289" t="str">
        <f t="shared" si="27"/>
        <v/>
      </c>
      <c r="AX7" s="289" t="str">
        <f t="shared" si="28"/>
        <v/>
      </c>
      <c r="AY7" s="289" t="str">
        <f t="shared" si="29"/>
        <v/>
      </c>
      <c r="AZ7" s="133" t="str">
        <f t="shared" si="30"/>
        <v xml:space="preserve"> </v>
      </c>
      <c r="BA7" s="829" t="s">
        <v>308</v>
      </c>
      <c r="BB7" s="293"/>
    </row>
    <row r="8" spans="1:54" ht="38.25" customHeight="1">
      <c r="A8" s="758"/>
      <c r="B8" s="134">
        <v>4</v>
      </c>
      <c r="C8" s="130">
        <f>SISWA!B9</f>
        <v>0</v>
      </c>
      <c r="D8" s="131" t="str">
        <f>SISWA!E9</f>
        <v>Anak 4</v>
      </c>
      <c r="E8" s="764">
        <f>'KI2'!BQ13</f>
        <v>0</v>
      </c>
      <c r="F8" s="764">
        <f>'KI2'!BR13</f>
        <v>0</v>
      </c>
      <c r="G8" s="764">
        <f>'KI2'!BS13</f>
        <v>1</v>
      </c>
      <c r="H8" s="764">
        <f>'KI2'!BT13</f>
        <v>1</v>
      </c>
      <c r="I8" s="764">
        <f>'KI2'!BU13</f>
        <v>0</v>
      </c>
      <c r="J8" s="764">
        <f>'KI2'!BV13</f>
        <v>0</v>
      </c>
      <c r="K8" s="764">
        <f>'KI2'!BW13</f>
        <v>0</v>
      </c>
      <c r="L8" s="764">
        <f>'KI2'!BX13</f>
        <v>0</v>
      </c>
      <c r="M8" s="764">
        <f>'KI2'!BY13</f>
        <v>0</v>
      </c>
      <c r="N8" s="764">
        <f>'KI2'!BZ13</f>
        <v>0</v>
      </c>
      <c r="O8" s="764">
        <f>'KI2'!CA13</f>
        <v>0</v>
      </c>
      <c r="P8" s="764">
        <f>'KI2'!CB13</f>
        <v>0</v>
      </c>
      <c r="Q8" s="764">
        <f>'KI2'!CC13</f>
        <v>0</v>
      </c>
      <c r="R8" s="764">
        <f>'KI2'!CD13</f>
        <v>0</v>
      </c>
      <c r="S8" s="765" t="str">
        <f t="shared" si="0"/>
        <v>Ananda Anak 4</v>
      </c>
      <c r="T8" s="827" t="str">
        <f t="shared" si="1"/>
        <v/>
      </c>
      <c r="U8" s="827" t="str">
        <f t="shared" si="2"/>
        <v xml:space="preserve">baik dalam sikap </v>
      </c>
      <c r="V8" s="827" t="str">
        <f t="shared" si="3"/>
        <v/>
      </c>
      <c r="W8" s="287" t="str">
        <f t="shared" si="4"/>
        <v xml:space="preserve">Ananda Anak 4 baik dalam sikap jujur, disiplin, tanggung jawab, santun, peduli, percaya diri, kerja sama, </v>
      </c>
      <c r="Y8" s="288" t="str">
        <f t="shared" si="5"/>
        <v>Ananda Anak 4</v>
      </c>
      <c r="Z8" s="289" t="str">
        <f t="shared" si="6"/>
        <v/>
      </c>
      <c r="AA8" s="289" t="str">
        <f t="shared" si="7"/>
        <v/>
      </c>
      <c r="AB8" s="289" t="str">
        <f t="shared" si="8"/>
        <v/>
      </c>
      <c r="AC8" s="289" t="str">
        <f t="shared" si="9"/>
        <v/>
      </c>
      <c r="AD8" s="289" t="str">
        <f t="shared" si="10"/>
        <v/>
      </c>
      <c r="AE8" s="289" t="str">
        <f t="shared" si="11"/>
        <v/>
      </c>
      <c r="AF8" s="289" t="str">
        <f t="shared" si="12"/>
        <v/>
      </c>
      <c r="AG8" s="289" t="str">
        <f t="shared" si="13"/>
        <v/>
      </c>
      <c r="AH8" s="290"/>
      <c r="AI8" s="289" t="str">
        <f t="shared" si="14"/>
        <v xml:space="preserve">baik dalam sikap </v>
      </c>
      <c r="AJ8" s="291" t="str">
        <f t="shared" si="15"/>
        <v xml:space="preserve">jujur, </v>
      </c>
      <c r="AK8" s="291" t="str">
        <f t="shared" si="16"/>
        <v xml:space="preserve">disiplin, </v>
      </c>
      <c r="AL8" s="291" t="str">
        <f t="shared" si="17"/>
        <v xml:space="preserve">tanggung jawab, </v>
      </c>
      <c r="AM8" s="291" t="str">
        <f t="shared" si="18"/>
        <v xml:space="preserve">santun, </v>
      </c>
      <c r="AN8" s="291" t="str">
        <f t="shared" si="19"/>
        <v xml:space="preserve">peduli, </v>
      </c>
      <c r="AO8" s="291" t="str">
        <f t="shared" si="20"/>
        <v xml:space="preserve">percaya diri, </v>
      </c>
      <c r="AP8" s="291" t="str">
        <f t="shared" si="21"/>
        <v xml:space="preserve">kerja sama, </v>
      </c>
      <c r="AQ8" s="290"/>
      <c r="AR8" s="289" t="str">
        <f t="shared" si="22"/>
        <v/>
      </c>
      <c r="AS8" s="289" t="str">
        <f t="shared" si="23"/>
        <v/>
      </c>
      <c r="AT8" s="289" t="str">
        <f t="shared" si="24"/>
        <v/>
      </c>
      <c r="AU8" s="289" t="str">
        <f t="shared" si="25"/>
        <v/>
      </c>
      <c r="AV8" s="289" t="str">
        <f t="shared" si="26"/>
        <v/>
      </c>
      <c r="AW8" s="289" t="str">
        <f t="shared" si="27"/>
        <v/>
      </c>
      <c r="AX8" s="289" t="str">
        <f t="shared" si="28"/>
        <v/>
      </c>
      <c r="AY8" s="289" t="str">
        <f t="shared" si="29"/>
        <v/>
      </c>
      <c r="AZ8" s="133" t="str">
        <f t="shared" si="30"/>
        <v xml:space="preserve"> </v>
      </c>
      <c r="BA8" s="829" t="s">
        <v>309</v>
      </c>
      <c r="BB8" s="293"/>
    </row>
    <row r="9" spans="1:54" ht="38.25" customHeight="1">
      <c r="A9" s="758"/>
      <c r="B9" s="129">
        <v>5</v>
      </c>
      <c r="C9" s="130">
        <f>SISWA!B10</f>
        <v>0</v>
      </c>
      <c r="D9" s="131" t="str">
        <f>SISWA!E10</f>
        <v>Anak 5</v>
      </c>
      <c r="E9" s="764">
        <f>'KI2'!BQ14</f>
        <v>0</v>
      </c>
      <c r="F9" s="764">
        <f>'KI2'!BR14</f>
        <v>0</v>
      </c>
      <c r="G9" s="764">
        <f>'KI2'!BS14</f>
        <v>0</v>
      </c>
      <c r="H9" s="764">
        <f>'KI2'!BT14</f>
        <v>0</v>
      </c>
      <c r="I9" s="764">
        <f>'KI2'!BU14</f>
        <v>0</v>
      </c>
      <c r="J9" s="764">
        <f>'KI2'!BV14</f>
        <v>0</v>
      </c>
      <c r="K9" s="764">
        <f>'KI2'!BW14</f>
        <v>0</v>
      </c>
      <c r="L9" s="764">
        <f>'KI2'!BX14</f>
        <v>0</v>
      </c>
      <c r="M9" s="764">
        <f>'KI2'!BY14</f>
        <v>0</v>
      </c>
      <c r="N9" s="764">
        <f>'KI2'!BZ14</f>
        <v>0</v>
      </c>
      <c r="O9" s="764">
        <f>'KI2'!CA14</f>
        <v>0</v>
      </c>
      <c r="P9" s="764">
        <f>'KI2'!CB14</f>
        <v>0</v>
      </c>
      <c r="Q9" s="764">
        <f>'KI2'!CC14</f>
        <v>0</v>
      </c>
      <c r="R9" s="764">
        <f>'KI2'!CD14</f>
        <v>0</v>
      </c>
      <c r="S9" s="765" t="str">
        <f t="shared" si="0"/>
        <v>Ananda Anak 5</v>
      </c>
      <c r="T9" s="827" t="str">
        <f t="shared" si="1"/>
        <v/>
      </c>
      <c r="U9" s="827" t="str">
        <f t="shared" si="2"/>
        <v xml:space="preserve">baik dalam sikap </v>
      </c>
      <c r="V9" s="827" t="str">
        <f t="shared" si="3"/>
        <v/>
      </c>
      <c r="W9" s="287" t="str">
        <f t="shared" si="4"/>
        <v xml:space="preserve">Ananda Anak 5 baik dalam sikap jujur, disiplin, tanggung jawab, santun, peduli, percaya diri, kerja sama, </v>
      </c>
      <c r="Y9" s="288" t="str">
        <f t="shared" si="5"/>
        <v>Ananda Anak 5</v>
      </c>
      <c r="Z9" s="289" t="str">
        <f t="shared" si="6"/>
        <v/>
      </c>
      <c r="AA9" s="289" t="str">
        <f t="shared" si="7"/>
        <v/>
      </c>
      <c r="AB9" s="289" t="str">
        <f t="shared" si="8"/>
        <v/>
      </c>
      <c r="AC9" s="289" t="str">
        <f t="shared" si="9"/>
        <v/>
      </c>
      <c r="AD9" s="289" t="str">
        <f t="shared" si="10"/>
        <v/>
      </c>
      <c r="AE9" s="289" t="str">
        <f t="shared" si="11"/>
        <v/>
      </c>
      <c r="AF9" s="289" t="str">
        <f t="shared" si="12"/>
        <v/>
      </c>
      <c r="AG9" s="289" t="str">
        <f t="shared" si="13"/>
        <v/>
      </c>
      <c r="AH9" s="290"/>
      <c r="AI9" s="289" t="str">
        <f t="shared" si="14"/>
        <v xml:space="preserve">baik dalam sikap </v>
      </c>
      <c r="AJ9" s="291" t="str">
        <f t="shared" si="15"/>
        <v xml:space="preserve">jujur, </v>
      </c>
      <c r="AK9" s="291" t="str">
        <f t="shared" si="16"/>
        <v xml:space="preserve">disiplin, </v>
      </c>
      <c r="AL9" s="291" t="str">
        <f t="shared" si="17"/>
        <v xml:space="preserve">tanggung jawab, </v>
      </c>
      <c r="AM9" s="291" t="str">
        <f t="shared" si="18"/>
        <v xml:space="preserve">santun, </v>
      </c>
      <c r="AN9" s="291" t="str">
        <f t="shared" si="19"/>
        <v xml:space="preserve">peduli, </v>
      </c>
      <c r="AO9" s="291" t="str">
        <f t="shared" si="20"/>
        <v xml:space="preserve">percaya diri, </v>
      </c>
      <c r="AP9" s="291" t="str">
        <f t="shared" si="21"/>
        <v xml:space="preserve">kerja sama, </v>
      </c>
      <c r="AQ9" s="290"/>
      <c r="AR9" s="289" t="str">
        <f t="shared" si="22"/>
        <v/>
      </c>
      <c r="AS9" s="289" t="str">
        <f t="shared" si="23"/>
        <v/>
      </c>
      <c r="AT9" s="289" t="str">
        <f t="shared" si="24"/>
        <v/>
      </c>
      <c r="AU9" s="289" t="str">
        <f t="shared" si="25"/>
        <v/>
      </c>
      <c r="AV9" s="289" t="str">
        <f t="shared" si="26"/>
        <v/>
      </c>
      <c r="AW9" s="289" t="str">
        <f t="shared" si="27"/>
        <v/>
      </c>
      <c r="AX9" s="289" t="str">
        <f t="shared" si="28"/>
        <v/>
      </c>
      <c r="AY9" s="289" t="str">
        <f t="shared" si="29"/>
        <v/>
      </c>
      <c r="AZ9" s="133" t="str">
        <f t="shared" si="30"/>
        <v xml:space="preserve"> </v>
      </c>
      <c r="BA9" s="829" t="s">
        <v>310</v>
      </c>
      <c r="BB9" s="293"/>
    </row>
    <row r="10" spans="1:54" ht="38.25" customHeight="1">
      <c r="A10" s="758"/>
      <c r="B10" s="134">
        <v>6</v>
      </c>
      <c r="C10" s="130">
        <f>SISWA!B11</f>
        <v>0</v>
      </c>
      <c r="D10" s="131" t="str">
        <f>SISWA!E11</f>
        <v>Anak 6</v>
      </c>
      <c r="E10" s="764">
        <f>'KI2'!BQ15</f>
        <v>0</v>
      </c>
      <c r="F10" s="764">
        <f>'KI2'!BR15</f>
        <v>0</v>
      </c>
      <c r="G10" s="764">
        <f>'KI2'!BS15</f>
        <v>0</v>
      </c>
      <c r="H10" s="764">
        <f>'KI2'!BT15</f>
        <v>0</v>
      </c>
      <c r="I10" s="764">
        <f>'KI2'!BU15</f>
        <v>0</v>
      </c>
      <c r="J10" s="764">
        <f>'KI2'!BV15</f>
        <v>1</v>
      </c>
      <c r="K10" s="764">
        <f>'KI2'!BW15</f>
        <v>0</v>
      </c>
      <c r="L10" s="764">
        <f>'KI2'!BX15</f>
        <v>0</v>
      </c>
      <c r="M10" s="764">
        <f>'KI2'!BY15</f>
        <v>0</v>
      </c>
      <c r="N10" s="764">
        <f>'KI2'!BZ15</f>
        <v>0</v>
      </c>
      <c r="O10" s="764">
        <f>'KI2'!CA15</f>
        <v>0</v>
      </c>
      <c r="P10" s="764">
        <f>'KI2'!CB15</f>
        <v>0</v>
      </c>
      <c r="Q10" s="764">
        <f>'KI2'!CC15</f>
        <v>1</v>
      </c>
      <c r="R10" s="764">
        <f>'KI2'!CD15</f>
        <v>0</v>
      </c>
      <c r="S10" s="765" t="str">
        <f t="shared" si="0"/>
        <v>Ananda Anak 6</v>
      </c>
      <c r="T10" s="827" t="str">
        <f t="shared" si="1"/>
        <v xml:space="preserve">sangat </v>
      </c>
      <c r="U10" s="827" t="str">
        <f t="shared" si="2"/>
        <v/>
      </c>
      <c r="V10" s="827" t="str">
        <f t="shared" si="3"/>
        <v xml:space="preserve">dan sudah mampu meningkatkan sikap </v>
      </c>
      <c r="W10" s="287" t="str">
        <f t="shared" si="4"/>
        <v xml:space="preserve">Ananda Anak 6 sangat kerja sama, dan sudah mampu meningkatkan sikap tanggung jawab, </v>
      </c>
      <c r="Y10" s="288" t="str">
        <f t="shared" si="5"/>
        <v>Ananda Anak 6</v>
      </c>
      <c r="Z10" s="289" t="str">
        <f t="shared" si="6"/>
        <v xml:space="preserve">sangat </v>
      </c>
      <c r="AA10" s="289" t="str">
        <f t="shared" si="7"/>
        <v/>
      </c>
      <c r="AB10" s="289" t="str">
        <f t="shared" si="8"/>
        <v/>
      </c>
      <c r="AC10" s="289" t="str">
        <f t="shared" si="9"/>
        <v/>
      </c>
      <c r="AD10" s="289" t="str">
        <f t="shared" si="10"/>
        <v/>
      </c>
      <c r="AE10" s="289" t="str">
        <f t="shared" si="11"/>
        <v/>
      </c>
      <c r="AF10" s="289" t="str">
        <f t="shared" si="12"/>
        <v/>
      </c>
      <c r="AG10" s="289" t="str">
        <f t="shared" si="13"/>
        <v xml:space="preserve">kerja sama, </v>
      </c>
      <c r="AH10" s="290"/>
      <c r="AI10" s="289" t="str">
        <f t="shared" si="14"/>
        <v/>
      </c>
      <c r="AJ10" s="291" t="str">
        <f t="shared" si="15"/>
        <v/>
      </c>
      <c r="AK10" s="291" t="str">
        <f t="shared" si="16"/>
        <v/>
      </c>
      <c r="AL10" s="291" t="str">
        <f t="shared" si="17"/>
        <v/>
      </c>
      <c r="AM10" s="291" t="str">
        <f t="shared" si="18"/>
        <v/>
      </c>
      <c r="AN10" s="291" t="str">
        <f t="shared" si="19"/>
        <v/>
      </c>
      <c r="AO10" s="291" t="str">
        <f t="shared" si="20"/>
        <v/>
      </c>
      <c r="AP10" s="291" t="str">
        <f t="shared" si="21"/>
        <v/>
      </c>
      <c r="AQ10" s="290"/>
      <c r="AR10" s="289" t="str">
        <f t="shared" si="22"/>
        <v xml:space="preserve">dan sudah mampu meningkatkan sikap </v>
      </c>
      <c r="AS10" s="289" t="str">
        <f t="shared" si="23"/>
        <v/>
      </c>
      <c r="AT10" s="289" t="str">
        <f t="shared" si="24"/>
        <v/>
      </c>
      <c r="AU10" s="289" t="str">
        <f t="shared" si="25"/>
        <v xml:space="preserve">tanggung jawab, </v>
      </c>
      <c r="AV10" s="289" t="str">
        <f t="shared" si="26"/>
        <v/>
      </c>
      <c r="AW10" s="289" t="str">
        <f t="shared" si="27"/>
        <v/>
      </c>
      <c r="AX10" s="289" t="str">
        <f t="shared" si="28"/>
        <v/>
      </c>
      <c r="AY10" s="289" t="str">
        <f t="shared" si="29"/>
        <v/>
      </c>
      <c r="AZ10" s="133" t="str">
        <f t="shared" si="30"/>
        <v xml:space="preserve"> </v>
      </c>
      <c r="BA10" s="829" t="s">
        <v>311</v>
      </c>
      <c r="BB10" s="293"/>
    </row>
    <row r="11" spans="1:54" ht="38.25" customHeight="1">
      <c r="A11" s="758"/>
      <c r="B11" s="129">
        <v>7</v>
      </c>
      <c r="C11" s="130">
        <f>SISWA!B12</f>
        <v>0</v>
      </c>
      <c r="D11" s="131" t="str">
        <f>SISWA!E12</f>
        <v>Anak 7</v>
      </c>
      <c r="E11" s="764">
        <f>'KI2'!BQ16</f>
        <v>0</v>
      </c>
      <c r="F11" s="764">
        <f>'KI2'!BR16</f>
        <v>0</v>
      </c>
      <c r="G11" s="764">
        <f>'KI2'!BS16</f>
        <v>0</v>
      </c>
      <c r="H11" s="764">
        <f>'KI2'!BT16</f>
        <v>0</v>
      </c>
      <c r="I11" s="764">
        <f>'KI2'!BU16</f>
        <v>0</v>
      </c>
      <c r="J11" s="764">
        <f>'KI2'!BV16</f>
        <v>0</v>
      </c>
      <c r="K11" s="764">
        <f>'KI2'!BW16</f>
        <v>0</v>
      </c>
      <c r="L11" s="764">
        <f>'KI2'!BX16</f>
        <v>0</v>
      </c>
      <c r="M11" s="764">
        <f>'KI2'!BY16</f>
        <v>0</v>
      </c>
      <c r="N11" s="764">
        <f>'KI2'!BZ16</f>
        <v>0</v>
      </c>
      <c r="O11" s="764">
        <f>'KI2'!CA16</f>
        <v>0</v>
      </c>
      <c r="P11" s="764">
        <f>'KI2'!CB16</f>
        <v>0</v>
      </c>
      <c r="Q11" s="764">
        <f>'KI2'!CC16</f>
        <v>0</v>
      </c>
      <c r="R11" s="764">
        <f>'KI2'!CD16</f>
        <v>0</v>
      </c>
      <c r="S11" s="765" t="str">
        <f t="shared" si="0"/>
        <v>Ananda Anak 7</v>
      </c>
      <c r="T11" s="827" t="str">
        <f t="shared" si="1"/>
        <v/>
      </c>
      <c r="U11" s="827" t="str">
        <f t="shared" si="2"/>
        <v xml:space="preserve">baik dalam sikap </v>
      </c>
      <c r="V11" s="827" t="str">
        <f t="shared" si="3"/>
        <v/>
      </c>
      <c r="W11" s="287" t="str">
        <f t="shared" si="4"/>
        <v xml:space="preserve">Ananda Anak 7 baik dalam sikap jujur, disiplin, tanggung jawab, santun, peduli, percaya diri, kerja sama, </v>
      </c>
      <c r="Y11" s="288" t="str">
        <f t="shared" si="5"/>
        <v>Ananda Anak 7</v>
      </c>
      <c r="Z11" s="289" t="str">
        <f t="shared" si="6"/>
        <v/>
      </c>
      <c r="AA11" s="289" t="str">
        <f t="shared" si="7"/>
        <v/>
      </c>
      <c r="AB11" s="289" t="str">
        <f t="shared" si="8"/>
        <v/>
      </c>
      <c r="AC11" s="289" t="str">
        <f t="shared" si="9"/>
        <v/>
      </c>
      <c r="AD11" s="289" t="str">
        <f t="shared" si="10"/>
        <v/>
      </c>
      <c r="AE11" s="289" t="str">
        <f t="shared" si="11"/>
        <v/>
      </c>
      <c r="AF11" s="289" t="str">
        <f t="shared" si="12"/>
        <v/>
      </c>
      <c r="AG11" s="289" t="str">
        <f t="shared" si="13"/>
        <v/>
      </c>
      <c r="AH11" s="290"/>
      <c r="AI11" s="289" t="str">
        <f t="shared" si="14"/>
        <v xml:space="preserve">baik dalam sikap </v>
      </c>
      <c r="AJ11" s="291" t="str">
        <f t="shared" si="15"/>
        <v xml:space="preserve">jujur, </v>
      </c>
      <c r="AK11" s="291" t="str">
        <f t="shared" si="16"/>
        <v xml:space="preserve">disiplin, </v>
      </c>
      <c r="AL11" s="291" t="str">
        <f t="shared" si="17"/>
        <v xml:space="preserve">tanggung jawab, </v>
      </c>
      <c r="AM11" s="291" t="str">
        <f t="shared" si="18"/>
        <v xml:space="preserve">santun, </v>
      </c>
      <c r="AN11" s="291" t="str">
        <f t="shared" si="19"/>
        <v xml:space="preserve">peduli, </v>
      </c>
      <c r="AO11" s="291" t="str">
        <f t="shared" si="20"/>
        <v xml:space="preserve">percaya diri, </v>
      </c>
      <c r="AP11" s="291" t="str">
        <f t="shared" si="21"/>
        <v xml:space="preserve">kerja sama, </v>
      </c>
      <c r="AQ11" s="290"/>
      <c r="AR11" s="289" t="str">
        <f t="shared" si="22"/>
        <v/>
      </c>
      <c r="AS11" s="289" t="str">
        <f t="shared" si="23"/>
        <v/>
      </c>
      <c r="AT11" s="289" t="str">
        <f t="shared" si="24"/>
        <v/>
      </c>
      <c r="AU11" s="289" t="str">
        <f t="shared" si="25"/>
        <v/>
      </c>
      <c r="AV11" s="289" t="str">
        <f t="shared" si="26"/>
        <v/>
      </c>
      <c r="AW11" s="289" t="str">
        <f t="shared" si="27"/>
        <v/>
      </c>
      <c r="AX11" s="289" t="str">
        <f t="shared" si="28"/>
        <v/>
      </c>
      <c r="AY11" s="289" t="str">
        <f t="shared" si="29"/>
        <v/>
      </c>
      <c r="AZ11" s="133" t="str">
        <f t="shared" si="30"/>
        <v xml:space="preserve"> </v>
      </c>
      <c r="BA11" s="829" t="s">
        <v>1193</v>
      </c>
    </row>
    <row r="12" spans="1:54" ht="38.25" customHeight="1">
      <c r="A12" s="758"/>
      <c r="B12" s="134">
        <v>8</v>
      </c>
      <c r="C12" s="130">
        <f>SISWA!B13</f>
        <v>0</v>
      </c>
      <c r="D12" s="131" t="str">
        <f>SISWA!E13</f>
        <v>Anak 8</v>
      </c>
      <c r="E12" s="764">
        <f>'KI2'!BQ17</f>
        <v>0</v>
      </c>
      <c r="F12" s="764">
        <f>'KI2'!BR17</f>
        <v>0</v>
      </c>
      <c r="G12" s="764">
        <f>'KI2'!BS17</f>
        <v>0</v>
      </c>
      <c r="H12" s="764">
        <f>'KI2'!BT17</f>
        <v>0</v>
      </c>
      <c r="I12" s="764">
        <f>'KI2'!BU17</f>
        <v>0</v>
      </c>
      <c r="J12" s="764">
        <f>'KI2'!BV17</f>
        <v>0</v>
      </c>
      <c r="K12" s="764">
        <f>'KI2'!BW17</f>
        <v>0</v>
      </c>
      <c r="L12" s="764">
        <f>'KI2'!BX17</f>
        <v>0</v>
      </c>
      <c r="M12" s="764">
        <f>'KI2'!BY17</f>
        <v>0</v>
      </c>
      <c r="N12" s="764">
        <f>'KI2'!BZ17</f>
        <v>0</v>
      </c>
      <c r="O12" s="764">
        <f>'KI2'!CA17</f>
        <v>0</v>
      </c>
      <c r="P12" s="764">
        <f>'KI2'!CB17</f>
        <v>0</v>
      </c>
      <c r="Q12" s="764">
        <f>'KI2'!CC17</f>
        <v>0</v>
      </c>
      <c r="R12" s="764">
        <f>'KI2'!CD17</f>
        <v>0</v>
      </c>
      <c r="S12" s="765" t="str">
        <f t="shared" si="0"/>
        <v>Ananda Anak 8</v>
      </c>
      <c r="T12" s="827" t="str">
        <f t="shared" si="1"/>
        <v/>
      </c>
      <c r="U12" s="827" t="str">
        <f t="shared" si="2"/>
        <v xml:space="preserve">baik dalam sikap </v>
      </c>
      <c r="V12" s="827" t="str">
        <f t="shared" si="3"/>
        <v/>
      </c>
      <c r="W12" s="287" t="str">
        <f t="shared" si="4"/>
        <v xml:space="preserve">Ananda Anak 8 baik dalam sikap jujur, disiplin, tanggung jawab, santun, peduli, percaya diri, kerja sama, </v>
      </c>
      <c r="Y12" s="288" t="str">
        <f t="shared" si="5"/>
        <v>Ananda Anak 8</v>
      </c>
      <c r="Z12" s="289" t="str">
        <f t="shared" si="6"/>
        <v/>
      </c>
      <c r="AA12" s="289" t="str">
        <f t="shared" si="7"/>
        <v/>
      </c>
      <c r="AB12" s="289" t="str">
        <f t="shared" si="8"/>
        <v/>
      </c>
      <c r="AC12" s="289" t="str">
        <f t="shared" si="9"/>
        <v/>
      </c>
      <c r="AD12" s="289" t="str">
        <f t="shared" si="10"/>
        <v/>
      </c>
      <c r="AE12" s="289" t="str">
        <f t="shared" si="11"/>
        <v/>
      </c>
      <c r="AF12" s="289" t="str">
        <f t="shared" si="12"/>
        <v/>
      </c>
      <c r="AG12" s="289" t="str">
        <f t="shared" si="13"/>
        <v/>
      </c>
      <c r="AH12" s="290"/>
      <c r="AI12" s="289" t="str">
        <f t="shared" si="14"/>
        <v xml:space="preserve">baik dalam sikap </v>
      </c>
      <c r="AJ12" s="291" t="str">
        <f t="shared" si="15"/>
        <v xml:space="preserve">jujur, </v>
      </c>
      <c r="AK12" s="291" t="str">
        <f t="shared" si="16"/>
        <v xml:space="preserve">disiplin, </v>
      </c>
      <c r="AL12" s="291" t="str">
        <f t="shared" si="17"/>
        <v xml:space="preserve">tanggung jawab, </v>
      </c>
      <c r="AM12" s="291" t="str">
        <f t="shared" si="18"/>
        <v xml:space="preserve">santun, </v>
      </c>
      <c r="AN12" s="291" t="str">
        <f t="shared" si="19"/>
        <v xml:space="preserve">peduli, </v>
      </c>
      <c r="AO12" s="291" t="str">
        <f t="shared" si="20"/>
        <v xml:space="preserve">percaya diri, </v>
      </c>
      <c r="AP12" s="291" t="str">
        <f t="shared" si="21"/>
        <v xml:space="preserve">kerja sama, </v>
      </c>
      <c r="AQ12" s="290"/>
      <c r="AR12" s="289" t="str">
        <f t="shared" si="22"/>
        <v/>
      </c>
      <c r="AS12" s="289" t="str">
        <f t="shared" si="23"/>
        <v/>
      </c>
      <c r="AT12" s="289" t="str">
        <f t="shared" si="24"/>
        <v/>
      </c>
      <c r="AU12" s="289" t="str">
        <f t="shared" si="25"/>
        <v/>
      </c>
      <c r="AV12" s="289" t="str">
        <f t="shared" si="26"/>
        <v/>
      </c>
      <c r="AW12" s="289" t="str">
        <f t="shared" si="27"/>
        <v/>
      </c>
      <c r="AX12" s="289" t="str">
        <f t="shared" si="28"/>
        <v/>
      </c>
      <c r="AY12" s="289" t="str">
        <f t="shared" si="29"/>
        <v/>
      </c>
      <c r="AZ12" s="133" t="str">
        <f t="shared" si="30"/>
        <v xml:space="preserve"> </v>
      </c>
    </row>
    <row r="13" spans="1:54" ht="38.25" customHeight="1">
      <c r="A13" s="758"/>
      <c r="B13" s="129">
        <v>9</v>
      </c>
      <c r="C13" s="130">
        <f>SISWA!B14</f>
        <v>0</v>
      </c>
      <c r="D13" s="131" t="str">
        <f>SISWA!E14</f>
        <v>Anak 9</v>
      </c>
      <c r="E13" s="764">
        <f>'KI2'!BQ18</f>
        <v>0</v>
      </c>
      <c r="F13" s="764">
        <f>'KI2'!BR18</f>
        <v>0</v>
      </c>
      <c r="G13" s="764">
        <f>'KI2'!BS18</f>
        <v>0</v>
      </c>
      <c r="H13" s="764">
        <f>'KI2'!BT18</f>
        <v>0</v>
      </c>
      <c r="I13" s="764">
        <f>'KI2'!BU18</f>
        <v>0</v>
      </c>
      <c r="J13" s="764">
        <f>'KI2'!BV18</f>
        <v>0</v>
      </c>
      <c r="K13" s="764">
        <f>'KI2'!BW18</f>
        <v>0</v>
      </c>
      <c r="L13" s="764">
        <f>'KI2'!BX18</f>
        <v>0</v>
      </c>
      <c r="M13" s="764">
        <f>'KI2'!BY18</f>
        <v>0</v>
      </c>
      <c r="N13" s="764">
        <f>'KI2'!BZ18</f>
        <v>0</v>
      </c>
      <c r="O13" s="764">
        <f>'KI2'!CA18</f>
        <v>0</v>
      </c>
      <c r="P13" s="764">
        <f>'KI2'!CB18</f>
        <v>0</v>
      </c>
      <c r="Q13" s="764">
        <f>'KI2'!CC18</f>
        <v>0</v>
      </c>
      <c r="R13" s="764">
        <f>'KI2'!CD18</f>
        <v>1</v>
      </c>
      <c r="S13" s="765" t="str">
        <f t="shared" si="0"/>
        <v>Ananda Anak 9</v>
      </c>
      <c r="T13" s="827" t="str">
        <f t="shared" si="1"/>
        <v/>
      </c>
      <c r="U13" s="827" t="str">
        <f t="shared" si="2"/>
        <v xml:space="preserve">baik dalam sikap </v>
      </c>
      <c r="V13" s="827" t="str">
        <f t="shared" si="3"/>
        <v xml:space="preserve">dan sudah mampu meningkatkan sikap </v>
      </c>
      <c r="W13" s="287" t="str">
        <f t="shared" si="4"/>
        <v>Ananda Anak 9 baik dalam sikap jujur, disiplin, tanggung jawab, santun, peduli, percaya diri, dan sudah mampu meningkatkan sikap kerja sama.</v>
      </c>
      <c r="Y13" s="288" t="str">
        <f t="shared" si="5"/>
        <v>Ananda Anak 9</v>
      </c>
      <c r="Z13" s="289" t="str">
        <f t="shared" si="6"/>
        <v/>
      </c>
      <c r="AA13" s="289" t="str">
        <f t="shared" si="7"/>
        <v/>
      </c>
      <c r="AB13" s="289" t="str">
        <f t="shared" si="8"/>
        <v/>
      </c>
      <c r="AC13" s="289" t="str">
        <f t="shared" si="9"/>
        <v/>
      </c>
      <c r="AD13" s="289" t="str">
        <f t="shared" si="10"/>
        <v/>
      </c>
      <c r="AE13" s="289" t="str">
        <f t="shared" si="11"/>
        <v/>
      </c>
      <c r="AF13" s="289" t="str">
        <f t="shared" si="12"/>
        <v/>
      </c>
      <c r="AG13" s="289" t="str">
        <f t="shared" si="13"/>
        <v/>
      </c>
      <c r="AH13" s="290"/>
      <c r="AI13" s="289" t="str">
        <f t="shared" si="14"/>
        <v xml:space="preserve">baik dalam sikap </v>
      </c>
      <c r="AJ13" s="291" t="str">
        <f t="shared" si="15"/>
        <v xml:space="preserve">jujur, </v>
      </c>
      <c r="AK13" s="291" t="str">
        <f t="shared" si="16"/>
        <v xml:space="preserve">disiplin, </v>
      </c>
      <c r="AL13" s="291" t="str">
        <f t="shared" si="17"/>
        <v xml:space="preserve">tanggung jawab, </v>
      </c>
      <c r="AM13" s="291" t="str">
        <f t="shared" si="18"/>
        <v xml:space="preserve">santun, </v>
      </c>
      <c r="AN13" s="291" t="str">
        <f t="shared" si="19"/>
        <v xml:space="preserve">peduli, </v>
      </c>
      <c r="AO13" s="291" t="str">
        <f t="shared" si="20"/>
        <v xml:space="preserve">percaya diri, </v>
      </c>
      <c r="AP13" s="291" t="str">
        <f t="shared" si="21"/>
        <v/>
      </c>
      <c r="AQ13" s="290"/>
      <c r="AR13" s="289" t="str">
        <f t="shared" si="22"/>
        <v xml:space="preserve">dan sudah mampu meningkatkan sikap </v>
      </c>
      <c r="AS13" s="289" t="str">
        <f t="shared" si="23"/>
        <v/>
      </c>
      <c r="AT13" s="289" t="str">
        <f t="shared" si="24"/>
        <v/>
      </c>
      <c r="AU13" s="289" t="str">
        <f t="shared" si="25"/>
        <v/>
      </c>
      <c r="AV13" s="289" t="str">
        <f t="shared" si="26"/>
        <v/>
      </c>
      <c r="AW13" s="289" t="str">
        <f t="shared" si="27"/>
        <v/>
      </c>
      <c r="AX13" s="289" t="str">
        <f t="shared" si="28"/>
        <v/>
      </c>
      <c r="AY13" s="289" t="str">
        <f t="shared" si="29"/>
        <v>kerja sama.</v>
      </c>
      <c r="AZ13" s="133" t="str">
        <f t="shared" si="30"/>
        <v xml:space="preserve"> </v>
      </c>
    </row>
    <row r="14" spans="1:54" ht="38.25" customHeight="1">
      <c r="A14" s="758"/>
      <c r="B14" s="134">
        <v>10</v>
      </c>
      <c r="C14" s="130">
        <f>SISWA!B15</f>
        <v>0</v>
      </c>
      <c r="D14" s="131" t="str">
        <f>SISWA!E15</f>
        <v>Anak 10</v>
      </c>
      <c r="E14" s="764">
        <f>'KI2'!BQ19</f>
        <v>0</v>
      </c>
      <c r="F14" s="764">
        <f>'KI2'!BR19</f>
        <v>0</v>
      </c>
      <c r="G14" s="764">
        <f>'KI2'!BS19</f>
        <v>0</v>
      </c>
      <c r="H14" s="764">
        <f>'KI2'!BT19</f>
        <v>0</v>
      </c>
      <c r="I14" s="764">
        <f>'KI2'!BU19</f>
        <v>0</v>
      </c>
      <c r="J14" s="764">
        <f>'KI2'!BV19</f>
        <v>0</v>
      </c>
      <c r="K14" s="764">
        <f>'KI2'!BW19</f>
        <v>0</v>
      </c>
      <c r="L14" s="764">
        <f>'KI2'!BX19</f>
        <v>0</v>
      </c>
      <c r="M14" s="764">
        <f>'KI2'!BY19</f>
        <v>0</v>
      </c>
      <c r="N14" s="764">
        <f>'KI2'!BZ19</f>
        <v>0</v>
      </c>
      <c r="O14" s="764">
        <f>'KI2'!CA19</f>
        <v>0</v>
      </c>
      <c r="P14" s="764">
        <f>'KI2'!CB19</f>
        <v>0</v>
      </c>
      <c r="Q14" s="764">
        <f>'KI2'!CC19</f>
        <v>0</v>
      </c>
      <c r="R14" s="764">
        <f>'KI2'!CD19</f>
        <v>0</v>
      </c>
      <c r="S14" s="765" t="str">
        <f t="shared" si="0"/>
        <v>Ananda Anak 10</v>
      </c>
      <c r="T14" s="827" t="str">
        <f t="shared" si="1"/>
        <v/>
      </c>
      <c r="U14" s="827" t="str">
        <f t="shared" si="2"/>
        <v xml:space="preserve">baik dalam sikap </v>
      </c>
      <c r="V14" s="827" t="str">
        <f t="shared" si="3"/>
        <v/>
      </c>
      <c r="W14" s="287" t="str">
        <f t="shared" si="4"/>
        <v xml:space="preserve">Ananda Anak 10 baik dalam sikap jujur, disiplin, tanggung jawab, santun, peduli, percaya diri, kerja sama, </v>
      </c>
      <c r="Y14" s="288" t="str">
        <f t="shared" si="5"/>
        <v>Ananda Anak 10</v>
      </c>
      <c r="Z14" s="289" t="str">
        <f t="shared" si="6"/>
        <v/>
      </c>
      <c r="AA14" s="289" t="str">
        <f t="shared" si="7"/>
        <v/>
      </c>
      <c r="AB14" s="289" t="str">
        <f t="shared" si="8"/>
        <v/>
      </c>
      <c r="AC14" s="289" t="str">
        <f t="shared" si="9"/>
        <v/>
      </c>
      <c r="AD14" s="289" t="str">
        <f t="shared" si="10"/>
        <v/>
      </c>
      <c r="AE14" s="289" t="str">
        <f t="shared" si="11"/>
        <v/>
      </c>
      <c r="AF14" s="289" t="str">
        <f t="shared" si="12"/>
        <v/>
      </c>
      <c r="AG14" s="289" t="str">
        <f t="shared" si="13"/>
        <v/>
      </c>
      <c r="AH14" s="290"/>
      <c r="AI14" s="289" t="str">
        <f t="shared" si="14"/>
        <v xml:space="preserve">baik dalam sikap </v>
      </c>
      <c r="AJ14" s="291" t="str">
        <f t="shared" si="15"/>
        <v xml:space="preserve">jujur, </v>
      </c>
      <c r="AK14" s="291" t="str">
        <f t="shared" si="16"/>
        <v xml:space="preserve">disiplin, </v>
      </c>
      <c r="AL14" s="291" t="str">
        <f t="shared" si="17"/>
        <v xml:space="preserve">tanggung jawab, </v>
      </c>
      <c r="AM14" s="291" t="str">
        <f t="shared" si="18"/>
        <v xml:space="preserve">santun, </v>
      </c>
      <c r="AN14" s="291" t="str">
        <f t="shared" si="19"/>
        <v xml:space="preserve">peduli, </v>
      </c>
      <c r="AO14" s="291" t="str">
        <f t="shared" si="20"/>
        <v xml:space="preserve">percaya diri, </v>
      </c>
      <c r="AP14" s="291" t="str">
        <f t="shared" si="21"/>
        <v xml:space="preserve">kerja sama, </v>
      </c>
      <c r="AQ14" s="290"/>
      <c r="AR14" s="289" t="str">
        <f t="shared" si="22"/>
        <v/>
      </c>
      <c r="AS14" s="289" t="str">
        <f t="shared" si="23"/>
        <v/>
      </c>
      <c r="AT14" s="289" t="str">
        <f t="shared" si="24"/>
        <v/>
      </c>
      <c r="AU14" s="289" t="str">
        <f t="shared" si="25"/>
        <v/>
      </c>
      <c r="AV14" s="289" t="str">
        <f t="shared" si="26"/>
        <v/>
      </c>
      <c r="AW14" s="289" t="str">
        <f t="shared" si="27"/>
        <v/>
      </c>
      <c r="AX14" s="289" t="str">
        <f t="shared" si="28"/>
        <v/>
      </c>
      <c r="AY14" s="289" t="str">
        <f t="shared" si="29"/>
        <v/>
      </c>
      <c r="AZ14" s="133" t="str">
        <f t="shared" si="30"/>
        <v xml:space="preserve"> </v>
      </c>
    </row>
    <row r="15" spans="1:54" ht="38.25" customHeight="1">
      <c r="A15" s="758"/>
      <c r="B15" s="129">
        <v>11</v>
      </c>
      <c r="C15" s="130">
        <f>SISWA!B16</f>
        <v>0</v>
      </c>
      <c r="D15" s="131" t="str">
        <f>SISWA!E16</f>
        <v>Anak 11</v>
      </c>
      <c r="E15" s="764">
        <f>'KI2'!BQ20</f>
        <v>0</v>
      </c>
      <c r="F15" s="764">
        <f>'KI2'!BR20</f>
        <v>0</v>
      </c>
      <c r="G15" s="764">
        <f>'KI2'!BS20</f>
        <v>0</v>
      </c>
      <c r="H15" s="764">
        <f>'KI2'!BT20</f>
        <v>0</v>
      </c>
      <c r="I15" s="764">
        <f>'KI2'!BU20</f>
        <v>0</v>
      </c>
      <c r="J15" s="764">
        <f>'KI2'!BV20</f>
        <v>0</v>
      </c>
      <c r="K15" s="764">
        <f>'KI2'!BW20</f>
        <v>0</v>
      </c>
      <c r="L15" s="764">
        <f>'KI2'!BX20</f>
        <v>0</v>
      </c>
      <c r="M15" s="764">
        <f>'KI2'!BY20</f>
        <v>0</v>
      </c>
      <c r="N15" s="764">
        <f>'KI2'!BZ20</f>
        <v>0</v>
      </c>
      <c r="O15" s="764">
        <f>'KI2'!CA20</f>
        <v>0</v>
      </c>
      <c r="P15" s="764">
        <f>'KI2'!CB20</f>
        <v>0</v>
      </c>
      <c r="Q15" s="764">
        <f>'KI2'!CC20</f>
        <v>0</v>
      </c>
      <c r="R15" s="764">
        <f>'KI2'!CD20</f>
        <v>0</v>
      </c>
      <c r="S15" s="765" t="str">
        <f t="shared" si="0"/>
        <v>Ananda Anak 11</v>
      </c>
      <c r="T15" s="827" t="str">
        <f t="shared" si="1"/>
        <v/>
      </c>
      <c r="U15" s="827" t="str">
        <f t="shared" si="2"/>
        <v xml:space="preserve">baik dalam sikap </v>
      </c>
      <c r="V15" s="827" t="str">
        <f t="shared" si="3"/>
        <v/>
      </c>
      <c r="W15" s="287" t="str">
        <f t="shared" si="4"/>
        <v xml:space="preserve">Ananda Anak 11 baik dalam sikap jujur, disiplin, tanggung jawab, santun, peduli, percaya diri, kerja sama, </v>
      </c>
      <c r="Y15" s="288" t="str">
        <f t="shared" si="5"/>
        <v>Ananda Anak 11</v>
      </c>
      <c r="Z15" s="289" t="str">
        <f t="shared" si="6"/>
        <v/>
      </c>
      <c r="AA15" s="289" t="str">
        <f t="shared" si="7"/>
        <v/>
      </c>
      <c r="AB15" s="289" t="str">
        <f t="shared" si="8"/>
        <v/>
      </c>
      <c r="AC15" s="289" t="str">
        <f t="shared" si="9"/>
        <v/>
      </c>
      <c r="AD15" s="289" t="str">
        <f t="shared" si="10"/>
        <v/>
      </c>
      <c r="AE15" s="289" t="str">
        <f t="shared" si="11"/>
        <v/>
      </c>
      <c r="AF15" s="289" t="str">
        <f t="shared" si="12"/>
        <v/>
      </c>
      <c r="AG15" s="289" t="str">
        <f t="shared" si="13"/>
        <v/>
      </c>
      <c r="AH15" s="290"/>
      <c r="AI15" s="289" t="str">
        <f t="shared" si="14"/>
        <v xml:space="preserve">baik dalam sikap </v>
      </c>
      <c r="AJ15" s="291" t="str">
        <f t="shared" si="15"/>
        <v xml:space="preserve">jujur, </v>
      </c>
      <c r="AK15" s="291" t="str">
        <f t="shared" si="16"/>
        <v xml:space="preserve">disiplin, </v>
      </c>
      <c r="AL15" s="291" t="str">
        <f t="shared" si="17"/>
        <v xml:space="preserve">tanggung jawab, </v>
      </c>
      <c r="AM15" s="291" t="str">
        <f t="shared" si="18"/>
        <v xml:space="preserve">santun, </v>
      </c>
      <c r="AN15" s="291" t="str">
        <f t="shared" si="19"/>
        <v xml:space="preserve">peduli, </v>
      </c>
      <c r="AO15" s="291" t="str">
        <f t="shared" si="20"/>
        <v xml:space="preserve">percaya diri, </v>
      </c>
      <c r="AP15" s="291" t="str">
        <f t="shared" si="21"/>
        <v xml:space="preserve">kerja sama, </v>
      </c>
      <c r="AQ15" s="290"/>
      <c r="AR15" s="289" t="str">
        <f t="shared" si="22"/>
        <v/>
      </c>
      <c r="AS15" s="289" t="str">
        <f t="shared" si="23"/>
        <v/>
      </c>
      <c r="AT15" s="289" t="str">
        <f t="shared" si="24"/>
        <v/>
      </c>
      <c r="AU15" s="289" t="str">
        <f t="shared" si="25"/>
        <v/>
      </c>
      <c r="AV15" s="289" t="str">
        <f t="shared" si="26"/>
        <v/>
      </c>
      <c r="AW15" s="289" t="str">
        <f t="shared" si="27"/>
        <v/>
      </c>
      <c r="AX15" s="289" t="str">
        <f t="shared" si="28"/>
        <v/>
      </c>
      <c r="AY15" s="289" t="str">
        <f t="shared" si="29"/>
        <v/>
      </c>
      <c r="AZ15" s="133" t="str">
        <f t="shared" si="30"/>
        <v xml:space="preserve"> </v>
      </c>
    </row>
    <row r="16" spans="1:54" ht="38.25" customHeight="1">
      <c r="A16" s="758"/>
      <c r="B16" s="134">
        <v>12</v>
      </c>
      <c r="C16" s="130">
        <f>SISWA!B17</f>
        <v>0</v>
      </c>
      <c r="D16" s="131" t="str">
        <f>SISWA!E17</f>
        <v>Anak 12</v>
      </c>
      <c r="E16" s="764">
        <f>'KI2'!BQ21</f>
        <v>0</v>
      </c>
      <c r="F16" s="764">
        <f>'KI2'!BR21</f>
        <v>0</v>
      </c>
      <c r="G16" s="764">
        <f>'KI2'!BS21</f>
        <v>0</v>
      </c>
      <c r="H16" s="764">
        <f>'KI2'!BT21</f>
        <v>0</v>
      </c>
      <c r="I16" s="764">
        <f>'KI2'!BU21</f>
        <v>0</v>
      </c>
      <c r="J16" s="764">
        <f>'KI2'!BV21</f>
        <v>0</v>
      </c>
      <c r="K16" s="764">
        <f>'KI2'!BW21</f>
        <v>0</v>
      </c>
      <c r="L16" s="764">
        <f>'KI2'!BX21</f>
        <v>0</v>
      </c>
      <c r="M16" s="764">
        <f>'KI2'!BY21</f>
        <v>0</v>
      </c>
      <c r="N16" s="764">
        <f>'KI2'!BZ21</f>
        <v>0</v>
      </c>
      <c r="O16" s="764">
        <f>'KI2'!CA21</f>
        <v>0</v>
      </c>
      <c r="P16" s="764">
        <f>'KI2'!CB21</f>
        <v>0</v>
      </c>
      <c r="Q16" s="764">
        <f>'KI2'!CC21</f>
        <v>0</v>
      </c>
      <c r="R16" s="764">
        <f>'KI2'!CD21</f>
        <v>0</v>
      </c>
      <c r="S16" s="765" t="str">
        <f t="shared" si="0"/>
        <v>Ananda Anak 12</v>
      </c>
      <c r="T16" s="827" t="str">
        <f t="shared" si="1"/>
        <v/>
      </c>
      <c r="U16" s="827" t="str">
        <f t="shared" si="2"/>
        <v xml:space="preserve">baik dalam sikap </v>
      </c>
      <c r="V16" s="827" t="str">
        <f t="shared" si="3"/>
        <v/>
      </c>
      <c r="W16" s="287" t="str">
        <f t="shared" si="4"/>
        <v xml:space="preserve">Ananda Anak 12 baik dalam sikap jujur, disiplin, tanggung jawab, santun, peduli, percaya diri, kerja sama, </v>
      </c>
      <c r="Y16" s="288" t="str">
        <f t="shared" si="5"/>
        <v>Ananda Anak 12</v>
      </c>
      <c r="Z16" s="289" t="str">
        <f t="shared" si="6"/>
        <v/>
      </c>
      <c r="AA16" s="289" t="str">
        <f t="shared" si="7"/>
        <v/>
      </c>
      <c r="AB16" s="289" t="str">
        <f t="shared" si="8"/>
        <v/>
      </c>
      <c r="AC16" s="289" t="str">
        <f t="shared" si="9"/>
        <v/>
      </c>
      <c r="AD16" s="289" t="str">
        <f t="shared" si="10"/>
        <v/>
      </c>
      <c r="AE16" s="289" t="str">
        <f t="shared" si="11"/>
        <v/>
      </c>
      <c r="AF16" s="289" t="str">
        <f t="shared" si="12"/>
        <v/>
      </c>
      <c r="AG16" s="289" t="str">
        <f t="shared" si="13"/>
        <v/>
      </c>
      <c r="AH16" s="290"/>
      <c r="AI16" s="289" t="str">
        <f t="shared" si="14"/>
        <v xml:space="preserve">baik dalam sikap </v>
      </c>
      <c r="AJ16" s="291" t="str">
        <f t="shared" si="15"/>
        <v xml:space="preserve">jujur, </v>
      </c>
      <c r="AK16" s="291" t="str">
        <f t="shared" si="16"/>
        <v xml:space="preserve">disiplin, </v>
      </c>
      <c r="AL16" s="291" t="str">
        <f t="shared" si="17"/>
        <v xml:space="preserve">tanggung jawab, </v>
      </c>
      <c r="AM16" s="291" t="str">
        <f t="shared" si="18"/>
        <v xml:space="preserve">santun, </v>
      </c>
      <c r="AN16" s="291" t="str">
        <f t="shared" si="19"/>
        <v xml:space="preserve">peduli, </v>
      </c>
      <c r="AO16" s="291" t="str">
        <f t="shared" si="20"/>
        <v xml:space="preserve">percaya diri, </v>
      </c>
      <c r="AP16" s="291" t="str">
        <f t="shared" si="21"/>
        <v xml:space="preserve">kerja sama, </v>
      </c>
      <c r="AQ16" s="290"/>
      <c r="AR16" s="289" t="str">
        <f t="shared" si="22"/>
        <v/>
      </c>
      <c r="AS16" s="289" t="str">
        <f t="shared" si="23"/>
        <v/>
      </c>
      <c r="AT16" s="289" t="str">
        <f t="shared" si="24"/>
        <v/>
      </c>
      <c r="AU16" s="289" t="str">
        <f t="shared" si="25"/>
        <v/>
      </c>
      <c r="AV16" s="289" t="str">
        <f t="shared" si="26"/>
        <v/>
      </c>
      <c r="AW16" s="289" t="str">
        <f t="shared" si="27"/>
        <v/>
      </c>
      <c r="AX16" s="289" t="str">
        <f t="shared" si="28"/>
        <v/>
      </c>
      <c r="AY16" s="289" t="str">
        <f t="shared" si="29"/>
        <v/>
      </c>
      <c r="AZ16" s="133" t="str">
        <f t="shared" si="30"/>
        <v xml:space="preserve"> </v>
      </c>
    </row>
    <row r="17" spans="1:52" ht="38.25" customHeight="1">
      <c r="A17" s="758"/>
      <c r="B17" s="129">
        <v>13</v>
      </c>
      <c r="C17" s="130">
        <f>SISWA!B18</f>
        <v>0</v>
      </c>
      <c r="D17" s="131" t="str">
        <f>SISWA!E18</f>
        <v>Anak 13</v>
      </c>
      <c r="E17" s="764">
        <f>'KI2'!BQ22</f>
        <v>0</v>
      </c>
      <c r="F17" s="764">
        <f>'KI2'!BR22</f>
        <v>0</v>
      </c>
      <c r="G17" s="764">
        <f>'KI2'!BS22</f>
        <v>0</v>
      </c>
      <c r="H17" s="764">
        <f>'KI2'!BT22</f>
        <v>0</v>
      </c>
      <c r="I17" s="764">
        <f>'KI2'!BU22</f>
        <v>0</v>
      </c>
      <c r="J17" s="764">
        <f>'KI2'!BV22</f>
        <v>0</v>
      </c>
      <c r="K17" s="764">
        <f>'KI2'!BW22</f>
        <v>0</v>
      </c>
      <c r="L17" s="764">
        <f>'KI2'!BX22</f>
        <v>0</v>
      </c>
      <c r="M17" s="764">
        <f>'KI2'!BY22</f>
        <v>0</v>
      </c>
      <c r="N17" s="764">
        <f>'KI2'!BZ22</f>
        <v>0</v>
      </c>
      <c r="O17" s="764">
        <f>'KI2'!CA22</f>
        <v>0</v>
      </c>
      <c r="P17" s="764">
        <f>'KI2'!CB22</f>
        <v>0</v>
      </c>
      <c r="Q17" s="764">
        <f>'KI2'!CC22</f>
        <v>0</v>
      </c>
      <c r="R17" s="764">
        <f>'KI2'!CD22</f>
        <v>0</v>
      </c>
      <c r="S17" s="765" t="str">
        <f t="shared" si="0"/>
        <v>Ananda Anak 13</v>
      </c>
      <c r="T17" s="827" t="str">
        <f t="shared" si="1"/>
        <v/>
      </c>
      <c r="U17" s="827" t="str">
        <f t="shared" si="2"/>
        <v xml:space="preserve">baik dalam sikap </v>
      </c>
      <c r="V17" s="827" t="str">
        <f t="shared" si="3"/>
        <v/>
      </c>
      <c r="W17" s="287" t="str">
        <f t="shared" si="4"/>
        <v xml:space="preserve">Ananda Anak 13 baik dalam sikap jujur, disiplin, tanggung jawab, santun, peduli, percaya diri, kerja sama, </v>
      </c>
      <c r="Y17" s="288" t="str">
        <f t="shared" si="5"/>
        <v>Ananda Anak 13</v>
      </c>
      <c r="Z17" s="289" t="str">
        <f t="shared" si="6"/>
        <v/>
      </c>
      <c r="AA17" s="289" t="str">
        <f t="shared" si="7"/>
        <v/>
      </c>
      <c r="AB17" s="289" t="str">
        <f t="shared" si="8"/>
        <v/>
      </c>
      <c r="AC17" s="289" t="str">
        <f t="shared" si="9"/>
        <v/>
      </c>
      <c r="AD17" s="289" t="str">
        <f t="shared" si="10"/>
        <v/>
      </c>
      <c r="AE17" s="289" t="str">
        <f t="shared" si="11"/>
        <v/>
      </c>
      <c r="AF17" s="289" t="str">
        <f t="shared" si="12"/>
        <v/>
      </c>
      <c r="AG17" s="289" t="str">
        <f t="shared" si="13"/>
        <v/>
      </c>
      <c r="AH17" s="290"/>
      <c r="AI17" s="289" t="str">
        <f t="shared" si="14"/>
        <v xml:space="preserve">baik dalam sikap </v>
      </c>
      <c r="AJ17" s="291" t="str">
        <f t="shared" si="15"/>
        <v xml:space="preserve">jujur, </v>
      </c>
      <c r="AK17" s="291" t="str">
        <f t="shared" si="16"/>
        <v xml:space="preserve">disiplin, </v>
      </c>
      <c r="AL17" s="291" t="str">
        <f t="shared" si="17"/>
        <v xml:space="preserve">tanggung jawab, </v>
      </c>
      <c r="AM17" s="291" t="str">
        <f t="shared" si="18"/>
        <v xml:space="preserve">santun, </v>
      </c>
      <c r="AN17" s="291" t="str">
        <f t="shared" si="19"/>
        <v xml:space="preserve">peduli, </v>
      </c>
      <c r="AO17" s="291" t="str">
        <f t="shared" si="20"/>
        <v xml:space="preserve">percaya diri, </v>
      </c>
      <c r="AP17" s="291" t="str">
        <f t="shared" si="21"/>
        <v xml:space="preserve">kerja sama, </v>
      </c>
      <c r="AQ17" s="290"/>
      <c r="AR17" s="289" t="str">
        <f t="shared" si="22"/>
        <v/>
      </c>
      <c r="AS17" s="289" t="str">
        <f t="shared" si="23"/>
        <v/>
      </c>
      <c r="AT17" s="289" t="str">
        <f t="shared" si="24"/>
        <v/>
      </c>
      <c r="AU17" s="289" t="str">
        <f t="shared" si="25"/>
        <v/>
      </c>
      <c r="AV17" s="289" t="str">
        <f t="shared" si="26"/>
        <v/>
      </c>
      <c r="AW17" s="289" t="str">
        <f t="shared" si="27"/>
        <v/>
      </c>
      <c r="AX17" s="289" t="str">
        <f t="shared" si="28"/>
        <v/>
      </c>
      <c r="AY17" s="289" t="str">
        <f t="shared" si="29"/>
        <v/>
      </c>
      <c r="AZ17" s="133" t="str">
        <f t="shared" si="30"/>
        <v xml:space="preserve"> </v>
      </c>
    </row>
    <row r="18" spans="1:52" ht="38.25" customHeight="1">
      <c r="A18" s="758"/>
      <c r="B18" s="134">
        <v>14</v>
      </c>
      <c r="C18" s="130">
        <f>SISWA!B19</f>
        <v>0</v>
      </c>
      <c r="D18" s="131" t="str">
        <f>SISWA!E19</f>
        <v>Anak 14</v>
      </c>
      <c r="E18" s="764">
        <f>'KI2'!BQ23</f>
        <v>0</v>
      </c>
      <c r="F18" s="764">
        <f>'KI2'!BR23</f>
        <v>0</v>
      </c>
      <c r="G18" s="764">
        <f>'KI2'!BS23</f>
        <v>0</v>
      </c>
      <c r="H18" s="764">
        <f>'KI2'!BT23</f>
        <v>0</v>
      </c>
      <c r="I18" s="764">
        <f>'KI2'!BU23</f>
        <v>0</v>
      </c>
      <c r="J18" s="764">
        <f>'KI2'!BV23</f>
        <v>0</v>
      </c>
      <c r="K18" s="764">
        <f>'KI2'!BW23</f>
        <v>0</v>
      </c>
      <c r="L18" s="764">
        <f>'KI2'!BX23</f>
        <v>0</v>
      </c>
      <c r="M18" s="764">
        <f>'KI2'!BY23</f>
        <v>0</v>
      </c>
      <c r="N18" s="764">
        <f>'KI2'!BZ23</f>
        <v>0</v>
      </c>
      <c r="O18" s="764">
        <f>'KI2'!CA23</f>
        <v>0</v>
      </c>
      <c r="P18" s="764">
        <f>'KI2'!CB23</f>
        <v>0</v>
      </c>
      <c r="Q18" s="764">
        <f>'KI2'!CC23</f>
        <v>0</v>
      </c>
      <c r="R18" s="764">
        <f>'KI2'!CD23</f>
        <v>0</v>
      </c>
      <c r="S18" s="765" t="str">
        <f t="shared" si="0"/>
        <v>Ananda Anak 14</v>
      </c>
      <c r="T18" s="827" t="str">
        <f t="shared" si="1"/>
        <v/>
      </c>
      <c r="U18" s="827" t="str">
        <f t="shared" si="2"/>
        <v xml:space="preserve">baik dalam sikap </v>
      </c>
      <c r="V18" s="827" t="str">
        <f t="shared" si="3"/>
        <v/>
      </c>
      <c r="W18" s="287" t="str">
        <f t="shared" si="4"/>
        <v xml:space="preserve">Ananda Anak 14 baik dalam sikap jujur, disiplin, tanggung jawab, santun, peduli, percaya diri, kerja sama, </v>
      </c>
      <c r="Y18" s="288" t="str">
        <f t="shared" si="5"/>
        <v>Ananda Anak 14</v>
      </c>
      <c r="Z18" s="289" t="str">
        <f t="shared" si="6"/>
        <v/>
      </c>
      <c r="AA18" s="289" t="str">
        <f t="shared" si="7"/>
        <v/>
      </c>
      <c r="AB18" s="289" t="str">
        <f t="shared" si="8"/>
        <v/>
      </c>
      <c r="AC18" s="289" t="str">
        <f t="shared" si="9"/>
        <v/>
      </c>
      <c r="AD18" s="289" t="str">
        <f t="shared" si="10"/>
        <v/>
      </c>
      <c r="AE18" s="289" t="str">
        <f t="shared" si="11"/>
        <v/>
      </c>
      <c r="AF18" s="289" t="str">
        <f t="shared" si="12"/>
        <v/>
      </c>
      <c r="AG18" s="289" t="str">
        <f t="shared" si="13"/>
        <v/>
      </c>
      <c r="AH18" s="290"/>
      <c r="AI18" s="289" t="str">
        <f t="shared" si="14"/>
        <v xml:space="preserve">baik dalam sikap </v>
      </c>
      <c r="AJ18" s="291" t="str">
        <f t="shared" si="15"/>
        <v xml:space="preserve">jujur, </v>
      </c>
      <c r="AK18" s="291" t="str">
        <f t="shared" si="16"/>
        <v xml:space="preserve">disiplin, </v>
      </c>
      <c r="AL18" s="291" t="str">
        <f t="shared" si="17"/>
        <v xml:space="preserve">tanggung jawab, </v>
      </c>
      <c r="AM18" s="291" t="str">
        <f t="shared" si="18"/>
        <v xml:space="preserve">santun, </v>
      </c>
      <c r="AN18" s="291" t="str">
        <f t="shared" si="19"/>
        <v xml:space="preserve">peduli, </v>
      </c>
      <c r="AO18" s="291" t="str">
        <f t="shared" si="20"/>
        <v xml:space="preserve">percaya diri, </v>
      </c>
      <c r="AP18" s="291" t="str">
        <f t="shared" si="21"/>
        <v xml:space="preserve">kerja sama, </v>
      </c>
      <c r="AQ18" s="290"/>
      <c r="AR18" s="289" t="str">
        <f t="shared" si="22"/>
        <v/>
      </c>
      <c r="AS18" s="289" t="str">
        <f t="shared" si="23"/>
        <v/>
      </c>
      <c r="AT18" s="289" t="str">
        <f t="shared" si="24"/>
        <v/>
      </c>
      <c r="AU18" s="289" t="str">
        <f t="shared" si="25"/>
        <v/>
      </c>
      <c r="AV18" s="289" t="str">
        <f t="shared" si="26"/>
        <v/>
      </c>
      <c r="AW18" s="289" t="str">
        <f t="shared" si="27"/>
        <v/>
      </c>
      <c r="AX18" s="289" t="str">
        <f t="shared" si="28"/>
        <v/>
      </c>
      <c r="AY18" s="289" t="str">
        <f t="shared" si="29"/>
        <v/>
      </c>
      <c r="AZ18" s="133" t="str">
        <f t="shared" si="30"/>
        <v xml:space="preserve"> </v>
      </c>
    </row>
    <row r="19" spans="1:52" ht="38.25" customHeight="1">
      <c r="A19" s="758"/>
      <c r="B19" s="129">
        <v>15</v>
      </c>
      <c r="C19" s="130">
        <f>SISWA!B20</f>
        <v>0</v>
      </c>
      <c r="D19" s="131" t="str">
        <f>SISWA!E20</f>
        <v>Anak 15</v>
      </c>
      <c r="E19" s="764">
        <f>'KI2'!BQ24</f>
        <v>0</v>
      </c>
      <c r="F19" s="764">
        <f>'KI2'!BR24</f>
        <v>0</v>
      </c>
      <c r="G19" s="764">
        <f>'KI2'!BS24</f>
        <v>0</v>
      </c>
      <c r="H19" s="764">
        <f>'KI2'!BT24</f>
        <v>0</v>
      </c>
      <c r="I19" s="764">
        <f>'KI2'!BU24</f>
        <v>0</v>
      </c>
      <c r="J19" s="764">
        <f>'KI2'!BV24</f>
        <v>0</v>
      </c>
      <c r="K19" s="764">
        <f>'KI2'!BW24</f>
        <v>0</v>
      </c>
      <c r="L19" s="764">
        <f>'KI2'!BX24</f>
        <v>0</v>
      </c>
      <c r="M19" s="764">
        <f>'KI2'!BY24</f>
        <v>0</v>
      </c>
      <c r="N19" s="764">
        <f>'KI2'!BZ24</f>
        <v>0</v>
      </c>
      <c r="O19" s="764">
        <f>'KI2'!CA24</f>
        <v>0</v>
      </c>
      <c r="P19" s="764">
        <f>'KI2'!CB24</f>
        <v>0</v>
      </c>
      <c r="Q19" s="764">
        <f>'KI2'!CC24</f>
        <v>0</v>
      </c>
      <c r="R19" s="764">
        <f>'KI2'!CD24</f>
        <v>0</v>
      </c>
      <c r="S19" s="765" t="str">
        <f t="shared" si="0"/>
        <v>Ananda Anak 15</v>
      </c>
      <c r="T19" s="827" t="str">
        <f t="shared" si="1"/>
        <v/>
      </c>
      <c r="U19" s="827" t="str">
        <f t="shared" si="2"/>
        <v xml:space="preserve">baik dalam sikap </v>
      </c>
      <c r="V19" s="827" t="str">
        <f t="shared" si="3"/>
        <v/>
      </c>
      <c r="W19" s="287" t="str">
        <f t="shared" si="4"/>
        <v xml:space="preserve">Ananda Anak 15 baik dalam sikap jujur, disiplin, tanggung jawab, santun, peduli, percaya diri, kerja sama, </v>
      </c>
      <c r="Y19" s="288" t="str">
        <f t="shared" si="5"/>
        <v>Ananda Anak 15</v>
      </c>
      <c r="Z19" s="289" t="str">
        <f t="shared" si="6"/>
        <v/>
      </c>
      <c r="AA19" s="289" t="str">
        <f t="shared" si="7"/>
        <v/>
      </c>
      <c r="AB19" s="289" t="str">
        <f t="shared" si="8"/>
        <v/>
      </c>
      <c r="AC19" s="289" t="str">
        <f t="shared" si="9"/>
        <v/>
      </c>
      <c r="AD19" s="289" t="str">
        <f t="shared" si="10"/>
        <v/>
      </c>
      <c r="AE19" s="289" t="str">
        <f t="shared" si="11"/>
        <v/>
      </c>
      <c r="AF19" s="289" t="str">
        <f t="shared" si="12"/>
        <v/>
      </c>
      <c r="AG19" s="289" t="str">
        <f t="shared" si="13"/>
        <v/>
      </c>
      <c r="AH19" s="290"/>
      <c r="AI19" s="289" t="str">
        <f t="shared" si="14"/>
        <v xml:space="preserve">baik dalam sikap </v>
      </c>
      <c r="AJ19" s="291" t="str">
        <f t="shared" si="15"/>
        <v xml:space="preserve">jujur, </v>
      </c>
      <c r="AK19" s="291" t="str">
        <f t="shared" si="16"/>
        <v xml:space="preserve">disiplin, </v>
      </c>
      <c r="AL19" s="291" t="str">
        <f t="shared" si="17"/>
        <v xml:space="preserve">tanggung jawab, </v>
      </c>
      <c r="AM19" s="291" t="str">
        <f t="shared" si="18"/>
        <v xml:space="preserve">santun, </v>
      </c>
      <c r="AN19" s="291" t="str">
        <f t="shared" si="19"/>
        <v xml:space="preserve">peduli, </v>
      </c>
      <c r="AO19" s="291" t="str">
        <f t="shared" si="20"/>
        <v xml:space="preserve">percaya diri, </v>
      </c>
      <c r="AP19" s="291" t="str">
        <f t="shared" si="21"/>
        <v xml:space="preserve">kerja sama, </v>
      </c>
      <c r="AQ19" s="290"/>
      <c r="AR19" s="289" t="str">
        <f t="shared" si="22"/>
        <v/>
      </c>
      <c r="AS19" s="289" t="str">
        <f t="shared" si="23"/>
        <v/>
      </c>
      <c r="AT19" s="289" t="str">
        <f t="shared" si="24"/>
        <v/>
      </c>
      <c r="AU19" s="289" t="str">
        <f t="shared" si="25"/>
        <v/>
      </c>
      <c r="AV19" s="289" t="str">
        <f t="shared" si="26"/>
        <v/>
      </c>
      <c r="AW19" s="289" t="str">
        <f t="shared" si="27"/>
        <v/>
      </c>
      <c r="AX19" s="289" t="str">
        <f t="shared" si="28"/>
        <v/>
      </c>
      <c r="AY19" s="289" t="str">
        <f t="shared" si="29"/>
        <v/>
      </c>
      <c r="AZ19" s="133" t="str">
        <f t="shared" si="30"/>
        <v xml:space="preserve"> </v>
      </c>
    </row>
    <row r="20" spans="1:52" ht="38.25" customHeight="1">
      <c r="A20" s="758"/>
      <c r="B20" s="134">
        <v>16</v>
      </c>
      <c r="C20" s="130">
        <f>SISWA!B21</f>
        <v>0</v>
      </c>
      <c r="D20" s="131" t="str">
        <f>SISWA!E21</f>
        <v>Anak 16</v>
      </c>
      <c r="E20" s="764">
        <f>'KI2'!BQ25</f>
        <v>0</v>
      </c>
      <c r="F20" s="764">
        <f>'KI2'!BR25</f>
        <v>0</v>
      </c>
      <c r="G20" s="764">
        <f>'KI2'!BS25</f>
        <v>0</v>
      </c>
      <c r="H20" s="764">
        <f>'KI2'!BT25</f>
        <v>0</v>
      </c>
      <c r="I20" s="764">
        <f>'KI2'!BU25</f>
        <v>0</v>
      </c>
      <c r="J20" s="764">
        <f>'KI2'!BV25</f>
        <v>0</v>
      </c>
      <c r="K20" s="764">
        <f>'KI2'!BW25</f>
        <v>0</v>
      </c>
      <c r="L20" s="764">
        <f>'KI2'!BX25</f>
        <v>0</v>
      </c>
      <c r="M20" s="764">
        <f>'KI2'!BY25</f>
        <v>0</v>
      </c>
      <c r="N20" s="764">
        <f>'KI2'!BZ25</f>
        <v>0</v>
      </c>
      <c r="O20" s="764">
        <f>'KI2'!CA25</f>
        <v>0</v>
      </c>
      <c r="P20" s="764">
        <f>'KI2'!CB25</f>
        <v>0</v>
      </c>
      <c r="Q20" s="764">
        <f>'KI2'!CC25</f>
        <v>0</v>
      </c>
      <c r="R20" s="764">
        <f>'KI2'!CD25</f>
        <v>0</v>
      </c>
      <c r="S20" s="765" t="str">
        <f t="shared" si="0"/>
        <v>Ananda Anak 16</v>
      </c>
      <c r="T20" s="827" t="str">
        <f t="shared" si="1"/>
        <v/>
      </c>
      <c r="U20" s="827" t="str">
        <f t="shared" si="2"/>
        <v xml:space="preserve">baik dalam sikap </v>
      </c>
      <c r="V20" s="827" t="str">
        <f t="shared" si="3"/>
        <v/>
      </c>
      <c r="W20" s="287" t="str">
        <f t="shared" si="4"/>
        <v xml:space="preserve">Ananda Anak 16 baik dalam sikap jujur, disiplin, tanggung jawab, santun, peduli, percaya diri, kerja sama, </v>
      </c>
      <c r="Y20" s="288" t="str">
        <f t="shared" si="5"/>
        <v>Ananda Anak 16</v>
      </c>
      <c r="Z20" s="289" t="str">
        <f t="shared" si="6"/>
        <v/>
      </c>
      <c r="AA20" s="289" t="str">
        <f t="shared" si="7"/>
        <v/>
      </c>
      <c r="AB20" s="289" t="str">
        <f t="shared" si="8"/>
        <v/>
      </c>
      <c r="AC20" s="289" t="str">
        <f t="shared" si="9"/>
        <v/>
      </c>
      <c r="AD20" s="289" t="str">
        <f t="shared" si="10"/>
        <v/>
      </c>
      <c r="AE20" s="289" t="str">
        <f t="shared" si="11"/>
        <v/>
      </c>
      <c r="AF20" s="289" t="str">
        <f t="shared" si="12"/>
        <v/>
      </c>
      <c r="AG20" s="289" t="str">
        <f t="shared" si="13"/>
        <v/>
      </c>
      <c r="AH20" s="290"/>
      <c r="AI20" s="289" t="str">
        <f t="shared" si="14"/>
        <v xml:space="preserve">baik dalam sikap </v>
      </c>
      <c r="AJ20" s="291" t="str">
        <f t="shared" si="15"/>
        <v xml:space="preserve">jujur, </v>
      </c>
      <c r="AK20" s="291" t="str">
        <f t="shared" si="16"/>
        <v xml:space="preserve">disiplin, </v>
      </c>
      <c r="AL20" s="291" t="str">
        <f t="shared" si="17"/>
        <v xml:space="preserve">tanggung jawab, </v>
      </c>
      <c r="AM20" s="291" t="str">
        <f t="shared" si="18"/>
        <v xml:space="preserve">santun, </v>
      </c>
      <c r="AN20" s="291" t="str">
        <f t="shared" si="19"/>
        <v xml:space="preserve">peduli, </v>
      </c>
      <c r="AO20" s="291" t="str">
        <f t="shared" si="20"/>
        <v xml:space="preserve">percaya diri, </v>
      </c>
      <c r="AP20" s="291" t="str">
        <f t="shared" si="21"/>
        <v xml:space="preserve">kerja sama, </v>
      </c>
      <c r="AQ20" s="290"/>
      <c r="AR20" s="289" t="str">
        <f t="shared" si="22"/>
        <v/>
      </c>
      <c r="AS20" s="289" t="str">
        <f t="shared" si="23"/>
        <v/>
      </c>
      <c r="AT20" s="289" t="str">
        <f t="shared" si="24"/>
        <v/>
      </c>
      <c r="AU20" s="289" t="str">
        <f t="shared" si="25"/>
        <v/>
      </c>
      <c r="AV20" s="289" t="str">
        <f t="shared" si="26"/>
        <v/>
      </c>
      <c r="AW20" s="289" t="str">
        <f t="shared" si="27"/>
        <v/>
      </c>
      <c r="AX20" s="289" t="str">
        <f t="shared" si="28"/>
        <v/>
      </c>
      <c r="AY20" s="289" t="str">
        <f t="shared" si="29"/>
        <v/>
      </c>
      <c r="AZ20" s="133" t="str">
        <f t="shared" si="30"/>
        <v xml:space="preserve"> </v>
      </c>
    </row>
    <row r="21" spans="1:52" ht="38.25" customHeight="1">
      <c r="A21" s="758"/>
      <c r="B21" s="129">
        <v>17</v>
      </c>
      <c r="C21" s="130">
        <f>SISWA!B22</f>
        <v>0</v>
      </c>
      <c r="D21" s="131" t="str">
        <f>SISWA!E22</f>
        <v>Anak 17</v>
      </c>
      <c r="E21" s="764">
        <f>'KI2'!BQ26</f>
        <v>0</v>
      </c>
      <c r="F21" s="764">
        <f>'KI2'!BR26</f>
        <v>0</v>
      </c>
      <c r="G21" s="764">
        <f>'KI2'!BS26</f>
        <v>0</v>
      </c>
      <c r="H21" s="764">
        <f>'KI2'!BT26</f>
        <v>0</v>
      </c>
      <c r="I21" s="764">
        <f>'KI2'!BU26</f>
        <v>0</v>
      </c>
      <c r="J21" s="764">
        <f>'KI2'!BV26</f>
        <v>0</v>
      </c>
      <c r="K21" s="764">
        <f>'KI2'!BW26</f>
        <v>0</v>
      </c>
      <c r="L21" s="764">
        <f>'KI2'!BX26</f>
        <v>0</v>
      </c>
      <c r="M21" s="764">
        <f>'KI2'!BY26</f>
        <v>0</v>
      </c>
      <c r="N21" s="764">
        <f>'KI2'!BZ26</f>
        <v>0</v>
      </c>
      <c r="O21" s="764">
        <f>'KI2'!CA26</f>
        <v>0</v>
      </c>
      <c r="P21" s="764">
        <f>'KI2'!CB26</f>
        <v>0</v>
      </c>
      <c r="Q21" s="764">
        <f>'KI2'!CC26</f>
        <v>0</v>
      </c>
      <c r="R21" s="764">
        <f>'KI2'!CD26</f>
        <v>0</v>
      </c>
      <c r="S21" s="765" t="str">
        <f t="shared" si="0"/>
        <v>Ananda Anak 17</v>
      </c>
      <c r="T21" s="827" t="str">
        <f t="shared" si="1"/>
        <v/>
      </c>
      <c r="U21" s="827" t="str">
        <f t="shared" si="2"/>
        <v xml:space="preserve">baik dalam sikap </v>
      </c>
      <c r="V21" s="827" t="str">
        <f t="shared" si="3"/>
        <v/>
      </c>
      <c r="W21" s="287" t="str">
        <f t="shared" si="4"/>
        <v xml:space="preserve">Ananda Anak 17 baik dalam sikap jujur, disiplin, tanggung jawab, santun, peduli, percaya diri, kerja sama, </v>
      </c>
      <c r="Y21" s="288" t="str">
        <f t="shared" si="5"/>
        <v>Ananda Anak 17</v>
      </c>
      <c r="Z21" s="289" t="str">
        <f t="shared" si="6"/>
        <v/>
      </c>
      <c r="AA21" s="289" t="str">
        <f t="shared" si="7"/>
        <v/>
      </c>
      <c r="AB21" s="289" t="str">
        <f t="shared" si="8"/>
        <v/>
      </c>
      <c r="AC21" s="289" t="str">
        <f t="shared" si="9"/>
        <v/>
      </c>
      <c r="AD21" s="289" t="str">
        <f t="shared" si="10"/>
        <v/>
      </c>
      <c r="AE21" s="289" t="str">
        <f t="shared" si="11"/>
        <v/>
      </c>
      <c r="AF21" s="289" t="str">
        <f t="shared" si="12"/>
        <v/>
      </c>
      <c r="AG21" s="289" t="str">
        <f t="shared" si="13"/>
        <v/>
      </c>
      <c r="AH21" s="290"/>
      <c r="AI21" s="289" t="str">
        <f t="shared" si="14"/>
        <v xml:space="preserve">baik dalam sikap </v>
      </c>
      <c r="AJ21" s="291" t="str">
        <f t="shared" si="15"/>
        <v xml:space="preserve">jujur, </v>
      </c>
      <c r="AK21" s="291" t="str">
        <f t="shared" si="16"/>
        <v xml:space="preserve">disiplin, </v>
      </c>
      <c r="AL21" s="291" t="str">
        <f t="shared" si="17"/>
        <v xml:space="preserve">tanggung jawab, </v>
      </c>
      <c r="AM21" s="291" t="str">
        <f t="shared" si="18"/>
        <v xml:space="preserve">santun, </v>
      </c>
      <c r="AN21" s="291" t="str">
        <f t="shared" si="19"/>
        <v xml:space="preserve">peduli, </v>
      </c>
      <c r="AO21" s="291" t="str">
        <f t="shared" si="20"/>
        <v xml:space="preserve">percaya diri, </v>
      </c>
      <c r="AP21" s="291" t="str">
        <f t="shared" si="21"/>
        <v xml:space="preserve">kerja sama, </v>
      </c>
      <c r="AQ21" s="290"/>
      <c r="AR21" s="289" t="str">
        <f t="shared" si="22"/>
        <v/>
      </c>
      <c r="AS21" s="289" t="str">
        <f t="shared" si="23"/>
        <v/>
      </c>
      <c r="AT21" s="289" t="str">
        <f t="shared" si="24"/>
        <v/>
      </c>
      <c r="AU21" s="289" t="str">
        <f t="shared" si="25"/>
        <v/>
      </c>
      <c r="AV21" s="289" t="str">
        <f t="shared" si="26"/>
        <v/>
      </c>
      <c r="AW21" s="289" t="str">
        <f t="shared" si="27"/>
        <v/>
      </c>
      <c r="AX21" s="289" t="str">
        <f t="shared" si="28"/>
        <v/>
      </c>
      <c r="AY21" s="289" t="str">
        <f t="shared" si="29"/>
        <v/>
      </c>
      <c r="AZ21" s="133" t="str">
        <f t="shared" si="30"/>
        <v xml:space="preserve"> </v>
      </c>
    </row>
    <row r="22" spans="1:52" ht="38.25" customHeight="1">
      <c r="A22" s="758"/>
      <c r="B22" s="134">
        <v>18</v>
      </c>
      <c r="C22" s="130">
        <f>SISWA!B23</f>
        <v>0</v>
      </c>
      <c r="D22" s="131" t="str">
        <f>SISWA!E23</f>
        <v>Anak 18</v>
      </c>
      <c r="E22" s="764">
        <f>'KI2'!BQ27</f>
        <v>0</v>
      </c>
      <c r="F22" s="764">
        <f>'KI2'!BR27</f>
        <v>0</v>
      </c>
      <c r="G22" s="764">
        <f>'KI2'!BS27</f>
        <v>0</v>
      </c>
      <c r="H22" s="764">
        <f>'KI2'!BT27</f>
        <v>0</v>
      </c>
      <c r="I22" s="764">
        <f>'KI2'!BU27</f>
        <v>0</v>
      </c>
      <c r="J22" s="764">
        <f>'KI2'!BV27</f>
        <v>0</v>
      </c>
      <c r="K22" s="764">
        <f>'KI2'!BW27</f>
        <v>0</v>
      </c>
      <c r="L22" s="764">
        <f>'KI2'!BX27</f>
        <v>0</v>
      </c>
      <c r="M22" s="764">
        <f>'KI2'!BY27</f>
        <v>0</v>
      </c>
      <c r="N22" s="764">
        <f>'KI2'!BZ27</f>
        <v>0</v>
      </c>
      <c r="O22" s="764">
        <f>'KI2'!CA27</f>
        <v>0</v>
      </c>
      <c r="P22" s="764">
        <f>'KI2'!CB27</f>
        <v>0</v>
      </c>
      <c r="Q22" s="764">
        <f>'KI2'!CC27</f>
        <v>0</v>
      </c>
      <c r="R22" s="764">
        <f>'KI2'!CD27</f>
        <v>0</v>
      </c>
      <c r="S22" s="765" t="str">
        <f t="shared" si="0"/>
        <v>Ananda Anak 18</v>
      </c>
      <c r="T22" s="827" t="str">
        <f t="shared" si="1"/>
        <v/>
      </c>
      <c r="U22" s="827" t="str">
        <f t="shared" si="2"/>
        <v xml:space="preserve">baik dalam sikap </v>
      </c>
      <c r="V22" s="827" t="str">
        <f t="shared" si="3"/>
        <v/>
      </c>
      <c r="W22" s="287" t="str">
        <f t="shared" si="4"/>
        <v xml:space="preserve">Ananda Anak 18 baik dalam sikap jujur, disiplin, tanggung jawab, santun, peduli, percaya diri, kerja sama, </v>
      </c>
      <c r="Y22" s="288" t="str">
        <f t="shared" si="5"/>
        <v>Ananda Anak 18</v>
      </c>
      <c r="Z22" s="289" t="str">
        <f t="shared" si="6"/>
        <v/>
      </c>
      <c r="AA22" s="289" t="str">
        <f t="shared" si="7"/>
        <v/>
      </c>
      <c r="AB22" s="289" t="str">
        <f t="shared" si="8"/>
        <v/>
      </c>
      <c r="AC22" s="289" t="str">
        <f t="shared" si="9"/>
        <v/>
      </c>
      <c r="AD22" s="289" t="str">
        <f t="shared" si="10"/>
        <v/>
      </c>
      <c r="AE22" s="289" t="str">
        <f t="shared" si="11"/>
        <v/>
      </c>
      <c r="AF22" s="289" t="str">
        <f t="shared" si="12"/>
        <v/>
      </c>
      <c r="AG22" s="289" t="str">
        <f t="shared" si="13"/>
        <v/>
      </c>
      <c r="AH22" s="290"/>
      <c r="AI22" s="289" t="str">
        <f t="shared" si="14"/>
        <v xml:space="preserve">baik dalam sikap </v>
      </c>
      <c r="AJ22" s="291" t="str">
        <f t="shared" si="15"/>
        <v xml:space="preserve">jujur, </v>
      </c>
      <c r="AK22" s="291" t="str">
        <f t="shared" si="16"/>
        <v xml:space="preserve">disiplin, </v>
      </c>
      <c r="AL22" s="291" t="str">
        <f t="shared" si="17"/>
        <v xml:space="preserve">tanggung jawab, </v>
      </c>
      <c r="AM22" s="291" t="str">
        <f t="shared" si="18"/>
        <v xml:space="preserve">santun, </v>
      </c>
      <c r="AN22" s="291" t="str">
        <f t="shared" si="19"/>
        <v xml:space="preserve">peduli, </v>
      </c>
      <c r="AO22" s="291" t="str">
        <f t="shared" si="20"/>
        <v xml:space="preserve">percaya diri, </v>
      </c>
      <c r="AP22" s="291" t="str">
        <f t="shared" si="21"/>
        <v xml:space="preserve">kerja sama, </v>
      </c>
      <c r="AQ22" s="290"/>
      <c r="AR22" s="289" t="str">
        <f t="shared" si="22"/>
        <v/>
      </c>
      <c r="AS22" s="289" t="str">
        <f t="shared" si="23"/>
        <v/>
      </c>
      <c r="AT22" s="289" t="str">
        <f t="shared" si="24"/>
        <v/>
      </c>
      <c r="AU22" s="289" t="str">
        <f t="shared" si="25"/>
        <v/>
      </c>
      <c r="AV22" s="289" t="str">
        <f t="shared" si="26"/>
        <v/>
      </c>
      <c r="AW22" s="289" t="str">
        <f t="shared" si="27"/>
        <v/>
      </c>
      <c r="AX22" s="289" t="str">
        <f t="shared" si="28"/>
        <v/>
      </c>
      <c r="AY22" s="289" t="str">
        <f t="shared" si="29"/>
        <v/>
      </c>
      <c r="AZ22" s="133" t="str">
        <f t="shared" si="30"/>
        <v xml:space="preserve"> </v>
      </c>
    </row>
    <row r="23" spans="1:52" ht="38.25" customHeight="1">
      <c r="A23" s="758"/>
      <c r="B23" s="129">
        <v>19</v>
      </c>
      <c r="C23" s="130">
        <f>SISWA!B24</f>
        <v>0</v>
      </c>
      <c r="D23" s="131" t="str">
        <f>SISWA!E24</f>
        <v>Anak 19</v>
      </c>
      <c r="E23" s="764">
        <f>'KI2'!BQ28</f>
        <v>0</v>
      </c>
      <c r="F23" s="764">
        <f>'KI2'!BR28</f>
        <v>0</v>
      </c>
      <c r="G23" s="764">
        <f>'KI2'!BS28</f>
        <v>0</v>
      </c>
      <c r="H23" s="764">
        <f>'KI2'!BT28</f>
        <v>0</v>
      </c>
      <c r="I23" s="764">
        <f>'KI2'!BU28</f>
        <v>0</v>
      </c>
      <c r="J23" s="764">
        <f>'KI2'!BV28</f>
        <v>0</v>
      </c>
      <c r="K23" s="764">
        <f>'KI2'!BW28</f>
        <v>0</v>
      </c>
      <c r="L23" s="764">
        <f>'KI2'!BX28</f>
        <v>0</v>
      </c>
      <c r="M23" s="764">
        <f>'KI2'!BY28</f>
        <v>0</v>
      </c>
      <c r="N23" s="764">
        <f>'KI2'!BZ28</f>
        <v>0</v>
      </c>
      <c r="O23" s="764">
        <f>'KI2'!CA28</f>
        <v>0</v>
      </c>
      <c r="P23" s="764">
        <f>'KI2'!CB28</f>
        <v>0</v>
      </c>
      <c r="Q23" s="764">
        <f>'KI2'!CC28</f>
        <v>0</v>
      </c>
      <c r="R23" s="764">
        <f>'KI2'!CD28</f>
        <v>0</v>
      </c>
      <c r="S23" s="765" t="str">
        <f t="shared" si="0"/>
        <v>Ananda Anak 19</v>
      </c>
      <c r="T23" s="827" t="str">
        <f t="shared" si="1"/>
        <v/>
      </c>
      <c r="U23" s="827" t="str">
        <f t="shared" si="2"/>
        <v xml:space="preserve">baik dalam sikap </v>
      </c>
      <c r="V23" s="827" t="str">
        <f t="shared" si="3"/>
        <v/>
      </c>
      <c r="W23" s="287" t="str">
        <f t="shared" si="4"/>
        <v xml:space="preserve">Ananda Anak 19 baik dalam sikap jujur, disiplin, tanggung jawab, santun, peduli, percaya diri, kerja sama, </v>
      </c>
      <c r="Y23" s="288" t="str">
        <f t="shared" si="5"/>
        <v>Ananda Anak 19</v>
      </c>
      <c r="Z23" s="289" t="str">
        <f t="shared" si="6"/>
        <v/>
      </c>
      <c r="AA23" s="289" t="str">
        <f t="shared" si="7"/>
        <v/>
      </c>
      <c r="AB23" s="289" t="str">
        <f t="shared" si="8"/>
        <v/>
      </c>
      <c r="AC23" s="289" t="str">
        <f t="shared" si="9"/>
        <v/>
      </c>
      <c r="AD23" s="289" t="str">
        <f t="shared" si="10"/>
        <v/>
      </c>
      <c r="AE23" s="289" t="str">
        <f t="shared" si="11"/>
        <v/>
      </c>
      <c r="AF23" s="289" t="str">
        <f t="shared" si="12"/>
        <v/>
      </c>
      <c r="AG23" s="289" t="str">
        <f t="shared" si="13"/>
        <v/>
      </c>
      <c r="AH23" s="290"/>
      <c r="AI23" s="289" t="str">
        <f t="shared" si="14"/>
        <v xml:space="preserve">baik dalam sikap </v>
      </c>
      <c r="AJ23" s="291" t="str">
        <f t="shared" si="15"/>
        <v xml:space="preserve">jujur, </v>
      </c>
      <c r="AK23" s="291" t="str">
        <f t="shared" si="16"/>
        <v xml:space="preserve">disiplin, </v>
      </c>
      <c r="AL23" s="291" t="str">
        <f t="shared" si="17"/>
        <v xml:space="preserve">tanggung jawab, </v>
      </c>
      <c r="AM23" s="291" t="str">
        <f t="shared" si="18"/>
        <v xml:space="preserve">santun, </v>
      </c>
      <c r="AN23" s="291" t="str">
        <f t="shared" si="19"/>
        <v xml:space="preserve">peduli, </v>
      </c>
      <c r="AO23" s="291" t="str">
        <f t="shared" si="20"/>
        <v xml:space="preserve">percaya diri, </v>
      </c>
      <c r="AP23" s="291" t="str">
        <f t="shared" si="21"/>
        <v xml:space="preserve">kerja sama, </v>
      </c>
      <c r="AQ23" s="290"/>
      <c r="AR23" s="289" t="str">
        <f t="shared" si="22"/>
        <v/>
      </c>
      <c r="AS23" s="289" t="str">
        <f t="shared" si="23"/>
        <v/>
      </c>
      <c r="AT23" s="289" t="str">
        <f t="shared" si="24"/>
        <v/>
      </c>
      <c r="AU23" s="289" t="str">
        <f t="shared" si="25"/>
        <v/>
      </c>
      <c r="AV23" s="289" t="str">
        <f t="shared" si="26"/>
        <v/>
      </c>
      <c r="AW23" s="289" t="str">
        <f t="shared" si="27"/>
        <v/>
      </c>
      <c r="AX23" s="289" t="str">
        <f t="shared" si="28"/>
        <v/>
      </c>
      <c r="AY23" s="289" t="str">
        <f t="shared" si="29"/>
        <v/>
      </c>
      <c r="AZ23" s="133" t="str">
        <f t="shared" si="30"/>
        <v xml:space="preserve"> </v>
      </c>
    </row>
    <row r="24" spans="1:52" ht="38.25" customHeight="1">
      <c r="A24" s="758"/>
      <c r="B24" s="134">
        <v>20</v>
      </c>
      <c r="C24" s="130">
        <f>SISWA!B25</f>
        <v>0</v>
      </c>
      <c r="D24" s="131" t="str">
        <f>SISWA!E25</f>
        <v>Anak 20</v>
      </c>
      <c r="E24" s="764">
        <f>'KI2'!BQ29</f>
        <v>0</v>
      </c>
      <c r="F24" s="764">
        <f>'KI2'!BR29</f>
        <v>0</v>
      </c>
      <c r="G24" s="764">
        <f>'KI2'!BS29</f>
        <v>0</v>
      </c>
      <c r="H24" s="764">
        <f>'KI2'!BT29</f>
        <v>0</v>
      </c>
      <c r="I24" s="764">
        <f>'KI2'!BU29</f>
        <v>0</v>
      </c>
      <c r="J24" s="764">
        <f>'KI2'!BV29</f>
        <v>0</v>
      </c>
      <c r="K24" s="764">
        <f>'KI2'!BW29</f>
        <v>0</v>
      </c>
      <c r="L24" s="764">
        <f>'KI2'!BX29</f>
        <v>0</v>
      </c>
      <c r="M24" s="764">
        <f>'KI2'!BY29</f>
        <v>0</v>
      </c>
      <c r="N24" s="764">
        <f>'KI2'!BZ29</f>
        <v>0</v>
      </c>
      <c r="O24" s="764">
        <f>'KI2'!CA29</f>
        <v>0</v>
      </c>
      <c r="P24" s="764">
        <f>'KI2'!CB29</f>
        <v>0</v>
      </c>
      <c r="Q24" s="764">
        <f>'KI2'!CC29</f>
        <v>0</v>
      </c>
      <c r="R24" s="764">
        <f>'KI2'!CD29</f>
        <v>0</v>
      </c>
      <c r="S24" s="765" t="str">
        <f t="shared" si="0"/>
        <v>Ananda Anak 20</v>
      </c>
      <c r="T24" s="827" t="str">
        <f t="shared" si="1"/>
        <v/>
      </c>
      <c r="U24" s="827" t="str">
        <f t="shared" si="2"/>
        <v xml:space="preserve">baik dalam sikap </v>
      </c>
      <c r="V24" s="827" t="str">
        <f t="shared" si="3"/>
        <v/>
      </c>
      <c r="W24" s="287" t="str">
        <f t="shared" si="4"/>
        <v xml:space="preserve">Ananda Anak 20 baik dalam sikap jujur, disiplin, tanggung jawab, santun, peduli, percaya diri, kerja sama, </v>
      </c>
      <c r="Y24" s="288" t="str">
        <f t="shared" si="5"/>
        <v>Ananda Anak 20</v>
      </c>
      <c r="Z24" s="289" t="str">
        <f t="shared" si="6"/>
        <v/>
      </c>
      <c r="AA24" s="289" t="str">
        <f t="shared" si="7"/>
        <v/>
      </c>
      <c r="AB24" s="289" t="str">
        <f t="shared" si="8"/>
        <v/>
      </c>
      <c r="AC24" s="289" t="str">
        <f t="shared" si="9"/>
        <v/>
      </c>
      <c r="AD24" s="289" t="str">
        <f t="shared" si="10"/>
        <v/>
      </c>
      <c r="AE24" s="289" t="str">
        <f t="shared" si="11"/>
        <v/>
      </c>
      <c r="AF24" s="289" t="str">
        <f t="shared" si="12"/>
        <v/>
      </c>
      <c r="AG24" s="289" t="str">
        <f t="shared" si="13"/>
        <v/>
      </c>
      <c r="AH24" s="290"/>
      <c r="AI24" s="289" t="str">
        <f t="shared" si="14"/>
        <v xml:space="preserve">baik dalam sikap </v>
      </c>
      <c r="AJ24" s="291" t="str">
        <f t="shared" si="15"/>
        <v xml:space="preserve">jujur, </v>
      </c>
      <c r="AK24" s="291" t="str">
        <f t="shared" si="16"/>
        <v xml:space="preserve">disiplin, </v>
      </c>
      <c r="AL24" s="291" t="str">
        <f t="shared" si="17"/>
        <v xml:space="preserve">tanggung jawab, </v>
      </c>
      <c r="AM24" s="291" t="str">
        <f t="shared" si="18"/>
        <v xml:space="preserve">santun, </v>
      </c>
      <c r="AN24" s="291" t="str">
        <f t="shared" si="19"/>
        <v xml:space="preserve">peduli, </v>
      </c>
      <c r="AO24" s="291" t="str">
        <f t="shared" si="20"/>
        <v xml:space="preserve">percaya diri, </v>
      </c>
      <c r="AP24" s="291" t="str">
        <f t="shared" si="21"/>
        <v xml:space="preserve">kerja sama, </v>
      </c>
      <c r="AQ24" s="290"/>
      <c r="AR24" s="289" t="str">
        <f t="shared" si="22"/>
        <v/>
      </c>
      <c r="AS24" s="289" t="str">
        <f t="shared" si="23"/>
        <v/>
      </c>
      <c r="AT24" s="289" t="str">
        <f t="shared" si="24"/>
        <v/>
      </c>
      <c r="AU24" s="289" t="str">
        <f t="shared" si="25"/>
        <v/>
      </c>
      <c r="AV24" s="289" t="str">
        <f t="shared" si="26"/>
        <v/>
      </c>
      <c r="AW24" s="289" t="str">
        <f t="shared" si="27"/>
        <v/>
      </c>
      <c r="AX24" s="289" t="str">
        <f t="shared" si="28"/>
        <v/>
      </c>
      <c r="AY24" s="289" t="str">
        <f t="shared" si="29"/>
        <v/>
      </c>
      <c r="AZ24" s="133" t="str">
        <f t="shared" si="30"/>
        <v xml:space="preserve"> </v>
      </c>
    </row>
    <row r="25" spans="1:52" ht="38.25" customHeight="1">
      <c r="A25" s="758"/>
      <c r="B25" s="129">
        <v>21</v>
      </c>
      <c r="C25" s="130">
        <f>SISWA!B26</f>
        <v>0</v>
      </c>
      <c r="D25" s="131" t="str">
        <f>SISWA!E26</f>
        <v>Anak 21</v>
      </c>
      <c r="E25" s="764">
        <f>'KI2'!BQ30</f>
        <v>0</v>
      </c>
      <c r="F25" s="764">
        <f>'KI2'!BR30</f>
        <v>0</v>
      </c>
      <c r="G25" s="764">
        <f>'KI2'!BS30</f>
        <v>0</v>
      </c>
      <c r="H25" s="764">
        <f>'KI2'!BT30</f>
        <v>0</v>
      </c>
      <c r="I25" s="764">
        <f>'KI2'!BU30</f>
        <v>0</v>
      </c>
      <c r="J25" s="764">
        <f>'KI2'!BV30</f>
        <v>0</v>
      </c>
      <c r="K25" s="764">
        <f>'KI2'!BW30</f>
        <v>0</v>
      </c>
      <c r="L25" s="764">
        <f>'KI2'!BX30</f>
        <v>0</v>
      </c>
      <c r="M25" s="764">
        <f>'KI2'!BY30</f>
        <v>0</v>
      </c>
      <c r="N25" s="764">
        <f>'KI2'!BZ30</f>
        <v>0</v>
      </c>
      <c r="O25" s="764">
        <f>'KI2'!CA30</f>
        <v>0</v>
      </c>
      <c r="P25" s="764">
        <f>'KI2'!CB30</f>
        <v>0</v>
      </c>
      <c r="Q25" s="764">
        <f>'KI2'!CC30</f>
        <v>0</v>
      </c>
      <c r="R25" s="764">
        <f>'KI2'!CD30</f>
        <v>0</v>
      </c>
      <c r="S25" s="765" t="str">
        <f t="shared" si="0"/>
        <v>Ananda Anak 21</v>
      </c>
      <c r="T25" s="827" t="str">
        <f t="shared" si="1"/>
        <v/>
      </c>
      <c r="U25" s="827" t="str">
        <f t="shared" si="2"/>
        <v xml:space="preserve">baik dalam sikap </v>
      </c>
      <c r="V25" s="827" t="str">
        <f t="shared" si="3"/>
        <v/>
      </c>
      <c r="W25" s="287" t="str">
        <f t="shared" si="4"/>
        <v xml:space="preserve">Ananda Anak 21 baik dalam sikap jujur, disiplin, tanggung jawab, santun, peduli, percaya diri, kerja sama, </v>
      </c>
      <c r="Y25" s="288" t="str">
        <f t="shared" si="5"/>
        <v>Ananda Anak 21</v>
      </c>
      <c r="Z25" s="289" t="str">
        <f t="shared" si="6"/>
        <v/>
      </c>
      <c r="AA25" s="289" t="str">
        <f t="shared" si="7"/>
        <v/>
      </c>
      <c r="AB25" s="289" t="str">
        <f t="shared" si="8"/>
        <v/>
      </c>
      <c r="AC25" s="289" t="str">
        <f t="shared" si="9"/>
        <v/>
      </c>
      <c r="AD25" s="289" t="str">
        <f t="shared" si="10"/>
        <v/>
      </c>
      <c r="AE25" s="289" t="str">
        <f t="shared" si="11"/>
        <v/>
      </c>
      <c r="AF25" s="289" t="str">
        <f t="shared" si="12"/>
        <v/>
      </c>
      <c r="AG25" s="289" t="str">
        <f t="shared" si="13"/>
        <v/>
      </c>
      <c r="AH25" s="290"/>
      <c r="AI25" s="289" t="str">
        <f t="shared" si="14"/>
        <v xml:space="preserve">baik dalam sikap </v>
      </c>
      <c r="AJ25" s="291" t="str">
        <f t="shared" si="15"/>
        <v xml:space="preserve">jujur, </v>
      </c>
      <c r="AK25" s="291" t="str">
        <f t="shared" si="16"/>
        <v xml:space="preserve">disiplin, </v>
      </c>
      <c r="AL25" s="291" t="str">
        <f t="shared" si="17"/>
        <v xml:space="preserve">tanggung jawab, </v>
      </c>
      <c r="AM25" s="291" t="str">
        <f t="shared" si="18"/>
        <v xml:space="preserve">santun, </v>
      </c>
      <c r="AN25" s="291" t="str">
        <f t="shared" si="19"/>
        <v xml:space="preserve">peduli, </v>
      </c>
      <c r="AO25" s="291" t="str">
        <f t="shared" si="20"/>
        <v xml:space="preserve">percaya diri, </v>
      </c>
      <c r="AP25" s="291" t="str">
        <f t="shared" si="21"/>
        <v xml:space="preserve">kerja sama, </v>
      </c>
      <c r="AQ25" s="290"/>
      <c r="AR25" s="289" t="str">
        <f t="shared" si="22"/>
        <v/>
      </c>
      <c r="AS25" s="289" t="str">
        <f t="shared" si="23"/>
        <v/>
      </c>
      <c r="AT25" s="289" t="str">
        <f t="shared" si="24"/>
        <v/>
      </c>
      <c r="AU25" s="289" t="str">
        <f t="shared" si="25"/>
        <v/>
      </c>
      <c r="AV25" s="289" t="str">
        <f t="shared" si="26"/>
        <v/>
      </c>
      <c r="AW25" s="289" t="str">
        <f t="shared" si="27"/>
        <v/>
      </c>
      <c r="AX25" s="289" t="str">
        <f t="shared" si="28"/>
        <v/>
      </c>
      <c r="AY25" s="289" t="str">
        <f t="shared" si="29"/>
        <v/>
      </c>
      <c r="AZ25" s="133" t="str">
        <f t="shared" si="30"/>
        <v xml:space="preserve"> </v>
      </c>
    </row>
    <row r="26" spans="1:52" ht="38.25" customHeight="1">
      <c r="A26" s="758"/>
      <c r="B26" s="134">
        <v>22</v>
      </c>
      <c r="C26" s="130">
        <f>SISWA!B27</f>
        <v>0</v>
      </c>
      <c r="D26" s="131" t="str">
        <f>SISWA!E27</f>
        <v>Anak 22</v>
      </c>
      <c r="E26" s="764">
        <f>'KI2'!BQ31</f>
        <v>0</v>
      </c>
      <c r="F26" s="764">
        <f>'KI2'!BR31</f>
        <v>0</v>
      </c>
      <c r="G26" s="764">
        <f>'KI2'!BS31</f>
        <v>0</v>
      </c>
      <c r="H26" s="764">
        <f>'KI2'!BT31</f>
        <v>0</v>
      </c>
      <c r="I26" s="764">
        <f>'KI2'!BU31</f>
        <v>0</v>
      </c>
      <c r="J26" s="764">
        <f>'KI2'!BV31</f>
        <v>0</v>
      </c>
      <c r="K26" s="764">
        <f>'KI2'!BW31</f>
        <v>0</v>
      </c>
      <c r="L26" s="764">
        <f>'KI2'!BX31</f>
        <v>0</v>
      </c>
      <c r="M26" s="764">
        <f>'KI2'!BY31</f>
        <v>0</v>
      </c>
      <c r="N26" s="764">
        <f>'KI2'!BZ31</f>
        <v>0</v>
      </c>
      <c r="O26" s="764">
        <f>'KI2'!CA31</f>
        <v>0</v>
      </c>
      <c r="P26" s="764">
        <f>'KI2'!CB31</f>
        <v>0</v>
      </c>
      <c r="Q26" s="764">
        <f>'KI2'!CC31</f>
        <v>0</v>
      </c>
      <c r="R26" s="764">
        <f>'KI2'!CD31</f>
        <v>0</v>
      </c>
      <c r="S26" s="765" t="str">
        <f t="shared" si="0"/>
        <v>Ananda Anak 22</v>
      </c>
      <c r="T26" s="827" t="str">
        <f t="shared" si="1"/>
        <v/>
      </c>
      <c r="U26" s="827" t="str">
        <f t="shared" si="2"/>
        <v xml:space="preserve">baik dalam sikap </v>
      </c>
      <c r="V26" s="827" t="str">
        <f t="shared" si="3"/>
        <v/>
      </c>
      <c r="W26" s="287" t="str">
        <f t="shared" si="4"/>
        <v xml:space="preserve">Ananda Anak 22 baik dalam sikap jujur, disiplin, tanggung jawab, santun, peduli, percaya diri, kerja sama, </v>
      </c>
      <c r="Y26" s="288" t="str">
        <f t="shared" si="5"/>
        <v>Ananda Anak 22</v>
      </c>
      <c r="Z26" s="289" t="str">
        <f t="shared" si="6"/>
        <v/>
      </c>
      <c r="AA26" s="289" t="str">
        <f t="shared" si="7"/>
        <v/>
      </c>
      <c r="AB26" s="289" t="str">
        <f t="shared" si="8"/>
        <v/>
      </c>
      <c r="AC26" s="289" t="str">
        <f t="shared" si="9"/>
        <v/>
      </c>
      <c r="AD26" s="289" t="str">
        <f t="shared" si="10"/>
        <v/>
      </c>
      <c r="AE26" s="289" t="str">
        <f t="shared" si="11"/>
        <v/>
      </c>
      <c r="AF26" s="289" t="str">
        <f t="shared" si="12"/>
        <v/>
      </c>
      <c r="AG26" s="289" t="str">
        <f t="shared" si="13"/>
        <v/>
      </c>
      <c r="AH26" s="290"/>
      <c r="AI26" s="289" t="str">
        <f t="shared" si="14"/>
        <v xml:space="preserve">baik dalam sikap </v>
      </c>
      <c r="AJ26" s="291" t="str">
        <f t="shared" si="15"/>
        <v xml:space="preserve">jujur, </v>
      </c>
      <c r="AK26" s="291" t="str">
        <f t="shared" si="16"/>
        <v xml:space="preserve">disiplin, </v>
      </c>
      <c r="AL26" s="291" t="str">
        <f t="shared" si="17"/>
        <v xml:space="preserve">tanggung jawab, </v>
      </c>
      <c r="AM26" s="291" t="str">
        <f t="shared" si="18"/>
        <v xml:space="preserve">santun, </v>
      </c>
      <c r="AN26" s="291" t="str">
        <f t="shared" si="19"/>
        <v xml:space="preserve">peduli, </v>
      </c>
      <c r="AO26" s="291" t="str">
        <f t="shared" si="20"/>
        <v xml:space="preserve">percaya diri, </v>
      </c>
      <c r="AP26" s="291" t="str">
        <f t="shared" si="21"/>
        <v xml:space="preserve">kerja sama, </v>
      </c>
      <c r="AQ26" s="290"/>
      <c r="AR26" s="289" t="str">
        <f t="shared" si="22"/>
        <v/>
      </c>
      <c r="AS26" s="289" t="str">
        <f t="shared" si="23"/>
        <v/>
      </c>
      <c r="AT26" s="289" t="str">
        <f t="shared" si="24"/>
        <v/>
      </c>
      <c r="AU26" s="289" t="str">
        <f t="shared" si="25"/>
        <v/>
      </c>
      <c r="AV26" s="289" t="str">
        <f t="shared" si="26"/>
        <v/>
      </c>
      <c r="AW26" s="289" t="str">
        <f t="shared" si="27"/>
        <v/>
      </c>
      <c r="AX26" s="289" t="str">
        <f t="shared" si="28"/>
        <v/>
      </c>
      <c r="AY26" s="289" t="str">
        <f t="shared" si="29"/>
        <v/>
      </c>
      <c r="AZ26" s="133" t="str">
        <f t="shared" si="30"/>
        <v xml:space="preserve"> </v>
      </c>
    </row>
    <row r="27" spans="1:52" ht="38.25" customHeight="1">
      <c r="A27" s="758"/>
      <c r="B27" s="129">
        <v>23</v>
      </c>
      <c r="C27" s="130">
        <f>SISWA!B28</f>
        <v>0</v>
      </c>
      <c r="D27" s="131" t="str">
        <f>SISWA!E28</f>
        <v>Anak 23</v>
      </c>
      <c r="E27" s="764">
        <f>'KI2'!BQ32</f>
        <v>0</v>
      </c>
      <c r="F27" s="764">
        <f>'KI2'!BR32</f>
        <v>0</v>
      </c>
      <c r="G27" s="764">
        <f>'KI2'!BS32</f>
        <v>0</v>
      </c>
      <c r="H27" s="764">
        <f>'KI2'!BT32</f>
        <v>0</v>
      </c>
      <c r="I27" s="764">
        <f>'KI2'!BU32</f>
        <v>0</v>
      </c>
      <c r="J27" s="764">
        <f>'KI2'!BV32</f>
        <v>0</v>
      </c>
      <c r="K27" s="764">
        <f>'KI2'!BW32</f>
        <v>0</v>
      </c>
      <c r="L27" s="764">
        <f>'KI2'!BX32</f>
        <v>0</v>
      </c>
      <c r="M27" s="764">
        <f>'KI2'!BY32</f>
        <v>0</v>
      </c>
      <c r="N27" s="764">
        <f>'KI2'!BZ32</f>
        <v>0</v>
      </c>
      <c r="O27" s="764">
        <f>'KI2'!CA32</f>
        <v>0</v>
      </c>
      <c r="P27" s="764">
        <f>'KI2'!CB32</f>
        <v>0</v>
      </c>
      <c r="Q27" s="764">
        <f>'KI2'!CC32</f>
        <v>0</v>
      </c>
      <c r="R27" s="764">
        <f>'KI2'!CD32</f>
        <v>0</v>
      </c>
      <c r="S27" s="765" t="str">
        <f t="shared" si="0"/>
        <v>Ananda Anak 23</v>
      </c>
      <c r="T27" s="827" t="str">
        <f t="shared" si="1"/>
        <v/>
      </c>
      <c r="U27" s="827" t="str">
        <f t="shared" si="2"/>
        <v xml:space="preserve">baik dalam sikap </v>
      </c>
      <c r="V27" s="827" t="str">
        <f t="shared" si="3"/>
        <v/>
      </c>
      <c r="W27" s="287" t="str">
        <f t="shared" si="4"/>
        <v xml:space="preserve">Ananda Anak 23 baik dalam sikap jujur, disiplin, tanggung jawab, santun, peduli, percaya diri, kerja sama, </v>
      </c>
      <c r="Y27" s="288" t="str">
        <f t="shared" si="5"/>
        <v>Ananda Anak 23</v>
      </c>
      <c r="Z27" s="289" t="str">
        <f t="shared" si="6"/>
        <v/>
      </c>
      <c r="AA27" s="289" t="str">
        <f t="shared" si="7"/>
        <v/>
      </c>
      <c r="AB27" s="289" t="str">
        <f t="shared" si="8"/>
        <v/>
      </c>
      <c r="AC27" s="289" t="str">
        <f t="shared" si="9"/>
        <v/>
      </c>
      <c r="AD27" s="289" t="str">
        <f t="shared" si="10"/>
        <v/>
      </c>
      <c r="AE27" s="289" t="str">
        <f t="shared" si="11"/>
        <v/>
      </c>
      <c r="AF27" s="289" t="str">
        <f t="shared" si="12"/>
        <v/>
      </c>
      <c r="AG27" s="289" t="str">
        <f t="shared" si="13"/>
        <v/>
      </c>
      <c r="AH27" s="290"/>
      <c r="AI27" s="289" t="str">
        <f t="shared" si="14"/>
        <v xml:space="preserve">baik dalam sikap </v>
      </c>
      <c r="AJ27" s="291" t="str">
        <f t="shared" si="15"/>
        <v xml:space="preserve">jujur, </v>
      </c>
      <c r="AK27" s="291" t="str">
        <f t="shared" si="16"/>
        <v xml:space="preserve">disiplin, </v>
      </c>
      <c r="AL27" s="291" t="str">
        <f t="shared" si="17"/>
        <v xml:space="preserve">tanggung jawab, </v>
      </c>
      <c r="AM27" s="291" t="str">
        <f t="shared" si="18"/>
        <v xml:space="preserve">santun, </v>
      </c>
      <c r="AN27" s="291" t="str">
        <f t="shared" si="19"/>
        <v xml:space="preserve">peduli, </v>
      </c>
      <c r="AO27" s="291" t="str">
        <f t="shared" si="20"/>
        <v xml:space="preserve">percaya diri, </v>
      </c>
      <c r="AP27" s="291" t="str">
        <f t="shared" si="21"/>
        <v xml:space="preserve">kerja sama, </v>
      </c>
      <c r="AQ27" s="290"/>
      <c r="AR27" s="289" t="str">
        <f t="shared" si="22"/>
        <v/>
      </c>
      <c r="AS27" s="289" t="str">
        <f t="shared" si="23"/>
        <v/>
      </c>
      <c r="AT27" s="289" t="str">
        <f t="shared" si="24"/>
        <v/>
      </c>
      <c r="AU27" s="289" t="str">
        <f t="shared" si="25"/>
        <v/>
      </c>
      <c r="AV27" s="289" t="str">
        <f t="shared" si="26"/>
        <v/>
      </c>
      <c r="AW27" s="289" t="str">
        <f t="shared" si="27"/>
        <v/>
      </c>
      <c r="AX27" s="289" t="str">
        <f t="shared" si="28"/>
        <v/>
      </c>
      <c r="AY27" s="289" t="str">
        <f t="shared" si="29"/>
        <v/>
      </c>
      <c r="AZ27" s="133" t="str">
        <f t="shared" si="30"/>
        <v xml:space="preserve"> </v>
      </c>
    </row>
    <row r="28" spans="1:52" ht="38.25" customHeight="1">
      <c r="A28" s="758"/>
      <c r="B28" s="134">
        <v>24</v>
      </c>
      <c r="C28" s="130">
        <f>SISWA!B29</f>
        <v>0</v>
      </c>
      <c r="D28" s="131" t="str">
        <f>SISWA!E29</f>
        <v>Anak 24</v>
      </c>
      <c r="E28" s="764">
        <f>'KI2'!BQ33</f>
        <v>0</v>
      </c>
      <c r="F28" s="764">
        <f>'KI2'!BR33</f>
        <v>0</v>
      </c>
      <c r="G28" s="764">
        <f>'KI2'!BS33</f>
        <v>0</v>
      </c>
      <c r="H28" s="764">
        <f>'KI2'!BT33</f>
        <v>0</v>
      </c>
      <c r="I28" s="764">
        <f>'KI2'!BU33</f>
        <v>0</v>
      </c>
      <c r="J28" s="764">
        <f>'KI2'!BV33</f>
        <v>0</v>
      </c>
      <c r="K28" s="764">
        <f>'KI2'!BW33</f>
        <v>0</v>
      </c>
      <c r="L28" s="764">
        <f>'KI2'!BX33</f>
        <v>0</v>
      </c>
      <c r="M28" s="764">
        <f>'KI2'!BY33</f>
        <v>0</v>
      </c>
      <c r="N28" s="764">
        <f>'KI2'!BZ33</f>
        <v>0</v>
      </c>
      <c r="O28" s="764">
        <f>'KI2'!CA33</f>
        <v>0</v>
      </c>
      <c r="P28" s="764">
        <f>'KI2'!CB33</f>
        <v>0</v>
      </c>
      <c r="Q28" s="764">
        <f>'KI2'!CC33</f>
        <v>0</v>
      </c>
      <c r="R28" s="764">
        <f>'KI2'!CD33</f>
        <v>0</v>
      </c>
      <c r="S28" s="765" t="str">
        <f t="shared" si="0"/>
        <v>Ananda Anak 24</v>
      </c>
      <c r="T28" s="827" t="str">
        <f t="shared" si="1"/>
        <v/>
      </c>
      <c r="U28" s="827" t="str">
        <f t="shared" si="2"/>
        <v xml:space="preserve">baik dalam sikap </v>
      </c>
      <c r="V28" s="827" t="str">
        <f t="shared" si="3"/>
        <v/>
      </c>
      <c r="W28" s="287" t="str">
        <f t="shared" si="4"/>
        <v xml:space="preserve">Ananda Anak 24 baik dalam sikap jujur, disiplin, tanggung jawab, santun, peduli, percaya diri, kerja sama, </v>
      </c>
      <c r="Y28" s="288" t="str">
        <f t="shared" si="5"/>
        <v>Ananda Anak 24</v>
      </c>
      <c r="Z28" s="289" t="str">
        <f t="shared" si="6"/>
        <v/>
      </c>
      <c r="AA28" s="289" t="str">
        <f t="shared" si="7"/>
        <v/>
      </c>
      <c r="AB28" s="289" t="str">
        <f t="shared" si="8"/>
        <v/>
      </c>
      <c r="AC28" s="289" t="str">
        <f t="shared" si="9"/>
        <v/>
      </c>
      <c r="AD28" s="289" t="str">
        <f t="shared" si="10"/>
        <v/>
      </c>
      <c r="AE28" s="289" t="str">
        <f t="shared" si="11"/>
        <v/>
      </c>
      <c r="AF28" s="289" t="str">
        <f t="shared" si="12"/>
        <v/>
      </c>
      <c r="AG28" s="289" t="str">
        <f t="shared" si="13"/>
        <v/>
      </c>
      <c r="AH28" s="290"/>
      <c r="AI28" s="289" t="str">
        <f t="shared" si="14"/>
        <v xml:space="preserve">baik dalam sikap </v>
      </c>
      <c r="AJ28" s="291" t="str">
        <f t="shared" si="15"/>
        <v xml:space="preserve">jujur, </v>
      </c>
      <c r="AK28" s="291" t="str">
        <f t="shared" si="16"/>
        <v xml:space="preserve">disiplin, </v>
      </c>
      <c r="AL28" s="291" t="str">
        <f t="shared" si="17"/>
        <v xml:space="preserve">tanggung jawab, </v>
      </c>
      <c r="AM28" s="291" t="str">
        <f t="shared" si="18"/>
        <v xml:space="preserve">santun, </v>
      </c>
      <c r="AN28" s="291" t="str">
        <f t="shared" si="19"/>
        <v xml:space="preserve">peduli, </v>
      </c>
      <c r="AO28" s="291" t="str">
        <f t="shared" si="20"/>
        <v xml:space="preserve">percaya diri, </v>
      </c>
      <c r="AP28" s="291" t="str">
        <f t="shared" si="21"/>
        <v xml:space="preserve">kerja sama, </v>
      </c>
      <c r="AQ28" s="290"/>
      <c r="AR28" s="289" t="str">
        <f t="shared" si="22"/>
        <v/>
      </c>
      <c r="AS28" s="289" t="str">
        <f t="shared" si="23"/>
        <v/>
      </c>
      <c r="AT28" s="289" t="str">
        <f t="shared" si="24"/>
        <v/>
      </c>
      <c r="AU28" s="289" t="str">
        <f t="shared" si="25"/>
        <v/>
      </c>
      <c r="AV28" s="289" t="str">
        <f t="shared" si="26"/>
        <v/>
      </c>
      <c r="AW28" s="289" t="str">
        <f t="shared" si="27"/>
        <v/>
      </c>
      <c r="AX28" s="289" t="str">
        <f t="shared" si="28"/>
        <v/>
      </c>
      <c r="AY28" s="289" t="str">
        <f t="shared" si="29"/>
        <v/>
      </c>
      <c r="AZ28" s="133" t="str">
        <f t="shared" si="30"/>
        <v xml:space="preserve"> </v>
      </c>
    </row>
    <row r="29" spans="1:52" ht="38.25" customHeight="1">
      <c r="A29" s="758"/>
      <c r="B29" s="129">
        <v>25</v>
      </c>
      <c r="C29" s="130">
        <f>SISWA!B30</f>
        <v>0</v>
      </c>
      <c r="D29" s="131" t="str">
        <f>SISWA!E30</f>
        <v>Anak 25</v>
      </c>
      <c r="E29" s="764">
        <f>'KI2'!BQ34</f>
        <v>0</v>
      </c>
      <c r="F29" s="764">
        <f>'KI2'!BR34</f>
        <v>0</v>
      </c>
      <c r="G29" s="764">
        <f>'KI2'!BS34</f>
        <v>0</v>
      </c>
      <c r="H29" s="764">
        <f>'KI2'!BT34</f>
        <v>0</v>
      </c>
      <c r="I29" s="764">
        <f>'KI2'!BU34</f>
        <v>0</v>
      </c>
      <c r="J29" s="764">
        <f>'KI2'!BV34</f>
        <v>0</v>
      </c>
      <c r="K29" s="764">
        <f>'KI2'!BW34</f>
        <v>0</v>
      </c>
      <c r="L29" s="764">
        <f>'KI2'!BX34</f>
        <v>0</v>
      </c>
      <c r="M29" s="764">
        <f>'KI2'!BY34</f>
        <v>0</v>
      </c>
      <c r="N29" s="764">
        <f>'KI2'!BZ34</f>
        <v>0</v>
      </c>
      <c r="O29" s="764">
        <f>'KI2'!CA34</f>
        <v>0</v>
      </c>
      <c r="P29" s="764">
        <f>'KI2'!CB34</f>
        <v>0</v>
      </c>
      <c r="Q29" s="764">
        <f>'KI2'!CC34</f>
        <v>0</v>
      </c>
      <c r="R29" s="764">
        <f>'KI2'!CD34</f>
        <v>0</v>
      </c>
      <c r="S29" s="765" t="str">
        <f t="shared" si="0"/>
        <v>Ananda Anak 25</v>
      </c>
      <c r="T29" s="827" t="str">
        <f t="shared" si="1"/>
        <v/>
      </c>
      <c r="U29" s="827" t="str">
        <f t="shared" si="2"/>
        <v xml:space="preserve">baik dalam sikap </v>
      </c>
      <c r="V29" s="827" t="str">
        <f t="shared" si="3"/>
        <v/>
      </c>
      <c r="W29" s="287" t="str">
        <f t="shared" si="4"/>
        <v xml:space="preserve">Ananda Anak 25 baik dalam sikap jujur, disiplin, tanggung jawab, santun, peduli, percaya diri, kerja sama, </v>
      </c>
      <c r="Y29" s="288" t="str">
        <f t="shared" si="5"/>
        <v>Ananda Anak 25</v>
      </c>
      <c r="Z29" s="289" t="str">
        <f t="shared" si="6"/>
        <v/>
      </c>
      <c r="AA29" s="289" t="str">
        <f t="shared" si="7"/>
        <v/>
      </c>
      <c r="AB29" s="289" t="str">
        <f t="shared" si="8"/>
        <v/>
      </c>
      <c r="AC29" s="289" t="str">
        <f t="shared" si="9"/>
        <v/>
      </c>
      <c r="AD29" s="289" t="str">
        <f t="shared" si="10"/>
        <v/>
      </c>
      <c r="AE29" s="289" t="str">
        <f t="shared" si="11"/>
        <v/>
      </c>
      <c r="AF29" s="289" t="str">
        <f t="shared" si="12"/>
        <v/>
      </c>
      <c r="AG29" s="289" t="str">
        <f t="shared" si="13"/>
        <v/>
      </c>
      <c r="AH29" s="290"/>
      <c r="AI29" s="289" t="str">
        <f t="shared" si="14"/>
        <v xml:space="preserve">baik dalam sikap </v>
      </c>
      <c r="AJ29" s="291" t="str">
        <f t="shared" si="15"/>
        <v xml:space="preserve">jujur, </v>
      </c>
      <c r="AK29" s="291" t="str">
        <f t="shared" si="16"/>
        <v xml:space="preserve">disiplin, </v>
      </c>
      <c r="AL29" s="291" t="str">
        <f t="shared" si="17"/>
        <v xml:space="preserve">tanggung jawab, </v>
      </c>
      <c r="AM29" s="291" t="str">
        <f t="shared" si="18"/>
        <v xml:space="preserve">santun, </v>
      </c>
      <c r="AN29" s="291" t="str">
        <f t="shared" si="19"/>
        <v xml:space="preserve">peduli, </v>
      </c>
      <c r="AO29" s="291" t="str">
        <f t="shared" si="20"/>
        <v xml:space="preserve">percaya diri, </v>
      </c>
      <c r="AP29" s="291" t="str">
        <f t="shared" si="21"/>
        <v xml:space="preserve">kerja sama, </v>
      </c>
      <c r="AQ29" s="290"/>
      <c r="AR29" s="289" t="str">
        <f t="shared" si="22"/>
        <v/>
      </c>
      <c r="AS29" s="289" t="str">
        <f t="shared" si="23"/>
        <v/>
      </c>
      <c r="AT29" s="289" t="str">
        <f t="shared" si="24"/>
        <v/>
      </c>
      <c r="AU29" s="289" t="str">
        <f t="shared" si="25"/>
        <v/>
      </c>
      <c r="AV29" s="289" t="str">
        <f t="shared" si="26"/>
        <v/>
      </c>
      <c r="AW29" s="289" t="str">
        <f t="shared" si="27"/>
        <v/>
      </c>
      <c r="AX29" s="289" t="str">
        <f t="shared" si="28"/>
        <v/>
      </c>
      <c r="AY29" s="289" t="str">
        <f t="shared" si="29"/>
        <v/>
      </c>
      <c r="AZ29" s="133" t="str">
        <f t="shared" si="30"/>
        <v xml:space="preserve"> </v>
      </c>
    </row>
    <row r="30" spans="1:52" ht="38.25" customHeight="1">
      <c r="A30" s="758"/>
      <c r="B30" s="134">
        <v>26</v>
      </c>
      <c r="C30" s="130">
        <f>SISWA!B31</f>
        <v>0</v>
      </c>
      <c r="D30" s="131" t="str">
        <f>SISWA!E31</f>
        <v>Anak 26</v>
      </c>
      <c r="E30" s="764">
        <f>'KI2'!BQ35</f>
        <v>0</v>
      </c>
      <c r="F30" s="764">
        <f>'KI2'!BR35</f>
        <v>0</v>
      </c>
      <c r="G30" s="764">
        <f>'KI2'!BS35</f>
        <v>0</v>
      </c>
      <c r="H30" s="764">
        <f>'KI2'!BT35</f>
        <v>0</v>
      </c>
      <c r="I30" s="764">
        <f>'KI2'!BU35</f>
        <v>0</v>
      </c>
      <c r="J30" s="764">
        <f>'KI2'!BV35</f>
        <v>0</v>
      </c>
      <c r="K30" s="764">
        <f>'KI2'!BW35</f>
        <v>0</v>
      </c>
      <c r="L30" s="764">
        <f>'KI2'!BX35</f>
        <v>0</v>
      </c>
      <c r="M30" s="764">
        <f>'KI2'!BY35</f>
        <v>0</v>
      </c>
      <c r="N30" s="764">
        <f>'KI2'!BZ35</f>
        <v>0</v>
      </c>
      <c r="O30" s="764">
        <f>'KI2'!CA35</f>
        <v>0</v>
      </c>
      <c r="P30" s="764">
        <f>'KI2'!CB35</f>
        <v>0</v>
      </c>
      <c r="Q30" s="764">
        <f>'KI2'!CC35</f>
        <v>0</v>
      </c>
      <c r="R30" s="764">
        <f>'KI2'!CD35</f>
        <v>0</v>
      </c>
      <c r="S30" s="765" t="str">
        <f t="shared" si="0"/>
        <v>Ananda Anak 26</v>
      </c>
      <c r="T30" s="827" t="str">
        <f t="shared" si="1"/>
        <v/>
      </c>
      <c r="U30" s="827" t="str">
        <f t="shared" si="2"/>
        <v xml:space="preserve">baik dalam sikap </v>
      </c>
      <c r="V30" s="827" t="str">
        <f t="shared" si="3"/>
        <v/>
      </c>
      <c r="W30" s="287" t="str">
        <f t="shared" si="4"/>
        <v xml:space="preserve">Ananda Anak 26 baik dalam sikap jujur, disiplin, tanggung jawab, santun, peduli, percaya diri, kerja sama, </v>
      </c>
      <c r="Y30" s="288" t="str">
        <f t="shared" si="5"/>
        <v>Ananda Anak 26</v>
      </c>
      <c r="Z30" s="289" t="str">
        <f t="shared" si="6"/>
        <v/>
      </c>
      <c r="AA30" s="289" t="str">
        <f t="shared" si="7"/>
        <v/>
      </c>
      <c r="AB30" s="289" t="str">
        <f t="shared" si="8"/>
        <v/>
      </c>
      <c r="AC30" s="289" t="str">
        <f t="shared" si="9"/>
        <v/>
      </c>
      <c r="AD30" s="289" t="str">
        <f t="shared" si="10"/>
        <v/>
      </c>
      <c r="AE30" s="289" t="str">
        <f t="shared" si="11"/>
        <v/>
      </c>
      <c r="AF30" s="289" t="str">
        <f t="shared" si="12"/>
        <v/>
      </c>
      <c r="AG30" s="289" t="str">
        <f t="shared" si="13"/>
        <v/>
      </c>
      <c r="AH30" s="290"/>
      <c r="AI30" s="289" t="str">
        <f t="shared" si="14"/>
        <v xml:space="preserve">baik dalam sikap </v>
      </c>
      <c r="AJ30" s="291" t="str">
        <f t="shared" si="15"/>
        <v xml:space="preserve">jujur, </v>
      </c>
      <c r="AK30" s="291" t="str">
        <f t="shared" si="16"/>
        <v xml:space="preserve">disiplin, </v>
      </c>
      <c r="AL30" s="291" t="str">
        <f t="shared" si="17"/>
        <v xml:space="preserve">tanggung jawab, </v>
      </c>
      <c r="AM30" s="291" t="str">
        <f t="shared" si="18"/>
        <v xml:space="preserve">santun, </v>
      </c>
      <c r="AN30" s="291" t="str">
        <f t="shared" si="19"/>
        <v xml:space="preserve">peduli, </v>
      </c>
      <c r="AO30" s="291" t="str">
        <f t="shared" si="20"/>
        <v xml:space="preserve">percaya diri, </v>
      </c>
      <c r="AP30" s="291" t="str">
        <f t="shared" si="21"/>
        <v xml:space="preserve">kerja sama, </v>
      </c>
      <c r="AQ30" s="290"/>
      <c r="AR30" s="289" t="str">
        <f t="shared" si="22"/>
        <v/>
      </c>
      <c r="AS30" s="289" t="str">
        <f t="shared" si="23"/>
        <v/>
      </c>
      <c r="AT30" s="289" t="str">
        <f t="shared" si="24"/>
        <v/>
      </c>
      <c r="AU30" s="289" t="str">
        <f t="shared" si="25"/>
        <v/>
      </c>
      <c r="AV30" s="289" t="str">
        <f t="shared" si="26"/>
        <v/>
      </c>
      <c r="AW30" s="289" t="str">
        <f t="shared" si="27"/>
        <v/>
      </c>
      <c r="AX30" s="289" t="str">
        <f t="shared" si="28"/>
        <v/>
      </c>
      <c r="AY30" s="289" t="str">
        <f t="shared" si="29"/>
        <v/>
      </c>
      <c r="AZ30" s="133" t="str">
        <f t="shared" si="30"/>
        <v xml:space="preserve"> </v>
      </c>
    </row>
    <row r="31" spans="1:52" ht="38.25" customHeight="1">
      <c r="A31" s="758"/>
      <c r="B31" s="129">
        <v>27</v>
      </c>
      <c r="C31" s="130">
        <f>SISWA!B32</f>
        <v>0</v>
      </c>
      <c r="D31" s="131" t="str">
        <f>SISWA!E32</f>
        <v>Anak 27</v>
      </c>
      <c r="E31" s="764">
        <f>'KI2'!BQ36</f>
        <v>0</v>
      </c>
      <c r="F31" s="764">
        <f>'KI2'!BR36</f>
        <v>0</v>
      </c>
      <c r="G31" s="764">
        <f>'KI2'!BS36</f>
        <v>0</v>
      </c>
      <c r="H31" s="764">
        <f>'KI2'!BT36</f>
        <v>0</v>
      </c>
      <c r="I31" s="764">
        <f>'KI2'!BU36</f>
        <v>0</v>
      </c>
      <c r="J31" s="764">
        <f>'KI2'!BV36</f>
        <v>0</v>
      </c>
      <c r="K31" s="764">
        <f>'KI2'!BW36</f>
        <v>0</v>
      </c>
      <c r="L31" s="764">
        <f>'KI2'!BX36</f>
        <v>0</v>
      </c>
      <c r="M31" s="764">
        <f>'KI2'!BY36</f>
        <v>0</v>
      </c>
      <c r="N31" s="764">
        <f>'KI2'!BZ36</f>
        <v>0</v>
      </c>
      <c r="O31" s="764">
        <f>'KI2'!CA36</f>
        <v>0</v>
      </c>
      <c r="P31" s="764">
        <f>'KI2'!CB36</f>
        <v>0</v>
      </c>
      <c r="Q31" s="764">
        <f>'KI2'!CC36</f>
        <v>0</v>
      </c>
      <c r="R31" s="764">
        <f>'KI2'!CD36</f>
        <v>0</v>
      </c>
      <c r="S31" s="765" t="str">
        <f t="shared" si="0"/>
        <v>Ananda Anak 27</v>
      </c>
      <c r="T31" s="827" t="str">
        <f t="shared" si="1"/>
        <v/>
      </c>
      <c r="U31" s="827" t="str">
        <f t="shared" si="2"/>
        <v xml:space="preserve">baik dalam sikap </v>
      </c>
      <c r="V31" s="827" t="str">
        <f t="shared" si="3"/>
        <v/>
      </c>
      <c r="W31" s="287" t="str">
        <f t="shared" si="4"/>
        <v xml:space="preserve">Ananda Anak 27 baik dalam sikap jujur, disiplin, tanggung jawab, santun, peduli, percaya diri, kerja sama, </v>
      </c>
      <c r="Y31" s="288" t="str">
        <f t="shared" si="5"/>
        <v>Ananda Anak 27</v>
      </c>
      <c r="Z31" s="289" t="str">
        <f t="shared" si="6"/>
        <v/>
      </c>
      <c r="AA31" s="289" t="str">
        <f t="shared" si="7"/>
        <v/>
      </c>
      <c r="AB31" s="289" t="str">
        <f t="shared" si="8"/>
        <v/>
      </c>
      <c r="AC31" s="289" t="str">
        <f t="shared" si="9"/>
        <v/>
      </c>
      <c r="AD31" s="289" t="str">
        <f t="shared" si="10"/>
        <v/>
      </c>
      <c r="AE31" s="289" t="str">
        <f t="shared" si="11"/>
        <v/>
      </c>
      <c r="AF31" s="289" t="str">
        <f t="shared" si="12"/>
        <v/>
      </c>
      <c r="AG31" s="289" t="str">
        <f t="shared" si="13"/>
        <v/>
      </c>
      <c r="AH31" s="290"/>
      <c r="AI31" s="289" t="str">
        <f t="shared" si="14"/>
        <v xml:space="preserve">baik dalam sikap </v>
      </c>
      <c r="AJ31" s="291" t="str">
        <f t="shared" si="15"/>
        <v xml:space="preserve">jujur, </v>
      </c>
      <c r="AK31" s="291" t="str">
        <f t="shared" si="16"/>
        <v xml:space="preserve">disiplin, </v>
      </c>
      <c r="AL31" s="291" t="str">
        <f t="shared" si="17"/>
        <v xml:space="preserve">tanggung jawab, </v>
      </c>
      <c r="AM31" s="291" t="str">
        <f t="shared" si="18"/>
        <v xml:space="preserve">santun, </v>
      </c>
      <c r="AN31" s="291" t="str">
        <f t="shared" si="19"/>
        <v xml:space="preserve">peduli, </v>
      </c>
      <c r="AO31" s="291" t="str">
        <f t="shared" si="20"/>
        <v xml:space="preserve">percaya diri, </v>
      </c>
      <c r="AP31" s="291" t="str">
        <f t="shared" si="21"/>
        <v xml:space="preserve">kerja sama, </v>
      </c>
      <c r="AQ31" s="290"/>
      <c r="AR31" s="289" t="str">
        <f t="shared" si="22"/>
        <v/>
      </c>
      <c r="AS31" s="289" t="str">
        <f t="shared" si="23"/>
        <v/>
      </c>
      <c r="AT31" s="289" t="str">
        <f t="shared" si="24"/>
        <v/>
      </c>
      <c r="AU31" s="289" t="str">
        <f t="shared" si="25"/>
        <v/>
      </c>
      <c r="AV31" s="289" t="str">
        <f t="shared" si="26"/>
        <v/>
      </c>
      <c r="AW31" s="289" t="str">
        <f t="shared" si="27"/>
        <v/>
      </c>
      <c r="AX31" s="289" t="str">
        <f t="shared" si="28"/>
        <v/>
      </c>
      <c r="AY31" s="289" t="str">
        <f t="shared" si="29"/>
        <v/>
      </c>
      <c r="AZ31" s="133" t="str">
        <f t="shared" si="30"/>
        <v xml:space="preserve"> </v>
      </c>
    </row>
    <row r="32" spans="1:52" ht="38.25" customHeight="1">
      <c r="A32" s="758"/>
      <c r="B32" s="134">
        <v>28</v>
      </c>
      <c r="C32" s="130">
        <f>SISWA!B33</f>
        <v>0</v>
      </c>
      <c r="D32" s="131" t="str">
        <f>SISWA!E33</f>
        <v>Anak 28</v>
      </c>
      <c r="E32" s="764">
        <f>'KI2'!BQ37</f>
        <v>0</v>
      </c>
      <c r="F32" s="764">
        <f>'KI2'!BR37</f>
        <v>0</v>
      </c>
      <c r="G32" s="764">
        <f>'KI2'!BS37</f>
        <v>0</v>
      </c>
      <c r="H32" s="764">
        <f>'KI2'!BT37</f>
        <v>0</v>
      </c>
      <c r="I32" s="764">
        <f>'KI2'!BU37</f>
        <v>0</v>
      </c>
      <c r="J32" s="764">
        <f>'KI2'!BV37</f>
        <v>0</v>
      </c>
      <c r="K32" s="764">
        <f>'KI2'!BW37</f>
        <v>0</v>
      </c>
      <c r="L32" s="764">
        <f>'KI2'!BX37</f>
        <v>0</v>
      </c>
      <c r="M32" s="764">
        <f>'KI2'!BY37</f>
        <v>0</v>
      </c>
      <c r="N32" s="764">
        <f>'KI2'!BZ37</f>
        <v>0</v>
      </c>
      <c r="O32" s="764">
        <f>'KI2'!CA37</f>
        <v>0</v>
      </c>
      <c r="P32" s="764">
        <f>'KI2'!CB37</f>
        <v>0</v>
      </c>
      <c r="Q32" s="764">
        <f>'KI2'!CC37</f>
        <v>0</v>
      </c>
      <c r="R32" s="764">
        <f>'KI2'!CD37</f>
        <v>0</v>
      </c>
      <c r="S32" s="765" t="str">
        <f t="shared" si="0"/>
        <v>Ananda Anak 28</v>
      </c>
      <c r="T32" s="827" t="str">
        <f t="shared" si="1"/>
        <v/>
      </c>
      <c r="U32" s="827" t="str">
        <f t="shared" si="2"/>
        <v xml:space="preserve">baik dalam sikap </v>
      </c>
      <c r="V32" s="827" t="str">
        <f t="shared" si="3"/>
        <v/>
      </c>
      <c r="W32" s="287" t="str">
        <f t="shared" si="4"/>
        <v xml:space="preserve">Ananda Anak 28 baik dalam sikap jujur, disiplin, tanggung jawab, santun, peduli, percaya diri, kerja sama, </v>
      </c>
      <c r="Y32" s="288" t="str">
        <f t="shared" si="5"/>
        <v>Ananda Anak 28</v>
      </c>
      <c r="Z32" s="289" t="str">
        <f t="shared" si="6"/>
        <v/>
      </c>
      <c r="AA32" s="289" t="str">
        <f t="shared" si="7"/>
        <v/>
      </c>
      <c r="AB32" s="289" t="str">
        <f t="shared" si="8"/>
        <v/>
      </c>
      <c r="AC32" s="289" t="str">
        <f t="shared" si="9"/>
        <v/>
      </c>
      <c r="AD32" s="289" t="str">
        <f t="shared" si="10"/>
        <v/>
      </c>
      <c r="AE32" s="289" t="str">
        <f t="shared" si="11"/>
        <v/>
      </c>
      <c r="AF32" s="289" t="str">
        <f t="shared" si="12"/>
        <v/>
      </c>
      <c r="AG32" s="289" t="str">
        <f t="shared" si="13"/>
        <v/>
      </c>
      <c r="AH32" s="290"/>
      <c r="AI32" s="289" t="str">
        <f t="shared" si="14"/>
        <v xml:space="preserve">baik dalam sikap </v>
      </c>
      <c r="AJ32" s="291" t="str">
        <f t="shared" si="15"/>
        <v xml:space="preserve">jujur, </v>
      </c>
      <c r="AK32" s="291" t="str">
        <f t="shared" si="16"/>
        <v xml:space="preserve">disiplin, </v>
      </c>
      <c r="AL32" s="291" t="str">
        <f t="shared" si="17"/>
        <v xml:space="preserve">tanggung jawab, </v>
      </c>
      <c r="AM32" s="291" t="str">
        <f t="shared" si="18"/>
        <v xml:space="preserve">santun, </v>
      </c>
      <c r="AN32" s="291" t="str">
        <f t="shared" si="19"/>
        <v xml:space="preserve">peduli, </v>
      </c>
      <c r="AO32" s="291" t="str">
        <f t="shared" si="20"/>
        <v xml:space="preserve">percaya diri, </v>
      </c>
      <c r="AP32" s="291" t="str">
        <f t="shared" si="21"/>
        <v xml:space="preserve">kerja sama, </v>
      </c>
      <c r="AQ32" s="290"/>
      <c r="AR32" s="289" t="str">
        <f t="shared" si="22"/>
        <v/>
      </c>
      <c r="AS32" s="289" t="str">
        <f t="shared" si="23"/>
        <v/>
      </c>
      <c r="AT32" s="289" t="str">
        <f t="shared" si="24"/>
        <v/>
      </c>
      <c r="AU32" s="289" t="str">
        <f t="shared" si="25"/>
        <v/>
      </c>
      <c r="AV32" s="289" t="str">
        <f t="shared" si="26"/>
        <v/>
      </c>
      <c r="AW32" s="289" t="str">
        <f t="shared" si="27"/>
        <v/>
      </c>
      <c r="AX32" s="289" t="str">
        <f t="shared" si="28"/>
        <v/>
      </c>
      <c r="AY32" s="289" t="str">
        <f t="shared" si="29"/>
        <v/>
      </c>
      <c r="AZ32" s="133" t="str">
        <f t="shared" si="30"/>
        <v xml:space="preserve"> </v>
      </c>
    </row>
    <row r="33" spans="1:52" ht="38.25" customHeight="1">
      <c r="A33" s="758"/>
      <c r="B33" s="129">
        <v>29</v>
      </c>
      <c r="C33" s="130">
        <f>SISWA!B34</f>
        <v>0</v>
      </c>
      <c r="D33" s="131" t="str">
        <f>SISWA!E34</f>
        <v>Anak 29</v>
      </c>
      <c r="E33" s="764">
        <f>'KI2'!BQ38</f>
        <v>0</v>
      </c>
      <c r="F33" s="764">
        <f>'KI2'!BR38</f>
        <v>0</v>
      </c>
      <c r="G33" s="764">
        <f>'KI2'!BS38</f>
        <v>0</v>
      </c>
      <c r="H33" s="764">
        <f>'KI2'!BT38</f>
        <v>0</v>
      </c>
      <c r="I33" s="764">
        <f>'KI2'!BU38</f>
        <v>0</v>
      </c>
      <c r="J33" s="764">
        <f>'KI2'!BV38</f>
        <v>0</v>
      </c>
      <c r="K33" s="764">
        <f>'KI2'!BW38</f>
        <v>0</v>
      </c>
      <c r="L33" s="764">
        <f>'KI2'!BX38</f>
        <v>0</v>
      </c>
      <c r="M33" s="764">
        <f>'KI2'!BY38</f>
        <v>0</v>
      </c>
      <c r="N33" s="764">
        <f>'KI2'!BZ38</f>
        <v>0</v>
      </c>
      <c r="O33" s="764">
        <f>'KI2'!CA38</f>
        <v>0</v>
      </c>
      <c r="P33" s="764">
        <f>'KI2'!CB38</f>
        <v>0</v>
      </c>
      <c r="Q33" s="764">
        <f>'KI2'!CC38</f>
        <v>0</v>
      </c>
      <c r="R33" s="764">
        <f>'KI2'!CD38</f>
        <v>0</v>
      </c>
      <c r="S33" s="765" t="str">
        <f t="shared" si="0"/>
        <v>Ananda Anak 29</v>
      </c>
      <c r="T33" s="827" t="str">
        <f t="shared" si="1"/>
        <v/>
      </c>
      <c r="U33" s="827" t="str">
        <f t="shared" si="2"/>
        <v xml:space="preserve">baik dalam sikap </v>
      </c>
      <c r="V33" s="827" t="str">
        <f t="shared" si="3"/>
        <v/>
      </c>
      <c r="W33" s="287" t="str">
        <f t="shared" si="4"/>
        <v xml:space="preserve">Ananda Anak 29 baik dalam sikap jujur, disiplin, tanggung jawab, santun, peduli, percaya diri, kerja sama, </v>
      </c>
      <c r="Y33" s="288" t="str">
        <f t="shared" si="5"/>
        <v>Ananda Anak 29</v>
      </c>
      <c r="Z33" s="289" t="str">
        <f t="shared" si="6"/>
        <v/>
      </c>
      <c r="AA33" s="289" t="str">
        <f t="shared" si="7"/>
        <v/>
      </c>
      <c r="AB33" s="289" t="str">
        <f t="shared" si="8"/>
        <v/>
      </c>
      <c r="AC33" s="289" t="str">
        <f t="shared" si="9"/>
        <v/>
      </c>
      <c r="AD33" s="289" t="str">
        <f t="shared" si="10"/>
        <v/>
      </c>
      <c r="AE33" s="289" t="str">
        <f t="shared" si="11"/>
        <v/>
      </c>
      <c r="AF33" s="289" t="str">
        <f t="shared" si="12"/>
        <v/>
      </c>
      <c r="AG33" s="289" t="str">
        <f t="shared" si="13"/>
        <v/>
      </c>
      <c r="AH33" s="290"/>
      <c r="AI33" s="289" t="str">
        <f t="shared" si="14"/>
        <v xml:space="preserve">baik dalam sikap </v>
      </c>
      <c r="AJ33" s="291" t="str">
        <f t="shared" si="15"/>
        <v xml:space="preserve">jujur, </v>
      </c>
      <c r="AK33" s="291" t="str">
        <f t="shared" si="16"/>
        <v xml:space="preserve">disiplin, </v>
      </c>
      <c r="AL33" s="291" t="str">
        <f t="shared" si="17"/>
        <v xml:space="preserve">tanggung jawab, </v>
      </c>
      <c r="AM33" s="291" t="str">
        <f t="shared" si="18"/>
        <v xml:space="preserve">santun, </v>
      </c>
      <c r="AN33" s="291" t="str">
        <f t="shared" si="19"/>
        <v xml:space="preserve">peduli, </v>
      </c>
      <c r="AO33" s="291" t="str">
        <f t="shared" si="20"/>
        <v xml:space="preserve">percaya diri, </v>
      </c>
      <c r="AP33" s="291" t="str">
        <f t="shared" si="21"/>
        <v xml:space="preserve">kerja sama, </v>
      </c>
      <c r="AQ33" s="290"/>
      <c r="AR33" s="289" t="str">
        <f t="shared" si="22"/>
        <v/>
      </c>
      <c r="AS33" s="289" t="str">
        <f t="shared" si="23"/>
        <v/>
      </c>
      <c r="AT33" s="289" t="str">
        <f t="shared" si="24"/>
        <v/>
      </c>
      <c r="AU33" s="289" t="str">
        <f t="shared" si="25"/>
        <v/>
      </c>
      <c r="AV33" s="289" t="str">
        <f t="shared" si="26"/>
        <v/>
      </c>
      <c r="AW33" s="289" t="str">
        <f t="shared" si="27"/>
        <v/>
      </c>
      <c r="AX33" s="289" t="str">
        <f t="shared" si="28"/>
        <v/>
      </c>
      <c r="AY33" s="289" t="str">
        <f t="shared" si="29"/>
        <v/>
      </c>
      <c r="AZ33" s="133" t="str">
        <f t="shared" si="30"/>
        <v xml:space="preserve"> </v>
      </c>
    </row>
    <row r="34" spans="1:52" ht="38.25" customHeight="1">
      <c r="A34" s="758"/>
      <c r="B34" s="134">
        <v>30</v>
      </c>
      <c r="C34" s="130">
        <f>SISWA!B35</f>
        <v>0</v>
      </c>
      <c r="D34" s="131" t="str">
        <f>SISWA!E35</f>
        <v>Anak 30</v>
      </c>
      <c r="E34" s="764">
        <f>'KI2'!BQ39</f>
        <v>0</v>
      </c>
      <c r="F34" s="764">
        <f>'KI2'!BR39</f>
        <v>0</v>
      </c>
      <c r="G34" s="764">
        <f>'KI2'!BS39</f>
        <v>0</v>
      </c>
      <c r="H34" s="764">
        <f>'KI2'!BT39</f>
        <v>0</v>
      </c>
      <c r="I34" s="764">
        <f>'KI2'!BU39</f>
        <v>0</v>
      </c>
      <c r="J34" s="764">
        <f>'KI2'!BV39</f>
        <v>0</v>
      </c>
      <c r="K34" s="764">
        <f>'KI2'!BW39</f>
        <v>0</v>
      </c>
      <c r="L34" s="764">
        <f>'KI2'!BX39</f>
        <v>0</v>
      </c>
      <c r="M34" s="764">
        <f>'KI2'!BY39</f>
        <v>0</v>
      </c>
      <c r="N34" s="764">
        <f>'KI2'!BZ39</f>
        <v>0</v>
      </c>
      <c r="O34" s="764">
        <f>'KI2'!CA39</f>
        <v>0</v>
      </c>
      <c r="P34" s="764">
        <f>'KI2'!CB39</f>
        <v>0</v>
      </c>
      <c r="Q34" s="764">
        <f>'KI2'!CC39</f>
        <v>0</v>
      </c>
      <c r="R34" s="764">
        <f>'KI2'!CD39</f>
        <v>0</v>
      </c>
      <c r="S34" s="765" t="str">
        <f t="shared" si="0"/>
        <v>Ananda Anak 30</v>
      </c>
      <c r="T34" s="827" t="str">
        <f t="shared" si="1"/>
        <v/>
      </c>
      <c r="U34" s="827" t="str">
        <f t="shared" si="2"/>
        <v xml:space="preserve">baik dalam sikap </v>
      </c>
      <c r="V34" s="827" t="str">
        <f t="shared" si="3"/>
        <v/>
      </c>
      <c r="W34" s="287" t="str">
        <f t="shared" si="4"/>
        <v xml:space="preserve">Ananda Anak 30 baik dalam sikap jujur, disiplin, tanggung jawab, santun, peduli, percaya diri, kerja sama, </v>
      </c>
      <c r="Y34" s="288" t="str">
        <f t="shared" si="5"/>
        <v>Ananda Anak 30</v>
      </c>
      <c r="Z34" s="289" t="str">
        <f t="shared" si="6"/>
        <v/>
      </c>
      <c r="AA34" s="289" t="str">
        <f t="shared" si="7"/>
        <v/>
      </c>
      <c r="AB34" s="289" t="str">
        <f t="shared" si="8"/>
        <v/>
      </c>
      <c r="AC34" s="289" t="str">
        <f t="shared" si="9"/>
        <v/>
      </c>
      <c r="AD34" s="289" t="str">
        <f t="shared" si="10"/>
        <v/>
      </c>
      <c r="AE34" s="289" t="str">
        <f t="shared" si="11"/>
        <v/>
      </c>
      <c r="AF34" s="289" t="str">
        <f t="shared" si="12"/>
        <v/>
      </c>
      <c r="AG34" s="289" t="str">
        <f t="shared" si="13"/>
        <v/>
      </c>
      <c r="AH34" s="290"/>
      <c r="AI34" s="289" t="str">
        <f t="shared" si="14"/>
        <v xml:space="preserve">baik dalam sikap </v>
      </c>
      <c r="AJ34" s="291" t="str">
        <f t="shared" si="15"/>
        <v xml:space="preserve">jujur, </v>
      </c>
      <c r="AK34" s="291" t="str">
        <f t="shared" si="16"/>
        <v xml:space="preserve">disiplin, </v>
      </c>
      <c r="AL34" s="291" t="str">
        <f t="shared" si="17"/>
        <v xml:space="preserve">tanggung jawab, </v>
      </c>
      <c r="AM34" s="291" t="str">
        <f t="shared" si="18"/>
        <v xml:space="preserve">santun, </v>
      </c>
      <c r="AN34" s="291" t="str">
        <f t="shared" si="19"/>
        <v xml:space="preserve">peduli, </v>
      </c>
      <c r="AO34" s="291" t="str">
        <f t="shared" si="20"/>
        <v xml:space="preserve">percaya diri, </v>
      </c>
      <c r="AP34" s="291" t="str">
        <f t="shared" si="21"/>
        <v xml:space="preserve">kerja sama, </v>
      </c>
      <c r="AQ34" s="290"/>
      <c r="AR34" s="289" t="str">
        <f t="shared" si="22"/>
        <v/>
      </c>
      <c r="AS34" s="289" t="str">
        <f t="shared" si="23"/>
        <v/>
      </c>
      <c r="AT34" s="289" t="str">
        <f t="shared" si="24"/>
        <v/>
      </c>
      <c r="AU34" s="289" t="str">
        <f t="shared" si="25"/>
        <v/>
      </c>
      <c r="AV34" s="289" t="str">
        <f t="shared" si="26"/>
        <v/>
      </c>
      <c r="AW34" s="289" t="str">
        <f t="shared" si="27"/>
        <v/>
      </c>
      <c r="AX34" s="289" t="str">
        <f t="shared" si="28"/>
        <v/>
      </c>
      <c r="AY34" s="289" t="str">
        <f t="shared" si="29"/>
        <v/>
      </c>
      <c r="AZ34" s="133" t="str">
        <f t="shared" si="30"/>
        <v xml:space="preserve"> </v>
      </c>
    </row>
    <row r="35" spans="1:52" ht="38.25" customHeight="1">
      <c r="A35" s="758"/>
      <c r="B35" s="129">
        <v>31</v>
      </c>
      <c r="C35" s="130">
        <f>SISWA!B36</f>
        <v>0</v>
      </c>
      <c r="D35" s="131" t="str">
        <f>SISWA!E36</f>
        <v>Anak 31</v>
      </c>
      <c r="E35" s="764">
        <f>'KI2'!BQ40</f>
        <v>0</v>
      </c>
      <c r="F35" s="764">
        <f>'KI2'!BR40</f>
        <v>0</v>
      </c>
      <c r="G35" s="764">
        <f>'KI2'!BS40</f>
        <v>0</v>
      </c>
      <c r="H35" s="764">
        <f>'KI2'!BT40</f>
        <v>0</v>
      </c>
      <c r="I35" s="764">
        <f>'KI2'!BU40</f>
        <v>0</v>
      </c>
      <c r="J35" s="764">
        <f>'KI2'!BV40</f>
        <v>0</v>
      </c>
      <c r="K35" s="764">
        <f>'KI2'!BW40</f>
        <v>0</v>
      </c>
      <c r="L35" s="764">
        <f>'KI2'!BX40</f>
        <v>0</v>
      </c>
      <c r="M35" s="764">
        <f>'KI2'!BY40</f>
        <v>0</v>
      </c>
      <c r="N35" s="764">
        <f>'KI2'!BZ40</f>
        <v>0</v>
      </c>
      <c r="O35" s="764">
        <f>'KI2'!CA40</f>
        <v>0</v>
      </c>
      <c r="P35" s="764">
        <f>'KI2'!CB40</f>
        <v>0</v>
      </c>
      <c r="Q35" s="764">
        <f>'KI2'!CC40</f>
        <v>0</v>
      </c>
      <c r="R35" s="764">
        <f>'KI2'!CD40</f>
        <v>0</v>
      </c>
      <c r="S35" s="765" t="str">
        <f t="shared" si="0"/>
        <v>Ananda Anak 31</v>
      </c>
      <c r="T35" s="827" t="str">
        <f t="shared" si="1"/>
        <v/>
      </c>
      <c r="U35" s="827" t="str">
        <f t="shared" si="2"/>
        <v xml:space="preserve">baik dalam sikap </v>
      </c>
      <c r="V35" s="827" t="str">
        <f t="shared" si="3"/>
        <v/>
      </c>
      <c r="W35" s="287" t="str">
        <f t="shared" si="4"/>
        <v xml:space="preserve">Ananda Anak 31 baik dalam sikap jujur, disiplin, tanggung jawab, santun, peduli, percaya diri, kerja sama, </v>
      </c>
      <c r="Y35" s="288" t="str">
        <f t="shared" si="5"/>
        <v>Ananda Anak 31</v>
      </c>
      <c r="Z35" s="289" t="str">
        <f t="shared" si="6"/>
        <v/>
      </c>
      <c r="AA35" s="289" t="str">
        <f t="shared" si="7"/>
        <v/>
      </c>
      <c r="AB35" s="289" t="str">
        <f t="shared" si="8"/>
        <v/>
      </c>
      <c r="AC35" s="289" t="str">
        <f t="shared" si="9"/>
        <v/>
      </c>
      <c r="AD35" s="289" t="str">
        <f t="shared" si="10"/>
        <v/>
      </c>
      <c r="AE35" s="289" t="str">
        <f t="shared" si="11"/>
        <v/>
      </c>
      <c r="AF35" s="289" t="str">
        <f t="shared" si="12"/>
        <v/>
      </c>
      <c r="AG35" s="289" t="str">
        <f t="shared" si="13"/>
        <v/>
      </c>
      <c r="AH35" s="290"/>
      <c r="AI35" s="289" t="str">
        <f t="shared" si="14"/>
        <v xml:space="preserve">baik dalam sikap </v>
      </c>
      <c r="AJ35" s="291" t="str">
        <f t="shared" si="15"/>
        <v xml:space="preserve">jujur, </v>
      </c>
      <c r="AK35" s="291" t="str">
        <f t="shared" si="16"/>
        <v xml:space="preserve">disiplin, </v>
      </c>
      <c r="AL35" s="291" t="str">
        <f t="shared" si="17"/>
        <v xml:space="preserve">tanggung jawab, </v>
      </c>
      <c r="AM35" s="291" t="str">
        <f t="shared" si="18"/>
        <v xml:space="preserve">santun, </v>
      </c>
      <c r="AN35" s="291" t="str">
        <f t="shared" si="19"/>
        <v xml:space="preserve">peduli, </v>
      </c>
      <c r="AO35" s="291" t="str">
        <f t="shared" si="20"/>
        <v xml:space="preserve">percaya diri, </v>
      </c>
      <c r="AP35" s="291" t="str">
        <f t="shared" si="21"/>
        <v xml:space="preserve">kerja sama, </v>
      </c>
      <c r="AQ35" s="290"/>
      <c r="AR35" s="289" t="str">
        <f t="shared" si="22"/>
        <v/>
      </c>
      <c r="AS35" s="289" t="str">
        <f t="shared" si="23"/>
        <v/>
      </c>
      <c r="AT35" s="289" t="str">
        <f t="shared" si="24"/>
        <v/>
      </c>
      <c r="AU35" s="289" t="str">
        <f t="shared" si="25"/>
        <v/>
      </c>
      <c r="AV35" s="289" t="str">
        <f t="shared" si="26"/>
        <v/>
      </c>
      <c r="AW35" s="289" t="str">
        <f t="shared" si="27"/>
        <v/>
      </c>
      <c r="AX35" s="289" t="str">
        <f t="shared" si="28"/>
        <v/>
      </c>
      <c r="AY35" s="289" t="str">
        <f t="shared" si="29"/>
        <v/>
      </c>
      <c r="AZ35" s="133" t="str">
        <f t="shared" si="30"/>
        <v xml:space="preserve"> </v>
      </c>
    </row>
    <row r="36" spans="1:52" ht="38.25" customHeight="1">
      <c r="A36" s="758"/>
      <c r="B36" s="134">
        <v>32</v>
      </c>
      <c r="C36" s="130">
        <f>SISWA!B37</f>
        <v>0</v>
      </c>
      <c r="D36" s="131" t="str">
        <f>SISWA!E37</f>
        <v>Anak 32</v>
      </c>
      <c r="E36" s="764">
        <f>'KI2'!BQ41</f>
        <v>0</v>
      </c>
      <c r="F36" s="764">
        <f>'KI2'!BR41</f>
        <v>0</v>
      </c>
      <c r="G36" s="764">
        <f>'KI2'!BS41</f>
        <v>0</v>
      </c>
      <c r="H36" s="764">
        <f>'KI2'!BT41</f>
        <v>0</v>
      </c>
      <c r="I36" s="764">
        <f>'KI2'!BU41</f>
        <v>0</v>
      </c>
      <c r="J36" s="764">
        <f>'KI2'!BV41</f>
        <v>0</v>
      </c>
      <c r="K36" s="764">
        <f>'KI2'!BW41</f>
        <v>0</v>
      </c>
      <c r="L36" s="764">
        <f>'KI2'!BX41</f>
        <v>0</v>
      </c>
      <c r="M36" s="764">
        <f>'KI2'!BY41</f>
        <v>0</v>
      </c>
      <c r="N36" s="764">
        <f>'KI2'!BZ41</f>
        <v>0</v>
      </c>
      <c r="O36" s="764">
        <f>'KI2'!CA41</f>
        <v>0</v>
      </c>
      <c r="P36" s="764">
        <f>'KI2'!CB41</f>
        <v>0</v>
      </c>
      <c r="Q36" s="764">
        <f>'KI2'!CC41</f>
        <v>0</v>
      </c>
      <c r="R36" s="764">
        <f>'KI2'!CD41</f>
        <v>0</v>
      </c>
      <c r="S36" s="765" t="str">
        <f t="shared" si="0"/>
        <v>Ananda Anak 32</v>
      </c>
      <c r="T36" s="827" t="str">
        <f t="shared" si="1"/>
        <v/>
      </c>
      <c r="U36" s="827" t="str">
        <f t="shared" si="2"/>
        <v xml:space="preserve">baik dalam sikap </v>
      </c>
      <c r="V36" s="827" t="str">
        <f t="shared" si="3"/>
        <v/>
      </c>
      <c r="W36" s="287" t="str">
        <f t="shared" si="4"/>
        <v xml:space="preserve">Ananda Anak 32 baik dalam sikap jujur, disiplin, tanggung jawab, santun, peduli, percaya diri, kerja sama, </v>
      </c>
      <c r="Y36" s="288" t="str">
        <f t="shared" si="5"/>
        <v>Ananda Anak 32</v>
      </c>
      <c r="Z36" s="289" t="str">
        <f t="shared" si="6"/>
        <v/>
      </c>
      <c r="AA36" s="289" t="str">
        <f t="shared" si="7"/>
        <v/>
      </c>
      <c r="AB36" s="289" t="str">
        <f t="shared" si="8"/>
        <v/>
      </c>
      <c r="AC36" s="289" t="str">
        <f t="shared" si="9"/>
        <v/>
      </c>
      <c r="AD36" s="289" t="str">
        <f t="shared" si="10"/>
        <v/>
      </c>
      <c r="AE36" s="289" t="str">
        <f t="shared" si="11"/>
        <v/>
      </c>
      <c r="AF36" s="289" t="str">
        <f t="shared" si="12"/>
        <v/>
      </c>
      <c r="AG36" s="289" t="str">
        <f t="shared" si="13"/>
        <v/>
      </c>
      <c r="AH36" s="290"/>
      <c r="AI36" s="289" t="str">
        <f t="shared" si="14"/>
        <v xml:space="preserve">baik dalam sikap </v>
      </c>
      <c r="AJ36" s="291" t="str">
        <f t="shared" si="15"/>
        <v xml:space="preserve">jujur, </v>
      </c>
      <c r="AK36" s="291" t="str">
        <f t="shared" si="16"/>
        <v xml:space="preserve">disiplin, </v>
      </c>
      <c r="AL36" s="291" t="str">
        <f t="shared" si="17"/>
        <v xml:space="preserve">tanggung jawab, </v>
      </c>
      <c r="AM36" s="291" t="str">
        <f t="shared" si="18"/>
        <v xml:space="preserve">santun, </v>
      </c>
      <c r="AN36" s="291" t="str">
        <f t="shared" si="19"/>
        <v xml:space="preserve">peduli, </v>
      </c>
      <c r="AO36" s="291" t="str">
        <f t="shared" si="20"/>
        <v xml:space="preserve">percaya diri, </v>
      </c>
      <c r="AP36" s="291" t="str">
        <f t="shared" si="21"/>
        <v xml:space="preserve">kerja sama, </v>
      </c>
      <c r="AQ36" s="290"/>
      <c r="AR36" s="289" t="str">
        <f t="shared" si="22"/>
        <v/>
      </c>
      <c r="AS36" s="289" t="str">
        <f t="shared" si="23"/>
        <v/>
      </c>
      <c r="AT36" s="289" t="str">
        <f t="shared" si="24"/>
        <v/>
      </c>
      <c r="AU36" s="289" t="str">
        <f t="shared" si="25"/>
        <v/>
      </c>
      <c r="AV36" s="289" t="str">
        <f t="shared" si="26"/>
        <v/>
      </c>
      <c r="AW36" s="289" t="str">
        <f t="shared" si="27"/>
        <v/>
      </c>
      <c r="AX36" s="289" t="str">
        <f t="shared" si="28"/>
        <v/>
      </c>
      <c r="AY36" s="289" t="str">
        <f t="shared" si="29"/>
        <v/>
      </c>
      <c r="AZ36" s="133" t="str">
        <f t="shared" si="30"/>
        <v xml:space="preserve"> </v>
      </c>
    </row>
    <row r="37" spans="1:52" ht="38.25" customHeight="1">
      <c r="A37" s="758"/>
      <c r="B37" s="129">
        <v>33</v>
      </c>
      <c r="C37" s="130">
        <f>SISWA!B38</f>
        <v>0</v>
      </c>
      <c r="D37" s="131" t="str">
        <f>SISWA!E38</f>
        <v>Anak 33</v>
      </c>
      <c r="E37" s="764">
        <f>'KI2'!BQ42</f>
        <v>0</v>
      </c>
      <c r="F37" s="764">
        <f>'KI2'!BR42</f>
        <v>0</v>
      </c>
      <c r="G37" s="764">
        <f>'KI2'!BS42</f>
        <v>0</v>
      </c>
      <c r="H37" s="764">
        <f>'KI2'!BT42</f>
        <v>0</v>
      </c>
      <c r="I37" s="764">
        <f>'KI2'!BU42</f>
        <v>0</v>
      </c>
      <c r="J37" s="764">
        <f>'KI2'!BV42</f>
        <v>0</v>
      </c>
      <c r="K37" s="764">
        <f>'KI2'!BW42</f>
        <v>0</v>
      </c>
      <c r="L37" s="764">
        <f>'KI2'!BX42</f>
        <v>0</v>
      </c>
      <c r="M37" s="764">
        <f>'KI2'!BY42</f>
        <v>0</v>
      </c>
      <c r="N37" s="764">
        <f>'KI2'!BZ42</f>
        <v>0</v>
      </c>
      <c r="O37" s="764">
        <f>'KI2'!CA42</f>
        <v>0</v>
      </c>
      <c r="P37" s="764">
        <f>'KI2'!CB42</f>
        <v>0</v>
      </c>
      <c r="Q37" s="764">
        <f>'KI2'!CC42</f>
        <v>0</v>
      </c>
      <c r="R37" s="764">
        <f>'KI2'!CD42</f>
        <v>0</v>
      </c>
      <c r="S37" s="765" t="str">
        <f t="shared" si="0"/>
        <v>Ananda Anak 33</v>
      </c>
      <c r="T37" s="827" t="str">
        <f t="shared" si="1"/>
        <v/>
      </c>
      <c r="U37" s="827" t="str">
        <f t="shared" si="2"/>
        <v xml:space="preserve">baik dalam sikap </v>
      </c>
      <c r="V37" s="827" t="str">
        <f t="shared" si="3"/>
        <v/>
      </c>
      <c r="W37" s="287" t="str">
        <f t="shared" si="4"/>
        <v xml:space="preserve">Ananda Anak 33 baik dalam sikap jujur, disiplin, tanggung jawab, santun, peduli, percaya diri, kerja sama, </v>
      </c>
      <c r="Y37" s="288" t="str">
        <f t="shared" si="5"/>
        <v>Ananda Anak 33</v>
      </c>
      <c r="Z37" s="289" t="str">
        <f t="shared" si="6"/>
        <v/>
      </c>
      <c r="AA37" s="289" t="str">
        <f t="shared" si="7"/>
        <v/>
      </c>
      <c r="AB37" s="289" t="str">
        <f t="shared" si="8"/>
        <v/>
      </c>
      <c r="AC37" s="289" t="str">
        <f t="shared" si="9"/>
        <v/>
      </c>
      <c r="AD37" s="289" t="str">
        <f t="shared" si="10"/>
        <v/>
      </c>
      <c r="AE37" s="289" t="str">
        <f t="shared" si="11"/>
        <v/>
      </c>
      <c r="AF37" s="289" t="str">
        <f t="shared" si="12"/>
        <v/>
      </c>
      <c r="AG37" s="289" t="str">
        <f t="shared" si="13"/>
        <v/>
      </c>
      <c r="AH37" s="290"/>
      <c r="AI37" s="289" t="str">
        <f t="shared" si="14"/>
        <v xml:space="preserve">baik dalam sikap </v>
      </c>
      <c r="AJ37" s="291" t="str">
        <f t="shared" si="15"/>
        <v xml:space="preserve">jujur, </v>
      </c>
      <c r="AK37" s="291" t="str">
        <f t="shared" si="16"/>
        <v xml:space="preserve">disiplin, </v>
      </c>
      <c r="AL37" s="291" t="str">
        <f t="shared" si="17"/>
        <v xml:space="preserve">tanggung jawab, </v>
      </c>
      <c r="AM37" s="291" t="str">
        <f t="shared" si="18"/>
        <v xml:space="preserve">santun, </v>
      </c>
      <c r="AN37" s="291" t="str">
        <f t="shared" si="19"/>
        <v xml:space="preserve">peduli, </v>
      </c>
      <c r="AO37" s="291" t="str">
        <f t="shared" si="20"/>
        <v xml:space="preserve">percaya diri, </v>
      </c>
      <c r="AP37" s="291" t="str">
        <f t="shared" si="21"/>
        <v xml:space="preserve">kerja sama, </v>
      </c>
      <c r="AQ37" s="290"/>
      <c r="AR37" s="289" t="str">
        <f t="shared" si="22"/>
        <v/>
      </c>
      <c r="AS37" s="289" t="str">
        <f t="shared" si="23"/>
        <v/>
      </c>
      <c r="AT37" s="289" t="str">
        <f t="shared" si="24"/>
        <v/>
      </c>
      <c r="AU37" s="289" t="str">
        <f t="shared" si="25"/>
        <v/>
      </c>
      <c r="AV37" s="289" t="str">
        <f t="shared" si="26"/>
        <v/>
      </c>
      <c r="AW37" s="289" t="str">
        <f t="shared" si="27"/>
        <v/>
      </c>
      <c r="AX37" s="289" t="str">
        <f t="shared" si="28"/>
        <v/>
      </c>
      <c r="AY37" s="289" t="str">
        <f t="shared" si="29"/>
        <v/>
      </c>
      <c r="AZ37" s="133" t="str">
        <f t="shared" si="30"/>
        <v xml:space="preserve"> </v>
      </c>
    </row>
    <row r="38" spans="1:52" ht="38.25" customHeight="1">
      <c r="A38" s="758"/>
      <c r="B38" s="134">
        <v>34</v>
      </c>
      <c r="C38" s="130">
        <f>SISWA!B39</f>
        <v>0</v>
      </c>
      <c r="D38" s="131" t="str">
        <f>SISWA!E39</f>
        <v>Anak 34</v>
      </c>
      <c r="E38" s="764">
        <f>'KI2'!BQ43</f>
        <v>0</v>
      </c>
      <c r="F38" s="764">
        <f>'KI2'!BR43</f>
        <v>0</v>
      </c>
      <c r="G38" s="764">
        <f>'KI2'!BS43</f>
        <v>0</v>
      </c>
      <c r="H38" s="764">
        <f>'KI2'!BT43</f>
        <v>0</v>
      </c>
      <c r="I38" s="764">
        <f>'KI2'!BU43</f>
        <v>0</v>
      </c>
      <c r="J38" s="764">
        <f>'KI2'!BV43</f>
        <v>0</v>
      </c>
      <c r="K38" s="764">
        <f>'KI2'!BW43</f>
        <v>0</v>
      </c>
      <c r="L38" s="764">
        <f>'KI2'!BX43</f>
        <v>0</v>
      </c>
      <c r="M38" s="764">
        <f>'KI2'!BY43</f>
        <v>0</v>
      </c>
      <c r="N38" s="764">
        <f>'KI2'!BZ43</f>
        <v>0</v>
      </c>
      <c r="O38" s="764">
        <f>'KI2'!CA43</f>
        <v>0</v>
      </c>
      <c r="P38" s="764">
        <f>'KI2'!CB43</f>
        <v>0</v>
      </c>
      <c r="Q38" s="764">
        <f>'KI2'!CC43</f>
        <v>0</v>
      </c>
      <c r="R38" s="764">
        <f>'KI2'!CD43</f>
        <v>0</v>
      </c>
      <c r="S38" s="765" t="str">
        <f t="shared" si="0"/>
        <v>Ananda Anak 34</v>
      </c>
      <c r="T38" s="827" t="str">
        <f t="shared" si="1"/>
        <v/>
      </c>
      <c r="U38" s="827" t="str">
        <f t="shared" si="2"/>
        <v xml:space="preserve">baik dalam sikap </v>
      </c>
      <c r="V38" s="827" t="str">
        <f t="shared" si="3"/>
        <v/>
      </c>
      <c r="W38" s="287" t="str">
        <f t="shared" si="4"/>
        <v xml:space="preserve">Ananda Anak 34 baik dalam sikap jujur, disiplin, tanggung jawab, santun, peduli, percaya diri, kerja sama, </v>
      </c>
      <c r="Y38" s="288" t="str">
        <f t="shared" si="5"/>
        <v>Ananda Anak 34</v>
      </c>
      <c r="Z38" s="289" t="str">
        <f t="shared" si="6"/>
        <v/>
      </c>
      <c r="AA38" s="289" t="str">
        <f t="shared" si="7"/>
        <v/>
      </c>
      <c r="AB38" s="289" t="str">
        <f t="shared" si="8"/>
        <v/>
      </c>
      <c r="AC38" s="289" t="str">
        <f t="shared" si="9"/>
        <v/>
      </c>
      <c r="AD38" s="289" t="str">
        <f t="shared" si="10"/>
        <v/>
      </c>
      <c r="AE38" s="289" t="str">
        <f t="shared" si="11"/>
        <v/>
      </c>
      <c r="AF38" s="289" t="str">
        <f t="shared" si="12"/>
        <v/>
      </c>
      <c r="AG38" s="289" t="str">
        <f t="shared" si="13"/>
        <v/>
      </c>
      <c r="AH38" s="290"/>
      <c r="AI38" s="289" t="str">
        <f t="shared" si="14"/>
        <v xml:space="preserve">baik dalam sikap </v>
      </c>
      <c r="AJ38" s="291" t="str">
        <f t="shared" si="15"/>
        <v xml:space="preserve">jujur, </v>
      </c>
      <c r="AK38" s="291" t="str">
        <f t="shared" si="16"/>
        <v xml:space="preserve">disiplin, </v>
      </c>
      <c r="AL38" s="291" t="str">
        <f t="shared" si="17"/>
        <v xml:space="preserve">tanggung jawab, </v>
      </c>
      <c r="AM38" s="291" t="str">
        <f t="shared" si="18"/>
        <v xml:space="preserve">santun, </v>
      </c>
      <c r="AN38" s="291" t="str">
        <f t="shared" si="19"/>
        <v xml:space="preserve">peduli, </v>
      </c>
      <c r="AO38" s="291" t="str">
        <f t="shared" si="20"/>
        <v xml:space="preserve">percaya diri, </v>
      </c>
      <c r="AP38" s="291" t="str">
        <f t="shared" si="21"/>
        <v xml:space="preserve">kerja sama, </v>
      </c>
      <c r="AQ38" s="290"/>
      <c r="AR38" s="289" t="str">
        <f t="shared" si="22"/>
        <v/>
      </c>
      <c r="AS38" s="289" t="str">
        <f t="shared" si="23"/>
        <v/>
      </c>
      <c r="AT38" s="289" t="str">
        <f t="shared" si="24"/>
        <v/>
      </c>
      <c r="AU38" s="289" t="str">
        <f t="shared" si="25"/>
        <v/>
      </c>
      <c r="AV38" s="289" t="str">
        <f t="shared" si="26"/>
        <v/>
      </c>
      <c r="AW38" s="289" t="str">
        <f t="shared" si="27"/>
        <v/>
      </c>
      <c r="AX38" s="289" t="str">
        <f t="shared" si="28"/>
        <v/>
      </c>
      <c r="AY38" s="289" t="str">
        <f t="shared" si="29"/>
        <v/>
      </c>
      <c r="AZ38" s="133" t="str">
        <f t="shared" si="30"/>
        <v xml:space="preserve"> </v>
      </c>
    </row>
    <row r="39" spans="1:52" ht="38.25" customHeight="1">
      <c r="A39" s="758"/>
      <c r="B39" s="129">
        <v>35</v>
      </c>
      <c r="C39" s="130">
        <f>SISWA!B40</f>
        <v>0</v>
      </c>
      <c r="D39" s="131" t="str">
        <f>SISWA!E40</f>
        <v>Anak 35</v>
      </c>
      <c r="E39" s="764">
        <f>'KI2'!BQ44</f>
        <v>0</v>
      </c>
      <c r="F39" s="764">
        <f>'KI2'!BR44</f>
        <v>0</v>
      </c>
      <c r="G39" s="764">
        <f>'KI2'!BS44</f>
        <v>0</v>
      </c>
      <c r="H39" s="764">
        <f>'KI2'!BT44</f>
        <v>0</v>
      </c>
      <c r="I39" s="764">
        <f>'KI2'!BU44</f>
        <v>0</v>
      </c>
      <c r="J39" s="764">
        <f>'KI2'!BV44</f>
        <v>0</v>
      </c>
      <c r="K39" s="764">
        <f>'KI2'!BW44</f>
        <v>0</v>
      </c>
      <c r="L39" s="764">
        <f>'KI2'!BX44</f>
        <v>0</v>
      </c>
      <c r="M39" s="764">
        <f>'KI2'!BY44</f>
        <v>0</v>
      </c>
      <c r="N39" s="764">
        <f>'KI2'!BZ44</f>
        <v>0</v>
      </c>
      <c r="O39" s="764">
        <f>'KI2'!CA44</f>
        <v>0</v>
      </c>
      <c r="P39" s="764">
        <f>'KI2'!CB44</f>
        <v>0</v>
      </c>
      <c r="Q39" s="764">
        <f>'KI2'!CC44</f>
        <v>0</v>
      </c>
      <c r="R39" s="764">
        <f>'KI2'!CD44</f>
        <v>0</v>
      </c>
      <c r="S39" s="765" t="str">
        <f t="shared" si="0"/>
        <v>Ananda Anak 35</v>
      </c>
      <c r="T39" s="827" t="str">
        <f t="shared" si="1"/>
        <v/>
      </c>
      <c r="U39" s="827" t="str">
        <f t="shared" si="2"/>
        <v xml:space="preserve">baik dalam sikap </v>
      </c>
      <c r="V39" s="827" t="str">
        <f t="shared" si="3"/>
        <v/>
      </c>
      <c r="W39" s="287" t="str">
        <f t="shared" si="4"/>
        <v xml:space="preserve">Ananda Anak 35 baik dalam sikap jujur, disiplin, tanggung jawab, santun, peduli, percaya diri, kerja sama, </v>
      </c>
      <c r="Y39" s="288" t="str">
        <f t="shared" si="5"/>
        <v>Ananda Anak 35</v>
      </c>
      <c r="Z39" s="289" t="str">
        <f t="shared" si="6"/>
        <v/>
      </c>
      <c r="AA39" s="289" t="str">
        <f t="shared" si="7"/>
        <v/>
      </c>
      <c r="AB39" s="289" t="str">
        <f t="shared" si="8"/>
        <v/>
      </c>
      <c r="AC39" s="289" t="str">
        <f t="shared" si="9"/>
        <v/>
      </c>
      <c r="AD39" s="289" t="str">
        <f t="shared" si="10"/>
        <v/>
      </c>
      <c r="AE39" s="289" t="str">
        <f t="shared" si="11"/>
        <v/>
      </c>
      <c r="AF39" s="289" t="str">
        <f t="shared" si="12"/>
        <v/>
      </c>
      <c r="AG39" s="289" t="str">
        <f t="shared" si="13"/>
        <v/>
      </c>
      <c r="AH39" s="290"/>
      <c r="AI39" s="289" t="str">
        <f t="shared" si="14"/>
        <v xml:space="preserve">baik dalam sikap </v>
      </c>
      <c r="AJ39" s="291" t="str">
        <f t="shared" si="15"/>
        <v xml:space="preserve">jujur, </v>
      </c>
      <c r="AK39" s="291" t="str">
        <f t="shared" si="16"/>
        <v xml:space="preserve">disiplin, </v>
      </c>
      <c r="AL39" s="291" t="str">
        <f t="shared" si="17"/>
        <v xml:space="preserve">tanggung jawab, </v>
      </c>
      <c r="AM39" s="291" t="str">
        <f t="shared" si="18"/>
        <v xml:space="preserve">santun, </v>
      </c>
      <c r="AN39" s="291" t="str">
        <f t="shared" si="19"/>
        <v xml:space="preserve">peduli, </v>
      </c>
      <c r="AO39" s="291" t="str">
        <f t="shared" si="20"/>
        <v xml:space="preserve">percaya diri, </v>
      </c>
      <c r="AP39" s="291" t="str">
        <f t="shared" si="21"/>
        <v xml:space="preserve">kerja sama, </v>
      </c>
      <c r="AQ39" s="290"/>
      <c r="AR39" s="289" t="str">
        <f t="shared" si="22"/>
        <v/>
      </c>
      <c r="AS39" s="289" t="str">
        <f t="shared" si="23"/>
        <v/>
      </c>
      <c r="AT39" s="289" t="str">
        <f t="shared" si="24"/>
        <v/>
      </c>
      <c r="AU39" s="289" t="str">
        <f t="shared" si="25"/>
        <v/>
      </c>
      <c r="AV39" s="289" t="str">
        <f t="shared" si="26"/>
        <v/>
      </c>
      <c r="AW39" s="289" t="str">
        <f t="shared" si="27"/>
        <v/>
      </c>
      <c r="AX39" s="289" t="str">
        <f t="shared" si="28"/>
        <v/>
      </c>
      <c r="AY39" s="289" t="str">
        <f t="shared" si="29"/>
        <v/>
      </c>
      <c r="AZ39" s="133" t="str">
        <f t="shared" si="30"/>
        <v xml:space="preserve"> </v>
      </c>
    </row>
    <row r="40" spans="1:52" ht="38.25" customHeight="1">
      <c r="A40" s="758"/>
      <c r="B40" s="134">
        <v>36</v>
      </c>
      <c r="C40" s="130">
        <f>SISWA!B41</f>
        <v>0</v>
      </c>
      <c r="D40" s="131" t="str">
        <f>SISWA!E41</f>
        <v>Anak 36</v>
      </c>
      <c r="E40" s="764">
        <f>'KI2'!BQ45</f>
        <v>0</v>
      </c>
      <c r="F40" s="764">
        <f>'KI2'!BR45</f>
        <v>0</v>
      </c>
      <c r="G40" s="764">
        <f>'KI2'!BS45</f>
        <v>0</v>
      </c>
      <c r="H40" s="764">
        <f>'KI2'!BT45</f>
        <v>0</v>
      </c>
      <c r="I40" s="764">
        <f>'KI2'!BU45</f>
        <v>0</v>
      </c>
      <c r="J40" s="764">
        <f>'KI2'!BV45</f>
        <v>0</v>
      </c>
      <c r="K40" s="764">
        <f>'KI2'!BW45</f>
        <v>0</v>
      </c>
      <c r="L40" s="764">
        <f>'KI2'!BX45</f>
        <v>0</v>
      </c>
      <c r="M40" s="764">
        <f>'KI2'!BY45</f>
        <v>0</v>
      </c>
      <c r="N40" s="764">
        <f>'KI2'!BZ45</f>
        <v>0</v>
      </c>
      <c r="O40" s="764">
        <f>'KI2'!CA45</f>
        <v>0</v>
      </c>
      <c r="P40" s="764">
        <f>'KI2'!CB45</f>
        <v>0</v>
      </c>
      <c r="Q40" s="764">
        <f>'KI2'!CC45</f>
        <v>0</v>
      </c>
      <c r="R40" s="764">
        <f>'KI2'!CD45</f>
        <v>0</v>
      </c>
      <c r="S40" s="765" t="str">
        <f t="shared" si="0"/>
        <v>Ananda Anak 36</v>
      </c>
      <c r="T40" s="827" t="str">
        <f t="shared" si="1"/>
        <v/>
      </c>
      <c r="U40" s="827" t="str">
        <f t="shared" si="2"/>
        <v xml:space="preserve">baik dalam sikap </v>
      </c>
      <c r="V40" s="827" t="str">
        <f t="shared" si="3"/>
        <v/>
      </c>
      <c r="W40" s="287" t="str">
        <f t="shared" si="4"/>
        <v xml:space="preserve">Ananda Anak 36 baik dalam sikap jujur, disiplin, tanggung jawab, santun, peduli, percaya diri, kerja sama, </v>
      </c>
      <c r="Y40" s="288" t="str">
        <f t="shared" si="5"/>
        <v>Ananda Anak 36</v>
      </c>
      <c r="Z40" s="289" t="str">
        <f t="shared" si="6"/>
        <v/>
      </c>
      <c r="AA40" s="289" t="str">
        <f t="shared" si="7"/>
        <v/>
      </c>
      <c r="AB40" s="289" t="str">
        <f t="shared" si="8"/>
        <v/>
      </c>
      <c r="AC40" s="289" t="str">
        <f t="shared" si="9"/>
        <v/>
      </c>
      <c r="AD40" s="289" t="str">
        <f t="shared" si="10"/>
        <v/>
      </c>
      <c r="AE40" s="289" t="str">
        <f t="shared" si="11"/>
        <v/>
      </c>
      <c r="AF40" s="289" t="str">
        <f t="shared" si="12"/>
        <v/>
      </c>
      <c r="AG40" s="289" t="str">
        <f t="shared" si="13"/>
        <v/>
      </c>
      <c r="AH40" s="290"/>
      <c r="AI40" s="289" t="str">
        <f t="shared" si="14"/>
        <v xml:space="preserve">baik dalam sikap </v>
      </c>
      <c r="AJ40" s="291" t="str">
        <f t="shared" si="15"/>
        <v xml:space="preserve">jujur, </v>
      </c>
      <c r="AK40" s="291" t="str">
        <f t="shared" si="16"/>
        <v xml:space="preserve">disiplin, </v>
      </c>
      <c r="AL40" s="291" t="str">
        <f t="shared" si="17"/>
        <v xml:space="preserve">tanggung jawab, </v>
      </c>
      <c r="AM40" s="291" t="str">
        <f t="shared" si="18"/>
        <v xml:space="preserve">santun, </v>
      </c>
      <c r="AN40" s="291" t="str">
        <f t="shared" si="19"/>
        <v xml:space="preserve">peduli, </v>
      </c>
      <c r="AO40" s="291" t="str">
        <f t="shared" si="20"/>
        <v xml:space="preserve">percaya diri, </v>
      </c>
      <c r="AP40" s="291" t="str">
        <f t="shared" si="21"/>
        <v xml:space="preserve">kerja sama, </v>
      </c>
      <c r="AQ40" s="290"/>
      <c r="AR40" s="289" t="str">
        <f t="shared" si="22"/>
        <v/>
      </c>
      <c r="AS40" s="289" t="str">
        <f t="shared" si="23"/>
        <v/>
      </c>
      <c r="AT40" s="289" t="str">
        <f t="shared" si="24"/>
        <v/>
      </c>
      <c r="AU40" s="289" t="str">
        <f t="shared" si="25"/>
        <v/>
      </c>
      <c r="AV40" s="289" t="str">
        <f t="shared" si="26"/>
        <v/>
      </c>
      <c r="AW40" s="289" t="str">
        <f t="shared" si="27"/>
        <v/>
      </c>
      <c r="AX40" s="289" t="str">
        <f t="shared" si="28"/>
        <v/>
      </c>
      <c r="AY40" s="289" t="str">
        <f t="shared" si="29"/>
        <v/>
      </c>
      <c r="AZ40" s="133" t="str">
        <f t="shared" si="30"/>
        <v xml:space="preserve"> </v>
      </c>
    </row>
    <row r="41" spans="1:52" ht="38.25" customHeight="1">
      <c r="A41" s="758"/>
      <c r="B41" s="129">
        <v>37</v>
      </c>
      <c r="C41" s="130">
        <f>SISWA!B42</f>
        <v>0</v>
      </c>
      <c r="D41" s="131" t="str">
        <f>SISWA!E42</f>
        <v>Anak 37</v>
      </c>
      <c r="E41" s="764">
        <f>'KI2'!BQ46</f>
        <v>0</v>
      </c>
      <c r="F41" s="764">
        <f>'KI2'!BR46</f>
        <v>0</v>
      </c>
      <c r="G41" s="764">
        <f>'KI2'!BS46</f>
        <v>0</v>
      </c>
      <c r="H41" s="764">
        <f>'KI2'!BT46</f>
        <v>0</v>
      </c>
      <c r="I41" s="764">
        <f>'KI2'!BU46</f>
        <v>0</v>
      </c>
      <c r="J41" s="764">
        <f>'KI2'!BV46</f>
        <v>0</v>
      </c>
      <c r="K41" s="764">
        <f>'KI2'!BW46</f>
        <v>0</v>
      </c>
      <c r="L41" s="764">
        <f>'KI2'!BX46</f>
        <v>0</v>
      </c>
      <c r="M41" s="764">
        <f>'KI2'!BY46</f>
        <v>0</v>
      </c>
      <c r="N41" s="764">
        <f>'KI2'!BZ46</f>
        <v>0</v>
      </c>
      <c r="O41" s="764">
        <f>'KI2'!CA46</f>
        <v>0</v>
      </c>
      <c r="P41" s="764">
        <f>'KI2'!CB46</f>
        <v>0</v>
      </c>
      <c r="Q41" s="764">
        <f>'KI2'!CC46</f>
        <v>0</v>
      </c>
      <c r="R41" s="764">
        <f>'KI2'!CD46</f>
        <v>0</v>
      </c>
      <c r="S41" s="765" t="str">
        <f t="shared" si="0"/>
        <v>Ananda Anak 37</v>
      </c>
      <c r="T41" s="827" t="str">
        <f t="shared" si="1"/>
        <v/>
      </c>
      <c r="U41" s="827" t="str">
        <f t="shared" si="2"/>
        <v xml:space="preserve">baik dalam sikap </v>
      </c>
      <c r="V41" s="827" t="str">
        <f t="shared" si="3"/>
        <v/>
      </c>
      <c r="W41" s="287" t="str">
        <f t="shared" si="4"/>
        <v xml:space="preserve">Ananda Anak 37 baik dalam sikap jujur, disiplin, tanggung jawab, santun, peduli, percaya diri, kerja sama, </v>
      </c>
      <c r="Y41" s="288" t="str">
        <f t="shared" si="5"/>
        <v>Ananda Anak 37</v>
      </c>
      <c r="Z41" s="289" t="str">
        <f t="shared" si="6"/>
        <v/>
      </c>
      <c r="AA41" s="289" t="str">
        <f t="shared" si="7"/>
        <v/>
      </c>
      <c r="AB41" s="289" t="str">
        <f t="shared" si="8"/>
        <v/>
      </c>
      <c r="AC41" s="289" t="str">
        <f t="shared" si="9"/>
        <v/>
      </c>
      <c r="AD41" s="289" t="str">
        <f t="shared" si="10"/>
        <v/>
      </c>
      <c r="AE41" s="289" t="str">
        <f t="shared" si="11"/>
        <v/>
      </c>
      <c r="AF41" s="289" t="str">
        <f t="shared" si="12"/>
        <v/>
      </c>
      <c r="AG41" s="289" t="str">
        <f t="shared" si="13"/>
        <v/>
      </c>
      <c r="AH41" s="290"/>
      <c r="AI41" s="289" t="str">
        <f t="shared" si="14"/>
        <v xml:space="preserve">baik dalam sikap </v>
      </c>
      <c r="AJ41" s="291" t="str">
        <f t="shared" si="15"/>
        <v xml:space="preserve">jujur, </v>
      </c>
      <c r="AK41" s="291" t="str">
        <f t="shared" si="16"/>
        <v xml:space="preserve">disiplin, </v>
      </c>
      <c r="AL41" s="291" t="str">
        <f t="shared" si="17"/>
        <v xml:space="preserve">tanggung jawab, </v>
      </c>
      <c r="AM41" s="291" t="str">
        <f t="shared" si="18"/>
        <v xml:space="preserve">santun, </v>
      </c>
      <c r="AN41" s="291" t="str">
        <f t="shared" si="19"/>
        <v xml:space="preserve">peduli, </v>
      </c>
      <c r="AO41" s="291" t="str">
        <f t="shared" si="20"/>
        <v xml:space="preserve">percaya diri, </v>
      </c>
      <c r="AP41" s="291" t="str">
        <f t="shared" si="21"/>
        <v xml:space="preserve">kerja sama, </v>
      </c>
      <c r="AQ41" s="290"/>
      <c r="AR41" s="289" t="str">
        <f t="shared" si="22"/>
        <v/>
      </c>
      <c r="AS41" s="289" t="str">
        <f t="shared" si="23"/>
        <v/>
      </c>
      <c r="AT41" s="289" t="str">
        <f t="shared" si="24"/>
        <v/>
      </c>
      <c r="AU41" s="289" t="str">
        <f t="shared" si="25"/>
        <v/>
      </c>
      <c r="AV41" s="289" t="str">
        <f t="shared" si="26"/>
        <v/>
      </c>
      <c r="AW41" s="289" t="str">
        <f t="shared" si="27"/>
        <v/>
      </c>
      <c r="AX41" s="289" t="str">
        <f t="shared" si="28"/>
        <v/>
      </c>
      <c r="AY41" s="289" t="str">
        <f t="shared" si="29"/>
        <v/>
      </c>
      <c r="AZ41" s="133" t="str">
        <f t="shared" si="30"/>
        <v xml:space="preserve"> </v>
      </c>
    </row>
    <row r="42" spans="1:52" ht="38.25" customHeight="1">
      <c r="A42" s="758"/>
      <c r="B42" s="134">
        <v>38</v>
      </c>
      <c r="C42" s="130">
        <f>SISWA!B43</f>
        <v>0</v>
      </c>
      <c r="D42" s="131" t="str">
        <f>SISWA!E43</f>
        <v>Anak 38</v>
      </c>
      <c r="E42" s="764">
        <f>'KI2'!BQ47</f>
        <v>0</v>
      </c>
      <c r="F42" s="764">
        <f>'KI2'!BR47</f>
        <v>0</v>
      </c>
      <c r="G42" s="764">
        <f>'KI2'!BS47</f>
        <v>0</v>
      </c>
      <c r="H42" s="764">
        <f>'KI2'!BT47</f>
        <v>0</v>
      </c>
      <c r="I42" s="764">
        <f>'KI2'!BU47</f>
        <v>0</v>
      </c>
      <c r="J42" s="764">
        <f>'KI2'!BV47</f>
        <v>0</v>
      </c>
      <c r="K42" s="764">
        <f>'KI2'!BW47</f>
        <v>0</v>
      </c>
      <c r="L42" s="764">
        <f>'KI2'!BX47</f>
        <v>0</v>
      </c>
      <c r="M42" s="764">
        <f>'KI2'!BY47</f>
        <v>0</v>
      </c>
      <c r="N42" s="764">
        <f>'KI2'!BZ47</f>
        <v>0</v>
      </c>
      <c r="O42" s="764">
        <f>'KI2'!CA47</f>
        <v>0</v>
      </c>
      <c r="P42" s="764">
        <f>'KI2'!CB47</f>
        <v>0</v>
      </c>
      <c r="Q42" s="764">
        <f>'KI2'!CC47</f>
        <v>0</v>
      </c>
      <c r="R42" s="764">
        <f>'KI2'!CD47</f>
        <v>0</v>
      </c>
      <c r="S42" s="765" t="str">
        <f t="shared" si="0"/>
        <v>Ananda Anak 38</v>
      </c>
      <c r="T42" s="827" t="str">
        <f t="shared" si="1"/>
        <v/>
      </c>
      <c r="U42" s="827" t="str">
        <f t="shared" si="2"/>
        <v xml:space="preserve">baik dalam sikap </v>
      </c>
      <c r="V42" s="827" t="str">
        <f t="shared" si="3"/>
        <v/>
      </c>
      <c r="W42" s="287" t="str">
        <f t="shared" si="4"/>
        <v xml:space="preserve">Ananda Anak 38 baik dalam sikap jujur, disiplin, tanggung jawab, santun, peduli, percaya diri, kerja sama, </v>
      </c>
      <c r="Y42" s="288" t="str">
        <f t="shared" si="5"/>
        <v>Ananda Anak 38</v>
      </c>
      <c r="Z42" s="289" t="str">
        <f t="shared" si="6"/>
        <v/>
      </c>
      <c r="AA42" s="289" t="str">
        <f t="shared" si="7"/>
        <v/>
      </c>
      <c r="AB42" s="289" t="str">
        <f t="shared" si="8"/>
        <v/>
      </c>
      <c r="AC42" s="289" t="str">
        <f t="shared" si="9"/>
        <v/>
      </c>
      <c r="AD42" s="289" t="str">
        <f t="shared" si="10"/>
        <v/>
      </c>
      <c r="AE42" s="289" t="str">
        <f t="shared" si="11"/>
        <v/>
      </c>
      <c r="AF42" s="289" t="str">
        <f t="shared" si="12"/>
        <v/>
      </c>
      <c r="AG42" s="289" t="str">
        <f t="shared" si="13"/>
        <v/>
      </c>
      <c r="AH42" s="290"/>
      <c r="AI42" s="289" t="str">
        <f t="shared" si="14"/>
        <v xml:space="preserve">baik dalam sikap </v>
      </c>
      <c r="AJ42" s="291" t="str">
        <f t="shared" si="15"/>
        <v xml:space="preserve">jujur, </v>
      </c>
      <c r="AK42" s="291" t="str">
        <f t="shared" si="16"/>
        <v xml:space="preserve">disiplin, </v>
      </c>
      <c r="AL42" s="291" t="str">
        <f t="shared" si="17"/>
        <v xml:space="preserve">tanggung jawab, </v>
      </c>
      <c r="AM42" s="291" t="str">
        <f t="shared" si="18"/>
        <v xml:space="preserve">santun, </v>
      </c>
      <c r="AN42" s="291" t="str">
        <f t="shared" si="19"/>
        <v xml:space="preserve">peduli, </v>
      </c>
      <c r="AO42" s="291" t="str">
        <f t="shared" si="20"/>
        <v xml:space="preserve">percaya diri, </v>
      </c>
      <c r="AP42" s="291" t="str">
        <f t="shared" si="21"/>
        <v xml:space="preserve">kerja sama, </v>
      </c>
      <c r="AQ42" s="290"/>
      <c r="AR42" s="289" t="str">
        <f t="shared" si="22"/>
        <v/>
      </c>
      <c r="AS42" s="289" t="str">
        <f t="shared" si="23"/>
        <v/>
      </c>
      <c r="AT42" s="289" t="str">
        <f t="shared" si="24"/>
        <v/>
      </c>
      <c r="AU42" s="289" t="str">
        <f t="shared" si="25"/>
        <v/>
      </c>
      <c r="AV42" s="289" t="str">
        <f t="shared" si="26"/>
        <v/>
      </c>
      <c r="AW42" s="289" t="str">
        <f t="shared" si="27"/>
        <v/>
      </c>
      <c r="AX42" s="289" t="str">
        <f t="shared" si="28"/>
        <v/>
      </c>
      <c r="AY42" s="289" t="str">
        <f t="shared" si="29"/>
        <v/>
      </c>
      <c r="AZ42" s="133" t="str">
        <f t="shared" si="30"/>
        <v xml:space="preserve"> </v>
      </c>
    </row>
    <row r="43" spans="1:52" ht="38.25" customHeight="1">
      <c r="A43" s="758"/>
      <c r="B43" s="129">
        <v>39</v>
      </c>
      <c r="C43" s="130">
        <f>SISWA!B44</f>
        <v>0</v>
      </c>
      <c r="D43" s="131" t="str">
        <f>SISWA!E44</f>
        <v>Anak 39</v>
      </c>
      <c r="E43" s="764">
        <f>'KI2'!BQ48</f>
        <v>0</v>
      </c>
      <c r="F43" s="764">
        <f>'KI2'!BR48</f>
        <v>0</v>
      </c>
      <c r="G43" s="764">
        <f>'KI2'!BS48</f>
        <v>0</v>
      </c>
      <c r="H43" s="764">
        <f>'KI2'!BT48</f>
        <v>0</v>
      </c>
      <c r="I43" s="764">
        <f>'KI2'!BU48</f>
        <v>0</v>
      </c>
      <c r="J43" s="764">
        <f>'KI2'!BV48</f>
        <v>0</v>
      </c>
      <c r="K43" s="764">
        <f>'KI2'!BW48</f>
        <v>0</v>
      </c>
      <c r="L43" s="764">
        <f>'KI2'!BX48</f>
        <v>0</v>
      </c>
      <c r="M43" s="764">
        <f>'KI2'!BY48</f>
        <v>0</v>
      </c>
      <c r="N43" s="764">
        <f>'KI2'!BZ48</f>
        <v>0</v>
      </c>
      <c r="O43" s="764">
        <f>'KI2'!CA48</f>
        <v>0</v>
      </c>
      <c r="P43" s="764">
        <f>'KI2'!CB48</f>
        <v>0</v>
      </c>
      <c r="Q43" s="764">
        <f>'KI2'!CC48</f>
        <v>0</v>
      </c>
      <c r="R43" s="764">
        <f>'KI2'!CD48</f>
        <v>0</v>
      </c>
      <c r="S43" s="765" t="str">
        <f t="shared" si="0"/>
        <v>Ananda Anak 39</v>
      </c>
      <c r="T43" s="827" t="str">
        <f t="shared" si="1"/>
        <v/>
      </c>
      <c r="U43" s="827" t="str">
        <f t="shared" si="2"/>
        <v xml:space="preserve">baik dalam sikap </v>
      </c>
      <c r="V43" s="827" t="str">
        <f t="shared" si="3"/>
        <v/>
      </c>
      <c r="W43" s="287" t="str">
        <f t="shared" si="4"/>
        <v xml:space="preserve">Ananda Anak 39 baik dalam sikap jujur, disiplin, tanggung jawab, santun, peduli, percaya diri, kerja sama, </v>
      </c>
      <c r="Y43" s="288" t="str">
        <f t="shared" si="5"/>
        <v>Ananda Anak 39</v>
      </c>
      <c r="Z43" s="289" t="str">
        <f t="shared" si="6"/>
        <v/>
      </c>
      <c r="AA43" s="289" t="str">
        <f t="shared" si="7"/>
        <v/>
      </c>
      <c r="AB43" s="289" t="str">
        <f t="shared" si="8"/>
        <v/>
      </c>
      <c r="AC43" s="289" t="str">
        <f t="shared" si="9"/>
        <v/>
      </c>
      <c r="AD43" s="289" t="str">
        <f t="shared" si="10"/>
        <v/>
      </c>
      <c r="AE43" s="289" t="str">
        <f t="shared" si="11"/>
        <v/>
      </c>
      <c r="AF43" s="289" t="str">
        <f t="shared" si="12"/>
        <v/>
      </c>
      <c r="AG43" s="289" t="str">
        <f t="shared" si="13"/>
        <v/>
      </c>
      <c r="AH43" s="290"/>
      <c r="AI43" s="289" t="str">
        <f t="shared" si="14"/>
        <v xml:space="preserve">baik dalam sikap </v>
      </c>
      <c r="AJ43" s="291" t="str">
        <f t="shared" si="15"/>
        <v xml:space="preserve">jujur, </v>
      </c>
      <c r="AK43" s="291" t="str">
        <f t="shared" si="16"/>
        <v xml:space="preserve">disiplin, </v>
      </c>
      <c r="AL43" s="291" t="str">
        <f t="shared" si="17"/>
        <v xml:space="preserve">tanggung jawab, </v>
      </c>
      <c r="AM43" s="291" t="str">
        <f t="shared" si="18"/>
        <v xml:space="preserve">santun, </v>
      </c>
      <c r="AN43" s="291" t="str">
        <f t="shared" si="19"/>
        <v xml:space="preserve">peduli, </v>
      </c>
      <c r="AO43" s="291" t="str">
        <f t="shared" si="20"/>
        <v xml:space="preserve">percaya diri, </v>
      </c>
      <c r="AP43" s="291" t="str">
        <f t="shared" si="21"/>
        <v xml:space="preserve">kerja sama, </v>
      </c>
      <c r="AQ43" s="290"/>
      <c r="AR43" s="289" t="str">
        <f t="shared" si="22"/>
        <v/>
      </c>
      <c r="AS43" s="289" t="str">
        <f t="shared" si="23"/>
        <v/>
      </c>
      <c r="AT43" s="289" t="str">
        <f t="shared" si="24"/>
        <v/>
      </c>
      <c r="AU43" s="289" t="str">
        <f t="shared" si="25"/>
        <v/>
      </c>
      <c r="AV43" s="289" t="str">
        <f t="shared" si="26"/>
        <v/>
      </c>
      <c r="AW43" s="289" t="str">
        <f t="shared" si="27"/>
        <v/>
      </c>
      <c r="AX43" s="289" t="str">
        <f t="shared" si="28"/>
        <v/>
      </c>
      <c r="AY43" s="289" t="str">
        <f t="shared" si="29"/>
        <v/>
      </c>
      <c r="AZ43" s="133" t="str">
        <f t="shared" si="30"/>
        <v xml:space="preserve"> </v>
      </c>
    </row>
    <row r="44" spans="1:52" ht="38.25" customHeight="1">
      <c r="A44" s="758"/>
      <c r="B44" s="134">
        <v>40</v>
      </c>
      <c r="C44" s="130">
        <f>SISWA!B45</f>
        <v>0</v>
      </c>
      <c r="D44" s="131" t="str">
        <f>SISWA!E45</f>
        <v>Anak 40</v>
      </c>
      <c r="E44" s="764">
        <f>'KI2'!BQ49</f>
        <v>0</v>
      </c>
      <c r="F44" s="764">
        <f>'KI2'!BR49</f>
        <v>0</v>
      </c>
      <c r="G44" s="764">
        <f>'KI2'!BS49</f>
        <v>0</v>
      </c>
      <c r="H44" s="764">
        <f>'KI2'!BT49</f>
        <v>0</v>
      </c>
      <c r="I44" s="764">
        <f>'KI2'!BU49</f>
        <v>0</v>
      </c>
      <c r="J44" s="764">
        <f>'KI2'!BV49</f>
        <v>0</v>
      </c>
      <c r="K44" s="764">
        <f>'KI2'!BW49</f>
        <v>0</v>
      </c>
      <c r="L44" s="764">
        <f>'KI2'!BX49</f>
        <v>0</v>
      </c>
      <c r="M44" s="764">
        <f>'KI2'!BY49</f>
        <v>0</v>
      </c>
      <c r="N44" s="764">
        <f>'KI2'!BZ49</f>
        <v>0</v>
      </c>
      <c r="O44" s="764">
        <f>'KI2'!CA49</f>
        <v>0</v>
      </c>
      <c r="P44" s="764">
        <f>'KI2'!CB49</f>
        <v>0</v>
      </c>
      <c r="Q44" s="764">
        <f>'KI2'!CC49</f>
        <v>0</v>
      </c>
      <c r="R44" s="764">
        <f>'KI2'!CD49</f>
        <v>0</v>
      </c>
      <c r="S44" s="765" t="str">
        <f t="shared" si="0"/>
        <v>Ananda Anak 40</v>
      </c>
      <c r="T44" s="827" t="str">
        <f t="shared" si="1"/>
        <v/>
      </c>
      <c r="U44" s="827" t="str">
        <f t="shared" si="2"/>
        <v xml:space="preserve">baik dalam sikap </v>
      </c>
      <c r="V44" s="827" t="str">
        <f t="shared" si="3"/>
        <v/>
      </c>
      <c r="W44" s="287" t="str">
        <f t="shared" si="4"/>
        <v xml:space="preserve">Ananda Anak 40 baik dalam sikap jujur, disiplin, tanggung jawab, santun, peduli, percaya diri, kerja sama, </v>
      </c>
      <c r="Y44" s="288" t="str">
        <f t="shared" si="5"/>
        <v>Ananda Anak 40</v>
      </c>
      <c r="Z44" s="289" t="str">
        <f t="shared" si="6"/>
        <v/>
      </c>
      <c r="AA44" s="289" t="str">
        <f t="shared" si="7"/>
        <v/>
      </c>
      <c r="AB44" s="289" t="str">
        <f t="shared" si="8"/>
        <v/>
      </c>
      <c r="AC44" s="289" t="str">
        <f t="shared" si="9"/>
        <v/>
      </c>
      <c r="AD44" s="289" t="str">
        <f t="shared" si="10"/>
        <v/>
      </c>
      <c r="AE44" s="289" t="str">
        <f t="shared" si="11"/>
        <v/>
      </c>
      <c r="AF44" s="289" t="str">
        <f t="shared" si="12"/>
        <v/>
      </c>
      <c r="AG44" s="289" t="str">
        <f t="shared" si="13"/>
        <v/>
      </c>
      <c r="AH44" s="290"/>
      <c r="AI44" s="289" t="str">
        <f t="shared" si="14"/>
        <v xml:space="preserve">baik dalam sikap </v>
      </c>
      <c r="AJ44" s="291" t="str">
        <f t="shared" si="15"/>
        <v xml:space="preserve">jujur, </v>
      </c>
      <c r="AK44" s="291" t="str">
        <f t="shared" si="16"/>
        <v xml:space="preserve">disiplin, </v>
      </c>
      <c r="AL44" s="291" t="str">
        <f t="shared" si="17"/>
        <v xml:space="preserve">tanggung jawab, </v>
      </c>
      <c r="AM44" s="291" t="str">
        <f t="shared" si="18"/>
        <v xml:space="preserve">santun, </v>
      </c>
      <c r="AN44" s="291" t="str">
        <f t="shared" si="19"/>
        <v xml:space="preserve">peduli, </v>
      </c>
      <c r="AO44" s="291" t="str">
        <f t="shared" si="20"/>
        <v xml:space="preserve">percaya diri, </v>
      </c>
      <c r="AP44" s="291" t="str">
        <f t="shared" si="21"/>
        <v xml:space="preserve">kerja sama, </v>
      </c>
      <c r="AQ44" s="290"/>
      <c r="AR44" s="289" t="str">
        <f t="shared" si="22"/>
        <v/>
      </c>
      <c r="AS44" s="289" t="str">
        <f t="shared" si="23"/>
        <v/>
      </c>
      <c r="AT44" s="289" t="str">
        <f t="shared" si="24"/>
        <v/>
      </c>
      <c r="AU44" s="289" t="str">
        <f t="shared" si="25"/>
        <v/>
      </c>
      <c r="AV44" s="289" t="str">
        <f t="shared" si="26"/>
        <v/>
      </c>
      <c r="AW44" s="289" t="str">
        <f t="shared" si="27"/>
        <v/>
      </c>
      <c r="AX44" s="289" t="str">
        <f t="shared" si="28"/>
        <v/>
      </c>
      <c r="AY44" s="289" t="str">
        <f t="shared" si="29"/>
        <v/>
      </c>
      <c r="AZ44" s="133" t="str">
        <f t="shared" si="30"/>
        <v xml:space="preserve"> </v>
      </c>
    </row>
    <row r="45" spans="1:52" ht="38.25" customHeight="1">
      <c r="A45" s="758"/>
      <c r="B45" s="129">
        <v>41</v>
      </c>
      <c r="C45" s="130">
        <f>SISWA!B46</f>
        <v>0</v>
      </c>
      <c r="D45" s="131" t="str">
        <f>SISWA!E46</f>
        <v>Anak 41</v>
      </c>
      <c r="E45" s="764">
        <f>'KI2'!BQ50</f>
        <v>0</v>
      </c>
      <c r="F45" s="764">
        <f>'KI2'!BR50</f>
        <v>0</v>
      </c>
      <c r="G45" s="764">
        <f>'KI2'!BS50</f>
        <v>0</v>
      </c>
      <c r="H45" s="764">
        <f>'KI2'!BT50</f>
        <v>0</v>
      </c>
      <c r="I45" s="764">
        <f>'KI2'!BU50</f>
        <v>0</v>
      </c>
      <c r="J45" s="764">
        <f>'KI2'!BV50</f>
        <v>0</v>
      </c>
      <c r="K45" s="764">
        <f>'KI2'!BW50</f>
        <v>0</v>
      </c>
      <c r="L45" s="764">
        <f>'KI2'!BX50</f>
        <v>0</v>
      </c>
      <c r="M45" s="764">
        <f>'KI2'!BY50</f>
        <v>0</v>
      </c>
      <c r="N45" s="764">
        <f>'KI2'!BZ50</f>
        <v>0</v>
      </c>
      <c r="O45" s="764">
        <f>'KI2'!CA50</f>
        <v>0</v>
      </c>
      <c r="P45" s="764">
        <f>'KI2'!CB50</f>
        <v>0</v>
      </c>
      <c r="Q45" s="764">
        <f>'KI2'!CC50</f>
        <v>0</v>
      </c>
      <c r="R45" s="764">
        <f>'KI2'!CD50</f>
        <v>0</v>
      </c>
      <c r="S45" s="765" t="str">
        <f t="shared" si="0"/>
        <v>Ananda Anak 41</v>
      </c>
      <c r="T45" s="827" t="str">
        <f t="shared" si="1"/>
        <v/>
      </c>
      <c r="U45" s="827" t="str">
        <f t="shared" si="2"/>
        <v xml:space="preserve">baik dalam sikap </v>
      </c>
      <c r="V45" s="827" t="str">
        <f t="shared" si="3"/>
        <v/>
      </c>
      <c r="W45" s="287" t="str">
        <f t="shared" si="4"/>
        <v xml:space="preserve">Ananda Anak 41 baik dalam sikap jujur, disiplin, tanggung jawab, santun, peduli, percaya diri, kerja sama, </v>
      </c>
      <c r="Y45" s="288" t="str">
        <f t="shared" si="5"/>
        <v>Ananda Anak 41</v>
      </c>
      <c r="Z45" s="289" t="str">
        <f t="shared" si="6"/>
        <v/>
      </c>
      <c r="AA45" s="289" t="str">
        <f t="shared" si="7"/>
        <v/>
      </c>
      <c r="AB45" s="289" t="str">
        <f t="shared" si="8"/>
        <v/>
      </c>
      <c r="AC45" s="289" t="str">
        <f t="shared" si="9"/>
        <v/>
      </c>
      <c r="AD45" s="289" t="str">
        <f t="shared" si="10"/>
        <v/>
      </c>
      <c r="AE45" s="289" t="str">
        <f t="shared" si="11"/>
        <v/>
      </c>
      <c r="AF45" s="289" t="str">
        <f t="shared" si="12"/>
        <v/>
      </c>
      <c r="AG45" s="289" t="str">
        <f t="shared" si="13"/>
        <v/>
      </c>
      <c r="AH45" s="290"/>
      <c r="AI45" s="289" t="str">
        <f t="shared" si="14"/>
        <v xml:space="preserve">baik dalam sikap </v>
      </c>
      <c r="AJ45" s="291" t="str">
        <f t="shared" si="15"/>
        <v xml:space="preserve">jujur, </v>
      </c>
      <c r="AK45" s="291" t="str">
        <f t="shared" si="16"/>
        <v xml:space="preserve">disiplin, </v>
      </c>
      <c r="AL45" s="291" t="str">
        <f t="shared" si="17"/>
        <v xml:space="preserve">tanggung jawab, </v>
      </c>
      <c r="AM45" s="291" t="str">
        <f t="shared" si="18"/>
        <v xml:space="preserve">santun, </v>
      </c>
      <c r="AN45" s="291" t="str">
        <f t="shared" si="19"/>
        <v xml:space="preserve">peduli, </v>
      </c>
      <c r="AO45" s="291" t="str">
        <f t="shared" si="20"/>
        <v xml:space="preserve">percaya diri, </v>
      </c>
      <c r="AP45" s="291" t="str">
        <f t="shared" si="21"/>
        <v xml:space="preserve">kerja sama, </v>
      </c>
      <c r="AQ45" s="290"/>
      <c r="AR45" s="289" t="str">
        <f t="shared" si="22"/>
        <v/>
      </c>
      <c r="AS45" s="289" t="str">
        <f t="shared" si="23"/>
        <v/>
      </c>
      <c r="AT45" s="289" t="str">
        <f t="shared" si="24"/>
        <v/>
      </c>
      <c r="AU45" s="289" t="str">
        <f t="shared" si="25"/>
        <v/>
      </c>
      <c r="AV45" s="289" t="str">
        <f t="shared" si="26"/>
        <v/>
      </c>
      <c r="AW45" s="289" t="str">
        <f t="shared" si="27"/>
        <v/>
      </c>
      <c r="AX45" s="289" t="str">
        <f t="shared" si="28"/>
        <v/>
      </c>
      <c r="AY45" s="289" t="str">
        <f t="shared" si="29"/>
        <v/>
      </c>
      <c r="AZ45" s="133" t="str">
        <f t="shared" si="30"/>
        <v xml:space="preserve"> </v>
      </c>
    </row>
    <row r="46" spans="1:52" ht="38.25" customHeight="1">
      <c r="A46" s="758"/>
      <c r="B46" s="134">
        <v>42</v>
      </c>
      <c r="C46" s="130">
        <f>SISWA!B47</f>
        <v>0</v>
      </c>
      <c r="D46" s="131" t="str">
        <f>SISWA!E47</f>
        <v>Anak 42</v>
      </c>
      <c r="E46" s="764">
        <f>'KI2'!BQ51</f>
        <v>0</v>
      </c>
      <c r="F46" s="764">
        <f>'KI2'!BR51</f>
        <v>0</v>
      </c>
      <c r="G46" s="764">
        <f>'KI2'!BS51</f>
        <v>0</v>
      </c>
      <c r="H46" s="764">
        <f>'KI2'!BT51</f>
        <v>0</v>
      </c>
      <c r="I46" s="764">
        <f>'KI2'!BU51</f>
        <v>0</v>
      </c>
      <c r="J46" s="764">
        <f>'KI2'!BV51</f>
        <v>0</v>
      </c>
      <c r="K46" s="764">
        <f>'KI2'!BW51</f>
        <v>0</v>
      </c>
      <c r="L46" s="764">
        <f>'KI2'!BX51</f>
        <v>0</v>
      </c>
      <c r="M46" s="764">
        <f>'KI2'!BY51</f>
        <v>0</v>
      </c>
      <c r="N46" s="764">
        <f>'KI2'!BZ51</f>
        <v>0</v>
      </c>
      <c r="O46" s="764">
        <f>'KI2'!CA51</f>
        <v>0</v>
      </c>
      <c r="P46" s="764">
        <f>'KI2'!CB51</f>
        <v>0</v>
      </c>
      <c r="Q46" s="764">
        <f>'KI2'!CC51</f>
        <v>0</v>
      </c>
      <c r="R46" s="764">
        <f>'KI2'!CD51</f>
        <v>0</v>
      </c>
      <c r="S46" s="765" t="str">
        <f t="shared" si="0"/>
        <v>Ananda Anak 42</v>
      </c>
      <c r="T46" s="827" t="str">
        <f t="shared" si="1"/>
        <v/>
      </c>
      <c r="U46" s="827" t="str">
        <f t="shared" si="2"/>
        <v xml:space="preserve">baik dalam sikap </v>
      </c>
      <c r="V46" s="827" t="str">
        <f t="shared" si="3"/>
        <v/>
      </c>
      <c r="W46" s="287" t="str">
        <f t="shared" si="4"/>
        <v xml:space="preserve">Ananda Anak 42 baik dalam sikap jujur, disiplin, tanggung jawab, santun, peduli, percaya diri, kerja sama, </v>
      </c>
      <c r="Y46" s="288" t="str">
        <f t="shared" si="5"/>
        <v>Ananda Anak 42</v>
      </c>
      <c r="Z46" s="289" t="str">
        <f t="shared" si="6"/>
        <v/>
      </c>
      <c r="AA46" s="289" t="str">
        <f t="shared" si="7"/>
        <v/>
      </c>
      <c r="AB46" s="289" t="str">
        <f t="shared" si="8"/>
        <v/>
      </c>
      <c r="AC46" s="289" t="str">
        <f t="shared" si="9"/>
        <v/>
      </c>
      <c r="AD46" s="289" t="str">
        <f t="shared" si="10"/>
        <v/>
      </c>
      <c r="AE46" s="289" t="str">
        <f t="shared" si="11"/>
        <v/>
      </c>
      <c r="AF46" s="289" t="str">
        <f t="shared" si="12"/>
        <v/>
      </c>
      <c r="AG46" s="289" t="str">
        <f t="shared" si="13"/>
        <v/>
      </c>
      <c r="AH46" s="290"/>
      <c r="AI46" s="289" t="str">
        <f t="shared" si="14"/>
        <v xml:space="preserve">baik dalam sikap </v>
      </c>
      <c r="AJ46" s="291" t="str">
        <f t="shared" si="15"/>
        <v xml:space="preserve">jujur, </v>
      </c>
      <c r="AK46" s="291" t="str">
        <f t="shared" si="16"/>
        <v xml:space="preserve">disiplin, </v>
      </c>
      <c r="AL46" s="291" t="str">
        <f t="shared" si="17"/>
        <v xml:space="preserve">tanggung jawab, </v>
      </c>
      <c r="AM46" s="291" t="str">
        <f t="shared" si="18"/>
        <v xml:space="preserve">santun, </v>
      </c>
      <c r="AN46" s="291" t="str">
        <f t="shared" si="19"/>
        <v xml:space="preserve">peduli, </v>
      </c>
      <c r="AO46" s="291" t="str">
        <f t="shared" si="20"/>
        <v xml:space="preserve">percaya diri, </v>
      </c>
      <c r="AP46" s="291" t="str">
        <f t="shared" si="21"/>
        <v xml:space="preserve">kerja sama, </v>
      </c>
      <c r="AQ46" s="290"/>
      <c r="AR46" s="289" t="str">
        <f t="shared" si="22"/>
        <v/>
      </c>
      <c r="AS46" s="289" t="str">
        <f t="shared" si="23"/>
        <v/>
      </c>
      <c r="AT46" s="289" t="str">
        <f t="shared" si="24"/>
        <v/>
      </c>
      <c r="AU46" s="289" t="str">
        <f t="shared" si="25"/>
        <v/>
      </c>
      <c r="AV46" s="289" t="str">
        <f t="shared" si="26"/>
        <v/>
      </c>
      <c r="AW46" s="289" t="str">
        <f t="shared" si="27"/>
        <v/>
      </c>
      <c r="AX46" s="289" t="str">
        <f t="shared" si="28"/>
        <v/>
      </c>
      <c r="AY46" s="289" t="str">
        <f t="shared" si="29"/>
        <v/>
      </c>
      <c r="AZ46" s="133" t="str">
        <f t="shared" si="30"/>
        <v xml:space="preserve"> </v>
      </c>
    </row>
    <row r="47" spans="1:52" ht="38.25" customHeight="1">
      <c r="A47" s="758"/>
      <c r="B47" s="129">
        <v>43</v>
      </c>
      <c r="C47" s="130">
        <f>SISWA!B48</f>
        <v>0</v>
      </c>
      <c r="D47" s="131" t="str">
        <f>SISWA!E48</f>
        <v>Anak 43</v>
      </c>
      <c r="E47" s="764">
        <f>'KI2'!BQ52</f>
        <v>0</v>
      </c>
      <c r="F47" s="764">
        <f>'KI2'!BR52</f>
        <v>0</v>
      </c>
      <c r="G47" s="764">
        <f>'KI2'!BS52</f>
        <v>0</v>
      </c>
      <c r="H47" s="764">
        <f>'KI2'!BT52</f>
        <v>0</v>
      </c>
      <c r="I47" s="764">
        <f>'KI2'!BU52</f>
        <v>0</v>
      </c>
      <c r="J47" s="764">
        <f>'KI2'!BV52</f>
        <v>0</v>
      </c>
      <c r="K47" s="764">
        <f>'KI2'!BW52</f>
        <v>0</v>
      </c>
      <c r="L47" s="764">
        <f>'KI2'!BX52</f>
        <v>0</v>
      </c>
      <c r="M47" s="764">
        <f>'KI2'!BY52</f>
        <v>0</v>
      </c>
      <c r="N47" s="764">
        <f>'KI2'!BZ52</f>
        <v>0</v>
      </c>
      <c r="O47" s="764">
        <f>'KI2'!CA52</f>
        <v>0</v>
      </c>
      <c r="P47" s="764">
        <f>'KI2'!CB52</f>
        <v>0</v>
      </c>
      <c r="Q47" s="764">
        <f>'KI2'!CC52</f>
        <v>0</v>
      </c>
      <c r="R47" s="764">
        <f>'KI2'!CD52</f>
        <v>0</v>
      </c>
      <c r="S47" s="765" t="str">
        <f t="shared" si="0"/>
        <v>Ananda Anak 43</v>
      </c>
      <c r="T47" s="827" t="str">
        <f t="shared" si="1"/>
        <v/>
      </c>
      <c r="U47" s="827" t="str">
        <f t="shared" si="2"/>
        <v xml:space="preserve">baik dalam sikap </v>
      </c>
      <c r="V47" s="827" t="str">
        <f t="shared" si="3"/>
        <v/>
      </c>
      <c r="W47" s="287" t="str">
        <f t="shared" si="4"/>
        <v xml:space="preserve">Ananda Anak 43 baik dalam sikap jujur, disiplin, tanggung jawab, santun, peduli, percaya diri, kerja sama, </v>
      </c>
      <c r="Y47" s="288" t="str">
        <f t="shared" si="5"/>
        <v>Ananda Anak 43</v>
      </c>
      <c r="Z47" s="289" t="str">
        <f t="shared" si="6"/>
        <v/>
      </c>
      <c r="AA47" s="289" t="str">
        <f t="shared" si="7"/>
        <v/>
      </c>
      <c r="AB47" s="289" t="str">
        <f t="shared" si="8"/>
        <v/>
      </c>
      <c r="AC47" s="289" t="str">
        <f t="shared" si="9"/>
        <v/>
      </c>
      <c r="AD47" s="289" t="str">
        <f t="shared" si="10"/>
        <v/>
      </c>
      <c r="AE47" s="289" t="str">
        <f t="shared" si="11"/>
        <v/>
      </c>
      <c r="AF47" s="289" t="str">
        <f t="shared" si="12"/>
        <v/>
      </c>
      <c r="AG47" s="289" t="str">
        <f t="shared" si="13"/>
        <v/>
      </c>
      <c r="AH47" s="290"/>
      <c r="AI47" s="289" t="str">
        <f t="shared" si="14"/>
        <v xml:space="preserve">baik dalam sikap </v>
      </c>
      <c r="AJ47" s="291" t="str">
        <f t="shared" si="15"/>
        <v xml:space="preserve">jujur, </v>
      </c>
      <c r="AK47" s="291" t="str">
        <f t="shared" si="16"/>
        <v xml:space="preserve">disiplin, </v>
      </c>
      <c r="AL47" s="291" t="str">
        <f t="shared" si="17"/>
        <v xml:space="preserve">tanggung jawab, </v>
      </c>
      <c r="AM47" s="291" t="str">
        <f t="shared" si="18"/>
        <v xml:space="preserve">santun, </v>
      </c>
      <c r="AN47" s="291" t="str">
        <f t="shared" si="19"/>
        <v xml:space="preserve">peduli, </v>
      </c>
      <c r="AO47" s="291" t="str">
        <f t="shared" si="20"/>
        <v xml:space="preserve">percaya diri, </v>
      </c>
      <c r="AP47" s="291" t="str">
        <f t="shared" si="21"/>
        <v xml:space="preserve">kerja sama, </v>
      </c>
      <c r="AQ47" s="290"/>
      <c r="AR47" s="289" t="str">
        <f t="shared" si="22"/>
        <v/>
      </c>
      <c r="AS47" s="289" t="str">
        <f t="shared" si="23"/>
        <v/>
      </c>
      <c r="AT47" s="289" t="str">
        <f t="shared" si="24"/>
        <v/>
      </c>
      <c r="AU47" s="289" t="str">
        <f t="shared" si="25"/>
        <v/>
      </c>
      <c r="AV47" s="289" t="str">
        <f t="shared" si="26"/>
        <v/>
      </c>
      <c r="AW47" s="289" t="str">
        <f t="shared" si="27"/>
        <v/>
      </c>
      <c r="AX47" s="289" t="str">
        <f t="shared" si="28"/>
        <v/>
      </c>
      <c r="AY47" s="289" t="str">
        <f t="shared" si="29"/>
        <v/>
      </c>
      <c r="AZ47" s="133" t="str">
        <f t="shared" si="30"/>
        <v xml:space="preserve"> </v>
      </c>
    </row>
    <row r="48" spans="1:52" ht="38.25" customHeight="1">
      <c r="A48" s="758"/>
      <c r="B48" s="134">
        <v>44</v>
      </c>
      <c r="C48" s="130">
        <f>SISWA!B49</f>
        <v>0</v>
      </c>
      <c r="D48" s="131" t="str">
        <f>SISWA!E49</f>
        <v>Anak 44</v>
      </c>
      <c r="E48" s="764">
        <f>'KI2'!BQ53</f>
        <v>0</v>
      </c>
      <c r="F48" s="764">
        <f>'KI2'!BR53</f>
        <v>0</v>
      </c>
      <c r="G48" s="764">
        <f>'KI2'!BS53</f>
        <v>0</v>
      </c>
      <c r="H48" s="764">
        <f>'KI2'!BT53</f>
        <v>0</v>
      </c>
      <c r="I48" s="764">
        <f>'KI2'!BU53</f>
        <v>0</v>
      </c>
      <c r="J48" s="764">
        <f>'KI2'!BV53</f>
        <v>0</v>
      </c>
      <c r="K48" s="764">
        <f>'KI2'!BW53</f>
        <v>0</v>
      </c>
      <c r="L48" s="764">
        <f>'KI2'!BX53</f>
        <v>0</v>
      </c>
      <c r="M48" s="764">
        <f>'KI2'!BY53</f>
        <v>0</v>
      </c>
      <c r="N48" s="764">
        <f>'KI2'!BZ53</f>
        <v>0</v>
      </c>
      <c r="O48" s="764">
        <f>'KI2'!CA53</f>
        <v>0</v>
      </c>
      <c r="P48" s="764">
        <f>'KI2'!CB53</f>
        <v>0</v>
      </c>
      <c r="Q48" s="764">
        <f>'KI2'!CC53</f>
        <v>0</v>
      </c>
      <c r="R48" s="764">
        <f>'KI2'!CD53</f>
        <v>0</v>
      </c>
      <c r="S48" s="765" t="str">
        <f t="shared" si="0"/>
        <v>Ananda Anak 44</v>
      </c>
      <c r="T48" s="827" t="str">
        <f t="shared" si="1"/>
        <v/>
      </c>
      <c r="U48" s="827" t="str">
        <f t="shared" si="2"/>
        <v xml:space="preserve">baik dalam sikap </v>
      </c>
      <c r="V48" s="827" t="str">
        <f t="shared" si="3"/>
        <v/>
      </c>
      <c r="W48" s="287" t="str">
        <f t="shared" si="4"/>
        <v xml:space="preserve">Ananda Anak 44 baik dalam sikap jujur, disiplin, tanggung jawab, santun, peduli, percaya diri, kerja sama, </v>
      </c>
      <c r="Y48" s="288" t="str">
        <f t="shared" si="5"/>
        <v>Ananda Anak 44</v>
      </c>
      <c r="Z48" s="289" t="str">
        <f t="shared" si="6"/>
        <v/>
      </c>
      <c r="AA48" s="289" t="str">
        <f t="shared" si="7"/>
        <v/>
      </c>
      <c r="AB48" s="289" t="str">
        <f t="shared" si="8"/>
        <v/>
      </c>
      <c r="AC48" s="289" t="str">
        <f t="shared" si="9"/>
        <v/>
      </c>
      <c r="AD48" s="289" t="str">
        <f t="shared" si="10"/>
        <v/>
      </c>
      <c r="AE48" s="289" t="str">
        <f t="shared" si="11"/>
        <v/>
      </c>
      <c r="AF48" s="289" t="str">
        <f t="shared" si="12"/>
        <v/>
      </c>
      <c r="AG48" s="289" t="str">
        <f t="shared" si="13"/>
        <v/>
      </c>
      <c r="AH48" s="290"/>
      <c r="AI48" s="289" t="str">
        <f t="shared" si="14"/>
        <v xml:space="preserve">baik dalam sikap </v>
      </c>
      <c r="AJ48" s="291" t="str">
        <f t="shared" si="15"/>
        <v xml:space="preserve">jujur, </v>
      </c>
      <c r="AK48" s="291" t="str">
        <f t="shared" si="16"/>
        <v xml:space="preserve">disiplin, </v>
      </c>
      <c r="AL48" s="291" t="str">
        <f t="shared" si="17"/>
        <v xml:space="preserve">tanggung jawab, </v>
      </c>
      <c r="AM48" s="291" t="str">
        <f t="shared" si="18"/>
        <v xml:space="preserve">santun, </v>
      </c>
      <c r="AN48" s="291" t="str">
        <f t="shared" si="19"/>
        <v xml:space="preserve">peduli, </v>
      </c>
      <c r="AO48" s="291" t="str">
        <f t="shared" si="20"/>
        <v xml:space="preserve">percaya diri, </v>
      </c>
      <c r="AP48" s="291" t="str">
        <f t="shared" si="21"/>
        <v xml:space="preserve">kerja sama, </v>
      </c>
      <c r="AQ48" s="290"/>
      <c r="AR48" s="289" t="str">
        <f t="shared" si="22"/>
        <v/>
      </c>
      <c r="AS48" s="289" t="str">
        <f t="shared" si="23"/>
        <v/>
      </c>
      <c r="AT48" s="289" t="str">
        <f t="shared" si="24"/>
        <v/>
      </c>
      <c r="AU48" s="289" t="str">
        <f t="shared" si="25"/>
        <v/>
      </c>
      <c r="AV48" s="289" t="str">
        <f t="shared" si="26"/>
        <v/>
      </c>
      <c r="AW48" s="289" t="str">
        <f t="shared" si="27"/>
        <v/>
      </c>
      <c r="AX48" s="289" t="str">
        <f t="shared" si="28"/>
        <v/>
      </c>
      <c r="AY48" s="289" t="str">
        <f t="shared" si="29"/>
        <v/>
      </c>
      <c r="AZ48" s="133" t="str">
        <f t="shared" si="30"/>
        <v xml:space="preserve"> </v>
      </c>
    </row>
    <row r="49" spans="1:52" ht="38.25" customHeight="1">
      <c r="A49" s="758"/>
      <c r="B49" s="129">
        <v>45</v>
      </c>
      <c r="C49" s="130">
        <f>SISWA!B50</f>
        <v>0</v>
      </c>
      <c r="D49" s="131" t="str">
        <f>SISWA!E50</f>
        <v>Anak 45</v>
      </c>
      <c r="E49" s="764">
        <f>'KI2'!BQ54</f>
        <v>0</v>
      </c>
      <c r="F49" s="764">
        <f>'KI2'!BR54</f>
        <v>0</v>
      </c>
      <c r="G49" s="764">
        <f>'KI2'!BS54</f>
        <v>0</v>
      </c>
      <c r="H49" s="764">
        <f>'KI2'!BT54</f>
        <v>0</v>
      </c>
      <c r="I49" s="764">
        <f>'KI2'!BU54</f>
        <v>0</v>
      </c>
      <c r="J49" s="764">
        <f>'KI2'!BV54</f>
        <v>0</v>
      </c>
      <c r="K49" s="764">
        <f>'KI2'!BW54</f>
        <v>0</v>
      </c>
      <c r="L49" s="764">
        <f>'KI2'!BX54</f>
        <v>0</v>
      </c>
      <c r="M49" s="764">
        <f>'KI2'!BY54</f>
        <v>0</v>
      </c>
      <c r="N49" s="764">
        <f>'KI2'!BZ54</f>
        <v>0</v>
      </c>
      <c r="O49" s="764">
        <f>'KI2'!CA54</f>
        <v>0</v>
      </c>
      <c r="P49" s="764">
        <f>'KI2'!CB54</f>
        <v>0</v>
      </c>
      <c r="Q49" s="764">
        <f>'KI2'!CC54</f>
        <v>0</v>
      </c>
      <c r="R49" s="764">
        <f>'KI2'!CD54</f>
        <v>0</v>
      </c>
      <c r="S49" s="765" t="str">
        <f t="shared" si="0"/>
        <v>Ananda Anak 45</v>
      </c>
      <c r="T49" s="827" t="str">
        <f t="shared" si="1"/>
        <v/>
      </c>
      <c r="U49" s="827" t="str">
        <f t="shared" si="2"/>
        <v xml:space="preserve">baik dalam sikap </v>
      </c>
      <c r="V49" s="827" t="str">
        <f t="shared" si="3"/>
        <v/>
      </c>
      <c r="W49" s="287" t="str">
        <f t="shared" si="4"/>
        <v xml:space="preserve">Ananda Anak 45 baik dalam sikap jujur, disiplin, tanggung jawab, santun, peduli, percaya diri, kerja sama, </v>
      </c>
      <c r="Y49" s="288" t="str">
        <f t="shared" si="5"/>
        <v>Ananda Anak 45</v>
      </c>
      <c r="Z49" s="289" t="str">
        <f t="shared" si="6"/>
        <v/>
      </c>
      <c r="AA49" s="289" t="str">
        <f t="shared" si="7"/>
        <v/>
      </c>
      <c r="AB49" s="289" t="str">
        <f t="shared" si="8"/>
        <v/>
      </c>
      <c r="AC49" s="289" t="str">
        <f t="shared" si="9"/>
        <v/>
      </c>
      <c r="AD49" s="289" t="str">
        <f t="shared" si="10"/>
        <v/>
      </c>
      <c r="AE49" s="289" t="str">
        <f t="shared" si="11"/>
        <v/>
      </c>
      <c r="AF49" s="289" t="str">
        <f t="shared" si="12"/>
        <v/>
      </c>
      <c r="AG49" s="289" t="str">
        <f t="shared" si="13"/>
        <v/>
      </c>
      <c r="AH49" s="290"/>
      <c r="AI49" s="289" t="str">
        <f t="shared" si="14"/>
        <v xml:space="preserve">baik dalam sikap </v>
      </c>
      <c r="AJ49" s="291" t="str">
        <f t="shared" si="15"/>
        <v xml:space="preserve">jujur, </v>
      </c>
      <c r="AK49" s="291" t="str">
        <f t="shared" si="16"/>
        <v xml:space="preserve">disiplin, </v>
      </c>
      <c r="AL49" s="291" t="str">
        <f t="shared" si="17"/>
        <v xml:space="preserve">tanggung jawab, </v>
      </c>
      <c r="AM49" s="291" t="str">
        <f t="shared" si="18"/>
        <v xml:space="preserve">santun, </v>
      </c>
      <c r="AN49" s="291" t="str">
        <f t="shared" si="19"/>
        <v xml:space="preserve">peduli, </v>
      </c>
      <c r="AO49" s="291" t="str">
        <f t="shared" si="20"/>
        <v xml:space="preserve">percaya diri, </v>
      </c>
      <c r="AP49" s="291" t="str">
        <f t="shared" si="21"/>
        <v xml:space="preserve">kerja sama, </v>
      </c>
      <c r="AQ49" s="290"/>
      <c r="AR49" s="289" t="str">
        <f t="shared" si="22"/>
        <v/>
      </c>
      <c r="AS49" s="289" t="str">
        <f t="shared" si="23"/>
        <v/>
      </c>
      <c r="AT49" s="289" t="str">
        <f t="shared" si="24"/>
        <v/>
      </c>
      <c r="AU49" s="289" t="str">
        <f t="shared" si="25"/>
        <v/>
      </c>
      <c r="AV49" s="289" t="str">
        <f t="shared" si="26"/>
        <v/>
      </c>
      <c r="AW49" s="289" t="str">
        <f t="shared" si="27"/>
        <v/>
      </c>
      <c r="AX49" s="289" t="str">
        <f t="shared" si="28"/>
        <v/>
      </c>
      <c r="AY49" s="289" t="str">
        <f t="shared" si="29"/>
        <v/>
      </c>
      <c r="AZ49" s="133" t="str">
        <f t="shared" si="30"/>
        <v xml:space="preserve"> </v>
      </c>
    </row>
    <row r="50" spans="1:52" ht="38.25" customHeight="1">
      <c r="A50" s="758"/>
      <c r="B50" s="134">
        <v>46</v>
      </c>
      <c r="C50" s="130">
        <f>SISWA!B51</f>
        <v>0</v>
      </c>
      <c r="D50" s="131" t="str">
        <f>SISWA!E51</f>
        <v>Anak 46</v>
      </c>
      <c r="E50" s="764">
        <f>'KI2'!BQ55</f>
        <v>0</v>
      </c>
      <c r="F50" s="764">
        <f>'KI2'!BR55</f>
        <v>0</v>
      </c>
      <c r="G50" s="764">
        <f>'KI2'!BS55</f>
        <v>0</v>
      </c>
      <c r="H50" s="764">
        <f>'KI2'!BT55</f>
        <v>0</v>
      </c>
      <c r="I50" s="764">
        <f>'KI2'!BU55</f>
        <v>0</v>
      </c>
      <c r="J50" s="764">
        <f>'KI2'!BV55</f>
        <v>0</v>
      </c>
      <c r="K50" s="764">
        <f>'KI2'!BW55</f>
        <v>0</v>
      </c>
      <c r="L50" s="764">
        <f>'KI2'!BX55</f>
        <v>0</v>
      </c>
      <c r="M50" s="764">
        <f>'KI2'!BY55</f>
        <v>0</v>
      </c>
      <c r="N50" s="764">
        <f>'KI2'!BZ55</f>
        <v>0</v>
      </c>
      <c r="O50" s="764">
        <f>'KI2'!CA55</f>
        <v>0</v>
      </c>
      <c r="P50" s="764">
        <f>'KI2'!CB55</f>
        <v>0</v>
      </c>
      <c r="Q50" s="764">
        <f>'KI2'!CC55</f>
        <v>0</v>
      </c>
      <c r="R50" s="764">
        <f>'KI2'!CD55</f>
        <v>0</v>
      </c>
      <c r="S50" s="765" t="str">
        <f t="shared" si="0"/>
        <v>Ananda Anak 46</v>
      </c>
      <c r="T50" s="827" t="str">
        <f t="shared" si="1"/>
        <v/>
      </c>
      <c r="U50" s="827" t="str">
        <f t="shared" si="2"/>
        <v xml:space="preserve">baik dalam sikap </v>
      </c>
      <c r="V50" s="827" t="str">
        <f t="shared" si="3"/>
        <v/>
      </c>
      <c r="W50" s="287" t="str">
        <f t="shared" si="4"/>
        <v xml:space="preserve">Ananda Anak 46 baik dalam sikap jujur, disiplin, tanggung jawab, santun, peduli, percaya diri, kerja sama, </v>
      </c>
      <c r="Y50" s="288" t="str">
        <f t="shared" si="5"/>
        <v>Ananda Anak 46</v>
      </c>
      <c r="Z50" s="289" t="str">
        <f t="shared" si="6"/>
        <v/>
      </c>
      <c r="AA50" s="289" t="str">
        <f t="shared" si="7"/>
        <v/>
      </c>
      <c r="AB50" s="289" t="str">
        <f t="shared" si="8"/>
        <v/>
      </c>
      <c r="AC50" s="289" t="str">
        <f t="shared" si="9"/>
        <v/>
      </c>
      <c r="AD50" s="289" t="str">
        <f t="shared" si="10"/>
        <v/>
      </c>
      <c r="AE50" s="289" t="str">
        <f t="shared" si="11"/>
        <v/>
      </c>
      <c r="AF50" s="289" t="str">
        <f t="shared" si="12"/>
        <v/>
      </c>
      <c r="AG50" s="289" t="str">
        <f t="shared" si="13"/>
        <v/>
      </c>
      <c r="AH50" s="290"/>
      <c r="AI50" s="289" t="str">
        <f t="shared" si="14"/>
        <v xml:space="preserve">baik dalam sikap </v>
      </c>
      <c r="AJ50" s="291" t="str">
        <f t="shared" si="15"/>
        <v xml:space="preserve">jujur, </v>
      </c>
      <c r="AK50" s="291" t="str">
        <f t="shared" si="16"/>
        <v xml:space="preserve">disiplin, </v>
      </c>
      <c r="AL50" s="291" t="str">
        <f t="shared" si="17"/>
        <v xml:space="preserve">tanggung jawab, </v>
      </c>
      <c r="AM50" s="291" t="str">
        <f t="shared" si="18"/>
        <v xml:space="preserve">santun, </v>
      </c>
      <c r="AN50" s="291" t="str">
        <f t="shared" si="19"/>
        <v xml:space="preserve">peduli, </v>
      </c>
      <c r="AO50" s="291" t="str">
        <f t="shared" si="20"/>
        <v xml:space="preserve">percaya diri, </v>
      </c>
      <c r="AP50" s="291" t="str">
        <f t="shared" si="21"/>
        <v xml:space="preserve">kerja sama, </v>
      </c>
      <c r="AQ50" s="290"/>
      <c r="AR50" s="289" t="str">
        <f t="shared" si="22"/>
        <v/>
      </c>
      <c r="AS50" s="289" t="str">
        <f t="shared" si="23"/>
        <v/>
      </c>
      <c r="AT50" s="289" t="str">
        <f t="shared" si="24"/>
        <v/>
      </c>
      <c r="AU50" s="289" t="str">
        <f t="shared" si="25"/>
        <v/>
      </c>
      <c r="AV50" s="289" t="str">
        <f t="shared" si="26"/>
        <v/>
      </c>
      <c r="AW50" s="289" t="str">
        <f t="shared" si="27"/>
        <v/>
      </c>
      <c r="AX50" s="289" t="str">
        <f t="shared" si="28"/>
        <v/>
      </c>
      <c r="AY50" s="289" t="str">
        <f t="shared" si="29"/>
        <v/>
      </c>
      <c r="AZ50" s="133" t="str">
        <f t="shared" si="30"/>
        <v xml:space="preserve"> </v>
      </c>
    </row>
    <row r="51" spans="1:52" ht="38.25" customHeight="1">
      <c r="A51" s="758"/>
      <c r="B51" s="129">
        <v>47</v>
      </c>
      <c r="C51" s="130">
        <f>SISWA!B52</f>
        <v>0</v>
      </c>
      <c r="D51" s="131" t="str">
        <f>SISWA!E52</f>
        <v>Anak 47</v>
      </c>
      <c r="E51" s="764">
        <f>'KI2'!BQ56</f>
        <v>0</v>
      </c>
      <c r="F51" s="764">
        <f>'KI2'!BR56</f>
        <v>0</v>
      </c>
      <c r="G51" s="764">
        <f>'KI2'!BS56</f>
        <v>0</v>
      </c>
      <c r="H51" s="764">
        <f>'KI2'!BT56</f>
        <v>0</v>
      </c>
      <c r="I51" s="764">
        <f>'KI2'!BU56</f>
        <v>0</v>
      </c>
      <c r="J51" s="764">
        <f>'KI2'!BV56</f>
        <v>0</v>
      </c>
      <c r="K51" s="764">
        <f>'KI2'!BW56</f>
        <v>0</v>
      </c>
      <c r="L51" s="764">
        <f>'KI2'!BX56</f>
        <v>0</v>
      </c>
      <c r="M51" s="764">
        <f>'KI2'!BY56</f>
        <v>0</v>
      </c>
      <c r="N51" s="764">
        <f>'KI2'!BZ56</f>
        <v>0</v>
      </c>
      <c r="O51" s="764">
        <f>'KI2'!CA56</f>
        <v>0</v>
      </c>
      <c r="P51" s="764">
        <f>'KI2'!CB56</f>
        <v>0</v>
      </c>
      <c r="Q51" s="764">
        <f>'KI2'!CC56</f>
        <v>0</v>
      </c>
      <c r="R51" s="764">
        <f>'KI2'!CD56</f>
        <v>0</v>
      </c>
      <c r="S51" s="765" t="str">
        <f t="shared" si="0"/>
        <v>Ananda Anak 47</v>
      </c>
      <c r="T51" s="827" t="str">
        <f t="shared" si="1"/>
        <v/>
      </c>
      <c r="U51" s="827" t="str">
        <f t="shared" si="2"/>
        <v xml:space="preserve">baik dalam sikap </v>
      </c>
      <c r="V51" s="827" t="str">
        <f t="shared" si="3"/>
        <v/>
      </c>
      <c r="W51" s="287" t="str">
        <f t="shared" si="4"/>
        <v xml:space="preserve">Ananda Anak 47 baik dalam sikap jujur, disiplin, tanggung jawab, santun, peduli, percaya diri, kerja sama, </v>
      </c>
      <c r="Y51" s="288" t="str">
        <f t="shared" si="5"/>
        <v>Ananda Anak 47</v>
      </c>
      <c r="Z51" s="289" t="str">
        <f t="shared" si="6"/>
        <v/>
      </c>
      <c r="AA51" s="289" t="str">
        <f t="shared" si="7"/>
        <v/>
      </c>
      <c r="AB51" s="289" t="str">
        <f t="shared" si="8"/>
        <v/>
      </c>
      <c r="AC51" s="289" t="str">
        <f t="shared" si="9"/>
        <v/>
      </c>
      <c r="AD51" s="289" t="str">
        <f t="shared" si="10"/>
        <v/>
      </c>
      <c r="AE51" s="289" t="str">
        <f t="shared" si="11"/>
        <v/>
      </c>
      <c r="AF51" s="289" t="str">
        <f t="shared" si="12"/>
        <v/>
      </c>
      <c r="AG51" s="289" t="str">
        <f t="shared" si="13"/>
        <v/>
      </c>
      <c r="AH51" s="290"/>
      <c r="AI51" s="289" t="str">
        <f t="shared" si="14"/>
        <v xml:space="preserve">baik dalam sikap </v>
      </c>
      <c r="AJ51" s="291" t="str">
        <f t="shared" si="15"/>
        <v xml:space="preserve">jujur, </v>
      </c>
      <c r="AK51" s="291" t="str">
        <f t="shared" si="16"/>
        <v xml:space="preserve">disiplin, </v>
      </c>
      <c r="AL51" s="291" t="str">
        <f t="shared" si="17"/>
        <v xml:space="preserve">tanggung jawab, </v>
      </c>
      <c r="AM51" s="291" t="str">
        <f t="shared" si="18"/>
        <v xml:space="preserve">santun, </v>
      </c>
      <c r="AN51" s="291" t="str">
        <f t="shared" si="19"/>
        <v xml:space="preserve">peduli, </v>
      </c>
      <c r="AO51" s="291" t="str">
        <f t="shared" si="20"/>
        <v xml:space="preserve">percaya diri, </v>
      </c>
      <c r="AP51" s="291" t="str">
        <f t="shared" si="21"/>
        <v xml:space="preserve">kerja sama, </v>
      </c>
      <c r="AQ51" s="290"/>
      <c r="AR51" s="289" t="str">
        <f t="shared" si="22"/>
        <v/>
      </c>
      <c r="AS51" s="289" t="str">
        <f t="shared" si="23"/>
        <v/>
      </c>
      <c r="AT51" s="289" t="str">
        <f t="shared" si="24"/>
        <v/>
      </c>
      <c r="AU51" s="289" t="str">
        <f t="shared" si="25"/>
        <v/>
      </c>
      <c r="AV51" s="289" t="str">
        <f t="shared" si="26"/>
        <v/>
      </c>
      <c r="AW51" s="289" t="str">
        <f t="shared" si="27"/>
        <v/>
      </c>
      <c r="AX51" s="289" t="str">
        <f t="shared" si="28"/>
        <v/>
      </c>
      <c r="AY51" s="289" t="str">
        <f t="shared" si="29"/>
        <v/>
      </c>
      <c r="AZ51" s="133" t="str">
        <f t="shared" si="30"/>
        <v xml:space="preserve"> </v>
      </c>
    </row>
    <row r="52" spans="1:52" ht="38.25" customHeight="1">
      <c r="A52" s="758"/>
      <c r="B52" s="134">
        <v>48</v>
      </c>
      <c r="C52" s="130">
        <f>SISWA!B53</f>
        <v>0</v>
      </c>
      <c r="D52" s="131" t="str">
        <f>SISWA!E53</f>
        <v>Anak 48</v>
      </c>
      <c r="E52" s="764">
        <f>'KI2'!BQ57</f>
        <v>0</v>
      </c>
      <c r="F52" s="764">
        <f>'KI2'!BR57</f>
        <v>0</v>
      </c>
      <c r="G52" s="764">
        <f>'KI2'!BS57</f>
        <v>0</v>
      </c>
      <c r="H52" s="764">
        <f>'KI2'!BT57</f>
        <v>0</v>
      </c>
      <c r="I52" s="764">
        <f>'KI2'!BU57</f>
        <v>0</v>
      </c>
      <c r="J52" s="764">
        <f>'KI2'!BV57</f>
        <v>0</v>
      </c>
      <c r="K52" s="764">
        <f>'KI2'!BW57</f>
        <v>0</v>
      </c>
      <c r="L52" s="764">
        <f>'KI2'!BX57</f>
        <v>0</v>
      </c>
      <c r="M52" s="764">
        <f>'KI2'!BY57</f>
        <v>0</v>
      </c>
      <c r="N52" s="764">
        <f>'KI2'!BZ57</f>
        <v>0</v>
      </c>
      <c r="O52" s="764">
        <f>'KI2'!CA57</f>
        <v>0</v>
      </c>
      <c r="P52" s="764">
        <f>'KI2'!CB57</f>
        <v>0</v>
      </c>
      <c r="Q52" s="764">
        <f>'KI2'!CC57</f>
        <v>0</v>
      </c>
      <c r="R52" s="764">
        <f>'KI2'!CD57</f>
        <v>0</v>
      </c>
      <c r="S52" s="765" t="str">
        <f t="shared" si="0"/>
        <v>Ananda Anak 48</v>
      </c>
      <c r="T52" s="827" t="str">
        <f t="shared" si="1"/>
        <v/>
      </c>
      <c r="U52" s="827" t="str">
        <f t="shared" si="2"/>
        <v xml:space="preserve">baik dalam sikap </v>
      </c>
      <c r="V52" s="827" t="str">
        <f t="shared" si="3"/>
        <v/>
      </c>
      <c r="W52" s="287" t="str">
        <f t="shared" si="4"/>
        <v xml:space="preserve">Ananda Anak 48 baik dalam sikap jujur, disiplin, tanggung jawab, santun, peduli, percaya diri, kerja sama, </v>
      </c>
      <c r="Y52" s="288" t="str">
        <f t="shared" si="5"/>
        <v>Ananda Anak 48</v>
      </c>
      <c r="Z52" s="289" t="str">
        <f t="shared" si="6"/>
        <v/>
      </c>
      <c r="AA52" s="289" t="str">
        <f t="shared" si="7"/>
        <v/>
      </c>
      <c r="AB52" s="289" t="str">
        <f t="shared" si="8"/>
        <v/>
      </c>
      <c r="AC52" s="289" t="str">
        <f t="shared" si="9"/>
        <v/>
      </c>
      <c r="AD52" s="289" t="str">
        <f t="shared" si="10"/>
        <v/>
      </c>
      <c r="AE52" s="289" t="str">
        <f t="shared" si="11"/>
        <v/>
      </c>
      <c r="AF52" s="289" t="str">
        <f t="shared" si="12"/>
        <v/>
      </c>
      <c r="AG52" s="289" t="str">
        <f t="shared" si="13"/>
        <v/>
      </c>
      <c r="AH52" s="290"/>
      <c r="AI52" s="289" t="str">
        <f t="shared" si="14"/>
        <v xml:space="preserve">baik dalam sikap </v>
      </c>
      <c r="AJ52" s="291" t="str">
        <f t="shared" si="15"/>
        <v xml:space="preserve">jujur, </v>
      </c>
      <c r="AK52" s="291" t="str">
        <f t="shared" si="16"/>
        <v xml:space="preserve">disiplin, </v>
      </c>
      <c r="AL52" s="291" t="str">
        <f t="shared" si="17"/>
        <v xml:space="preserve">tanggung jawab, </v>
      </c>
      <c r="AM52" s="291" t="str">
        <f t="shared" si="18"/>
        <v xml:space="preserve">santun, </v>
      </c>
      <c r="AN52" s="291" t="str">
        <f t="shared" si="19"/>
        <v xml:space="preserve">peduli, </v>
      </c>
      <c r="AO52" s="291" t="str">
        <f t="shared" si="20"/>
        <v xml:space="preserve">percaya diri, </v>
      </c>
      <c r="AP52" s="291" t="str">
        <f t="shared" si="21"/>
        <v xml:space="preserve">kerja sama, </v>
      </c>
      <c r="AQ52" s="290"/>
      <c r="AR52" s="289" t="str">
        <f t="shared" si="22"/>
        <v/>
      </c>
      <c r="AS52" s="289" t="str">
        <f t="shared" si="23"/>
        <v/>
      </c>
      <c r="AT52" s="289" t="str">
        <f t="shared" si="24"/>
        <v/>
      </c>
      <c r="AU52" s="289" t="str">
        <f t="shared" si="25"/>
        <v/>
      </c>
      <c r="AV52" s="289" t="str">
        <f t="shared" si="26"/>
        <v/>
      </c>
      <c r="AW52" s="289" t="str">
        <f t="shared" si="27"/>
        <v/>
      </c>
      <c r="AX52" s="289" t="str">
        <f t="shared" si="28"/>
        <v/>
      </c>
      <c r="AY52" s="289" t="str">
        <f t="shared" si="29"/>
        <v/>
      </c>
      <c r="AZ52" s="133" t="str">
        <f t="shared" si="30"/>
        <v xml:space="preserve"> </v>
      </c>
    </row>
    <row r="53" spans="1:52" ht="38.25" customHeight="1">
      <c r="A53" s="758"/>
      <c r="B53" s="129">
        <v>49</v>
      </c>
      <c r="C53" s="130">
        <f>SISWA!B54</f>
        <v>0</v>
      </c>
      <c r="D53" s="131" t="str">
        <f>SISWA!E54</f>
        <v>Anak 49</v>
      </c>
      <c r="E53" s="764">
        <f>'KI2'!BQ58</f>
        <v>0</v>
      </c>
      <c r="F53" s="764">
        <f>'KI2'!BR58</f>
        <v>0</v>
      </c>
      <c r="G53" s="764">
        <f>'KI2'!BS58</f>
        <v>0</v>
      </c>
      <c r="H53" s="764">
        <f>'KI2'!BT58</f>
        <v>0</v>
      </c>
      <c r="I53" s="764">
        <f>'KI2'!BU58</f>
        <v>0</v>
      </c>
      <c r="J53" s="764">
        <f>'KI2'!BV58</f>
        <v>0</v>
      </c>
      <c r="K53" s="764">
        <f>'KI2'!BW58</f>
        <v>0</v>
      </c>
      <c r="L53" s="764">
        <f>'KI2'!BX58</f>
        <v>0</v>
      </c>
      <c r="M53" s="764">
        <f>'KI2'!BY58</f>
        <v>0</v>
      </c>
      <c r="N53" s="764">
        <f>'KI2'!BZ58</f>
        <v>0</v>
      </c>
      <c r="O53" s="764">
        <f>'KI2'!CA58</f>
        <v>0</v>
      </c>
      <c r="P53" s="764">
        <f>'KI2'!CB58</f>
        <v>0</v>
      </c>
      <c r="Q53" s="764">
        <f>'KI2'!CC58</f>
        <v>0</v>
      </c>
      <c r="R53" s="764">
        <f>'KI2'!CD58</f>
        <v>0</v>
      </c>
      <c r="S53" s="765" t="str">
        <f t="shared" si="0"/>
        <v>Ananda Anak 49</v>
      </c>
      <c r="T53" s="827" t="str">
        <f t="shared" si="1"/>
        <v/>
      </c>
      <c r="U53" s="827" t="str">
        <f t="shared" si="2"/>
        <v xml:space="preserve">baik dalam sikap </v>
      </c>
      <c r="V53" s="827" t="str">
        <f t="shared" si="3"/>
        <v/>
      </c>
      <c r="W53" s="287" t="str">
        <f t="shared" si="4"/>
        <v xml:space="preserve">Ananda Anak 49 baik dalam sikap jujur, disiplin, tanggung jawab, santun, peduli, percaya diri, kerja sama, </v>
      </c>
      <c r="Y53" s="288" t="str">
        <f t="shared" si="5"/>
        <v>Ananda Anak 49</v>
      </c>
      <c r="Z53" s="289" t="str">
        <f t="shared" si="6"/>
        <v/>
      </c>
      <c r="AA53" s="289" t="str">
        <f t="shared" si="7"/>
        <v/>
      </c>
      <c r="AB53" s="289" t="str">
        <f t="shared" si="8"/>
        <v/>
      </c>
      <c r="AC53" s="289" t="str">
        <f t="shared" si="9"/>
        <v/>
      </c>
      <c r="AD53" s="289" t="str">
        <f t="shared" si="10"/>
        <v/>
      </c>
      <c r="AE53" s="289" t="str">
        <f t="shared" si="11"/>
        <v/>
      </c>
      <c r="AF53" s="289" t="str">
        <f t="shared" si="12"/>
        <v/>
      </c>
      <c r="AG53" s="289" t="str">
        <f t="shared" si="13"/>
        <v/>
      </c>
      <c r="AH53" s="290"/>
      <c r="AI53" s="289" t="str">
        <f t="shared" si="14"/>
        <v xml:space="preserve">baik dalam sikap </v>
      </c>
      <c r="AJ53" s="291" t="str">
        <f t="shared" si="15"/>
        <v xml:space="preserve">jujur, </v>
      </c>
      <c r="AK53" s="291" t="str">
        <f t="shared" si="16"/>
        <v xml:space="preserve">disiplin, </v>
      </c>
      <c r="AL53" s="291" t="str">
        <f t="shared" si="17"/>
        <v xml:space="preserve">tanggung jawab, </v>
      </c>
      <c r="AM53" s="291" t="str">
        <f t="shared" si="18"/>
        <v xml:space="preserve">santun, </v>
      </c>
      <c r="AN53" s="291" t="str">
        <f t="shared" si="19"/>
        <v xml:space="preserve">peduli, </v>
      </c>
      <c r="AO53" s="291" t="str">
        <f t="shared" si="20"/>
        <v xml:space="preserve">percaya diri, </v>
      </c>
      <c r="AP53" s="291" t="str">
        <f t="shared" si="21"/>
        <v xml:space="preserve">kerja sama, </v>
      </c>
      <c r="AQ53" s="290"/>
      <c r="AR53" s="289" t="str">
        <f t="shared" si="22"/>
        <v/>
      </c>
      <c r="AS53" s="289" t="str">
        <f t="shared" si="23"/>
        <v/>
      </c>
      <c r="AT53" s="289" t="str">
        <f t="shared" si="24"/>
        <v/>
      </c>
      <c r="AU53" s="289" t="str">
        <f t="shared" si="25"/>
        <v/>
      </c>
      <c r="AV53" s="289" t="str">
        <f t="shared" si="26"/>
        <v/>
      </c>
      <c r="AW53" s="289" t="str">
        <f t="shared" si="27"/>
        <v/>
      </c>
      <c r="AX53" s="289" t="str">
        <f t="shared" si="28"/>
        <v/>
      </c>
      <c r="AY53" s="289" t="str">
        <f t="shared" si="29"/>
        <v/>
      </c>
      <c r="AZ53" s="133" t="str">
        <f t="shared" si="30"/>
        <v xml:space="preserve"> </v>
      </c>
    </row>
    <row r="54" spans="1:52" ht="38.25" customHeight="1">
      <c r="A54" s="758"/>
      <c r="B54" s="134">
        <v>50</v>
      </c>
      <c r="C54" s="130">
        <f>SISWA!B55</f>
        <v>0</v>
      </c>
      <c r="D54" s="131" t="str">
        <f>SISWA!E55</f>
        <v>Anak 50</v>
      </c>
      <c r="E54" s="764">
        <f>'KI2'!BQ59</f>
        <v>0</v>
      </c>
      <c r="F54" s="764">
        <f>'KI2'!BR59</f>
        <v>0</v>
      </c>
      <c r="G54" s="764">
        <f>'KI2'!BS59</f>
        <v>0</v>
      </c>
      <c r="H54" s="764">
        <f>'KI2'!BT59</f>
        <v>0</v>
      </c>
      <c r="I54" s="764">
        <f>'KI2'!BU59</f>
        <v>0</v>
      </c>
      <c r="J54" s="764">
        <f>'KI2'!BV59</f>
        <v>0</v>
      </c>
      <c r="K54" s="764">
        <f>'KI2'!BW59</f>
        <v>0</v>
      </c>
      <c r="L54" s="764">
        <f>'KI2'!BX59</f>
        <v>0</v>
      </c>
      <c r="M54" s="764">
        <f>'KI2'!BY59</f>
        <v>0</v>
      </c>
      <c r="N54" s="764">
        <f>'KI2'!BZ59</f>
        <v>0</v>
      </c>
      <c r="O54" s="764">
        <f>'KI2'!CA59</f>
        <v>0</v>
      </c>
      <c r="P54" s="764">
        <f>'KI2'!CB59</f>
        <v>0</v>
      </c>
      <c r="Q54" s="764">
        <f>'KI2'!CC59</f>
        <v>0</v>
      </c>
      <c r="R54" s="764">
        <f>'KI2'!CD59</f>
        <v>0</v>
      </c>
      <c r="S54" s="765" t="str">
        <f t="shared" si="0"/>
        <v>Ananda Anak 50</v>
      </c>
      <c r="T54" s="827" t="str">
        <f t="shared" si="1"/>
        <v/>
      </c>
      <c r="U54" s="827" t="str">
        <f t="shared" si="2"/>
        <v xml:space="preserve">baik dalam sikap </v>
      </c>
      <c r="V54" s="827" t="str">
        <f t="shared" si="3"/>
        <v/>
      </c>
      <c r="W54" s="287" t="str">
        <f t="shared" si="4"/>
        <v xml:space="preserve">Ananda Anak 50 baik dalam sikap jujur, disiplin, tanggung jawab, santun, peduli, percaya diri, kerja sama, </v>
      </c>
      <c r="Y54" s="288" t="str">
        <f t="shared" si="5"/>
        <v>Ananda Anak 50</v>
      </c>
      <c r="Z54" s="289" t="str">
        <f t="shared" si="6"/>
        <v/>
      </c>
      <c r="AA54" s="289" t="str">
        <f t="shared" si="7"/>
        <v/>
      </c>
      <c r="AB54" s="289" t="str">
        <f t="shared" si="8"/>
        <v/>
      </c>
      <c r="AC54" s="289" t="str">
        <f t="shared" si="9"/>
        <v/>
      </c>
      <c r="AD54" s="289" t="str">
        <f t="shared" si="10"/>
        <v/>
      </c>
      <c r="AE54" s="289" t="str">
        <f t="shared" si="11"/>
        <v/>
      </c>
      <c r="AF54" s="289" t="str">
        <f t="shared" si="12"/>
        <v/>
      </c>
      <c r="AG54" s="289" t="str">
        <f t="shared" si="13"/>
        <v/>
      </c>
      <c r="AH54" s="290"/>
      <c r="AI54" s="289" t="str">
        <f t="shared" si="14"/>
        <v xml:space="preserve">baik dalam sikap </v>
      </c>
      <c r="AJ54" s="291" t="str">
        <f t="shared" si="15"/>
        <v xml:space="preserve">jujur, </v>
      </c>
      <c r="AK54" s="291" t="str">
        <f t="shared" si="16"/>
        <v xml:space="preserve">disiplin, </v>
      </c>
      <c r="AL54" s="291" t="str">
        <f t="shared" si="17"/>
        <v xml:space="preserve">tanggung jawab, </v>
      </c>
      <c r="AM54" s="291" t="str">
        <f t="shared" si="18"/>
        <v xml:space="preserve">santun, </v>
      </c>
      <c r="AN54" s="291" t="str">
        <f t="shared" si="19"/>
        <v xml:space="preserve">peduli, </v>
      </c>
      <c r="AO54" s="291" t="str">
        <f t="shared" si="20"/>
        <v xml:space="preserve">percaya diri, </v>
      </c>
      <c r="AP54" s="291" t="str">
        <f t="shared" si="21"/>
        <v xml:space="preserve">kerja sama, </v>
      </c>
      <c r="AQ54" s="290"/>
      <c r="AR54" s="289" t="str">
        <f t="shared" si="22"/>
        <v/>
      </c>
      <c r="AS54" s="289" t="str">
        <f t="shared" si="23"/>
        <v/>
      </c>
      <c r="AT54" s="289" t="str">
        <f t="shared" si="24"/>
        <v/>
      </c>
      <c r="AU54" s="289" t="str">
        <f t="shared" si="25"/>
        <v/>
      </c>
      <c r="AV54" s="289" t="str">
        <f t="shared" si="26"/>
        <v/>
      </c>
      <c r="AW54" s="289" t="str">
        <f t="shared" si="27"/>
        <v/>
      </c>
      <c r="AX54" s="289" t="str">
        <f t="shared" si="28"/>
        <v/>
      </c>
      <c r="AY54" s="289" t="str">
        <f t="shared" si="29"/>
        <v/>
      </c>
      <c r="AZ54" s="133" t="str">
        <f t="shared" si="30"/>
        <v xml:space="preserve"> </v>
      </c>
    </row>
  </sheetData>
  <sheetProtection password="C70C" sheet="1" objects="1" scenarios="1"/>
  <mergeCells count="18">
    <mergeCell ref="B1:W1"/>
    <mergeCell ref="Z3:AG3"/>
    <mergeCell ref="Q3:R3"/>
    <mergeCell ref="AI3:AP3"/>
    <mergeCell ref="AR3:AY3"/>
    <mergeCell ref="BA1:BB4"/>
    <mergeCell ref="B2:W2"/>
    <mergeCell ref="B3:B4"/>
    <mergeCell ref="C3:C4"/>
    <mergeCell ref="D3:D4"/>
    <mergeCell ref="E3:F3"/>
    <mergeCell ref="G3:H3"/>
    <mergeCell ref="I3:J3"/>
    <mergeCell ref="K3:L3"/>
    <mergeCell ref="M3:N3"/>
    <mergeCell ref="O3:P3"/>
    <mergeCell ref="W3:W4"/>
    <mergeCell ref="S3:V4"/>
  </mergeCells>
  <dataValidations xWindow="659" yWindow="404" count="3">
    <dataValidation allowBlank="1" showInputMessage="1" showErrorMessage="1" promptTitle="INFO" prompt="ini merupakan hasil rekapan sikap siswa yg berkaitan dgn sikap di atas dlm satu semester" sqref="E5:R54"/>
    <dataValidation allowBlank="1" showErrorMessage="1" sqref="V5:V54 S5:T54"/>
    <dataValidation allowBlank="1" sqref="U5:U54"/>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88"/>
  <sheetViews>
    <sheetView workbookViewId="0"/>
  </sheetViews>
  <sheetFormatPr defaultColWidth="0" defaultRowHeight="15" zeroHeight="1"/>
  <cols>
    <col min="1" max="1" width="9.140625" style="750" customWidth="1"/>
    <col min="2" max="2" width="5.85546875" customWidth="1"/>
    <col min="3" max="3" width="25.42578125" customWidth="1"/>
    <col min="4" max="37" width="4.5703125" customWidth="1"/>
    <col min="38" max="38" width="9.140625" customWidth="1"/>
    <col min="39" max="40" width="0" hidden="1" customWidth="1"/>
    <col min="41" max="16384" width="9.140625" hidden="1"/>
  </cols>
  <sheetData>
    <row r="1" spans="2:37"/>
    <row r="2" spans="2:37" ht="21">
      <c r="B2" s="1006" t="s">
        <v>2</v>
      </c>
      <c r="C2" s="1006" t="s">
        <v>965</v>
      </c>
      <c r="D2" s="1007" t="s">
        <v>966</v>
      </c>
      <c r="E2" s="1007"/>
      <c r="F2" s="1007"/>
      <c r="G2" s="1007"/>
      <c r="H2" s="1007"/>
      <c r="I2" s="1007"/>
      <c r="J2" s="1007"/>
      <c r="K2" s="1007"/>
      <c r="L2" s="1007"/>
      <c r="M2" s="1007"/>
      <c r="N2" s="1007"/>
      <c r="O2" s="1007"/>
      <c r="P2" s="1007"/>
      <c r="Q2" s="1007"/>
      <c r="R2" s="1007"/>
      <c r="S2" s="1007"/>
      <c r="T2" s="1007"/>
      <c r="U2" s="1007"/>
      <c r="V2" s="1007"/>
      <c r="W2" s="1007"/>
      <c r="X2" s="1007"/>
      <c r="Y2" s="1007"/>
      <c r="Z2" s="1007"/>
      <c r="AA2" s="1007"/>
      <c r="AB2" s="1007"/>
      <c r="AC2" s="1007"/>
      <c r="AD2" s="1007"/>
      <c r="AE2" s="1007"/>
      <c r="AF2" s="1007"/>
      <c r="AG2" s="1007"/>
      <c r="AH2" s="1007"/>
      <c r="AI2" s="1007"/>
      <c r="AJ2" s="1007"/>
      <c r="AK2" s="1007"/>
    </row>
    <row r="3" spans="2:37">
      <c r="B3" s="1006"/>
      <c r="C3" s="1006"/>
      <c r="D3" s="733">
        <v>1</v>
      </c>
      <c r="E3" s="733">
        <v>2</v>
      </c>
      <c r="F3" s="733">
        <v>3</v>
      </c>
      <c r="G3" s="733">
        <v>4</v>
      </c>
      <c r="H3" s="733">
        <v>5</v>
      </c>
      <c r="I3" s="733">
        <v>6</v>
      </c>
      <c r="J3" s="733">
        <v>7</v>
      </c>
      <c r="K3" s="733">
        <v>8</v>
      </c>
      <c r="L3" s="733">
        <v>9</v>
      </c>
      <c r="M3" s="733">
        <v>10</v>
      </c>
      <c r="N3" s="733">
        <v>11</v>
      </c>
      <c r="O3" s="733">
        <v>12</v>
      </c>
      <c r="P3" s="733">
        <v>13</v>
      </c>
      <c r="Q3" s="733">
        <v>14</v>
      </c>
      <c r="R3" s="733">
        <v>15</v>
      </c>
      <c r="S3" s="733">
        <v>16</v>
      </c>
      <c r="T3" s="733">
        <v>17</v>
      </c>
      <c r="U3" s="733">
        <v>18</v>
      </c>
      <c r="V3" s="733">
        <v>19</v>
      </c>
      <c r="W3" s="733">
        <v>20</v>
      </c>
      <c r="X3" s="733">
        <v>21</v>
      </c>
      <c r="Y3" s="733">
        <v>22</v>
      </c>
      <c r="Z3" s="733">
        <v>23</v>
      </c>
      <c r="AA3" s="733">
        <v>24</v>
      </c>
      <c r="AB3" s="733">
        <v>25</v>
      </c>
      <c r="AC3" s="733">
        <v>26</v>
      </c>
      <c r="AD3" s="733">
        <v>27</v>
      </c>
      <c r="AE3" s="733">
        <v>28</v>
      </c>
      <c r="AF3" s="733">
        <v>29</v>
      </c>
      <c r="AG3" s="733">
        <v>30</v>
      </c>
      <c r="AH3" s="733">
        <v>31</v>
      </c>
      <c r="AI3" s="733" t="s">
        <v>967</v>
      </c>
      <c r="AJ3" s="733" t="s">
        <v>884</v>
      </c>
      <c r="AK3" s="733" t="s">
        <v>968</v>
      </c>
    </row>
    <row r="4" spans="2:37">
      <c r="B4" s="724">
        <v>1</v>
      </c>
      <c r="C4" s="734" t="str">
        <f>SISWA!E6</f>
        <v>Anak 1</v>
      </c>
      <c r="D4" s="735"/>
      <c r="E4" s="736" t="s">
        <v>661</v>
      </c>
      <c r="F4" s="736" t="s">
        <v>661</v>
      </c>
      <c r="G4" s="736" t="s">
        <v>661</v>
      </c>
      <c r="H4" s="736" t="s">
        <v>661</v>
      </c>
      <c r="I4" s="735"/>
      <c r="J4" s="736" t="s">
        <v>661</v>
      </c>
      <c r="K4" s="736" t="s">
        <v>661</v>
      </c>
      <c r="L4" s="736" t="s">
        <v>661</v>
      </c>
      <c r="M4" s="736" t="s">
        <v>661</v>
      </c>
      <c r="N4" s="736" t="s">
        <v>661</v>
      </c>
      <c r="O4" s="736" t="s">
        <v>661</v>
      </c>
      <c r="P4" s="735"/>
      <c r="Q4" s="736" t="s">
        <v>661</v>
      </c>
      <c r="R4" s="736" t="s">
        <v>661</v>
      </c>
      <c r="S4" s="736" t="s">
        <v>661</v>
      </c>
      <c r="T4" s="736" t="s">
        <v>661</v>
      </c>
      <c r="U4" s="736" t="s">
        <v>661</v>
      </c>
      <c r="V4" s="736" t="s">
        <v>661</v>
      </c>
      <c r="W4" s="735"/>
      <c r="X4" s="736" t="s">
        <v>661</v>
      </c>
      <c r="Y4" s="736" t="s">
        <v>661</v>
      </c>
      <c r="Z4" s="736" t="s">
        <v>661</v>
      </c>
      <c r="AA4" s="736" t="s">
        <v>661</v>
      </c>
      <c r="AB4" s="736" t="s">
        <v>661</v>
      </c>
      <c r="AC4" s="736" t="s">
        <v>661</v>
      </c>
      <c r="AD4" s="735"/>
      <c r="AE4" s="736" t="s">
        <v>661</v>
      </c>
      <c r="AF4" s="736" t="s">
        <v>661</v>
      </c>
      <c r="AG4" s="736" t="s">
        <v>661</v>
      </c>
      <c r="AH4" s="736" t="s">
        <v>661</v>
      </c>
      <c r="AI4" s="749">
        <f>COUNTIF(D4:AH4,"S")</f>
        <v>0</v>
      </c>
      <c r="AJ4" s="749">
        <f>COUNTIF(D4:AH4,"I")</f>
        <v>0</v>
      </c>
      <c r="AK4" s="749">
        <f>COUNTIF(D4:AH4,"A")</f>
        <v>0</v>
      </c>
    </row>
    <row r="5" spans="2:37">
      <c r="B5" s="724">
        <v>2</v>
      </c>
      <c r="C5" s="734" t="str">
        <f>SISWA!E7</f>
        <v>Anak 2</v>
      </c>
      <c r="D5" s="735"/>
      <c r="E5" s="736" t="s">
        <v>661</v>
      </c>
      <c r="F5" s="736" t="s">
        <v>661</v>
      </c>
      <c r="G5" s="736" t="s">
        <v>661</v>
      </c>
      <c r="H5" s="736" t="s">
        <v>661</v>
      </c>
      <c r="I5" s="735"/>
      <c r="J5" s="736" t="s">
        <v>661</v>
      </c>
      <c r="K5" s="736" t="s">
        <v>661</v>
      </c>
      <c r="L5" s="736" t="s">
        <v>661</v>
      </c>
      <c r="M5" s="736" t="s">
        <v>661</v>
      </c>
      <c r="N5" s="736" t="s">
        <v>661</v>
      </c>
      <c r="O5" s="736" t="s">
        <v>661</v>
      </c>
      <c r="P5" s="735"/>
      <c r="Q5" s="736" t="s">
        <v>967</v>
      </c>
      <c r="R5" s="736" t="s">
        <v>967</v>
      </c>
      <c r="S5" s="736" t="s">
        <v>967</v>
      </c>
      <c r="T5" s="736" t="s">
        <v>661</v>
      </c>
      <c r="U5" s="736" t="s">
        <v>661</v>
      </c>
      <c r="V5" s="736" t="s">
        <v>661</v>
      </c>
      <c r="W5" s="735"/>
      <c r="X5" s="736" t="s">
        <v>661</v>
      </c>
      <c r="Y5" s="736" t="s">
        <v>661</v>
      </c>
      <c r="Z5" s="736" t="s">
        <v>661</v>
      </c>
      <c r="AA5" s="736" t="s">
        <v>661</v>
      </c>
      <c r="AB5" s="736" t="s">
        <v>661</v>
      </c>
      <c r="AC5" s="736" t="s">
        <v>661</v>
      </c>
      <c r="AD5" s="735"/>
      <c r="AE5" s="736" t="s">
        <v>661</v>
      </c>
      <c r="AF5" s="736" t="s">
        <v>661</v>
      </c>
      <c r="AG5" s="736" t="s">
        <v>661</v>
      </c>
      <c r="AH5" s="736" t="s">
        <v>661</v>
      </c>
      <c r="AI5" s="749">
        <f t="shared" ref="AI5:AI31" si="0">COUNTIF(D5:AH5,"S")</f>
        <v>3</v>
      </c>
      <c r="AJ5" s="749">
        <f t="shared" ref="AJ5:AJ31" si="1">COUNTIF(D5:AH5,"I")</f>
        <v>0</v>
      </c>
      <c r="AK5" s="749">
        <f t="shared" ref="AK5:AK31" si="2">COUNTIF(D5:AH5,"A")</f>
        <v>0</v>
      </c>
    </row>
    <row r="6" spans="2:37">
      <c r="B6" s="724">
        <v>3</v>
      </c>
      <c r="C6" s="734" t="str">
        <f>SISWA!E8</f>
        <v>Anak 3</v>
      </c>
      <c r="D6" s="735"/>
      <c r="E6" s="736" t="s">
        <v>661</v>
      </c>
      <c r="F6" s="736" t="s">
        <v>661</v>
      </c>
      <c r="G6" s="736" t="s">
        <v>661</v>
      </c>
      <c r="H6" s="736" t="s">
        <v>661</v>
      </c>
      <c r="I6" s="735"/>
      <c r="J6" s="736" t="s">
        <v>661</v>
      </c>
      <c r="K6" s="736" t="s">
        <v>661</v>
      </c>
      <c r="L6" s="736" t="s">
        <v>661</v>
      </c>
      <c r="M6" s="736" t="s">
        <v>661</v>
      </c>
      <c r="N6" s="736" t="s">
        <v>661</v>
      </c>
      <c r="O6" s="736" t="s">
        <v>661</v>
      </c>
      <c r="P6" s="735"/>
      <c r="Q6" s="736" t="s">
        <v>661</v>
      </c>
      <c r="R6" s="736" t="s">
        <v>661</v>
      </c>
      <c r="S6" s="736" t="s">
        <v>661</v>
      </c>
      <c r="T6" s="736" t="s">
        <v>661</v>
      </c>
      <c r="U6" s="736" t="s">
        <v>661</v>
      </c>
      <c r="V6" s="736" t="s">
        <v>661</v>
      </c>
      <c r="W6" s="735"/>
      <c r="X6" s="736" t="s">
        <v>661</v>
      </c>
      <c r="Y6" s="736" t="s">
        <v>661</v>
      </c>
      <c r="Z6" s="736" t="s">
        <v>661</v>
      </c>
      <c r="AA6" s="736" t="s">
        <v>661</v>
      </c>
      <c r="AB6" s="736" t="s">
        <v>661</v>
      </c>
      <c r="AC6" s="736" t="s">
        <v>661</v>
      </c>
      <c r="AD6" s="735"/>
      <c r="AE6" s="736" t="s">
        <v>661</v>
      </c>
      <c r="AF6" s="736" t="s">
        <v>661</v>
      </c>
      <c r="AG6" s="736" t="s">
        <v>661</v>
      </c>
      <c r="AH6" s="736" t="s">
        <v>661</v>
      </c>
      <c r="AI6" s="749">
        <f t="shared" si="0"/>
        <v>0</v>
      </c>
      <c r="AJ6" s="749">
        <f t="shared" si="1"/>
        <v>0</v>
      </c>
      <c r="AK6" s="749">
        <f t="shared" si="2"/>
        <v>0</v>
      </c>
    </row>
    <row r="7" spans="2:37">
      <c r="B7" s="724">
        <v>4</v>
      </c>
      <c r="C7" s="734" t="str">
        <f>SISWA!E9</f>
        <v>Anak 4</v>
      </c>
      <c r="D7" s="735"/>
      <c r="E7" s="736" t="s">
        <v>661</v>
      </c>
      <c r="F7" s="736" t="s">
        <v>661</v>
      </c>
      <c r="G7" s="736" t="s">
        <v>661</v>
      </c>
      <c r="H7" s="736" t="s">
        <v>661</v>
      </c>
      <c r="I7" s="735"/>
      <c r="J7" s="736" t="s">
        <v>661</v>
      </c>
      <c r="K7" s="736" t="s">
        <v>661</v>
      </c>
      <c r="L7" s="736" t="s">
        <v>661</v>
      </c>
      <c r="M7" s="736" t="s">
        <v>661</v>
      </c>
      <c r="N7" s="736" t="s">
        <v>661</v>
      </c>
      <c r="O7" s="736" t="s">
        <v>661</v>
      </c>
      <c r="P7" s="735"/>
      <c r="Q7" s="736" t="s">
        <v>661</v>
      </c>
      <c r="R7" s="736" t="s">
        <v>661</v>
      </c>
      <c r="S7" s="736" t="s">
        <v>661</v>
      </c>
      <c r="T7" s="736" t="s">
        <v>661</v>
      </c>
      <c r="U7" s="736" t="s">
        <v>661</v>
      </c>
      <c r="V7" s="736" t="s">
        <v>661</v>
      </c>
      <c r="W7" s="735"/>
      <c r="X7" s="736" t="s">
        <v>661</v>
      </c>
      <c r="Y7" s="736" t="s">
        <v>661</v>
      </c>
      <c r="Z7" s="736" t="s">
        <v>661</v>
      </c>
      <c r="AA7" s="736" t="s">
        <v>661</v>
      </c>
      <c r="AB7" s="736" t="s">
        <v>661</v>
      </c>
      <c r="AC7" s="736" t="s">
        <v>661</v>
      </c>
      <c r="AD7" s="735"/>
      <c r="AE7" s="736" t="s">
        <v>661</v>
      </c>
      <c r="AF7" s="736" t="s">
        <v>661</v>
      </c>
      <c r="AG7" s="736" t="s">
        <v>661</v>
      </c>
      <c r="AH7" s="736" t="s">
        <v>661</v>
      </c>
      <c r="AI7" s="749">
        <f t="shared" si="0"/>
        <v>0</v>
      </c>
      <c r="AJ7" s="749">
        <f t="shared" si="1"/>
        <v>0</v>
      </c>
      <c r="AK7" s="749">
        <f t="shared" si="2"/>
        <v>0</v>
      </c>
    </row>
    <row r="8" spans="2:37">
      <c r="B8" s="724">
        <v>5</v>
      </c>
      <c r="C8" s="734" t="str">
        <f>SISWA!E10</f>
        <v>Anak 5</v>
      </c>
      <c r="D8" s="735"/>
      <c r="E8" s="736" t="s">
        <v>661</v>
      </c>
      <c r="F8" s="736" t="s">
        <v>661</v>
      </c>
      <c r="G8" s="736" t="s">
        <v>661</v>
      </c>
      <c r="H8" s="736" t="s">
        <v>661</v>
      </c>
      <c r="I8" s="735"/>
      <c r="J8" s="736" t="s">
        <v>661</v>
      </c>
      <c r="K8" s="736" t="s">
        <v>661</v>
      </c>
      <c r="L8" s="736" t="s">
        <v>661</v>
      </c>
      <c r="M8" s="736" t="s">
        <v>661</v>
      </c>
      <c r="N8" s="736" t="s">
        <v>661</v>
      </c>
      <c r="O8" s="736" t="s">
        <v>967</v>
      </c>
      <c r="P8" s="735"/>
      <c r="Q8" s="736" t="s">
        <v>661</v>
      </c>
      <c r="R8" s="736" t="s">
        <v>661</v>
      </c>
      <c r="S8" s="736" t="s">
        <v>661</v>
      </c>
      <c r="T8" s="736" t="s">
        <v>661</v>
      </c>
      <c r="U8" s="736" t="s">
        <v>661</v>
      </c>
      <c r="V8" s="736" t="s">
        <v>661</v>
      </c>
      <c r="W8" s="735"/>
      <c r="X8" s="736" t="s">
        <v>661</v>
      </c>
      <c r="Y8" s="736" t="s">
        <v>661</v>
      </c>
      <c r="Z8" s="736" t="s">
        <v>661</v>
      </c>
      <c r="AA8" s="736" t="s">
        <v>661</v>
      </c>
      <c r="AB8" s="736" t="s">
        <v>661</v>
      </c>
      <c r="AC8" s="736" t="s">
        <v>661</v>
      </c>
      <c r="AD8" s="735"/>
      <c r="AE8" s="736" t="s">
        <v>661</v>
      </c>
      <c r="AF8" s="736" t="s">
        <v>661</v>
      </c>
      <c r="AG8" s="736" t="s">
        <v>661</v>
      </c>
      <c r="AH8" s="736" t="s">
        <v>661</v>
      </c>
      <c r="AI8" s="749">
        <f t="shared" si="0"/>
        <v>1</v>
      </c>
      <c r="AJ8" s="749">
        <f t="shared" si="1"/>
        <v>0</v>
      </c>
      <c r="AK8" s="749">
        <f t="shared" si="2"/>
        <v>0</v>
      </c>
    </row>
    <row r="9" spans="2:37">
      <c r="B9" s="724">
        <v>6</v>
      </c>
      <c r="C9" s="734" t="str">
        <f>SISWA!E11</f>
        <v>Anak 6</v>
      </c>
      <c r="D9" s="735"/>
      <c r="E9" s="736" t="s">
        <v>661</v>
      </c>
      <c r="F9" s="736" t="s">
        <v>661</v>
      </c>
      <c r="G9" s="736" t="s">
        <v>661</v>
      </c>
      <c r="H9" s="736" t="s">
        <v>661</v>
      </c>
      <c r="I9" s="735"/>
      <c r="J9" s="736" t="s">
        <v>661</v>
      </c>
      <c r="K9" s="736" t="s">
        <v>661</v>
      </c>
      <c r="L9" s="736" t="s">
        <v>661</v>
      </c>
      <c r="M9" s="736" t="s">
        <v>661</v>
      </c>
      <c r="N9" s="736" t="s">
        <v>661</v>
      </c>
      <c r="O9" s="736" t="s">
        <v>661</v>
      </c>
      <c r="P9" s="735"/>
      <c r="Q9" s="736" t="s">
        <v>661</v>
      </c>
      <c r="R9" s="736" t="s">
        <v>661</v>
      </c>
      <c r="S9" s="736" t="s">
        <v>661</v>
      </c>
      <c r="T9" s="736" t="s">
        <v>661</v>
      </c>
      <c r="U9" s="736" t="s">
        <v>661</v>
      </c>
      <c r="V9" s="736" t="s">
        <v>661</v>
      </c>
      <c r="W9" s="735"/>
      <c r="X9" s="736" t="s">
        <v>661</v>
      </c>
      <c r="Y9" s="736" t="s">
        <v>661</v>
      </c>
      <c r="Z9" s="736" t="s">
        <v>661</v>
      </c>
      <c r="AA9" s="736" t="s">
        <v>661</v>
      </c>
      <c r="AB9" s="736" t="s">
        <v>661</v>
      </c>
      <c r="AC9" s="736" t="s">
        <v>661</v>
      </c>
      <c r="AD9" s="735"/>
      <c r="AE9" s="736" t="s">
        <v>661</v>
      </c>
      <c r="AF9" s="736" t="s">
        <v>661</v>
      </c>
      <c r="AG9" s="736" t="s">
        <v>661</v>
      </c>
      <c r="AH9" s="736" t="s">
        <v>661</v>
      </c>
      <c r="AI9" s="749">
        <f t="shared" si="0"/>
        <v>0</v>
      </c>
      <c r="AJ9" s="749">
        <f t="shared" si="1"/>
        <v>0</v>
      </c>
      <c r="AK9" s="749">
        <f t="shared" si="2"/>
        <v>0</v>
      </c>
    </row>
    <row r="10" spans="2:37">
      <c r="B10" s="724">
        <v>7</v>
      </c>
      <c r="C10" s="734" t="str">
        <f>SISWA!E12</f>
        <v>Anak 7</v>
      </c>
      <c r="D10" s="735"/>
      <c r="E10" s="736" t="s">
        <v>661</v>
      </c>
      <c r="F10" s="736" t="s">
        <v>661</v>
      </c>
      <c r="G10" s="736" t="s">
        <v>661</v>
      </c>
      <c r="H10" s="736" t="s">
        <v>661</v>
      </c>
      <c r="I10" s="735"/>
      <c r="J10" s="736" t="s">
        <v>661</v>
      </c>
      <c r="K10" s="736" t="s">
        <v>661</v>
      </c>
      <c r="L10" s="736" t="s">
        <v>661</v>
      </c>
      <c r="M10" s="736" t="s">
        <v>661</v>
      </c>
      <c r="N10" s="736" t="s">
        <v>661</v>
      </c>
      <c r="O10" s="736" t="s">
        <v>661</v>
      </c>
      <c r="P10" s="735"/>
      <c r="Q10" s="736" t="s">
        <v>661</v>
      </c>
      <c r="R10" s="736" t="s">
        <v>661</v>
      </c>
      <c r="S10" s="736" t="s">
        <v>661</v>
      </c>
      <c r="T10" s="736" t="s">
        <v>661</v>
      </c>
      <c r="U10" s="736" t="s">
        <v>661</v>
      </c>
      <c r="V10" s="736" t="s">
        <v>661</v>
      </c>
      <c r="W10" s="735"/>
      <c r="X10" s="736" t="s">
        <v>661</v>
      </c>
      <c r="Y10" s="736" t="s">
        <v>661</v>
      </c>
      <c r="Z10" s="736" t="s">
        <v>661</v>
      </c>
      <c r="AA10" s="736" t="s">
        <v>661</v>
      </c>
      <c r="AB10" s="736" t="s">
        <v>661</v>
      </c>
      <c r="AC10" s="736" t="s">
        <v>661</v>
      </c>
      <c r="AD10" s="735"/>
      <c r="AE10" s="736" t="s">
        <v>661</v>
      </c>
      <c r="AF10" s="736" t="s">
        <v>661</v>
      </c>
      <c r="AG10" s="736" t="s">
        <v>661</v>
      </c>
      <c r="AH10" s="736" t="s">
        <v>661</v>
      </c>
      <c r="AI10" s="749">
        <f t="shared" si="0"/>
        <v>0</v>
      </c>
      <c r="AJ10" s="749">
        <f t="shared" si="1"/>
        <v>0</v>
      </c>
      <c r="AK10" s="749">
        <f t="shared" si="2"/>
        <v>0</v>
      </c>
    </row>
    <row r="11" spans="2:37">
      <c r="B11" s="724">
        <v>8</v>
      </c>
      <c r="C11" s="734" t="str">
        <f>SISWA!E13</f>
        <v>Anak 8</v>
      </c>
      <c r="D11" s="735"/>
      <c r="E11" s="736" t="s">
        <v>661</v>
      </c>
      <c r="F11" s="736" t="s">
        <v>661</v>
      </c>
      <c r="G11" s="736" t="s">
        <v>661</v>
      </c>
      <c r="H11" s="736" t="s">
        <v>661</v>
      </c>
      <c r="I11" s="735"/>
      <c r="J11" s="736" t="s">
        <v>661</v>
      </c>
      <c r="K11" s="736" t="s">
        <v>661</v>
      </c>
      <c r="L11" s="736" t="s">
        <v>661</v>
      </c>
      <c r="M11" s="736" t="s">
        <v>661</v>
      </c>
      <c r="N11" s="736" t="s">
        <v>661</v>
      </c>
      <c r="O11" s="736" t="s">
        <v>661</v>
      </c>
      <c r="P11" s="735"/>
      <c r="Q11" s="736" t="s">
        <v>661</v>
      </c>
      <c r="R11" s="736" t="s">
        <v>661</v>
      </c>
      <c r="S11" s="736" t="s">
        <v>661</v>
      </c>
      <c r="T11" s="736" t="s">
        <v>661</v>
      </c>
      <c r="U11" s="736" t="s">
        <v>661</v>
      </c>
      <c r="V11" s="736" t="s">
        <v>661</v>
      </c>
      <c r="W11" s="735"/>
      <c r="X11" s="736" t="s">
        <v>661</v>
      </c>
      <c r="Y11" s="736" t="s">
        <v>661</v>
      </c>
      <c r="Z11" s="736" t="s">
        <v>661</v>
      </c>
      <c r="AA11" s="736" t="s">
        <v>661</v>
      </c>
      <c r="AB11" s="736" t="s">
        <v>661</v>
      </c>
      <c r="AC11" s="736" t="s">
        <v>661</v>
      </c>
      <c r="AD11" s="735"/>
      <c r="AE11" s="736" t="s">
        <v>661</v>
      </c>
      <c r="AF11" s="736" t="s">
        <v>661</v>
      </c>
      <c r="AG11" s="736" t="s">
        <v>661</v>
      </c>
      <c r="AH11" s="736" t="s">
        <v>661</v>
      </c>
      <c r="AI11" s="749">
        <f t="shared" si="0"/>
        <v>0</v>
      </c>
      <c r="AJ11" s="749">
        <f t="shared" si="1"/>
        <v>0</v>
      </c>
      <c r="AK11" s="749">
        <f t="shared" si="2"/>
        <v>0</v>
      </c>
    </row>
    <row r="12" spans="2:37">
      <c r="B12" s="724">
        <v>9</v>
      </c>
      <c r="C12" s="734" t="str">
        <f>SISWA!E14</f>
        <v>Anak 9</v>
      </c>
      <c r="D12" s="735"/>
      <c r="E12" s="736" t="s">
        <v>661</v>
      </c>
      <c r="F12" s="736" t="s">
        <v>661</v>
      </c>
      <c r="G12" s="736" t="s">
        <v>661</v>
      </c>
      <c r="H12" s="736" t="s">
        <v>661</v>
      </c>
      <c r="I12" s="735"/>
      <c r="J12" s="736" t="s">
        <v>661</v>
      </c>
      <c r="K12" s="736" t="s">
        <v>661</v>
      </c>
      <c r="L12" s="736" t="s">
        <v>661</v>
      </c>
      <c r="M12" s="736" t="s">
        <v>661</v>
      </c>
      <c r="N12" s="736" t="s">
        <v>661</v>
      </c>
      <c r="O12" s="736" t="s">
        <v>968</v>
      </c>
      <c r="P12" s="735"/>
      <c r="Q12" s="736" t="s">
        <v>661</v>
      </c>
      <c r="R12" s="736" t="s">
        <v>661</v>
      </c>
      <c r="S12" s="736" t="s">
        <v>661</v>
      </c>
      <c r="T12" s="736" t="s">
        <v>661</v>
      </c>
      <c r="U12" s="736" t="s">
        <v>661</v>
      </c>
      <c r="V12" s="736" t="s">
        <v>661</v>
      </c>
      <c r="W12" s="735"/>
      <c r="X12" s="736" t="s">
        <v>661</v>
      </c>
      <c r="Y12" s="736" t="s">
        <v>661</v>
      </c>
      <c r="Z12" s="736" t="s">
        <v>661</v>
      </c>
      <c r="AA12" s="736" t="s">
        <v>661</v>
      </c>
      <c r="AB12" s="736" t="s">
        <v>661</v>
      </c>
      <c r="AC12" s="736" t="s">
        <v>661</v>
      </c>
      <c r="AD12" s="735"/>
      <c r="AE12" s="736" t="s">
        <v>661</v>
      </c>
      <c r="AF12" s="736" t="s">
        <v>661</v>
      </c>
      <c r="AG12" s="736" t="s">
        <v>661</v>
      </c>
      <c r="AH12" s="736" t="s">
        <v>661</v>
      </c>
      <c r="AI12" s="749">
        <f t="shared" si="0"/>
        <v>0</v>
      </c>
      <c r="AJ12" s="749">
        <f t="shared" si="1"/>
        <v>0</v>
      </c>
      <c r="AK12" s="749">
        <f t="shared" si="2"/>
        <v>1</v>
      </c>
    </row>
    <row r="13" spans="2:37">
      <c r="B13" s="724">
        <v>10</v>
      </c>
      <c r="C13" s="734" t="str">
        <f>SISWA!E15</f>
        <v>Anak 10</v>
      </c>
      <c r="D13" s="735"/>
      <c r="E13" s="736" t="s">
        <v>661</v>
      </c>
      <c r="F13" s="736" t="s">
        <v>661</v>
      </c>
      <c r="G13" s="736" t="s">
        <v>661</v>
      </c>
      <c r="H13" s="736" t="s">
        <v>661</v>
      </c>
      <c r="I13" s="735"/>
      <c r="J13" s="736" t="s">
        <v>661</v>
      </c>
      <c r="K13" s="736" t="s">
        <v>661</v>
      </c>
      <c r="L13" s="736" t="s">
        <v>661</v>
      </c>
      <c r="M13" s="736" t="s">
        <v>661</v>
      </c>
      <c r="N13" s="736" t="s">
        <v>661</v>
      </c>
      <c r="O13" s="736" t="s">
        <v>661</v>
      </c>
      <c r="P13" s="735"/>
      <c r="Q13" s="736" t="s">
        <v>661</v>
      </c>
      <c r="R13" s="736" t="s">
        <v>661</v>
      </c>
      <c r="S13" s="736" t="s">
        <v>661</v>
      </c>
      <c r="T13" s="736" t="s">
        <v>661</v>
      </c>
      <c r="U13" s="736" t="s">
        <v>661</v>
      </c>
      <c r="V13" s="736" t="s">
        <v>661</v>
      </c>
      <c r="W13" s="735"/>
      <c r="X13" s="736" t="s">
        <v>661</v>
      </c>
      <c r="Y13" s="736" t="s">
        <v>661</v>
      </c>
      <c r="Z13" s="736" t="s">
        <v>661</v>
      </c>
      <c r="AA13" s="736" t="s">
        <v>661</v>
      </c>
      <c r="AB13" s="736" t="s">
        <v>661</v>
      </c>
      <c r="AC13" s="736" t="s">
        <v>661</v>
      </c>
      <c r="AD13" s="735"/>
      <c r="AE13" s="736" t="s">
        <v>661</v>
      </c>
      <c r="AF13" s="736" t="s">
        <v>661</v>
      </c>
      <c r="AG13" s="736" t="s">
        <v>661</v>
      </c>
      <c r="AH13" s="736" t="s">
        <v>661</v>
      </c>
      <c r="AI13" s="749">
        <f t="shared" si="0"/>
        <v>0</v>
      </c>
      <c r="AJ13" s="749">
        <f t="shared" si="1"/>
        <v>0</v>
      </c>
      <c r="AK13" s="749">
        <f t="shared" si="2"/>
        <v>0</v>
      </c>
    </row>
    <row r="14" spans="2:37">
      <c r="B14" s="724">
        <v>11</v>
      </c>
      <c r="C14" s="734" t="str">
        <f>SISWA!E16</f>
        <v>Anak 11</v>
      </c>
      <c r="D14" s="735"/>
      <c r="E14" s="736" t="s">
        <v>661</v>
      </c>
      <c r="F14" s="736" t="s">
        <v>661</v>
      </c>
      <c r="G14" s="736" t="s">
        <v>661</v>
      </c>
      <c r="H14" s="736" t="s">
        <v>661</v>
      </c>
      <c r="I14" s="735"/>
      <c r="J14" s="736" t="s">
        <v>661</v>
      </c>
      <c r="K14" s="736" t="s">
        <v>661</v>
      </c>
      <c r="L14" s="736" t="s">
        <v>661</v>
      </c>
      <c r="M14" s="736" t="s">
        <v>661</v>
      </c>
      <c r="N14" s="736" t="s">
        <v>661</v>
      </c>
      <c r="O14" s="736" t="s">
        <v>661</v>
      </c>
      <c r="P14" s="735"/>
      <c r="Q14" s="736" t="s">
        <v>661</v>
      </c>
      <c r="R14" s="736" t="s">
        <v>661</v>
      </c>
      <c r="S14" s="736" t="s">
        <v>661</v>
      </c>
      <c r="T14" s="736" t="s">
        <v>661</v>
      </c>
      <c r="U14" s="736" t="s">
        <v>661</v>
      </c>
      <c r="V14" s="736" t="s">
        <v>661</v>
      </c>
      <c r="W14" s="735"/>
      <c r="X14" s="736" t="s">
        <v>661</v>
      </c>
      <c r="Y14" s="736" t="s">
        <v>661</v>
      </c>
      <c r="Z14" s="736" t="s">
        <v>661</v>
      </c>
      <c r="AA14" s="736" t="s">
        <v>661</v>
      </c>
      <c r="AB14" s="736" t="s">
        <v>661</v>
      </c>
      <c r="AC14" s="736" t="s">
        <v>661</v>
      </c>
      <c r="AD14" s="735"/>
      <c r="AE14" s="736" t="s">
        <v>661</v>
      </c>
      <c r="AF14" s="736" t="s">
        <v>661</v>
      </c>
      <c r="AG14" s="736" t="s">
        <v>661</v>
      </c>
      <c r="AH14" s="736" t="s">
        <v>661</v>
      </c>
      <c r="AI14" s="749">
        <f t="shared" si="0"/>
        <v>0</v>
      </c>
      <c r="AJ14" s="749">
        <f t="shared" si="1"/>
        <v>0</v>
      </c>
      <c r="AK14" s="749">
        <f t="shared" si="2"/>
        <v>0</v>
      </c>
    </row>
    <row r="15" spans="2:37">
      <c r="B15" s="724">
        <v>12</v>
      </c>
      <c r="C15" s="734" t="str">
        <f>SISWA!E17</f>
        <v>Anak 12</v>
      </c>
      <c r="D15" s="735"/>
      <c r="E15" s="736" t="s">
        <v>661</v>
      </c>
      <c r="F15" s="736" t="s">
        <v>661</v>
      </c>
      <c r="G15" s="736" t="s">
        <v>661</v>
      </c>
      <c r="H15" s="736" t="s">
        <v>661</v>
      </c>
      <c r="I15" s="735"/>
      <c r="J15" s="736" t="s">
        <v>661</v>
      </c>
      <c r="K15" s="736" t="s">
        <v>661</v>
      </c>
      <c r="L15" s="736" t="s">
        <v>661</v>
      </c>
      <c r="M15" s="736" t="s">
        <v>661</v>
      </c>
      <c r="N15" s="736" t="s">
        <v>661</v>
      </c>
      <c r="O15" s="736" t="s">
        <v>661</v>
      </c>
      <c r="P15" s="735"/>
      <c r="Q15" s="736" t="s">
        <v>661</v>
      </c>
      <c r="R15" s="736" t="s">
        <v>661</v>
      </c>
      <c r="S15" s="736" t="s">
        <v>661</v>
      </c>
      <c r="T15" s="736" t="s">
        <v>661</v>
      </c>
      <c r="U15" s="736" t="s">
        <v>661</v>
      </c>
      <c r="V15" s="736" t="s">
        <v>661</v>
      </c>
      <c r="W15" s="735"/>
      <c r="X15" s="736" t="s">
        <v>661</v>
      </c>
      <c r="Y15" s="736" t="s">
        <v>661</v>
      </c>
      <c r="Z15" s="736" t="s">
        <v>661</v>
      </c>
      <c r="AA15" s="736" t="s">
        <v>661</v>
      </c>
      <c r="AB15" s="736" t="s">
        <v>661</v>
      </c>
      <c r="AC15" s="736" t="s">
        <v>661</v>
      </c>
      <c r="AD15" s="735"/>
      <c r="AE15" s="736" t="s">
        <v>661</v>
      </c>
      <c r="AF15" s="736" t="s">
        <v>661</v>
      </c>
      <c r="AG15" s="736" t="s">
        <v>661</v>
      </c>
      <c r="AH15" s="736" t="s">
        <v>661</v>
      </c>
      <c r="AI15" s="749">
        <f t="shared" si="0"/>
        <v>0</v>
      </c>
      <c r="AJ15" s="749">
        <f t="shared" si="1"/>
        <v>0</v>
      </c>
      <c r="AK15" s="749">
        <f t="shared" si="2"/>
        <v>0</v>
      </c>
    </row>
    <row r="16" spans="2:37">
      <c r="B16" s="724">
        <v>13</v>
      </c>
      <c r="C16" s="734" t="str">
        <f>SISWA!E18</f>
        <v>Anak 13</v>
      </c>
      <c r="D16" s="735"/>
      <c r="E16" s="736" t="s">
        <v>661</v>
      </c>
      <c r="F16" s="736" t="s">
        <v>661</v>
      </c>
      <c r="G16" s="736" t="s">
        <v>661</v>
      </c>
      <c r="H16" s="736" t="s">
        <v>661</v>
      </c>
      <c r="I16" s="735"/>
      <c r="J16" s="736" t="s">
        <v>661</v>
      </c>
      <c r="K16" s="736" t="s">
        <v>661</v>
      </c>
      <c r="L16" s="736" t="s">
        <v>661</v>
      </c>
      <c r="M16" s="736" t="s">
        <v>661</v>
      </c>
      <c r="N16" s="736" t="s">
        <v>661</v>
      </c>
      <c r="O16" s="736" t="s">
        <v>661</v>
      </c>
      <c r="P16" s="735"/>
      <c r="Q16" s="736" t="s">
        <v>661</v>
      </c>
      <c r="R16" s="736" t="s">
        <v>661</v>
      </c>
      <c r="S16" s="736" t="s">
        <v>661</v>
      </c>
      <c r="T16" s="736" t="s">
        <v>661</v>
      </c>
      <c r="U16" s="736" t="s">
        <v>661</v>
      </c>
      <c r="V16" s="736" t="s">
        <v>661</v>
      </c>
      <c r="W16" s="735"/>
      <c r="X16" s="736" t="s">
        <v>661</v>
      </c>
      <c r="Y16" s="736" t="s">
        <v>661</v>
      </c>
      <c r="Z16" s="736" t="s">
        <v>661</v>
      </c>
      <c r="AA16" s="736" t="s">
        <v>661</v>
      </c>
      <c r="AB16" s="736" t="s">
        <v>661</v>
      </c>
      <c r="AC16" s="736" t="s">
        <v>661</v>
      </c>
      <c r="AD16" s="735"/>
      <c r="AE16" s="736" t="s">
        <v>661</v>
      </c>
      <c r="AF16" s="736" t="s">
        <v>661</v>
      </c>
      <c r="AG16" s="736" t="s">
        <v>661</v>
      </c>
      <c r="AH16" s="736" t="s">
        <v>661</v>
      </c>
      <c r="AI16" s="749">
        <f t="shared" si="0"/>
        <v>0</v>
      </c>
      <c r="AJ16" s="749">
        <f t="shared" si="1"/>
        <v>0</v>
      </c>
      <c r="AK16" s="749">
        <f t="shared" si="2"/>
        <v>0</v>
      </c>
    </row>
    <row r="17" spans="2:37">
      <c r="B17" s="724">
        <v>14</v>
      </c>
      <c r="C17" s="734" t="str">
        <f>SISWA!E19</f>
        <v>Anak 14</v>
      </c>
      <c r="D17" s="735"/>
      <c r="E17" s="736" t="s">
        <v>661</v>
      </c>
      <c r="F17" s="736" t="s">
        <v>661</v>
      </c>
      <c r="G17" s="736" t="s">
        <v>661</v>
      </c>
      <c r="H17" s="736" t="s">
        <v>661</v>
      </c>
      <c r="I17" s="735"/>
      <c r="J17" s="736" t="s">
        <v>661</v>
      </c>
      <c r="K17" s="736" t="s">
        <v>661</v>
      </c>
      <c r="L17" s="736" t="s">
        <v>661</v>
      </c>
      <c r="M17" s="736" t="s">
        <v>661</v>
      </c>
      <c r="N17" s="736" t="s">
        <v>661</v>
      </c>
      <c r="O17" s="736" t="s">
        <v>661</v>
      </c>
      <c r="P17" s="735"/>
      <c r="Q17" s="736" t="s">
        <v>661</v>
      </c>
      <c r="R17" s="736" t="s">
        <v>661</v>
      </c>
      <c r="S17" s="736" t="s">
        <v>661</v>
      </c>
      <c r="T17" s="736" t="s">
        <v>661</v>
      </c>
      <c r="U17" s="736" t="s">
        <v>661</v>
      </c>
      <c r="V17" s="736" t="s">
        <v>661</v>
      </c>
      <c r="W17" s="735"/>
      <c r="X17" s="736" t="s">
        <v>661</v>
      </c>
      <c r="Y17" s="736" t="s">
        <v>661</v>
      </c>
      <c r="Z17" s="736" t="s">
        <v>661</v>
      </c>
      <c r="AA17" s="736" t="s">
        <v>661</v>
      </c>
      <c r="AB17" s="736" t="s">
        <v>661</v>
      </c>
      <c r="AC17" s="736" t="s">
        <v>661</v>
      </c>
      <c r="AD17" s="735"/>
      <c r="AE17" s="736" t="s">
        <v>661</v>
      </c>
      <c r="AF17" s="736" t="s">
        <v>661</v>
      </c>
      <c r="AG17" s="736" t="s">
        <v>661</v>
      </c>
      <c r="AH17" s="736" t="s">
        <v>661</v>
      </c>
      <c r="AI17" s="749">
        <f t="shared" si="0"/>
        <v>0</v>
      </c>
      <c r="AJ17" s="749">
        <f t="shared" si="1"/>
        <v>0</v>
      </c>
      <c r="AK17" s="749">
        <f t="shared" si="2"/>
        <v>0</v>
      </c>
    </row>
    <row r="18" spans="2:37">
      <c r="B18" s="724">
        <v>15</v>
      </c>
      <c r="C18" s="734" t="str">
        <f>SISWA!E20</f>
        <v>Anak 15</v>
      </c>
      <c r="D18" s="735"/>
      <c r="E18" s="736" t="s">
        <v>661</v>
      </c>
      <c r="F18" s="736" t="s">
        <v>661</v>
      </c>
      <c r="G18" s="736" t="s">
        <v>661</v>
      </c>
      <c r="H18" s="736" t="s">
        <v>661</v>
      </c>
      <c r="I18" s="735"/>
      <c r="J18" s="736" t="s">
        <v>661</v>
      </c>
      <c r="K18" s="736" t="s">
        <v>661</v>
      </c>
      <c r="L18" s="736" t="s">
        <v>661</v>
      </c>
      <c r="M18" s="736" t="s">
        <v>661</v>
      </c>
      <c r="N18" s="736" t="s">
        <v>661</v>
      </c>
      <c r="O18" s="736" t="s">
        <v>968</v>
      </c>
      <c r="P18" s="735"/>
      <c r="Q18" s="736" t="s">
        <v>661</v>
      </c>
      <c r="R18" s="736" t="s">
        <v>661</v>
      </c>
      <c r="S18" s="736" t="s">
        <v>661</v>
      </c>
      <c r="T18" s="736" t="s">
        <v>661</v>
      </c>
      <c r="U18" s="736" t="s">
        <v>661</v>
      </c>
      <c r="V18" s="736" t="s">
        <v>661</v>
      </c>
      <c r="W18" s="735"/>
      <c r="X18" s="736" t="s">
        <v>661</v>
      </c>
      <c r="Y18" s="736" t="s">
        <v>661</v>
      </c>
      <c r="Z18" s="736" t="s">
        <v>661</v>
      </c>
      <c r="AA18" s="736" t="s">
        <v>661</v>
      </c>
      <c r="AB18" s="736" t="s">
        <v>661</v>
      </c>
      <c r="AC18" s="736" t="s">
        <v>661</v>
      </c>
      <c r="AD18" s="735"/>
      <c r="AE18" s="736" t="s">
        <v>661</v>
      </c>
      <c r="AF18" s="736" t="s">
        <v>661</v>
      </c>
      <c r="AG18" s="736" t="s">
        <v>661</v>
      </c>
      <c r="AH18" s="736" t="s">
        <v>661</v>
      </c>
      <c r="AI18" s="749">
        <f t="shared" si="0"/>
        <v>0</v>
      </c>
      <c r="AJ18" s="749">
        <f t="shared" si="1"/>
        <v>0</v>
      </c>
      <c r="AK18" s="749">
        <f t="shared" si="2"/>
        <v>1</v>
      </c>
    </row>
    <row r="19" spans="2:37">
      <c r="B19" s="724">
        <v>16</v>
      </c>
      <c r="C19" s="734" t="str">
        <f>SISWA!E21</f>
        <v>Anak 16</v>
      </c>
      <c r="D19" s="735"/>
      <c r="E19" s="736" t="s">
        <v>661</v>
      </c>
      <c r="F19" s="736" t="s">
        <v>661</v>
      </c>
      <c r="G19" s="736" t="s">
        <v>661</v>
      </c>
      <c r="H19" s="736" t="s">
        <v>661</v>
      </c>
      <c r="I19" s="735"/>
      <c r="J19" s="736" t="s">
        <v>661</v>
      </c>
      <c r="K19" s="736" t="s">
        <v>661</v>
      </c>
      <c r="L19" s="736" t="s">
        <v>661</v>
      </c>
      <c r="M19" s="736" t="s">
        <v>661</v>
      </c>
      <c r="N19" s="736" t="s">
        <v>967</v>
      </c>
      <c r="O19" s="736" t="s">
        <v>661</v>
      </c>
      <c r="P19" s="735"/>
      <c r="Q19" s="736" t="s">
        <v>661</v>
      </c>
      <c r="R19" s="736" t="s">
        <v>661</v>
      </c>
      <c r="S19" s="736" t="s">
        <v>661</v>
      </c>
      <c r="T19" s="736" t="s">
        <v>661</v>
      </c>
      <c r="U19" s="736" t="s">
        <v>661</v>
      </c>
      <c r="V19" s="736" t="s">
        <v>661</v>
      </c>
      <c r="W19" s="735"/>
      <c r="X19" s="736" t="s">
        <v>661</v>
      </c>
      <c r="Y19" s="736" t="s">
        <v>661</v>
      </c>
      <c r="Z19" s="736" t="s">
        <v>661</v>
      </c>
      <c r="AA19" s="736" t="s">
        <v>661</v>
      </c>
      <c r="AB19" s="736" t="s">
        <v>661</v>
      </c>
      <c r="AC19" s="736" t="s">
        <v>661</v>
      </c>
      <c r="AD19" s="735"/>
      <c r="AE19" s="736" t="s">
        <v>661</v>
      </c>
      <c r="AF19" s="736" t="s">
        <v>661</v>
      </c>
      <c r="AG19" s="736" t="s">
        <v>661</v>
      </c>
      <c r="AH19" s="736" t="s">
        <v>661</v>
      </c>
      <c r="AI19" s="749">
        <f t="shared" si="0"/>
        <v>1</v>
      </c>
      <c r="AJ19" s="749">
        <f t="shared" si="1"/>
        <v>0</v>
      </c>
      <c r="AK19" s="749">
        <f t="shared" si="2"/>
        <v>0</v>
      </c>
    </row>
    <row r="20" spans="2:37">
      <c r="B20" s="724">
        <v>17</v>
      </c>
      <c r="C20" s="734" t="str">
        <f>SISWA!E22</f>
        <v>Anak 17</v>
      </c>
      <c r="D20" s="735"/>
      <c r="E20" s="736" t="s">
        <v>661</v>
      </c>
      <c r="F20" s="736" t="s">
        <v>661</v>
      </c>
      <c r="G20" s="736" t="s">
        <v>661</v>
      </c>
      <c r="H20" s="736" t="s">
        <v>661</v>
      </c>
      <c r="I20" s="735"/>
      <c r="J20" s="736" t="s">
        <v>661</v>
      </c>
      <c r="K20" s="736" t="s">
        <v>661</v>
      </c>
      <c r="L20" s="736" t="s">
        <v>661</v>
      </c>
      <c r="M20" s="736" t="s">
        <v>661</v>
      </c>
      <c r="N20" s="736" t="s">
        <v>661</v>
      </c>
      <c r="O20" s="736" t="s">
        <v>661</v>
      </c>
      <c r="P20" s="735"/>
      <c r="Q20" s="736" t="s">
        <v>661</v>
      </c>
      <c r="R20" s="736" t="s">
        <v>661</v>
      </c>
      <c r="S20" s="736" t="s">
        <v>661</v>
      </c>
      <c r="T20" s="736" t="s">
        <v>661</v>
      </c>
      <c r="U20" s="736" t="s">
        <v>661</v>
      </c>
      <c r="V20" s="736" t="s">
        <v>661</v>
      </c>
      <c r="W20" s="735"/>
      <c r="X20" s="736" t="s">
        <v>661</v>
      </c>
      <c r="Y20" s="736" t="s">
        <v>661</v>
      </c>
      <c r="Z20" s="736" t="s">
        <v>661</v>
      </c>
      <c r="AA20" s="736" t="s">
        <v>661</v>
      </c>
      <c r="AB20" s="736" t="s">
        <v>661</v>
      </c>
      <c r="AC20" s="736" t="s">
        <v>661</v>
      </c>
      <c r="AD20" s="735"/>
      <c r="AE20" s="736" t="s">
        <v>661</v>
      </c>
      <c r="AF20" s="736" t="s">
        <v>661</v>
      </c>
      <c r="AG20" s="736" t="s">
        <v>661</v>
      </c>
      <c r="AH20" s="736" t="s">
        <v>661</v>
      </c>
      <c r="AI20" s="749">
        <f t="shared" si="0"/>
        <v>0</v>
      </c>
      <c r="AJ20" s="749">
        <f t="shared" si="1"/>
        <v>0</v>
      </c>
      <c r="AK20" s="749">
        <f t="shared" si="2"/>
        <v>0</v>
      </c>
    </row>
    <row r="21" spans="2:37">
      <c r="B21" s="724">
        <v>18</v>
      </c>
      <c r="C21" s="734" t="str">
        <f>SISWA!E23</f>
        <v>Anak 18</v>
      </c>
      <c r="D21" s="735"/>
      <c r="E21" s="736" t="s">
        <v>661</v>
      </c>
      <c r="F21" s="736" t="s">
        <v>661</v>
      </c>
      <c r="G21" s="736" t="s">
        <v>661</v>
      </c>
      <c r="H21" s="736" t="s">
        <v>661</v>
      </c>
      <c r="I21" s="735"/>
      <c r="J21" s="736" t="s">
        <v>661</v>
      </c>
      <c r="K21" s="736" t="s">
        <v>661</v>
      </c>
      <c r="L21" s="736" t="s">
        <v>661</v>
      </c>
      <c r="M21" s="736" t="s">
        <v>661</v>
      </c>
      <c r="N21" s="736" t="s">
        <v>661</v>
      </c>
      <c r="O21" s="736" t="s">
        <v>661</v>
      </c>
      <c r="P21" s="735"/>
      <c r="Q21" s="736" t="s">
        <v>661</v>
      </c>
      <c r="R21" s="736" t="s">
        <v>661</v>
      </c>
      <c r="S21" s="736" t="s">
        <v>661</v>
      </c>
      <c r="T21" s="736" t="s">
        <v>884</v>
      </c>
      <c r="U21" s="736" t="s">
        <v>661</v>
      </c>
      <c r="V21" s="736" t="s">
        <v>661</v>
      </c>
      <c r="W21" s="735"/>
      <c r="X21" s="736" t="s">
        <v>661</v>
      </c>
      <c r="Y21" s="736" t="s">
        <v>661</v>
      </c>
      <c r="Z21" s="736" t="s">
        <v>661</v>
      </c>
      <c r="AA21" s="736" t="s">
        <v>661</v>
      </c>
      <c r="AB21" s="736" t="s">
        <v>661</v>
      </c>
      <c r="AC21" s="736" t="s">
        <v>661</v>
      </c>
      <c r="AD21" s="735"/>
      <c r="AE21" s="736" t="s">
        <v>661</v>
      </c>
      <c r="AF21" s="736" t="s">
        <v>661</v>
      </c>
      <c r="AG21" s="736" t="s">
        <v>661</v>
      </c>
      <c r="AH21" s="736" t="s">
        <v>661</v>
      </c>
      <c r="AI21" s="749">
        <f t="shared" si="0"/>
        <v>0</v>
      </c>
      <c r="AJ21" s="749">
        <f t="shared" si="1"/>
        <v>1</v>
      </c>
      <c r="AK21" s="749">
        <f t="shared" si="2"/>
        <v>0</v>
      </c>
    </row>
    <row r="22" spans="2:37">
      <c r="B22" s="724">
        <v>19</v>
      </c>
      <c r="C22" s="734" t="str">
        <f>SISWA!E24</f>
        <v>Anak 19</v>
      </c>
      <c r="D22" s="735"/>
      <c r="E22" s="736" t="s">
        <v>661</v>
      </c>
      <c r="F22" s="736" t="s">
        <v>661</v>
      </c>
      <c r="G22" s="736" t="s">
        <v>661</v>
      </c>
      <c r="H22" s="736" t="s">
        <v>661</v>
      </c>
      <c r="I22" s="735"/>
      <c r="J22" s="736" t="s">
        <v>661</v>
      </c>
      <c r="K22" s="736" t="s">
        <v>661</v>
      </c>
      <c r="L22" s="736" t="s">
        <v>661</v>
      </c>
      <c r="M22" s="736" t="s">
        <v>661</v>
      </c>
      <c r="N22" s="736" t="s">
        <v>661</v>
      </c>
      <c r="O22" s="736" t="s">
        <v>661</v>
      </c>
      <c r="P22" s="735"/>
      <c r="Q22" s="736" t="s">
        <v>661</v>
      </c>
      <c r="R22" s="736" t="s">
        <v>661</v>
      </c>
      <c r="S22" s="736" t="s">
        <v>661</v>
      </c>
      <c r="T22" s="736" t="s">
        <v>661</v>
      </c>
      <c r="U22" s="736" t="s">
        <v>661</v>
      </c>
      <c r="V22" s="736" t="s">
        <v>661</v>
      </c>
      <c r="W22" s="735"/>
      <c r="X22" s="736" t="s">
        <v>661</v>
      </c>
      <c r="Y22" s="736" t="s">
        <v>661</v>
      </c>
      <c r="Z22" s="736" t="s">
        <v>661</v>
      </c>
      <c r="AA22" s="736" t="s">
        <v>661</v>
      </c>
      <c r="AB22" s="736" t="s">
        <v>661</v>
      </c>
      <c r="AC22" s="736" t="s">
        <v>661</v>
      </c>
      <c r="AD22" s="735"/>
      <c r="AE22" s="736" t="s">
        <v>661</v>
      </c>
      <c r="AF22" s="736" t="s">
        <v>661</v>
      </c>
      <c r="AG22" s="736" t="s">
        <v>661</v>
      </c>
      <c r="AH22" s="736" t="s">
        <v>661</v>
      </c>
      <c r="AI22" s="749">
        <f t="shared" si="0"/>
        <v>0</v>
      </c>
      <c r="AJ22" s="749">
        <f t="shared" si="1"/>
        <v>0</v>
      </c>
      <c r="AK22" s="749">
        <f t="shared" si="2"/>
        <v>0</v>
      </c>
    </row>
    <row r="23" spans="2:37">
      <c r="B23" s="724">
        <v>20</v>
      </c>
      <c r="C23" s="734" t="str">
        <f>SISWA!E25</f>
        <v>Anak 20</v>
      </c>
      <c r="D23" s="735"/>
      <c r="E23" s="736" t="s">
        <v>661</v>
      </c>
      <c r="F23" s="736" t="s">
        <v>661</v>
      </c>
      <c r="G23" s="736" t="s">
        <v>661</v>
      </c>
      <c r="H23" s="736" t="s">
        <v>661</v>
      </c>
      <c r="I23" s="735"/>
      <c r="J23" s="736" t="s">
        <v>661</v>
      </c>
      <c r="K23" s="736" t="s">
        <v>661</v>
      </c>
      <c r="L23" s="736" t="s">
        <v>661</v>
      </c>
      <c r="M23" s="736" t="s">
        <v>661</v>
      </c>
      <c r="N23" s="736" t="s">
        <v>661</v>
      </c>
      <c r="O23" s="736" t="s">
        <v>661</v>
      </c>
      <c r="P23" s="735"/>
      <c r="Q23" s="736" t="s">
        <v>661</v>
      </c>
      <c r="R23" s="736" t="s">
        <v>661</v>
      </c>
      <c r="S23" s="736" t="s">
        <v>661</v>
      </c>
      <c r="T23" s="736" t="s">
        <v>661</v>
      </c>
      <c r="U23" s="736" t="s">
        <v>661</v>
      </c>
      <c r="V23" s="736" t="s">
        <v>661</v>
      </c>
      <c r="W23" s="735"/>
      <c r="X23" s="736" t="s">
        <v>661</v>
      </c>
      <c r="Y23" s="736" t="s">
        <v>661</v>
      </c>
      <c r="Z23" s="736" t="s">
        <v>661</v>
      </c>
      <c r="AA23" s="736" t="s">
        <v>661</v>
      </c>
      <c r="AB23" s="736" t="s">
        <v>661</v>
      </c>
      <c r="AC23" s="736" t="s">
        <v>661</v>
      </c>
      <c r="AD23" s="735"/>
      <c r="AE23" s="736" t="s">
        <v>661</v>
      </c>
      <c r="AF23" s="736" t="s">
        <v>661</v>
      </c>
      <c r="AG23" s="736" t="s">
        <v>661</v>
      </c>
      <c r="AH23" s="736" t="s">
        <v>661</v>
      </c>
      <c r="AI23" s="749">
        <f t="shared" si="0"/>
        <v>0</v>
      </c>
      <c r="AJ23" s="749">
        <f t="shared" si="1"/>
        <v>0</v>
      </c>
      <c r="AK23" s="749">
        <f t="shared" si="2"/>
        <v>0</v>
      </c>
    </row>
    <row r="24" spans="2:37">
      <c r="B24" s="724">
        <v>21</v>
      </c>
      <c r="C24" s="734" t="str">
        <f>SISWA!E26</f>
        <v>Anak 21</v>
      </c>
      <c r="D24" s="735"/>
      <c r="E24" s="736" t="s">
        <v>661</v>
      </c>
      <c r="F24" s="736" t="s">
        <v>661</v>
      </c>
      <c r="G24" s="736" t="s">
        <v>661</v>
      </c>
      <c r="H24" s="736" t="s">
        <v>661</v>
      </c>
      <c r="I24" s="735"/>
      <c r="J24" s="736" t="s">
        <v>661</v>
      </c>
      <c r="K24" s="736" t="s">
        <v>661</v>
      </c>
      <c r="L24" s="736" t="s">
        <v>661</v>
      </c>
      <c r="M24" s="736" t="s">
        <v>661</v>
      </c>
      <c r="N24" s="736" t="s">
        <v>661</v>
      </c>
      <c r="O24" s="736" t="s">
        <v>968</v>
      </c>
      <c r="P24" s="735"/>
      <c r="Q24" s="736" t="s">
        <v>661</v>
      </c>
      <c r="R24" s="736" t="s">
        <v>661</v>
      </c>
      <c r="S24" s="736" t="s">
        <v>661</v>
      </c>
      <c r="T24" s="736" t="s">
        <v>661</v>
      </c>
      <c r="U24" s="736" t="s">
        <v>661</v>
      </c>
      <c r="V24" s="736" t="s">
        <v>661</v>
      </c>
      <c r="W24" s="735"/>
      <c r="X24" s="736" t="s">
        <v>661</v>
      </c>
      <c r="Y24" s="736" t="s">
        <v>661</v>
      </c>
      <c r="Z24" s="736" t="s">
        <v>661</v>
      </c>
      <c r="AA24" s="736" t="s">
        <v>661</v>
      </c>
      <c r="AB24" s="736" t="s">
        <v>661</v>
      </c>
      <c r="AC24" s="736" t="s">
        <v>661</v>
      </c>
      <c r="AD24" s="735"/>
      <c r="AE24" s="736" t="s">
        <v>661</v>
      </c>
      <c r="AF24" s="736" t="s">
        <v>661</v>
      </c>
      <c r="AG24" s="736" t="s">
        <v>661</v>
      </c>
      <c r="AH24" s="736" t="s">
        <v>661</v>
      </c>
      <c r="AI24" s="749">
        <f t="shared" si="0"/>
        <v>0</v>
      </c>
      <c r="AJ24" s="749">
        <f t="shared" si="1"/>
        <v>0</v>
      </c>
      <c r="AK24" s="749">
        <f t="shared" si="2"/>
        <v>1</v>
      </c>
    </row>
    <row r="25" spans="2:37">
      <c r="B25" s="724">
        <v>22</v>
      </c>
      <c r="C25" s="734" t="str">
        <f>SISWA!E27</f>
        <v>Anak 22</v>
      </c>
      <c r="D25" s="735"/>
      <c r="E25" s="736" t="s">
        <v>661</v>
      </c>
      <c r="F25" s="736" t="s">
        <v>661</v>
      </c>
      <c r="G25" s="736" t="s">
        <v>661</v>
      </c>
      <c r="H25" s="736" t="s">
        <v>661</v>
      </c>
      <c r="I25" s="735"/>
      <c r="J25" s="736" t="s">
        <v>661</v>
      </c>
      <c r="K25" s="736" t="s">
        <v>661</v>
      </c>
      <c r="L25" s="736" t="s">
        <v>661</v>
      </c>
      <c r="M25" s="736" t="s">
        <v>661</v>
      </c>
      <c r="N25" s="736" t="s">
        <v>661</v>
      </c>
      <c r="O25" s="736" t="s">
        <v>661</v>
      </c>
      <c r="P25" s="735"/>
      <c r="Q25" s="736" t="s">
        <v>661</v>
      </c>
      <c r="R25" s="736" t="s">
        <v>661</v>
      </c>
      <c r="S25" s="736" t="s">
        <v>661</v>
      </c>
      <c r="T25" s="736" t="s">
        <v>661</v>
      </c>
      <c r="U25" s="736" t="s">
        <v>661</v>
      </c>
      <c r="V25" s="736" t="s">
        <v>661</v>
      </c>
      <c r="W25" s="735"/>
      <c r="X25" s="736" t="s">
        <v>661</v>
      </c>
      <c r="Y25" s="736" t="s">
        <v>661</v>
      </c>
      <c r="Z25" s="736" t="s">
        <v>661</v>
      </c>
      <c r="AA25" s="736" t="s">
        <v>661</v>
      </c>
      <c r="AB25" s="736" t="s">
        <v>661</v>
      </c>
      <c r="AC25" s="736" t="s">
        <v>661</v>
      </c>
      <c r="AD25" s="735"/>
      <c r="AE25" s="736" t="s">
        <v>661</v>
      </c>
      <c r="AF25" s="736" t="s">
        <v>661</v>
      </c>
      <c r="AG25" s="736" t="s">
        <v>661</v>
      </c>
      <c r="AH25" s="736" t="s">
        <v>661</v>
      </c>
      <c r="AI25" s="749">
        <f t="shared" si="0"/>
        <v>0</v>
      </c>
      <c r="AJ25" s="749">
        <f t="shared" si="1"/>
        <v>0</v>
      </c>
      <c r="AK25" s="749">
        <f t="shared" si="2"/>
        <v>0</v>
      </c>
    </row>
    <row r="26" spans="2:37">
      <c r="B26" s="724">
        <v>23</v>
      </c>
      <c r="C26" s="734" t="str">
        <f>SISWA!E28</f>
        <v>Anak 23</v>
      </c>
      <c r="D26" s="735"/>
      <c r="E26" s="736" t="s">
        <v>661</v>
      </c>
      <c r="F26" s="736" t="s">
        <v>661</v>
      </c>
      <c r="G26" s="736" t="s">
        <v>661</v>
      </c>
      <c r="H26" s="736" t="s">
        <v>661</v>
      </c>
      <c r="I26" s="735"/>
      <c r="J26" s="736" t="s">
        <v>661</v>
      </c>
      <c r="K26" s="736" t="s">
        <v>661</v>
      </c>
      <c r="L26" s="736" t="s">
        <v>661</v>
      </c>
      <c r="M26" s="736" t="s">
        <v>661</v>
      </c>
      <c r="N26" s="736" t="s">
        <v>661</v>
      </c>
      <c r="O26" s="736" t="s">
        <v>661</v>
      </c>
      <c r="P26" s="735"/>
      <c r="Q26" s="736" t="s">
        <v>661</v>
      </c>
      <c r="R26" s="736" t="s">
        <v>661</v>
      </c>
      <c r="S26" s="736" t="s">
        <v>661</v>
      </c>
      <c r="T26" s="736" t="s">
        <v>661</v>
      </c>
      <c r="U26" s="736" t="s">
        <v>661</v>
      </c>
      <c r="V26" s="736" t="s">
        <v>661</v>
      </c>
      <c r="W26" s="735"/>
      <c r="X26" s="736" t="s">
        <v>661</v>
      </c>
      <c r="Y26" s="736" t="s">
        <v>661</v>
      </c>
      <c r="Z26" s="736" t="s">
        <v>661</v>
      </c>
      <c r="AA26" s="736" t="s">
        <v>661</v>
      </c>
      <c r="AB26" s="736" t="s">
        <v>661</v>
      </c>
      <c r="AC26" s="736" t="s">
        <v>661</v>
      </c>
      <c r="AD26" s="735"/>
      <c r="AE26" s="736" t="s">
        <v>661</v>
      </c>
      <c r="AF26" s="736" t="s">
        <v>661</v>
      </c>
      <c r="AG26" s="736" t="s">
        <v>661</v>
      </c>
      <c r="AH26" s="736" t="s">
        <v>661</v>
      </c>
      <c r="AI26" s="749">
        <f t="shared" si="0"/>
        <v>0</v>
      </c>
      <c r="AJ26" s="749">
        <f t="shared" si="1"/>
        <v>0</v>
      </c>
      <c r="AK26" s="749">
        <f t="shared" si="2"/>
        <v>0</v>
      </c>
    </row>
    <row r="27" spans="2:37">
      <c r="B27" s="724">
        <v>24</v>
      </c>
      <c r="C27" s="734" t="str">
        <f>SISWA!E29</f>
        <v>Anak 24</v>
      </c>
      <c r="D27" s="735"/>
      <c r="E27" s="736" t="s">
        <v>661</v>
      </c>
      <c r="F27" s="736" t="s">
        <v>661</v>
      </c>
      <c r="G27" s="736" t="s">
        <v>661</v>
      </c>
      <c r="H27" s="736" t="s">
        <v>661</v>
      </c>
      <c r="I27" s="735"/>
      <c r="J27" s="736" t="s">
        <v>661</v>
      </c>
      <c r="K27" s="736" t="s">
        <v>661</v>
      </c>
      <c r="L27" s="736" t="s">
        <v>661</v>
      </c>
      <c r="M27" s="736" t="s">
        <v>661</v>
      </c>
      <c r="N27" s="736" t="s">
        <v>661</v>
      </c>
      <c r="O27" s="736" t="s">
        <v>661</v>
      </c>
      <c r="P27" s="735"/>
      <c r="Q27" s="736" t="s">
        <v>661</v>
      </c>
      <c r="R27" s="736" t="s">
        <v>661</v>
      </c>
      <c r="S27" s="736" t="s">
        <v>661</v>
      </c>
      <c r="T27" s="736" t="s">
        <v>661</v>
      </c>
      <c r="U27" s="736" t="s">
        <v>661</v>
      </c>
      <c r="V27" s="736" t="s">
        <v>661</v>
      </c>
      <c r="W27" s="735"/>
      <c r="X27" s="736" t="s">
        <v>661</v>
      </c>
      <c r="Y27" s="736" t="s">
        <v>661</v>
      </c>
      <c r="Z27" s="736" t="s">
        <v>661</v>
      </c>
      <c r="AA27" s="736" t="s">
        <v>661</v>
      </c>
      <c r="AB27" s="736" t="s">
        <v>661</v>
      </c>
      <c r="AC27" s="736" t="s">
        <v>661</v>
      </c>
      <c r="AD27" s="735"/>
      <c r="AE27" s="736" t="s">
        <v>661</v>
      </c>
      <c r="AF27" s="736" t="s">
        <v>661</v>
      </c>
      <c r="AG27" s="736" t="s">
        <v>661</v>
      </c>
      <c r="AH27" s="736" t="s">
        <v>661</v>
      </c>
      <c r="AI27" s="749">
        <f t="shared" si="0"/>
        <v>0</v>
      </c>
      <c r="AJ27" s="749">
        <f t="shared" si="1"/>
        <v>0</v>
      </c>
      <c r="AK27" s="749">
        <f t="shared" si="2"/>
        <v>0</v>
      </c>
    </row>
    <row r="28" spans="2:37">
      <c r="B28" s="724">
        <v>25</v>
      </c>
      <c r="C28" s="734" t="str">
        <f>SISWA!E30</f>
        <v>Anak 25</v>
      </c>
      <c r="D28" s="735"/>
      <c r="E28" s="736" t="s">
        <v>661</v>
      </c>
      <c r="F28" s="736" t="s">
        <v>661</v>
      </c>
      <c r="G28" s="736" t="s">
        <v>661</v>
      </c>
      <c r="H28" s="736" t="s">
        <v>661</v>
      </c>
      <c r="I28" s="735"/>
      <c r="J28" s="736" t="s">
        <v>661</v>
      </c>
      <c r="K28" s="736" t="s">
        <v>661</v>
      </c>
      <c r="L28" s="736" t="s">
        <v>661</v>
      </c>
      <c r="M28" s="736" t="s">
        <v>661</v>
      </c>
      <c r="N28" s="736" t="s">
        <v>661</v>
      </c>
      <c r="O28" s="736" t="s">
        <v>661</v>
      </c>
      <c r="P28" s="735"/>
      <c r="Q28" s="736" t="s">
        <v>661</v>
      </c>
      <c r="R28" s="736" t="s">
        <v>661</v>
      </c>
      <c r="S28" s="736" t="s">
        <v>661</v>
      </c>
      <c r="T28" s="736" t="s">
        <v>661</v>
      </c>
      <c r="U28" s="736" t="s">
        <v>661</v>
      </c>
      <c r="V28" s="736" t="s">
        <v>661</v>
      </c>
      <c r="W28" s="735"/>
      <c r="X28" s="736" t="s">
        <v>661</v>
      </c>
      <c r="Y28" s="736" t="s">
        <v>661</v>
      </c>
      <c r="Z28" s="736" t="s">
        <v>661</v>
      </c>
      <c r="AA28" s="736" t="s">
        <v>661</v>
      </c>
      <c r="AB28" s="736" t="s">
        <v>661</v>
      </c>
      <c r="AC28" s="736" t="s">
        <v>661</v>
      </c>
      <c r="AD28" s="735"/>
      <c r="AE28" s="736" t="s">
        <v>661</v>
      </c>
      <c r="AF28" s="736" t="s">
        <v>661</v>
      </c>
      <c r="AG28" s="736" t="s">
        <v>661</v>
      </c>
      <c r="AH28" s="736" t="s">
        <v>661</v>
      </c>
      <c r="AI28" s="749">
        <f t="shared" si="0"/>
        <v>0</v>
      </c>
      <c r="AJ28" s="749">
        <f t="shared" si="1"/>
        <v>0</v>
      </c>
      <c r="AK28" s="749">
        <f t="shared" si="2"/>
        <v>0</v>
      </c>
    </row>
    <row r="29" spans="2:37">
      <c r="B29" s="724">
        <v>26</v>
      </c>
      <c r="C29" s="734" t="str">
        <f>SISWA!E31</f>
        <v>Anak 26</v>
      </c>
      <c r="D29" s="735"/>
      <c r="E29" s="736" t="s">
        <v>661</v>
      </c>
      <c r="F29" s="736" t="s">
        <v>661</v>
      </c>
      <c r="G29" s="736" t="s">
        <v>661</v>
      </c>
      <c r="H29" s="736" t="s">
        <v>661</v>
      </c>
      <c r="I29" s="735"/>
      <c r="J29" s="736" t="s">
        <v>661</v>
      </c>
      <c r="K29" s="736" t="s">
        <v>661</v>
      </c>
      <c r="L29" s="736" t="s">
        <v>661</v>
      </c>
      <c r="M29" s="736" t="s">
        <v>661</v>
      </c>
      <c r="N29" s="736" t="s">
        <v>661</v>
      </c>
      <c r="O29" s="736" t="s">
        <v>661</v>
      </c>
      <c r="P29" s="735"/>
      <c r="Q29" s="736" t="s">
        <v>661</v>
      </c>
      <c r="R29" s="736" t="s">
        <v>661</v>
      </c>
      <c r="S29" s="736" t="s">
        <v>661</v>
      </c>
      <c r="T29" s="736" t="s">
        <v>661</v>
      </c>
      <c r="U29" s="736" t="s">
        <v>661</v>
      </c>
      <c r="V29" s="736" t="s">
        <v>661</v>
      </c>
      <c r="W29" s="735"/>
      <c r="X29" s="736" t="s">
        <v>661</v>
      </c>
      <c r="Y29" s="736" t="s">
        <v>661</v>
      </c>
      <c r="Z29" s="736" t="s">
        <v>661</v>
      </c>
      <c r="AA29" s="736" t="s">
        <v>661</v>
      </c>
      <c r="AB29" s="736" t="s">
        <v>661</v>
      </c>
      <c r="AC29" s="736" t="s">
        <v>661</v>
      </c>
      <c r="AD29" s="735"/>
      <c r="AE29" s="736" t="s">
        <v>661</v>
      </c>
      <c r="AF29" s="736" t="s">
        <v>661</v>
      </c>
      <c r="AG29" s="736" t="s">
        <v>661</v>
      </c>
      <c r="AH29" s="736" t="s">
        <v>661</v>
      </c>
      <c r="AI29" s="749">
        <f t="shared" si="0"/>
        <v>0</v>
      </c>
      <c r="AJ29" s="749">
        <f t="shared" si="1"/>
        <v>0</v>
      </c>
      <c r="AK29" s="749">
        <f t="shared" si="2"/>
        <v>0</v>
      </c>
    </row>
    <row r="30" spans="2:37">
      <c r="B30" s="724">
        <v>27</v>
      </c>
      <c r="C30" s="734" t="str">
        <f>SISWA!E32</f>
        <v>Anak 27</v>
      </c>
      <c r="D30" s="735"/>
      <c r="E30" s="736" t="s">
        <v>661</v>
      </c>
      <c r="F30" s="736" t="s">
        <v>661</v>
      </c>
      <c r="G30" s="736" t="s">
        <v>661</v>
      </c>
      <c r="H30" s="736" t="s">
        <v>661</v>
      </c>
      <c r="I30" s="735"/>
      <c r="J30" s="736" t="s">
        <v>661</v>
      </c>
      <c r="K30" s="736" t="s">
        <v>661</v>
      </c>
      <c r="L30" s="736" t="s">
        <v>661</v>
      </c>
      <c r="M30" s="736" t="s">
        <v>661</v>
      </c>
      <c r="N30" s="736" t="s">
        <v>661</v>
      </c>
      <c r="O30" s="736" t="s">
        <v>661</v>
      </c>
      <c r="P30" s="735"/>
      <c r="Q30" s="736" t="s">
        <v>661</v>
      </c>
      <c r="R30" s="736" t="s">
        <v>661</v>
      </c>
      <c r="S30" s="736" t="s">
        <v>661</v>
      </c>
      <c r="T30" s="736" t="s">
        <v>661</v>
      </c>
      <c r="U30" s="736" t="s">
        <v>661</v>
      </c>
      <c r="V30" s="736" t="s">
        <v>661</v>
      </c>
      <c r="W30" s="735"/>
      <c r="X30" s="736" t="s">
        <v>661</v>
      </c>
      <c r="Y30" s="736" t="s">
        <v>661</v>
      </c>
      <c r="Z30" s="736" t="s">
        <v>661</v>
      </c>
      <c r="AA30" s="736" t="s">
        <v>661</v>
      </c>
      <c r="AB30" s="736" t="s">
        <v>661</v>
      </c>
      <c r="AC30" s="736" t="s">
        <v>661</v>
      </c>
      <c r="AD30" s="735"/>
      <c r="AE30" s="736" t="s">
        <v>661</v>
      </c>
      <c r="AF30" s="736" t="s">
        <v>661</v>
      </c>
      <c r="AG30" s="736" t="s">
        <v>661</v>
      </c>
      <c r="AH30" s="736" t="s">
        <v>661</v>
      </c>
      <c r="AI30" s="749">
        <f t="shared" si="0"/>
        <v>0</v>
      </c>
      <c r="AJ30" s="749">
        <f t="shared" si="1"/>
        <v>0</v>
      </c>
      <c r="AK30" s="749">
        <f t="shared" si="2"/>
        <v>0</v>
      </c>
    </row>
    <row r="31" spans="2:37">
      <c r="B31" s="724">
        <v>28</v>
      </c>
      <c r="C31" s="734" t="str">
        <f>SISWA!E33</f>
        <v>Anak 28</v>
      </c>
      <c r="D31" s="735"/>
      <c r="E31" s="736" t="s">
        <v>661</v>
      </c>
      <c r="F31" s="736" t="s">
        <v>661</v>
      </c>
      <c r="G31" s="736" t="s">
        <v>661</v>
      </c>
      <c r="H31" s="736" t="s">
        <v>661</v>
      </c>
      <c r="I31" s="735"/>
      <c r="J31" s="736" t="s">
        <v>661</v>
      </c>
      <c r="K31" s="736" t="s">
        <v>661</v>
      </c>
      <c r="L31" s="736" t="s">
        <v>661</v>
      </c>
      <c r="M31" s="736" t="s">
        <v>661</v>
      </c>
      <c r="N31" s="736" t="s">
        <v>661</v>
      </c>
      <c r="O31" s="736" t="s">
        <v>661</v>
      </c>
      <c r="P31" s="735"/>
      <c r="Q31" s="736" t="s">
        <v>661</v>
      </c>
      <c r="R31" s="736" t="s">
        <v>661</v>
      </c>
      <c r="S31" s="736" t="s">
        <v>661</v>
      </c>
      <c r="T31" s="736" t="s">
        <v>661</v>
      </c>
      <c r="U31" s="736" t="s">
        <v>661</v>
      </c>
      <c r="V31" s="736" t="s">
        <v>661</v>
      </c>
      <c r="W31" s="735"/>
      <c r="X31" s="736" t="s">
        <v>661</v>
      </c>
      <c r="Y31" s="736" t="s">
        <v>661</v>
      </c>
      <c r="Z31" s="736" t="s">
        <v>661</v>
      </c>
      <c r="AA31" s="736" t="s">
        <v>661</v>
      </c>
      <c r="AB31" s="736" t="s">
        <v>661</v>
      </c>
      <c r="AC31" s="736" t="s">
        <v>661</v>
      </c>
      <c r="AD31" s="735"/>
      <c r="AE31" s="736" t="s">
        <v>661</v>
      </c>
      <c r="AF31" s="736" t="s">
        <v>661</v>
      </c>
      <c r="AG31" s="736" t="s">
        <v>661</v>
      </c>
      <c r="AH31" s="736" t="s">
        <v>661</v>
      </c>
      <c r="AI31" s="749">
        <f t="shared" si="0"/>
        <v>0</v>
      </c>
      <c r="AJ31" s="749">
        <f t="shared" si="1"/>
        <v>0</v>
      </c>
      <c r="AK31" s="749">
        <f t="shared" si="2"/>
        <v>0</v>
      </c>
    </row>
    <row r="32" spans="2:37">
      <c r="B32" s="724">
        <v>29</v>
      </c>
      <c r="C32" s="734" t="str">
        <f>SISWA!E34</f>
        <v>Anak 29</v>
      </c>
      <c r="D32" s="735"/>
      <c r="E32" s="736" t="s">
        <v>661</v>
      </c>
      <c r="F32" s="736" t="s">
        <v>661</v>
      </c>
      <c r="G32" s="736" t="s">
        <v>661</v>
      </c>
      <c r="H32" s="736" t="s">
        <v>661</v>
      </c>
      <c r="I32" s="735"/>
      <c r="J32" s="736" t="s">
        <v>661</v>
      </c>
      <c r="K32" s="736" t="s">
        <v>661</v>
      </c>
      <c r="L32" s="736" t="s">
        <v>661</v>
      </c>
      <c r="M32" s="736" t="s">
        <v>661</v>
      </c>
      <c r="N32" s="736" t="s">
        <v>661</v>
      </c>
      <c r="O32" s="736" t="s">
        <v>661</v>
      </c>
      <c r="P32" s="735"/>
      <c r="Q32" s="736" t="s">
        <v>661</v>
      </c>
      <c r="R32" s="736" t="s">
        <v>661</v>
      </c>
      <c r="S32" s="736" t="s">
        <v>661</v>
      </c>
      <c r="T32" s="736" t="s">
        <v>661</v>
      </c>
      <c r="U32" s="736" t="s">
        <v>661</v>
      </c>
      <c r="V32" s="736" t="s">
        <v>661</v>
      </c>
      <c r="W32" s="735"/>
      <c r="X32" s="736" t="s">
        <v>661</v>
      </c>
      <c r="Y32" s="736" t="s">
        <v>661</v>
      </c>
      <c r="Z32" s="736" t="s">
        <v>661</v>
      </c>
      <c r="AA32" s="736" t="s">
        <v>661</v>
      </c>
      <c r="AB32" s="736" t="s">
        <v>661</v>
      </c>
      <c r="AC32" s="736" t="s">
        <v>661</v>
      </c>
      <c r="AD32" s="735"/>
      <c r="AE32" s="736" t="s">
        <v>661</v>
      </c>
      <c r="AF32" s="736" t="s">
        <v>661</v>
      </c>
      <c r="AG32" s="736" t="s">
        <v>661</v>
      </c>
      <c r="AH32" s="736" t="s">
        <v>661</v>
      </c>
      <c r="AI32" s="749">
        <f t="shared" ref="AI32:AI53" si="3">COUNTIF(D32:AH32,"S")</f>
        <v>0</v>
      </c>
      <c r="AJ32" s="749">
        <f t="shared" ref="AJ32:AJ53" si="4">COUNTIF(D32:AH32,"I")</f>
        <v>0</v>
      </c>
      <c r="AK32" s="749">
        <f t="shared" ref="AK32:AK53" si="5">COUNTIF(D32:AH32,"A")</f>
        <v>0</v>
      </c>
    </row>
    <row r="33" spans="2:37">
      <c r="B33" s="724">
        <v>30</v>
      </c>
      <c r="C33" s="734" t="str">
        <f>SISWA!E35</f>
        <v>Anak 30</v>
      </c>
      <c r="D33" s="735"/>
      <c r="E33" s="736" t="s">
        <v>661</v>
      </c>
      <c r="F33" s="736" t="s">
        <v>661</v>
      </c>
      <c r="G33" s="736" t="s">
        <v>661</v>
      </c>
      <c r="H33" s="736" t="s">
        <v>661</v>
      </c>
      <c r="I33" s="735"/>
      <c r="J33" s="736" t="s">
        <v>661</v>
      </c>
      <c r="K33" s="736" t="s">
        <v>661</v>
      </c>
      <c r="L33" s="736" t="s">
        <v>661</v>
      </c>
      <c r="M33" s="736" t="s">
        <v>661</v>
      </c>
      <c r="N33" s="736" t="s">
        <v>661</v>
      </c>
      <c r="O33" s="736" t="s">
        <v>661</v>
      </c>
      <c r="P33" s="735"/>
      <c r="Q33" s="736" t="s">
        <v>661</v>
      </c>
      <c r="R33" s="736" t="s">
        <v>661</v>
      </c>
      <c r="S33" s="736" t="s">
        <v>661</v>
      </c>
      <c r="T33" s="736" t="s">
        <v>661</v>
      </c>
      <c r="U33" s="736" t="s">
        <v>661</v>
      </c>
      <c r="V33" s="736" t="s">
        <v>661</v>
      </c>
      <c r="W33" s="735"/>
      <c r="X33" s="736" t="s">
        <v>661</v>
      </c>
      <c r="Y33" s="736" t="s">
        <v>661</v>
      </c>
      <c r="Z33" s="736" t="s">
        <v>661</v>
      </c>
      <c r="AA33" s="736" t="s">
        <v>661</v>
      </c>
      <c r="AB33" s="736" t="s">
        <v>661</v>
      </c>
      <c r="AC33" s="736" t="s">
        <v>661</v>
      </c>
      <c r="AD33" s="735"/>
      <c r="AE33" s="736" t="s">
        <v>661</v>
      </c>
      <c r="AF33" s="736" t="s">
        <v>661</v>
      </c>
      <c r="AG33" s="736" t="s">
        <v>661</v>
      </c>
      <c r="AH33" s="736" t="s">
        <v>661</v>
      </c>
      <c r="AI33" s="749">
        <f t="shared" si="3"/>
        <v>0</v>
      </c>
      <c r="AJ33" s="749">
        <f t="shared" si="4"/>
        <v>0</v>
      </c>
      <c r="AK33" s="749">
        <f t="shared" si="5"/>
        <v>0</v>
      </c>
    </row>
    <row r="34" spans="2:37">
      <c r="B34" s="724">
        <v>31</v>
      </c>
      <c r="C34" s="734" t="str">
        <f>SISWA!E36</f>
        <v>Anak 31</v>
      </c>
      <c r="D34" s="735"/>
      <c r="E34" s="736" t="s">
        <v>661</v>
      </c>
      <c r="F34" s="736" t="s">
        <v>661</v>
      </c>
      <c r="G34" s="736" t="s">
        <v>661</v>
      </c>
      <c r="H34" s="736" t="s">
        <v>661</v>
      </c>
      <c r="I34" s="735"/>
      <c r="J34" s="736" t="s">
        <v>661</v>
      </c>
      <c r="K34" s="736" t="s">
        <v>661</v>
      </c>
      <c r="L34" s="736" t="s">
        <v>661</v>
      </c>
      <c r="M34" s="736" t="s">
        <v>661</v>
      </c>
      <c r="N34" s="736" t="s">
        <v>661</v>
      </c>
      <c r="O34" s="736" t="s">
        <v>661</v>
      </c>
      <c r="P34" s="735"/>
      <c r="Q34" s="736" t="s">
        <v>661</v>
      </c>
      <c r="R34" s="736" t="s">
        <v>661</v>
      </c>
      <c r="S34" s="736" t="s">
        <v>661</v>
      </c>
      <c r="T34" s="736" t="s">
        <v>661</v>
      </c>
      <c r="U34" s="736" t="s">
        <v>661</v>
      </c>
      <c r="V34" s="736" t="s">
        <v>661</v>
      </c>
      <c r="W34" s="735"/>
      <c r="X34" s="736" t="s">
        <v>661</v>
      </c>
      <c r="Y34" s="736" t="s">
        <v>661</v>
      </c>
      <c r="Z34" s="736" t="s">
        <v>661</v>
      </c>
      <c r="AA34" s="736" t="s">
        <v>661</v>
      </c>
      <c r="AB34" s="736" t="s">
        <v>661</v>
      </c>
      <c r="AC34" s="736" t="s">
        <v>661</v>
      </c>
      <c r="AD34" s="735"/>
      <c r="AE34" s="736" t="s">
        <v>661</v>
      </c>
      <c r="AF34" s="736" t="s">
        <v>661</v>
      </c>
      <c r="AG34" s="736" t="s">
        <v>661</v>
      </c>
      <c r="AH34" s="736" t="s">
        <v>661</v>
      </c>
      <c r="AI34" s="749">
        <f t="shared" si="3"/>
        <v>0</v>
      </c>
      <c r="AJ34" s="749">
        <f t="shared" si="4"/>
        <v>0</v>
      </c>
      <c r="AK34" s="749">
        <f t="shared" si="5"/>
        <v>0</v>
      </c>
    </row>
    <row r="35" spans="2:37">
      <c r="B35" s="724">
        <v>32</v>
      </c>
      <c r="C35" s="734" t="str">
        <f>SISWA!E37</f>
        <v>Anak 32</v>
      </c>
      <c r="D35" s="735"/>
      <c r="E35" s="736" t="s">
        <v>661</v>
      </c>
      <c r="F35" s="736" t="s">
        <v>661</v>
      </c>
      <c r="G35" s="736" t="s">
        <v>661</v>
      </c>
      <c r="H35" s="736" t="s">
        <v>661</v>
      </c>
      <c r="I35" s="735"/>
      <c r="J35" s="736" t="s">
        <v>661</v>
      </c>
      <c r="K35" s="736" t="s">
        <v>661</v>
      </c>
      <c r="L35" s="736" t="s">
        <v>661</v>
      </c>
      <c r="M35" s="736" t="s">
        <v>661</v>
      </c>
      <c r="N35" s="736" t="s">
        <v>661</v>
      </c>
      <c r="O35" s="736" t="s">
        <v>661</v>
      </c>
      <c r="P35" s="735"/>
      <c r="Q35" s="736" t="s">
        <v>661</v>
      </c>
      <c r="R35" s="736" t="s">
        <v>661</v>
      </c>
      <c r="S35" s="736" t="s">
        <v>661</v>
      </c>
      <c r="T35" s="736" t="s">
        <v>661</v>
      </c>
      <c r="U35" s="736" t="s">
        <v>661</v>
      </c>
      <c r="V35" s="736" t="s">
        <v>661</v>
      </c>
      <c r="W35" s="735"/>
      <c r="X35" s="736" t="s">
        <v>661</v>
      </c>
      <c r="Y35" s="736" t="s">
        <v>661</v>
      </c>
      <c r="Z35" s="736" t="s">
        <v>661</v>
      </c>
      <c r="AA35" s="736" t="s">
        <v>661</v>
      </c>
      <c r="AB35" s="736" t="s">
        <v>661</v>
      </c>
      <c r="AC35" s="736" t="s">
        <v>661</v>
      </c>
      <c r="AD35" s="735"/>
      <c r="AE35" s="736" t="s">
        <v>661</v>
      </c>
      <c r="AF35" s="736" t="s">
        <v>661</v>
      </c>
      <c r="AG35" s="736" t="s">
        <v>661</v>
      </c>
      <c r="AH35" s="736" t="s">
        <v>661</v>
      </c>
      <c r="AI35" s="749">
        <f t="shared" si="3"/>
        <v>0</v>
      </c>
      <c r="AJ35" s="749">
        <f t="shared" si="4"/>
        <v>0</v>
      </c>
      <c r="AK35" s="749">
        <f t="shared" si="5"/>
        <v>0</v>
      </c>
    </row>
    <row r="36" spans="2:37">
      <c r="B36" s="724">
        <v>33</v>
      </c>
      <c r="C36" s="734" t="str">
        <f>SISWA!E38</f>
        <v>Anak 33</v>
      </c>
      <c r="D36" s="735"/>
      <c r="E36" s="736" t="s">
        <v>661</v>
      </c>
      <c r="F36" s="736" t="s">
        <v>661</v>
      </c>
      <c r="G36" s="736" t="s">
        <v>661</v>
      </c>
      <c r="H36" s="736" t="s">
        <v>661</v>
      </c>
      <c r="I36" s="735"/>
      <c r="J36" s="736" t="s">
        <v>661</v>
      </c>
      <c r="K36" s="736" t="s">
        <v>661</v>
      </c>
      <c r="L36" s="736" t="s">
        <v>661</v>
      </c>
      <c r="M36" s="736" t="s">
        <v>661</v>
      </c>
      <c r="N36" s="736" t="s">
        <v>661</v>
      </c>
      <c r="O36" s="736" t="s">
        <v>661</v>
      </c>
      <c r="P36" s="735"/>
      <c r="Q36" s="736" t="s">
        <v>661</v>
      </c>
      <c r="R36" s="736" t="s">
        <v>661</v>
      </c>
      <c r="S36" s="736" t="s">
        <v>661</v>
      </c>
      <c r="T36" s="736" t="s">
        <v>661</v>
      </c>
      <c r="U36" s="736" t="s">
        <v>661</v>
      </c>
      <c r="V36" s="736" t="s">
        <v>661</v>
      </c>
      <c r="W36" s="735"/>
      <c r="X36" s="736" t="s">
        <v>661</v>
      </c>
      <c r="Y36" s="736" t="s">
        <v>661</v>
      </c>
      <c r="Z36" s="736" t="s">
        <v>661</v>
      </c>
      <c r="AA36" s="736" t="s">
        <v>661</v>
      </c>
      <c r="AB36" s="736" t="s">
        <v>661</v>
      </c>
      <c r="AC36" s="736" t="s">
        <v>661</v>
      </c>
      <c r="AD36" s="735"/>
      <c r="AE36" s="736" t="s">
        <v>661</v>
      </c>
      <c r="AF36" s="736" t="s">
        <v>661</v>
      </c>
      <c r="AG36" s="736" t="s">
        <v>661</v>
      </c>
      <c r="AH36" s="736" t="s">
        <v>661</v>
      </c>
      <c r="AI36" s="749">
        <f t="shared" si="3"/>
        <v>0</v>
      </c>
      <c r="AJ36" s="749">
        <f t="shared" si="4"/>
        <v>0</v>
      </c>
      <c r="AK36" s="749">
        <f t="shared" si="5"/>
        <v>0</v>
      </c>
    </row>
    <row r="37" spans="2:37">
      <c r="B37" s="724">
        <v>34</v>
      </c>
      <c r="C37" s="734" t="str">
        <f>SISWA!E39</f>
        <v>Anak 34</v>
      </c>
      <c r="D37" s="735"/>
      <c r="E37" s="736" t="s">
        <v>661</v>
      </c>
      <c r="F37" s="736" t="s">
        <v>661</v>
      </c>
      <c r="G37" s="736" t="s">
        <v>661</v>
      </c>
      <c r="H37" s="736" t="s">
        <v>661</v>
      </c>
      <c r="I37" s="735"/>
      <c r="J37" s="736" t="s">
        <v>661</v>
      </c>
      <c r="K37" s="736" t="s">
        <v>661</v>
      </c>
      <c r="L37" s="736" t="s">
        <v>661</v>
      </c>
      <c r="M37" s="736" t="s">
        <v>661</v>
      </c>
      <c r="N37" s="736" t="s">
        <v>661</v>
      </c>
      <c r="O37" s="736" t="s">
        <v>661</v>
      </c>
      <c r="P37" s="735"/>
      <c r="Q37" s="736" t="s">
        <v>661</v>
      </c>
      <c r="R37" s="736" t="s">
        <v>661</v>
      </c>
      <c r="S37" s="736" t="s">
        <v>661</v>
      </c>
      <c r="T37" s="736" t="s">
        <v>661</v>
      </c>
      <c r="U37" s="736" t="s">
        <v>661</v>
      </c>
      <c r="V37" s="736" t="s">
        <v>661</v>
      </c>
      <c r="W37" s="735"/>
      <c r="X37" s="736" t="s">
        <v>661</v>
      </c>
      <c r="Y37" s="736" t="s">
        <v>661</v>
      </c>
      <c r="Z37" s="736" t="s">
        <v>661</v>
      </c>
      <c r="AA37" s="736" t="s">
        <v>661</v>
      </c>
      <c r="AB37" s="736" t="s">
        <v>661</v>
      </c>
      <c r="AC37" s="736" t="s">
        <v>661</v>
      </c>
      <c r="AD37" s="735"/>
      <c r="AE37" s="736" t="s">
        <v>661</v>
      </c>
      <c r="AF37" s="736" t="s">
        <v>661</v>
      </c>
      <c r="AG37" s="736" t="s">
        <v>661</v>
      </c>
      <c r="AH37" s="736" t="s">
        <v>661</v>
      </c>
      <c r="AI37" s="749">
        <f t="shared" si="3"/>
        <v>0</v>
      </c>
      <c r="AJ37" s="749">
        <f t="shared" si="4"/>
        <v>0</v>
      </c>
      <c r="AK37" s="749">
        <f t="shared" si="5"/>
        <v>0</v>
      </c>
    </row>
    <row r="38" spans="2:37">
      <c r="B38" s="724">
        <v>35</v>
      </c>
      <c r="C38" s="734" t="str">
        <f>SISWA!E40</f>
        <v>Anak 35</v>
      </c>
      <c r="D38" s="735"/>
      <c r="E38" s="736" t="s">
        <v>661</v>
      </c>
      <c r="F38" s="736" t="s">
        <v>661</v>
      </c>
      <c r="G38" s="736" t="s">
        <v>661</v>
      </c>
      <c r="H38" s="736" t="s">
        <v>661</v>
      </c>
      <c r="I38" s="735"/>
      <c r="J38" s="736" t="s">
        <v>661</v>
      </c>
      <c r="K38" s="736" t="s">
        <v>661</v>
      </c>
      <c r="L38" s="736" t="s">
        <v>661</v>
      </c>
      <c r="M38" s="736" t="s">
        <v>661</v>
      </c>
      <c r="N38" s="736" t="s">
        <v>661</v>
      </c>
      <c r="O38" s="736" t="s">
        <v>661</v>
      </c>
      <c r="P38" s="735"/>
      <c r="Q38" s="736" t="s">
        <v>661</v>
      </c>
      <c r="R38" s="736" t="s">
        <v>661</v>
      </c>
      <c r="S38" s="736" t="s">
        <v>661</v>
      </c>
      <c r="T38" s="736" t="s">
        <v>661</v>
      </c>
      <c r="U38" s="736" t="s">
        <v>661</v>
      </c>
      <c r="V38" s="736" t="s">
        <v>661</v>
      </c>
      <c r="W38" s="735"/>
      <c r="X38" s="736" t="s">
        <v>661</v>
      </c>
      <c r="Y38" s="736" t="s">
        <v>661</v>
      </c>
      <c r="Z38" s="736" t="s">
        <v>661</v>
      </c>
      <c r="AA38" s="736" t="s">
        <v>661</v>
      </c>
      <c r="AB38" s="736" t="s">
        <v>661</v>
      </c>
      <c r="AC38" s="736" t="s">
        <v>661</v>
      </c>
      <c r="AD38" s="735"/>
      <c r="AE38" s="736" t="s">
        <v>661</v>
      </c>
      <c r="AF38" s="736" t="s">
        <v>661</v>
      </c>
      <c r="AG38" s="736" t="s">
        <v>661</v>
      </c>
      <c r="AH38" s="736" t="s">
        <v>661</v>
      </c>
      <c r="AI38" s="749">
        <f t="shared" si="3"/>
        <v>0</v>
      </c>
      <c r="AJ38" s="749">
        <f t="shared" si="4"/>
        <v>0</v>
      </c>
      <c r="AK38" s="749">
        <f t="shared" si="5"/>
        <v>0</v>
      </c>
    </row>
    <row r="39" spans="2:37">
      <c r="B39" s="724">
        <v>36</v>
      </c>
      <c r="C39" s="734" t="str">
        <f>SISWA!E41</f>
        <v>Anak 36</v>
      </c>
      <c r="D39" s="735"/>
      <c r="E39" s="736" t="s">
        <v>661</v>
      </c>
      <c r="F39" s="736" t="s">
        <v>661</v>
      </c>
      <c r="G39" s="736" t="s">
        <v>661</v>
      </c>
      <c r="H39" s="736" t="s">
        <v>661</v>
      </c>
      <c r="I39" s="735"/>
      <c r="J39" s="736" t="s">
        <v>661</v>
      </c>
      <c r="K39" s="736" t="s">
        <v>661</v>
      </c>
      <c r="L39" s="736" t="s">
        <v>661</v>
      </c>
      <c r="M39" s="736" t="s">
        <v>661</v>
      </c>
      <c r="N39" s="736" t="s">
        <v>661</v>
      </c>
      <c r="O39" s="736" t="s">
        <v>661</v>
      </c>
      <c r="P39" s="735"/>
      <c r="Q39" s="736" t="s">
        <v>661</v>
      </c>
      <c r="R39" s="736" t="s">
        <v>661</v>
      </c>
      <c r="S39" s="736" t="s">
        <v>661</v>
      </c>
      <c r="T39" s="736" t="s">
        <v>661</v>
      </c>
      <c r="U39" s="736" t="s">
        <v>661</v>
      </c>
      <c r="V39" s="736" t="s">
        <v>661</v>
      </c>
      <c r="W39" s="735"/>
      <c r="X39" s="736" t="s">
        <v>661</v>
      </c>
      <c r="Y39" s="736" t="s">
        <v>661</v>
      </c>
      <c r="Z39" s="736" t="s">
        <v>661</v>
      </c>
      <c r="AA39" s="736" t="s">
        <v>661</v>
      </c>
      <c r="AB39" s="736" t="s">
        <v>661</v>
      </c>
      <c r="AC39" s="736" t="s">
        <v>661</v>
      </c>
      <c r="AD39" s="735"/>
      <c r="AE39" s="736" t="s">
        <v>661</v>
      </c>
      <c r="AF39" s="736" t="s">
        <v>661</v>
      </c>
      <c r="AG39" s="736" t="s">
        <v>661</v>
      </c>
      <c r="AH39" s="736" t="s">
        <v>661</v>
      </c>
      <c r="AI39" s="749">
        <f t="shared" si="3"/>
        <v>0</v>
      </c>
      <c r="AJ39" s="749">
        <f t="shared" si="4"/>
        <v>0</v>
      </c>
      <c r="AK39" s="749">
        <f t="shared" si="5"/>
        <v>0</v>
      </c>
    </row>
    <row r="40" spans="2:37">
      <c r="B40" s="724">
        <v>37</v>
      </c>
      <c r="C40" s="734" t="str">
        <f>SISWA!E42</f>
        <v>Anak 37</v>
      </c>
      <c r="D40" s="735"/>
      <c r="E40" s="736" t="s">
        <v>661</v>
      </c>
      <c r="F40" s="736" t="s">
        <v>661</v>
      </c>
      <c r="G40" s="736" t="s">
        <v>661</v>
      </c>
      <c r="H40" s="736" t="s">
        <v>661</v>
      </c>
      <c r="I40" s="735"/>
      <c r="J40" s="736" t="s">
        <v>661</v>
      </c>
      <c r="K40" s="736" t="s">
        <v>661</v>
      </c>
      <c r="L40" s="736" t="s">
        <v>661</v>
      </c>
      <c r="M40" s="736" t="s">
        <v>661</v>
      </c>
      <c r="N40" s="736" t="s">
        <v>661</v>
      </c>
      <c r="O40" s="736" t="s">
        <v>661</v>
      </c>
      <c r="P40" s="735"/>
      <c r="Q40" s="736" t="s">
        <v>661</v>
      </c>
      <c r="R40" s="736" t="s">
        <v>661</v>
      </c>
      <c r="S40" s="736" t="s">
        <v>661</v>
      </c>
      <c r="T40" s="736" t="s">
        <v>661</v>
      </c>
      <c r="U40" s="736" t="s">
        <v>661</v>
      </c>
      <c r="V40" s="736" t="s">
        <v>661</v>
      </c>
      <c r="W40" s="735"/>
      <c r="X40" s="736" t="s">
        <v>661</v>
      </c>
      <c r="Y40" s="736" t="s">
        <v>661</v>
      </c>
      <c r="Z40" s="736" t="s">
        <v>661</v>
      </c>
      <c r="AA40" s="736" t="s">
        <v>661</v>
      </c>
      <c r="AB40" s="736" t="s">
        <v>661</v>
      </c>
      <c r="AC40" s="736" t="s">
        <v>661</v>
      </c>
      <c r="AD40" s="735"/>
      <c r="AE40" s="736" t="s">
        <v>661</v>
      </c>
      <c r="AF40" s="736" t="s">
        <v>661</v>
      </c>
      <c r="AG40" s="736" t="s">
        <v>661</v>
      </c>
      <c r="AH40" s="736" t="s">
        <v>661</v>
      </c>
      <c r="AI40" s="749">
        <f t="shared" si="3"/>
        <v>0</v>
      </c>
      <c r="AJ40" s="749">
        <f t="shared" si="4"/>
        <v>0</v>
      </c>
      <c r="AK40" s="749">
        <f t="shared" si="5"/>
        <v>0</v>
      </c>
    </row>
    <row r="41" spans="2:37">
      <c r="B41" s="724">
        <v>38</v>
      </c>
      <c r="C41" s="734" t="str">
        <f>SISWA!E43</f>
        <v>Anak 38</v>
      </c>
      <c r="D41" s="735"/>
      <c r="E41" s="736" t="s">
        <v>661</v>
      </c>
      <c r="F41" s="736" t="s">
        <v>661</v>
      </c>
      <c r="G41" s="736" t="s">
        <v>661</v>
      </c>
      <c r="H41" s="736" t="s">
        <v>661</v>
      </c>
      <c r="I41" s="735"/>
      <c r="J41" s="736" t="s">
        <v>661</v>
      </c>
      <c r="K41" s="736" t="s">
        <v>661</v>
      </c>
      <c r="L41" s="736" t="s">
        <v>661</v>
      </c>
      <c r="M41" s="736" t="s">
        <v>661</v>
      </c>
      <c r="N41" s="736" t="s">
        <v>661</v>
      </c>
      <c r="O41" s="736" t="s">
        <v>661</v>
      </c>
      <c r="P41" s="735"/>
      <c r="Q41" s="736" t="s">
        <v>661</v>
      </c>
      <c r="R41" s="736" t="s">
        <v>661</v>
      </c>
      <c r="S41" s="736" t="s">
        <v>661</v>
      </c>
      <c r="T41" s="736" t="s">
        <v>661</v>
      </c>
      <c r="U41" s="736" t="s">
        <v>661</v>
      </c>
      <c r="V41" s="736" t="s">
        <v>661</v>
      </c>
      <c r="W41" s="735"/>
      <c r="X41" s="736" t="s">
        <v>661</v>
      </c>
      <c r="Y41" s="736" t="s">
        <v>661</v>
      </c>
      <c r="Z41" s="736" t="s">
        <v>661</v>
      </c>
      <c r="AA41" s="736" t="s">
        <v>661</v>
      </c>
      <c r="AB41" s="736" t="s">
        <v>661</v>
      </c>
      <c r="AC41" s="736" t="s">
        <v>661</v>
      </c>
      <c r="AD41" s="735"/>
      <c r="AE41" s="736" t="s">
        <v>661</v>
      </c>
      <c r="AF41" s="736" t="s">
        <v>661</v>
      </c>
      <c r="AG41" s="736" t="s">
        <v>661</v>
      </c>
      <c r="AH41" s="736" t="s">
        <v>661</v>
      </c>
      <c r="AI41" s="749">
        <f t="shared" si="3"/>
        <v>0</v>
      </c>
      <c r="AJ41" s="749">
        <f t="shared" si="4"/>
        <v>0</v>
      </c>
      <c r="AK41" s="749">
        <f t="shared" si="5"/>
        <v>0</v>
      </c>
    </row>
    <row r="42" spans="2:37">
      <c r="B42" s="724">
        <v>39</v>
      </c>
      <c r="C42" s="734" t="str">
        <f>SISWA!E44</f>
        <v>Anak 39</v>
      </c>
      <c r="D42" s="735"/>
      <c r="E42" s="736" t="s">
        <v>661</v>
      </c>
      <c r="F42" s="736" t="s">
        <v>661</v>
      </c>
      <c r="G42" s="736" t="s">
        <v>661</v>
      </c>
      <c r="H42" s="736" t="s">
        <v>661</v>
      </c>
      <c r="I42" s="735"/>
      <c r="J42" s="736" t="s">
        <v>661</v>
      </c>
      <c r="K42" s="736" t="s">
        <v>661</v>
      </c>
      <c r="L42" s="736" t="s">
        <v>661</v>
      </c>
      <c r="M42" s="736" t="s">
        <v>661</v>
      </c>
      <c r="N42" s="736" t="s">
        <v>661</v>
      </c>
      <c r="O42" s="736" t="s">
        <v>661</v>
      </c>
      <c r="P42" s="735"/>
      <c r="Q42" s="736" t="s">
        <v>661</v>
      </c>
      <c r="R42" s="736" t="s">
        <v>661</v>
      </c>
      <c r="S42" s="736" t="s">
        <v>661</v>
      </c>
      <c r="T42" s="736" t="s">
        <v>661</v>
      </c>
      <c r="U42" s="736" t="s">
        <v>661</v>
      </c>
      <c r="V42" s="736" t="s">
        <v>661</v>
      </c>
      <c r="W42" s="735"/>
      <c r="X42" s="736" t="s">
        <v>661</v>
      </c>
      <c r="Y42" s="736" t="s">
        <v>661</v>
      </c>
      <c r="Z42" s="736" t="s">
        <v>661</v>
      </c>
      <c r="AA42" s="736" t="s">
        <v>661</v>
      </c>
      <c r="AB42" s="736" t="s">
        <v>661</v>
      </c>
      <c r="AC42" s="736" t="s">
        <v>661</v>
      </c>
      <c r="AD42" s="735"/>
      <c r="AE42" s="736" t="s">
        <v>661</v>
      </c>
      <c r="AF42" s="736" t="s">
        <v>661</v>
      </c>
      <c r="AG42" s="736" t="s">
        <v>661</v>
      </c>
      <c r="AH42" s="736" t="s">
        <v>661</v>
      </c>
      <c r="AI42" s="749">
        <f t="shared" si="3"/>
        <v>0</v>
      </c>
      <c r="AJ42" s="749">
        <f t="shared" si="4"/>
        <v>0</v>
      </c>
      <c r="AK42" s="749">
        <f t="shared" si="5"/>
        <v>0</v>
      </c>
    </row>
    <row r="43" spans="2:37">
      <c r="B43" s="724">
        <v>40</v>
      </c>
      <c r="C43" s="734" t="str">
        <f>SISWA!E45</f>
        <v>Anak 40</v>
      </c>
      <c r="D43" s="735"/>
      <c r="E43" s="736" t="s">
        <v>661</v>
      </c>
      <c r="F43" s="736" t="s">
        <v>661</v>
      </c>
      <c r="G43" s="736" t="s">
        <v>661</v>
      </c>
      <c r="H43" s="736" t="s">
        <v>661</v>
      </c>
      <c r="I43" s="735"/>
      <c r="J43" s="736" t="s">
        <v>661</v>
      </c>
      <c r="K43" s="736" t="s">
        <v>661</v>
      </c>
      <c r="L43" s="736" t="s">
        <v>661</v>
      </c>
      <c r="M43" s="736" t="s">
        <v>661</v>
      </c>
      <c r="N43" s="736" t="s">
        <v>661</v>
      </c>
      <c r="O43" s="736" t="s">
        <v>661</v>
      </c>
      <c r="P43" s="735"/>
      <c r="Q43" s="736" t="s">
        <v>661</v>
      </c>
      <c r="R43" s="736" t="s">
        <v>661</v>
      </c>
      <c r="S43" s="736" t="s">
        <v>661</v>
      </c>
      <c r="T43" s="736" t="s">
        <v>661</v>
      </c>
      <c r="U43" s="736" t="s">
        <v>661</v>
      </c>
      <c r="V43" s="736" t="s">
        <v>661</v>
      </c>
      <c r="W43" s="735"/>
      <c r="X43" s="736" t="s">
        <v>661</v>
      </c>
      <c r="Y43" s="736" t="s">
        <v>661</v>
      </c>
      <c r="Z43" s="736" t="s">
        <v>661</v>
      </c>
      <c r="AA43" s="736" t="s">
        <v>661</v>
      </c>
      <c r="AB43" s="736" t="s">
        <v>661</v>
      </c>
      <c r="AC43" s="736" t="s">
        <v>661</v>
      </c>
      <c r="AD43" s="735"/>
      <c r="AE43" s="736" t="s">
        <v>661</v>
      </c>
      <c r="AF43" s="736" t="s">
        <v>661</v>
      </c>
      <c r="AG43" s="736" t="s">
        <v>661</v>
      </c>
      <c r="AH43" s="736" t="s">
        <v>661</v>
      </c>
      <c r="AI43" s="749">
        <f t="shared" si="3"/>
        <v>0</v>
      </c>
      <c r="AJ43" s="749">
        <f t="shared" si="4"/>
        <v>0</v>
      </c>
      <c r="AK43" s="749">
        <f t="shared" si="5"/>
        <v>0</v>
      </c>
    </row>
    <row r="44" spans="2:37">
      <c r="B44" s="724">
        <v>41</v>
      </c>
      <c r="C44" s="734" t="str">
        <f>SISWA!E46</f>
        <v>Anak 41</v>
      </c>
      <c r="D44" s="735"/>
      <c r="E44" s="736" t="s">
        <v>661</v>
      </c>
      <c r="F44" s="736" t="s">
        <v>661</v>
      </c>
      <c r="G44" s="736" t="s">
        <v>661</v>
      </c>
      <c r="H44" s="736" t="s">
        <v>661</v>
      </c>
      <c r="I44" s="735"/>
      <c r="J44" s="736" t="s">
        <v>661</v>
      </c>
      <c r="K44" s="736" t="s">
        <v>661</v>
      </c>
      <c r="L44" s="736" t="s">
        <v>661</v>
      </c>
      <c r="M44" s="736" t="s">
        <v>661</v>
      </c>
      <c r="N44" s="736" t="s">
        <v>661</v>
      </c>
      <c r="O44" s="736" t="s">
        <v>661</v>
      </c>
      <c r="P44" s="735"/>
      <c r="Q44" s="736" t="s">
        <v>661</v>
      </c>
      <c r="R44" s="736" t="s">
        <v>661</v>
      </c>
      <c r="S44" s="736" t="s">
        <v>661</v>
      </c>
      <c r="T44" s="736" t="s">
        <v>661</v>
      </c>
      <c r="U44" s="736" t="s">
        <v>661</v>
      </c>
      <c r="V44" s="736" t="s">
        <v>661</v>
      </c>
      <c r="W44" s="735"/>
      <c r="X44" s="736" t="s">
        <v>661</v>
      </c>
      <c r="Y44" s="736" t="s">
        <v>661</v>
      </c>
      <c r="Z44" s="736" t="s">
        <v>661</v>
      </c>
      <c r="AA44" s="736" t="s">
        <v>661</v>
      </c>
      <c r="AB44" s="736" t="s">
        <v>661</v>
      </c>
      <c r="AC44" s="736" t="s">
        <v>661</v>
      </c>
      <c r="AD44" s="735"/>
      <c r="AE44" s="736" t="s">
        <v>661</v>
      </c>
      <c r="AF44" s="736" t="s">
        <v>661</v>
      </c>
      <c r="AG44" s="736" t="s">
        <v>661</v>
      </c>
      <c r="AH44" s="736" t="s">
        <v>661</v>
      </c>
      <c r="AI44" s="749">
        <f t="shared" si="3"/>
        <v>0</v>
      </c>
      <c r="AJ44" s="749">
        <f t="shared" si="4"/>
        <v>0</v>
      </c>
      <c r="AK44" s="749">
        <f t="shared" si="5"/>
        <v>0</v>
      </c>
    </row>
    <row r="45" spans="2:37">
      <c r="B45" s="724">
        <v>42</v>
      </c>
      <c r="C45" s="734" t="str">
        <f>SISWA!E47</f>
        <v>Anak 42</v>
      </c>
      <c r="D45" s="735"/>
      <c r="E45" s="736" t="s">
        <v>661</v>
      </c>
      <c r="F45" s="736" t="s">
        <v>661</v>
      </c>
      <c r="G45" s="736" t="s">
        <v>661</v>
      </c>
      <c r="H45" s="736" t="s">
        <v>661</v>
      </c>
      <c r="I45" s="735"/>
      <c r="J45" s="736" t="s">
        <v>661</v>
      </c>
      <c r="K45" s="736" t="s">
        <v>661</v>
      </c>
      <c r="L45" s="736" t="s">
        <v>661</v>
      </c>
      <c r="M45" s="736" t="s">
        <v>661</v>
      </c>
      <c r="N45" s="736" t="s">
        <v>661</v>
      </c>
      <c r="O45" s="736" t="s">
        <v>661</v>
      </c>
      <c r="P45" s="735"/>
      <c r="Q45" s="736" t="s">
        <v>661</v>
      </c>
      <c r="R45" s="736" t="s">
        <v>661</v>
      </c>
      <c r="S45" s="736" t="s">
        <v>661</v>
      </c>
      <c r="T45" s="736" t="s">
        <v>661</v>
      </c>
      <c r="U45" s="736" t="s">
        <v>661</v>
      </c>
      <c r="V45" s="736" t="s">
        <v>661</v>
      </c>
      <c r="W45" s="735"/>
      <c r="X45" s="736" t="s">
        <v>661</v>
      </c>
      <c r="Y45" s="736" t="s">
        <v>661</v>
      </c>
      <c r="Z45" s="736" t="s">
        <v>661</v>
      </c>
      <c r="AA45" s="736" t="s">
        <v>661</v>
      </c>
      <c r="AB45" s="736" t="s">
        <v>661</v>
      </c>
      <c r="AC45" s="736" t="s">
        <v>661</v>
      </c>
      <c r="AD45" s="735"/>
      <c r="AE45" s="736" t="s">
        <v>661</v>
      </c>
      <c r="AF45" s="736" t="s">
        <v>661</v>
      </c>
      <c r="AG45" s="736" t="s">
        <v>661</v>
      </c>
      <c r="AH45" s="736" t="s">
        <v>661</v>
      </c>
      <c r="AI45" s="749">
        <f t="shared" si="3"/>
        <v>0</v>
      </c>
      <c r="AJ45" s="749">
        <f t="shared" si="4"/>
        <v>0</v>
      </c>
      <c r="AK45" s="749">
        <f t="shared" si="5"/>
        <v>0</v>
      </c>
    </row>
    <row r="46" spans="2:37">
      <c r="B46" s="724">
        <v>43</v>
      </c>
      <c r="C46" s="734" t="str">
        <f>SISWA!E48</f>
        <v>Anak 43</v>
      </c>
      <c r="D46" s="735"/>
      <c r="E46" s="736" t="s">
        <v>661</v>
      </c>
      <c r="F46" s="736" t="s">
        <v>661</v>
      </c>
      <c r="G46" s="736" t="s">
        <v>661</v>
      </c>
      <c r="H46" s="736" t="s">
        <v>661</v>
      </c>
      <c r="I46" s="735"/>
      <c r="J46" s="736" t="s">
        <v>661</v>
      </c>
      <c r="K46" s="736" t="s">
        <v>661</v>
      </c>
      <c r="L46" s="736" t="s">
        <v>661</v>
      </c>
      <c r="M46" s="736" t="s">
        <v>661</v>
      </c>
      <c r="N46" s="736" t="s">
        <v>661</v>
      </c>
      <c r="O46" s="736" t="s">
        <v>661</v>
      </c>
      <c r="P46" s="735"/>
      <c r="Q46" s="736" t="s">
        <v>661</v>
      </c>
      <c r="R46" s="736" t="s">
        <v>661</v>
      </c>
      <c r="S46" s="736" t="s">
        <v>661</v>
      </c>
      <c r="T46" s="736" t="s">
        <v>661</v>
      </c>
      <c r="U46" s="736" t="s">
        <v>661</v>
      </c>
      <c r="V46" s="736" t="s">
        <v>661</v>
      </c>
      <c r="W46" s="735"/>
      <c r="X46" s="736" t="s">
        <v>661</v>
      </c>
      <c r="Y46" s="736" t="s">
        <v>661</v>
      </c>
      <c r="Z46" s="736" t="s">
        <v>661</v>
      </c>
      <c r="AA46" s="736" t="s">
        <v>661</v>
      </c>
      <c r="AB46" s="736" t="s">
        <v>661</v>
      </c>
      <c r="AC46" s="736" t="s">
        <v>661</v>
      </c>
      <c r="AD46" s="735"/>
      <c r="AE46" s="736" t="s">
        <v>661</v>
      </c>
      <c r="AF46" s="736" t="s">
        <v>661</v>
      </c>
      <c r="AG46" s="736" t="s">
        <v>661</v>
      </c>
      <c r="AH46" s="736" t="s">
        <v>661</v>
      </c>
      <c r="AI46" s="749">
        <f t="shared" si="3"/>
        <v>0</v>
      </c>
      <c r="AJ46" s="749">
        <f t="shared" si="4"/>
        <v>0</v>
      </c>
      <c r="AK46" s="749">
        <f t="shared" si="5"/>
        <v>0</v>
      </c>
    </row>
    <row r="47" spans="2:37">
      <c r="B47" s="724">
        <v>44</v>
      </c>
      <c r="C47" s="734" t="str">
        <f>SISWA!E49</f>
        <v>Anak 44</v>
      </c>
      <c r="D47" s="735"/>
      <c r="E47" s="736" t="s">
        <v>661</v>
      </c>
      <c r="F47" s="736" t="s">
        <v>661</v>
      </c>
      <c r="G47" s="736" t="s">
        <v>661</v>
      </c>
      <c r="H47" s="736" t="s">
        <v>661</v>
      </c>
      <c r="I47" s="735"/>
      <c r="J47" s="736" t="s">
        <v>661</v>
      </c>
      <c r="K47" s="736" t="s">
        <v>661</v>
      </c>
      <c r="L47" s="736" t="s">
        <v>661</v>
      </c>
      <c r="M47" s="736" t="s">
        <v>661</v>
      </c>
      <c r="N47" s="736" t="s">
        <v>661</v>
      </c>
      <c r="O47" s="736" t="s">
        <v>661</v>
      </c>
      <c r="P47" s="735"/>
      <c r="Q47" s="736" t="s">
        <v>661</v>
      </c>
      <c r="R47" s="736" t="s">
        <v>661</v>
      </c>
      <c r="S47" s="736" t="s">
        <v>661</v>
      </c>
      <c r="T47" s="736" t="s">
        <v>661</v>
      </c>
      <c r="U47" s="736" t="s">
        <v>661</v>
      </c>
      <c r="V47" s="736" t="s">
        <v>661</v>
      </c>
      <c r="W47" s="735"/>
      <c r="X47" s="736" t="s">
        <v>661</v>
      </c>
      <c r="Y47" s="736" t="s">
        <v>661</v>
      </c>
      <c r="Z47" s="736" t="s">
        <v>661</v>
      </c>
      <c r="AA47" s="736" t="s">
        <v>661</v>
      </c>
      <c r="AB47" s="736" t="s">
        <v>661</v>
      </c>
      <c r="AC47" s="736" t="s">
        <v>661</v>
      </c>
      <c r="AD47" s="735"/>
      <c r="AE47" s="736" t="s">
        <v>661</v>
      </c>
      <c r="AF47" s="736" t="s">
        <v>661</v>
      </c>
      <c r="AG47" s="736" t="s">
        <v>661</v>
      </c>
      <c r="AH47" s="736" t="s">
        <v>661</v>
      </c>
      <c r="AI47" s="749">
        <f t="shared" si="3"/>
        <v>0</v>
      </c>
      <c r="AJ47" s="749">
        <f t="shared" si="4"/>
        <v>0</v>
      </c>
      <c r="AK47" s="749">
        <f t="shared" si="5"/>
        <v>0</v>
      </c>
    </row>
    <row r="48" spans="2:37">
      <c r="B48" s="724">
        <v>45</v>
      </c>
      <c r="C48" s="734" t="str">
        <f>SISWA!E50</f>
        <v>Anak 45</v>
      </c>
      <c r="D48" s="735"/>
      <c r="E48" s="736" t="s">
        <v>661</v>
      </c>
      <c r="F48" s="736" t="s">
        <v>661</v>
      </c>
      <c r="G48" s="736" t="s">
        <v>661</v>
      </c>
      <c r="H48" s="736" t="s">
        <v>661</v>
      </c>
      <c r="I48" s="735"/>
      <c r="J48" s="736" t="s">
        <v>661</v>
      </c>
      <c r="K48" s="736" t="s">
        <v>661</v>
      </c>
      <c r="L48" s="736" t="s">
        <v>661</v>
      </c>
      <c r="M48" s="736" t="s">
        <v>661</v>
      </c>
      <c r="N48" s="736" t="s">
        <v>661</v>
      </c>
      <c r="O48" s="736" t="s">
        <v>661</v>
      </c>
      <c r="P48" s="735"/>
      <c r="Q48" s="736" t="s">
        <v>661</v>
      </c>
      <c r="R48" s="736" t="s">
        <v>661</v>
      </c>
      <c r="S48" s="736" t="s">
        <v>661</v>
      </c>
      <c r="T48" s="736" t="s">
        <v>661</v>
      </c>
      <c r="U48" s="736" t="s">
        <v>661</v>
      </c>
      <c r="V48" s="736" t="s">
        <v>661</v>
      </c>
      <c r="W48" s="735"/>
      <c r="X48" s="736" t="s">
        <v>661</v>
      </c>
      <c r="Y48" s="736" t="s">
        <v>661</v>
      </c>
      <c r="Z48" s="736" t="s">
        <v>661</v>
      </c>
      <c r="AA48" s="736" t="s">
        <v>661</v>
      </c>
      <c r="AB48" s="736" t="s">
        <v>661</v>
      </c>
      <c r="AC48" s="736" t="s">
        <v>661</v>
      </c>
      <c r="AD48" s="735"/>
      <c r="AE48" s="736" t="s">
        <v>661</v>
      </c>
      <c r="AF48" s="736" t="s">
        <v>661</v>
      </c>
      <c r="AG48" s="736" t="s">
        <v>661</v>
      </c>
      <c r="AH48" s="736" t="s">
        <v>661</v>
      </c>
      <c r="AI48" s="749">
        <f t="shared" si="3"/>
        <v>0</v>
      </c>
      <c r="AJ48" s="749">
        <f t="shared" si="4"/>
        <v>0</v>
      </c>
      <c r="AK48" s="749">
        <f t="shared" si="5"/>
        <v>0</v>
      </c>
    </row>
    <row r="49" spans="2:37">
      <c r="B49" s="724">
        <v>46</v>
      </c>
      <c r="C49" s="734" t="str">
        <f>SISWA!E51</f>
        <v>Anak 46</v>
      </c>
      <c r="D49" s="735"/>
      <c r="E49" s="736" t="s">
        <v>661</v>
      </c>
      <c r="F49" s="736" t="s">
        <v>661</v>
      </c>
      <c r="G49" s="736" t="s">
        <v>661</v>
      </c>
      <c r="H49" s="736" t="s">
        <v>661</v>
      </c>
      <c r="I49" s="735"/>
      <c r="J49" s="736" t="s">
        <v>661</v>
      </c>
      <c r="K49" s="736" t="s">
        <v>661</v>
      </c>
      <c r="L49" s="736" t="s">
        <v>661</v>
      </c>
      <c r="M49" s="736" t="s">
        <v>661</v>
      </c>
      <c r="N49" s="736" t="s">
        <v>661</v>
      </c>
      <c r="O49" s="736" t="s">
        <v>661</v>
      </c>
      <c r="P49" s="735"/>
      <c r="Q49" s="736" t="s">
        <v>661</v>
      </c>
      <c r="R49" s="736" t="s">
        <v>661</v>
      </c>
      <c r="S49" s="736" t="s">
        <v>661</v>
      </c>
      <c r="T49" s="736" t="s">
        <v>661</v>
      </c>
      <c r="U49" s="736" t="s">
        <v>661</v>
      </c>
      <c r="V49" s="736" t="s">
        <v>661</v>
      </c>
      <c r="W49" s="735"/>
      <c r="X49" s="736" t="s">
        <v>661</v>
      </c>
      <c r="Y49" s="736" t="s">
        <v>661</v>
      </c>
      <c r="Z49" s="736" t="s">
        <v>661</v>
      </c>
      <c r="AA49" s="736" t="s">
        <v>661</v>
      </c>
      <c r="AB49" s="736" t="s">
        <v>661</v>
      </c>
      <c r="AC49" s="736" t="s">
        <v>661</v>
      </c>
      <c r="AD49" s="735"/>
      <c r="AE49" s="736" t="s">
        <v>661</v>
      </c>
      <c r="AF49" s="736" t="s">
        <v>661</v>
      </c>
      <c r="AG49" s="736" t="s">
        <v>661</v>
      </c>
      <c r="AH49" s="736" t="s">
        <v>661</v>
      </c>
      <c r="AI49" s="749">
        <f t="shared" si="3"/>
        <v>0</v>
      </c>
      <c r="AJ49" s="749">
        <f t="shared" si="4"/>
        <v>0</v>
      </c>
      <c r="AK49" s="749">
        <f t="shared" si="5"/>
        <v>0</v>
      </c>
    </row>
    <row r="50" spans="2:37">
      <c r="B50" s="724">
        <v>47</v>
      </c>
      <c r="C50" s="734" t="str">
        <f>SISWA!E52</f>
        <v>Anak 47</v>
      </c>
      <c r="D50" s="735"/>
      <c r="E50" s="736" t="s">
        <v>661</v>
      </c>
      <c r="F50" s="736" t="s">
        <v>661</v>
      </c>
      <c r="G50" s="736" t="s">
        <v>661</v>
      </c>
      <c r="H50" s="736" t="s">
        <v>661</v>
      </c>
      <c r="I50" s="735"/>
      <c r="J50" s="736" t="s">
        <v>661</v>
      </c>
      <c r="K50" s="736" t="s">
        <v>661</v>
      </c>
      <c r="L50" s="736" t="s">
        <v>661</v>
      </c>
      <c r="M50" s="736" t="s">
        <v>661</v>
      </c>
      <c r="N50" s="736" t="s">
        <v>661</v>
      </c>
      <c r="O50" s="736" t="s">
        <v>661</v>
      </c>
      <c r="P50" s="735"/>
      <c r="Q50" s="736" t="s">
        <v>661</v>
      </c>
      <c r="R50" s="736" t="s">
        <v>661</v>
      </c>
      <c r="S50" s="736" t="s">
        <v>661</v>
      </c>
      <c r="T50" s="736" t="s">
        <v>661</v>
      </c>
      <c r="U50" s="736" t="s">
        <v>661</v>
      </c>
      <c r="V50" s="736" t="s">
        <v>661</v>
      </c>
      <c r="W50" s="735"/>
      <c r="X50" s="736" t="s">
        <v>661</v>
      </c>
      <c r="Y50" s="736" t="s">
        <v>661</v>
      </c>
      <c r="Z50" s="736" t="s">
        <v>661</v>
      </c>
      <c r="AA50" s="736" t="s">
        <v>661</v>
      </c>
      <c r="AB50" s="736" t="s">
        <v>661</v>
      </c>
      <c r="AC50" s="736" t="s">
        <v>661</v>
      </c>
      <c r="AD50" s="735"/>
      <c r="AE50" s="736" t="s">
        <v>661</v>
      </c>
      <c r="AF50" s="736" t="s">
        <v>661</v>
      </c>
      <c r="AG50" s="736" t="s">
        <v>661</v>
      </c>
      <c r="AH50" s="736" t="s">
        <v>661</v>
      </c>
      <c r="AI50" s="749">
        <f t="shared" si="3"/>
        <v>0</v>
      </c>
      <c r="AJ50" s="749">
        <f t="shared" si="4"/>
        <v>0</v>
      </c>
      <c r="AK50" s="749">
        <f t="shared" si="5"/>
        <v>0</v>
      </c>
    </row>
    <row r="51" spans="2:37">
      <c r="B51" s="724">
        <v>48</v>
      </c>
      <c r="C51" s="734" t="str">
        <f>SISWA!E53</f>
        <v>Anak 48</v>
      </c>
      <c r="D51" s="735"/>
      <c r="E51" s="736" t="s">
        <v>661</v>
      </c>
      <c r="F51" s="736" t="s">
        <v>661</v>
      </c>
      <c r="G51" s="736" t="s">
        <v>661</v>
      </c>
      <c r="H51" s="736" t="s">
        <v>661</v>
      </c>
      <c r="I51" s="735"/>
      <c r="J51" s="736" t="s">
        <v>661</v>
      </c>
      <c r="K51" s="736" t="s">
        <v>661</v>
      </c>
      <c r="L51" s="736" t="s">
        <v>661</v>
      </c>
      <c r="M51" s="736" t="s">
        <v>661</v>
      </c>
      <c r="N51" s="736" t="s">
        <v>661</v>
      </c>
      <c r="O51" s="736" t="s">
        <v>661</v>
      </c>
      <c r="P51" s="735"/>
      <c r="Q51" s="736" t="s">
        <v>661</v>
      </c>
      <c r="R51" s="736" t="s">
        <v>661</v>
      </c>
      <c r="S51" s="736" t="s">
        <v>661</v>
      </c>
      <c r="T51" s="736" t="s">
        <v>661</v>
      </c>
      <c r="U51" s="736" t="s">
        <v>661</v>
      </c>
      <c r="V51" s="736" t="s">
        <v>661</v>
      </c>
      <c r="W51" s="735"/>
      <c r="X51" s="736" t="s">
        <v>661</v>
      </c>
      <c r="Y51" s="736" t="s">
        <v>661</v>
      </c>
      <c r="Z51" s="736" t="s">
        <v>661</v>
      </c>
      <c r="AA51" s="736" t="s">
        <v>661</v>
      </c>
      <c r="AB51" s="736" t="s">
        <v>661</v>
      </c>
      <c r="AC51" s="736" t="s">
        <v>661</v>
      </c>
      <c r="AD51" s="735"/>
      <c r="AE51" s="736" t="s">
        <v>661</v>
      </c>
      <c r="AF51" s="736" t="s">
        <v>661</v>
      </c>
      <c r="AG51" s="736" t="s">
        <v>661</v>
      </c>
      <c r="AH51" s="736" t="s">
        <v>661</v>
      </c>
      <c r="AI51" s="749">
        <f t="shared" si="3"/>
        <v>0</v>
      </c>
      <c r="AJ51" s="749">
        <f t="shared" si="4"/>
        <v>0</v>
      </c>
      <c r="AK51" s="749">
        <f t="shared" si="5"/>
        <v>0</v>
      </c>
    </row>
    <row r="52" spans="2:37">
      <c r="B52" s="724">
        <v>49</v>
      </c>
      <c r="C52" s="734" t="str">
        <f>SISWA!E54</f>
        <v>Anak 49</v>
      </c>
      <c r="D52" s="735"/>
      <c r="E52" s="736" t="s">
        <v>661</v>
      </c>
      <c r="F52" s="736" t="s">
        <v>661</v>
      </c>
      <c r="G52" s="736" t="s">
        <v>661</v>
      </c>
      <c r="H52" s="736" t="s">
        <v>661</v>
      </c>
      <c r="I52" s="735"/>
      <c r="J52" s="736" t="s">
        <v>661</v>
      </c>
      <c r="K52" s="736" t="s">
        <v>661</v>
      </c>
      <c r="L52" s="736" t="s">
        <v>661</v>
      </c>
      <c r="M52" s="736" t="s">
        <v>661</v>
      </c>
      <c r="N52" s="736" t="s">
        <v>661</v>
      </c>
      <c r="O52" s="736" t="s">
        <v>661</v>
      </c>
      <c r="P52" s="735"/>
      <c r="Q52" s="736" t="s">
        <v>661</v>
      </c>
      <c r="R52" s="736" t="s">
        <v>661</v>
      </c>
      <c r="S52" s="736" t="s">
        <v>661</v>
      </c>
      <c r="T52" s="736" t="s">
        <v>661</v>
      </c>
      <c r="U52" s="736" t="s">
        <v>661</v>
      </c>
      <c r="V52" s="736" t="s">
        <v>661</v>
      </c>
      <c r="W52" s="735"/>
      <c r="X52" s="736" t="s">
        <v>661</v>
      </c>
      <c r="Y52" s="736" t="s">
        <v>661</v>
      </c>
      <c r="Z52" s="736" t="s">
        <v>661</v>
      </c>
      <c r="AA52" s="736" t="s">
        <v>661</v>
      </c>
      <c r="AB52" s="736" t="s">
        <v>661</v>
      </c>
      <c r="AC52" s="736" t="s">
        <v>661</v>
      </c>
      <c r="AD52" s="735"/>
      <c r="AE52" s="736" t="s">
        <v>661</v>
      </c>
      <c r="AF52" s="736" t="s">
        <v>661</v>
      </c>
      <c r="AG52" s="736" t="s">
        <v>661</v>
      </c>
      <c r="AH52" s="736" t="s">
        <v>661</v>
      </c>
      <c r="AI52" s="749">
        <f t="shared" si="3"/>
        <v>0</v>
      </c>
      <c r="AJ52" s="749">
        <f t="shared" si="4"/>
        <v>0</v>
      </c>
      <c r="AK52" s="749">
        <f t="shared" si="5"/>
        <v>0</v>
      </c>
    </row>
    <row r="53" spans="2:37">
      <c r="B53" s="724">
        <v>50</v>
      </c>
      <c r="C53" s="734" t="str">
        <f>SISWA!E55</f>
        <v>Anak 50</v>
      </c>
      <c r="D53" s="735"/>
      <c r="E53" s="736" t="s">
        <v>661</v>
      </c>
      <c r="F53" s="736" t="s">
        <v>661</v>
      </c>
      <c r="G53" s="736" t="s">
        <v>661</v>
      </c>
      <c r="H53" s="736" t="s">
        <v>661</v>
      </c>
      <c r="I53" s="735"/>
      <c r="J53" s="736" t="s">
        <v>661</v>
      </c>
      <c r="K53" s="736" t="s">
        <v>661</v>
      </c>
      <c r="L53" s="736" t="s">
        <v>661</v>
      </c>
      <c r="M53" s="736" t="s">
        <v>661</v>
      </c>
      <c r="N53" s="736" t="s">
        <v>661</v>
      </c>
      <c r="O53" s="736" t="s">
        <v>661</v>
      </c>
      <c r="P53" s="735"/>
      <c r="Q53" s="736" t="s">
        <v>661</v>
      </c>
      <c r="R53" s="736" t="s">
        <v>661</v>
      </c>
      <c r="S53" s="736" t="s">
        <v>661</v>
      </c>
      <c r="T53" s="736" t="s">
        <v>661</v>
      </c>
      <c r="U53" s="736" t="s">
        <v>661</v>
      </c>
      <c r="V53" s="736" t="s">
        <v>661</v>
      </c>
      <c r="W53" s="735"/>
      <c r="X53" s="736" t="s">
        <v>661</v>
      </c>
      <c r="Y53" s="736" t="s">
        <v>661</v>
      </c>
      <c r="Z53" s="736" t="s">
        <v>661</v>
      </c>
      <c r="AA53" s="736" t="s">
        <v>661</v>
      </c>
      <c r="AB53" s="736" t="s">
        <v>661</v>
      </c>
      <c r="AC53" s="736" t="s">
        <v>661</v>
      </c>
      <c r="AD53" s="735"/>
      <c r="AE53" s="736" t="s">
        <v>661</v>
      </c>
      <c r="AF53" s="736" t="s">
        <v>661</v>
      </c>
      <c r="AG53" s="736" t="s">
        <v>661</v>
      </c>
      <c r="AH53" s="736" t="s">
        <v>661</v>
      </c>
      <c r="AI53" s="749">
        <f t="shared" si="3"/>
        <v>0</v>
      </c>
      <c r="AJ53" s="749">
        <f t="shared" si="4"/>
        <v>0</v>
      </c>
      <c r="AK53" s="749">
        <f t="shared" si="5"/>
        <v>0</v>
      </c>
    </row>
    <row r="54" spans="2:37">
      <c r="B54" s="471"/>
      <c r="C54" s="471"/>
      <c r="D54" s="1008" t="s">
        <v>460</v>
      </c>
      <c r="E54" s="1009"/>
      <c r="F54" s="1009"/>
      <c r="G54" s="1009"/>
      <c r="H54" s="1009"/>
      <c r="I54" s="1009"/>
      <c r="J54" s="1009"/>
      <c r="K54" s="1009"/>
      <c r="L54" s="1009"/>
      <c r="M54" s="1009"/>
      <c r="N54" s="1009"/>
      <c r="O54" s="1009"/>
      <c r="P54" s="1009"/>
      <c r="Q54" s="1009"/>
      <c r="R54" s="1009"/>
      <c r="S54" s="1009"/>
      <c r="T54" s="1009"/>
      <c r="U54" s="1009"/>
      <c r="V54" s="1009"/>
      <c r="W54" s="1009"/>
      <c r="X54" s="1009"/>
      <c r="Y54" s="1009"/>
      <c r="Z54" s="1009"/>
      <c r="AA54" s="1009"/>
      <c r="AB54" s="1009"/>
      <c r="AC54" s="1009"/>
      <c r="AD54" s="1009"/>
      <c r="AE54" s="1009"/>
      <c r="AF54" s="1009"/>
      <c r="AG54" s="1009"/>
      <c r="AH54" s="1010"/>
      <c r="AI54" s="749">
        <f>SUM(AI4:AI53)</f>
        <v>5</v>
      </c>
      <c r="AJ54" s="749">
        <f>SUM(AJ4:AJ53)</f>
        <v>1</v>
      </c>
      <c r="AK54" s="749">
        <f>SUM(AK4:AK53)</f>
        <v>3</v>
      </c>
    </row>
    <row r="55" spans="2:37" ht="15.75" thickBot="1"/>
    <row r="56" spans="2:37" ht="15.75" thickBot="1">
      <c r="C56" s="737"/>
      <c r="D56" s="738"/>
      <c r="E56" s="738"/>
      <c r="F56" s="738"/>
      <c r="G56" s="739"/>
    </row>
    <row r="57" spans="2:37" ht="16.5" thickBot="1">
      <c r="C57" s="740" t="s">
        <v>969</v>
      </c>
      <c r="D57" s="742">
        <v>26</v>
      </c>
      <c r="E57" s="741"/>
      <c r="F57" s="1011">
        <f>D57*DEPAN!E23</f>
        <v>1300</v>
      </c>
      <c r="G57" s="1012"/>
      <c r="L57" s="1013" t="s">
        <v>244</v>
      </c>
      <c r="M57" s="1013"/>
      <c r="N57" s="1013"/>
      <c r="O57" s="1013"/>
      <c r="P57" s="1013"/>
      <c r="Q57" s="1013"/>
      <c r="AC57" s="1013" t="s">
        <v>970</v>
      </c>
      <c r="AD57" s="1013"/>
      <c r="AE57" s="1013"/>
      <c r="AF57" s="1013"/>
      <c r="AG57" s="1013"/>
      <c r="AH57" s="1013"/>
      <c r="AI57" s="1013"/>
      <c r="AJ57" s="1013"/>
    </row>
    <row r="58" spans="2:37" ht="15.75">
      <c r="C58" s="740"/>
      <c r="D58" s="743"/>
      <c r="E58" s="741"/>
      <c r="F58" s="741"/>
      <c r="G58" s="744"/>
      <c r="L58" s="1013" t="s">
        <v>245</v>
      </c>
      <c r="M58" s="1013"/>
      <c r="N58" s="1013"/>
      <c r="O58" s="1013"/>
      <c r="P58" s="1013"/>
      <c r="Q58" s="1013"/>
      <c r="AC58" s="1013" t="s">
        <v>971</v>
      </c>
      <c r="AD58" s="1013"/>
      <c r="AE58" s="1013"/>
      <c r="AF58" s="1013"/>
      <c r="AG58" s="1013"/>
      <c r="AH58" s="1013"/>
      <c r="AI58" s="1013"/>
      <c r="AJ58" s="1013"/>
    </row>
    <row r="59" spans="2:37" ht="15.75">
      <c r="C59" s="740" t="s">
        <v>972</v>
      </c>
      <c r="D59" s="745"/>
      <c r="E59" s="741"/>
      <c r="F59" s="741"/>
      <c r="G59" s="744"/>
    </row>
    <row r="60" spans="2:37" ht="15.75">
      <c r="C60" s="740" t="s">
        <v>973</v>
      </c>
      <c r="D60" s="1005">
        <f>AI54/F57</f>
        <v>3.8461538461538464E-3</v>
      </c>
      <c r="E60" s="1005"/>
      <c r="F60" s="741"/>
      <c r="G60" s="744"/>
    </row>
    <row r="61" spans="2:37" ht="15.75">
      <c r="C61" s="740" t="s">
        <v>974</v>
      </c>
      <c r="D61" s="1014">
        <f>AJ54/F57</f>
        <v>7.6923076923076923E-4</v>
      </c>
      <c r="E61" s="1014"/>
      <c r="F61" s="741"/>
      <c r="G61" s="744"/>
    </row>
    <row r="62" spans="2:37" ht="15.75">
      <c r="C62" s="740" t="s">
        <v>975</v>
      </c>
      <c r="D62" s="1014">
        <f>AK54/F57</f>
        <v>2.3076923076923079E-3</v>
      </c>
      <c r="E62" s="1014"/>
      <c r="F62" s="741"/>
      <c r="G62" s="744"/>
    </row>
    <row r="63" spans="2:37" ht="15.75" thickBot="1">
      <c r="C63" s="746"/>
      <c r="D63" s="747"/>
      <c r="E63" s="747"/>
      <c r="F63" s="747"/>
      <c r="G63" s="748"/>
      <c r="K63" s="474"/>
      <c r="L63" s="1015" t="str">
        <f>DEPAN!E12</f>
        <v>H. SAMSUDIN,M.Pd</v>
      </c>
      <c r="M63" s="1015"/>
      <c r="N63" s="1015"/>
      <c r="O63" s="1015"/>
      <c r="P63" s="1015"/>
      <c r="Q63" s="1015"/>
      <c r="R63" s="474"/>
      <c r="AC63" s="474"/>
      <c r="AD63" s="1015" t="str">
        <f>DEPAN!E16</f>
        <v>SITI PONIMAH,M.Pd</v>
      </c>
      <c r="AE63" s="1015"/>
      <c r="AF63" s="1015"/>
      <c r="AG63" s="1015"/>
      <c r="AH63" s="1015"/>
      <c r="AI63" s="1015"/>
      <c r="AJ63" s="474"/>
    </row>
    <row r="64" spans="2:37">
      <c r="K64" s="1016" t="str">
        <f>CONCATENATE("NIP.",DEPAN!E13)</f>
        <v>NIP.19921233 198777 1 336</v>
      </c>
      <c r="L64" s="1016"/>
      <c r="M64" s="1016"/>
      <c r="N64" s="1016"/>
      <c r="O64" s="1016"/>
      <c r="P64" s="1016"/>
      <c r="Q64" s="1016"/>
      <c r="R64" s="1016"/>
      <c r="AC64" s="1016" t="str">
        <f>CONCATENATE("NIP.",DEPAN!E17)</f>
        <v>NIP.19616566 201808 2 033</v>
      </c>
      <c r="AD64" s="1016"/>
      <c r="AE64" s="1016"/>
      <c r="AF64" s="1016"/>
      <c r="AG64" s="1016"/>
      <c r="AH64" s="1016"/>
      <c r="AI64" s="1016"/>
      <c r="AJ64" s="1016"/>
    </row>
    <row r="65"/>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row r="88"/>
  </sheetData>
  <mergeCells count="16">
    <mergeCell ref="D61:E61"/>
    <mergeCell ref="D62:E62"/>
    <mergeCell ref="L63:Q63"/>
    <mergeCell ref="AD63:AI63"/>
    <mergeCell ref="K64:R64"/>
    <mergeCell ref="AC64:AJ64"/>
    <mergeCell ref="D60:E60"/>
    <mergeCell ref="B2:B3"/>
    <mergeCell ref="C2:C3"/>
    <mergeCell ref="D2:AK2"/>
    <mergeCell ref="D54:AH54"/>
    <mergeCell ref="F57:G57"/>
    <mergeCell ref="L57:Q57"/>
    <mergeCell ref="AC57:AJ57"/>
    <mergeCell ref="L58:Q58"/>
    <mergeCell ref="AC58:AJ58"/>
  </mergeCells>
  <dataValidations count="2">
    <dataValidation allowBlank="1" showInputMessage="1" showErrorMessage="1" promptTitle="TIDAK USAH DI GANTI" prompt="hasil dari perkalian HARI EFEKTIF dan JUMLAH SISWA" sqref="F57"/>
    <dataValidation allowBlank="1" showInputMessage="1" showErrorMessage="1" prompt="isi dengan jumlah HARI EFEKTIF" sqref="D57"/>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88"/>
  <sheetViews>
    <sheetView topLeftCell="A43" workbookViewId="0"/>
  </sheetViews>
  <sheetFormatPr defaultColWidth="0" defaultRowHeight="15" customHeight="1" zeroHeight="1"/>
  <cols>
    <col min="1" max="1" width="9.140625" style="750" customWidth="1"/>
    <col min="2" max="2" width="5.85546875" customWidth="1"/>
    <col min="3" max="3" width="27.42578125" customWidth="1"/>
    <col min="4" max="37" width="4.5703125" customWidth="1"/>
    <col min="38" max="38" width="9.140625" customWidth="1"/>
    <col min="39" max="40" width="0" hidden="1" customWidth="1"/>
    <col min="41" max="16384" width="9.140625" hidden="1"/>
  </cols>
  <sheetData>
    <row r="1" spans="2:37"/>
    <row r="2" spans="2:37" ht="21">
      <c r="B2" s="1006" t="s">
        <v>2</v>
      </c>
      <c r="C2" s="1006" t="s">
        <v>965</v>
      </c>
      <c r="D2" s="1007" t="s">
        <v>976</v>
      </c>
      <c r="E2" s="1007"/>
      <c r="F2" s="1007"/>
      <c r="G2" s="1007"/>
      <c r="H2" s="1007"/>
      <c r="I2" s="1007"/>
      <c r="J2" s="1007"/>
      <c r="K2" s="1007"/>
      <c r="L2" s="1007"/>
      <c r="M2" s="1007"/>
      <c r="N2" s="1007"/>
      <c r="O2" s="1007"/>
      <c r="P2" s="1007"/>
      <c r="Q2" s="1007"/>
      <c r="R2" s="1007"/>
      <c r="S2" s="1007"/>
      <c r="T2" s="1007"/>
      <c r="U2" s="1007"/>
      <c r="V2" s="1007"/>
      <c r="W2" s="1007"/>
      <c r="X2" s="1007"/>
      <c r="Y2" s="1007"/>
      <c r="Z2" s="1007"/>
      <c r="AA2" s="1007"/>
      <c r="AB2" s="1007"/>
      <c r="AC2" s="1007"/>
      <c r="AD2" s="1007"/>
      <c r="AE2" s="1007"/>
      <c r="AF2" s="1007"/>
      <c r="AG2" s="1007"/>
      <c r="AH2" s="1007"/>
      <c r="AI2" s="1007"/>
      <c r="AJ2" s="1007"/>
      <c r="AK2" s="1007"/>
    </row>
    <row r="3" spans="2:37">
      <c r="B3" s="1006"/>
      <c r="C3" s="1006"/>
      <c r="D3" s="733">
        <v>1</v>
      </c>
      <c r="E3" s="733">
        <v>2</v>
      </c>
      <c r="F3" s="733">
        <v>3</v>
      </c>
      <c r="G3" s="733">
        <v>4</v>
      </c>
      <c r="H3" s="733">
        <v>5</v>
      </c>
      <c r="I3" s="733">
        <v>6</v>
      </c>
      <c r="J3" s="733">
        <v>7</v>
      </c>
      <c r="K3" s="733">
        <v>8</v>
      </c>
      <c r="L3" s="733">
        <v>9</v>
      </c>
      <c r="M3" s="733">
        <v>10</v>
      </c>
      <c r="N3" s="733">
        <v>11</v>
      </c>
      <c r="O3" s="733">
        <v>12</v>
      </c>
      <c r="P3" s="733">
        <v>13</v>
      </c>
      <c r="Q3" s="733">
        <v>14</v>
      </c>
      <c r="R3" s="733">
        <v>15</v>
      </c>
      <c r="S3" s="733">
        <v>16</v>
      </c>
      <c r="T3" s="733">
        <v>17</v>
      </c>
      <c r="U3" s="733">
        <v>18</v>
      </c>
      <c r="V3" s="733">
        <v>19</v>
      </c>
      <c r="W3" s="733">
        <v>20</v>
      </c>
      <c r="X3" s="733">
        <v>21</v>
      </c>
      <c r="Y3" s="733">
        <v>22</v>
      </c>
      <c r="Z3" s="733">
        <v>23</v>
      </c>
      <c r="AA3" s="733">
        <v>24</v>
      </c>
      <c r="AB3" s="733">
        <v>25</v>
      </c>
      <c r="AC3" s="733">
        <v>26</v>
      </c>
      <c r="AD3" s="733">
        <v>27</v>
      </c>
      <c r="AE3" s="733">
        <v>28</v>
      </c>
      <c r="AF3" s="733">
        <v>29</v>
      </c>
      <c r="AG3" s="733">
        <v>30</v>
      </c>
      <c r="AH3" s="733">
        <v>31</v>
      </c>
      <c r="AI3" s="733" t="s">
        <v>967</v>
      </c>
      <c r="AJ3" s="733" t="s">
        <v>884</v>
      </c>
      <c r="AK3" s="733" t="s">
        <v>968</v>
      </c>
    </row>
    <row r="4" spans="2:37">
      <c r="B4" s="724">
        <v>1</v>
      </c>
      <c r="C4" s="734" t="str">
        <f>SISWA!E6</f>
        <v>Anak 1</v>
      </c>
      <c r="D4" s="736" t="s">
        <v>661</v>
      </c>
      <c r="E4" s="736" t="s">
        <v>661</v>
      </c>
      <c r="F4" s="735"/>
      <c r="G4" s="736" t="s">
        <v>661</v>
      </c>
      <c r="H4" s="735"/>
      <c r="I4" s="736" t="s">
        <v>661</v>
      </c>
      <c r="J4" s="736" t="s">
        <v>661</v>
      </c>
      <c r="K4" s="736" t="s">
        <v>661</v>
      </c>
      <c r="L4" s="736" t="s">
        <v>661</v>
      </c>
      <c r="M4" s="735"/>
      <c r="N4" s="736" t="s">
        <v>661</v>
      </c>
      <c r="O4" s="736" t="s">
        <v>661</v>
      </c>
      <c r="P4" s="736" t="s">
        <v>661</v>
      </c>
      <c r="Q4" s="736" t="s">
        <v>661</v>
      </c>
      <c r="R4" s="736" t="s">
        <v>661</v>
      </c>
      <c r="S4" s="736" t="s">
        <v>661</v>
      </c>
      <c r="T4" s="735"/>
      <c r="U4" s="736" t="s">
        <v>661</v>
      </c>
      <c r="V4" s="736" t="s">
        <v>661</v>
      </c>
      <c r="W4" s="736" t="s">
        <v>661</v>
      </c>
      <c r="X4" s="736" t="s">
        <v>661</v>
      </c>
      <c r="Y4" s="736" t="s">
        <v>661</v>
      </c>
      <c r="Z4" s="736" t="s">
        <v>661</v>
      </c>
      <c r="AA4" s="735"/>
      <c r="AB4" s="736" t="s">
        <v>661</v>
      </c>
      <c r="AC4" s="736" t="s">
        <v>661</v>
      </c>
      <c r="AD4" s="736" t="s">
        <v>661</v>
      </c>
      <c r="AE4" s="736" t="s">
        <v>661</v>
      </c>
      <c r="AF4" s="735"/>
      <c r="AG4" s="735"/>
      <c r="AH4" s="735"/>
      <c r="AI4" s="749">
        <f>COUNTIF(D4:AH4,"S")</f>
        <v>0</v>
      </c>
      <c r="AJ4" s="749">
        <f>COUNTIF(D4:AH4,"I")</f>
        <v>0</v>
      </c>
      <c r="AK4" s="749">
        <f>COUNTIF(D4:AH4,"A")</f>
        <v>0</v>
      </c>
    </row>
    <row r="5" spans="2:37">
      <c r="B5" s="724">
        <v>2</v>
      </c>
      <c r="C5" s="734" t="str">
        <f>SISWA!E7</f>
        <v>Anak 2</v>
      </c>
      <c r="D5" s="736" t="s">
        <v>661</v>
      </c>
      <c r="E5" s="736" t="s">
        <v>661</v>
      </c>
      <c r="F5" s="735"/>
      <c r="G5" s="736" t="s">
        <v>661</v>
      </c>
      <c r="H5" s="735"/>
      <c r="I5" s="736" t="s">
        <v>661</v>
      </c>
      <c r="J5" s="736" t="s">
        <v>661</v>
      </c>
      <c r="K5" s="736" t="s">
        <v>661</v>
      </c>
      <c r="L5" s="736" t="s">
        <v>661</v>
      </c>
      <c r="M5" s="735"/>
      <c r="N5" s="736" t="s">
        <v>661</v>
      </c>
      <c r="O5" s="736" t="s">
        <v>661</v>
      </c>
      <c r="P5" s="736" t="s">
        <v>661</v>
      </c>
      <c r="Q5" s="736" t="s">
        <v>661</v>
      </c>
      <c r="R5" s="736" t="s">
        <v>661</v>
      </c>
      <c r="S5" s="736" t="s">
        <v>661</v>
      </c>
      <c r="T5" s="735"/>
      <c r="U5" s="736" t="s">
        <v>661</v>
      </c>
      <c r="V5" s="736" t="s">
        <v>661</v>
      </c>
      <c r="W5" s="736" t="s">
        <v>661</v>
      </c>
      <c r="X5" s="736" t="s">
        <v>661</v>
      </c>
      <c r="Y5" s="736" t="s">
        <v>661</v>
      </c>
      <c r="Z5" s="736" t="s">
        <v>661</v>
      </c>
      <c r="AA5" s="735"/>
      <c r="AB5" s="736" t="s">
        <v>661</v>
      </c>
      <c r="AC5" s="736" t="s">
        <v>661</v>
      </c>
      <c r="AD5" s="736" t="s">
        <v>661</v>
      </c>
      <c r="AE5" s="736" t="s">
        <v>661</v>
      </c>
      <c r="AF5" s="735"/>
      <c r="AG5" s="735"/>
      <c r="AH5" s="735"/>
      <c r="AI5" s="749">
        <f t="shared" ref="AI5:AI53" si="0">COUNTIF(D5:AH5,"S")</f>
        <v>0</v>
      </c>
      <c r="AJ5" s="749">
        <f t="shared" ref="AJ5:AJ53" si="1">COUNTIF(D5:AH5,"I")</f>
        <v>0</v>
      </c>
      <c r="AK5" s="749">
        <f t="shared" ref="AK5:AK53" si="2">COUNTIF(D5:AH5,"A")</f>
        <v>0</v>
      </c>
    </row>
    <row r="6" spans="2:37">
      <c r="B6" s="724">
        <v>3</v>
      </c>
      <c r="C6" s="734" t="str">
        <f>SISWA!E8</f>
        <v>Anak 3</v>
      </c>
      <c r="D6" s="736" t="s">
        <v>661</v>
      </c>
      <c r="E6" s="736" t="s">
        <v>661</v>
      </c>
      <c r="F6" s="735"/>
      <c r="G6" s="736" t="s">
        <v>661</v>
      </c>
      <c r="H6" s="735"/>
      <c r="I6" s="736" t="s">
        <v>661</v>
      </c>
      <c r="J6" s="736" t="s">
        <v>661</v>
      </c>
      <c r="K6" s="736" t="s">
        <v>661</v>
      </c>
      <c r="L6" s="736" t="s">
        <v>661</v>
      </c>
      <c r="M6" s="735"/>
      <c r="N6" s="736" t="s">
        <v>661</v>
      </c>
      <c r="O6" s="736" t="s">
        <v>661</v>
      </c>
      <c r="P6" s="736" t="s">
        <v>661</v>
      </c>
      <c r="Q6" s="736" t="s">
        <v>661</v>
      </c>
      <c r="R6" s="736" t="s">
        <v>661</v>
      </c>
      <c r="S6" s="736" t="s">
        <v>661</v>
      </c>
      <c r="T6" s="735"/>
      <c r="U6" s="736" t="s">
        <v>661</v>
      </c>
      <c r="V6" s="736" t="s">
        <v>661</v>
      </c>
      <c r="W6" s="736" t="s">
        <v>661</v>
      </c>
      <c r="X6" s="736" t="s">
        <v>661</v>
      </c>
      <c r="Y6" s="736" t="s">
        <v>661</v>
      </c>
      <c r="Z6" s="736" t="s">
        <v>661</v>
      </c>
      <c r="AA6" s="735"/>
      <c r="AB6" s="736" t="s">
        <v>661</v>
      </c>
      <c r="AC6" s="736" t="s">
        <v>661</v>
      </c>
      <c r="AD6" s="736" t="s">
        <v>661</v>
      </c>
      <c r="AE6" s="736" t="s">
        <v>661</v>
      </c>
      <c r="AF6" s="735"/>
      <c r="AG6" s="735"/>
      <c r="AH6" s="735"/>
      <c r="AI6" s="749">
        <f t="shared" si="0"/>
        <v>0</v>
      </c>
      <c r="AJ6" s="749">
        <f t="shared" si="1"/>
        <v>0</v>
      </c>
      <c r="AK6" s="749">
        <f t="shared" si="2"/>
        <v>0</v>
      </c>
    </row>
    <row r="7" spans="2:37">
      <c r="B7" s="724">
        <v>4</v>
      </c>
      <c r="C7" s="734" t="str">
        <f>SISWA!E9</f>
        <v>Anak 4</v>
      </c>
      <c r="D7" s="736" t="s">
        <v>661</v>
      </c>
      <c r="E7" s="736" t="s">
        <v>661</v>
      </c>
      <c r="F7" s="735"/>
      <c r="G7" s="736" t="s">
        <v>661</v>
      </c>
      <c r="H7" s="735"/>
      <c r="I7" s="736" t="s">
        <v>661</v>
      </c>
      <c r="J7" s="736" t="s">
        <v>661</v>
      </c>
      <c r="K7" s="736" t="s">
        <v>661</v>
      </c>
      <c r="L7" s="736" t="s">
        <v>661</v>
      </c>
      <c r="M7" s="735"/>
      <c r="N7" s="736" t="s">
        <v>661</v>
      </c>
      <c r="O7" s="736" t="s">
        <v>661</v>
      </c>
      <c r="P7" s="736" t="s">
        <v>661</v>
      </c>
      <c r="Q7" s="736" t="s">
        <v>661</v>
      </c>
      <c r="R7" s="736" t="s">
        <v>661</v>
      </c>
      <c r="S7" s="736" t="s">
        <v>661</v>
      </c>
      <c r="T7" s="735"/>
      <c r="U7" s="736" t="s">
        <v>661</v>
      </c>
      <c r="V7" s="736" t="s">
        <v>661</v>
      </c>
      <c r="W7" s="736" t="s">
        <v>661</v>
      </c>
      <c r="X7" s="736" t="s">
        <v>661</v>
      </c>
      <c r="Y7" s="736" t="s">
        <v>661</v>
      </c>
      <c r="Z7" s="736" t="s">
        <v>661</v>
      </c>
      <c r="AA7" s="735"/>
      <c r="AB7" s="736" t="s">
        <v>661</v>
      </c>
      <c r="AC7" s="736" t="s">
        <v>661</v>
      </c>
      <c r="AD7" s="736" t="s">
        <v>661</v>
      </c>
      <c r="AE7" s="736" t="s">
        <v>661</v>
      </c>
      <c r="AF7" s="735"/>
      <c r="AG7" s="735"/>
      <c r="AH7" s="735"/>
      <c r="AI7" s="749">
        <f t="shared" si="0"/>
        <v>0</v>
      </c>
      <c r="AJ7" s="749">
        <f t="shared" si="1"/>
        <v>0</v>
      </c>
      <c r="AK7" s="749">
        <f t="shared" si="2"/>
        <v>0</v>
      </c>
    </row>
    <row r="8" spans="2:37">
      <c r="B8" s="724">
        <v>5</v>
      </c>
      <c r="C8" s="734" t="str">
        <f>SISWA!E10</f>
        <v>Anak 5</v>
      </c>
      <c r="D8" s="736" t="s">
        <v>661</v>
      </c>
      <c r="E8" s="736" t="s">
        <v>661</v>
      </c>
      <c r="F8" s="735"/>
      <c r="G8" s="736" t="s">
        <v>661</v>
      </c>
      <c r="H8" s="735"/>
      <c r="I8" s="736" t="s">
        <v>661</v>
      </c>
      <c r="J8" s="736" t="s">
        <v>661</v>
      </c>
      <c r="K8" s="736" t="s">
        <v>661</v>
      </c>
      <c r="L8" s="736" t="s">
        <v>661</v>
      </c>
      <c r="M8" s="735"/>
      <c r="N8" s="736" t="s">
        <v>661</v>
      </c>
      <c r="O8" s="736" t="s">
        <v>661</v>
      </c>
      <c r="P8" s="736" t="s">
        <v>661</v>
      </c>
      <c r="Q8" s="736" t="s">
        <v>661</v>
      </c>
      <c r="R8" s="736" t="s">
        <v>661</v>
      </c>
      <c r="S8" s="736" t="s">
        <v>661</v>
      </c>
      <c r="T8" s="735"/>
      <c r="U8" s="736" t="s">
        <v>661</v>
      </c>
      <c r="V8" s="736" t="s">
        <v>661</v>
      </c>
      <c r="W8" s="736" t="s">
        <v>661</v>
      </c>
      <c r="X8" s="736" t="s">
        <v>661</v>
      </c>
      <c r="Y8" s="736" t="s">
        <v>661</v>
      </c>
      <c r="Z8" s="736" t="s">
        <v>661</v>
      </c>
      <c r="AA8" s="735"/>
      <c r="AB8" s="736" t="s">
        <v>661</v>
      </c>
      <c r="AC8" s="736" t="s">
        <v>661</v>
      </c>
      <c r="AD8" s="736" t="s">
        <v>661</v>
      </c>
      <c r="AE8" s="736" t="s">
        <v>661</v>
      </c>
      <c r="AF8" s="735"/>
      <c r="AG8" s="735"/>
      <c r="AH8" s="735"/>
      <c r="AI8" s="749">
        <f t="shared" si="0"/>
        <v>0</v>
      </c>
      <c r="AJ8" s="749">
        <f t="shared" si="1"/>
        <v>0</v>
      </c>
      <c r="AK8" s="749">
        <f t="shared" si="2"/>
        <v>0</v>
      </c>
    </row>
    <row r="9" spans="2:37">
      <c r="B9" s="724">
        <v>6</v>
      </c>
      <c r="C9" s="734" t="str">
        <f>SISWA!E11</f>
        <v>Anak 6</v>
      </c>
      <c r="D9" s="736" t="s">
        <v>661</v>
      </c>
      <c r="E9" s="736" t="s">
        <v>661</v>
      </c>
      <c r="F9" s="735"/>
      <c r="G9" s="736" t="s">
        <v>661</v>
      </c>
      <c r="H9" s="735"/>
      <c r="I9" s="736" t="s">
        <v>661</v>
      </c>
      <c r="J9" s="736" t="s">
        <v>661</v>
      </c>
      <c r="K9" s="736" t="s">
        <v>661</v>
      </c>
      <c r="L9" s="736" t="s">
        <v>661</v>
      </c>
      <c r="M9" s="735"/>
      <c r="N9" s="736" t="s">
        <v>661</v>
      </c>
      <c r="O9" s="736" t="s">
        <v>661</v>
      </c>
      <c r="P9" s="736" t="s">
        <v>661</v>
      </c>
      <c r="Q9" s="736" t="s">
        <v>661</v>
      </c>
      <c r="R9" s="736" t="s">
        <v>661</v>
      </c>
      <c r="S9" s="736" t="s">
        <v>661</v>
      </c>
      <c r="T9" s="735"/>
      <c r="U9" s="736" t="s">
        <v>661</v>
      </c>
      <c r="V9" s="736" t="s">
        <v>661</v>
      </c>
      <c r="W9" s="736" t="s">
        <v>661</v>
      </c>
      <c r="X9" s="736" t="s">
        <v>661</v>
      </c>
      <c r="Y9" s="736" t="s">
        <v>661</v>
      </c>
      <c r="Z9" s="736" t="s">
        <v>661</v>
      </c>
      <c r="AA9" s="735"/>
      <c r="AB9" s="736" t="s">
        <v>661</v>
      </c>
      <c r="AC9" s="736" t="s">
        <v>661</v>
      </c>
      <c r="AD9" s="736" t="s">
        <v>661</v>
      </c>
      <c r="AE9" s="736" t="s">
        <v>661</v>
      </c>
      <c r="AF9" s="735"/>
      <c r="AG9" s="735"/>
      <c r="AH9" s="735"/>
      <c r="AI9" s="749">
        <f t="shared" si="0"/>
        <v>0</v>
      </c>
      <c r="AJ9" s="749">
        <f t="shared" si="1"/>
        <v>0</v>
      </c>
      <c r="AK9" s="749">
        <f t="shared" si="2"/>
        <v>0</v>
      </c>
    </row>
    <row r="10" spans="2:37">
      <c r="B10" s="724">
        <v>7</v>
      </c>
      <c r="C10" s="734" t="str">
        <f>SISWA!E12</f>
        <v>Anak 7</v>
      </c>
      <c r="D10" s="736" t="s">
        <v>661</v>
      </c>
      <c r="E10" s="736" t="s">
        <v>661</v>
      </c>
      <c r="F10" s="735"/>
      <c r="G10" s="736" t="s">
        <v>661</v>
      </c>
      <c r="H10" s="735"/>
      <c r="I10" s="736" t="s">
        <v>661</v>
      </c>
      <c r="J10" s="736" t="s">
        <v>661</v>
      </c>
      <c r="K10" s="736" t="s">
        <v>661</v>
      </c>
      <c r="L10" s="736" t="s">
        <v>661</v>
      </c>
      <c r="M10" s="735"/>
      <c r="N10" s="736" t="s">
        <v>661</v>
      </c>
      <c r="O10" s="736" t="s">
        <v>661</v>
      </c>
      <c r="P10" s="736" t="s">
        <v>661</v>
      </c>
      <c r="Q10" s="736" t="s">
        <v>661</v>
      </c>
      <c r="R10" s="736" t="s">
        <v>661</v>
      </c>
      <c r="S10" s="736" t="s">
        <v>661</v>
      </c>
      <c r="T10" s="735"/>
      <c r="U10" s="736" t="s">
        <v>661</v>
      </c>
      <c r="V10" s="736" t="s">
        <v>661</v>
      </c>
      <c r="W10" s="736" t="s">
        <v>661</v>
      </c>
      <c r="X10" s="736" t="s">
        <v>661</v>
      </c>
      <c r="Y10" s="736" t="s">
        <v>661</v>
      </c>
      <c r="Z10" s="736" t="s">
        <v>661</v>
      </c>
      <c r="AA10" s="735"/>
      <c r="AB10" s="736" t="s">
        <v>661</v>
      </c>
      <c r="AC10" s="736" t="s">
        <v>661</v>
      </c>
      <c r="AD10" s="736" t="s">
        <v>661</v>
      </c>
      <c r="AE10" s="736" t="s">
        <v>661</v>
      </c>
      <c r="AF10" s="735"/>
      <c r="AG10" s="735"/>
      <c r="AH10" s="735"/>
      <c r="AI10" s="749">
        <f t="shared" si="0"/>
        <v>0</v>
      </c>
      <c r="AJ10" s="749">
        <f t="shared" si="1"/>
        <v>0</v>
      </c>
      <c r="AK10" s="749">
        <f t="shared" si="2"/>
        <v>0</v>
      </c>
    </row>
    <row r="11" spans="2:37">
      <c r="B11" s="724">
        <v>8</v>
      </c>
      <c r="C11" s="734" t="str">
        <f>SISWA!E13</f>
        <v>Anak 8</v>
      </c>
      <c r="D11" s="736" t="s">
        <v>661</v>
      </c>
      <c r="E11" s="736" t="s">
        <v>661</v>
      </c>
      <c r="F11" s="735"/>
      <c r="G11" s="736" t="s">
        <v>661</v>
      </c>
      <c r="H11" s="735"/>
      <c r="I11" s="736" t="s">
        <v>661</v>
      </c>
      <c r="J11" s="736" t="s">
        <v>661</v>
      </c>
      <c r="K11" s="736" t="s">
        <v>661</v>
      </c>
      <c r="L11" s="736" t="s">
        <v>661</v>
      </c>
      <c r="M11" s="735"/>
      <c r="N11" s="736" t="s">
        <v>661</v>
      </c>
      <c r="O11" s="736" t="s">
        <v>661</v>
      </c>
      <c r="P11" s="736" t="s">
        <v>661</v>
      </c>
      <c r="Q11" s="736" t="s">
        <v>661</v>
      </c>
      <c r="R11" s="736" t="s">
        <v>661</v>
      </c>
      <c r="S11" s="736" t="s">
        <v>661</v>
      </c>
      <c r="T11" s="735"/>
      <c r="U11" s="736" t="s">
        <v>967</v>
      </c>
      <c r="V11" s="736" t="s">
        <v>661</v>
      </c>
      <c r="W11" s="736" t="s">
        <v>661</v>
      </c>
      <c r="X11" s="736" t="s">
        <v>661</v>
      </c>
      <c r="Y11" s="736" t="s">
        <v>661</v>
      </c>
      <c r="Z11" s="736" t="s">
        <v>661</v>
      </c>
      <c r="AA11" s="735"/>
      <c r="AB11" s="736" t="s">
        <v>661</v>
      </c>
      <c r="AC11" s="736" t="s">
        <v>661</v>
      </c>
      <c r="AD11" s="736" t="s">
        <v>661</v>
      </c>
      <c r="AE11" s="736" t="s">
        <v>661</v>
      </c>
      <c r="AF11" s="735"/>
      <c r="AG11" s="735"/>
      <c r="AH11" s="735"/>
      <c r="AI11" s="749">
        <f t="shared" si="0"/>
        <v>1</v>
      </c>
      <c r="AJ11" s="749">
        <f t="shared" si="1"/>
        <v>0</v>
      </c>
      <c r="AK11" s="749">
        <f t="shared" si="2"/>
        <v>0</v>
      </c>
    </row>
    <row r="12" spans="2:37">
      <c r="B12" s="724">
        <v>9</v>
      </c>
      <c r="C12" s="734" t="str">
        <f>SISWA!E14</f>
        <v>Anak 9</v>
      </c>
      <c r="D12" s="736" t="s">
        <v>661</v>
      </c>
      <c r="E12" s="736" t="s">
        <v>661</v>
      </c>
      <c r="F12" s="735"/>
      <c r="G12" s="736" t="s">
        <v>661</v>
      </c>
      <c r="H12" s="735"/>
      <c r="I12" s="736" t="s">
        <v>661</v>
      </c>
      <c r="J12" s="736" t="s">
        <v>661</v>
      </c>
      <c r="K12" s="736" t="s">
        <v>661</v>
      </c>
      <c r="L12" s="736" t="s">
        <v>661</v>
      </c>
      <c r="M12" s="735"/>
      <c r="N12" s="736" t="s">
        <v>661</v>
      </c>
      <c r="O12" s="736" t="s">
        <v>661</v>
      </c>
      <c r="P12" s="736" t="s">
        <v>661</v>
      </c>
      <c r="Q12" s="736" t="s">
        <v>661</v>
      </c>
      <c r="R12" s="736" t="s">
        <v>661</v>
      </c>
      <c r="S12" s="736" t="s">
        <v>661</v>
      </c>
      <c r="T12" s="735"/>
      <c r="U12" s="736" t="s">
        <v>661</v>
      </c>
      <c r="V12" s="736" t="s">
        <v>661</v>
      </c>
      <c r="W12" s="736" t="s">
        <v>661</v>
      </c>
      <c r="X12" s="736" t="s">
        <v>661</v>
      </c>
      <c r="Y12" s="736" t="s">
        <v>661</v>
      </c>
      <c r="Z12" s="736" t="s">
        <v>661</v>
      </c>
      <c r="AA12" s="735"/>
      <c r="AB12" s="736" t="s">
        <v>661</v>
      </c>
      <c r="AC12" s="736" t="s">
        <v>661</v>
      </c>
      <c r="AD12" s="736" t="s">
        <v>661</v>
      </c>
      <c r="AE12" s="736" t="s">
        <v>661</v>
      </c>
      <c r="AF12" s="735"/>
      <c r="AG12" s="735"/>
      <c r="AH12" s="735"/>
      <c r="AI12" s="749">
        <f t="shared" si="0"/>
        <v>0</v>
      </c>
      <c r="AJ12" s="749">
        <f t="shared" si="1"/>
        <v>0</v>
      </c>
      <c r="AK12" s="749">
        <f t="shared" si="2"/>
        <v>0</v>
      </c>
    </row>
    <row r="13" spans="2:37">
      <c r="B13" s="724">
        <v>10</v>
      </c>
      <c r="C13" s="734" t="str">
        <f>SISWA!E15</f>
        <v>Anak 10</v>
      </c>
      <c r="D13" s="736" t="s">
        <v>661</v>
      </c>
      <c r="E13" s="736" t="s">
        <v>661</v>
      </c>
      <c r="F13" s="735"/>
      <c r="G13" s="736" t="s">
        <v>661</v>
      </c>
      <c r="H13" s="735"/>
      <c r="I13" s="736" t="s">
        <v>661</v>
      </c>
      <c r="J13" s="736" t="s">
        <v>661</v>
      </c>
      <c r="K13" s="736" t="s">
        <v>661</v>
      </c>
      <c r="L13" s="736" t="s">
        <v>661</v>
      </c>
      <c r="M13" s="735"/>
      <c r="N13" s="736" t="s">
        <v>661</v>
      </c>
      <c r="O13" s="736" t="s">
        <v>661</v>
      </c>
      <c r="P13" s="736" t="s">
        <v>661</v>
      </c>
      <c r="Q13" s="736" t="s">
        <v>661</v>
      </c>
      <c r="R13" s="736" t="s">
        <v>661</v>
      </c>
      <c r="S13" s="736" t="s">
        <v>661</v>
      </c>
      <c r="T13" s="735"/>
      <c r="U13" s="736" t="s">
        <v>661</v>
      </c>
      <c r="V13" s="736" t="s">
        <v>661</v>
      </c>
      <c r="W13" s="736" t="s">
        <v>661</v>
      </c>
      <c r="X13" s="736" t="s">
        <v>661</v>
      </c>
      <c r="Y13" s="736" t="s">
        <v>661</v>
      </c>
      <c r="Z13" s="736" t="s">
        <v>661</v>
      </c>
      <c r="AA13" s="735"/>
      <c r="AB13" s="736" t="s">
        <v>661</v>
      </c>
      <c r="AC13" s="736" t="s">
        <v>661</v>
      </c>
      <c r="AD13" s="736" t="s">
        <v>661</v>
      </c>
      <c r="AE13" s="736" t="s">
        <v>661</v>
      </c>
      <c r="AF13" s="735"/>
      <c r="AG13" s="735"/>
      <c r="AH13" s="735"/>
      <c r="AI13" s="749">
        <f t="shared" si="0"/>
        <v>0</v>
      </c>
      <c r="AJ13" s="749">
        <f t="shared" si="1"/>
        <v>0</v>
      </c>
      <c r="AK13" s="749">
        <f t="shared" si="2"/>
        <v>0</v>
      </c>
    </row>
    <row r="14" spans="2:37">
      <c r="B14" s="724">
        <v>11</v>
      </c>
      <c r="C14" s="734" t="str">
        <f>SISWA!E16</f>
        <v>Anak 11</v>
      </c>
      <c r="D14" s="736" t="s">
        <v>661</v>
      </c>
      <c r="E14" s="736" t="s">
        <v>661</v>
      </c>
      <c r="F14" s="735"/>
      <c r="G14" s="736" t="s">
        <v>661</v>
      </c>
      <c r="H14" s="735"/>
      <c r="I14" s="736" t="s">
        <v>661</v>
      </c>
      <c r="J14" s="736" t="s">
        <v>661</v>
      </c>
      <c r="K14" s="736" t="s">
        <v>661</v>
      </c>
      <c r="L14" s="736" t="s">
        <v>661</v>
      </c>
      <c r="M14" s="735"/>
      <c r="N14" s="736" t="s">
        <v>661</v>
      </c>
      <c r="O14" s="736" t="s">
        <v>661</v>
      </c>
      <c r="P14" s="736" t="s">
        <v>661</v>
      </c>
      <c r="Q14" s="736" t="s">
        <v>661</v>
      </c>
      <c r="R14" s="736" t="s">
        <v>661</v>
      </c>
      <c r="S14" s="736" t="s">
        <v>661</v>
      </c>
      <c r="T14" s="735"/>
      <c r="U14" s="736" t="s">
        <v>661</v>
      </c>
      <c r="V14" s="736" t="s">
        <v>661</v>
      </c>
      <c r="W14" s="736" t="s">
        <v>661</v>
      </c>
      <c r="X14" s="736" t="s">
        <v>661</v>
      </c>
      <c r="Y14" s="736" t="s">
        <v>661</v>
      </c>
      <c r="Z14" s="736" t="s">
        <v>661</v>
      </c>
      <c r="AA14" s="735"/>
      <c r="AB14" s="736" t="s">
        <v>661</v>
      </c>
      <c r="AC14" s="736" t="s">
        <v>661</v>
      </c>
      <c r="AD14" s="736" t="s">
        <v>661</v>
      </c>
      <c r="AE14" s="736" t="s">
        <v>661</v>
      </c>
      <c r="AF14" s="735"/>
      <c r="AG14" s="735"/>
      <c r="AH14" s="735"/>
      <c r="AI14" s="749">
        <f t="shared" si="0"/>
        <v>0</v>
      </c>
      <c r="AJ14" s="749">
        <f t="shared" si="1"/>
        <v>0</v>
      </c>
      <c r="AK14" s="749">
        <f t="shared" si="2"/>
        <v>0</v>
      </c>
    </row>
    <row r="15" spans="2:37">
      <c r="B15" s="724">
        <v>12</v>
      </c>
      <c r="C15" s="734" t="str">
        <f>SISWA!E17</f>
        <v>Anak 12</v>
      </c>
      <c r="D15" s="736" t="s">
        <v>661</v>
      </c>
      <c r="E15" s="736" t="s">
        <v>661</v>
      </c>
      <c r="F15" s="735"/>
      <c r="G15" s="736" t="s">
        <v>661</v>
      </c>
      <c r="H15" s="735"/>
      <c r="I15" s="736" t="s">
        <v>661</v>
      </c>
      <c r="J15" s="736" t="s">
        <v>661</v>
      </c>
      <c r="K15" s="736" t="s">
        <v>661</v>
      </c>
      <c r="L15" s="736" t="s">
        <v>661</v>
      </c>
      <c r="M15" s="735"/>
      <c r="N15" s="736" t="s">
        <v>661</v>
      </c>
      <c r="O15" s="736" t="s">
        <v>661</v>
      </c>
      <c r="P15" s="736" t="s">
        <v>661</v>
      </c>
      <c r="Q15" s="736" t="s">
        <v>661</v>
      </c>
      <c r="R15" s="736" t="s">
        <v>661</v>
      </c>
      <c r="S15" s="736" t="s">
        <v>661</v>
      </c>
      <c r="T15" s="735"/>
      <c r="U15" s="736" t="s">
        <v>661</v>
      </c>
      <c r="V15" s="736" t="s">
        <v>661</v>
      </c>
      <c r="W15" s="736" t="s">
        <v>661</v>
      </c>
      <c r="X15" s="736" t="s">
        <v>661</v>
      </c>
      <c r="Y15" s="736" t="s">
        <v>661</v>
      </c>
      <c r="Z15" s="736" t="s">
        <v>661</v>
      </c>
      <c r="AA15" s="735"/>
      <c r="AB15" s="736" t="s">
        <v>661</v>
      </c>
      <c r="AC15" s="736" t="s">
        <v>661</v>
      </c>
      <c r="AD15" s="736" t="s">
        <v>661</v>
      </c>
      <c r="AE15" s="736" t="s">
        <v>661</v>
      </c>
      <c r="AF15" s="735"/>
      <c r="AG15" s="735"/>
      <c r="AH15" s="735"/>
      <c r="AI15" s="749">
        <f t="shared" si="0"/>
        <v>0</v>
      </c>
      <c r="AJ15" s="749">
        <f t="shared" si="1"/>
        <v>0</v>
      </c>
      <c r="AK15" s="749">
        <f t="shared" si="2"/>
        <v>0</v>
      </c>
    </row>
    <row r="16" spans="2:37">
      <c r="B16" s="724">
        <v>13</v>
      </c>
      <c r="C16" s="734" t="str">
        <f>SISWA!E18</f>
        <v>Anak 13</v>
      </c>
      <c r="D16" s="736" t="s">
        <v>661</v>
      </c>
      <c r="E16" s="736" t="s">
        <v>661</v>
      </c>
      <c r="F16" s="735"/>
      <c r="G16" s="736" t="s">
        <v>661</v>
      </c>
      <c r="H16" s="735"/>
      <c r="I16" s="736" t="s">
        <v>661</v>
      </c>
      <c r="J16" s="736" t="s">
        <v>661</v>
      </c>
      <c r="K16" s="736" t="s">
        <v>661</v>
      </c>
      <c r="L16" s="736" t="s">
        <v>661</v>
      </c>
      <c r="M16" s="735"/>
      <c r="N16" s="736" t="s">
        <v>661</v>
      </c>
      <c r="O16" s="736" t="s">
        <v>661</v>
      </c>
      <c r="P16" s="736" t="s">
        <v>661</v>
      </c>
      <c r="Q16" s="736" t="s">
        <v>661</v>
      </c>
      <c r="R16" s="736" t="s">
        <v>661</v>
      </c>
      <c r="S16" s="736" t="s">
        <v>661</v>
      </c>
      <c r="T16" s="735"/>
      <c r="U16" s="736" t="s">
        <v>661</v>
      </c>
      <c r="V16" s="736" t="s">
        <v>661</v>
      </c>
      <c r="W16" s="736" t="s">
        <v>661</v>
      </c>
      <c r="X16" s="736" t="s">
        <v>661</v>
      </c>
      <c r="Y16" s="736" t="s">
        <v>661</v>
      </c>
      <c r="Z16" s="736" t="s">
        <v>661</v>
      </c>
      <c r="AA16" s="735"/>
      <c r="AB16" s="736" t="s">
        <v>661</v>
      </c>
      <c r="AC16" s="736" t="s">
        <v>661</v>
      </c>
      <c r="AD16" s="736" t="s">
        <v>661</v>
      </c>
      <c r="AE16" s="736" t="s">
        <v>661</v>
      </c>
      <c r="AF16" s="735"/>
      <c r="AG16" s="735"/>
      <c r="AH16" s="735"/>
      <c r="AI16" s="749">
        <f t="shared" si="0"/>
        <v>0</v>
      </c>
      <c r="AJ16" s="749">
        <f t="shared" si="1"/>
        <v>0</v>
      </c>
      <c r="AK16" s="749">
        <f t="shared" si="2"/>
        <v>0</v>
      </c>
    </row>
    <row r="17" spans="2:37">
      <c r="B17" s="724">
        <v>14</v>
      </c>
      <c r="C17" s="734" t="str">
        <f>SISWA!E19</f>
        <v>Anak 14</v>
      </c>
      <c r="D17" s="736" t="s">
        <v>661</v>
      </c>
      <c r="E17" s="736" t="s">
        <v>661</v>
      </c>
      <c r="F17" s="735"/>
      <c r="G17" s="736" t="s">
        <v>661</v>
      </c>
      <c r="H17" s="735"/>
      <c r="I17" s="736" t="s">
        <v>661</v>
      </c>
      <c r="J17" s="736" t="s">
        <v>661</v>
      </c>
      <c r="K17" s="736" t="s">
        <v>661</v>
      </c>
      <c r="L17" s="736" t="s">
        <v>661</v>
      </c>
      <c r="M17" s="735"/>
      <c r="N17" s="736" t="s">
        <v>661</v>
      </c>
      <c r="O17" s="736" t="s">
        <v>661</v>
      </c>
      <c r="P17" s="736" t="s">
        <v>661</v>
      </c>
      <c r="Q17" s="736" t="s">
        <v>661</v>
      </c>
      <c r="R17" s="736" t="s">
        <v>661</v>
      </c>
      <c r="S17" s="736" t="s">
        <v>661</v>
      </c>
      <c r="T17" s="735"/>
      <c r="U17" s="736" t="s">
        <v>661</v>
      </c>
      <c r="V17" s="736" t="s">
        <v>661</v>
      </c>
      <c r="W17" s="736" t="s">
        <v>661</v>
      </c>
      <c r="X17" s="736" t="s">
        <v>661</v>
      </c>
      <c r="Y17" s="736" t="s">
        <v>661</v>
      </c>
      <c r="Z17" s="736" t="s">
        <v>661</v>
      </c>
      <c r="AA17" s="735"/>
      <c r="AB17" s="736" t="s">
        <v>661</v>
      </c>
      <c r="AC17" s="736" t="s">
        <v>661</v>
      </c>
      <c r="AD17" s="736" t="s">
        <v>661</v>
      </c>
      <c r="AE17" s="736" t="s">
        <v>661</v>
      </c>
      <c r="AF17" s="735"/>
      <c r="AG17" s="735"/>
      <c r="AH17" s="735"/>
      <c r="AI17" s="749">
        <f t="shared" si="0"/>
        <v>0</v>
      </c>
      <c r="AJ17" s="749">
        <f t="shared" si="1"/>
        <v>0</v>
      </c>
      <c r="AK17" s="749">
        <f t="shared" si="2"/>
        <v>0</v>
      </c>
    </row>
    <row r="18" spans="2:37">
      <c r="B18" s="724">
        <v>15</v>
      </c>
      <c r="C18" s="734" t="str">
        <f>SISWA!E20</f>
        <v>Anak 15</v>
      </c>
      <c r="D18" s="736" t="s">
        <v>661</v>
      </c>
      <c r="E18" s="736" t="s">
        <v>661</v>
      </c>
      <c r="F18" s="735"/>
      <c r="G18" s="736" t="s">
        <v>661</v>
      </c>
      <c r="H18" s="735"/>
      <c r="I18" s="736" t="s">
        <v>661</v>
      </c>
      <c r="J18" s="736" t="s">
        <v>661</v>
      </c>
      <c r="K18" s="736" t="s">
        <v>661</v>
      </c>
      <c r="L18" s="736" t="s">
        <v>661</v>
      </c>
      <c r="M18" s="735"/>
      <c r="N18" s="736" t="s">
        <v>661</v>
      </c>
      <c r="O18" s="736" t="s">
        <v>661</v>
      </c>
      <c r="P18" s="736" t="s">
        <v>661</v>
      </c>
      <c r="Q18" s="736" t="s">
        <v>661</v>
      </c>
      <c r="R18" s="736" t="s">
        <v>661</v>
      </c>
      <c r="S18" s="736" t="s">
        <v>661</v>
      </c>
      <c r="T18" s="735"/>
      <c r="U18" s="736" t="s">
        <v>661</v>
      </c>
      <c r="V18" s="736" t="s">
        <v>661</v>
      </c>
      <c r="W18" s="736" t="s">
        <v>661</v>
      </c>
      <c r="X18" s="736" t="s">
        <v>661</v>
      </c>
      <c r="Y18" s="736" t="s">
        <v>661</v>
      </c>
      <c r="Z18" s="736" t="s">
        <v>661</v>
      </c>
      <c r="AA18" s="735"/>
      <c r="AB18" s="736" t="s">
        <v>661</v>
      </c>
      <c r="AC18" s="736" t="s">
        <v>661</v>
      </c>
      <c r="AD18" s="736" t="s">
        <v>661</v>
      </c>
      <c r="AE18" s="736" t="s">
        <v>661</v>
      </c>
      <c r="AF18" s="735"/>
      <c r="AG18" s="735"/>
      <c r="AH18" s="735"/>
      <c r="AI18" s="749">
        <f t="shared" si="0"/>
        <v>0</v>
      </c>
      <c r="AJ18" s="749">
        <f t="shared" si="1"/>
        <v>0</v>
      </c>
      <c r="AK18" s="749">
        <f t="shared" si="2"/>
        <v>0</v>
      </c>
    </row>
    <row r="19" spans="2:37">
      <c r="B19" s="724">
        <v>16</v>
      </c>
      <c r="C19" s="734" t="str">
        <f>SISWA!E21</f>
        <v>Anak 16</v>
      </c>
      <c r="D19" s="736" t="s">
        <v>661</v>
      </c>
      <c r="E19" s="736" t="s">
        <v>661</v>
      </c>
      <c r="F19" s="735"/>
      <c r="G19" s="736" t="s">
        <v>661</v>
      </c>
      <c r="H19" s="735"/>
      <c r="I19" s="736" t="s">
        <v>661</v>
      </c>
      <c r="J19" s="736" t="s">
        <v>661</v>
      </c>
      <c r="K19" s="736" t="s">
        <v>661</v>
      </c>
      <c r="L19" s="736" t="s">
        <v>661</v>
      </c>
      <c r="M19" s="735"/>
      <c r="N19" s="736" t="s">
        <v>661</v>
      </c>
      <c r="O19" s="736" t="s">
        <v>661</v>
      </c>
      <c r="P19" s="736" t="s">
        <v>661</v>
      </c>
      <c r="Q19" s="736" t="s">
        <v>661</v>
      </c>
      <c r="R19" s="736" t="s">
        <v>661</v>
      </c>
      <c r="S19" s="736" t="s">
        <v>661</v>
      </c>
      <c r="T19" s="735"/>
      <c r="U19" s="736" t="s">
        <v>661</v>
      </c>
      <c r="V19" s="736" t="s">
        <v>661</v>
      </c>
      <c r="W19" s="736" t="s">
        <v>661</v>
      </c>
      <c r="X19" s="736" t="s">
        <v>661</v>
      </c>
      <c r="Y19" s="736" t="s">
        <v>661</v>
      </c>
      <c r="Z19" s="736" t="s">
        <v>661</v>
      </c>
      <c r="AA19" s="735"/>
      <c r="AB19" s="736" t="s">
        <v>661</v>
      </c>
      <c r="AC19" s="736" t="s">
        <v>661</v>
      </c>
      <c r="AD19" s="736" t="s">
        <v>661</v>
      </c>
      <c r="AE19" s="736" t="s">
        <v>661</v>
      </c>
      <c r="AF19" s="735"/>
      <c r="AG19" s="735"/>
      <c r="AH19" s="735"/>
      <c r="AI19" s="749">
        <f t="shared" si="0"/>
        <v>0</v>
      </c>
      <c r="AJ19" s="749">
        <f t="shared" si="1"/>
        <v>0</v>
      </c>
      <c r="AK19" s="749">
        <f t="shared" si="2"/>
        <v>0</v>
      </c>
    </row>
    <row r="20" spans="2:37">
      <c r="B20" s="724">
        <v>17</v>
      </c>
      <c r="C20" s="734" t="str">
        <f>SISWA!E22</f>
        <v>Anak 17</v>
      </c>
      <c r="D20" s="736" t="s">
        <v>661</v>
      </c>
      <c r="E20" s="736" t="s">
        <v>661</v>
      </c>
      <c r="F20" s="735"/>
      <c r="G20" s="736" t="s">
        <v>661</v>
      </c>
      <c r="H20" s="735"/>
      <c r="I20" s="736" t="s">
        <v>661</v>
      </c>
      <c r="J20" s="736" t="s">
        <v>661</v>
      </c>
      <c r="K20" s="736" t="s">
        <v>661</v>
      </c>
      <c r="L20" s="736" t="s">
        <v>661</v>
      </c>
      <c r="M20" s="735"/>
      <c r="N20" s="736" t="s">
        <v>661</v>
      </c>
      <c r="O20" s="736" t="s">
        <v>661</v>
      </c>
      <c r="P20" s="736" t="s">
        <v>661</v>
      </c>
      <c r="Q20" s="736" t="s">
        <v>661</v>
      </c>
      <c r="R20" s="736" t="s">
        <v>661</v>
      </c>
      <c r="S20" s="736" t="s">
        <v>661</v>
      </c>
      <c r="T20" s="735"/>
      <c r="U20" s="736" t="s">
        <v>661</v>
      </c>
      <c r="V20" s="736" t="s">
        <v>661</v>
      </c>
      <c r="W20" s="736" t="s">
        <v>661</v>
      </c>
      <c r="X20" s="736" t="s">
        <v>661</v>
      </c>
      <c r="Y20" s="736" t="s">
        <v>661</v>
      </c>
      <c r="Z20" s="736" t="s">
        <v>661</v>
      </c>
      <c r="AA20" s="735"/>
      <c r="AB20" s="736" t="s">
        <v>661</v>
      </c>
      <c r="AC20" s="736" t="s">
        <v>661</v>
      </c>
      <c r="AD20" s="736" t="s">
        <v>661</v>
      </c>
      <c r="AE20" s="736" t="s">
        <v>661</v>
      </c>
      <c r="AF20" s="735"/>
      <c r="AG20" s="735"/>
      <c r="AH20" s="735"/>
      <c r="AI20" s="749">
        <f t="shared" si="0"/>
        <v>0</v>
      </c>
      <c r="AJ20" s="749">
        <f t="shared" si="1"/>
        <v>0</v>
      </c>
      <c r="AK20" s="749">
        <f t="shared" si="2"/>
        <v>0</v>
      </c>
    </row>
    <row r="21" spans="2:37">
      <c r="B21" s="724">
        <v>18</v>
      </c>
      <c r="C21" s="734" t="str">
        <f>SISWA!E23</f>
        <v>Anak 18</v>
      </c>
      <c r="D21" s="736" t="s">
        <v>661</v>
      </c>
      <c r="E21" s="736" t="s">
        <v>661</v>
      </c>
      <c r="F21" s="735"/>
      <c r="G21" s="736" t="s">
        <v>661</v>
      </c>
      <c r="H21" s="735"/>
      <c r="I21" s="736" t="s">
        <v>661</v>
      </c>
      <c r="J21" s="736" t="s">
        <v>661</v>
      </c>
      <c r="K21" s="736" t="s">
        <v>661</v>
      </c>
      <c r="L21" s="736" t="s">
        <v>661</v>
      </c>
      <c r="M21" s="735"/>
      <c r="N21" s="736" t="s">
        <v>661</v>
      </c>
      <c r="O21" s="736" t="s">
        <v>661</v>
      </c>
      <c r="P21" s="736" t="s">
        <v>661</v>
      </c>
      <c r="Q21" s="736" t="s">
        <v>661</v>
      </c>
      <c r="R21" s="736" t="s">
        <v>661</v>
      </c>
      <c r="S21" s="736" t="s">
        <v>661</v>
      </c>
      <c r="T21" s="735"/>
      <c r="U21" s="736" t="s">
        <v>661</v>
      </c>
      <c r="V21" s="736" t="s">
        <v>661</v>
      </c>
      <c r="W21" s="736" t="s">
        <v>661</v>
      </c>
      <c r="X21" s="736" t="s">
        <v>661</v>
      </c>
      <c r="Y21" s="736" t="s">
        <v>661</v>
      </c>
      <c r="Z21" s="736" t="s">
        <v>661</v>
      </c>
      <c r="AA21" s="735"/>
      <c r="AB21" s="736" t="s">
        <v>661</v>
      </c>
      <c r="AC21" s="736" t="s">
        <v>661</v>
      </c>
      <c r="AD21" s="736" t="s">
        <v>661</v>
      </c>
      <c r="AE21" s="736" t="s">
        <v>661</v>
      </c>
      <c r="AF21" s="735"/>
      <c r="AG21" s="735"/>
      <c r="AH21" s="735"/>
      <c r="AI21" s="749">
        <f t="shared" si="0"/>
        <v>0</v>
      </c>
      <c r="AJ21" s="749">
        <f t="shared" si="1"/>
        <v>0</v>
      </c>
      <c r="AK21" s="749">
        <f t="shared" si="2"/>
        <v>0</v>
      </c>
    </row>
    <row r="22" spans="2:37">
      <c r="B22" s="724">
        <v>19</v>
      </c>
      <c r="C22" s="734" t="str">
        <f>SISWA!E24</f>
        <v>Anak 19</v>
      </c>
      <c r="D22" s="736" t="s">
        <v>661</v>
      </c>
      <c r="E22" s="736" t="s">
        <v>661</v>
      </c>
      <c r="F22" s="735"/>
      <c r="G22" s="736" t="s">
        <v>661</v>
      </c>
      <c r="H22" s="735"/>
      <c r="I22" s="736" t="s">
        <v>661</v>
      </c>
      <c r="J22" s="736" t="s">
        <v>661</v>
      </c>
      <c r="K22" s="736" t="s">
        <v>661</v>
      </c>
      <c r="L22" s="736" t="s">
        <v>661</v>
      </c>
      <c r="M22" s="735"/>
      <c r="N22" s="736" t="s">
        <v>661</v>
      </c>
      <c r="O22" s="736" t="s">
        <v>661</v>
      </c>
      <c r="P22" s="736" t="s">
        <v>661</v>
      </c>
      <c r="Q22" s="736" t="s">
        <v>661</v>
      </c>
      <c r="R22" s="736" t="s">
        <v>661</v>
      </c>
      <c r="S22" s="736" t="s">
        <v>661</v>
      </c>
      <c r="T22" s="735"/>
      <c r="U22" s="736" t="s">
        <v>661</v>
      </c>
      <c r="V22" s="736" t="s">
        <v>661</v>
      </c>
      <c r="W22" s="736" t="s">
        <v>661</v>
      </c>
      <c r="X22" s="736" t="s">
        <v>661</v>
      </c>
      <c r="Y22" s="736" t="s">
        <v>661</v>
      </c>
      <c r="Z22" s="736" t="s">
        <v>661</v>
      </c>
      <c r="AA22" s="735"/>
      <c r="AB22" s="736" t="s">
        <v>661</v>
      </c>
      <c r="AC22" s="736" t="s">
        <v>661</v>
      </c>
      <c r="AD22" s="736" t="s">
        <v>661</v>
      </c>
      <c r="AE22" s="736" t="s">
        <v>661</v>
      </c>
      <c r="AF22" s="735"/>
      <c r="AG22" s="735"/>
      <c r="AH22" s="735"/>
      <c r="AI22" s="749">
        <f t="shared" si="0"/>
        <v>0</v>
      </c>
      <c r="AJ22" s="749">
        <f t="shared" si="1"/>
        <v>0</v>
      </c>
      <c r="AK22" s="749">
        <f t="shared" si="2"/>
        <v>0</v>
      </c>
    </row>
    <row r="23" spans="2:37">
      <c r="B23" s="724">
        <v>20</v>
      </c>
      <c r="C23" s="734" t="str">
        <f>SISWA!E25</f>
        <v>Anak 20</v>
      </c>
      <c r="D23" s="736" t="s">
        <v>661</v>
      </c>
      <c r="E23" s="736" t="s">
        <v>661</v>
      </c>
      <c r="F23" s="735"/>
      <c r="G23" s="736" t="s">
        <v>661</v>
      </c>
      <c r="H23" s="735"/>
      <c r="I23" s="736" t="s">
        <v>661</v>
      </c>
      <c r="J23" s="736" t="s">
        <v>661</v>
      </c>
      <c r="K23" s="736" t="s">
        <v>661</v>
      </c>
      <c r="L23" s="736" t="s">
        <v>661</v>
      </c>
      <c r="M23" s="735"/>
      <c r="N23" s="736" t="s">
        <v>661</v>
      </c>
      <c r="O23" s="736" t="s">
        <v>661</v>
      </c>
      <c r="P23" s="736" t="s">
        <v>661</v>
      </c>
      <c r="Q23" s="736" t="s">
        <v>661</v>
      </c>
      <c r="R23" s="736" t="s">
        <v>661</v>
      </c>
      <c r="S23" s="736" t="s">
        <v>661</v>
      </c>
      <c r="T23" s="735"/>
      <c r="U23" s="736" t="s">
        <v>661</v>
      </c>
      <c r="V23" s="736" t="s">
        <v>661</v>
      </c>
      <c r="W23" s="736" t="s">
        <v>661</v>
      </c>
      <c r="X23" s="736" t="s">
        <v>661</v>
      </c>
      <c r="Y23" s="736" t="s">
        <v>661</v>
      </c>
      <c r="Z23" s="736" t="s">
        <v>661</v>
      </c>
      <c r="AA23" s="735"/>
      <c r="AB23" s="736" t="s">
        <v>661</v>
      </c>
      <c r="AC23" s="736" t="s">
        <v>661</v>
      </c>
      <c r="AD23" s="736" t="s">
        <v>661</v>
      </c>
      <c r="AE23" s="736" t="s">
        <v>661</v>
      </c>
      <c r="AF23" s="735"/>
      <c r="AG23" s="735"/>
      <c r="AH23" s="735"/>
      <c r="AI23" s="749">
        <f t="shared" si="0"/>
        <v>0</v>
      </c>
      <c r="AJ23" s="749">
        <f t="shared" si="1"/>
        <v>0</v>
      </c>
      <c r="AK23" s="749">
        <f t="shared" si="2"/>
        <v>0</v>
      </c>
    </row>
    <row r="24" spans="2:37">
      <c r="B24" s="724">
        <v>21</v>
      </c>
      <c r="C24" s="734" t="str">
        <f>SISWA!E26</f>
        <v>Anak 21</v>
      </c>
      <c r="D24" s="736" t="s">
        <v>661</v>
      </c>
      <c r="E24" s="736" t="s">
        <v>661</v>
      </c>
      <c r="F24" s="735"/>
      <c r="G24" s="736" t="s">
        <v>661</v>
      </c>
      <c r="H24" s="735"/>
      <c r="I24" s="736" t="s">
        <v>661</v>
      </c>
      <c r="J24" s="736" t="s">
        <v>661</v>
      </c>
      <c r="K24" s="736" t="s">
        <v>661</v>
      </c>
      <c r="L24" s="736" t="s">
        <v>661</v>
      </c>
      <c r="M24" s="735"/>
      <c r="N24" s="736" t="s">
        <v>661</v>
      </c>
      <c r="O24" s="736" t="s">
        <v>661</v>
      </c>
      <c r="P24" s="736" t="s">
        <v>661</v>
      </c>
      <c r="Q24" s="736" t="s">
        <v>661</v>
      </c>
      <c r="R24" s="736" t="s">
        <v>661</v>
      </c>
      <c r="S24" s="736" t="s">
        <v>661</v>
      </c>
      <c r="T24" s="735"/>
      <c r="U24" s="736" t="s">
        <v>661</v>
      </c>
      <c r="V24" s="736" t="s">
        <v>661</v>
      </c>
      <c r="W24" s="736" t="s">
        <v>661</v>
      </c>
      <c r="X24" s="736" t="s">
        <v>661</v>
      </c>
      <c r="Y24" s="736" t="s">
        <v>661</v>
      </c>
      <c r="Z24" s="736" t="s">
        <v>661</v>
      </c>
      <c r="AA24" s="735"/>
      <c r="AB24" s="736" t="s">
        <v>661</v>
      </c>
      <c r="AC24" s="736" t="s">
        <v>661</v>
      </c>
      <c r="AD24" s="736" t="s">
        <v>661</v>
      </c>
      <c r="AE24" s="736" t="s">
        <v>661</v>
      </c>
      <c r="AF24" s="735"/>
      <c r="AG24" s="735"/>
      <c r="AH24" s="735"/>
      <c r="AI24" s="749">
        <f t="shared" si="0"/>
        <v>0</v>
      </c>
      <c r="AJ24" s="749">
        <f t="shared" si="1"/>
        <v>0</v>
      </c>
      <c r="AK24" s="749">
        <f t="shared" si="2"/>
        <v>0</v>
      </c>
    </row>
    <row r="25" spans="2:37">
      <c r="B25" s="724">
        <v>22</v>
      </c>
      <c r="C25" s="734" t="str">
        <f>SISWA!E27</f>
        <v>Anak 22</v>
      </c>
      <c r="D25" s="736" t="s">
        <v>661</v>
      </c>
      <c r="E25" s="736" t="s">
        <v>661</v>
      </c>
      <c r="F25" s="735"/>
      <c r="G25" s="736" t="s">
        <v>661</v>
      </c>
      <c r="H25" s="735"/>
      <c r="I25" s="736" t="s">
        <v>661</v>
      </c>
      <c r="J25" s="736" t="s">
        <v>661</v>
      </c>
      <c r="K25" s="736" t="s">
        <v>661</v>
      </c>
      <c r="L25" s="736" t="s">
        <v>661</v>
      </c>
      <c r="M25" s="735"/>
      <c r="N25" s="736" t="s">
        <v>661</v>
      </c>
      <c r="O25" s="736" t="s">
        <v>661</v>
      </c>
      <c r="P25" s="736" t="s">
        <v>661</v>
      </c>
      <c r="Q25" s="736" t="s">
        <v>661</v>
      </c>
      <c r="R25" s="736" t="s">
        <v>661</v>
      </c>
      <c r="S25" s="736" t="s">
        <v>661</v>
      </c>
      <c r="T25" s="735"/>
      <c r="U25" s="736" t="s">
        <v>661</v>
      </c>
      <c r="V25" s="736" t="s">
        <v>661</v>
      </c>
      <c r="W25" s="736" t="s">
        <v>661</v>
      </c>
      <c r="X25" s="736" t="s">
        <v>661</v>
      </c>
      <c r="Y25" s="736" t="s">
        <v>661</v>
      </c>
      <c r="Z25" s="736" t="s">
        <v>661</v>
      </c>
      <c r="AA25" s="735"/>
      <c r="AB25" s="736" t="s">
        <v>661</v>
      </c>
      <c r="AC25" s="736" t="s">
        <v>661</v>
      </c>
      <c r="AD25" s="736" t="s">
        <v>661</v>
      </c>
      <c r="AE25" s="736" t="s">
        <v>661</v>
      </c>
      <c r="AF25" s="735"/>
      <c r="AG25" s="735"/>
      <c r="AH25" s="735"/>
      <c r="AI25" s="749">
        <f t="shared" si="0"/>
        <v>0</v>
      </c>
      <c r="AJ25" s="749">
        <f t="shared" si="1"/>
        <v>0</v>
      </c>
      <c r="AK25" s="749">
        <f t="shared" si="2"/>
        <v>0</v>
      </c>
    </row>
    <row r="26" spans="2:37">
      <c r="B26" s="724">
        <v>23</v>
      </c>
      <c r="C26" s="734" t="str">
        <f>SISWA!E28</f>
        <v>Anak 23</v>
      </c>
      <c r="D26" s="736" t="s">
        <v>661</v>
      </c>
      <c r="E26" s="736" t="s">
        <v>661</v>
      </c>
      <c r="F26" s="735"/>
      <c r="G26" s="736" t="s">
        <v>661</v>
      </c>
      <c r="H26" s="735"/>
      <c r="I26" s="736" t="s">
        <v>661</v>
      </c>
      <c r="J26" s="736" t="s">
        <v>661</v>
      </c>
      <c r="K26" s="736" t="s">
        <v>661</v>
      </c>
      <c r="L26" s="736" t="s">
        <v>661</v>
      </c>
      <c r="M26" s="735"/>
      <c r="N26" s="736" t="s">
        <v>661</v>
      </c>
      <c r="O26" s="736" t="s">
        <v>661</v>
      </c>
      <c r="P26" s="736" t="s">
        <v>661</v>
      </c>
      <c r="Q26" s="736" t="s">
        <v>661</v>
      </c>
      <c r="R26" s="736" t="s">
        <v>661</v>
      </c>
      <c r="S26" s="736" t="s">
        <v>661</v>
      </c>
      <c r="T26" s="735"/>
      <c r="U26" s="736" t="s">
        <v>661</v>
      </c>
      <c r="V26" s="736" t="s">
        <v>661</v>
      </c>
      <c r="W26" s="736" t="s">
        <v>661</v>
      </c>
      <c r="X26" s="736" t="s">
        <v>661</v>
      </c>
      <c r="Y26" s="736" t="s">
        <v>661</v>
      </c>
      <c r="Z26" s="736" t="s">
        <v>661</v>
      </c>
      <c r="AA26" s="735"/>
      <c r="AB26" s="736" t="s">
        <v>661</v>
      </c>
      <c r="AC26" s="736" t="s">
        <v>661</v>
      </c>
      <c r="AD26" s="736" t="s">
        <v>661</v>
      </c>
      <c r="AE26" s="736" t="s">
        <v>661</v>
      </c>
      <c r="AF26" s="735"/>
      <c r="AG26" s="735"/>
      <c r="AH26" s="735"/>
      <c r="AI26" s="749">
        <f t="shared" si="0"/>
        <v>0</v>
      </c>
      <c r="AJ26" s="749">
        <f t="shared" si="1"/>
        <v>0</v>
      </c>
      <c r="AK26" s="749">
        <f t="shared" si="2"/>
        <v>0</v>
      </c>
    </row>
    <row r="27" spans="2:37">
      <c r="B27" s="724">
        <v>24</v>
      </c>
      <c r="C27" s="734" t="str">
        <f>SISWA!E29</f>
        <v>Anak 24</v>
      </c>
      <c r="D27" s="736" t="s">
        <v>661</v>
      </c>
      <c r="E27" s="736" t="s">
        <v>661</v>
      </c>
      <c r="F27" s="735"/>
      <c r="G27" s="736" t="s">
        <v>661</v>
      </c>
      <c r="H27" s="735"/>
      <c r="I27" s="736" t="s">
        <v>661</v>
      </c>
      <c r="J27" s="736" t="s">
        <v>661</v>
      </c>
      <c r="K27" s="736" t="s">
        <v>661</v>
      </c>
      <c r="L27" s="736" t="s">
        <v>661</v>
      </c>
      <c r="M27" s="735"/>
      <c r="N27" s="736" t="s">
        <v>661</v>
      </c>
      <c r="O27" s="736" t="s">
        <v>661</v>
      </c>
      <c r="P27" s="736" t="s">
        <v>661</v>
      </c>
      <c r="Q27" s="736" t="s">
        <v>661</v>
      </c>
      <c r="R27" s="736" t="s">
        <v>661</v>
      </c>
      <c r="S27" s="736" t="s">
        <v>661</v>
      </c>
      <c r="T27" s="735"/>
      <c r="U27" s="736" t="s">
        <v>661</v>
      </c>
      <c r="V27" s="736" t="s">
        <v>661</v>
      </c>
      <c r="W27" s="736" t="s">
        <v>661</v>
      </c>
      <c r="X27" s="736" t="s">
        <v>661</v>
      </c>
      <c r="Y27" s="736" t="s">
        <v>661</v>
      </c>
      <c r="Z27" s="736" t="s">
        <v>661</v>
      </c>
      <c r="AA27" s="735"/>
      <c r="AB27" s="736" t="s">
        <v>661</v>
      </c>
      <c r="AC27" s="736" t="s">
        <v>661</v>
      </c>
      <c r="AD27" s="736" t="s">
        <v>661</v>
      </c>
      <c r="AE27" s="736" t="s">
        <v>661</v>
      </c>
      <c r="AF27" s="735"/>
      <c r="AG27" s="735"/>
      <c r="AH27" s="735"/>
      <c r="AI27" s="749">
        <f t="shared" si="0"/>
        <v>0</v>
      </c>
      <c r="AJ27" s="749">
        <f t="shared" si="1"/>
        <v>0</v>
      </c>
      <c r="AK27" s="749">
        <f t="shared" si="2"/>
        <v>0</v>
      </c>
    </row>
    <row r="28" spans="2:37">
      <c r="B28" s="724">
        <v>25</v>
      </c>
      <c r="C28" s="734" t="str">
        <f>SISWA!E30</f>
        <v>Anak 25</v>
      </c>
      <c r="D28" s="736" t="s">
        <v>661</v>
      </c>
      <c r="E28" s="736" t="s">
        <v>661</v>
      </c>
      <c r="F28" s="735"/>
      <c r="G28" s="736" t="s">
        <v>661</v>
      </c>
      <c r="H28" s="735"/>
      <c r="I28" s="736" t="s">
        <v>661</v>
      </c>
      <c r="J28" s="736" t="s">
        <v>661</v>
      </c>
      <c r="K28" s="736" t="s">
        <v>661</v>
      </c>
      <c r="L28" s="736" t="s">
        <v>661</v>
      </c>
      <c r="M28" s="735"/>
      <c r="N28" s="736" t="s">
        <v>661</v>
      </c>
      <c r="O28" s="736" t="s">
        <v>661</v>
      </c>
      <c r="P28" s="736" t="s">
        <v>661</v>
      </c>
      <c r="Q28" s="736" t="s">
        <v>661</v>
      </c>
      <c r="R28" s="736" t="s">
        <v>661</v>
      </c>
      <c r="S28" s="736" t="s">
        <v>661</v>
      </c>
      <c r="T28" s="735"/>
      <c r="U28" s="736" t="s">
        <v>661</v>
      </c>
      <c r="V28" s="736" t="s">
        <v>661</v>
      </c>
      <c r="W28" s="736" t="s">
        <v>661</v>
      </c>
      <c r="X28" s="736" t="s">
        <v>661</v>
      </c>
      <c r="Y28" s="736" t="s">
        <v>661</v>
      </c>
      <c r="Z28" s="736" t="s">
        <v>661</v>
      </c>
      <c r="AA28" s="735"/>
      <c r="AB28" s="736" t="s">
        <v>661</v>
      </c>
      <c r="AC28" s="736" t="s">
        <v>661</v>
      </c>
      <c r="AD28" s="736" t="s">
        <v>661</v>
      </c>
      <c r="AE28" s="736" t="s">
        <v>661</v>
      </c>
      <c r="AF28" s="735"/>
      <c r="AG28" s="735"/>
      <c r="AH28" s="735"/>
      <c r="AI28" s="749">
        <f t="shared" si="0"/>
        <v>0</v>
      </c>
      <c r="AJ28" s="749">
        <f t="shared" si="1"/>
        <v>0</v>
      </c>
      <c r="AK28" s="749">
        <f t="shared" si="2"/>
        <v>0</v>
      </c>
    </row>
    <row r="29" spans="2:37">
      <c r="B29" s="724">
        <v>26</v>
      </c>
      <c r="C29" s="734" t="str">
        <f>SISWA!E31</f>
        <v>Anak 26</v>
      </c>
      <c r="D29" s="736" t="s">
        <v>661</v>
      </c>
      <c r="E29" s="736" t="s">
        <v>661</v>
      </c>
      <c r="F29" s="735"/>
      <c r="G29" s="736" t="s">
        <v>661</v>
      </c>
      <c r="H29" s="735"/>
      <c r="I29" s="736" t="s">
        <v>661</v>
      </c>
      <c r="J29" s="736" t="s">
        <v>661</v>
      </c>
      <c r="K29" s="736" t="s">
        <v>661</v>
      </c>
      <c r="L29" s="736" t="s">
        <v>661</v>
      </c>
      <c r="M29" s="735"/>
      <c r="N29" s="736" t="s">
        <v>661</v>
      </c>
      <c r="O29" s="736" t="s">
        <v>661</v>
      </c>
      <c r="P29" s="736" t="s">
        <v>661</v>
      </c>
      <c r="Q29" s="736" t="s">
        <v>661</v>
      </c>
      <c r="R29" s="736" t="s">
        <v>661</v>
      </c>
      <c r="S29" s="736" t="s">
        <v>661</v>
      </c>
      <c r="T29" s="735"/>
      <c r="U29" s="736" t="s">
        <v>661</v>
      </c>
      <c r="V29" s="736" t="s">
        <v>661</v>
      </c>
      <c r="W29" s="736" t="s">
        <v>661</v>
      </c>
      <c r="X29" s="736" t="s">
        <v>661</v>
      </c>
      <c r="Y29" s="736" t="s">
        <v>661</v>
      </c>
      <c r="Z29" s="736" t="s">
        <v>661</v>
      </c>
      <c r="AA29" s="735"/>
      <c r="AB29" s="736" t="s">
        <v>661</v>
      </c>
      <c r="AC29" s="736" t="s">
        <v>661</v>
      </c>
      <c r="AD29" s="736" t="s">
        <v>661</v>
      </c>
      <c r="AE29" s="736" t="s">
        <v>661</v>
      </c>
      <c r="AF29" s="735"/>
      <c r="AG29" s="735"/>
      <c r="AH29" s="735"/>
      <c r="AI29" s="749">
        <f t="shared" si="0"/>
        <v>0</v>
      </c>
      <c r="AJ29" s="749">
        <f t="shared" si="1"/>
        <v>0</v>
      </c>
      <c r="AK29" s="749">
        <f t="shared" si="2"/>
        <v>0</v>
      </c>
    </row>
    <row r="30" spans="2:37">
      <c r="B30" s="724">
        <v>27</v>
      </c>
      <c r="C30" s="734" t="str">
        <f>SISWA!E32</f>
        <v>Anak 27</v>
      </c>
      <c r="D30" s="736" t="s">
        <v>661</v>
      </c>
      <c r="E30" s="736" t="s">
        <v>661</v>
      </c>
      <c r="F30" s="735"/>
      <c r="G30" s="736" t="s">
        <v>661</v>
      </c>
      <c r="H30" s="735"/>
      <c r="I30" s="736" t="s">
        <v>661</v>
      </c>
      <c r="J30" s="736" t="s">
        <v>661</v>
      </c>
      <c r="K30" s="736" t="s">
        <v>661</v>
      </c>
      <c r="L30" s="736" t="s">
        <v>661</v>
      </c>
      <c r="M30" s="735"/>
      <c r="N30" s="736" t="s">
        <v>661</v>
      </c>
      <c r="O30" s="736" t="s">
        <v>661</v>
      </c>
      <c r="P30" s="736" t="s">
        <v>661</v>
      </c>
      <c r="Q30" s="736" t="s">
        <v>661</v>
      </c>
      <c r="R30" s="736" t="s">
        <v>661</v>
      </c>
      <c r="S30" s="736" t="s">
        <v>661</v>
      </c>
      <c r="T30" s="735"/>
      <c r="U30" s="736" t="s">
        <v>661</v>
      </c>
      <c r="V30" s="736" t="s">
        <v>661</v>
      </c>
      <c r="W30" s="736" t="s">
        <v>661</v>
      </c>
      <c r="X30" s="736" t="s">
        <v>661</v>
      </c>
      <c r="Y30" s="736" t="s">
        <v>661</v>
      </c>
      <c r="Z30" s="736" t="s">
        <v>661</v>
      </c>
      <c r="AA30" s="735"/>
      <c r="AB30" s="736" t="s">
        <v>661</v>
      </c>
      <c r="AC30" s="736" t="s">
        <v>661</v>
      </c>
      <c r="AD30" s="736" t="s">
        <v>661</v>
      </c>
      <c r="AE30" s="736" t="s">
        <v>661</v>
      </c>
      <c r="AF30" s="735"/>
      <c r="AG30" s="735"/>
      <c r="AH30" s="735"/>
      <c r="AI30" s="749">
        <f t="shared" si="0"/>
        <v>0</v>
      </c>
      <c r="AJ30" s="749">
        <f t="shared" si="1"/>
        <v>0</v>
      </c>
      <c r="AK30" s="749">
        <f t="shared" si="2"/>
        <v>0</v>
      </c>
    </row>
    <row r="31" spans="2:37">
      <c r="B31" s="724">
        <v>28</v>
      </c>
      <c r="C31" s="734" t="str">
        <f>SISWA!E33</f>
        <v>Anak 28</v>
      </c>
      <c r="D31" s="736" t="s">
        <v>661</v>
      </c>
      <c r="E31" s="736" t="s">
        <v>661</v>
      </c>
      <c r="F31" s="735"/>
      <c r="G31" s="736" t="s">
        <v>661</v>
      </c>
      <c r="H31" s="735"/>
      <c r="I31" s="736" t="s">
        <v>661</v>
      </c>
      <c r="J31" s="736" t="s">
        <v>661</v>
      </c>
      <c r="K31" s="736" t="s">
        <v>661</v>
      </c>
      <c r="L31" s="736" t="s">
        <v>661</v>
      </c>
      <c r="M31" s="735"/>
      <c r="N31" s="736" t="s">
        <v>661</v>
      </c>
      <c r="O31" s="736" t="s">
        <v>661</v>
      </c>
      <c r="P31" s="736" t="s">
        <v>661</v>
      </c>
      <c r="Q31" s="736" t="s">
        <v>661</v>
      </c>
      <c r="R31" s="736" t="s">
        <v>661</v>
      </c>
      <c r="S31" s="736" t="s">
        <v>661</v>
      </c>
      <c r="T31" s="735"/>
      <c r="U31" s="736" t="s">
        <v>661</v>
      </c>
      <c r="V31" s="736" t="s">
        <v>661</v>
      </c>
      <c r="W31" s="736" t="s">
        <v>661</v>
      </c>
      <c r="X31" s="736" t="s">
        <v>661</v>
      </c>
      <c r="Y31" s="736" t="s">
        <v>661</v>
      </c>
      <c r="Z31" s="736" t="s">
        <v>661</v>
      </c>
      <c r="AA31" s="735"/>
      <c r="AB31" s="736" t="s">
        <v>661</v>
      </c>
      <c r="AC31" s="736" t="s">
        <v>661</v>
      </c>
      <c r="AD31" s="736" t="s">
        <v>661</v>
      </c>
      <c r="AE31" s="736" t="s">
        <v>661</v>
      </c>
      <c r="AF31" s="735"/>
      <c r="AG31" s="735"/>
      <c r="AH31" s="735"/>
      <c r="AI31" s="749">
        <f t="shared" si="0"/>
        <v>0</v>
      </c>
      <c r="AJ31" s="749">
        <f t="shared" si="1"/>
        <v>0</v>
      </c>
      <c r="AK31" s="749">
        <f t="shared" si="2"/>
        <v>0</v>
      </c>
    </row>
    <row r="32" spans="2:37">
      <c r="B32" s="724">
        <v>29</v>
      </c>
      <c r="C32" s="734" t="str">
        <f>SISWA!E34</f>
        <v>Anak 29</v>
      </c>
      <c r="D32" s="736" t="s">
        <v>661</v>
      </c>
      <c r="E32" s="736" t="s">
        <v>661</v>
      </c>
      <c r="F32" s="735"/>
      <c r="G32" s="736" t="s">
        <v>661</v>
      </c>
      <c r="H32" s="735"/>
      <c r="I32" s="736" t="s">
        <v>661</v>
      </c>
      <c r="J32" s="736" t="s">
        <v>661</v>
      </c>
      <c r="K32" s="736" t="s">
        <v>661</v>
      </c>
      <c r="L32" s="736" t="s">
        <v>661</v>
      </c>
      <c r="M32" s="735"/>
      <c r="N32" s="736" t="s">
        <v>661</v>
      </c>
      <c r="O32" s="736" t="s">
        <v>661</v>
      </c>
      <c r="P32" s="736" t="s">
        <v>661</v>
      </c>
      <c r="Q32" s="736" t="s">
        <v>661</v>
      </c>
      <c r="R32" s="736" t="s">
        <v>661</v>
      </c>
      <c r="S32" s="736" t="s">
        <v>661</v>
      </c>
      <c r="T32" s="735"/>
      <c r="U32" s="736" t="s">
        <v>661</v>
      </c>
      <c r="V32" s="736" t="s">
        <v>661</v>
      </c>
      <c r="W32" s="736" t="s">
        <v>661</v>
      </c>
      <c r="X32" s="736" t="s">
        <v>661</v>
      </c>
      <c r="Y32" s="736" t="s">
        <v>661</v>
      </c>
      <c r="Z32" s="736" t="s">
        <v>661</v>
      </c>
      <c r="AA32" s="735"/>
      <c r="AB32" s="736" t="s">
        <v>661</v>
      </c>
      <c r="AC32" s="736" t="s">
        <v>661</v>
      </c>
      <c r="AD32" s="736" t="s">
        <v>661</v>
      </c>
      <c r="AE32" s="736" t="s">
        <v>661</v>
      </c>
      <c r="AF32" s="735"/>
      <c r="AG32" s="735"/>
      <c r="AH32" s="735"/>
      <c r="AI32" s="749">
        <f t="shared" si="0"/>
        <v>0</v>
      </c>
      <c r="AJ32" s="749">
        <f t="shared" si="1"/>
        <v>0</v>
      </c>
      <c r="AK32" s="749">
        <f t="shared" si="2"/>
        <v>0</v>
      </c>
    </row>
    <row r="33" spans="2:37">
      <c r="B33" s="724">
        <v>30</v>
      </c>
      <c r="C33" s="734" t="str">
        <f>SISWA!E35</f>
        <v>Anak 30</v>
      </c>
      <c r="D33" s="736" t="s">
        <v>661</v>
      </c>
      <c r="E33" s="736" t="s">
        <v>661</v>
      </c>
      <c r="F33" s="735"/>
      <c r="G33" s="736" t="s">
        <v>661</v>
      </c>
      <c r="H33" s="735"/>
      <c r="I33" s="736" t="s">
        <v>661</v>
      </c>
      <c r="J33" s="736" t="s">
        <v>661</v>
      </c>
      <c r="K33" s="736" t="s">
        <v>661</v>
      </c>
      <c r="L33" s="736" t="s">
        <v>661</v>
      </c>
      <c r="M33" s="735"/>
      <c r="N33" s="736" t="s">
        <v>661</v>
      </c>
      <c r="O33" s="736" t="s">
        <v>661</v>
      </c>
      <c r="P33" s="736" t="s">
        <v>661</v>
      </c>
      <c r="Q33" s="736" t="s">
        <v>661</v>
      </c>
      <c r="R33" s="736" t="s">
        <v>661</v>
      </c>
      <c r="S33" s="736" t="s">
        <v>661</v>
      </c>
      <c r="T33" s="735"/>
      <c r="U33" s="736" t="s">
        <v>661</v>
      </c>
      <c r="V33" s="736" t="s">
        <v>661</v>
      </c>
      <c r="W33" s="736" t="s">
        <v>661</v>
      </c>
      <c r="X33" s="736" t="s">
        <v>661</v>
      </c>
      <c r="Y33" s="736" t="s">
        <v>661</v>
      </c>
      <c r="Z33" s="736" t="s">
        <v>661</v>
      </c>
      <c r="AA33" s="735"/>
      <c r="AB33" s="736" t="s">
        <v>661</v>
      </c>
      <c r="AC33" s="736" t="s">
        <v>661</v>
      </c>
      <c r="AD33" s="736" t="s">
        <v>661</v>
      </c>
      <c r="AE33" s="736" t="s">
        <v>661</v>
      </c>
      <c r="AF33" s="735"/>
      <c r="AG33" s="735"/>
      <c r="AH33" s="735"/>
      <c r="AI33" s="749">
        <f t="shared" si="0"/>
        <v>0</v>
      </c>
      <c r="AJ33" s="749">
        <f t="shared" si="1"/>
        <v>0</v>
      </c>
      <c r="AK33" s="749">
        <f t="shared" si="2"/>
        <v>0</v>
      </c>
    </row>
    <row r="34" spans="2:37">
      <c r="B34" s="724">
        <v>31</v>
      </c>
      <c r="C34" s="734" t="str">
        <f>SISWA!E36</f>
        <v>Anak 31</v>
      </c>
      <c r="D34" s="736" t="s">
        <v>661</v>
      </c>
      <c r="E34" s="736" t="s">
        <v>661</v>
      </c>
      <c r="F34" s="735"/>
      <c r="G34" s="736" t="s">
        <v>661</v>
      </c>
      <c r="H34" s="735"/>
      <c r="I34" s="736" t="s">
        <v>661</v>
      </c>
      <c r="J34" s="736" t="s">
        <v>661</v>
      </c>
      <c r="K34" s="736" t="s">
        <v>661</v>
      </c>
      <c r="L34" s="736" t="s">
        <v>661</v>
      </c>
      <c r="M34" s="735"/>
      <c r="N34" s="736" t="s">
        <v>661</v>
      </c>
      <c r="O34" s="736" t="s">
        <v>661</v>
      </c>
      <c r="P34" s="736" t="s">
        <v>661</v>
      </c>
      <c r="Q34" s="736" t="s">
        <v>661</v>
      </c>
      <c r="R34" s="736" t="s">
        <v>661</v>
      </c>
      <c r="S34" s="736" t="s">
        <v>661</v>
      </c>
      <c r="T34" s="735"/>
      <c r="U34" s="736" t="s">
        <v>661</v>
      </c>
      <c r="V34" s="736" t="s">
        <v>661</v>
      </c>
      <c r="W34" s="736" t="s">
        <v>661</v>
      </c>
      <c r="X34" s="736" t="s">
        <v>661</v>
      </c>
      <c r="Y34" s="736" t="s">
        <v>661</v>
      </c>
      <c r="Z34" s="736" t="s">
        <v>661</v>
      </c>
      <c r="AA34" s="735"/>
      <c r="AB34" s="736" t="s">
        <v>661</v>
      </c>
      <c r="AC34" s="736" t="s">
        <v>661</v>
      </c>
      <c r="AD34" s="736" t="s">
        <v>661</v>
      </c>
      <c r="AE34" s="736" t="s">
        <v>661</v>
      </c>
      <c r="AF34" s="735"/>
      <c r="AG34" s="735"/>
      <c r="AH34" s="735"/>
      <c r="AI34" s="749">
        <f t="shared" si="0"/>
        <v>0</v>
      </c>
      <c r="AJ34" s="749">
        <f t="shared" si="1"/>
        <v>0</v>
      </c>
      <c r="AK34" s="749">
        <f t="shared" si="2"/>
        <v>0</v>
      </c>
    </row>
    <row r="35" spans="2:37">
      <c r="B35" s="724">
        <v>32</v>
      </c>
      <c r="C35" s="734" t="str">
        <f>SISWA!E37</f>
        <v>Anak 32</v>
      </c>
      <c r="D35" s="736" t="s">
        <v>661</v>
      </c>
      <c r="E35" s="736" t="s">
        <v>661</v>
      </c>
      <c r="F35" s="735"/>
      <c r="G35" s="736" t="s">
        <v>661</v>
      </c>
      <c r="H35" s="735"/>
      <c r="I35" s="736" t="s">
        <v>661</v>
      </c>
      <c r="J35" s="736" t="s">
        <v>661</v>
      </c>
      <c r="K35" s="736" t="s">
        <v>661</v>
      </c>
      <c r="L35" s="736" t="s">
        <v>661</v>
      </c>
      <c r="M35" s="735"/>
      <c r="N35" s="736" t="s">
        <v>661</v>
      </c>
      <c r="O35" s="736" t="s">
        <v>661</v>
      </c>
      <c r="P35" s="736" t="s">
        <v>661</v>
      </c>
      <c r="Q35" s="736" t="s">
        <v>661</v>
      </c>
      <c r="R35" s="736" t="s">
        <v>661</v>
      </c>
      <c r="S35" s="736" t="s">
        <v>661</v>
      </c>
      <c r="T35" s="735"/>
      <c r="U35" s="736" t="s">
        <v>661</v>
      </c>
      <c r="V35" s="736" t="s">
        <v>661</v>
      </c>
      <c r="W35" s="736" t="s">
        <v>661</v>
      </c>
      <c r="X35" s="736" t="s">
        <v>661</v>
      </c>
      <c r="Y35" s="736" t="s">
        <v>661</v>
      </c>
      <c r="Z35" s="736" t="s">
        <v>661</v>
      </c>
      <c r="AA35" s="735"/>
      <c r="AB35" s="736" t="s">
        <v>661</v>
      </c>
      <c r="AC35" s="736" t="s">
        <v>661</v>
      </c>
      <c r="AD35" s="736" t="s">
        <v>661</v>
      </c>
      <c r="AE35" s="736" t="s">
        <v>661</v>
      </c>
      <c r="AF35" s="735"/>
      <c r="AG35" s="735"/>
      <c r="AH35" s="735"/>
      <c r="AI35" s="749">
        <f t="shared" si="0"/>
        <v>0</v>
      </c>
      <c r="AJ35" s="749">
        <f t="shared" si="1"/>
        <v>0</v>
      </c>
      <c r="AK35" s="749">
        <f t="shared" si="2"/>
        <v>0</v>
      </c>
    </row>
    <row r="36" spans="2:37">
      <c r="B36" s="724">
        <v>33</v>
      </c>
      <c r="C36" s="734" t="str">
        <f>SISWA!E38</f>
        <v>Anak 33</v>
      </c>
      <c r="D36" s="736" t="s">
        <v>661</v>
      </c>
      <c r="E36" s="736" t="s">
        <v>661</v>
      </c>
      <c r="F36" s="735"/>
      <c r="G36" s="736" t="s">
        <v>661</v>
      </c>
      <c r="H36" s="735"/>
      <c r="I36" s="736" t="s">
        <v>661</v>
      </c>
      <c r="J36" s="736" t="s">
        <v>661</v>
      </c>
      <c r="K36" s="736" t="s">
        <v>661</v>
      </c>
      <c r="L36" s="736" t="s">
        <v>661</v>
      </c>
      <c r="M36" s="735"/>
      <c r="N36" s="736" t="s">
        <v>661</v>
      </c>
      <c r="O36" s="736" t="s">
        <v>661</v>
      </c>
      <c r="P36" s="736" t="s">
        <v>661</v>
      </c>
      <c r="Q36" s="736" t="s">
        <v>661</v>
      </c>
      <c r="R36" s="736" t="s">
        <v>661</v>
      </c>
      <c r="S36" s="736" t="s">
        <v>661</v>
      </c>
      <c r="T36" s="735"/>
      <c r="U36" s="736" t="s">
        <v>661</v>
      </c>
      <c r="V36" s="736" t="s">
        <v>661</v>
      </c>
      <c r="W36" s="736" t="s">
        <v>661</v>
      </c>
      <c r="X36" s="736" t="s">
        <v>661</v>
      </c>
      <c r="Y36" s="736" t="s">
        <v>661</v>
      </c>
      <c r="Z36" s="736" t="s">
        <v>661</v>
      </c>
      <c r="AA36" s="735"/>
      <c r="AB36" s="736" t="s">
        <v>661</v>
      </c>
      <c r="AC36" s="736" t="s">
        <v>661</v>
      </c>
      <c r="AD36" s="736" t="s">
        <v>661</v>
      </c>
      <c r="AE36" s="736" t="s">
        <v>661</v>
      </c>
      <c r="AF36" s="735"/>
      <c r="AG36" s="735"/>
      <c r="AH36" s="735"/>
      <c r="AI36" s="749">
        <f t="shared" si="0"/>
        <v>0</v>
      </c>
      <c r="AJ36" s="749">
        <f t="shared" si="1"/>
        <v>0</v>
      </c>
      <c r="AK36" s="749">
        <f t="shared" si="2"/>
        <v>0</v>
      </c>
    </row>
    <row r="37" spans="2:37">
      <c r="B37" s="724">
        <v>34</v>
      </c>
      <c r="C37" s="734" t="str">
        <f>SISWA!E39</f>
        <v>Anak 34</v>
      </c>
      <c r="D37" s="736" t="s">
        <v>661</v>
      </c>
      <c r="E37" s="736" t="s">
        <v>661</v>
      </c>
      <c r="F37" s="735"/>
      <c r="G37" s="736" t="s">
        <v>661</v>
      </c>
      <c r="H37" s="735"/>
      <c r="I37" s="736" t="s">
        <v>661</v>
      </c>
      <c r="J37" s="736" t="s">
        <v>661</v>
      </c>
      <c r="K37" s="736" t="s">
        <v>661</v>
      </c>
      <c r="L37" s="736" t="s">
        <v>661</v>
      </c>
      <c r="M37" s="735"/>
      <c r="N37" s="736" t="s">
        <v>661</v>
      </c>
      <c r="O37" s="736" t="s">
        <v>661</v>
      </c>
      <c r="P37" s="736" t="s">
        <v>661</v>
      </c>
      <c r="Q37" s="736" t="s">
        <v>661</v>
      </c>
      <c r="R37" s="736" t="s">
        <v>661</v>
      </c>
      <c r="S37" s="736" t="s">
        <v>661</v>
      </c>
      <c r="T37" s="735"/>
      <c r="U37" s="736" t="s">
        <v>661</v>
      </c>
      <c r="V37" s="736" t="s">
        <v>661</v>
      </c>
      <c r="W37" s="736" t="s">
        <v>661</v>
      </c>
      <c r="X37" s="736" t="s">
        <v>661</v>
      </c>
      <c r="Y37" s="736" t="s">
        <v>661</v>
      </c>
      <c r="Z37" s="736" t="s">
        <v>661</v>
      </c>
      <c r="AA37" s="735"/>
      <c r="AB37" s="736" t="s">
        <v>661</v>
      </c>
      <c r="AC37" s="736" t="s">
        <v>661</v>
      </c>
      <c r="AD37" s="736" t="s">
        <v>661</v>
      </c>
      <c r="AE37" s="736" t="s">
        <v>661</v>
      </c>
      <c r="AF37" s="735"/>
      <c r="AG37" s="735"/>
      <c r="AH37" s="735"/>
      <c r="AI37" s="749">
        <f t="shared" si="0"/>
        <v>0</v>
      </c>
      <c r="AJ37" s="749">
        <f t="shared" si="1"/>
        <v>0</v>
      </c>
      <c r="AK37" s="749">
        <f t="shared" si="2"/>
        <v>0</v>
      </c>
    </row>
    <row r="38" spans="2:37">
      <c r="B38" s="724">
        <v>35</v>
      </c>
      <c r="C38" s="734" t="str">
        <f>SISWA!E40</f>
        <v>Anak 35</v>
      </c>
      <c r="D38" s="736" t="s">
        <v>661</v>
      </c>
      <c r="E38" s="736" t="s">
        <v>661</v>
      </c>
      <c r="F38" s="735"/>
      <c r="G38" s="736" t="s">
        <v>661</v>
      </c>
      <c r="H38" s="735"/>
      <c r="I38" s="736" t="s">
        <v>661</v>
      </c>
      <c r="J38" s="736" t="s">
        <v>661</v>
      </c>
      <c r="K38" s="736" t="s">
        <v>661</v>
      </c>
      <c r="L38" s="736" t="s">
        <v>661</v>
      </c>
      <c r="M38" s="735"/>
      <c r="N38" s="736" t="s">
        <v>661</v>
      </c>
      <c r="O38" s="736" t="s">
        <v>661</v>
      </c>
      <c r="P38" s="736" t="s">
        <v>661</v>
      </c>
      <c r="Q38" s="736" t="s">
        <v>661</v>
      </c>
      <c r="R38" s="736" t="s">
        <v>661</v>
      </c>
      <c r="S38" s="736" t="s">
        <v>661</v>
      </c>
      <c r="T38" s="735"/>
      <c r="U38" s="736" t="s">
        <v>661</v>
      </c>
      <c r="V38" s="736" t="s">
        <v>661</v>
      </c>
      <c r="W38" s="736" t="s">
        <v>661</v>
      </c>
      <c r="X38" s="736" t="s">
        <v>661</v>
      </c>
      <c r="Y38" s="736" t="s">
        <v>661</v>
      </c>
      <c r="Z38" s="736" t="s">
        <v>661</v>
      </c>
      <c r="AA38" s="735"/>
      <c r="AB38" s="736" t="s">
        <v>661</v>
      </c>
      <c r="AC38" s="736" t="s">
        <v>661</v>
      </c>
      <c r="AD38" s="736" t="s">
        <v>661</v>
      </c>
      <c r="AE38" s="736" t="s">
        <v>661</v>
      </c>
      <c r="AF38" s="735"/>
      <c r="AG38" s="735"/>
      <c r="AH38" s="735"/>
      <c r="AI38" s="749">
        <f t="shared" si="0"/>
        <v>0</v>
      </c>
      <c r="AJ38" s="749">
        <f t="shared" si="1"/>
        <v>0</v>
      </c>
      <c r="AK38" s="749">
        <f t="shared" si="2"/>
        <v>0</v>
      </c>
    </row>
    <row r="39" spans="2:37">
      <c r="B39" s="724">
        <v>36</v>
      </c>
      <c r="C39" s="734" t="str">
        <f>SISWA!E41</f>
        <v>Anak 36</v>
      </c>
      <c r="D39" s="736" t="s">
        <v>661</v>
      </c>
      <c r="E39" s="736" t="s">
        <v>661</v>
      </c>
      <c r="F39" s="735"/>
      <c r="G39" s="736" t="s">
        <v>661</v>
      </c>
      <c r="H39" s="735"/>
      <c r="I39" s="736" t="s">
        <v>661</v>
      </c>
      <c r="J39" s="736" t="s">
        <v>661</v>
      </c>
      <c r="K39" s="736" t="s">
        <v>661</v>
      </c>
      <c r="L39" s="736" t="s">
        <v>661</v>
      </c>
      <c r="M39" s="735"/>
      <c r="N39" s="736" t="s">
        <v>661</v>
      </c>
      <c r="O39" s="736" t="s">
        <v>661</v>
      </c>
      <c r="P39" s="736" t="s">
        <v>661</v>
      </c>
      <c r="Q39" s="736" t="s">
        <v>661</v>
      </c>
      <c r="R39" s="736" t="s">
        <v>661</v>
      </c>
      <c r="S39" s="736" t="s">
        <v>661</v>
      </c>
      <c r="T39" s="735"/>
      <c r="U39" s="736" t="s">
        <v>661</v>
      </c>
      <c r="V39" s="736" t="s">
        <v>661</v>
      </c>
      <c r="W39" s="736" t="s">
        <v>661</v>
      </c>
      <c r="X39" s="736" t="s">
        <v>661</v>
      </c>
      <c r="Y39" s="736" t="s">
        <v>661</v>
      </c>
      <c r="Z39" s="736" t="s">
        <v>661</v>
      </c>
      <c r="AA39" s="735"/>
      <c r="AB39" s="736" t="s">
        <v>661</v>
      </c>
      <c r="AC39" s="736" t="s">
        <v>661</v>
      </c>
      <c r="AD39" s="736" t="s">
        <v>661</v>
      </c>
      <c r="AE39" s="736" t="s">
        <v>661</v>
      </c>
      <c r="AF39" s="735"/>
      <c r="AG39" s="735"/>
      <c r="AH39" s="735"/>
      <c r="AI39" s="749">
        <f t="shared" si="0"/>
        <v>0</v>
      </c>
      <c r="AJ39" s="749">
        <f t="shared" si="1"/>
        <v>0</v>
      </c>
      <c r="AK39" s="749">
        <f t="shared" si="2"/>
        <v>0</v>
      </c>
    </row>
    <row r="40" spans="2:37">
      <c r="B40" s="724">
        <v>37</v>
      </c>
      <c r="C40" s="734" t="str">
        <f>SISWA!E42</f>
        <v>Anak 37</v>
      </c>
      <c r="D40" s="736" t="s">
        <v>661</v>
      </c>
      <c r="E40" s="736" t="s">
        <v>661</v>
      </c>
      <c r="F40" s="735"/>
      <c r="G40" s="736" t="s">
        <v>661</v>
      </c>
      <c r="H40" s="735"/>
      <c r="I40" s="736" t="s">
        <v>661</v>
      </c>
      <c r="J40" s="736" t="s">
        <v>661</v>
      </c>
      <c r="K40" s="736" t="s">
        <v>661</v>
      </c>
      <c r="L40" s="736" t="s">
        <v>661</v>
      </c>
      <c r="M40" s="735"/>
      <c r="N40" s="736" t="s">
        <v>661</v>
      </c>
      <c r="O40" s="736" t="s">
        <v>661</v>
      </c>
      <c r="P40" s="736" t="s">
        <v>661</v>
      </c>
      <c r="Q40" s="736" t="s">
        <v>661</v>
      </c>
      <c r="R40" s="736" t="s">
        <v>661</v>
      </c>
      <c r="S40" s="736" t="s">
        <v>661</v>
      </c>
      <c r="T40" s="735"/>
      <c r="U40" s="736" t="s">
        <v>661</v>
      </c>
      <c r="V40" s="736" t="s">
        <v>661</v>
      </c>
      <c r="W40" s="736" t="s">
        <v>661</v>
      </c>
      <c r="X40" s="736" t="s">
        <v>661</v>
      </c>
      <c r="Y40" s="736" t="s">
        <v>661</v>
      </c>
      <c r="Z40" s="736" t="s">
        <v>661</v>
      </c>
      <c r="AA40" s="735"/>
      <c r="AB40" s="736" t="s">
        <v>661</v>
      </c>
      <c r="AC40" s="736" t="s">
        <v>661</v>
      </c>
      <c r="AD40" s="736" t="s">
        <v>661</v>
      </c>
      <c r="AE40" s="736" t="s">
        <v>661</v>
      </c>
      <c r="AF40" s="735"/>
      <c r="AG40" s="735"/>
      <c r="AH40" s="735"/>
      <c r="AI40" s="749">
        <f t="shared" si="0"/>
        <v>0</v>
      </c>
      <c r="AJ40" s="749">
        <f t="shared" si="1"/>
        <v>0</v>
      </c>
      <c r="AK40" s="749">
        <f t="shared" si="2"/>
        <v>0</v>
      </c>
    </row>
    <row r="41" spans="2:37">
      <c r="B41" s="724">
        <v>38</v>
      </c>
      <c r="C41" s="734" t="str">
        <f>SISWA!E43</f>
        <v>Anak 38</v>
      </c>
      <c r="D41" s="736" t="s">
        <v>661</v>
      </c>
      <c r="E41" s="736" t="s">
        <v>661</v>
      </c>
      <c r="F41" s="735"/>
      <c r="G41" s="736" t="s">
        <v>661</v>
      </c>
      <c r="H41" s="735"/>
      <c r="I41" s="736" t="s">
        <v>661</v>
      </c>
      <c r="J41" s="736" t="s">
        <v>661</v>
      </c>
      <c r="K41" s="736" t="s">
        <v>661</v>
      </c>
      <c r="L41" s="736" t="s">
        <v>661</v>
      </c>
      <c r="M41" s="735"/>
      <c r="N41" s="736" t="s">
        <v>661</v>
      </c>
      <c r="O41" s="736" t="s">
        <v>661</v>
      </c>
      <c r="P41" s="736" t="s">
        <v>661</v>
      </c>
      <c r="Q41" s="736" t="s">
        <v>661</v>
      </c>
      <c r="R41" s="736" t="s">
        <v>661</v>
      </c>
      <c r="S41" s="736" t="s">
        <v>661</v>
      </c>
      <c r="T41" s="735"/>
      <c r="U41" s="736" t="s">
        <v>661</v>
      </c>
      <c r="V41" s="736" t="s">
        <v>661</v>
      </c>
      <c r="W41" s="736" t="s">
        <v>661</v>
      </c>
      <c r="X41" s="736" t="s">
        <v>661</v>
      </c>
      <c r="Y41" s="736" t="s">
        <v>661</v>
      </c>
      <c r="Z41" s="736" t="s">
        <v>661</v>
      </c>
      <c r="AA41" s="735"/>
      <c r="AB41" s="736" t="s">
        <v>661</v>
      </c>
      <c r="AC41" s="736" t="s">
        <v>661</v>
      </c>
      <c r="AD41" s="736" t="s">
        <v>661</v>
      </c>
      <c r="AE41" s="736" t="s">
        <v>661</v>
      </c>
      <c r="AF41" s="735"/>
      <c r="AG41" s="735"/>
      <c r="AH41" s="735"/>
      <c r="AI41" s="749">
        <f t="shared" si="0"/>
        <v>0</v>
      </c>
      <c r="AJ41" s="749">
        <f t="shared" si="1"/>
        <v>0</v>
      </c>
      <c r="AK41" s="749">
        <f t="shared" si="2"/>
        <v>0</v>
      </c>
    </row>
    <row r="42" spans="2:37">
      <c r="B42" s="724">
        <v>39</v>
      </c>
      <c r="C42" s="734" t="str">
        <f>SISWA!E44</f>
        <v>Anak 39</v>
      </c>
      <c r="D42" s="736" t="s">
        <v>661</v>
      </c>
      <c r="E42" s="736" t="s">
        <v>661</v>
      </c>
      <c r="F42" s="735"/>
      <c r="G42" s="736" t="s">
        <v>661</v>
      </c>
      <c r="H42" s="735"/>
      <c r="I42" s="736" t="s">
        <v>661</v>
      </c>
      <c r="J42" s="736" t="s">
        <v>661</v>
      </c>
      <c r="K42" s="736" t="s">
        <v>661</v>
      </c>
      <c r="L42" s="736" t="s">
        <v>661</v>
      </c>
      <c r="M42" s="735"/>
      <c r="N42" s="736" t="s">
        <v>661</v>
      </c>
      <c r="O42" s="736" t="s">
        <v>661</v>
      </c>
      <c r="P42" s="736" t="s">
        <v>661</v>
      </c>
      <c r="Q42" s="736" t="s">
        <v>661</v>
      </c>
      <c r="R42" s="736" t="s">
        <v>661</v>
      </c>
      <c r="S42" s="736" t="s">
        <v>661</v>
      </c>
      <c r="T42" s="735"/>
      <c r="U42" s="736" t="s">
        <v>661</v>
      </c>
      <c r="V42" s="736" t="s">
        <v>661</v>
      </c>
      <c r="W42" s="736" t="s">
        <v>661</v>
      </c>
      <c r="X42" s="736" t="s">
        <v>661</v>
      </c>
      <c r="Y42" s="736" t="s">
        <v>661</v>
      </c>
      <c r="Z42" s="736" t="s">
        <v>661</v>
      </c>
      <c r="AA42" s="735"/>
      <c r="AB42" s="736" t="s">
        <v>661</v>
      </c>
      <c r="AC42" s="736" t="s">
        <v>661</v>
      </c>
      <c r="AD42" s="736" t="s">
        <v>661</v>
      </c>
      <c r="AE42" s="736" t="s">
        <v>661</v>
      </c>
      <c r="AF42" s="735"/>
      <c r="AG42" s="735"/>
      <c r="AH42" s="735"/>
      <c r="AI42" s="749">
        <f t="shared" si="0"/>
        <v>0</v>
      </c>
      <c r="AJ42" s="749">
        <f t="shared" si="1"/>
        <v>0</v>
      </c>
      <c r="AK42" s="749">
        <f t="shared" si="2"/>
        <v>0</v>
      </c>
    </row>
    <row r="43" spans="2:37">
      <c r="B43" s="724">
        <v>40</v>
      </c>
      <c r="C43" s="734" t="str">
        <f>SISWA!E45</f>
        <v>Anak 40</v>
      </c>
      <c r="D43" s="736" t="s">
        <v>661</v>
      </c>
      <c r="E43" s="736" t="s">
        <v>661</v>
      </c>
      <c r="F43" s="735"/>
      <c r="G43" s="736" t="s">
        <v>661</v>
      </c>
      <c r="H43" s="735"/>
      <c r="I43" s="736" t="s">
        <v>661</v>
      </c>
      <c r="J43" s="736" t="s">
        <v>661</v>
      </c>
      <c r="K43" s="736" t="s">
        <v>661</v>
      </c>
      <c r="L43" s="736" t="s">
        <v>661</v>
      </c>
      <c r="M43" s="735"/>
      <c r="N43" s="736" t="s">
        <v>661</v>
      </c>
      <c r="O43" s="736" t="s">
        <v>661</v>
      </c>
      <c r="P43" s="736" t="s">
        <v>661</v>
      </c>
      <c r="Q43" s="736" t="s">
        <v>661</v>
      </c>
      <c r="R43" s="736" t="s">
        <v>661</v>
      </c>
      <c r="S43" s="736" t="s">
        <v>661</v>
      </c>
      <c r="T43" s="735"/>
      <c r="U43" s="736" t="s">
        <v>661</v>
      </c>
      <c r="V43" s="736" t="s">
        <v>661</v>
      </c>
      <c r="W43" s="736" t="s">
        <v>661</v>
      </c>
      <c r="X43" s="736" t="s">
        <v>661</v>
      </c>
      <c r="Y43" s="736" t="s">
        <v>661</v>
      </c>
      <c r="Z43" s="736" t="s">
        <v>661</v>
      </c>
      <c r="AA43" s="735"/>
      <c r="AB43" s="736" t="s">
        <v>661</v>
      </c>
      <c r="AC43" s="736" t="s">
        <v>661</v>
      </c>
      <c r="AD43" s="736" t="s">
        <v>661</v>
      </c>
      <c r="AE43" s="736" t="s">
        <v>661</v>
      </c>
      <c r="AF43" s="735"/>
      <c r="AG43" s="735"/>
      <c r="AH43" s="735"/>
      <c r="AI43" s="749">
        <f t="shared" si="0"/>
        <v>0</v>
      </c>
      <c r="AJ43" s="749">
        <f t="shared" si="1"/>
        <v>0</v>
      </c>
      <c r="AK43" s="749">
        <f t="shared" si="2"/>
        <v>0</v>
      </c>
    </row>
    <row r="44" spans="2:37">
      <c r="B44" s="724">
        <v>41</v>
      </c>
      <c r="C44" s="734" t="str">
        <f>SISWA!E46</f>
        <v>Anak 41</v>
      </c>
      <c r="D44" s="736" t="s">
        <v>661</v>
      </c>
      <c r="E44" s="736" t="s">
        <v>661</v>
      </c>
      <c r="F44" s="735"/>
      <c r="G44" s="736" t="s">
        <v>661</v>
      </c>
      <c r="H44" s="735"/>
      <c r="I44" s="736" t="s">
        <v>661</v>
      </c>
      <c r="J44" s="736" t="s">
        <v>661</v>
      </c>
      <c r="K44" s="736" t="s">
        <v>661</v>
      </c>
      <c r="L44" s="736" t="s">
        <v>661</v>
      </c>
      <c r="M44" s="735"/>
      <c r="N44" s="736" t="s">
        <v>661</v>
      </c>
      <c r="O44" s="736" t="s">
        <v>661</v>
      </c>
      <c r="P44" s="736" t="s">
        <v>661</v>
      </c>
      <c r="Q44" s="736" t="s">
        <v>661</v>
      </c>
      <c r="R44" s="736" t="s">
        <v>661</v>
      </c>
      <c r="S44" s="736" t="s">
        <v>661</v>
      </c>
      <c r="T44" s="735"/>
      <c r="U44" s="736" t="s">
        <v>661</v>
      </c>
      <c r="V44" s="736" t="s">
        <v>661</v>
      </c>
      <c r="W44" s="736" t="s">
        <v>661</v>
      </c>
      <c r="X44" s="736" t="s">
        <v>661</v>
      </c>
      <c r="Y44" s="736" t="s">
        <v>661</v>
      </c>
      <c r="Z44" s="736" t="s">
        <v>661</v>
      </c>
      <c r="AA44" s="735"/>
      <c r="AB44" s="736" t="s">
        <v>661</v>
      </c>
      <c r="AC44" s="736" t="s">
        <v>661</v>
      </c>
      <c r="AD44" s="736" t="s">
        <v>661</v>
      </c>
      <c r="AE44" s="736" t="s">
        <v>661</v>
      </c>
      <c r="AF44" s="735"/>
      <c r="AG44" s="735"/>
      <c r="AH44" s="735"/>
      <c r="AI44" s="749">
        <f t="shared" si="0"/>
        <v>0</v>
      </c>
      <c r="AJ44" s="749">
        <f t="shared" si="1"/>
        <v>0</v>
      </c>
      <c r="AK44" s="749">
        <f t="shared" si="2"/>
        <v>0</v>
      </c>
    </row>
    <row r="45" spans="2:37">
      <c r="B45" s="724">
        <v>42</v>
      </c>
      <c r="C45" s="734" t="str">
        <f>SISWA!E47</f>
        <v>Anak 42</v>
      </c>
      <c r="D45" s="736" t="s">
        <v>661</v>
      </c>
      <c r="E45" s="736" t="s">
        <v>661</v>
      </c>
      <c r="F45" s="735"/>
      <c r="G45" s="736" t="s">
        <v>661</v>
      </c>
      <c r="H45" s="735"/>
      <c r="I45" s="736" t="s">
        <v>661</v>
      </c>
      <c r="J45" s="736" t="s">
        <v>661</v>
      </c>
      <c r="K45" s="736" t="s">
        <v>661</v>
      </c>
      <c r="L45" s="736" t="s">
        <v>661</v>
      </c>
      <c r="M45" s="735"/>
      <c r="N45" s="736" t="s">
        <v>661</v>
      </c>
      <c r="O45" s="736" t="s">
        <v>661</v>
      </c>
      <c r="P45" s="736" t="s">
        <v>661</v>
      </c>
      <c r="Q45" s="736" t="s">
        <v>661</v>
      </c>
      <c r="R45" s="736" t="s">
        <v>661</v>
      </c>
      <c r="S45" s="736" t="s">
        <v>661</v>
      </c>
      <c r="T45" s="735"/>
      <c r="U45" s="736" t="s">
        <v>661</v>
      </c>
      <c r="V45" s="736" t="s">
        <v>661</v>
      </c>
      <c r="W45" s="736" t="s">
        <v>661</v>
      </c>
      <c r="X45" s="736" t="s">
        <v>661</v>
      </c>
      <c r="Y45" s="736" t="s">
        <v>661</v>
      </c>
      <c r="Z45" s="736" t="s">
        <v>661</v>
      </c>
      <c r="AA45" s="735"/>
      <c r="AB45" s="736" t="s">
        <v>661</v>
      </c>
      <c r="AC45" s="736" t="s">
        <v>661</v>
      </c>
      <c r="AD45" s="736" t="s">
        <v>661</v>
      </c>
      <c r="AE45" s="736" t="s">
        <v>661</v>
      </c>
      <c r="AF45" s="735"/>
      <c r="AG45" s="735"/>
      <c r="AH45" s="735"/>
      <c r="AI45" s="749">
        <f t="shared" si="0"/>
        <v>0</v>
      </c>
      <c r="AJ45" s="749">
        <f t="shared" si="1"/>
        <v>0</v>
      </c>
      <c r="AK45" s="749">
        <f t="shared" si="2"/>
        <v>0</v>
      </c>
    </row>
    <row r="46" spans="2:37">
      <c r="B46" s="724">
        <v>43</v>
      </c>
      <c r="C46" s="734" t="str">
        <f>SISWA!E48</f>
        <v>Anak 43</v>
      </c>
      <c r="D46" s="736" t="s">
        <v>661</v>
      </c>
      <c r="E46" s="736" t="s">
        <v>661</v>
      </c>
      <c r="F46" s="735"/>
      <c r="G46" s="736" t="s">
        <v>661</v>
      </c>
      <c r="H46" s="735"/>
      <c r="I46" s="736" t="s">
        <v>661</v>
      </c>
      <c r="J46" s="736" t="s">
        <v>661</v>
      </c>
      <c r="K46" s="736" t="s">
        <v>661</v>
      </c>
      <c r="L46" s="736" t="s">
        <v>661</v>
      </c>
      <c r="M46" s="735"/>
      <c r="N46" s="736" t="s">
        <v>661</v>
      </c>
      <c r="O46" s="736" t="s">
        <v>661</v>
      </c>
      <c r="P46" s="736" t="s">
        <v>661</v>
      </c>
      <c r="Q46" s="736" t="s">
        <v>661</v>
      </c>
      <c r="R46" s="736" t="s">
        <v>661</v>
      </c>
      <c r="S46" s="736" t="s">
        <v>661</v>
      </c>
      <c r="T46" s="735"/>
      <c r="U46" s="736" t="s">
        <v>661</v>
      </c>
      <c r="V46" s="736" t="s">
        <v>661</v>
      </c>
      <c r="W46" s="736" t="s">
        <v>661</v>
      </c>
      <c r="X46" s="736" t="s">
        <v>661</v>
      </c>
      <c r="Y46" s="736" t="s">
        <v>661</v>
      </c>
      <c r="Z46" s="736" t="s">
        <v>661</v>
      </c>
      <c r="AA46" s="735"/>
      <c r="AB46" s="736" t="s">
        <v>661</v>
      </c>
      <c r="AC46" s="736" t="s">
        <v>661</v>
      </c>
      <c r="AD46" s="736" t="s">
        <v>661</v>
      </c>
      <c r="AE46" s="736" t="s">
        <v>661</v>
      </c>
      <c r="AF46" s="735"/>
      <c r="AG46" s="735"/>
      <c r="AH46" s="735"/>
      <c r="AI46" s="749">
        <f t="shared" si="0"/>
        <v>0</v>
      </c>
      <c r="AJ46" s="749">
        <f t="shared" si="1"/>
        <v>0</v>
      </c>
      <c r="AK46" s="749">
        <f t="shared" si="2"/>
        <v>0</v>
      </c>
    </row>
    <row r="47" spans="2:37">
      <c r="B47" s="724">
        <v>44</v>
      </c>
      <c r="C47" s="734" t="str">
        <f>SISWA!E49</f>
        <v>Anak 44</v>
      </c>
      <c r="D47" s="736" t="s">
        <v>661</v>
      </c>
      <c r="E47" s="736" t="s">
        <v>661</v>
      </c>
      <c r="F47" s="735"/>
      <c r="G47" s="736" t="s">
        <v>661</v>
      </c>
      <c r="H47" s="735"/>
      <c r="I47" s="736" t="s">
        <v>661</v>
      </c>
      <c r="J47" s="736" t="s">
        <v>661</v>
      </c>
      <c r="K47" s="736" t="s">
        <v>661</v>
      </c>
      <c r="L47" s="736" t="s">
        <v>661</v>
      </c>
      <c r="M47" s="735"/>
      <c r="N47" s="736" t="s">
        <v>661</v>
      </c>
      <c r="O47" s="736" t="s">
        <v>661</v>
      </c>
      <c r="P47" s="736" t="s">
        <v>661</v>
      </c>
      <c r="Q47" s="736" t="s">
        <v>661</v>
      </c>
      <c r="R47" s="736" t="s">
        <v>661</v>
      </c>
      <c r="S47" s="736" t="s">
        <v>661</v>
      </c>
      <c r="T47" s="735"/>
      <c r="U47" s="736" t="s">
        <v>661</v>
      </c>
      <c r="V47" s="736" t="s">
        <v>661</v>
      </c>
      <c r="W47" s="736" t="s">
        <v>661</v>
      </c>
      <c r="X47" s="736" t="s">
        <v>661</v>
      </c>
      <c r="Y47" s="736" t="s">
        <v>661</v>
      </c>
      <c r="Z47" s="736" t="s">
        <v>661</v>
      </c>
      <c r="AA47" s="735"/>
      <c r="AB47" s="736" t="s">
        <v>661</v>
      </c>
      <c r="AC47" s="736" t="s">
        <v>661</v>
      </c>
      <c r="AD47" s="736" t="s">
        <v>661</v>
      </c>
      <c r="AE47" s="736" t="s">
        <v>661</v>
      </c>
      <c r="AF47" s="735"/>
      <c r="AG47" s="735"/>
      <c r="AH47" s="735"/>
      <c r="AI47" s="749">
        <f t="shared" si="0"/>
        <v>0</v>
      </c>
      <c r="AJ47" s="749">
        <f t="shared" si="1"/>
        <v>0</v>
      </c>
      <c r="AK47" s="749">
        <f t="shared" si="2"/>
        <v>0</v>
      </c>
    </row>
    <row r="48" spans="2:37">
      <c r="B48" s="724">
        <v>45</v>
      </c>
      <c r="C48" s="734" t="str">
        <f>SISWA!E50</f>
        <v>Anak 45</v>
      </c>
      <c r="D48" s="736" t="s">
        <v>661</v>
      </c>
      <c r="E48" s="736" t="s">
        <v>661</v>
      </c>
      <c r="F48" s="735"/>
      <c r="G48" s="736" t="s">
        <v>661</v>
      </c>
      <c r="H48" s="735"/>
      <c r="I48" s="736" t="s">
        <v>661</v>
      </c>
      <c r="J48" s="736" t="s">
        <v>661</v>
      </c>
      <c r="K48" s="736" t="s">
        <v>661</v>
      </c>
      <c r="L48" s="736" t="s">
        <v>661</v>
      </c>
      <c r="M48" s="735"/>
      <c r="N48" s="736" t="s">
        <v>661</v>
      </c>
      <c r="O48" s="736" t="s">
        <v>661</v>
      </c>
      <c r="P48" s="736" t="s">
        <v>661</v>
      </c>
      <c r="Q48" s="736" t="s">
        <v>661</v>
      </c>
      <c r="R48" s="736" t="s">
        <v>661</v>
      </c>
      <c r="S48" s="736" t="s">
        <v>661</v>
      </c>
      <c r="T48" s="735"/>
      <c r="U48" s="736" t="s">
        <v>661</v>
      </c>
      <c r="V48" s="736" t="s">
        <v>661</v>
      </c>
      <c r="W48" s="736" t="s">
        <v>661</v>
      </c>
      <c r="X48" s="736" t="s">
        <v>661</v>
      </c>
      <c r="Y48" s="736" t="s">
        <v>661</v>
      </c>
      <c r="Z48" s="736" t="s">
        <v>661</v>
      </c>
      <c r="AA48" s="735"/>
      <c r="AB48" s="736" t="s">
        <v>661</v>
      </c>
      <c r="AC48" s="736" t="s">
        <v>661</v>
      </c>
      <c r="AD48" s="736" t="s">
        <v>661</v>
      </c>
      <c r="AE48" s="736" t="s">
        <v>661</v>
      </c>
      <c r="AF48" s="735"/>
      <c r="AG48" s="735"/>
      <c r="AH48" s="735"/>
      <c r="AI48" s="749">
        <f t="shared" si="0"/>
        <v>0</v>
      </c>
      <c r="AJ48" s="749">
        <f t="shared" si="1"/>
        <v>0</v>
      </c>
      <c r="AK48" s="749">
        <f t="shared" si="2"/>
        <v>0</v>
      </c>
    </row>
    <row r="49" spans="2:37">
      <c r="B49" s="724">
        <v>46</v>
      </c>
      <c r="C49" s="734" t="str">
        <f>SISWA!E51</f>
        <v>Anak 46</v>
      </c>
      <c r="D49" s="736" t="s">
        <v>661</v>
      </c>
      <c r="E49" s="736" t="s">
        <v>661</v>
      </c>
      <c r="F49" s="735"/>
      <c r="G49" s="736" t="s">
        <v>661</v>
      </c>
      <c r="H49" s="735"/>
      <c r="I49" s="736" t="s">
        <v>661</v>
      </c>
      <c r="J49" s="736" t="s">
        <v>661</v>
      </c>
      <c r="K49" s="736" t="s">
        <v>661</v>
      </c>
      <c r="L49" s="736" t="s">
        <v>661</v>
      </c>
      <c r="M49" s="735"/>
      <c r="N49" s="736" t="s">
        <v>661</v>
      </c>
      <c r="O49" s="736" t="s">
        <v>661</v>
      </c>
      <c r="P49" s="736" t="s">
        <v>661</v>
      </c>
      <c r="Q49" s="736" t="s">
        <v>661</v>
      </c>
      <c r="R49" s="736" t="s">
        <v>661</v>
      </c>
      <c r="S49" s="736" t="s">
        <v>661</v>
      </c>
      <c r="T49" s="735"/>
      <c r="U49" s="736" t="s">
        <v>661</v>
      </c>
      <c r="V49" s="736" t="s">
        <v>661</v>
      </c>
      <c r="W49" s="736" t="s">
        <v>661</v>
      </c>
      <c r="X49" s="736" t="s">
        <v>661</v>
      </c>
      <c r="Y49" s="736" t="s">
        <v>661</v>
      </c>
      <c r="Z49" s="736" t="s">
        <v>661</v>
      </c>
      <c r="AA49" s="735"/>
      <c r="AB49" s="736" t="s">
        <v>661</v>
      </c>
      <c r="AC49" s="736" t="s">
        <v>661</v>
      </c>
      <c r="AD49" s="736" t="s">
        <v>661</v>
      </c>
      <c r="AE49" s="736" t="s">
        <v>661</v>
      </c>
      <c r="AF49" s="735"/>
      <c r="AG49" s="735"/>
      <c r="AH49" s="735"/>
      <c r="AI49" s="749">
        <f t="shared" si="0"/>
        <v>0</v>
      </c>
      <c r="AJ49" s="749">
        <f t="shared" si="1"/>
        <v>0</v>
      </c>
      <c r="AK49" s="749">
        <f t="shared" si="2"/>
        <v>0</v>
      </c>
    </row>
    <row r="50" spans="2:37">
      <c r="B50" s="724">
        <v>47</v>
      </c>
      <c r="C50" s="734" t="str">
        <f>SISWA!E52</f>
        <v>Anak 47</v>
      </c>
      <c r="D50" s="736" t="s">
        <v>661</v>
      </c>
      <c r="E50" s="736" t="s">
        <v>661</v>
      </c>
      <c r="F50" s="735"/>
      <c r="G50" s="736" t="s">
        <v>661</v>
      </c>
      <c r="H50" s="735"/>
      <c r="I50" s="736" t="s">
        <v>661</v>
      </c>
      <c r="J50" s="736" t="s">
        <v>661</v>
      </c>
      <c r="K50" s="736" t="s">
        <v>661</v>
      </c>
      <c r="L50" s="736" t="s">
        <v>661</v>
      </c>
      <c r="M50" s="735"/>
      <c r="N50" s="736" t="s">
        <v>661</v>
      </c>
      <c r="O50" s="736" t="s">
        <v>661</v>
      </c>
      <c r="P50" s="736" t="s">
        <v>661</v>
      </c>
      <c r="Q50" s="736" t="s">
        <v>661</v>
      </c>
      <c r="R50" s="736" t="s">
        <v>661</v>
      </c>
      <c r="S50" s="736" t="s">
        <v>661</v>
      </c>
      <c r="T50" s="735"/>
      <c r="U50" s="736" t="s">
        <v>661</v>
      </c>
      <c r="V50" s="736" t="s">
        <v>661</v>
      </c>
      <c r="W50" s="736" t="s">
        <v>661</v>
      </c>
      <c r="X50" s="736" t="s">
        <v>661</v>
      </c>
      <c r="Y50" s="736" t="s">
        <v>661</v>
      </c>
      <c r="Z50" s="736" t="s">
        <v>661</v>
      </c>
      <c r="AA50" s="735"/>
      <c r="AB50" s="736" t="s">
        <v>661</v>
      </c>
      <c r="AC50" s="736" t="s">
        <v>661</v>
      </c>
      <c r="AD50" s="736" t="s">
        <v>661</v>
      </c>
      <c r="AE50" s="736" t="s">
        <v>661</v>
      </c>
      <c r="AF50" s="735"/>
      <c r="AG50" s="735"/>
      <c r="AH50" s="735"/>
      <c r="AI50" s="749">
        <f t="shared" si="0"/>
        <v>0</v>
      </c>
      <c r="AJ50" s="749">
        <f t="shared" si="1"/>
        <v>0</v>
      </c>
      <c r="AK50" s="749">
        <f t="shared" si="2"/>
        <v>0</v>
      </c>
    </row>
    <row r="51" spans="2:37">
      <c r="B51" s="724">
        <v>48</v>
      </c>
      <c r="C51" s="734" t="str">
        <f>SISWA!E53</f>
        <v>Anak 48</v>
      </c>
      <c r="D51" s="736" t="s">
        <v>661</v>
      </c>
      <c r="E51" s="736" t="s">
        <v>661</v>
      </c>
      <c r="F51" s="735"/>
      <c r="G51" s="736" t="s">
        <v>661</v>
      </c>
      <c r="H51" s="735"/>
      <c r="I51" s="736" t="s">
        <v>661</v>
      </c>
      <c r="J51" s="736" t="s">
        <v>661</v>
      </c>
      <c r="K51" s="736" t="s">
        <v>661</v>
      </c>
      <c r="L51" s="736" t="s">
        <v>661</v>
      </c>
      <c r="M51" s="735"/>
      <c r="N51" s="736" t="s">
        <v>661</v>
      </c>
      <c r="O51" s="736" t="s">
        <v>661</v>
      </c>
      <c r="P51" s="736" t="s">
        <v>661</v>
      </c>
      <c r="Q51" s="736" t="s">
        <v>661</v>
      </c>
      <c r="R51" s="736" t="s">
        <v>661</v>
      </c>
      <c r="S51" s="736" t="s">
        <v>661</v>
      </c>
      <c r="T51" s="735"/>
      <c r="U51" s="736" t="s">
        <v>661</v>
      </c>
      <c r="V51" s="736" t="s">
        <v>661</v>
      </c>
      <c r="W51" s="736" t="s">
        <v>661</v>
      </c>
      <c r="X51" s="736" t="s">
        <v>661</v>
      </c>
      <c r="Y51" s="736" t="s">
        <v>661</v>
      </c>
      <c r="Z51" s="736" t="s">
        <v>661</v>
      </c>
      <c r="AA51" s="735"/>
      <c r="AB51" s="736" t="s">
        <v>661</v>
      </c>
      <c r="AC51" s="736" t="s">
        <v>661</v>
      </c>
      <c r="AD51" s="736" t="s">
        <v>661</v>
      </c>
      <c r="AE51" s="736" t="s">
        <v>661</v>
      </c>
      <c r="AF51" s="735"/>
      <c r="AG51" s="735"/>
      <c r="AH51" s="735"/>
      <c r="AI51" s="749">
        <f t="shared" si="0"/>
        <v>0</v>
      </c>
      <c r="AJ51" s="749">
        <f t="shared" si="1"/>
        <v>0</v>
      </c>
      <c r="AK51" s="749">
        <f t="shared" si="2"/>
        <v>0</v>
      </c>
    </row>
    <row r="52" spans="2:37">
      <c r="B52" s="724">
        <v>49</v>
      </c>
      <c r="C52" s="734" t="str">
        <f>SISWA!E54</f>
        <v>Anak 49</v>
      </c>
      <c r="D52" s="736" t="s">
        <v>661</v>
      </c>
      <c r="E52" s="736" t="s">
        <v>661</v>
      </c>
      <c r="F52" s="735"/>
      <c r="G52" s="736" t="s">
        <v>661</v>
      </c>
      <c r="H52" s="735"/>
      <c r="I52" s="736" t="s">
        <v>661</v>
      </c>
      <c r="J52" s="736" t="s">
        <v>661</v>
      </c>
      <c r="K52" s="736" t="s">
        <v>661</v>
      </c>
      <c r="L52" s="736" t="s">
        <v>661</v>
      </c>
      <c r="M52" s="735"/>
      <c r="N52" s="736" t="s">
        <v>661</v>
      </c>
      <c r="O52" s="736" t="s">
        <v>661</v>
      </c>
      <c r="P52" s="736" t="s">
        <v>661</v>
      </c>
      <c r="Q52" s="736" t="s">
        <v>661</v>
      </c>
      <c r="R52" s="736" t="s">
        <v>661</v>
      </c>
      <c r="S52" s="736" t="s">
        <v>661</v>
      </c>
      <c r="T52" s="735"/>
      <c r="U52" s="736" t="s">
        <v>661</v>
      </c>
      <c r="V52" s="736" t="s">
        <v>661</v>
      </c>
      <c r="W52" s="736" t="s">
        <v>661</v>
      </c>
      <c r="X52" s="736" t="s">
        <v>661</v>
      </c>
      <c r="Y52" s="736" t="s">
        <v>661</v>
      </c>
      <c r="Z52" s="736" t="s">
        <v>661</v>
      </c>
      <c r="AA52" s="735"/>
      <c r="AB52" s="736" t="s">
        <v>661</v>
      </c>
      <c r="AC52" s="736" t="s">
        <v>661</v>
      </c>
      <c r="AD52" s="736" t="s">
        <v>661</v>
      </c>
      <c r="AE52" s="736" t="s">
        <v>661</v>
      </c>
      <c r="AF52" s="735"/>
      <c r="AG52" s="735"/>
      <c r="AH52" s="735"/>
      <c r="AI52" s="749">
        <f t="shared" si="0"/>
        <v>0</v>
      </c>
      <c r="AJ52" s="749">
        <f t="shared" si="1"/>
        <v>0</v>
      </c>
      <c r="AK52" s="749">
        <f t="shared" si="2"/>
        <v>0</v>
      </c>
    </row>
    <row r="53" spans="2:37">
      <c r="B53" s="724">
        <v>50</v>
      </c>
      <c r="C53" s="734" t="str">
        <f>SISWA!E55</f>
        <v>Anak 50</v>
      </c>
      <c r="D53" s="736" t="s">
        <v>661</v>
      </c>
      <c r="E53" s="736" t="s">
        <v>661</v>
      </c>
      <c r="F53" s="735"/>
      <c r="G53" s="736" t="s">
        <v>661</v>
      </c>
      <c r="H53" s="735"/>
      <c r="I53" s="736" t="s">
        <v>661</v>
      </c>
      <c r="J53" s="736" t="s">
        <v>661</v>
      </c>
      <c r="K53" s="736" t="s">
        <v>661</v>
      </c>
      <c r="L53" s="736" t="s">
        <v>661</v>
      </c>
      <c r="M53" s="735"/>
      <c r="N53" s="736" t="s">
        <v>661</v>
      </c>
      <c r="O53" s="736" t="s">
        <v>661</v>
      </c>
      <c r="P53" s="736" t="s">
        <v>661</v>
      </c>
      <c r="Q53" s="736" t="s">
        <v>661</v>
      </c>
      <c r="R53" s="736" t="s">
        <v>661</v>
      </c>
      <c r="S53" s="736" t="s">
        <v>661</v>
      </c>
      <c r="T53" s="735"/>
      <c r="U53" s="736" t="s">
        <v>661</v>
      </c>
      <c r="V53" s="736" t="s">
        <v>661</v>
      </c>
      <c r="W53" s="736" t="s">
        <v>661</v>
      </c>
      <c r="X53" s="736" t="s">
        <v>661</v>
      </c>
      <c r="Y53" s="736" t="s">
        <v>661</v>
      </c>
      <c r="Z53" s="736" t="s">
        <v>661</v>
      </c>
      <c r="AA53" s="735"/>
      <c r="AB53" s="736" t="s">
        <v>661</v>
      </c>
      <c r="AC53" s="736" t="s">
        <v>661</v>
      </c>
      <c r="AD53" s="736" t="s">
        <v>661</v>
      </c>
      <c r="AE53" s="736" t="s">
        <v>661</v>
      </c>
      <c r="AF53" s="735"/>
      <c r="AG53" s="735"/>
      <c r="AH53" s="735"/>
      <c r="AI53" s="749">
        <f t="shared" si="0"/>
        <v>0</v>
      </c>
      <c r="AJ53" s="749">
        <f t="shared" si="1"/>
        <v>0</v>
      </c>
      <c r="AK53" s="749">
        <f t="shared" si="2"/>
        <v>0</v>
      </c>
    </row>
    <row r="54" spans="2:37">
      <c r="B54" s="471"/>
      <c r="C54" s="471"/>
      <c r="D54" s="1008" t="s">
        <v>460</v>
      </c>
      <c r="E54" s="1009"/>
      <c r="F54" s="1009"/>
      <c r="G54" s="1009"/>
      <c r="H54" s="1009"/>
      <c r="I54" s="1009"/>
      <c r="J54" s="1009"/>
      <c r="K54" s="1009"/>
      <c r="L54" s="1009"/>
      <c r="M54" s="1009"/>
      <c r="N54" s="1009"/>
      <c r="O54" s="1009"/>
      <c r="P54" s="1009"/>
      <c r="Q54" s="1009"/>
      <c r="R54" s="1009"/>
      <c r="S54" s="1009"/>
      <c r="T54" s="1009"/>
      <c r="U54" s="1009"/>
      <c r="V54" s="1009"/>
      <c r="W54" s="1009"/>
      <c r="X54" s="1009"/>
      <c r="Y54" s="1009"/>
      <c r="Z54" s="1009"/>
      <c r="AA54" s="1009"/>
      <c r="AB54" s="1009"/>
      <c r="AC54" s="1009"/>
      <c r="AD54" s="1009"/>
      <c r="AE54" s="1009"/>
      <c r="AF54" s="1009"/>
      <c r="AG54" s="1009"/>
      <c r="AH54" s="1010"/>
      <c r="AI54" s="749">
        <f>SUM(AI4:AI53)</f>
        <v>1</v>
      </c>
      <c r="AJ54" s="749">
        <f>SUM(AJ4:AJ53)</f>
        <v>0</v>
      </c>
      <c r="AK54" s="749">
        <f>SUM(AK4:AK53)</f>
        <v>0</v>
      </c>
    </row>
    <row r="55" spans="2:37" ht="15.75" thickBot="1"/>
    <row r="56" spans="2:37" ht="15.75" thickBot="1">
      <c r="C56" s="737"/>
      <c r="D56" s="738"/>
      <c r="E56" s="738"/>
      <c r="F56" s="738"/>
      <c r="G56" s="739"/>
    </row>
    <row r="57" spans="2:37" ht="16.5" thickBot="1">
      <c r="C57" s="740" t="s">
        <v>969</v>
      </c>
      <c r="D57" s="742">
        <v>23</v>
      </c>
      <c r="E57" s="741"/>
      <c r="F57" s="1011">
        <f>D57*DEPAN!E23</f>
        <v>1150</v>
      </c>
      <c r="G57" s="1012"/>
      <c r="L57" s="1013" t="s">
        <v>244</v>
      </c>
      <c r="M57" s="1013"/>
      <c r="N57" s="1013"/>
      <c r="O57" s="1013"/>
      <c r="P57" s="1013"/>
      <c r="Q57" s="1013"/>
      <c r="AC57" s="1013" t="s">
        <v>977</v>
      </c>
      <c r="AD57" s="1013"/>
      <c r="AE57" s="1013"/>
      <c r="AF57" s="1013"/>
      <c r="AG57" s="1013"/>
      <c r="AH57" s="1013"/>
      <c r="AI57" s="1013"/>
      <c r="AJ57" s="1013"/>
    </row>
    <row r="58" spans="2:37" ht="15.75">
      <c r="C58" s="740"/>
      <c r="D58" s="743"/>
      <c r="E58" s="741"/>
      <c r="F58" s="741"/>
      <c r="G58" s="744"/>
      <c r="L58" s="1013" t="s">
        <v>245</v>
      </c>
      <c r="M58" s="1013"/>
      <c r="N58" s="1013"/>
      <c r="O58" s="1013"/>
      <c r="P58" s="1013"/>
      <c r="Q58" s="1013"/>
      <c r="AC58" s="1013" t="s">
        <v>971</v>
      </c>
      <c r="AD58" s="1013"/>
      <c r="AE58" s="1013"/>
      <c r="AF58" s="1013"/>
      <c r="AG58" s="1013"/>
      <c r="AH58" s="1013"/>
      <c r="AI58" s="1013"/>
      <c r="AJ58" s="1013"/>
    </row>
    <row r="59" spans="2:37" ht="15.75">
      <c r="C59" s="740" t="s">
        <v>972</v>
      </c>
      <c r="D59" s="745"/>
      <c r="E59" s="741"/>
      <c r="F59" s="741"/>
      <c r="G59" s="744"/>
    </row>
    <row r="60" spans="2:37" ht="15.75">
      <c r="C60" s="740" t="s">
        <v>973</v>
      </c>
      <c r="D60" s="1005">
        <f>AI54/F57</f>
        <v>8.6956521739130438E-4</v>
      </c>
      <c r="E60" s="1005"/>
      <c r="F60" s="741"/>
      <c r="G60" s="744"/>
    </row>
    <row r="61" spans="2:37" ht="15.75">
      <c r="C61" s="740" t="s">
        <v>974</v>
      </c>
      <c r="D61" s="1014">
        <f>AJ54/F57</f>
        <v>0</v>
      </c>
      <c r="E61" s="1014"/>
      <c r="F61" s="741"/>
      <c r="G61" s="744"/>
    </row>
    <row r="62" spans="2:37" ht="15.75">
      <c r="C62" s="740" t="s">
        <v>975</v>
      </c>
      <c r="D62" s="1014">
        <f>AK54/F57</f>
        <v>0</v>
      </c>
      <c r="E62" s="1014"/>
      <c r="F62" s="741"/>
      <c r="G62" s="744"/>
    </row>
    <row r="63" spans="2:37" ht="15.75" thickBot="1">
      <c r="C63" s="746"/>
      <c r="D63" s="747"/>
      <c r="E63" s="747"/>
      <c r="F63" s="747"/>
      <c r="G63" s="748"/>
      <c r="K63" s="474"/>
      <c r="L63" s="1015" t="str">
        <f>DEPAN!E12</f>
        <v>H. SAMSUDIN,M.Pd</v>
      </c>
      <c r="M63" s="1015"/>
      <c r="N63" s="1015"/>
      <c r="O63" s="1015"/>
      <c r="P63" s="1015"/>
      <c r="Q63" s="1015"/>
      <c r="R63" s="474"/>
      <c r="AC63" s="474"/>
      <c r="AD63" s="1015" t="str">
        <f>DEPAN!E16</f>
        <v>SITI PONIMAH,M.Pd</v>
      </c>
      <c r="AE63" s="1015"/>
      <c r="AF63" s="1015"/>
      <c r="AG63" s="1015"/>
      <c r="AH63" s="1015"/>
      <c r="AI63" s="1015"/>
      <c r="AJ63" s="474"/>
    </row>
    <row r="64" spans="2:37">
      <c r="K64" s="1016" t="str">
        <f>CONCATENATE("NIP.",DEPAN!E13)</f>
        <v>NIP.19921233 198777 1 336</v>
      </c>
      <c r="L64" s="1016"/>
      <c r="M64" s="1016"/>
      <c r="N64" s="1016"/>
      <c r="O64" s="1016"/>
      <c r="P64" s="1016"/>
      <c r="Q64" s="1016"/>
      <c r="R64" s="1016"/>
      <c r="AC64" s="1016" t="str">
        <f>CONCATENATE("NIP.",DEPAN!E17)</f>
        <v>NIP.19616566 201808 2 033</v>
      </c>
      <c r="AD64" s="1016"/>
      <c r="AE64" s="1016"/>
      <c r="AF64" s="1016"/>
      <c r="AG64" s="1016"/>
      <c r="AH64" s="1016"/>
      <c r="AI64" s="1016"/>
      <c r="AJ64" s="1016"/>
    </row>
    <row r="65"/>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row r="88"/>
  </sheetData>
  <mergeCells count="16">
    <mergeCell ref="K64:R64"/>
    <mergeCell ref="AC64:AJ64"/>
    <mergeCell ref="L58:Q58"/>
    <mergeCell ref="AC58:AJ58"/>
    <mergeCell ref="D60:E60"/>
    <mergeCell ref="D61:E61"/>
    <mergeCell ref="D62:E62"/>
    <mergeCell ref="L63:Q63"/>
    <mergeCell ref="AD63:AI63"/>
    <mergeCell ref="B2:B3"/>
    <mergeCell ref="C2:C3"/>
    <mergeCell ref="D2:AK2"/>
    <mergeCell ref="D54:AH54"/>
    <mergeCell ref="F57:G57"/>
    <mergeCell ref="L57:Q57"/>
    <mergeCell ref="AC57:AJ57"/>
  </mergeCells>
  <dataValidations count="2">
    <dataValidation allowBlank="1" showInputMessage="1" showErrorMessage="1" prompt="isi dengan jumlah HARI EFEKTIF" sqref="D57"/>
    <dataValidation allowBlank="1" showInputMessage="1" showErrorMessage="1" promptTitle="TIDAK USAH DI GANTI" prompt="hasil dari perkalian HARI EFEKTIF dan JUMLAH SISWA" sqref="F57"/>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88"/>
  <sheetViews>
    <sheetView topLeftCell="A25" workbookViewId="0"/>
  </sheetViews>
  <sheetFormatPr defaultColWidth="0" defaultRowHeight="15" customHeight="1" zeroHeight="1"/>
  <cols>
    <col min="1" max="1" width="9.140625" style="750" customWidth="1"/>
    <col min="2" max="2" width="5.85546875" customWidth="1"/>
    <col min="3" max="3" width="24.140625" customWidth="1"/>
    <col min="4" max="37" width="4.5703125" customWidth="1"/>
    <col min="38" max="38" width="9.140625" customWidth="1"/>
    <col min="39" max="40" width="0" hidden="1" customWidth="1"/>
    <col min="41" max="16384" width="9.140625" hidden="1"/>
  </cols>
  <sheetData>
    <row r="1" spans="2:37"/>
    <row r="2" spans="2:37" ht="21">
      <c r="B2" s="1006" t="s">
        <v>2</v>
      </c>
      <c r="C2" s="1006" t="s">
        <v>965</v>
      </c>
      <c r="D2" s="1007" t="s">
        <v>978</v>
      </c>
      <c r="E2" s="1007"/>
      <c r="F2" s="1007"/>
      <c r="G2" s="1007"/>
      <c r="H2" s="1007"/>
      <c r="I2" s="1007"/>
      <c r="J2" s="1007"/>
      <c r="K2" s="1007"/>
      <c r="L2" s="1007"/>
      <c r="M2" s="1007"/>
      <c r="N2" s="1007"/>
      <c r="O2" s="1007"/>
      <c r="P2" s="1007"/>
      <c r="Q2" s="1007"/>
      <c r="R2" s="1007"/>
      <c r="S2" s="1007"/>
      <c r="T2" s="1007"/>
      <c r="U2" s="1007"/>
      <c r="V2" s="1007"/>
      <c r="W2" s="1007"/>
      <c r="X2" s="1007"/>
      <c r="Y2" s="1007"/>
      <c r="Z2" s="1007"/>
      <c r="AA2" s="1007"/>
      <c r="AB2" s="1007"/>
      <c r="AC2" s="1007"/>
      <c r="AD2" s="1007"/>
      <c r="AE2" s="1007"/>
      <c r="AF2" s="1007"/>
      <c r="AG2" s="1007"/>
      <c r="AH2" s="1007"/>
      <c r="AI2" s="1007"/>
      <c r="AJ2" s="1007"/>
      <c r="AK2" s="1007"/>
    </row>
    <row r="3" spans="2:37">
      <c r="B3" s="1006"/>
      <c r="C3" s="1006"/>
      <c r="D3" s="733">
        <v>1</v>
      </c>
      <c r="E3" s="733">
        <v>2</v>
      </c>
      <c r="F3" s="733">
        <v>3</v>
      </c>
      <c r="G3" s="733">
        <v>4</v>
      </c>
      <c r="H3" s="733">
        <v>5</v>
      </c>
      <c r="I3" s="733">
        <v>6</v>
      </c>
      <c r="J3" s="733">
        <v>7</v>
      </c>
      <c r="K3" s="733">
        <v>8</v>
      </c>
      <c r="L3" s="733">
        <v>9</v>
      </c>
      <c r="M3" s="733">
        <v>10</v>
      </c>
      <c r="N3" s="733">
        <v>11</v>
      </c>
      <c r="O3" s="733">
        <v>12</v>
      </c>
      <c r="P3" s="733">
        <v>13</v>
      </c>
      <c r="Q3" s="733">
        <v>14</v>
      </c>
      <c r="R3" s="733">
        <v>15</v>
      </c>
      <c r="S3" s="733">
        <v>16</v>
      </c>
      <c r="T3" s="733">
        <v>17</v>
      </c>
      <c r="U3" s="733">
        <v>18</v>
      </c>
      <c r="V3" s="733">
        <v>19</v>
      </c>
      <c r="W3" s="733">
        <v>20</v>
      </c>
      <c r="X3" s="733">
        <v>21</v>
      </c>
      <c r="Y3" s="733">
        <v>22</v>
      </c>
      <c r="Z3" s="733">
        <v>23</v>
      </c>
      <c r="AA3" s="733">
        <v>24</v>
      </c>
      <c r="AB3" s="733">
        <v>25</v>
      </c>
      <c r="AC3" s="733">
        <v>26</v>
      </c>
      <c r="AD3" s="733">
        <v>27</v>
      </c>
      <c r="AE3" s="733">
        <v>28</v>
      </c>
      <c r="AF3" s="733">
        <v>29</v>
      </c>
      <c r="AG3" s="733">
        <v>30</v>
      </c>
      <c r="AH3" s="733">
        <v>31</v>
      </c>
      <c r="AI3" s="733" t="s">
        <v>967</v>
      </c>
      <c r="AJ3" s="733" t="s">
        <v>884</v>
      </c>
      <c r="AK3" s="733" t="s">
        <v>968</v>
      </c>
    </row>
    <row r="4" spans="2:37">
      <c r="B4" s="724">
        <v>1</v>
      </c>
      <c r="C4" s="734" t="str">
        <f>SISWA!E6</f>
        <v>Anak 1</v>
      </c>
      <c r="D4" s="736" t="s">
        <v>661</v>
      </c>
      <c r="E4" s="736" t="s">
        <v>661</v>
      </c>
      <c r="F4" s="735"/>
      <c r="G4" s="736" t="s">
        <v>661</v>
      </c>
      <c r="H4" s="736" t="s">
        <v>661</v>
      </c>
      <c r="I4" s="736" t="s">
        <v>661</v>
      </c>
      <c r="J4" s="735"/>
      <c r="K4" s="736" t="s">
        <v>661</v>
      </c>
      <c r="L4" s="736" t="s">
        <v>661</v>
      </c>
      <c r="M4" s="735"/>
      <c r="N4" s="736" t="s">
        <v>661</v>
      </c>
      <c r="O4" s="736" t="s">
        <v>661</v>
      </c>
      <c r="P4" s="736" t="s">
        <v>661</v>
      </c>
      <c r="Q4" s="736" t="s">
        <v>661</v>
      </c>
      <c r="R4" s="736" t="s">
        <v>661</v>
      </c>
      <c r="S4" s="736" t="s">
        <v>661</v>
      </c>
      <c r="T4" s="735"/>
      <c r="U4" s="736" t="s">
        <v>661</v>
      </c>
      <c r="V4" s="736" t="s">
        <v>661</v>
      </c>
      <c r="W4" s="736" t="s">
        <v>661</v>
      </c>
      <c r="X4" s="736" t="s">
        <v>661</v>
      </c>
      <c r="Y4" s="736" t="s">
        <v>661</v>
      </c>
      <c r="Z4" s="736" t="s">
        <v>661</v>
      </c>
      <c r="AA4" s="735"/>
      <c r="AB4" s="736" t="s">
        <v>661</v>
      </c>
      <c r="AC4" s="736" t="s">
        <v>661</v>
      </c>
      <c r="AD4" s="736" t="s">
        <v>661</v>
      </c>
      <c r="AE4" s="736" t="s">
        <v>661</v>
      </c>
      <c r="AF4" s="736" t="s">
        <v>661</v>
      </c>
      <c r="AG4" s="736" t="s">
        <v>661</v>
      </c>
      <c r="AH4" s="735"/>
      <c r="AI4" s="749">
        <f>COUNTIF(D4:AH4,"S")</f>
        <v>0</v>
      </c>
      <c r="AJ4" s="749">
        <f>COUNTIF(D4:AH4,"I")</f>
        <v>0</v>
      </c>
      <c r="AK4" s="749">
        <f>COUNTIF(D4:AH4,"A")</f>
        <v>0</v>
      </c>
    </row>
    <row r="5" spans="2:37">
      <c r="B5" s="724">
        <v>2</v>
      </c>
      <c r="C5" s="734" t="str">
        <f>SISWA!E7</f>
        <v>Anak 2</v>
      </c>
      <c r="D5" s="736" t="s">
        <v>661</v>
      </c>
      <c r="E5" s="736" t="s">
        <v>661</v>
      </c>
      <c r="F5" s="735"/>
      <c r="G5" s="736" t="s">
        <v>661</v>
      </c>
      <c r="H5" s="736" t="s">
        <v>661</v>
      </c>
      <c r="I5" s="736" t="s">
        <v>661</v>
      </c>
      <c r="J5" s="735"/>
      <c r="K5" s="736" t="s">
        <v>661</v>
      </c>
      <c r="L5" s="736" t="s">
        <v>661</v>
      </c>
      <c r="M5" s="735"/>
      <c r="N5" s="736" t="s">
        <v>661</v>
      </c>
      <c r="O5" s="736" t="s">
        <v>661</v>
      </c>
      <c r="P5" s="736" t="s">
        <v>661</v>
      </c>
      <c r="Q5" s="736" t="s">
        <v>661</v>
      </c>
      <c r="R5" s="736" t="s">
        <v>661</v>
      </c>
      <c r="S5" s="736" t="s">
        <v>661</v>
      </c>
      <c r="T5" s="735"/>
      <c r="U5" s="736" t="s">
        <v>661</v>
      </c>
      <c r="V5" s="736" t="s">
        <v>661</v>
      </c>
      <c r="W5" s="736" t="s">
        <v>661</v>
      </c>
      <c r="X5" s="736" t="s">
        <v>661</v>
      </c>
      <c r="Y5" s="736" t="s">
        <v>661</v>
      </c>
      <c r="Z5" s="736" t="s">
        <v>661</v>
      </c>
      <c r="AA5" s="735"/>
      <c r="AB5" s="736" t="s">
        <v>661</v>
      </c>
      <c r="AC5" s="736" t="s">
        <v>661</v>
      </c>
      <c r="AD5" s="736" t="s">
        <v>661</v>
      </c>
      <c r="AE5" s="736" t="s">
        <v>661</v>
      </c>
      <c r="AF5" s="736" t="s">
        <v>661</v>
      </c>
      <c r="AG5" s="736" t="s">
        <v>661</v>
      </c>
      <c r="AH5" s="735"/>
      <c r="AI5" s="749">
        <f t="shared" ref="AI5:AI53" si="0">COUNTIF(D5:AH5,"S")</f>
        <v>0</v>
      </c>
      <c r="AJ5" s="749">
        <f t="shared" ref="AJ5:AJ53" si="1">COUNTIF(D5:AH5,"I")</f>
        <v>0</v>
      </c>
      <c r="AK5" s="749">
        <f t="shared" ref="AK5:AK53" si="2">COUNTIF(D5:AH5,"A")</f>
        <v>0</v>
      </c>
    </row>
    <row r="6" spans="2:37">
      <c r="B6" s="724">
        <v>3</v>
      </c>
      <c r="C6" s="734" t="str">
        <f>SISWA!E8</f>
        <v>Anak 3</v>
      </c>
      <c r="D6" s="736" t="s">
        <v>661</v>
      </c>
      <c r="E6" s="736" t="s">
        <v>661</v>
      </c>
      <c r="F6" s="735"/>
      <c r="G6" s="736" t="s">
        <v>661</v>
      </c>
      <c r="H6" s="736" t="s">
        <v>661</v>
      </c>
      <c r="I6" s="736" t="s">
        <v>661</v>
      </c>
      <c r="J6" s="735"/>
      <c r="K6" s="736" t="s">
        <v>661</v>
      </c>
      <c r="L6" s="736" t="s">
        <v>661</v>
      </c>
      <c r="M6" s="735"/>
      <c r="N6" s="736" t="s">
        <v>661</v>
      </c>
      <c r="O6" s="736" t="s">
        <v>661</v>
      </c>
      <c r="P6" s="736" t="s">
        <v>661</v>
      </c>
      <c r="Q6" s="736" t="s">
        <v>661</v>
      </c>
      <c r="R6" s="736" t="s">
        <v>661</v>
      </c>
      <c r="S6" s="736" t="s">
        <v>661</v>
      </c>
      <c r="T6" s="735"/>
      <c r="U6" s="736" t="s">
        <v>661</v>
      </c>
      <c r="V6" s="736" t="s">
        <v>661</v>
      </c>
      <c r="W6" s="736" t="s">
        <v>661</v>
      </c>
      <c r="X6" s="736" t="s">
        <v>661</v>
      </c>
      <c r="Y6" s="736" t="s">
        <v>661</v>
      </c>
      <c r="Z6" s="736" t="s">
        <v>661</v>
      </c>
      <c r="AA6" s="735"/>
      <c r="AB6" s="736" t="s">
        <v>661</v>
      </c>
      <c r="AC6" s="736" t="s">
        <v>661</v>
      </c>
      <c r="AD6" s="736" t="s">
        <v>661</v>
      </c>
      <c r="AE6" s="736" t="s">
        <v>661</v>
      </c>
      <c r="AF6" s="736" t="s">
        <v>661</v>
      </c>
      <c r="AG6" s="736" t="s">
        <v>661</v>
      </c>
      <c r="AH6" s="735"/>
      <c r="AI6" s="749">
        <f t="shared" si="0"/>
        <v>0</v>
      </c>
      <c r="AJ6" s="749">
        <f t="shared" si="1"/>
        <v>0</v>
      </c>
      <c r="AK6" s="749">
        <f t="shared" si="2"/>
        <v>0</v>
      </c>
    </row>
    <row r="7" spans="2:37">
      <c r="B7" s="724">
        <v>4</v>
      </c>
      <c r="C7" s="734" t="str">
        <f>SISWA!E9</f>
        <v>Anak 4</v>
      </c>
      <c r="D7" s="736" t="s">
        <v>661</v>
      </c>
      <c r="E7" s="736" t="s">
        <v>661</v>
      </c>
      <c r="F7" s="735"/>
      <c r="G7" s="736" t="s">
        <v>661</v>
      </c>
      <c r="H7" s="736" t="s">
        <v>661</v>
      </c>
      <c r="I7" s="736" t="s">
        <v>661</v>
      </c>
      <c r="J7" s="735"/>
      <c r="K7" s="736" t="s">
        <v>661</v>
      </c>
      <c r="L7" s="736" t="s">
        <v>661</v>
      </c>
      <c r="M7" s="735"/>
      <c r="N7" s="736" t="s">
        <v>661</v>
      </c>
      <c r="O7" s="736" t="s">
        <v>661</v>
      </c>
      <c r="P7" s="736" t="s">
        <v>661</v>
      </c>
      <c r="Q7" s="736" t="s">
        <v>661</v>
      </c>
      <c r="R7" s="736" t="s">
        <v>661</v>
      </c>
      <c r="S7" s="736" t="s">
        <v>661</v>
      </c>
      <c r="T7" s="735"/>
      <c r="U7" s="736" t="s">
        <v>661</v>
      </c>
      <c r="V7" s="736" t="s">
        <v>661</v>
      </c>
      <c r="W7" s="736" t="s">
        <v>661</v>
      </c>
      <c r="X7" s="736" t="s">
        <v>661</v>
      </c>
      <c r="Y7" s="736" t="s">
        <v>661</v>
      </c>
      <c r="Z7" s="736" t="s">
        <v>661</v>
      </c>
      <c r="AA7" s="735"/>
      <c r="AB7" s="736" t="s">
        <v>661</v>
      </c>
      <c r="AC7" s="736" t="s">
        <v>661</v>
      </c>
      <c r="AD7" s="736" t="s">
        <v>661</v>
      </c>
      <c r="AE7" s="736" t="s">
        <v>661</v>
      </c>
      <c r="AF7" s="736" t="s">
        <v>661</v>
      </c>
      <c r="AG7" s="736" t="s">
        <v>661</v>
      </c>
      <c r="AH7" s="735"/>
      <c r="AI7" s="749">
        <f t="shared" si="0"/>
        <v>0</v>
      </c>
      <c r="AJ7" s="749">
        <f t="shared" si="1"/>
        <v>0</v>
      </c>
      <c r="AK7" s="749">
        <f t="shared" si="2"/>
        <v>0</v>
      </c>
    </row>
    <row r="8" spans="2:37">
      <c r="B8" s="724">
        <v>5</v>
      </c>
      <c r="C8" s="734" t="str">
        <f>SISWA!E10</f>
        <v>Anak 5</v>
      </c>
      <c r="D8" s="736" t="s">
        <v>661</v>
      </c>
      <c r="E8" s="736" t="s">
        <v>661</v>
      </c>
      <c r="F8" s="735"/>
      <c r="G8" s="736" t="s">
        <v>661</v>
      </c>
      <c r="H8" s="736" t="s">
        <v>661</v>
      </c>
      <c r="I8" s="736" t="s">
        <v>661</v>
      </c>
      <c r="J8" s="735"/>
      <c r="K8" s="736" t="s">
        <v>661</v>
      </c>
      <c r="L8" s="736" t="s">
        <v>661</v>
      </c>
      <c r="M8" s="735"/>
      <c r="N8" s="736" t="s">
        <v>661</v>
      </c>
      <c r="O8" s="736" t="s">
        <v>661</v>
      </c>
      <c r="P8" s="736" t="s">
        <v>661</v>
      </c>
      <c r="Q8" s="736" t="s">
        <v>661</v>
      </c>
      <c r="R8" s="736" t="s">
        <v>661</v>
      </c>
      <c r="S8" s="736" t="s">
        <v>661</v>
      </c>
      <c r="T8" s="735"/>
      <c r="U8" s="736" t="s">
        <v>661</v>
      </c>
      <c r="V8" s="736" t="s">
        <v>661</v>
      </c>
      <c r="W8" s="736" t="s">
        <v>661</v>
      </c>
      <c r="X8" s="736" t="s">
        <v>661</v>
      </c>
      <c r="Y8" s="736" t="s">
        <v>661</v>
      </c>
      <c r="Z8" s="736" t="s">
        <v>661</v>
      </c>
      <c r="AA8" s="735"/>
      <c r="AB8" s="736" t="s">
        <v>661</v>
      </c>
      <c r="AC8" s="736" t="s">
        <v>661</v>
      </c>
      <c r="AD8" s="736" t="s">
        <v>661</v>
      </c>
      <c r="AE8" s="736" t="s">
        <v>661</v>
      </c>
      <c r="AF8" s="736" t="s">
        <v>661</v>
      </c>
      <c r="AG8" s="736" t="s">
        <v>661</v>
      </c>
      <c r="AH8" s="735"/>
      <c r="AI8" s="749">
        <f t="shared" si="0"/>
        <v>0</v>
      </c>
      <c r="AJ8" s="749">
        <f t="shared" si="1"/>
        <v>0</v>
      </c>
      <c r="AK8" s="749">
        <f t="shared" si="2"/>
        <v>0</v>
      </c>
    </row>
    <row r="9" spans="2:37">
      <c r="B9" s="724">
        <v>6</v>
      </c>
      <c r="C9" s="734" t="str">
        <f>SISWA!E11</f>
        <v>Anak 6</v>
      </c>
      <c r="D9" s="736" t="s">
        <v>661</v>
      </c>
      <c r="E9" s="736" t="s">
        <v>661</v>
      </c>
      <c r="F9" s="735"/>
      <c r="G9" s="736" t="s">
        <v>661</v>
      </c>
      <c r="H9" s="736" t="s">
        <v>661</v>
      </c>
      <c r="I9" s="736" t="s">
        <v>661</v>
      </c>
      <c r="J9" s="735"/>
      <c r="K9" s="736" t="s">
        <v>661</v>
      </c>
      <c r="L9" s="736" t="s">
        <v>661</v>
      </c>
      <c r="M9" s="735"/>
      <c r="N9" s="736" t="s">
        <v>661</v>
      </c>
      <c r="O9" s="736" t="s">
        <v>661</v>
      </c>
      <c r="P9" s="736" t="s">
        <v>661</v>
      </c>
      <c r="Q9" s="736" t="s">
        <v>661</v>
      </c>
      <c r="R9" s="736" t="s">
        <v>661</v>
      </c>
      <c r="S9" s="736" t="s">
        <v>661</v>
      </c>
      <c r="T9" s="735"/>
      <c r="U9" s="736" t="s">
        <v>661</v>
      </c>
      <c r="V9" s="736" t="s">
        <v>661</v>
      </c>
      <c r="W9" s="736" t="s">
        <v>661</v>
      </c>
      <c r="X9" s="736" t="s">
        <v>661</v>
      </c>
      <c r="Y9" s="736" t="s">
        <v>661</v>
      </c>
      <c r="Z9" s="736" t="s">
        <v>661</v>
      </c>
      <c r="AA9" s="735"/>
      <c r="AB9" s="736" t="s">
        <v>661</v>
      </c>
      <c r="AC9" s="736" t="s">
        <v>661</v>
      </c>
      <c r="AD9" s="736" t="s">
        <v>661</v>
      </c>
      <c r="AE9" s="736" t="s">
        <v>661</v>
      </c>
      <c r="AF9" s="736" t="s">
        <v>661</v>
      </c>
      <c r="AG9" s="736" t="s">
        <v>661</v>
      </c>
      <c r="AH9" s="735"/>
      <c r="AI9" s="749">
        <f t="shared" si="0"/>
        <v>0</v>
      </c>
      <c r="AJ9" s="749">
        <f t="shared" si="1"/>
        <v>0</v>
      </c>
      <c r="AK9" s="749">
        <f t="shared" si="2"/>
        <v>0</v>
      </c>
    </row>
    <row r="10" spans="2:37">
      <c r="B10" s="724">
        <v>7</v>
      </c>
      <c r="C10" s="734" t="str">
        <f>SISWA!E12</f>
        <v>Anak 7</v>
      </c>
      <c r="D10" s="736" t="s">
        <v>661</v>
      </c>
      <c r="E10" s="736" t="s">
        <v>661</v>
      </c>
      <c r="F10" s="735"/>
      <c r="G10" s="736" t="s">
        <v>661</v>
      </c>
      <c r="H10" s="736" t="s">
        <v>661</v>
      </c>
      <c r="I10" s="736" t="s">
        <v>661</v>
      </c>
      <c r="J10" s="735"/>
      <c r="K10" s="736" t="s">
        <v>661</v>
      </c>
      <c r="L10" s="736" t="s">
        <v>661</v>
      </c>
      <c r="M10" s="735"/>
      <c r="N10" s="736" t="s">
        <v>661</v>
      </c>
      <c r="O10" s="736" t="s">
        <v>661</v>
      </c>
      <c r="P10" s="736" t="s">
        <v>661</v>
      </c>
      <c r="Q10" s="736" t="s">
        <v>661</v>
      </c>
      <c r="R10" s="736" t="s">
        <v>661</v>
      </c>
      <c r="S10" s="736" t="s">
        <v>661</v>
      </c>
      <c r="T10" s="735"/>
      <c r="U10" s="736" t="s">
        <v>661</v>
      </c>
      <c r="V10" s="736" t="s">
        <v>661</v>
      </c>
      <c r="W10" s="736" t="s">
        <v>661</v>
      </c>
      <c r="X10" s="736" t="s">
        <v>661</v>
      </c>
      <c r="Y10" s="736" t="s">
        <v>661</v>
      </c>
      <c r="Z10" s="736" t="s">
        <v>661</v>
      </c>
      <c r="AA10" s="735"/>
      <c r="AB10" s="736" t="s">
        <v>661</v>
      </c>
      <c r="AC10" s="736" t="s">
        <v>661</v>
      </c>
      <c r="AD10" s="736" t="s">
        <v>661</v>
      </c>
      <c r="AE10" s="736" t="s">
        <v>661</v>
      </c>
      <c r="AF10" s="736" t="s">
        <v>661</v>
      </c>
      <c r="AG10" s="736" t="s">
        <v>661</v>
      </c>
      <c r="AH10" s="735"/>
      <c r="AI10" s="749">
        <f t="shared" si="0"/>
        <v>0</v>
      </c>
      <c r="AJ10" s="749">
        <f t="shared" si="1"/>
        <v>0</v>
      </c>
      <c r="AK10" s="749">
        <f t="shared" si="2"/>
        <v>0</v>
      </c>
    </row>
    <row r="11" spans="2:37">
      <c r="B11" s="724">
        <v>8</v>
      </c>
      <c r="C11" s="734" t="str">
        <f>SISWA!E13</f>
        <v>Anak 8</v>
      </c>
      <c r="D11" s="736" t="s">
        <v>661</v>
      </c>
      <c r="E11" s="736" t="s">
        <v>661</v>
      </c>
      <c r="F11" s="735"/>
      <c r="G11" s="736" t="s">
        <v>661</v>
      </c>
      <c r="H11" s="736" t="s">
        <v>661</v>
      </c>
      <c r="I11" s="736" t="s">
        <v>661</v>
      </c>
      <c r="J11" s="735"/>
      <c r="K11" s="736" t="s">
        <v>661</v>
      </c>
      <c r="L11" s="736" t="s">
        <v>661</v>
      </c>
      <c r="M11" s="735"/>
      <c r="N11" s="736" t="s">
        <v>661</v>
      </c>
      <c r="O11" s="736" t="s">
        <v>661</v>
      </c>
      <c r="P11" s="736" t="s">
        <v>661</v>
      </c>
      <c r="Q11" s="736" t="s">
        <v>661</v>
      </c>
      <c r="R11" s="736" t="s">
        <v>661</v>
      </c>
      <c r="S11" s="736" t="s">
        <v>661</v>
      </c>
      <c r="T11" s="735"/>
      <c r="U11" s="736" t="s">
        <v>661</v>
      </c>
      <c r="V11" s="736" t="s">
        <v>661</v>
      </c>
      <c r="W11" s="736" t="s">
        <v>661</v>
      </c>
      <c r="X11" s="736" t="s">
        <v>661</v>
      </c>
      <c r="Y11" s="736" t="s">
        <v>661</v>
      </c>
      <c r="Z11" s="736" t="s">
        <v>661</v>
      </c>
      <c r="AA11" s="735"/>
      <c r="AB11" s="736" t="s">
        <v>661</v>
      </c>
      <c r="AC11" s="736" t="s">
        <v>661</v>
      </c>
      <c r="AD11" s="736" t="s">
        <v>661</v>
      </c>
      <c r="AE11" s="736" t="s">
        <v>661</v>
      </c>
      <c r="AF11" s="736" t="s">
        <v>661</v>
      </c>
      <c r="AG11" s="736" t="s">
        <v>661</v>
      </c>
      <c r="AH11" s="735"/>
      <c r="AI11" s="749">
        <f t="shared" si="0"/>
        <v>0</v>
      </c>
      <c r="AJ11" s="749">
        <f t="shared" si="1"/>
        <v>0</v>
      </c>
      <c r="AK11" s="749">
        <f t="shared" si="2"/>
        <v>0</v>
      </c>
    </row>
    <row r="12" spans="2:37">
      <c r="B12" s="724">
        <v>9</v>
      </c>
      <c r="C12" s="734" t="str">
        <f>SISWA!E14</f>
        <v>Anak 9</v>
      </c>
      <c r="D12" s="736" t="s">
        <v>661</v>
      </c>
      <c r="E12" s="736" t="s">
        <v>661</v>
      </c>
      <c r="F12" s="735"/>
      <c r="G12" s="736" t="s">
        <v>661</v>
      </c>
      <c r="H12" s="736" t="s">
        <v>661</v>
      </c>
      <c r="I12" s="736" t="s">
        <v>661</v>
      </c>
      <c r="J12" s="735"/>
      <c r="K12" s="736" t="s">
        <v>661</v>
      </c>
      <c r="L12" s="736" t="s">
        <v>661</v>
      </c>
      <c r="M12" s="735"/>
      <c r="N12" s="736" t="s">
        <v>661</v>
      </c>
      <c r="O12" s="736" t="s">
        <v>661</v>
      </c>
      <c r="P12" s="736" t="s">
        <v>661</v>
      </c>
      <c r="Q12" s="736" t="s">
        <v>661</v>
      </c>
      <c r="R12" s="736" t="s">
        <v>661</v>
      </c>
      <c r="S12" s="736" t="s">
        <v>661</v>
      </c>
      <c r="T12" s="735"/>
      <c r="U12" s="736" t="s">
        <v>661</v>
      </c>
      <c r="V12" s="736" t="s">
        <v>661</v>
      </c>
      <c r="W12" s="736" t="s">
        <v>661</v>
      </c>
      <c r="X12" s="736" t="s">
        <v>661</v>
      </c>
      <c r="Y12" s="736" t="s">
        <v>661</v>
      </c>
      <c r="Z12" s="736" t="s">
        <v>661</v>
      </c>
      <c r="AA12" s="735"/>
      <c r="AB12" s="736" t="s">
        <v>661</v>
      </c>
      <c r="AC12" s="736" t="s">
        <v>661</v>
      </c>
      <c r="AD12" s="736" t="s">
        <v>661</v>
      </c>
      <c r="AE12" s="736" t="s">
        <v>661</v>
      </c>
      <c r="AF12" s="736" t="s">
        <v>661</v>
      </c>
      <c r="AG12" s="736" t="s">
        <v>661</v>
      </c>
      <c r="AH12" s="735"/>
      <c r="AI12" s="749">
        <f t="shared" si="0"/>
        <v>0</v>
      </c>
      <c r="AJ12" s="749">
        <f t="shared" si="1"/>
        <v>0</v>
      </c>
      <c r="AK12" s="749">
        <f t="shared" si="2"/>
        <v>0</v>
      </c>
    </row>
    <row r="13" spans="2:37">
      <c r="B13" s="724">
        <v>10</v>
      </c>
      <c r="C13" s="734" t="str">
        <f>SISWA!E15</f>
        <v>Anak 10</v>
      </c>
      <c r="D13" s="736" t="s">
        <v>661</v>
      </c>
      <c r="E13" s="736" t="s">
        <v>661</v>
      </c>
      <c r="F13" s="735"/>
      <c r="G13" s="736" t="s">
        <v>661</v>
      </c>
      <c r="H13" s="736" t="s">
        <v>661</v>
      </c>
      <c r="I13" s="736" t="s">
        <v>661</v>
      </c>
      <c r="J13" s="735"/>
      <c r="K13" s="736" t="s">
        <v>661</v>
      </c>
      <c r="L13" s="736" t="s">
        <v>661</v>
      </c>
      <c r="M13" s="735"/>
      <c r="N13" s="736" t="s">
        <v>661</v>
      </c>
      <c r="O13" s="736" t="s">
        <v>661</v>
      </c>
      <c r="P13" s="736" t="s">
        <v>661</v>
      </c>
      <c r="Q13" s="736" t="s">
        <v>661</v>
      </c>
      <c r="R13" s="736" t="s">
        <v>661</v>
      </c>
      <c r="S13" s="736" t="s">
        <v>661</v>
      </c>
      <c r="T13" s="735"/>
      <c r="U13" s="736" t="s">
        <v>661</v>
      </c>
      <c r="V13" s="736" t="s">
        <v>661</v>
      </c>
      <c r="W13" s="736" t="s">
        <v>661</v>
      </c>
      <c r="X13" s="736" t="s">
        <v>661</v>
      </c>
      <c r="Y13" s="736" t="s">
        <v>661</v>
      </c>
      <c r="Z13" s="736" t="s">
        <v>661</v>
      </c>
      <c r="AA13" s="735"/>
      <c r="AB13" s="736" t="s">
        <v>661</v>
      </c>
      <c r="AC13" s="736" t="s">
        <v>661</v>
      </c>
      <c r="AD13" s="736" t="s">
        <v>661</v>
      </c>
      <c r="AE13" s="736" t="s">
        <v>661</v>
      </c>
      <c r="AF13" s="736" t="s">
        <v>661</v>
      </c>
      <c r="AG13" s="736" t="s">
        <v>661</v>
      </c>
      <c r="AH13" s="735"/>
      <c r="AI13" s="749">
        <f t="shared" si="0"/>
        <v>0</v>
      </c>
      <c r="AJ13" s="749">
        <f t="shared" si="1"/>
        <v>0</v>
      </c>
      <c r="AK13" s="749">
        <f t="shared" si="2"/>
        <v>0</v>
      </c>
    </row>
    <row r="14" spans="2:37">
      <c r="B14" s="724">
        <v>11</v>
      </c>
      <c r="C14" s="734" t="str">
        <f>SISWA!E16</f>
        <v>Anak 11</v>
      </c>
      <c r="D14" s="736" t="s">
        <v>661</v>
      </c>
      <c r="E14" s="736" t="s">
        <v>661</v>
      </c>
      <c r="F14" s="735"/>
      <c r="G14" s="736" t="s">
        <v>661</v>
      </c>
      <c r="H14" s="736" t="s">
        <v>661</v>
      </c>
      <c r="I14" s="736" t="s">
        <v>661</v>
      </c>
      <c r="J14" s="735"/>
      <c r="K14" s="736" t="s">
        <v>661</v>
      </c>
      <c r="L14" s="736" t="s">
        <v>661</v>
      </c>
      <c r="M14" s="735"/>
      <c r="N14" s="736" t="s">
        <v>661</v>
      </c>
      <c r="O14" s="736" t="s">
        <v>661</v>
      </c>
      <c r="P14" s="736" t="s">
        <v>661</v>
      </c>
      <c r="Q14" s="736" t="s">
        <v>661</v>
      </c>
      <c r="R14" s="736" t="s">
        <v>661</v>
      </c>
      <c r="S14" s="736" t="s">
        <v>661</v>
      </c>
      <c r="T14" s="735"/>
      <c r="U14" s="736" t="s">
        <v>661</v>
      </c>
      <c r="V14" s="736" t="s">
        <v>661</v>
      </c>
      <c r="W14" s="736" t="s">
        <v>661</v>
      </c>
      <c r="X14" s="736" t="s">
        <v>661</v>
      </c>
      <c r="Y14" s="736" t="s">
        <v>661</v>
      </c>
      <c r="Z14" s="736" t="s">
        <v>661</v>
      </c>
      <c r="AA14" s="735"/>
      <c r="AB14" s="736" t="s">
        <v>661</v>
      </c>
      <c r="AC14" s="736" t="s">
        <v>661</v>
      </c>
      <c r="AD14" s="736" t="s">
        <v>661</v>
      </c>
      <c r="AE14" s="736" t="s">
        <v>661</v>
      </c>
      <c r="AF14" s="736" t="s">
        <v>661</v>
      </c>
      <c r="AG14" s="736" t="s">
        <v>661</v>
      </c>
      <c r="AH14" s="735"/>
      <c r="AI14" s="749">
        <f t="shared" si="0"/>
        <v>0</v>
      </c>
      <c r="AJ14" s="749">
        <f t="shared" si="1"/>
        <v>0</v>
      </c>
      <c r="AK14" s="749">
        <f t="shared" si="2"/>
        <v>0</v>
      </c>
    </row>
    <row r="15" spans="2:37">
      <c r="B15" s="724">
        <v>12</v>
      </c>
      <c r="C15" s="734" t="str">
        <f>SISWA!E17</f>
        <v>Anak 12</v>
      </c>
      <c r="D15" s="736" t="s">
        <v>661</v>
      </c>
      <c r="E15" s="736" t="s">
        <v>661</v>
      </c>
      <c r="F15" s="735"/>
      <c r="G15" s="736" t="s">
        <v>661</v>
      </c>
      <c r="H15" s="736" t="s">
        <v>661</v>
      </c>
      <c r="I15" s="736" t="s">
        <v>661</v>
      </c>
      <c r="J15" s="735"/>
      <c r="K15" s="736" t="s">
        <v>661</v>
      </c>
      <c r="L15" s="736" t="s">
        <v>661</v>
      </c>
      <c r="M15" s="735"/>
      <c r="N15" s="736" t="s">
        <v>661</v>
      </c>
      <c r="O15" s="736" t="s">
        <v>661</v>
      </c>
      <c r="P15" s="736" t="s">
        <v>661</v>
      </c>
      <c r="Q15" s="736" t="s">
        <v>661</v>
      </c>
      <c r="R15" s="736" t="s">
        <v>661</v>
      </c>
      <c r="S15" s="736" t="s">
        <v>661</v>
      </c>
      <c r="T15" s="735"/>
      <c r="U15" s="736" t="s">
        <v>661</v>
      </c>
      <c r="V15" s="736" t="s">
        <v>661</v>
      </c>
      <c r="W15" s="736" t="s">
        <v>661</v>
      </c>
      <c r="X15" s="736" t="s">
        <v>661</v>
      </c>
      <c r="Y15" s="736" t="s">
        <v>661</v>
      </c>
      <c r="Z15" s="736" t="s">
        <v>661</v>
      </c>
      <c r="AA15" s="735"/>
      <c r="AB15" s="736" t="s">
        <v>661</v>
      </c>
      <c r="AC15" s="736" t="s">
        <v>661</v>
      </c>
      <c r="AD15" s="736" t="s">
        <v>661</v>
      </c>
      <c r="AE15" s="736" t="s">
        <v>661</v>
      </c>
      <c r="AF15" s="736" t="s">
        <v>661</v>
      </c>
      <c r="AG15" s="736" t="s">
        <v>661</v>
      </c>
      <c r="AH15" s="735"/>
      <c r="AI15" s="749">
        <f t="shared" si="0"/>
        <v>0</v>
      </c>
      <c r="AJ15" s="749">
        <f t="shared" si="1"/>
        <v>0</v>
      </c>
      <c r="AK15" s="749">
        <f t="shared" si="2"/>
        <v>0</v>
      </c>
    </row>
    <row r="16" spans="2:37">
      <c r="B16" s="724">
        <v>13</v>
      </c>
      <c r="C16" s="734" t="str">
        <f>SISWA!E18</f>
        <v>Anak 13</v>
      </c>
      <c r="D16" s="736" t="s">
        <v>661</v>
      </c>
      <c r="E16" s="736" t="s">
        <v>661</v>
      </c>
      <c r="F16" s="735"/>
      <c r="G16" s="736" t="s">
        <v>661</v>
      </c>
      <c r="H16" s="736" t="s">
        <v>661</v>
      </c>
      <c r="I16" s="736" t="s">
        <v>661</v>
      </c>
      <c r="J16" s="735"/>
      <c r="K16" s="736" t="s">
        <v>661</v>
      </c>
      <c r="L16" s="736" t="s">
        <v>661</v>
      </c>
      <c r="M16" s="735"/>
      <c r="N16" s="736" t="s">
        <v>661</v>
      </c>
      <c r="O16" s="736" t="s">
        <v>661</v>
      </c>
      <c r="P16" s="736" t="s">
        <v>661</v>
      </c>
      <c r="Q16" s="736" t="s">
        <v>661</v>
      </c>
      <c r="R16" s="736" t="s">
        <v>661</v>
      </c>
      <c r="S16" s="736" t="s">
        <v>661</v>
      </c>
      <c r="T16" s="735"/>
      <c r="U16" s="736" t="s">
        <v>661</v>
      </c>
      <c r="V16" s="736" t="s">
        <v>661</v>
      </c>
      <c r="W16" s="736" t="s">
        <v>661</v>
      </c>
      <c r="X16" s="736" t="s">
        <v>661</v>
      </c>
      <c r="Y16" s="736" t="s">
        <v>661</v>
      </c>
      <c r="Z16" s="736" t="s">
        <v>661</v>
      </c>
      <c r="AA16" s="735"/>
      <c r="AB16" s="736" t="s">
        <v>661</v>
      </c>
      <c r="AC16" s="736" t="s">
        <v>661</v>
      </c>
      <c r="AD16" s="736" t="s">
        <v>661</v>
      </c>
      <c r="AE16" s="736" t="s">
        <v>661</v>
      </c>
      <c r="AF16" s="736" t="s">
        <v>661</v>
      </c>
      <c r="AG16" s="736" t="s">
        <v>661</v>
      </c>
      <c r="AH16" s="735"/>
      <c r="AI16" s="749">
        <f t="shared" si="0"/>
        <v>0</v>
      </c>
      <c r="AJ16" s="749">
        <f t="shared" si="1"/>
        <v>0</v>
      </c>
      <c r="AK16" s="749">
        <f t="shared" si="2"/>
        <v>0</v>
      </c>
    </row>
    <row r="17" spans="2:37">
      <c r="B17" s="724">
        <v>14</v>
      </c>
      <c r="C17" s="734" t="str">
        <f>SISWA!E19</f>
        <v>Anak 14</v>
      </c>
      <c r="D17" s="736" t="s">
        <v>661</v>
      </c>
      <c r="E17" s="736" t="s">
        <v>661</v>
      </c>
      <c r="F17" s="735"/>
      <c r="G17" s="736" t="s">
        <v>661</v>
      </c>
      <c r="H17" s="736" t="s">
        <v>661</v>
      </c>
      <c r="I17" s="736" t="s">
        <v>661</v>
      </c>
      <c r="J17" s="735"/>
      <c r="K17" s="736" t="s">
        <v>661</v>
      </c>
      <c r="L17" s="736" t="s">
        <v>661</v>
      </c>
      <c r="M17" s="735"/>
      <c r="N17" s="736" t="s">
        <v>661</v>
      </c>
      <c r="O17" s="736" t="s">
        <v>661</v>
      </c>
      <c r="P17" s="736" t="s">
        <v>661</v>
      </c>
      <c r="Q17" s="736" t="s">
        <v>661</v>
      </c>
      <c r="R17" s="736" t="s">
        <v>661</v>
      </c>
      <c r="S17" s="736" t="s">
        <v>884</v>
      </c>
      <c r="T17" s="735"/>
      <c r="U17" s="736" t="s">
        <v>661</v>
      </c>
      <c r="V17" s="736" t="s">
        <v>661</v>
      </c>
      <c r="W17" s="736" t="s">
        <v>661</v>
      </c>
      <c r="X17" s="736" t="s">
        <v>661</v>
      </c>
      <c r="Y17" s="736" t="s">
        <v>661</v>
      </c>
      <c r="Z17" s="736" t="s">
        <v>661</v>
      </c>
      <c r="AA17" s="735"/>
      <c r="AB17" s="736" t="s">
        <v>661</v>
      </c>
      <c r="AC17" s="736" t="s">
        <v>661</v>
      </c>
      <c r="AD17" s="736" t="s">
        <v>661</v>
      </c>
      <c r="AE17" s="736" t="s">
        <v>661</v>
      </c>
      <c r="AF17" s="736" t="s">
        <v>661</v>
      </c>
      <c r="AG17" s="736" t="s">
        <v>661</v>
      </c>
      <c r="AH17" s="735"/>
      <c r="AI17" s="749">
        <f t="shared" si="0"/>
        <v>0</v>
      </c>
      <c r="AJ17" s="749">
        <f t="shared" si="1"/>
        <v>1</v>
      </c>
      <c r="AK17" s="749">
        <f t="shared" si="2"/>
        <v>0</v>
      </c>
    </row>
    <row r="18" spans="2:37">
      <c r="B18" s="724">
        <v>15</v>
      </c>
      <c r="C18" s="734" t="str">
        <f>SISWA!E20</f>
        <v>Anak 15</v>
      </c>
      <c r="D18" s="736" t="s">
        <v>661</v>
      </c>
      <c r="E18" s="736" t="s">
        <v>661</v>
      </c>
      <c r="F18" s="735"/>
      <c r="G18" s="736" t="s">
        <v>661</v>
      </c>
      <c r="H18" s="736" t="s">
        <v>661</v>
      </c>
      <c r="I18" s="736" t="s">
        <v>661</v>
      </c>
      <c r="J18" s="735"/>
      <c r="K18" s="736" t="s">
        <v>661</v>
      </c>
      <c r="L18" s="736" t="s">
        <v>661</v>
      </c>
      <c r="M18" s="735"/>
      <c r="N18" s="736" t="s">
        <v>661</v>
      </c>
      <c r="O18" s="736" t="s">
        <v>661</v>
      </c>
      <c r="P18" s="736" t="s">
        <v>661</v>
      </c>
      <c r="Q18" s="736" t="s">
        <v>661</v>
      </c>
      <c r="R18" s="736" t="s">
        <v>661</v>
      </c>
      <c r="S18" s="736" t="s">
        <v>661</v>
      </c>
      <c r="T18" s="735"/>
      <c r="U18" s="736" t="s">
        <v>661</v>
      </c>
      <c r="V18" s="736" t="s">
        <v>661</v>
      </c>
      <c r="W18" s="736" t="s">
        <v>661</v>
      </c>
      <c r="X18" s="736" t="s">
        <v>661</v>
      </c>
      <c r="Y18" s="736" t="s">
        <v>661</v>
      </c>
      <c r="Z18" s="736" t="s">
        <v>661</v>
      </c>
      <c r="AA18" s="735"/>
      <c r="AB18" s="736" t="s">
        <v>661</v>
      </c>
      <c r="AC18" s="736" t="s">
        <v>661</v>
      </c>
      <c r="AD18" s="736" t="s">
        <v>661</v>
      </c>
      <c r="AE18" s="736" t="s">
        <v>661</v>
      </c>
      <c r="AF18" s="736" t="s">
        <v>661</v>
      </c>
      <c r="AG18" s="736" t="s">
        <v>661</v>
      </c>
      <c r="AH18" s="735"/>
      <c r="AI18" s="749">
        <f t="shared" si="0"/>
        <v>0</v>
      </c>
      <c r="AJ18" s="749">
        <f t="shared" si="1"/>
        <v>0</v>
      </c>
      <c r="AK18" s="749">
        <f t="shared" si="2"/>
        <v>0</v>
      </c>
    </row>
    <row r="19" spans="2:37">
      <c r="B19" s="724">
        <v>16</v>
      </c>
      <c r="C19" s="734" t="str">
        <f>SISWA!E21</f>
        <v>Anak 16</v>
      </c>
      <c r="D19" s="736" t="s">
        <v>661</v>
      </c>
      <c r="E19" s="736" t="s">
        <v>661</v>
      </c>
      <c r="F19" s="735"/>
      <c r="G19" s="736" t="s">
        <v>661</v>
      </c>
      <c r="H19" s="736" t="s">
        <v>661</v>
      </c>
      <c r="I19" s="736" t="s">
        <v>661</v>
      </c>
      <c r="J19" s="735"/>
      <c r="K19" s="736" t="s">
        <v>661</v>
      </c>
      <c r="L19" s="736" t="s">
        <v>661</v>
      </c>
      <c r="M19" s="735"/>
      <c r="N19" s="736" t="s">
        <v>661</v>
      </c>
      <c r="O19" s="736" t="s">
        <v>661</v>
      </c>
      <c r="P19" s="736" t="s">
        <v>661</v>
      </c>
      <c r="Q19" s="736" t="s">
        <v>661</v>
      </c>
      <c r="R19" s="736" t="s">
        <v>661</v>
      </c>
      <c r="S19" s="736" t="s">
        <v>661</v>
      </c>
      <c r="T19" s="735"/>
      <c r="U19" s="736" t="s">
        <v>661</v>
      </c>
      <c r="V19" s="736" t="s">
        <v>661</v>
      </c>
      <c r="W19" s="736" t="s">
        <v>661</v>
      </c>
      <c r="X19" s="736" t="s">
        <v>661</v>
      </c>
      <c r="Y19" s="736" t="s">
        <v>661</v>
      </c>
      <c r="Z19" s="736" t="s">
        <v>661</v>
      </c>
      <c r="AA19" s="735"/>
      <c r="AB19" s="736" t="s">
        <v>661</v>
      </c>
      <c r="AC19" s="736" t="s">
        <v>661</v>
      </c>
      <c r="AD19" s="736" t="s">
        <v>661</v>
      </c>
      <c r="AE19" s="736" t="s">
        <v>661</v>
      </c>
      <c r="AF19" s="736" t="s">
        <v>661</v>
      </c>
      <c r="AG19" s="736" t="s">
        <v>661</v>
      </c>
      <c r="AH19" s="735"/>
      <c r="AI19" s="749">
        <f t="shared" si="0"/>
        <v>0</v>
      </c>
      <c r="AJ19" s="749">
        <f t="shared" si="1"/>
        <v>0</v>
      </c>
      <c r="AK19" s="749">
        <f t="shared" si="2"/>
        <v>0</v>
      </c>
    </row>
    <row r="20" spans="2:37">
      <c r="B20" s="724">
        <v>17</v>
      </c>
      <c r="C20" s="734" t="str">
        <f>SISWA!E22</f>
        <v>Anak 17</v>
      </c>
      <c r="D20" s="736" t="s">
        <v>661</v>
      </c>
      <c r="E20" s="736" t="s">
        <v>661</v>
      </c>
      <c r="F20" s="735"/>
      <c r="G20" s="736" t="s">
        <v>661</v>
      </c>
      <c r="H20" s="736" t="s">
        <v>661</v>
      </c>
      <c r="I20" s="736" t="s">
        <v>661</v>
      </c>
      <c r="J20" s="735"/>
      <c r="K20" s="736" t="s">
        <v>661</v>
      </c>
      <c r="L20" s="736" t="s">
        <v>661</v>
      </c>
      <c r="M20" s="735"/>
      <c r="N20" s="736" t="s">
        <v>661</v>
      </c>
      <c r="O20" s="736" t="s">
        <v>661</v>
      </c>
      <c r="P20" s="736" t="s">
        <v>661</v>
      </c>
      <c r="Q20" s="736" t="s">
        <v>661</v>
      </c>
      <c r="R20" s="736" t="s">
        <v>661</v>
      </c>
      <c r="S20" s="736" t="s">
        <v>661</v>
      </c>
      <c r="T20" s="735"/>
      <c r="U20" s="736" t="s">
        <v>661</v>
      </c>
      <c r="V20" s="736" t="s">
        <v>661</v>
      </c>
      <c r="W20" s="736" t="s">
        <v>661</v>
      </c>
      <c r="X20" s="736" t="s">
        <v>661</v>
      </c>
      <c r="Y20" s="736" t="s">
        <v>661</v>
      </c>
      <c r="Z20" s="736" t="s">
        <v>661</v>
      </c>
      <c r="AA20" s="735"/>
      <c r="AB20" s="736" t="s">
        <v>661</v>
      </c>
      <c r="AC20" s="736" t="s">
        <v>661</v>
      </c>
      <c r="AD20" s="736" t="s">
        <v>661</v>
      </c>
      <c r="AE20" s="736" t="s">
        <v>661</v>
      </c>
      <c r="AF20" s="736" t="s">
        <v>661</v>
      </c>
      <c r="AG20" s="736" t="s">
        <v>661</v>
      </c>
      <c r="AH20" s="735"/>
      <c r="AI20" s="749">
        <f t="shared" si="0"/>
        <v>0</v>
      </c>
      <c r="AJ20" s="749">
        <f t="shared" si="1"/>
        <v>0</v>
      </c>
      <c r="AK20" s="749">
        <f t="shared" si="2"/>
        <v>0</v>
      </c>
    </row>
    <row r="21" spans="2:37">
      <c r="B21" s="724">
        <v>18</v>
      </c>
      <c r="C21" s="734" t="str">
        <f>SISWA!E23</f>
        <v>Anak 18</v>
      </c>
      <c r="D21" s="736" t="s">
        <v>661</v>
      </c>
      <c r="E21" s="736" t="s">
        <v>661</v>
      </c>
      <c r="F21" s="735"/>
      <c r="G21" s="736" t="s">
        <v>661</v>
      </c>
      <c r="H21" s="736" t="s">
        <v>661</v>
      </c>
      <c r="I21" s="736" t="s">
        <v>661</v>
      </c>
      <c r="J21" s="735"/>
      <c r="K21" s="736" t="s">
        <v>661</v>
      </c>
      <c r="L21" s="736" t="s">
        <v>661</v>
      </c>
      <c r="M21" s="735"/>
      <c r="N21" s="736" t="s">
        <v>661</v>
      </c>
      <c r="O21" s="736" t="s">
        <v>661</v>
      </c>
      <c r="P21" s="736" t="s">
        <v>661</v>
      </c>
      <c r="Q21" s="736" t="s">
        <v>661</v>
      </c>
      <c r="R21" s="736" t="s">
        <v>661</v>
      </c>
      <c r="S21" s="736" t="s">
        <v>661</v>
      </c>
      <c r="T21" s="735"/>
      <c r="U21" s="736" t="s">
        <v>661</v>
      </c>
      <c r="V21" s="736" t="s">
        <v>661</v>
      </c>
      <c r="W21" s="736" t="s">
        <v>661</v>
      </c>
      <c r="X21" s="736" t="s">
        <v>661</v>
      </c>
      <c r="Y21" s="736" t="s">
        <v>661</v>
      </c>
      <c r="Z21" s="736" t="s">
        <v>661</v>
      </c>
      <c r="AA21" s="735"/>
      <c r="AB21" s="736" t="s">
        <v>661</v>
      </c>
      <c r="AC21" s="736" t="s">
        <v>661</v>
      </c>
      <c r="AD21" s="736" t="s">
        <v>661</v>
      </c>
      <c r="AE21" s="736" t="s">
        <v>661</v>
      </c>
      <c r="AF21" s="736" t="s">
        <v>661</v>
      </c>
      <c r="AG21" s="736" t="s">
        <v>661</v>
      </c>
      <c r="AH21" s="735"/>
      <c r="AI21" s="749">
        <f t="shared" si="0"/>
        <v>0</v>
      </c>
      <c r="AJ21" s="749">
        <f t="shared" si="1"/>
        <v>0</v>
      </c>
      <c r="AK21" s="749">
        <f t="shared" si="2"/>
        <v>0</v>
      </c>
    </row>
    <row r="22" spans="2:37">
      <c r="B22" s="724">
        <v>19</v>
      </c>
      <c r="C22" s="734" t="str">
        <f>SISWA!E24</f>
        <v>Anak 19</v>
      </c>
      <c r="D22" s="736" t="s">
        <v>661</v>
      </c>
      <c r="E22" s="736" t="s">
        <v>661</v>
      </c>
      <c r="F22" s="735"/>
      <c r="G22" s="736" t="s">
        <v>661</v>
      </c>
      <c r="H22" s="736" t="s">
        <v>661</v>
      </c>
      <c r="I22" s="736" t="s">
        <v>661</v>
      </c>
      <c r="J22" s="735"/>
      <c r="K22" s="736" t="s">
        <v>661</v>
      </c>
      <c r="L22" s="736" t="s">
        <v>661</v>
      </c>
      <c r="M22" s="735"/>
      <c r="N22" s="736" t="s">
        <v>661</v>
      </c>
      <c r="O22" s="736" t="s">
        <v>661</v>
      </c>
      <c r="P22" s="736" t="s">
        <v>661</v>
      </c>
      <c r="Q22" s="736" t="s">
        <v>661</v>
      </c>
      <c r="R22" s="736" t="s">
        <v>661</v>
      </c>
      <c r="S22" s="736" t="s">
        <v>661</v>
      </c>
      <c r="T22" s="735"/>
      <c r="U22" s="736" t="s">
        <v>661</v>
      </c>
      <c r="V22" s="736" t="s">
        <v>661</v>
      </c>
      <c r="W22" s="736" t="s">
        <v>661</v>
      </c>
      <c r="X22" s="736" t="s">
        <v>661</v>
      </c>
      <c r="Y22" s="736" t="s">
        <v>661</v>
      </c>
      <c r="Z22" s="736" t="s">
        <v>661</v>
      </c>
      <c r="AA22" s="735"/>
      <c r="AB22" s="736" t="s">
        <v>661</v>
      </c>
      <c r="AC22" s="736" t="s">
        <v>661</v>
      </c>
      <c r="AD22" s="736" t="s">
        <v>661</v>
      </c>
      <c r="AE22" s="736" t="s">
        <v>661</v>
      </c>
      <c r="AF22" s="736" t="s">
        <v>661</v>
      </c>
      <c r="AG22" s="736" t="s">
        <v>661</v>
      </c>
      <c r="AH22" s="735"/>
      <c r="AI22" s="749">
        <f t="shared" si="0"/>
        <v>0</v>
      </c>
      <c r="AJ22" s="749">
        <f t="shared" si="1"/>
        <v>0</v>
      </c>
      <c r="AK22" s="749">
        <f t="shared" si="2"/>
        <v>0</v>
      </c>
    </row>
    <row r="23" spans="2:37">
      <c r="B23" s="724">
        <v>20</v>
      </c>
      <c r="C23" s="734" t="str">
        <f>SISWA!E25</f>
        <v>Anak 20</v>
      </c>
      <c r="D23" s="736" t="s">
        <v>661</v>
      </c>
      <c r="E23" s="736" t="s">
        <v>661</v>
      </c>
      <c r="F23" s="735"/>
      <c r="G23" s="736" t="s">
        <v>661</v>
      </c>
      <c r="H23" s="736" t="s">
        <v>661</v>
      </c>
      <c r="I23" s="736" t="s">
        <v>661</v>
      </c>
      <c r="J23" s="735"/>
      <c r="K23" s="736" t="s">
        <v>661</v>
      </c>
      <c r="L23" s="736" t="s">
        <v>661</v>
      </c>
      <c r="M23" s="735"/>
      <c r="N23" s="736" t="s">
        <v>661</v>
      </c>
      <c r="O23" s="736" t="s">
        <v>661</v>
      </c>
      <c r="P23" s="736" t="s">
        <v>661</v>
      </c>
      <c r="Q23" s="736" t="s">
        <v>661</v>
      </c>
      <c r="R23" s="736" t="s">
        <v>661</v>
      </c>
      <c r="S23" s="736" t="s">
        <v>661</v>
      </c>
      <c r="T23" s="735"/>
      <c r="U23" s="736" t="s">
        <v>661</v>
      </c>
      <c r="V23" s="736" t="s">
        <v>661</v>
      </c>
      <c r="W23" s="736" t="s">
        <v>661</v>
      </c>
      <c r="X23" s="736" t="s">
        <v>661</v>
      </c>
      <c r="Y23" s="736" t="s">
        <v>661</v>
      </c>
      <c r="Z23" s="736" t="s">
        <v>661</v>
      </c>
      <c r="AA23" s="735"/>
      <c r="AB23" s="736" t="s">
        <v>661</v>
      </c>
      <c r="AC23" s="736" t="s">
        <v>661</v>
      </c>
      <c r="AD23" s="736" t="s">
        <v>661</v>
      </c>
      <c r="AE23" s="736" t="s">
        <v>661</v>
      </c>
      <c r="AF23" s="736" t="s">
        <v>661</v>
      </c>
      <c r="AG23" s="736" t="s">
        <v>661</v>
      </c>
      <c r="AH23" s="735"/>
      <c r="AI23" s="749">
        <f t="shared" si="0"/>
        <v>0</v>
      </c>
      <c r="AJ23" s="749">
        <f t="shared" si="1"/>
        <v>0</v>
      </c>
      <c r="AK23" s="749">
        <f t="shared" si="2"/>
        <v>0</v>
      </c>
    </row>
    <row r="24" spans="2:37">
      <c r="B24" s="724">
        <v>21</v>
      </c>
      <c r="C24" s="734" t="str">
        <f>SISWA!E26</f>
        <v>Anak 21</v>
      </c>
      <c r="D24" s="736" t="s">
        <v>661</v>
      </c>
      <c r="E24" s="736" t="s">
        <v>661</v>
      </c>
      <c r="F24" s="735"/>
      <c r="G24" s="736" t="s">
        <v>661</v>
      </c>
      <c r="H24" s="736" t="s">
        <v>661</v>
      </c>
      <c r="I24" s="736" t="s">
        <v>661</v>
      </c>
      <c r="J24" s="735"/>
      <c r="K24" s="736" t="s">
        <v>661</v>
      </c>
      <c r="L24" s="736" t="s">
        <v>661</v>
      </c>
      <c r="M24" s="735"/>
      <c r="N24" s="736" t="s">
        <v>661</v>
      </c>
      <c r="O24" s="736" t="s">
        <v>661</v>
      </c>
      <c r="P24" s="736" t="s">
        <v>661</v>
      </c>
      <c r="Q24" s="736" t="s">
        <v>661</v>
      </c>
      <c r="R24" s="736" t="s">
        <v>661</v>
      </c>
      <c r="S24" s="736" t="s">
        <v>661</v>
      </c>
      <c r="T24" s="735"/>
      <c r="U24" s="736" t="s">
        <v>661</v>
      </c>
      <c r="V24" s="736" t="s">
        <v>661</v>
      </c>
      <c r="W24" s="736" t="s">
        <v>661</v>
      </c>
      <c r="X24" s="736" t="s">
        <v>661</v>
      </c>
      <c r="Y24" s="736" t="s">
        <v>661</v>
      </c>
      <c r="Z24" s="736" t="s">
        <v>661</v>
      </c>
      <c r="AA24" s="735"/>
      <c r="AB24" s="736" t="s">
        <v>661</v>
      </c>
      <c r="AC24" s="736" t="s">
        <v>661</v>
      </c>
      <c r="AD24" s="736" t="s">
        <v>661</v>
      </c>
      <c r="AE24" s="736" t="s">
        <v>661</v>
      </c>
      <c r="AF24" s="736" t="s">
        <v>661</v>
      </c>
      <c r="AG24" s="736" t="s">
        <v>661</v>
      </c>
      <c r="AH24" s="735"/>
      <c r="AI24" s="749">
        <f t="shared" si="0"/>
        <v>0</v>
      </c>
      <c r="AJ24" s="749">
        <f t="shared" si="1"/>
        <v>0</v>
      </c>
      <c r="AK24" s="749">
        <f t="shared" si="2"/>
        <v>0</v>
      </c>
    </row>
    <row r="25" spans="2:37">
      <c r="B25" s="724">
        <v>22</v>
      </c>
      <c r="C25" s="734" t="str">
        <f>SISWA!E27</f>
        <v>Anak 22</v>
      </c>
      <c r="D25" s="736" t="s">
        <v>661</v>
      </c>
      <c r="E25" s="736" t="s">
        <v>661</v>
      </c>
      <c r="F25" s="735"/>
      <c r="G25" s="736" t="s">
        <v>661</v>
      </c>
      <c r="H25" s="736" t="s">
        <v>661</v>
      </c>
      <c r="I25" s="736" t="s">
        <v>661</v>
      </c>
      <c r="J25" s="735"/>
      <c r="K25" s="736" t="s">
        <v>661</v>
      </c>
      <c r="L25" s="736" t="s">
        <v>661</v>
      </c>
      <c r="M25" s="735"/>
      <c r="N25" s="736" t="s">
        <v>661</v>
      </c>
      <c r="O25" s="736" t="s">
        <v>661</v>
      </c>
      <c r="P25" s="736" t="s">
        <v>661</v>
      </c>
      <c r="Q25" s="736" t="s">
        <v>661</v>
      </c>
      <c r="R25" s="736" t="s">
        <v>661</v>
      </c>
      <c r="S25" s="736" t="s">
        <v>661</v>
      </c>
      <c r="T25" s="735"/>
      <c r="U25" s="736" t="s">
        <v>661</v>
      </c>
      <c r="V25" s="736" t="s">
        <v>661</v>
      </c>
      <c r="W25" s="736" t="s">
        <v>661</v>
      </c>
      <c r="X25" s="736" t="s">
        <v>661</v>
      </c>
      <c r="Y25" s="736" t="s">
        <v>661</v>
      </c>
      <c r="Z25" s="736" t="s">
        <v>661</v>
      </c>
      <c r="AA25" s="735"/>
      <c r="AB25" s="736" t="s">
        <v>661</v>
      </c>
      <c r="AC25" s="736" t="s">
        <v>661</v>
      </c>
      <c r="AD25" s="736" t="s">
        <v>661</v>
      </c>
      <c r="AE25" s="736" t="s">
        <v>661</v>
      </c>
      <c r="AF25" s="736" t="s">
        <v>661</v>
      </c>
      <c r="AG25" s="736" t="s">
        <v>661</v>
      </c>
      <c r="AH25" s="735"/>
      <c r="AI25" s="749">
        <f t="shared" si="0"/>
        <v>0</v>
      </c>
      <c r="AJ25" s="749">
        <f t="shared" si="1"/>
        <v>0</v>
      </c>
      <c r="AK25" s="749">
        <f t="shared" si="2"/>
        <v>0</v>
      </c>
    </row>
    <row r="26" spans="2:37">
      <c r="B26" s="724">
        <v>23</v>
      </c>
      <c r="C26" s="734" t="str">
        <f>SISWA!E28</f>
        <v>Anak 23</v>
      </c>
      <c r="D26" s="736" t="s">
        <v>661</v>
      </c>
      <c r="E26" s="736" t="s">
        <v>661</v>
      </c>
      <c r="F26" s="735"/>
      <c r="G26" s="736" t="s">
        <v>661</v>
      </c>
      <c r="H26" s="736" t="s">
        <v>661</v>
      </c>
      <c r="I26" s="736" t="s">
        <v>661</v>
      </c>
      <c r="J26" s="735"/>
      <c r="K26" s="736" t="s">
        <v>661</v>
      </c>
      <c r="L26" s="736" t="s">
        <v>661</v>
      </c>
      <c r="M26" s="735"/>
      <c r="N26" s="736" t="s">
        <v>661</v>
      </c>
      <c r="O26" s="736" t="s">
        <v>661</v>
      </c>
      <c r="P26" s="736" t="s">
        <v>661</v>
      </c>
      <c r="Q26" s="736" t="s">
        <v>661</v>
      </c>
      <c r="R26" s="736" t="s">
        <v>661</v>
      </c>
      <c r="S26" s="736" t="s">
        <v>661</v>
      </c>
      <c r="T26" s="735"/>
      <c r="U26" s="736" t="s">
        <v>661</v>
      </c>
      <c r="V26" s="736" t="s">
        <v>661</v>
      </c>
      <c r="W26" s="736" t="s">
        <v>661</v>
      </c>
      <c r="X26" s="736" t="s">
        <v>661</v>
      </c>
      <c r="Y26" s="736" t="s">
        <v>661</v>
      </c>
      <c r="Z26" s="736" t="s">
        <v>661</v>
      </c>
      <c r="AA26" s="735"/>
      <c r="AB26" s="736" t="s">
        <v>661</v>
      </c>
      <c r="AC26" s="736" t="s">
        <v>661</v>
      </c>
      <c r="AD26" s="736" t="s">
        <v>661</v>
      </c>
      <c r="AE26" s="736" t="s">
        <v>661</v>
      </c>
      <c r="AF26" s="736" t="s">
        <v>661</v>
      </c>
      <c r="AG26" s="736" t="s">
        <v>661</v>
      </c>
      <c r="AH26" s="735"/>
      <c r="AI26" s="749">
        <f t="shared" si="0"/>
        <v>0</v>
      </c>
      <c r="AJ26" s="749">
        <f t="shared" si="1"/>
        <v>0</v>
      </c>
      <c r="AK26" s="749">
        <f t="shared" si="2"/>
        <v>0</v>
      </c>
    </row>
    <row r="27" spans="2:37">
      <c r="B27" s="724">
        <v>24</v>
      </c>
      <c r="C27" s="734" t="str">
        <f>SISWA!E29</f>
        <v>Anak 24</v>
      </c>
      <c r="D27" s="736" t="s">
        <v>661</v>
      </c>
      <c r="E27" s="736" t="s">
        <v>661</v>
      </c>
      <c r="F27" s="735"/>
      <c r="G27" s="736" t="s">
        <v>661</v>
      </c>
      <c r="H27" s="736" t="s">
        <v>661</v>
      </c>
      <c r="I27" s="736" t="s">
        <v>661</v>
      </c>
      <c r="J27" s="735"/>
      <c r="K27" s="736" t="s">
        <v>661</v>
      </c>
      <c r="L27" s="736" t="s">
        <v>661</v>
      </c>
      <c r="M27" s="735"/>
      <c r="N27" s="736" t="s">
        <v>661</v>
      </c>
      <c r="O27" s="736" t="s">
        <v>661</v>
      </c>
      <c r="P27" s="736" t="s">
        <v>661</v>
      </c>
      <c r="Q27" s="736" t="s">
        <v>661</v>
      </c>
      <c r="R27" s="736" t="s">
        <v>661</v>
      </c>
      <c r="S27" s="736" t="s">
        <v>661</v>
      </c>
      <c r="T27" s="735"/>
      <c r="U27" s="736" t="s">
        <v>661</v>
      </c>
      <c r="V27" s="736" t="s">
        <v>661</v>
      </c>
      <c r="W27" s="736" t="s">
        <v>661</v>
      </c>
      <c r="X27" s="736" t="s">
        <v>661</v>
      </c>
      <c r="Y27" s="736" t="s">
        <v>661</v>
      </c>
      <c r="Z27" s="736" t="s">
        <v>661</v>
      </c>
      <c r="AA27" s="735"/>
      <c r="AB27" s="736" t="s">
        <v>661</v>
      </c>
      <c r="AC27" s="736" t="s">
        <v>661</v>
      </c>
      <c r="AD27" s="736" t="s">
        <v>661</v>
      </c>
      <c r="AE27" s="736" t="s">
        <v>661</v>
      </c>
      <c r="AF27" s="736" t="s">
        <v>661</v>
      </c>
      <c r="AG27" s="736" t="s">
        <v>661</v>
      </c>
      <c r="AH27" s="735"/>
      <c r="AI27" s="749">
        <f t="shared" si="0"/>
        <v>0</v>
      </c>
      <c r="AJ27" s="749">
        <f t="shared" si="1"/>
        <v>0</v>
      </c>
      <c r="AK27" s="749">
        <f t="shared" si="2"/>
        <v>0</v>
      </c>
    </row>
    <row r="28" spans="2:37">
      <c r="B28" s="724">
        <v>25</v>
      </c>
      <c r="C28" s="734" t="str">
        <f>SISWA!E30</f>
        <v>Anak 25</v>
      </c>
      <c r="D28" s="736" t="s">
        <v>661</v>
      </c>
      <c r="E28" s="736" t="s">
        <v>661</v>
      </c>
      <c r="F28" s="735"/>
      <c r="G28" s="736" t="s">
        <v>661</v>
      </c>
      <c r="H28" s="736" t="s">
        <v>661</v>
      </c>
      <c r="I28" s="736" t="s">
        <v>661</v>
      </c>
      <c r="J28" s="735"/>
      <c r="K28" s="736" t="s">
        <v>661</v>
      </c>
      <c r="L28" s="736" t="s">
        <v>661</v>
      </c>
      <c r="M28" s="735"/>
      <c r="N28" s="736" t="s">
        <v>661</v>
      </c>
      <c r="O28" s="736" t="s">
        <v>661</v>
      </c>
      <c r="P28" s="736" t="s">
        <v>661</v>
      </c>
      <c r="Q28" s="736" t="s">
        <v>661</v>
      </c>
      <c r="R28" s="736" t="s">
        <v>661</v>
      </c>
      <c r="S28" s="736" t="s">
        <v>661</v>
      </c>
      <c r="T28" s="735"/>
      <c r="U28" s="736" t="s">
        <v>661</v>
      </c>
      <c r="V28" s="736" t="s">
        <v>661</v>
      </c>
      <c r="W28" s="736" t="s">
        <v>661</v>
      </c>
      <c r="X28" s="736" t="s">
        <v>661</v>
      </c>
      <c r="Y28" s="736" t="s">
        <v>661</v>
      </c>
      <c r="Z28" s="736" t="s">
        <v>661</v>
      </c>
      <c r="AA28" s="735"/>
      <c r="AB28" s="736" t="s">
        <v>661</v>
      </c>
      <c r="AC28" s="736" t="s">
        <v>661</v>
      </c>
      <c r="AD28" s="736" t="s">
        <v>661</v>
      </c>
      <c r="AE28" s="736" t="s">
        <v>661</v>
      </c>
      <c r="AF28" s="736" t="s">
        <v>661</v>
      </c>
      <c r="AG28" s="736" t="s">
        <v>661</v>
      </c>
      <c r="AH28" s="735"/>
      <c r="AI28" s="749">
        <f t="shared" si="0"/>
        <v>0</v>
      </c>
      <c r="AJ28" s="749">
        <f t="shared" si="1"/>
        <v>0</v>
      </c>
      <c r="AK28" s="749">
        <f t="shared" si="2"/>
        <v>0</v>
      </c>
    </row>
    <row r="29" spans="2:37">
      <c r="B29" s="724">
        <v>26</v>
      </c>
      <c r="C29" s="734" t="str">
        <f>SISWA!E31</f>
        <v>Anak 26</v>
      </c>
      <c r="D29" s="736" t="s">
        <v>661</v>
      </c>
      <c r="E29" s="736" t="s">
        <v>661</v>
      </c>
      <c r="F29" s="735"/>
      <c r="G29" s="736" t="s">
        <v>661</v>
      </c>
      <c r="H29" s="736" t="s">
        <v>661</v>
      </c>
      <c r="I29" s="736" t="s">
        <v>661</v>
      </c>
      <c r="J29" s="735"/>
      <c r="K29" s="736" t="s">
        <v>661</v>
      </c>
      <c r="L29" s="736" t="s">
        <v>661</v>
      </c>
      <c r="M29" s="735"/>
      <c r="N29" s="736" t="s">
        <v>661</v>
      </c>
      <c r="O29" s="736" t="s">
        <v>661</v>
      </c>
      <c r="P29" s="736" t="s">
        <v>661</v>
      </c>
      <c r="Q29" s="736" t="s">
        <v>661</v>
      </c>
      <c r="R29" s="736" t="s">
        <v>661</v>
      </c>
      <c r="S29" s="736" t="s">
        <v>661</v>
      </c>
      <c r="T29" s="735"/>
      <c r="U29" s="736" t="s">
        <v>661</v>
      </c>
      <c r="V29" s="736" t="s">
        <v>661</v>
      </c>
      <c r="W29" s="736" t="s">
        <v>661</v>
      </c>
      <c r="X29" s="736" t="s">
        <v>661</v>
      </c>
      <c r="Y29" s="736" t="s">
        <v>661</v>
      </c>
      <c r="Z29" s="736" t="s">
        <v>661</v>
      </c>
      <c r="AA29" s="735"/>
      <c r="AB29" s="736" t="s">
        <v>661</v>
      </c>
      <c r="AC29" s="736" t="s">
        <v>661</v>
      </c>
      <c r="AD29" s="736" t="s">
        <v>661</v>
      </c>
      <c r="AE29" s="736" t="s">
        <v>661</v>
      </c>
      <c r="AF29" s="736" t="s">
        <v>661</v>
      </c>
      <c r="AG29" s="736" t="s">
        <v>661</v>
      </c>
      <c r="AH29" s="735"/>
      <c r="AI29" s="749">
        <f t="shared" si="0"/>
        <v>0</v>
      </c>
      <c r="AJ29" s="749">
        <f t="shared" si="1"/>
        <v>0</v>
      </c>
      <c r="AK29" s="749">
        <f t="shared" si="2"/>
        <v>0</v>
      </c>
    </row>
    <row r="30" spans="2:37">
      <c r="B30" s="724">
        <v>27</v>
      </c>
      <c r="C30" s="734" t="str">
        <f>SISWA!E32</f>
        <v>Anak 27</v>
      </c>
      <c r="D30" s="736" t="s">
        <v>661</v>
      </c>
      <c r="E30" s="736" t="s">
        <v>661</v>
      </c>
      <c r="F30" s="735"/>
      <c r="G30" s="736" t="s">
        <v>661</v>
      </c>
      <c r="H30" s="736" t="s">
        <v>661</v>
      </c>
      <c r="I30" s="736" t="s">
        <v>661</v>
      </c>
      <c r="J30" s="735"/>
      <c r="K30" s="736" t="s">
        <v>661</v>
      </c>
      <c r="L30" s="736" t="s">
        <v>661</v>
      </c>
      <c r="M30" s="735"/>
      <c r="N30" s="736" t="s">
        <v>661</v>
      </c>
      <c r="O30" s="736" t="s">
        <v>661</v>
      </c>
      <c r="P30" s="736" t="s">
        <v>661</v>
      </c>
      <c r="Q30" s="736" t="s">
        <v>661</v>
      </c>
      <c r="R30" s="736" t="s">
        <v>661</v>
      </c>
      <c r="S30" s="736" t="s">
        <v>661</v>
      </c>
      <c r="T30" s="735"/>
      <c r="U30" s="736" t="s">
        <v>661</v>
      </c>
      <c r="V30" s="736" t="s">
        <v>661</v>
      </c>
      <c r="W30" s="736" t="s">
        <v>661</v>
      </c>
      <c r="X30" s="736" t="s">
        <v>661</v>
      </c>
      <c r="Y30" s="736" t="s">
        <v>661</v>
      </c>
      <c r="Z30" s="736" t="s">
        <v>661</v>
      </c>
      <c r="AA30" s="735"/>
      <c r="AB30" s="736" t="s">
        <v>661</v>
      </c>
      <c r="AC30" s="736" t="s">
        <v>661</v>
      </c>
      <c r="AD30" s="736" t="s">
        <v>661</v>
      </c>
      <c r="AE30" s="736" t="s">
        <v>661</v>
      </c>
      <c r="AF30" s="736" t="s">
        <v>661</v>
      </c>
      <c r="AG30" s="736" t="s">
        <v>661</v>
      </c>
      <c r="AH30" s="735"/>
      <c r="AI30" s="749">
        <f t="shared" si="0"/>
        <v>0</v>
      </c>
      <c r="AJ30" s="749">
        <f t="shared" si="1"/>
        <v>0</v>
      </c>
      <c r="AK30" s="749">
        <f t="shared" si="2"/>
        <v>0</v>
      </c>
    </row>
    <row r="31" spans="2:37">
      <c r="B31" s="724">
        <v>28</v>
      </c>
      <c r="C31" s="734" t="str">
        <f>SISWA!E33</f>
        <v>Anak 28</v>
      </c>
      <c r="D31" s="736" t="s">
        <v>661</v>
      </c>
      <c r="E31" s="736" t="s">
        <v>661</v>
      </c>
      <c r="F31" s="735"/>
      <c r="G31" s="736" t="s">
        <v>661</v>
      </c>
      <c r="H31" s="736" t="s">
        <v>661</v>
      </c>
      <c r="I31" s="736" t="s">
        <v>661</v>
      </c>
      <c r="J31" s="735"/>
      <c r="K31" s="736" t="s">
        <v>661</v>
      </c>
      <c r="L31" s="736" t="s">
        <v>661</v>
      </c>
      <c r="M31" s="735"/>
      <c r="N31" s="736" t="s">
        <v>661</v>
      </c>
      <c r="O31" s="736" t="s">
        <v>661</v>
      </c>
      <c r="P31" s="736" t="s">
        <v>661</v>
      </c>
      <c r="Q31" s="736" t="s">
        <v>661</v>
      </c>
      <c r="R31" s="736" t="s">
        <v>661</v>
      </c>
      <c r="S31" s="736" t="s">
        <v>661</v>
      </c>
      <c r="T31" s="735"/>
      <c r="U31" s="736" t="s">
        <v>661</v>
      </c>
      <c r="V31" s="736" t="s">
        <v>661</v>
      </c>
      <c r="W31" s="736" t="s">
        <v>661</v>
      </c>
      <c r="X31" s="736" t="s">
        <v>661</v>
      </c>
      <c r="Y31" s="736" t="s">
        <v>661</v>
      </c>
      <c r="Z31" s="736" t="s">
        <v>661</v>
      </c>
      <c r="AA31" s="735"/>
      <c r="AB31" s="736" t="s">
        <v>661</v>
      </c>
      <c r="AC31" s="736" t="s">
        <v>661</v>
      </c>
      <c r="AD31" s="736" t="s">
        <v>661</v>
      </c>
      <c r="AE31" s="736" t="s">
        <v>661</v>
      </c>
      <c r="AF31" s="736" t="s">
        <v>661</v>
      </c>
      <c r="AG31" s="736" t="s">
        <v>661</v>
      </c>
      <c r="AH31" s="735"/>
      <c r="AI31" s="749">
        <f t="shared" si="0"/>
        <v>0</v>
      </c>
      <c r="AJ31" s="749">
        <f t="shared" si="1"/>
        <v>0</v>
      </c>
      <c r="AK31" s="749">
        <f t="shared" si="2"/>
        <v>0</v>
      </c>
    </row>
    <row r="32" spans="2:37">
      <c r="B32" s="724">
        <v>29</v>
      </c>
      <c r="C32" s="734" t="str">
        <f>SISWA!E34</f>
        <v>Anak 29</v>
      </c>
      <c r="D32" s="736" t="s">
        <v>661</v>
      </c>
      <c r="E32" s="736" t="s">
        <v>661</v>
      </c>
      <c r="F32" s="735"/>
      <c r="G32" s="736" t="s">
        <v>661</v>
      </c>
      <c r="H32" s="736" t="s">
        <v>661</v>
      </c>
      <c r="I32" s="736" t="s">
        <v>661</v>
      </c>
      <c r="J32" s="735"/>
      <c r="K32" s="736" t="s">
        <v>661</v>
      </c>
      <c r="L32" s="736" t="s">
        <v>661</v>
      </c>
      <c r="M32" s="735"/>
      <c r="N32" s="736" t="s">
        <v>661</v>
      </c>
      <c r="O32" s="736" t="s">
        <v>661</v>
      </c>
      <c r="P32" s="736" t="s">
        <v>661</v>
      </c>
      <c r="Q32" s="736" t="s">
        <v>661</v>
      </c>
      <c r="R32" s="736" t="s">
        <v>661</v>
      </c>
      <c r="S32" s="736" t="s">
        <v>661</v>
      </c>
      <c r="T32" s="735"/>
      <c r="U32" s="736" t="s">
        <v>661</v>
      </c>
      <c r="V32" s="736" t="s">
        <v>661</v>
      </c>
      <c r="W32" s="736" t="s">
        <v>661</v>
      </c>
      <c r="X32" s="736" t="s">
        <v>661</v>
      </c>
      <c r="Y32" s="736" t="s">
        <v>661</v>
      </c>
      <c r="Z32" s="736" t="s">
        <v>661</v>
      </c>
      <c r="AA32" s="735"/>
      <c r="AB32" s="736" t="s">
        <v>661</v>
      </c>
      <c r="AC32" s="736" t="s">
        <v>661</v>
      </c>
      <c r="AD32" s="736" t="s">
        <v>661</v>
      </c>
      <c r="AE32" s="736" t="s">
        <v>661</v>
      </c>
      <c r="AF32" s="736" t="s">
        <v>661</v>
      </c>
      <c r="AG32" s="736" t="s">
        <v>661</v>
      </c>
      <c r="AH32" s="735"/>
      <c r="AI32" s="749">
        <f t="shared" si="0"/>
        <v>0</v>
      </c>
      <c r="AJ32" s="749">
        <f t="shared" si="1"/>
        <v>0</v>
      </c>
      <c r="AK32" s="749">
        <f t="shared" si="2"/>
        <v>0</v>
      </c>
    </row>
    <row r="33" spans="2:37">
      <c r="B33" s="724">
        <v>30</v>
      </c>
      <c r="C33" s="734" t="str">
        <f>SISWA!E35</f>
        <v>Anak 30</v>
      </c>
      <c r="D33" s="736" t="s">
        <v>661</v>
      </c>
      <c r="E33" s="736" t="s">
        <v>661</v>
      </c>
      <c r="F33" s="735"/>
      <c r="G33" s="736" t="s">
        <v>661</v>
      </c>
      <c r="H33" s="736" t="s">
        <v>661</v>
      </c>
      <c r="I33" s="736" t="s">
        <v>661</v>
      </c>
      <c r="J33" s="735"/>
      <c r="K33" s="736" t="s">
        <v>661</v>
      </c>
      <c r="L33" s="736" t="s">
        <v>661</v>
      </c>
      <c r="M33" s="735"/>
      <c r="N33" s="736" t="s">
        <v>661</v>
      </c>
      <c r="O33" s="736" t="s">
        <v>661</v>
      </c>
      <c r="P33" s="736" t="s">
        <v>661</v>
      </c>
      <c r="Q33" s="736" t="s">
        <v>661</v>
      </c>
      <c r="R33" s="736" t="s">
        <v>661</v>
      </c>
      <c r="S33" s="736" t="s">
        <v>661</v>
      </c>
      <c r="T33" s="735"/>
      <c r="U33" s="736" t="s">
        <v>661</v>
      </c>
      <c r="V33" s="736" t="s">
        <v>661</v>
      </c>
      <c r="W33" s="736" t="s">
        <v>661</v>
      </c>
      <c r="X33" s="736" t="s">
        <v>661</v>
      </c>
      <c r="Y33" s="736" t="s">
        <v>661</v>
      </c>
      <c r="Z33" s="736" t="s">
        <v>661</v>
      </c>
      <c r="AA33" s="735"/>
      <c r="AB33" s="736" t="s">
        <v>661</v>
      </c>
      <c r="AC33" s="736" t="s">
        <v>661</v>
      </c>
      <c r="AD33" s="736" t="s">
        <v>661</v>
      </c>
      <c r="AE33" s="736" t="s">
        <v>661</v>
      </c>
      <c r="AF33" s="736" t="s">
        <v>661</v>
      </c>
      <c r="AG33" s="736" t="s">
        <v>661</v>
      </c>
      <c r="AH33" s="735"/>
      <c r="AI33" s="749">
        <f t="shared" si="0"/>
        <v>0</v>
      </c>
      <c r="AJ33" s="749">
        <f t="shared" si="1"/>
        <v>0</v>
      </c>
      <c r="AK33" s="749">
        <f t="shared" si="2"/>
        <v>0</v>
      </c>
    </row>
    <row r="34" spans="2:37">
      <c r="B34" s="724">
        <v>31</v>
      </c>
      <c r="C34" s="734" t="str">
        <f>SISWA!E36</f>
        <v>Anak 31</v>
      </c>
      <c r="D34" s="736" t="s">
        <v>661</v>
      </c>
      <c r="E34" s="736" t="s">
        <v>661</v>
      </c>
      <c r="F34" s="735"/>
      <c r="G34" s="736" t="s">
        <v>661</v>
      </c>
      <c r="H34" s="736" t="s">
        <v>661</v>
      </c>
      <c r="I34" s="736" t="s">
        <v>661</v>
      </c>
      <c r="J34" s="735"/>
      <c r="K34" s="736" t="s">
        <v>661</v>
      </c>
      <c r="L34" s="736" t="s">
        <v>661</v>
      </c>
      <c r="M34" s="735"/>
      <c r="N34" s="736" t="s">
        <v>661</v>
      </c>
      <c r="O34" s="736" t="s">
        <v>661</v>
      </c>
      <c r="P34" s="736" t="s">
        <v>661</v>
      </c>
      <c r="Q34" s="736" t="s">
        <v>661</v>
      </c>
      <c r="R34" s="736" t="s">
        <v>661</v>
      </c>
      <c r="S34" s="736" t="s">
        <v>661</v>
      </c>
      <c r="T34" s="735"/>
      <c r="U34" s="736" t="s">
        <v>661</v>
      </c>
      <c r="V34" s="736" t="s">
        <v>661</v>
      </c>
      <c r="W34" s="736" t="s">
        <v>661</v>
      </c>
      <c r="X34" s="736" t="s">
        <v>661</v>
      </c>
      <c r="Y34" s="736" t="s">
        <v>661</v>
      </c>
      <c r="Z34" s="736" t="s">
        <v>661</v>
      </c>
      <c r="AA34" s="735"/>
      <c r="AB34" s="736" t="s">
        <v>661</v>
      </c>
      <c r="AC34" s="736" t="s">
        <v>661</v>
      </c>
      <c r="AD34" s="736" t="s">
        <v>661</v>
      </c>
      <c r="AE34" s="736" t="s">
        <v>661</v>
      </c>
      <c r="AF34" s="736" t="s">
        <v>661</v>
      </c>
      <c r="AG34" s="736" t="s">
        <v>661</v>
      </c>
      <c r="AH34" s="735"/>
      <c r="AI34" s="749">
        <f t="shared" si="0"/>
        <v>0</v>
      </c>
      <c r="AJ34" s="749">
        <f t="shared" si="1"/>
        <v>0</v>
      </c>
      <c r="AK34" s="749">
        <f t="shared" si="2"/>
        <v>0</v>
      </c>
    </row>
    <row r="35" spans="2:37">
      <c r="B35" s="724">
        <v>32</v>
      </c>
      <c r="C35" s="734" t="str">
        <f>SISWA!E37</f>
        <v>Anak 32</v>
      </c>
      <c r="D35" s="736" t="s">
        <v>661</v>
      </c>
      <c r="E35" s="736" t="s">
        <v>661</v>
      </c>
      <c r="F35" s="735"/>
      <c r="G35" s="736" t="s">
        <v>661</v>
      </c>
      <c r="H35" s="736" t="s">
        <v>661</v>
      </c>
      <c r="I35" s="736" t="s">
        <v>661</v>
      </c>
      <c r="J35" s="735"/>
      <c r="K35" s="736" t="s">
        <v>661</v>
      </c>
      <c r="L35" s="736" t="s">
        <v>661</v>
      </c>
      <c r="M35" s="735"/>
      <c r="N35" s="736" t="s">
        <v>661</v>
      </c>
      <c r="O35" s="736" t="s">
        <v>661</v>
      </c>
      <c r="P35" s="736" t="s">
        <v>661</v>
      </c>
      <c r="Q35" s="736" t="s">
        <v>661</v>
      </c>
      <c r="R35" s="736" t="s">
        <v>661</v>
      </c>
      <c r="S35" s="736" t="s">
        <v>661</v>
      </c>
      <c r="T35" s="735"/>
      <c r="U35" s="736" t="s">
        <v>661</v>
      </c>
      <c r="V35" s="736" t="s">
        <v>661</v>
      </c>
      <c r="W35" s="736" t="s">
        <v>661</v>
      </c>
      <c r="X35" s="736" t="s">
        <v>661</v>
      </c>
      <c r="Y35" s="736" t="s">
        <v>661</v>
      </c>
      <c r="Z35" s="736" t="s">
        <v>661</v>
      </c>
      <c r="AA35" s="735"/>
      <c r="AB35" s="736" t="s">
        <v>661</v>
      </c>
      <c r="AC35" s="736" t="s">
        <v>661</v>
      </c>
      <c r="AD35" s="736" t="s">
        <v>661</v>
      </c>
      <c r="AE35" s="736" t="s">
        <v>661</v>
      </c>
      <c r="AF35" s="736" t="s">
        <v>661</v>
      </c>
      <c r="AG35" s="736" t="s">
        <v>661</v>
      </c>
      <c r="AH35" s="735"/>
      <c r="AI35" s="749">
        <f t="shared" si="0"/>
        <v>0</v>
      </c>
      <c r="AJ35" s="749">
        <f t="shared" si="1"/>
        <v>0</v>
      </c>
      <c r="AK35" s="749">
        <f t="shared" si="2"/>
        <v>0</v>
      </c>
    </row>
    <row r="36" spans="2:37">
      <c r="B36" s="724">
        <v>33</v>
      </c>
      <c r="C36" s="734" t="str">
        <f>SISWA!E38</f>
        <v>Anak 33</v>
      </c>
      <c r="D36" s="736" t="s">
        <v>661</v>
      </c>
      <c r="E36" s="736" t="s">
        <v>661</v>
      </c>
      <c r="F36" s="735"/>
      <c r="G36" s="736" t="s">
        <v>661</v>
      </c>
      <c r="H36" s="736" t="s">
        <v>661</v>
      </c>
      <c r="I36" s="736" t="s">
        <v>661</v>
      </c>
      <c r="J36" s="735"/>
      <c r="K36" s="736" t="s">
        <v>661</v>
      </c>
      <c r="L36" s="736" t="s">
        <v>661</v>
      </c>
      <c r="M36" s="735"/>
      <c r="N36" s="736" t="s">
        <v>661</v>
      </c>
      <c r="O36" s="736" t="s">
        <v>661</v>
      </c>
      <c r="P36" s="736" t="s">
        <v>661</v>
      </c>
      <c r="Q36" s="736" t="s">
        <v>661</v>
      </c>
      <c r="R36" s="736" t="s">
        <v>661</v>
      </c>
      <c r="S36" s="736" t="s">
        <v>661</v>
      </c>
      <c r="T36" s="735"/>
      <c r="U36" s="736" t="s">
        <v>661</v>
      </c>
      <c r="V36" s="736" t="s">
        <v>661</v>
      </c>
      <c r="W36" s="736" t="s">
        <v>661</v>
      </c>
      <c r="X36" s="736" t="s">
        <v>661</v>
      </c>
      <c r="Y36" s="736" t="s">
        <v>661</v>
      </c>
      <c r="Z36" s="736" t="s">
        <v>661</v>
      </c>
      <c r="AA36" s="735"/>
      <c r="AB36" s="736" t="s">
        <v>661</v>
      </c>
      <c r="AC36" s="736" t="s">
        <v>661</v>
      </c>
      <c r="AD36" s="736" t="s">
        <v>661</v>
      </c>
      <c r="AE36" s="736" t="s">
        <v>661</v>
      </c>
      <c r="AF36" s="736" t="s">
        <v>661</v>
      </c>
      <c r="AG36" s="736" t="s">
        <v>661</v>
      </c>
      <c r="AH36" s="735"/>
      <c r="AI36" s="749">
        <f t="shared" si="0"/>
        <v>0</v>
      </c>
      <c r="AJ36" s="749">
        <f t="shared" si="1"/>
        <v>0</v>
      </c>
      <c r="AK36" s="749">
        <f t="shared" si="2"/>
        <v>0</v>
      </c>
    </row>
    <row r="37" spans="2:37">
      <c r="B37" s="724">
        <v>34</v>
      </c>
      <c r="C37" s="734" t="str">
        <f>SISWA!E39</f>
        <v>Anak 34</v>
      </c>
      <c r="D37" s="736" t="s">
        <v>661</v>
      </c>
      <c r="E37" s="736" t="s">
        <v>661</v>
      </c>
      <c r="F37" s="735"/>
      <c r="G37" s="736" t="s">
        <v>661</v>
      </c>
      <c r="H37" s="736" t="s">
        <v>661</v>
      </c>
      <c r="I37" s="736" t="s">
        <v>661</v>
      </c>
      <c r="J37" s="735"/>
      <c r="K37" s="736" t="s">
        <v>661</v>
      </c>
      <c r="L37" s="736" t="s">
        <v>661</v>
      </c>
      <c r="M37" s="735"/>
      <c r="N37" s="736" t="s">
        <v>661</v>
      </c>
      <c r="O37" s="736" t="s">
        <v>661</v>
      </c>
      <c r="P37" s="736" t="s">
        <v>661</v>
      </c>
      <c r="Q37" s="736" t="s">
        <v>661</v>
      </c>
      <c r="R37" s="736" t="s">
        <v>661</v>
      </c>
      <c r="S37" s="736" t="s">
        <v>661</v>
      </c>
      <c r="T37" s="735"/>
      <c r="U37" s="736" t="s">
        <v>661</v>
      </c>
      <c r="V37" s="736" t="s">
        <v>661</v>
      </c>
      <c r="W37" s="736" t="s">
        <v>661</v>
      </c>
      <c r="X37" s="736" t="s">
        <v>661</v>
      </c>
      <c r="Y37" s="736" t="s">
        <v>661</v>
      </c>
      <c r="Z37" s="736" t="s">
        <v>661</v>
      </c>
      <c r="AA37" s="735"/>
      <c r="AB37" s="736" t="s">
        <v>661</v>
      </c>
      <c r="AC37" s="736" t="s">
        <v>661</v>
      </c>
      <c r="AD37" s="736" t="s">
        <v>661</v>
      </c>
      <c r="AE37" s="736" t="s">
        <v>661</v>
      </c>
      <c r="AF37" s="736" t="s">
        <v>661</v>
      </c>
      <c r="AG37" s="736" t="s">
        <v>661</v>
      </c>
      <c r="AH37" s="735"/>
      <c r="AI37" s="749">
        <f t="shared" si="0"/>
        <v>0</v>
      </c>
      <c r="AJ37" s="749">
        <f t="shared" si="1"/>
        <v>0</v>
      </c>
      <c r="AK37" s="749">
        <f t="shared" si="2"/>
        <v>0</v>
      </c>
    </row>
    <row r="38" spans="2:37">
      <c r="B38" s="724">
        <v>35</v>
      </c>
      <c r="C38" s="734" t="str">
        <f>SISWA!E40</f>
        <v>Anak 35</v>
      </c>
      <c r="D38" s="736" t="s">
        <v>661</v>
      </c>
      <c r="E38" s="736" t="s">
        <v>661</v>
      </c>
      <c r="F38" s="735"/>
      <c r="G38" s="736" t="s">
        <v>661</v>
      </c>
      <c r="H38" s="736" t="s">
        <v>661</v>
      </c>
      <c r="I38" s="736" t="s">
        <v>661</v>
      </c>
      <c r="J38" s="735"/>
      <c r="K38" s="736" t="s">
        <v>661</v>
      </c>
      <c r="L38" s="736" t="s">
        <v>661</v>
      </c>
      <c r="M38" s="735"/>
      <c r="N38" s="736" t="s">
        <v>661</v>
      </c>
      <c r="O38" s="736" t="s">
        <v>661</v>
      </c>
      <c r="P38" s="736" t="s">
        <v>661</v>
      </c>
      <c r="Q38" s="736" t="s">
        <v>661</v>
      </c>
      <c r="R38" s="736" t="s">
        <v>661</v>
      </c>
      <c r="S38" s="736" t="s">
        <v>661</v>
      </c>
      <c r="T38" s="735"/>
      <c r="U38" s="736" t="s">
        <v>661</v>
      </c>
      <c r="V38" s="736" t="s">
        <v>661</v>
      </c>
      <c r="W38" s="736" t="s">
        <v>661</v>
      </c>
      <c r="X38" s="736" t="s">
        <v>661</v>
      </c>
      <c r="Y38" s="736" t="s">
        <v>661</v>
      </c>
      <c r="Z38" s="736" t="s">
        <v>661</v>
      </c>
      <c r="AA38" s="735"/>
      <c r="AB38" s="736" t="s">
        <v>661</v>
      </c>
      <c r="AC38" s="736" t="s">
        <v>661</v>
      </c>
      <c r="AD38" s="736" t="s">
        <v>661</v>
      </c>
      <c r="AE38" s="736" t="s">
        <v>661</v>
      </c>
      <c r="AF38" s="736" t="s">
        <v>661</v>
      </c>
      <c r="AG38" s="736" t="s">
        <v>661</v>
      </c>
      <c r="AH38" s="735"/>
      <c r="AI38" s="749">
        <f t="shared" si="0"/>
        <v>0</v>
      </c>
      <c r="AJ38" s="749">
        <f t="shared" si="1"/>
        <v>0</v>
      </c>
      <c r="AK38" s="749">
        <f t="shared" si="2"/>
        <v>0</v>
      </c>
    </row>
    <row r="39" spans="2:37">
      <c r="B39" s="724">
        <v>36</v>
      </c>
      <c r="C39" s="734" t="str">
        <f>SISWA!E41</f>
        <v>Anak 36</v>
      </c>
      <c r="D39" s="736" t="s">
        <v>661</v>
      </c>
      <c r="E39" s="736" t="s">
        <v>661</v>
      </c>
      <c r="F39" s="735"/>
      <c r="G39" s="736" t="s">
        <v>661</v>
      </c>
      <c r="H39" s="736" t="s">
        <v>661</v>
      </c>
      <c r="I39" s="736" t="s">
        <v>661</v>
      </c>
      <c r="J39" s="735"/>
      <c r="K39" s="736" t="s">
        <v>661</v>
      </c>
      <c r="L39" s="736" t="s">
        <v>661</v>
      </c>
      <c r="M39" s="735"/>
      <c r="N39" s="736" t="s">
        <v>661</v>
      </c>
      <c r="O39" s="736" t="s">
        <v>661</v>
      </c>
      <c r="P39" s="736" t="s">
        <v>661</v>
      </c>
      <c r="Q39" s="736" t="s">
        <v>661</v>
      </c>
      <c r="R39" s="736" t="s">
        <v>661</v>
      </c>
      <c r="S39" s="736" t="s">
        <v>661</v>
      </c>
      <c r="T39" s="735"/>
      <c r="U39" s="736" t="s">
        <v>661</v>
      </c>
      <c r="V39" s="736" t="s">
        <v>661</v>
      </c>
      <c r="W39" s="736" t="s">
        <v>661</v>
      </c>
      <c r="X39" s="736" t="s">
        <v>661</v>
      </c>
      <c r="Y39" s="736" t="s">
        <v>661</v>
      </c>
      <c r="Z39" s="736" t="s">
        <v>661</v>
      </c>
      <c r="AA39" s="735"/>
      <c r="AB39" s="736" t="s">
        <v>661</v>
      </c>
      <c r="AC39" s="736" t="s">
        <v>661</v>
      </c>
      <c r="AD39" s="736" t="s">
        <v>661</v>
      </c>
      <c r="AE39" s="736" t="s">
        <v>661</v>
      </c>
      <c r="AF39" s="736" t="s">
        <v>661</v>
      </c>
      <c r="AG39" s="736" t="s">
        <v>661</v>
      </c>
      <c r="AH39" s="735"/>
      <c r="AI39" s="749">
        <f t="shared" si="0"/>
        <v>0</v>
      </c>
      <c r="AJ39" s="749">
        <f t="shared" si="1"/>
        <v>0</v>
      </c>
      <c r="AK39" s="749">
        <f t="shared" si="2"/>
        <v>0</v>
      </c>
    </row>
    <row r="40" spans="2:37">
      <c r="B40" s="724">
        <v>37</v>
      </c>
      <c r="C40" s="734" t="str">
        <f>SISWA!E42</f>
        <v>Anak 37</v>
      </c>
      <c r="D40" s="736" t="s">
        <v>661</v>
      </c>
      <c r="E40" s="736" t="s">
        <v>661</v>
      </c>
      <c r="F40" s="735"/>
      <c r="G40" s="736" t="s">
        <v>661</v>
      </c>
      <c r="H40" s="736" t="s">
        <v>661</v>
      </c>
      <c r="I40" s="736" t="s">
        <v>661</v>
      </c>
      <c r="J40" s="735"/>
      <c r="K40" s="736" t="s">
        <v>661</v>
      </c>
      <c r="L40" s="736" t="s">
        <v>661</v>
      </c>
      <c r="M40" s="735"/>
      <c r="N40" s="736" t="s">
        <v>661</v>
      </c>
      <c r="O40" s="736" t="s">
        <v>661</v>
      </c>
      <c r="P40" s="736" t="s">
        <v>661</v>
      </c>
      <c r="Q40" s="736" t="s">
        <v>661</v>
      </c>
      <c r="R40" s="736" t="s">
        <v>661</v>
      </c>
      <c r="S40" s="736" t="s">
        <v>661</v>
      </c>
      <c r="T40" s="735"/>
      <c r="U40" s="736" t="s">
        <v>661</v>
      </c>
      <c r="V40" s="736" t="s">
        <v>661</v>
      </c>
      <c r="W40" s="736" t="s">
        <v>661</v>
      </c>
      <c r="X40" s="736" t="s">
        <v>661</v>
      </c>
      <c r="Y40" s="736" t="s">
        <v>661</v>
      </c>
      <c r="Z40" s="736" t="s">
        <v>661</v>
      </c>
      <c r="AA40" s="735"/>
      <c r="AB40" s="736" t="s">
        <v>661</v>
      </c>
      <c r="AC40" s="736" t="s">
        <v>661</v>
      </c>
      <c r="AD40" s="736" t="s">
        <v>661</v>
      </c>
      <c r="AE40" s="736" t="s">
        <v>661</v>
      </c>
      <c r="AF40" s="736" t="s">
        <v>661</v>
      </c>
      <c r="AG40" s="736" t="s">
        <v>661</v>
      </c>
      <c r="AH40" s="735"/>
      <c r="AI40" s="749">
        <f t="shared" si="0"/>
        <v>0</v>
      </c>
      <c r="AJ40" s="749">
        <f t="shared" si="1"/>
        <v>0</v>
      </c>
      <c r="AK40" s="749">
        <f t="shared" si="2"/>
        <v>0</v>
      </c>
    </row>
    <row r="41" spans="2:37">
      <c r="B41" s="724">
        <v>38</v>
      </c>
      <c r="C41" s="734" t="str">
        <f>SISWA!E43</f>
        <v>Anak 38</v>
      </c>
      <c r="D41" s="736" t="s">
        <v>661</v>
      </c>
      <c r="E41" s="736" t="s">
        <v>661</v>
      </c>
      <c r="F41" s="735"/>
      <c r="G41" s="736" t="s">
        <v>661</v>
      </c>
      <c r="H41" s="736" t="s">
        <v>661</v>
      </c>
      <c r="I41" s="736" t="s">
        <v>661</v>
      </c>
      <c r="J41" s="735"/>
      <c r="K41" s="736" t="s">
        <v>661</v>
      </c>
      <c r="L41" s="736" t="s">
        <v>661</v>
      </c>
      <c r="M41" s="735"/>
      <c r="N41" s="736" t="s">
        <v>661</v>
      </c>
      <c r="O41" s="736" t="s">
        <v>661</v>
      </c>
      <c r="P41" s="736" t="s">
        <v>661</v>
      </c>
      <c r="Q41" s="736" t="s">
        <v>661</v>
      </c>
      <c r="R41" s="736" t="s">
        <v>661</v>
      </c>
      <c r="S41" s="736" t="s">
        <v>661</v>
      </c>
      <c r="T41" s="735"/>
      <c r="U41" s="736" t="s">
        <v>661</v>
      </c>
      <c r="V41" s="736" t="s">
        <v>661</v>
      </c>
      <c r="W41" s="736" t="s">
        <v>661</v>
      </c>
      <c r="X41" s="736" t="s">
        <v>661</v>
      </c>
      <c r="Y41" s="736" t="s">
        <v>661</v>
      </c>
      <c r="Z41" s="736" t="s">
        <v>661</v>
      </c>
      <c r="AA41" s="735"/>
      <c r="AB41" s="736" t="s">
        <v>661</v>
      </c>
      <c r="AC41" s="736" t="s">
        <v>661</v>
      </c>
      <c r="AD41" s="736" t="s">
        <v>661</v>
      </c>
      <c r="AE41" s="736" t="s">
        <v>661</v>
      </c>
      <c r="AF41" s="736" t="s">
        <v>661</v>
      </c>
      <c r="AG41" s="736" t="s">
        <v>661</v>
      </c>
      <c r="AH41" s="735"/>
      <c r="AI41" s="749">
        <f t="shared" si="0"/>
        <v>0</v>
      </c>
      <c r="AJ41" s="749">
        <f t="shared" si="1"/>
        <v>0</v>
      </c>
      <c r="AK41" s="749">
        <f t="shared" si="2"/>
        <v>0</v>
      </c>
    </row>
    <row r="42" spans="2:37">
      <c r="B42" s="724">
        <v>39</v>
      </c>
      <c r="C42" s="734" t="str">
        <f>SISWA!E44</f>
        <v>Anak 39</v>
      </c>
      <c r="D42" s="736" t="s">
        <v>661</v>
      </c>
      <c r="E42" s="736" t="s">
        <v>661</v>
      </c>
      <c r="F42" s="735"/>
      <c r="G42" s="736" t="s">
        <v>661</v>
      </c>
      <c r="H42" s="736" t="s">
        <v>661</v>
      </c>
      <c r="I42" s="736" t="s">
        <v>661</v>
      </c>
      <c r="J42" s="735"/>
      <c r="K42" s="736" t="s">
        <v>661</v>
      </c>
      <c r="L42" s="736" t="s">
        <v>661</v>
      </c>
      <c r="M42" s="735"/>
      <c r="N42" s="736" t="s">
        <v>661</v>
      </c>
      <c r="O42" s="736" t="s">
        <v>661</v>
      </c>
      <c r="P42" s="736" t="s">
        <v>661</v>
      </c>
      <c r="Q42" s="736" t="s">
        <v>661</v>
      </c>
      <c r="R42" s="736" t="s">
        <v>661</v>
      </c>
      <c r="S42" s="736" t="s">
        <v>661</v>
      </c>
      <c r="T42" s="735"/>
      <c r="U42" s="736" t="s">
        <v>661</v>
      </c>
      <c r="V42" s="736" t="s">
        <v>661</v>
      </c>
      <c r="W42" s="736" t="s">
        <v>661</v>
      </c>
      <c r="X42" s="736" t="s">
        <v>661</v>
      </c>
      <c r="Y42" s="736" t="s">
        <v>661</v>
      </c>
      <c r="Z42" s="736" t="s">
        <v>661</v>
      </c>
      <c r="AA42" s="735"/>
      <c r="AB42" s="736" t="s">
        <v>661</v>
      </c>
      <c r="AC42" s="736" t="s">
        <v>661</v>
      </c>
      <c r="AD42" s="736" t="s">
        <v>661</v>
      </c>
      <c r="AE42" s="736" t="s">
        <v>661</v>
      </c>
      <c r="AF42" s="736" t="s">
        <v>661</v>
      </c>
      <c r="AG42" s="736" t="s">
        <v>661</v>
      </c>
      <c r="AH42" s="735"/>
      <c r="AI42" s="749">
        <f t="shared" si="0"/>
        <v>0</v>
      </c>
      <c r="AJ42" s="749">
        <f t="shared" si="1"/>
        <v>0</v>
      </c>
      <c r="AK42" s="749">
        <f t="shared" si="2"/>
        <v>0</v>
      </c>
    </row>
    <row r="43" spans="2:37">
      <c r="B43" s="724">
        <v>40</v>
      </c>
      <c r="C43" s="734" t="str">
        <f>SISWA!E45</f>
        <v>Anak 40</v>
      </c>
      <c r="D43" s="736" t="s">
        <v>661</v>
      </c>
      <c r="E43" s="736" t="s">
        <v>661</v>
      </c>
      <c r="F43" s="735"/>
      <c r="G43" s="736" t="s">
        <v>661</v>
      </c>
      <c r="H43" s="736" t="s">
        <v>661</v>
      </c>
      <c r="I43" s="736" t="s">
        <v>661</v>
      </c>
      <c r="J43" s="735"/>
      <c r="K43" s="736" t="s">
        <v>661</v>
      </c>
      <c r="L43" s="736" t="s">
        <v>661</v>
      </c>
      <c r="M43" s="735"/>
      <c r="N43" s="736" t="s">
        <v>661</v>
      </c>
      <c r="O43" s="736" t="s">
        <v>661</v>
      </c>
      <c r="P43" s="736" t="s">
        <v>661</v>
      </c>
      <c r="Q43" s="736" t="s">
        <v>661</v>
      </c>
      <c r="R43" s="736" t="s">
        <v>661</v>
      </c>
      <c r="S43" s="736" t="s">
        <v>661</v>
      </c>
      <c r="T43" s="735"/>
      <c r="U43" s="736" t="s">
        <v>661</v>
      </c>
      <c r="V43" s="736" t="s">
        <v>661</v>
      </c>
      <c r="W43" s="736" t="s">
        <v>661</v>
      </c>
      <c r="X43" s="736" t="s">
        <v>661</v>
      </c>
      <c r="Y43" s="736" t="s">
        <v>661</v>
      </c>
      <c r="Z43" s="736" t="s">
        <v>661</v>
      </c>
      <c r="AA43" s="735"/>
      <c r="AB43" s="736" t="s">
        <v>661</v>
      </c>
      <c r="AC43" s="736" t="s">
        <v>661</v>
      </c>
      <c r="AD43" s="736" t="s">
        <v>661</v>
      </c>
      <c r="AE43" s="736" t="s">
        <v>661</v>
      </c>
      <c r="AF43" s="736" t="s">
        <v>661</v>
      </c>
      <c r="AG43" s="736" t="s">
        <v>661</v>
      </c>
      <c r="AH43" s="735"/>
      <c r="AI43" s="749">
        <f t="shared" si="0"/>
        <v>0</v>
      </c>
      <c r="AJ43" s="749">
        <f t="shared" si="1"/>
        <v>0</v>
      </c>
      <c r="AK43" s="749">
        <f t="shared" si="2"/>
        <v>0</v>
      </c>
    </row>
    <row r="44" spans="2:37">
      <c r="B44" s="724">
        <v>41</v>
      </c>
      <c r="C44" s="734" t="str">
        <f>SISWA!E46</f>
        <v>Anak 41</v>
      </c>
      <c r="D44" s="736" t="s">
        <v>661</v>
      </c>
      <c r="E44" s="736" t="s">
        <v>661</v>
      </c>
      <c r="F44" s="735"/>
      <c r="G44" s="736" t="s">
        <v>661</v>
      </c>
      <c r="H44" s="736" t="s">
        <v>661</v>
      </c>
      <c r="I44" s="736" t="s">
        <v>661</v>
      </c>
      <c r="J44" s="735"/>
      <c r="K44" s="736" t="s">
        <v>661</v>
      </c>
      <c r="L44" s="736" t="s">
        <v>661</v>
      </c>
      <c r="M44" s="735"/>
      <c r="N44" s="736" t="s">
        <v>661</v>
      </c>
      <c r="O44" s="736" t="s">
        <v>661</v>
      </c>
      <c r="P44" s="736" t="s">
        <v>661</v>
      </c>
      <c r="Q44" s="736" t="s">
        <v>661</v>
      </c>
      <c r="R44" s="736" t="s">
        <v>661</v>
      </c>
      <c r="S44" s="736" t="s">
        <v>661</v>
      </c>
      <c r="T44" s="735"/>
      <c r="U44" s="736" t="s">
        <v>661</v>
      </c>
      <c r="V44" s="736" t="s">
        <v>661</v>
      </c>
      <c r="W44" s="736" t="s">
        <v>661</v>
      </c>
      <c r="X44" s="736" t="s">
        <v>661</v>
      </c>
      <c r="Y44" s="736" t="s">
        <v>661</v>
      </c>
      <c r="Z44" s="736" t="s">
        <v>661</v>
      </c>
      <c r="AA44" s="735"/>
      <c r="AB44" s="736" t="s">
        <v>661</v>
      </c>
      <c r="AC44" s="736" t="s">
        <v>661</v>
      </c>
      <c r="AD44" s="736" t="s">
        <v>661</v>
      </c>
      <c r="AE44" s="736" t="s">
        <v>661</v>
      </c>
      <c r="AF44" s="736" t="s">
        <v>661</v>
      </c>
      <c r="AG44" s="736" t="s">
        <v>661</v>
      </c>
      <c r="AH44" s="735"/>
      <c r="AI44" s="749">
        <f t="shared" si="0"/>
        <v>0</v>
      </c>
      <c r="AJ44" s="749">
        <f t="shared" si="1"/>
        <v>0</v>
      </c>
      <c r="AK44" s="749">
        <f t="shared" si="2"/>
        <v>0</v>
      </c>
    </row>
    <row r="45" spans="2:37">
      <c r="B45" s="724">
        <v>42</v>
      </c>
      <c r="C45" s="734" t="str">
        <f>SISWA!E47</f>
        <v>Anak 42</v>
      </c>
      <c r="D45" s="736" t="s">
        <v>661</v>
      </c>
      <c r="E45" s="736" t="s">
        <v>661</v>
      </c>
      <c r="F45" s="735"/>
      <c r="G45" s="736" t="s">
        <v>661</v>
      </c>
      <c r="H45" s="736" t="s">
        <v>661</v>
      </c>
      <c r="I45" s="736" t="s">
        <v>661</v>
      </c>
      <c r="J45" s="735"/>
      <c r="K45" s="736" t="s">
        <v>661</v>
      </c>
      <c r="L45" s="736" t="s">
        <v>661</v>
      </c>
      <c r="M45" s="735"/>
      <c r="N45" s="736" t="s">
        <v>661</v>
      </c>
      <c r="O45" s="736" t="s">
        <v>661</v>
      </c>
      <c r="P45" s="736" t="s">
        <v>661</v>
      </c>
      <c r="Q45" s="736" t="s">
        <v>661</v>
      </c>
      <c r="R45" s="736" t="s">
        <v>661</v>
      </c>
      <c r="S45" s="736" t="s">
        <v>661</v>
      </c>
      <c r="T45" s="735"/>
      <c r="U45" s="736" t="s">
        <v>661</v>
      </c>
      <c r="V45" s="736" t="s">
        <v>661</v>
      </c>
      <c r="W45" s="736" t="s">
        <v>661</v>
      </c>
      <c r="X45" s="736" t="s">
        <v>661</v>
      </c>
      <c r="Y45" s="736" t="s">
        <v>661</v>
      </c>
      <c r="Z45" s="736" t="s">
        <v>661</v>
      </c>
      <c r="AA45" s="735"/>
      <c r="AB45" s="736" t="s">
        <v>661</v>
      </c>
      <c r="AC45" s="736" t="s">
        <v>661</v>
      </c>
      <c r="AD45" s="736" t="s">
        <v>661</v>
      </c>
      <c r="AE45" s="736" t="s">
        <v>661</v>
      </c>
      <c r="AF45" s="736" t="s">
        <v>661</v>
      </c>
      <c r="AG45" s="736" t="s">
        <v>661</v>
      </c>
      <c r="AH45" s="735"/>
      <c r="AI45" s="749">
        <f t="shared" si="0"/>
        <v>0</v>
      </c>
      <c r="AJ45" s="749">
        <f t="shared" si="1"/>
        <v>0</v>
      </c>
      <c r="AK45" s="749">
        <f t="shared" si="2"/>
        <v>0</v>
      </c>
    </row>
    <row r="46" spans="2:37">
      <c r="B46" s="724">
        <v>43</v>
      </c>
      <c r="C46" s="734" t="str">
        <f>SISWA!E48</f>
        <v>Anak 43</v>
      </c>
      <c r="D46" s="736" t="s">
        <v>661</v>
      </c>
      <c r="E46" s="736" t="s">
        <v>661</v>
      </c>
      <c r="F46" s="735"/>
      <c r="G46" s="736" t="s">
        <v>661</v>
      </c>
      <c r="H46" s="736" t="s">
        <v>661</v>
      </c>
      <c r="I46" s="736" t="s">
        <v>661</v>
      </c>
      <c r="J46" s="735"/>
      <c r="K46" s="736" t="s">
        <v>661</v>
      </c>
      <c r="L46" s="736" t="s">
        <v>661</v>
      </c>
      <c r="M46" s="735"/>
      <c r="N46" s="736" t="s">
        <v>661</v>
      </c>
      <c r="O46" s="736" t="s">
        <v>661</v>
      </c>
      <c r="P46" s="736" t="s">
        <v>661</v>
      </c>
      <c r="Q46" s="736" t="s">
        <v>661</v>
      </c>
      <c r="R46" s="736" t="s">
        <v>661</v>
      </c>
      <c r="S46" s="736" t="s">
        <v>661</v>
      </c>
      <c r="T46" s="735"/>
      <c r="U46" s="736" t="s">
        <v>661</v>
      </c>
      <c r="V46" s="736" t="s">
        <v>661</v>
      </c>
      <c r="W46" s="736" t="s">
        <v>661</v>
      </c>
      <c r="X46" s="736" t="s">
        <v>661</v>
      </c>
      <c r="Y46" s="736" t="s">
        <v>661</v>
      </c>
      <c r="Z46" s="736" t="s">
        <v>661</v>
      </c>
      <c r="AA46" s="735"/>
      <c r="AB46" s="736" t="s">
        <v>661</v>
      </c>
      <c r="AC46" s="736" t="s">
        <v>661</v>
      </c>
      <c r="AD46" s="736" t="s">
        <v>661</v>
      </c>
      <c r="AE46" s="736" t="s">
        <v>661</v>
      </c>
      <c r="AF46" s="736" t="s">
        <v>661</v>
      </c>
      <c r="AG46" s="736" t="s">
        <v>661</v>
      </c>
      <c r="AH46" s="735"/>
      <c r="AI46" s="749">
        <f t="shared" si="0"/>
        <v>0</v>
      </c>
      <c r="AJ46" s="749">
        <f t="shared" si="1"/>
        <v>0</v>
      </c>
      <c r="AK46" s="749">
        <f t="shared" si="2"/>
        <v>0</v>
      </c>
    </row>
    <row r="47" spans="2:37">
      <c r="B47" s="724">
        <v>44</v>
      </c>
      <c r="C47" s="734" t="str">
        <f>SISWA!E49</f>
        <v>Anak 44</v>
      </c>
      <c r="D47" s="736" t="s">
        <v>661</v>
      </c>
      <c r="E47" s="736" t="s">
        <v>661</v>
      </c>
      <c r="F47" s="735"/>
      <c r="G47" s="736" t="s">
        <v>661</v>
      </c>
      <c r="H47" s="736" t="s">
        <v>661</v>
      </c>
      <c r="I47" s="736" t="s">
        <v>661</v>
      </c>
      <c r="J47" s="735"/>
      <c r="K47" s="736" t="s">
        <v>661</v>
      </c>
      <c r="L47" s="736" t="s">
        <v>661</v>
      </c>
      <c r="M47" s="735"/>
      <c r="N47" s="736" t="s">
        <v>661</v>
      </c>
      <c r="O47" s="736" t="s">
        <v>661</v>
      </c>
      <c r="P47" s="736" t="s">
        <v>661</v>
      </c>
      <c r="Q47" s="736" t="s">
        <v>661</v>
      </c>
      <c r="R47" s="736" t="s">
        <v>661</v>
      </c>
      <c r="S47" s="736" t="s">
        <v>661</v>
      </c>
      <c r="T47" s="735"/>
      <c r="U47" s="736" t="s">
        <v>661</v>
      </c>
      <c r="V47" s="736" t="s">
        <v>661</v>
      </c>
      <c r="W47" s="736" t="s">
        <v>661</v>
      </c>
      <c r="X47" s="736" t="s">
        <v>661</v>
      </c>
      <c r="Y47" s="736" t="s">
        <v>661</v>
      </c>
      <c r="Z47" s="736" t="s">
        <v>661</v>
      </c>
      <c r="AA47" s="735"/>
      <c r="AB47" s="736" t="s">
        <v>661</v>
      </c>
      <c r="AC47" s="736" t="s">
        <v>661</v>
      </c>
      <c r="AD47" s="736" t="s">
        <v>661</v>
      </c>
      <c r="AE47" s="736" t="s">
        <v>661</v>
      </c>
      <c r="AF47" s="736" t="s">
        <v>661</v>
      </c>
      <c r="AG47" s="736" t="s">
        <v>661</v>
      </c>
      <c r="AH47" s="735"/>
      <c r="AI47" s="749">
        <f t="shared" si="0"/>
        <v>0</v>
      </c>
      <c r="AJ47" s="749">
        <f t="shared" si="1"/>
        <v>0</v>
      </c>
      <c r="AK47" s="749">
        <f t="shared" si="2"/>
        <v>0</v>
      </c>
    </row>
    <row r="48" spans="2:37">
      <c r="B48" s="724">
        <v>45</v>
      </c>
      <c r="C48" s="734" t="str">
        <f>SISWA!E50</f>
        <v>Anak 45</v>
      </c>
      <c r="D48" s="736" t="s">
        <v>661</v>
      </c>
      <c r="E48" s="736" t="s">
        <v>661</v>
      </c>
      <c r="F48" s="735"/>
      <c r="G48" s="736" t="s">
        <v>661</v>
      </c>
      <c r="H48" s="736" t="s">
        <v>661</v>
      </c>
      <c r="I48" s="736" t="s">
        <v>661</v>
      </c>
      <c r="J48" s="735"/>
      <c r="K48" s="736" t="s">
        <v>661</v>
      </c>
      <c r="L48" s="736" t="s">
        <v>661</v>
      </c>
      <c r="M48" s="735"/>
      <c r="N48" s="736" t="s">
        <v>661</v>
      </c>
      <c r="O48" s="736" t="s">
        <v>661</v>
      </c>
      <c r="P48" s="736" t="s">
        <v>661</v>
      </c>
      <c r="Q48" s="736" t="s">
        <v>661</v>
      </c>
      <c r="R48" s="736" t="s">
        <v>661</v>
      </c>
      <c r="S48" s="736" t="s">
        <v>661</v>
      </c>
      <c r="T48" s="735"/>
      <c r="U48" s="736" t="s">
        <v>661</v>
      </c>
      <c r="V48" s="736" t="s">
        <v>661</v>
      </c>
      <c r="W48" s="736" t="s">
        <v>661</v>
      </c>
      <c r="X48" s="736" t="s">
        <v>661</v>
      </c>
      <c r="Y48" s="736" t="s">
        <v>661</v>
      </c>
      <c r="Z48" s="736" t="s">
        <v>661</v>
      </c>
      <c r="AA48" s="735"/>
      <c r="AB48" s="736" t="s">
        <v>661</v>
      </c>
      <c r="AC48" s="736" t="s">
        <v>661</v>
      </c>
      <c r="AD48" s="736" t="s">
        <v>661</v>
      </c>
      <c r="AE48" s="736" t="s">
        <v>661</v>
      </c>
      <c r="AF48" s="736" t="s">
        <v>661</v>
      </c>
      <c r="AG48" s="736" t="s">
        <v>661</v>
      </c>
      <c r="AH48" s="735"/>
      <c r="AI48" s="749">
        <f t="shared" si="0"/>
        <v>0</v>
      </c>
      <c r="AJ48" s="749">
        <f t="shared" si="1"/>
        <v>0</v>
      </c>
      <c r="AK48" s="749">
        <f t="shared" si="2"/>
        <v>0</v>
      </c>
    </row>
    <row r="49" spans="2:37">
      <c r="B49" s="724">
        <v>46</v>
      </c>
      <c r="C49" s="734" t="str">
        <f>SISWA!E51</f>
        <v>Anak 46</v>
      </c>
      <c r="D49" s="736" t="s">
        <v>661</v>
      </c>
      <c r="E49" s="736" t="s">
        <v>661</v>
      </c>
      <c r="F49" s="735"/>
      <c r="G49" s="736" t="s">
        <v>661</v>
      </c>
      <c r="H49" s="736" t="s">
        <v>661</v>
      </c>
      <c r="I49" s="736" t="s">
        <v>661</v>
      </c>
      <c r="J49" s="735"/>
      <c r="K49" s="736" t="s">
        <v>661</v>
      </c>
      <c r="L49" s="736" t="s">
        <v>661</v>
      </c>
      <c r="M49" s="735"/>
      <c r="N49" s="736" t="s">
        <v>661</v>
      </c>
      <c r="O49" s="736" t="s">
        <v>661</v>
      </c>
      <c r="P49" s="736" t="s">
        <v>661</v>
      </c>
      <c r="Q49" s="736" t="s">
        <v>661</v>
      </c>
      <c r="R49" s="736" t="s">
        <v>661</v>
      </c>
      <c r="S49" s="736" t="s">
        <v>661</v>
      </c>
      <c r="T49" s="735"/>
      <c r="U49" s="736" t="s">
        <v>661</v>
      </c>
      <c r="V49" s="736" t="s">
        <v>661</v>
      </c>
      <c r="W49" s="736" t="s">
        <v>661</v>
      </c>
      <c r="X49" s="736" t="s">
        <v>661</v>
      </c>
      <c r="Y49" s="736" t="s">
        <v>661</v>
      </c>
      <c r="Z49" s="736" t="s">
        <v>661</v>
      </c>
      <c r="AA49" s="735"/>
      <c r="AB49" s="736" t="s">
        <v>661</v>
      </c>
      <c r="AC49" s="736" t="s">
        <v>661</v>
      </c>
      <c r="AD49" s="736" t="s">
        <v>661</v>
      </c>
      <c r="AE49" s="736" t="s">
        <v>661</v>
      </c>
      <c r="AF49" s="736" t="s">
        <v>661</v>
      </c>
      <c r="AG49" s="736" t="s">
        <v>661</v>
      </c>
      <c r="AH49" s="735"/>
      <c r="AI49" s="749">
        <f t="shared" si="0"/>
        <v>0</v>
      </c>
      <c r="AJ49" s="749">
        <f t="shared" si="1"/>
        <v>0</v>
      </c>
      <c r="AK49" s="749">
        <f t="shared" si="2"/>
        <v>0</v>
      </c>
    </row>
    <row r="50" spans="2:37">
      <c r="B50" s="724">
        <v>47</v>
      </c>
      <c r="C50" s="734" t="str">
        <f>SISWA!E52</f>
        <v>Anak 47</v>
      </c>
      <c r="D50" s="736" t="s">
        <v>661</v>
      </c>
      <c r="E50" s="736" t="s">
        <v>661</v>
      </c>
      <c r="F50" s="735"/>
      <c r="G50" s="736" t="s">
        <v>661</v>
      </c>
      <c r="H50" s="736" t="s">
        <v>661</v>
      </c>
      <c r="I50" s="736" t="s">
        <v>661</v>
      </c>
      <c r="J50" s="735"/>
      <c r="K50" s="736" t="s">
        <v>661</v>
      </c>
      <c r="L50" s="736" t="s">
        <v>661</v>
      </c>
      <c r="M50" s="735"/>
      <c r="N50" s="736" t="s">
        <v>661</v>
      </c>
      <c r="O50" s="736" t="s">
        <v>661</v>
      </c>
      <c r="P50" s="736" t="s">
        <v>661</v>
      </c>
      <c r="Q50" s="736" t="s">
        <v>661</v>
      </c>
      <c r="R50" s="736" t="s">
        <v>661</v>
      </c>
      <c r="S50" s="736" t="s">
        <v>661</v>
      </c>
      <c r="T50" s="735"/>
      <c r="U50" s="736" t="s">
        <v>661</v>
      </c>
      <c r="V50" s="736" t="s">
        <v>661</v>
      </c>
      <c r="W50" s="736" t="s">
        <v>661</v>
      </c>
      <c r="X50" s="736" t="s">
        <v>661</v>
      </c>
      <c r="Y50" s="736" t="s">
        <v>661</v>
      </c>
      <c r="Z50" s="736" t="s">
        <v>661</v>
      </c>
      <c r="AA50" s="735"/>
      <c r="AB50" s="736" t="s">
        <v>661</v>
      </c>
      <c r="AC50" s="736" t="s">
        <v>661</v>
      </c>
      <c r="AD50" s="736" t="s">
        <v>661</v>
      </c>
      <c r="AE50" s="736" t="s">
        <v>661</v>
      </c>
      <c r="AF50" s="736" t="s">
        <v>661</v>
      </c>
      <c r="AG50" s="736" t="s">
        <v>661</v>
      </c>
      <c r="AH50" s="735"/>
      <c r="AI50" s="749">
        <f t="shared" si="0"/>
        <v>0</v>
      </c>
      <c r="AJ50" s="749">
        <f t="shared" si="1"/>
        <v>0</v>
      </c>
      <c r="AK50" s="749">
        <f t="shared" si="2"/>
        <v>0</v>
      </c>
    </row>
    <row r="51" spans="2:37">
      <c r="B51" s="724">
        <v>48</v>
      </c>
      <c r="C51" s="734" t="str">
        <f>SISWA!E53</f>
        <v>Anak 48</v>
      </c>
      <c r="D51" s="736" t="s">
        <v>661</v>
      </c>
      <c r="E51" s="736" t="s">
        <v>661</v>
      </c>
      <c r="F51" s="735"/>
      <c r="G51" s="736" t="s">
        <v>661</v>
      </c>
      <c r="H51" s="736" t="s">
        <v>661</v>
      </c>
      <c r="I51" s="736" t="s">
        <v>661</v>
      </c>
      <c r="J51" s="735"/>
      <c r="K51" s="736" t="s">
        <v>661</v>
      </c>
      <c r="L51" s="736" t="s">
        <v>661</v>
      </c>
      <c r="M51" s="735"/>
      <c r="N51" s="736" t="s">
        <v>661</v>
      </c>
      <c r="O51" s="736" t="s">
        <v>661</v>
      </c>
      <c r="P51" s="736" t="s">
        <v>661</v>
      </c>
      <c r="Q51" s="736" t="s">
        <v>661</v>
      </c>
      <c r="R51" s="736" t="s">
        <v>661</v>
      </c>
      <c r="S51" s="736" t="s">
        <v>661</v>
      </c>
      <c r="T51" s="735"/>
      <c r="U51" s="736" t="s">
        <v>661</v>
      </c>
      <c r="V51" s="736" t="s">
        <v>661</v>
      </c>
      <c r="W51" s="736" t="s">
        <v>661</v>
      </c>
      <c r="X51" s="736" t="s">
        <v>661</v>
      </c>
      <c r="Y51" s="736" t="s">
        <v>661</v>
      </c>
      <c r="Z51" s="736" t="s">
        <v>661</v>
      </c>
      <c r="AA51" s="735"/>
      <c r="AB51" s="736" t="s">
        <v>661</v>
      </c>
      <c r="AC51" s="736" t="s">
        <v>661</v>
      </c>
      <c r="AD51" s="736" t="s">
        <v>661</v>
      </c>
      <c r="AE51" s="736" t="s">
        <v>661</v>
      </c>
      <c r="AF51" s="736" t="s">
        <v>661</v>
      </c>
      <c r="AG51" s="736" t="s">
        <v>661</v>
      </c>
      <c r="AH51" s="735"/>
      <c r="AI51" s="749">
        <f t="shared" si="0"/>
        <v>0</v>
      </c>
      <c r="AJ51" s="749">
        <f t="shared" si="1"/>
        <v>0</v>
      </c>
      <c r="AK51" s="749">
        <f t="shared" si="2"/>
        <v>0</v>
      </c>
    </row>
    <row r="52" spans="2:37">
      <c r="B52" s="724">
        <v>49</v>
      </c>
      <c r="C52" s="734" t="str">
        <f>SISWA!E54</f>
        <v>Anak 49</v>
      </c>
      <c r="D52" s="736" t="s">
        <v>661</v>
      </c>
      <c r="E52" s="736" t="s">
        <v>661</v>
      </c>
      <c r="F52" s="735"/>
      <c r="G52" s="736" t="s">
        <v>661</v>
      </c>
      <c r="H52" s="736" t="s">
        <v>661</v>
      </c>
      <c r="I52" s="736" t="s">
        <v>661</v>
      </c>
      <c r="J52" s="735"/>
      <c r="K52" s="736" t="s">
        <v>661</v>
      </c>
      <c r="L52" s="736" t="s">
        <v>661</v>
      </c>
      <c r="M52" s="735"/>
      <c r="N52" s="736" t="s">
        <v>661</v>
      </c>
      <c r="O52" s="736" t="s">
        <v>661</v>
      </c>
      <c r="P52" s="736" t="s">
        <v>661</v>
      </c>
      <c r="Q52" s="736" t="s">
        <v>661</v>
      </c>
      <c r="R52" s="736" t="s">
        <v>661</v>
      </c>
      <c r="S52" s="736" t="s">
        <v>661</v>
      </c>
      <c r="T52" s="735"/>
      <c r="U52" s="736" t="s">
        <v>661</v>
      </c>
      <c r="V52" s="736" t="s">
        <v>661</v>
      </c>
      <c r="W52" s="736" t="s">
        <v>661</v>
      </c>
      <c r="X52" s="736" t="s">
        <v>661</v>
      </c>
      <c r="Y52" s="736" t="s">
        <v>661</v>
      </c>
      <c r="Z52" s="736" t="s">
        <v>661</v>
      </c>
      <c r="AA52" s="735"/>
      <c r="AB52" s="736" t="s">
        <v>661</v>
      </c>
      <c r="AC52" s="736" t="s">
        <v>661</v>
      </c>
      <c r="AD52" s="736" t="s">
        <v>661</v>
      </c>
      <c r="AE52" s="736" t="s">
        <v>661</v>
      </c>
      <c r="AF52" s="736" t="s">
        <v>661</v>
      </c>
      <c r="AG52" s="736" t="s">
        <v>661</v>
      </c>
      <c r="AH52" s="735"/>
      <c r="AI52" s="749">
        <f t="shared" si="0"/>
        <v>0</v>
      </c>
      <c r="AJ52" s="749">
        <f t="shared" si="1"/>
        <v>0</v>
      </c>
      <c r="AK52" s="749">
        <f t="shared" si="2"/>
        <v>0</v>
      </c>
    </row>
    <row r="53" spans="2:37">
      <c r="B53" s="724">
        <v>50</v>
      </c>
      <c r="C53" s="734" t="str">
        <f>SISWA!E55</f>
        <v>Anak 50</v>
      </c>
      <c r="D53" s="736" t="s">
        <v>661</v>
      </c>
      <c r="E53" s="736" t="s">
        <v>661</v>
      </c>
      <c r="F53" s="735"/>
      <c r="G53" s="736" t="s">
        <v>661</v>
      </c>
      <c r="H53" s="736" t="s">
        <v>661</v>
      </c>
      <c r="I53" s="736" t="s">
        <v>661</v>
      </c>
      <c r="J53" s="735"/>
      <c r="K53" s="736" t="s">
        <v>661</v>
      </c>
      <c r="L53" s="736" t="s">
        <v>661</v>
      </c>
      <c r="M53" s="735"/>
      <c r="N53" s="736" t="s">
        <v>661</v>
      </c>
      <c r="O53" s="736" t="s">
        <v>661</v>
      </c>
      <c r="P53" s="736" t="s">
        <v>661</v>
      </c>
      <c r="Q53" s="736" t="s">
        <v>661</v>
      </c>
      <c r="R53" s="736" t="s">
        <v>661</v>
      </c>
      <c r="S53" s="736" t="s">
        <v>661</v>
      </c>
      <c r="T53" s="735"/>
      <c r="U53" s="736" t="s">
        <v>661</v>
      </c>
      <c r="V53" s="736" t="s">
        <v>661</v>
      </c>
      <c r="W53" s="736" t="s">
        <v>661</v>
      </c>
      <c r="X53" s="736" t="s">
        <v>661</v>
      </c>
      <c r="Y53" s="736" t="s">
        <v>661</v>
      </c>
      <c r="Z53" s="736" t="s">
        <v>661</v>
      </c>
      <c r="AA53" s="735"/>
      <c r="AB53" s="736" t="s">
        <v>661</v>
      </c>
      <c r="AC53" s="736" t="s">
        <v>661</v>
      </c>
      <c r="AD53" s="736" t="s">
        <v>661</v>
      </c>
      <c r="AE53" s="736" t="s">
        <v>661</v>
      </c>
      <c r="AF53" s="736" t="s">
        <v>661</v>
      </c>
      <c r="AG53" s="736" t="s">
        <v>661</v>
      </c>
      <c r="AH53" s="735"/>
      <c r="AI53" s="749">
        <f t="shared" si="0"/>
        <v>0</v>
      </c>
      <c r="AJ53" s="749">
        <f t="shared" si="1"/>
        <v>0</v>
      </c>
      <c r="AK53" s="749">
        <f t="shared" si="2"/>
        <v>0</v>
      </c>
    </row>
    <row r="54" spans="2:37">
      <c r="B54" s="471"/>
      <c r="C54" s="471"/>
      <c r="D54" s="1008" t="s">
        <v>460</v>
      </c>
      <c r="E54" s="1009"/>
      <c r="F54" s="1009"/>
      <c r="G54" s="1009"/>
      <c r="H54" s="1009"/>
      <c r="I54" s="1009"/>
      <c r="J54" s="1009"/>
      <c r="K54" s="1009"/>
      <c r="L54" s="1009"/>
      <c r="M54" s="1009"/>
      <c r="N54" s="1009"/>
      <c r="O54" s="1009"/>
      <c r="P54" s="1009"/>
      <c r="Q54" s="1009"/>
      <c r="R54" s="1009"/>
      <c r="S54" s="1009"/>
      <c r="T54" s="1009"/>
      <c r="U54" s="1009"/>
      <c r="V54" s="1009"/>
      <c r="W54" s="1009"/>
      <c r="X54" s="1009"/>
      <c r="Y54" s="1009"/>
      <c r="Z54" s="1009"/>
      <c r="AA54" s="1009"/>
      <c r="AB54" s="1009"/>
      <c r="AC54" s="1009"/>
      <c r="AD54" s="1009"/>
      <c r="AE54" s="1009"/>
      <c r="AF54" s="1009"/>
      <c r="AG54" s="1009"/>
      <c r="AH54" s="1010"/>
      <c r="AI54" s="749">
        <f>SUM(AI4:AI53)</f>
        <v>0</v>
      </c>
      <c r="AJ54" s="749">
        <f>SUM(AJ4:AJ53)</f>
        <v>1</v>
      </c>
      <c r="AK54" s="749">
        <f>SUM(AK4:AK53)</f>
        <v>0</v>
      </c>
    </row>
    <row r="55" spans="2:37" ht="15.75" thickBot="1"/>
    <row r="56" spans="2:37" ht="15.75" thickBot="1">
      <c r="C56" s="737"/>
      <c r="D56" s="738"/>
      <c r="E56" s="738"/>
      <c r="F56" s="738"/>
      <c r="G56" s="739"/>
    </row>
    <row r="57" spans="2:37" ht="16.5" thickBot="1">
      <c r="C57" s="740" t="s">
        <v>969</v>
      </c>
      <c r="D57" s="742">
        <v>23</v>
      </c>
      <c r="E57" s="741"/>
      <c r="F57" s="1011">
        <f>D57*DEPAN!E23</f>
        <v>1150</v>
      </c>
      <c r="G57" s="1012"/>
      <c r="L57" s="1013" t="s">
        <v>244</v>
      </c>
      <c r="M57" s="1013"/>
      <c r="N57" s="1013"/>
      <c r="O57" s="1013"/>
      <c r="P57" s="1013"/>
      <c r="Q57" s="1013"/>
      <c r="AC57" s="1013" t="s">
        <v>979</v>
      </c>
      <c r="AD57" s="1013"/>
      <c r="AE57" s="1013"/>
      <c r="AF57" s="1013"/>
      <c r="AG57" s="1013"/>
      <c r="AH57" s="1013"/>
      <c r="AI57" s="1013"/>
      <c r="AJ57" s="1013"/>
    </row>
    <row r="58" spans="2:37" ht="15.75">
      <c r="C58" s="740"/>
      <c r="D58" s="743"/>
      <c r="E58" s="741"/>
      <c r="F58" s="741"/>
      <c r="G58" s="744"/>
      <c r="L58" s="1013" t="s">
        <v>245</v>
      </c>
      <c r="M58" s="1013"/>
      <c r="N58" s="1013"/>
      <c r="O58" s="1013"/>
      <c r="P58" s="1013"/>
      <c r="Q58" s="1013"/>
      <c r="AC58" s="1013" t="s">
        <v>971</v>
      </c>
      <c r="AD58" s="1013"/>
      <c r="AE58" s="1013"/>
      <c r="AF58" s="1013"/>
      <c r="AG58" s="1013"/>
      <c r="AH58" s="1013"/>
      <c r="AI58" s="1013"/>
      <c r="AJ58" s="1013"/>
    </row>
    <row r="59" spans="2:37" ht="15.75">
      <c r="C59" s="740" t="s">
        <v>972</v>
      </c>
      <c r="D59" s="745"/>
      <c r="E59" s="741"/>
      <c r="F59" s="741"/>
      <c r="G59" s="744"/>
    </row>
    <row r="60" spans="2:37" ht="15.75">
      <c r="C60" s="740" t="s">
        <v>973</v>
      </c>
      <c r="D60" s="1005">
        <f>AI54/F57</f>
        <v>0</v>
      </c>
      <c r="E60" s="1005"/>
      <c r="F60" s="741"/>
      <c r="G60" s="744"/>
    </row>
    <row r="61" spans="2:37" ht="15.75">
      <c r="C61" s="740" t="s">
        <v>974</v>
      </c>
      <c r="D61" s="1014">
        <f>AJ54/F57</f>
        <v>8.6956521739130438E-4</v>
      </c>
      <c r="E61" s="1014"/>
      <c r="F61" s="741"/>
      <c r="G61" s="744"/>
    </row>
    <row r="62" spans="2:37" ht="15.75">
      <c r="C62" s="740" t="s">
        <v>975</v>
      </c>
      <c r="D62" s="1014">
        <f>AK54/F57</f>
        <v>0</v>
      </c>
      <c r="E62" s="1014"/>
      <c r="F62" s="741"/>
      <c r="G62" s="744"/>
    </row>
    <row r="63" spans="2:37" ht="15.75" thickBot="1">
      <c r="C63" s="746"/>
      <c r="D63" s="747"/>
      <c r="E63" s="747"/>
      <c r="F63" s="747"/>
      <c r="G63" s="748"/>
      <c r="K63" s="474"/>
      <c r="L63" s="1015" t="str">
        <f>DEPAN!E12</f>
        <v>H. SAMSUDIN,M.Pd</v>
      </c>
      <c r="M63" s="1015"/>
      <c r="N63" s="1015"/>
      <c r="O63" s="1015"/>
      <c r="P63" s="1015"/>
      <c r="Q63" s="1015"/>
      <c r="R63" s="474"/>
      <c r="AC63" s="474"/>
      <c r="AD63" s="1015" t="str">
        <f>DEPAN!E16</f>
        <v>SITI PONIMAH,M.Pd</v>
      </c>
      <c r="AE63" s="1015"/>
      <c r="AF63" s="1015"/>
      <c r="AG63" s="1015"/>
      <c r="AH63" s="1015"/>
      <c r="AI63" s="1015"/>
      <c r="AJ63" s="474"/>
    </row>
    <row r="64" spans="2:37">
      <c r="K64" s="1016" t="str">
        <f>CONCATENATE("NIP.",DEPAN!E13)</f>
        <v>NIP.19921233 198777 1 336</v>
      </c>
      <c r="L64" s="1016"/>
      <c r="M64" s="1016"/>
      <c r="N64" s="1016"/>
      <c r="O64" s="1016"/>
      <c r="P64" s="1016"/>
      <c r="Q64" s="1016"/>
      <c r="R64" s="1016"/>
      <c r="AC64" s="1016" t="str">
        <f>CONCATENATE("NIP.",DEPAN!E17)</f>
        <v>NIP.19616566 201808 2 033</v>
      </c>
      <c r="AD64" s="1016"/>
      <c r="AE64" s="1016"/>
      <c r="AF64" s="1016"/>
      <c r="AG64" s="1016"/>
      <c r="AH64" s="1016"/>
      <c r="AI64" s="1016"/>
      <c r="AJ64" s="1016"/>
    </row>
    <row r="65"/>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row r="88"/>
  </sheetData>
  <mergeCells count="16">
    <mergeCell ref="K64:R64"/>
    <mergeCell ref="AC64:AJ64"/>
    <mergeCell ref="L58:Q58"/>
    <mergeCell ref="AC58:AJ58"/>
    <mergeCell ref="D60:E60"/>
    <mergeCell ref="D61:E61"/>
    <mergeCell ref="D62:E62"/>
    <mergeCell ref="L63:Q63"/>
    <mergeCell ref="AD63:AI63"/>
    <mergeCell ref="B2:B3"/>
    <mergeCell ref="C2:C3"/>
    <mergeCell ref="D2:AK2"/>
    <mergeCell ref="D54:AH54"/>
    <mergeCell ref="F57:G57"/>
    <mergeCell ref="L57:Q57"/>
    <mergeCell ref="AC57:AJ57"/>
  </mergeCells>
  <dataValidations count="2">
    <dataValidation allowBlank="1" showInputMessage="1" showErrorMessage="1" promptTitle="TIDAK USAH DI GANTI" prompt="hasil dari perkalian HARI EFEKTIF dan JUMLAH SISWA" sqref="F57"/>
    <dataValidation allowBlank="1" showInputMessage="1" showErrorMessage="1" prompt="isi dengan jumlah HARI EFEKTIF" sqref="D57"/>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88"/>
  <sheetViews>
    <sheetView topLeftCell="A43" zoomScaleNormal="100" workbookViewId="0"/>
  </sheetViews>
  <sheetFormatPr defaultColWidth="0" defaultRowHeight="15" customHeight="1" zeroHeight="1"/>
  <cols>
    <col min="1" max="1" width="9.140625" style="750" customWidth="1"/>
    <col min="2" max="2" width="5.85546875" customWidth="1"/>
    <col min="3" max="3" width="25" customWidth="1"/>
    <col min="4" max="37" width="4.5703125" customWidth="1"/>
    <col min="38" max="38" width="9.140625" customWidth="1"/>
    <col min="39" max="40" width="0" hidden="1" customWidth="1"/>
    <col min="41" max="16384" width="9.140625" hidden="1"/>
  </cols>
  <sheetData>
    <row r="1" spans="2:37"/>
    <row r="2" spans="2:37" ht="21">
      <c r="B2" s="1006" t="s">
        <v>2</v>
      </c>
      <c r="C2" s="1006" t="s">
        <v>965</v>
      </c>
      <c r="D2" s="1007" t="s">
        <v>980</v>
      </c>
      <c r="E2" s="1007"/>
      <c r="F2" s="1007"/>
      <c r="G2" s="1007"/>
      <c r="H2" s="1007"/>
      <c r="I2" s="1007"/>
      <c r="J2" s="1007"/>
      <c r="K2" s="1007"/>
      <c r="L2" s="1007"/>
      <c r="M2" s="1007"/>
      <c r="N2" s="1007"/>
      <c r="O2" s="1007"/>
      <c r="P2" s="1007"/>
      <c r="Q2" s="1007"/>
      <c r="R2" s="1007"/>
      <c r="S2" s="1007"/>
      <c r="T2" s="1007"/>
      <c r="U2" s="1007"/>
      <c r="V2" s="1007"/>
      <c r="W2" s="1007"/>
      <c r="X2" s="1007"/>
      <c r="Y2" s="1007"/>
      <c r="Z2" s="1007"/>
      <c r="AA2" s="1007"/>
      <c r="AB2" s="1007"/>
      <c r="AC2" s="1007"/>
      <c r="AD2" s="1007"/>
      <c r="AE2" s="1007"/>
      <c r="AF2" s="1007"/>
      <c r="AG2" s="1007"/>
      <c r="AH2" s="1007"/>
      <c r="AI2" s="1007"/>
      <c r="AJ2" s="1007"/>
      <c r="AK2" s="1007"/>
    </row>
    <row r="3" spans="2:37">
      <c r="B3" s="1006"/>
      <c r="C3" s="1006"/>
      <c r="D3" s="733">
        <v>1</v>
      </c>
      <c r="E3" s="733">
        <v>2</v>
      </c>
      <c r="F3" s="733">
        <v>3</v>
      </c>
      <c r="G3" s="733">
        <v>4</v>
      </c>
      <c r="H3" s="733">
        <v>5</v>
      </c>
      <c r="I3" s="733">
        <v>6</v>
      </c>
      <c r="J3" s="733">
        <v>7</v>
      </c>
      <c r="K3" s="733">
        <v>8</v>
      </c>
      <c r="L3" s="733">
        <v>9</v>
      </c>
      <c r="M3" s="733">
        <v>10</v>
      </c>
      <c r="N3" s="733">
        <v>11</v>
      </c>
      <c r="O3" s="733">
        <v>12</v>
      </c>
      <c r="P3" s="733">
        <v>13</v>
      </c>
      <c r="Q3" s="733">
        <v>14</v>
      </c>
      <c r="R3" s="733">
        <v>15</v>
      </c>
      <c r="S3" s="733">
        <v>16</v>
      </c>
      <c r="T3" s="733">
        <v>17</v>
      </c>
      <c r="U3" s="733">
        <v>18</v>
      </c>
      <c r="V3" s="733">
        <v>19</v>
      </c>
      <c r="W3" s="733">
        <v>20</v>
      </c>
      <c r="X3" s="733">
        <v>21</v>
      </c>
      <c r="Y3" s="733">
        <v>22</v>
      </c>
      <c r="Z3" s="733">
        <v>23</v>
      </c>
      <c r="AA3" s="733">
        <v>24</v>
      </c>
      <c r="AB3" s="733">
        <v>25</v>
      </c>
      <c r="AC3" s="733">
        <v>26</v>
      </c>
      <c r="AD3" s="733">
        <v>27</v>
      </c>
      <c r="AE3" s="733">
        <v>28</v>
      </c>
      <c r="AF3" s="733">
        <v>29</v>
      </c>
      <c r="AG3" s="733">
        <v>30</v>
      </c>
      <c r="AH3" s="733">
        <v>31</v>
      </c>
      <c r="AI3" s="733" t="s">
        <v>967</v>
      </c>
      <c r="AJ3" s="733" t="s">
        <v>884</v>
      </c>
      <c r="AK3" s="733" t="s">
        <v>968</v>
      </c>
    </row>
    <row r="4" spans="2:37">
      <c r="B4" s="724">
        <v>1</v>
      </c>
      <c r="C4" s="734" t="str">
        <f>SISWA!E6</f>
        <v>Anak 1</v>
      </c>
      <c r="D4" s="736" t="s">
        <v>661</v>
      </c>
      <c r="E4" s="736" t="s">
        <v>661</v>
      </c>
      <c r="F4" s="735"/>
      <c r="G4" s="736" t="s">
        <v>661</v>
      </c>
      <c r="H4" s="736" t="s">
        <v>661</v>
      </c>
      <c r="I4" s="736" t="s">
        <v>661</v>
      </c>
      <c r="J4" s="735"/>
      <c r="K4" s="736" t="s">
        <v>661</v>
      </c>
      <c r="L4" s="736" t="s">
        <v>661</v>
      </c>
      <c r="M4" s="736" t="s">
        <v>661</v>
      </c>
      <c r="N4" s="736" t="s">
        <v>661</v>
      </c>
      <c r="O4" s="736" t="s">
        <v>661</v>
      </c>
      <c r="P4" s="736" t="s">
        <v>661</v>
      </c>
      <c r="Q4" s="735"/>
      <c r="R4" s="736" t="s">
        <v>661</v>
      </c>
      <c r="S4" s="736" t="s">
        <v>661</v>
      </c>
      <c r="T4" s="736" t="s">
        <v>661</v>
      </c>
      <c r="U4" s="736" t="s">
        <v>661</v>
      </c>
      <c r="V4" s="736" t="s">
        <v>661</v>
      </c>
      <c r="W4" s="736" t="s">
        <v>661</v>
      </c>
      <c r="X4" s="735"/>
      <c r="Y4" s="736" t="s">
        <v>661</v>
      </c>
      <c r="Z4" s="736" t="s">
        <v>661</v>
      </c>
      <c r="AA4" s="736" t="s">
        <v>661</v>
      </c>
      <c r="AB4" s="736" t="s">
        <v>661</v>
      </c>
      <c r="AC4" s="736" t="s">
        <v>661</v>
      </c>
      <c r="AD4" s="736" t="s">
        <v>661</v>
      </c>
      <c r="AE4" s="735"/>
      <c r="AF4" s="736" t="s">
        <v>661</v>
      </c>
      <c r="AG4" s="736" t="s">
        <v>661</v>
      </c>
      <c r="AH4" s="736" t="s">
        <v>661</v>
      </c>
      <c r="AI4" s="749">
        <f>COUNTIF(D4:AH4,"S")</f>
        <v>0</v>
      </c>
      <c r="AJ4" s="749">
        <f>COUNTIF(D4:AH4,"I")</f>
        <v>0</v>
      </c>
      <c r="AK4" s="749">
        <f>COUNTIF(D4:AH4,"A")</f>
        <v>0</v>
      </c>
    </row>
    <row r="5" spans="2:37">
      <c r="B5" s="724">
        <v>2</v>
      </c>
      <c r="C5" s="734" t="str">
        <f>SISWA!E7</f>
        <v>Anak 2</v>
      </c>
      <c r="D5" s="736" t="s">
        <v>661</v>
      </c>
      <c r="E5" s="736" t="s">
        <v>661</v>
      </c>
      <c r="F5" s="735"/>
      <c r="G5" s="736" t="s">
        <v>661</v>
      </c>
      <c r="H5" s="736" t="s">
        <v>661</v>
      </c>
      <c r="I5" s="736" t="s">
        <v>661</v>
      </c>
      <c r="J5" s="735"/>
      <c r="K5" s="736" t="s">
        <v>661</v>
      </c>
      <c r="L5" s="736" t="s">
        <v>661</v>
      </c>
      <c r="M5" s="736" t="s">
        <v>661</v>
      </c>
      <c r="N5" s="736" t="s">
        <v>661</v>
      </c>
      <c r="O5" s="736" t="s">
        <v>661</v>
      </c>
      <c r="P5" s="736" t="s">
        <v>661</v>
      </c>
      <c r="Q5" s="735"/>
      <c r="R5" s="736" t="s">
        <v>661</v>
      </c>
      <c r="S5" s="736" t="s">
        <v>661</v>
      </c>
      <c r="T5" s="736" t="s">
        <v>661</v>
      </c>
      <c r="U5" s="736" t="s">
        <v>661</v>
      </c>
      <c r="V5" s="736" t="s">
        <v>661</v>
      </c>
      <c r="W5" s="736" t="s">
        <v>661</v>
      </c>
      <c r="X5" s="735"/>
      <c r="Y5" s="736" t="s">
        <v>661</v>
      </c>
      <c r="Z5" s="736" t="s">
        <v>661</v>
      </c>
      <c r="AA5" s="736" t="s">
        <v>661</v>
      </c>
      <c r="AB5" s="736" t="s">
        <v>661</v>
      </c>
      <c r="AC5" s="736" t="s">
        <v>661</v>
      </c>
      <c r="AD5" s="736" t="s">
        <v>661</v>
      </c>
      <c r="AE5" s="735"/>
      <c r="AF5" s="736" t="s">
        <v>661</v>
      </c>
      <c r="AG5" s="736" t="s">
        <v>661</v>
      </c>
      <c r="AH5" s="736" t="s">
        <v>661</v>
      </c>
      <c r="AI5" s="749">
        <f t="shared" ref="AI5:AI53" si="0">COUNTIF(D5:AH5,"S")</f>
        <v>0</v>
      </c>
      <c r="AJ5" s="749">
        <f t="shared" ref="AJ5:AJ53" si="1">COUNTIF(D5:AH5,"I")</f>
        <v>0</v>
      </c>
      <c r="AK5" s="749">
        <f t="shared" ref="AK5:AK53" si="2">COUNTIF(D5:AH5,"A")</f>
        <v>0</v>
      </c>
    </row>
    <row r="6" spans="2:37">
      <c r="B6" s="724">
        <v>3</v>
      </c>
      <c r="C6" s="734" t="str">
        <f>SISWA!E8</f>
        <v>Anak 3</v>
      </c>
      <c r="D6" s="736" t="s">
        <v>661</v>
      </c>
      <c r="E6" s="736" t="s">
        <v>661</v>
      </c>
      <c r="F6" s="735"/>
      <c r="G6" s="736" t="s">
        <v>661</v>
      </c>
      <c r="H6" s="736" t="s">
        <v>661</v>
      </c>
      <c r="I6" s="736" t="s">
        <v>661</v>
      </c>
      <c r="J6" s="735"/>
      <c r="K6" s="736" t="s">
        <v>661</v>
      </c>
      <c r="L6" s="736" t="s">
        <v>661</v>
      </c>
      <c r="M6" s="736" t="s">
        <v>661</v>
      </c>
      <c r="N6" s="736" t="s">
        <v>661</v>
      </c>
      <c r="O6" s="736" t="s">
        <v>661</v>
      </c>
      <c r="P6" s="736" t="s">
        <v>661</v>
      </c>
      <c r="Q6" s="735"/>
      <c r="R6" s="736" t="s">
        <v>661</v>
      </c>
      <c r="S6" s="736" t="s">
        <v>661</v>
      </c>
      <c r="T6" s="736" t="s">
        <v>661</v>
      </c>
      <c r="U6" s="736" t="s">
        <v>661</v>
      </c>
      <c r="V6" s="736" t="s">
        <v>661</v>
      </c>
      <c r="W6" s="736" t="s">
        <v>661</v>
      </c>
      <c r="X6" s="735"/>
      <c r="Y6" s="736" t="s">
        <v>661</v>
      </c>
      <c r="Z6" s="736" t="s">
        <v>661</v>
      </c>
      <c r="AA6" s="736" t="s">
        <v>661</v>
      </c>
      <c r="AB6" s="736" t="s">
        <v>661</v>
      </c>
      <c r="AC6" s="736" t="s">
        <v>661</v>
      </c>
      <c r="AD6" s="736" t="s">
        <v>661</v>
      </c>
      <c r="AE6" s="735"/>
      <c r="AF6" s="736" t="s">
        <v>661</v>
      </c>
      <c r="AG6" s="736" t="s">
        <v>661</v>
      </c>
      <c r="AH6" s="736" t="s">
        <v>661</v>
      </c>
      <c r="AI6" s="749">
        <f t="shared" si="0"/>
        <v>0</v>
      </c>
      <c r="AJ6" s="749">
        <f t="shared" si="1"/>
        <v>0</v>
      </c>
      <c r="AK6" s="749">
        <f t="shared" si="2"/>
        <v>0</v>
      </c>
    </row>
    <row r="7" spans="2:37">
      <c r="B7" s="724">
        <v>4</v>
      </c>
      <c r="C7" s="734" t="str">
        <f>SISWA!E9</f>
        <v>Anak 4</v>
      </c>
      <c r="D7" s="736" t="s">
        <v>661</v>
      </c>
      <c r="E7" s="736" t="s">
        <v>661</v>
      </c>
      <c r="F7" s="735"/>
      <c r="G7" s="736" t="s">
        <v>661</v>
      </c>
      <c r="H7" s="736" t="s">
        <v>661</v>
      </c>
      <c r="I7" s="736" t="s">
        <v>661</v>
      </c>
      <c r="J7" s="735"/>
      <c r="K7" s="736" t="s">
        <v>661</v>
      </c>
      <c r="L7" s="736" t="s">
        <v>661</v>
      </c>
      <c r="M7" s="736" t="s">
        <v>661</v>
      </c>
      <c r="N7" s="736" t="s">
        <v>661</v>
      </c>
      <c r="O7" s="736" t="s">
        <v>661</v>
      </c>
      <c r="P7" s="736" t="s">
        <v>661</v>
      </c>
      <c r="Q7" s="735"/>
      <c r="R7" s="736" t="s">
        <v>661</v>
      </c>
      <c r="S7" s="736" t="s">
        <v>661</v>
      </c>
      <c r="T7" s="736" t="s">
        <v>661</v>
      </c>
      <c r="U7" s="736" t="s">
        <v>661</v>
      </c>
      <c r="V7" s="736" t="s">
        <v>661</v>
      </c>
      <c r="W7" s="736" t="s">
        <v>661</v>
      </c>
      <c r="X7" s="735"/>
      <c r="Y7" s="736" t="s">
        <v>661</v>
      </c>
      <c r="Z7" s="736" t="s">
        <v>661</v>
      </c>
      <c r="AA7" s="736" t="s">
        <v>661</v>
      </c>
      <c r="AB7" s="736" t="s">
        <v>661</v>
      </c>
      <c r="AC7" s="736" t="s">
        <v>661</v>
      </c>
      <c r="AD7" s="736" t="s">
        <v>661</v>
      </c>
      <c r="AE7" s="735"/>
      <c r="AF7" s="736" t="s">
        <v>661</v>
      </c>
      <c r="AG7" s="736" t="s">
        <v>661</v>
      </c>
      <c r="AH7" s="736" t="s">
        <v>661</v>
      </c>
      <c r="AI7" s="749">
        <f t="shared" si="0"/>
        <v>0</v>
      </c>
      <c r="AJ7" s="749">
        <f t="shared" si="1"/>
        <v>0</v>
      </c>
      <c r="AK7" s="749">
        <f t="shared" si="2"/>
        <v>0</v>
      </c>
    </row>
    <row r="8" spans="2:37">
      <c r="B8" s="724">
        <v>5</v>
      </c>
      <c r="C8" s="734" t="str">
        <f>SISWA!E10</f>
        <v>Anak 5</v>
      </c>
      <c r="D8" s="736" t="s">
        <v>661</v>
      </c>
      <c r="E8" s="736" t="s">
        <v>661</v>
      </c>
      <c r="F8" s="735"/>
      <c r="G8" s="736" t="s">
        <v>661</v>
      </c>
      <c r="H8" s="736" t="s">
        <v>661</v>
      </c>
      <c r="I8" s="736" t="s">
        <v>661</v>
      </c>
      <c r="J8" s="735"/>
      <c r="K8" s="736" t="s">
        <v>661</v>
      </c>
      <c r="L8" s="736" t="s">
        <v>661</v>
      </c>
      <c r="M8" s="736" t="s">
        <v>661</v>
      </c>
      <c r="N8" s="736" t="s">
        <v>661</v>
      </c>
      <c r="O8" s="736" t="s">
        <v>661</v>
      </c>
      <c r="P8" s="736" t="s">
        <v>661</v>
      </c>
      <c r="Q8" s="735"/>
      <c r="R8" s="736" t="s">
        <v>661</v>
      </c>
      <c r="S8" s="736" t="s">
        <v>661</v>
      </c>
      <c r="T8" s="736" t="s">
        <v>661</v>
      </c>
      <c r="U8" s="736" t="s">
        <v>661</v>
      </c>
      <c r="V8" s="736" t="s">
        <v>661</v>
      </c>
      <c r="W8" s="736" t="s">
        <v>661</v>
      </c>
      <c r="X8" s="735"/>
      <c r="Y8" s="736" t="s">
        <v>967</v>
      </c>
      <c r="Z8" s="736" t="s">
        <v>967</v>
      </c>
      <c r="AA8" s="736" t="s">
        <v>967</v>
      </c>
      <c r="AB8" s="736" t="s">
        <v>967</v>
      </c>
      <c r="AC8" s="736" t="s">
        <v>967</v>
      </c>
      <c r="AD8" s="736" t="s">
        <v>967</v>
      </c>
      <c r="AE8" s="735"/>
      <c r="AF8" s="736" t="s">
        <v>661</v>
      </c>
      <c r="AG8" s="736" t="s">
        <v>661</v>
      </c>
      <c r="AH8" s="736" t="s">
        <v>661</v>
      </c>
      <c r="AI8" s="749">
        <f t="shared" si="0"/>
        <v>6</v>
      </c>
      <c r="AJ8" s="749">
        <f t="shared" si="1"/>
        <v>0</v>
      </c>
      <c r="AK8" s="749">
        <f t="shared" si="2"/>
        <v>0</v>
      </c>
    </row>
    <row r="9" spans="2:37">
      <c r="B9" s="724">
        <v>6</v>
      </c>
      <c r="C9" s="734" t="str">
        <f>SISWA!E11</f>
        <v>Anak 6</v>
      </c>
      <c r="D9" s="736" t="s">
        <v>661</v>
      </c>
      <c r="E9" s="736" t="s">
        <v>661</v>
      </c>
      <c r="F9" s="735"/>
      <c r="G9" s="736" t="s">
        <v>661</v>
      </c>
      <c r="H9" s="736" t="s">
        <v>661</v>
      </c>
      <c r="I9" s="736" t="s">
        <v>661</v>
      </c>
      <c r="J9" s="735"/>
      <c r="K9" s="736" t="s">
        <v>661</v>
      </c>
      <c r="L9" s="736" t="s">
        <v>661</v>
      </c>
      <c r="M9" s="736" t="s">
        <v>661</v>
      </c>
      <c r="N9" s="736" t="s">
        <v>661</v>
      </c>
      <c r="O9" s="736" t="s">
        <v>661</v>
      </c>
      <c r="P9" s="736" t="s">
        <v>661</v>
      </c>
      <c r="Q9" s="735"/>
      <c r="R9" s="736" t="s">
        <v>661</v>
      </c>
      <c r="S9" s="736" t="s">
        <v>661</v>
      </c>
      <c r="T9" s="736" t="s">
        <v>661</v>
      </c>
      <c r="U9" s="736" t="s">
        <v>661</v>
      </c>
      <c r="V9" s="736" t="s">
        <v>661</v>
      </c>
      <c r="W9" s="736" t="s">
        <v>661</v>
      </c>
      <c r="X9" s="735"/>
      <c r="Y9" s="736" t="s">
        <v>661</v>
      </c>
      <c r="Z9" s="736" t="s">
        <v>661</v>
      </c>
      <c r="AA9" s="736" t="s">
        <v>661</v>
      </c>
      <c r="AB9" s="736" t="s">
        <v>661</v>
      </c>
      <c r="AC9" s="736" t="s">
        <v>661</v>
      </c>
      <c r="AD9" s="736" t="s">
        <v>661</v>
      </c>
      <c r="AE9" s="735"/>
      <c r="AF9" s="736" t="s">
        <v>661</v>
      </c>
      <c r="AG9" s="736" t="s">
        <v>661</v>
      </c>
      <c r="AH9" s="736" t="s">
        <v>661</v>
      </c>
      <c r="AI9" s="749">
        <f t="shared" si="0"/>
        <v>0</v>
      </c>
      <c r="AJ9" s="749">
        <f t="shared" si="1"/>
        <v>0</v>
      </c>
      <c r="AK9" s="749">
        <f t="shared" si="2"/>
        <v>0</v>
      </c>
    </row>
    <row r="10" spans="2:37">
      <c r="B10" s="724">
        <v>7</v>
      </c>
      <c r="C10" s="734" t="str">
        <f>SISWA!E12</f>
        <v>Anak 7</v>
      </c>
      <c r="D10" s="736" t="s">
        <v>661</v>
      </c>
      <c r="E10" s="736" t="s">
        <v>661</v>
      </c>
      <c r="F10" s="735"/>
      <c r="G10" s="736" t="s">
        <v>661</v>
      </c>
      <c r="H10" s="736" t="s">
        <v>661</v>
      </c>
      <c r="I10" s="736" t="s">
        <v>661</v>
      </c>
      <c r="J10" s="735"/>
      <c r="K10" s="736" t="s">
        <v>661</v>
      </c>
      <c r="L10" s="736" t="s">
        <v>661</v>
      </c>
      <c r="M10" s="736" t="s">
        <v>661</v>
      </c>
      <c r="N10" s="736" t="s">
        <v>661</v>
      </c>
      <c r="O10" s="736" t="s">
        <v>661</v>
      </c>
      <c r="P10" s="736" t="s">
        <v>661</v>
      </c>
      <c r="Q10" s="735"/>
      <c r="R10" s="736" t="s">
        <v>661</v>
      </c>
      <c r="S10" s="736" t="s">
        <v>661</v>
      </c>
      <c r="T10" s="736" t="s">
        <v>661</v>
      </c>
      <c r="U10" s="736" t="s">
        <v>661</v>
      </c>
      <c r="V10" s="736" t="s">
        <v>661</v>
      </c>
      <c r="W10" s="736" t="s">
        <v>661</v>
      </c>
      <c r="X10" s="735"/>
      <c r="Y10" s="736" t="s">
        <v>661</v>
      </c>
      <c r="Z10" s="736" t="s">
        <v>661</v>
      </c>
      <c r="AA10" s="736" t="s">
        <v>661</v>
      </c>
      <c r="AB10" s="736" t="s">
        <v>661</v>
      </c>
      <c r="AC10" s="736" t="s">
        <v>661</v>
      </c>
      <c r="AD10" s="736" t="s">
        <v>661</v>
      </c>
      <c r="AE10" s="735"/>
      <c r="AF10" s="736" t="s">
        <v>661</v>
      </c>
      <c r="AG10" s="736" t="s">
        <v>661</v>
      </c>
      <c r="AH10" s="736" t="s">
        <v>661</v>
      </c>
      <c r="AI10" s="749">
        <f t="shared" si="0"/>
        <v>0</v>
      </c>
      <c r="AJ10" s="749">
        <f t="shared" si="1"/>
        <v>0</v>
      </c>
      <c r="AK10" s="749">
        <f t="shared" si="2"/>
        <v>0</v>
      </c>
    </row>
    <row r="11" spans="2:37">
      <c r="B11" s="724">
        <v>8</v>
      </c>
      <c r="C11" s="734" t="str">
        <f>SISWA!E13</f>
        <v>Anak 8</v>
      </c>
      <c r="D11" s="736" t="s">
        <v>661</v>
      </c>
      <c r="E11" s="736" t="s">
        <v>661</v>
      </c>
      <c r="F11" s="735"/>
      <c r="G11" s="736" t="s">
        <v>661</v>
      </c>
      <c r="H11" s="736" t="s">
        <v>661</v>
      </c>
      <c r="I11" s="736" t="s">
        <v>661</v>
      </c>
      <c r="J11" s="735"/>
      <c r="K11" s="736" t="s">
        <v>661</v>
      </c>
      <c r="L11" s="736" t="s">
        <v>661</v>
      </c>
      <c r="M11" s="736" t="s">
        <v>661</v>
      </c>
      <c r="N11" s="736" t="s">
        <v>661</v>
      </c>
      <c r="O11" s="736" t="s">
        <v>661</v>
      </c>
      <c r="P11" s="736" t="s">
        <v>661</v>
      </c>
      <c r="Q11" s="735"/>
      <c r="R11" s="736" t="s">
        <v>661</v>
      </c>
      <c r="S11" s="736" t="s">
        <v>661</v>
      </c>
      <c r="T11" s="736" t="s">
        <v>661</v>
      </c>
      <c r="U11" s="736" t="s">
        <v>661</v>
      </c>
      <c r="V11" s="736" t="s">
        <v>661</v>
      </c>
      <c r="W11" s="736" t="s">
        <v>661</v>
      </c>
      <c r="X11" s="735"/>
      <c r="Y11" s="736" t="s">
        <v>661</v>
      </c>
      <c r="Z11" s="736" t="s">
        <v>661</v>
      </c>
      <c r="AA11" s="736" t="s">
        <v>661</v>
      </c>
      <c r="AB11" s="736" t="s">
        <v>661</v>
      </c>
      <c r="AC11" s="736" t="s">
        <v>661</v>
      </c>
      <c r="AD11" s="736" t="s">
        <v>661</v>
      </c>
      <c r="AE11" s="735"/>
      <c r="AF11" s="736" t="s">
        <v>661</v>
      </c>
      <c r="AG11" s="736" t="s">
        <v>661</v>
      </c>
      <c r="AH11" s="736" t="s">
        <v>661</v>
      </c>
      <c r="AI11" s="749">
        <f t="shared" si="0"/>
        <v>0</v>
      </c>
      <c r="AJ11" s="749">
        <f t="shared" si="1"/>
        <v>0</v>
      </c>
      <c r="AK11" s="749">
        <f t="shared" si="2"/>
        <v>0</v>
      </c>
    </row>
    <row r="12" spans="2:37">
      <c r="B12" s="724">
        <v>9</v>
      </c>
      <c r="C12" s="734" t="str">
        <f>SISWA!E14</f>
        <v>Anak 9</v>
      </c>
      <c r="D12" s="736" t="s">
        <v>661</v>
      </c>
      <c r="E12" s="736" t="s">
        <v>661</v>
      </c>
      <c r="F12" s="735"/>
      <c r="G12" s="736" t="s">
        <v>661</v>
      </c>
      <c r="H12" s="736" t="s">
        <v>661</v>
      </c>
      <c r="I12" s="736" t="s">
        <v>661</v>
      </c>
      <c r="J12" s="735"/>
      <c r="K12" s="736" t="s">
        <v>661</v>
      </c>
      <c r="L12" s="736" t="s">
        <v>661</v>
      </c>
      <c r="M12" s="736" t="s">
        <v>661</v>
      </c>
      <c r="N12" s="736" t="s">
        <v>661</v>
      </c>
      <c r="O12" s="736" t="s">
        <v>661</v>
      </c>
      <c r="P12" s="736" t="s">
        <v>661</v>
      </c>
      <c r="Q12" s="735"/>
      <c r="R12" s="736" t="s">
        <v>661</v>
      </c>
      <c r="S12" s="736" t="s">
        <v>661</v>
      </c>
      <c r="T12" s="736" t="s">
        <v>661</v>
      </c>
      <c r="U12" s="736" t="s">
        <v>661</v>
      </c>
      <c r="V12" s="736" t="s">
        <v>661</v>
      </c>
      <c r="W12" s="736" t="s">
        <v>661</v>
      </c>
      <c r="X12" s="735"/>
      <c r="Y12" s="736" t="s">
        <v>661</v>
      </c>
      <c r="Z12" s="736" t="s">
        <v>661</v>
      </c>
      <c r="AA12" s="736" t="s">
        <v>661</v>
      </c>
      <c r="AB12" s="736" t="s">
        <v>661</v>
      </c>
      <c r="AC12" s="736" t="s">
        <v>661</v>
      </c>
      <c r="AD12" s="736" t="s">
        <v>661</v>
      </c>
      <c r="AE12" s="735"/>
      <c r="AF12" s="736" t="s">
        <v>661</v>
      </c>
      <c r="AG12" s="736" t="s">
        <v>661</v>
      </c>
      <c r="AH12" s="736" t="s">
        <v>661</v>
      </c>
      <c r="AI12" s="749">
        <f t="shared" si="0"/>
        <v>0</v>
      </c>
      <c r="AJ12" s="749">
        <f t="shared" si="1"/>
        <v>0</v>
      </c>
      <c r="AK12" s="749">
        <f t="shared" si="2"/>
        <v>0</v>
      </c>
    </row>
    <row r="13" spans="2:37">
      <c r="B13" s="724">
        <v>10</v>
      </c>
      <c r="C13" s="734" t="str">
        <f>SISWA!E15</f>
        <v>Anak 10</v>
      </c>
      <c r="D13" s="736" t="s">
        <v>661</v>
      </c>
      <c r="E13" s="736" t="s">
        <v>661</v>
      </c>
      <c r="F13" s="735"/>
      <c r="G13" s="736" t="s">
        <v>661</v>
      </c>
      <c r="H13" s="736" t="s">
        <v>661</v>
      </c>
      <c r="I13" s="736" t="s">
        <v>661</v>
      </c>
      <c r="J13" s="735"/>
      <c r="K13" s="736" t="s">
        <v>661</v>
      </c>
      <c r="L13" s="736" t="s">
        <v>661</v>
      </c>
      <c r="M13" s="736" t="s">
        <v>661</v>
      </c>
      <c r="N13" s="736" t="s">
        <v>661</v>
      </c>
      <c r="O13" s="736" t="s">
        <v>661</v>
      </c>
      <c r="P13" s="736" t="s">
        <v>661</v>
      </c>
      <c r="Q13" s="735"/>
      <c r="R13" s="736" t="s">
        <v>661</v>
      </c>
      <c r="S13" s="736" t="s">
        <v>661</v>
      </c>
      <c r="T13" s="736" t="s">
        <v>661</v>
      </c>
      <c r="U13" s="736" t="s">
        <v>661</v>
      </c>
      <c r="V13" s="736" t="s">
        <v>661</v>
      </c>
      <c r="W13" s="736" t="s">
        <v>661</v>
      </c>
      <c r="X13" s="735"/>
      <c r="Y13" s="736" t="s">
        <v>661</v>
      </c>
      <c r="Z13" s="736" t="s">
        <v>661</v>
      </c>
      <c r="AA13" s="736" t="s">
        <v>661</v>
      </c>
      <c r="AB13" s="736" t="s">
        <v>661</v>
      </c>
      <c r="AC13" s="736" t="s">
        <v>661</v>
      </c>
      <c r="AD13" s="736" t="s">
        <v>661</v>
      </c>
      <c r="AE13" s="735"/>
      <c r="AF13" s="736" t="s">
        <v>661</v>
      </c>
      <c r="AG13" s="736" t="s">
        <v>661</v>
      </c>
      <c r="AH13" s="736" t="s">
        <v>661</v>
      </c>
      <c r="AI13" s="749">
        <f t="shared" si="0"/>
        <v>0</v>
      </c>
      <c r="AJ13" s="749">
        <f t="shared" si="1"/>
        <v>0</v>
      </c>
      <c r="AK13" s="749">
        <f t="shared" si="2"/>
        <v>0</v>
      </c>
    </row>
    <row r="14" spans="2:37">
      <c r="B14" s="724">
        <v>11</v>
      </c>
      <c r="C14" s="734" t="str">
        <f>SISWA!E16</f>
        <v>Anak 11</v>
      </c>
      <c r="D14" s="736" t="s">
        <v>661</v>
      </c>
      <c r="E14" s="736" t="s">
        <v>661</v>
      </c>
      <c r="F14" s="735"/>
      <c r="G14" s="736" t="s">
        <v>661</v>
      </c>
      <c r="H14" s="736" t="s">
        <v>661</v>
      </c>
      <c r="I14" s="736" t="s">
        <v>661</v>
      </c>
      <c r="J14" s="735"/>
      <c r="K14" s="736" t="s">
        <v>661</v>
      </c>
      <c r="L14" s="736" t="s">
        <v>661</v>
      </c>
      <c r="M14" s="736" t="s">
        <v>661</v>
      </c>
      <c r="N14" s="736" t="s">
        <v>661</v>
      </c>
      <c r="O14" s="736" t="s">
        <v>661</v>
      </c>
      <c r="P14" s="736" t="s">
        <v>661</v>
      </c>
      <c r="Q14" s="735"/>
      <c r="R14" s="736" t="s">
        <v>661</v>
      </c>
      <c r="S14" s="736" t="s">
        <v>661</v>
      </c>
      <c r="T14" s="736" t="s">
        <v>661</v>
      </c>
      <c r="U14" s="736" t="s">
        <v>661</v>
      </c>
      <c r="V14" s="736" t="s">
        <v>661</v>
      </c>
      <c r="W14" s="736" t="s">
        <v>661</v>
      </c>
      <c r="X14" s="735"/>
      <c r="Y14" s="736" t="s">
        <v>661</v>
      </c>
      <c r="Z14" s="736" t="s">
        <v>661</v>
      </c>
      <c r="AA14" s="736" t="s">
        <v>661</v>
      </c>
      <c r="AB14" s="736" t="s">
        <v>661</v>
      </c>
      <c r="AC14" s="736" t="s">
        <v>661</v>
      </c>
      <c r="AD14" s="736" t="s">
        <v>661</v>
      </c>
      <c r="AE14" s="735"/>
      <c r="AF14" s="736" t="s">
        <v>661</v>
      </c>
      <c r="AG14" s="736" t="s">
        <v>661</v>
      </c>
      <c r="AH14" s="736" t="s">
        <v>661</v>
      </c>
      <c r="AI14" s="749">
        <f t="shared" si="0"/>
        <v>0</v>
      </c>
      <c r="AJ14" s="749">
        <f t="shared" si="1"/>
        <v>0</v>
      </c>
      <c r="AK14" s="749">
        <f t="shared" si="2"/>
        <v>0</v>
      </c>
    </row>
    <row r="15" spans="2:37">
      <c r="B15" s="724">
        <v>12</v>
      </c>
      <c r="C15" s="734" t="str">
        <f>SISWA!E17</f>
        <v>Anak 12</v>
      </c>
      <c r="D15" s="736" t="s">
        <v>661</v>
      </c>
      <c r="E15" s="736" t="s">
        <v>661</v>
      </c>
      <c r="F15" s="735"/>
      <c r="G15" s="736" t="s">
        <v>661</v>
      </c>
      <c r="H15" s="736" t="s">
        <v>661</v>
      </c>
      <c r="I15" s="736" t="s">
        <v>661</v>
      </c>
      <c r="J15" s="735"/>
      <c r="K15" s="736" t="s">
        <v>661</v>
      </c>
      <c r="L15" s="736" t="s">
        <v>661</v>
      </c>
      <c r="M15" s="736" t="s">
        <v>661</v>
      </c>
      <c r="N15" s="736" t="s">
        <v>661</v>
      </c>
      <c r="O15" s="736" t="s">
        <v>661</v>
      </c>
      <c r="P15" s="736" t="s">
        <v>661</v>
      </c>
      <c r="Q15" s="735"/>
      <c r="R15" s="736" t="s">
        <v>661</v>
      </c>
      <c r="S15" s="736" t="s">
        <v>661</v>
      </c>
      <c r="T15" s="736" t="s">
        <v>661</v>
      </c>
      <c r="U15" s="736" t="s">
        <v>661</v>
      </c>
      <c r="V15" s="736" t="s">
        <v>661</v>
      </c>
      <c r="W15" s="736" t="s">
        <v>661</v>
      </c>
      <c r="X15" s="735"/>
      <c r="Y15" s="736" t="s">
        <v>661</v>
      </c>
      <c r="Z15" s="736" t="s">
        <v>661</v>
      </c>
      <c r="AA15" s="736" t="s">
        <v>661</v>
      </c>
      <c r="AB15" s="736" t="s">
        <v>661</v>
      </c>
      <c r="AC15" s="736" t="s">
        <v>661</v>
      </c>
      <c r="AD15" s="736" t="s">
        <v>661</v>
      </c>
      <c r="AE15" s="735"/>
      <c r="AF15" s="736" t="s">
        <v>661</v>
      </c>
      <c r="AG15" s="736" t="s">
        <v>661</v>
      </c>
      <c r="AH15" s="736" t="s">
        <v>661</v>
      </c>
      <c r="AI15" s="749">
        <f t="shared" si="0"/>
        <v>0</v>
      </c>
      <c r="AJ15" s="749">
        <f t="shared" si="1"/>
        <v>0</v>
      </c>
      <c r="AK15" s="749">
        <f t="shared" si="2"/>
        <v>0</v>
      </c>
    </row>
    <row r="16" spans="2:37">
      <c r="B16" s="724">
        <v>13</v>
      </c>
      <c r="C16" s="734" t="str">
        <f>SISWA!E18</f>
        <v>Anak 13</v>
      </c>
      <c r="D16" s="736" t="s">
        <v>661</v>
      </c>
      <c r="E16" s="736" t="s">
        <v>661</v>
      </c>
      <c r="F16" s="735"/>
      <c r="G16" s="736" t="s">
        <v>661</v>
      </c>
      <c r="H16" s="736" t="s">
        <v>661</v>
      </c>
      <c r="I16" s="736" t="s">
        <v>661</v>
      </c>
      <c r="J16" s="735"/>
      <c r="K16" s="736" t="s">
        <v>661</v>
      </c>
      <c r="L16" s="736" t="s">
        <v>661</v>
      </c>
      <c r="M16" s="736" t="s">
        <v>661</v>
      </c>
      <c r="N16" s="736" t="s">
        <v>661</v>
      </c>
      <c r="O16" s="736" t="s">
        <v>661</v>
      </c>
      <c r="P16" s="736" t="s">
        <v>661</v>
      </c>
      <c r="Q16" s="735"/>
      <c r="R16" s="736" t="s">
        <v>661</v>
      </c>
      <c r="S16" s="736" t="s">
        <v>661</v>
      </c>
      <c r="T16" s="736" t="s">
        <v>661</v>
      </c>
      <c r="U16" s="736" t="s">
        <v>661</v>
      </c>
      <c r="V16" s="736" t="s">
        <v>661</v>
      </c>
      <c r="W16" s="736" t="s">
        <v>661</v>
      </c>
      <c r="X16" s="735"/>
      <c r="Y16" s="736" t="s">
        <v>661</v>
      </c>
      <c r="Z16" s="736" t="s">
        <v>661</v>
      </c>
      <c r="AA16" s="736" t="s">
        <v>661</v>
      </c>
      <c r="AB16" s="736" t="s">
        <v>661</v>
      </c>
      <c r="AC16" s="736" t="s">
        <v>661</v>
      </c>
      <c r="AD16" s="736" t="s">
        <v>661</v>
      </c>
      <c r="AE16" s="735"/>
      <c r="AF16" s="736" t="s">
        <v>661</v>
      </c>
      <c r="AG16" s="736" t="s">
        <v>661</v>
      </c>
      <c r="AH16" s="736" t="s">
        <v>661</v>
      </c>
      <c r="AI16" s="749">
        <f t="shared" si="0"/>
        <v>0</v>
      </c>
      <c r="AJ16" s="749">
        <f t="shared" si="1"/>
        <v>0</v>
      </c>
      <c r="AK16" s="749">
        <f t="shared" si="2"/>
        <v>0</v>
      </c>
    </row>
    <row r="17" spans="2:37">
      <c r="B17" s="724">
        <v>14</v>
      </c>
      <c r="C17" s="734" t="str">
        <f>SISWA!E19</f>
        <v>Anak 14</v>
      </c>
      <c r="D17" s="736" t="s">
        <v>661</v>
      </c>
      <c r="E17" s="736" t="s">
        <v>661</v>
      </c>
      <c r="F17" s="735"/>
      <c r="G17" s="736" t="s">
        <v>661</v>
      </c>
      <c r="H17" s="736" t="s">
        <v>661</v>
      </c>
      <c r="I17" s="736" t="s">
        <v>661</v>
      </c>
      <c r="J17" s="735"/>
      <c r="K17" s="736" t="s">
        <v>661</v>
      </c>
      <c r="L17" s="736" t="s">
        <v>661</v>
      </c>
      <c r="M17" s="736" t="s">
        <v>661</v>
      </c>
      <c r="N17" s="736" t="s">
        <v>661</v>
      </c>
      <c r="O17" s="736" t="s">
        <v>661</v>
      </c>
      <c r="P17" s="736" t="s">
        <v>661</v>
      </c>
      <c r="Q17" s="735"/>
      <c r="R17" s="736" t="s">
        <v>661</v>
      </c>
      <c r="S17" s="736" t="s">
        <v>661</v>
      </c>
      <c r="T17" s="736" t="s">
        <v>661</v>
      </c>
      <c r="U17" s="736" t="s">
        <v>661</v>
      </c>
      <c r="V17" s="736" t="s">
        <v>661</v>
      </c>
      <c r="W17" s="736" t="s">
        <v>661</v>
      </c>
      <c r="X17" s="735"/>
      <c r="Y17" s="736" t="s">
        <v>661</v>
      </c>
      <c r="Z17" s="736" t="s">
        <v>661</v>
      </c>
      <c r="AA17" s="736" t="s">
        <v>661</v>
      </c>
      <c r="AB17" s="736" t="s">
        <v>661</v>
      </c>
      <c r="AC17" s="736" t="s">
        <v>661</v>
      </c>
      <c r="AD17" s="736" t="s">
        <v>661</v>
      </c>
      <c r="AE17" s="735"/>
      <c r="AF17" s="736" t="s">
        <v>661</v>
      </c>
      <c r="AG17" s="736" t="s">
        <v>661</v>
      </c>
      <c r="AH17" s="736" t="s">
        <v>661</v>
      </c>
      <c r="AI17" s="749">
        <f t="shared" si="0"/>
        <v>0</v>
      </c>
      <c r="AJ17" s="749">
        <f t="shared" si="1"/>
        <v>0</v>
      </c>
      <c r="AK17" s="749">
        <f t="shared" si="2"/>
        <v>0</v>
      </c>
    </row>
    <row r="18" spans="2:37">
      <c r="B18" s="724">
        <v>15</v>
      </c>
      <c r="C18" s="734" t="str">
        <f>SISWA!E20</f>
        <v>Anak 15</v>
      </c>
      <c r="D18" s="736" t="s">
        <v>661</v>
      </c>
      <c r="E18" s="736" t="s">
        <v>661</v>
      </c>
      <c r="F18" s="735"/>
      <c r="G18" s="736" t="s">
        <v>661</v>
      </c>
      <c r="H18" s="736" t="s">
        <v>661</v>
      </c>
      <c r="I18" s="736" t="s">
        <v>661</v>
      </c>
      <c r="J18" s="735"/>
      <c r="K18" s="736" t="s">
        <v>661</v>
      </c>
      <c r="L18" s="736" t="s">
        <v>661</v>
      </c>
      <c r="M18" s="736" t="s">
        <v>661</v>
      </c>
      <c r="N18" s="736" t="s">
        <v>661</v>
      </c>
      <c r="O18" s="736" t="s">
        <v>661</v>
      </c>
      <c r="P18" s="736" t="s">
        <v>661</v>
      </c>
      <c r="Q18" s="735"/>
      <c r="R18" s="736" t="s">
        <v>661</v>
      </c>
      <c r="S18" s="736" t="s">
        <v>661</v>
      </c>
      <c r="T18" s="736" t="s">
        <v>661</v>
      </c>
      <c r="U18" s="736" t="s">
        <v>661</v>
      </c>
      <c r="V18" s="736" t="s">
        <v>661</v>
      </c>
      <c r="W18" s="736" t="s">
        <v>661</v>
      </c>
      <c r="X18" s="735"/>
      <c r="Y18" s="736" t="s">
        <v>661</v>
      </c>
      <c r="Z18" s="736" t="s">
        <v>661</v>
      </c>
      <c r="AA18" s="736" t="s">
        <v>661</v>
      </c>
      <c r="AB18" s="736" t="s">
        <v>661</v>
      </c>
      <c r="AC18" s="736" t="s">
        <v>661</v>
      </c>
      <c r="AD18" s="736" t="s">
        <v>661</v>
      </c>
      <c r="AE18" s="735"/>
      <c r="AF18" s="736" t="s">
        <v>661</v>
      </c>
      <c r="AG18" s="736" t="s">
        <v>661</v>
      </c>
      <c r="AH18" s="736" t="s">
        <v>661</v>
      </c>
      <c r="AI18" s="749">
        <f t="shared" si="0"/>
        <v>0</v>
      </c>
      <c r="AJ18" s="749">
        <f t="shared" si="1"/>
        <v>0</v>
      </c>
      <c r="AK18" s="749">
        <f t="shared" si="2"/>
        <v>0</v>
      </c>
    </row>
    <row r="19" spans="2:37">
      <c r="B19" s="724">
        <v>16</v>
      </c>
      <c r="C19" s="734" t="str">
        <f>SISWA!E21</f>
        <v>Anak 16</v>
      </c>
      <c r="D19" s="736" t="s">
        <v>661</v>
      </c>
      <c r="E19" s="736" t="s">
        <v>661</v>
      </c>
      <c r="F19" s="735"/>
      <c r="G19" s="736" t="s">
        <v>661</v>
      </c>
      <c r="H19" s="736" t="s">
        <v>661</v>
      </c>
      <c r="I19" s="736" t="s">
        <v>661</v>
      </c>
      <c r="J19" s="735"/>
      <c r="K19" s="736" t="s">
        <v>661</v>
      </c>
      <c r="L19" s="736" t="s">
        <v>661</v>
      </c>
      <c r="M19" s="736" t="s">
        <v>661</v>
      </c>
      <c r="N19" s="736" t="s">
        <v>661</v>
      </c>
      <c r="O19" s="736" t="s">
        <v>661</v>
      </c>
      <c r="P19" s="736" t="s">
        <v>661</v>
      </c>
      <c r="Q19" s="735"/>
      <c r="R19" s="736" t="s">
        <v>661</v>
      </c>
      <c r="S19" s="736" t="s">
        <v>661</v>
      </c>
      <c r="T19" s="736" t="s">
        <v>661</v>
      </c>
      <c r="U19" s="736" t="s">
        <v>661</v>
      </c>
      <c r="V19" s="736" t="s">
        <v>661</v>
      </c>
      <c r="W19" s="736" t="s">
        <v>661</v>
      </c>
      <c r="X19" s="735"/>
      <c r="Y19" s="736" t="s">
        <v>661</v>
      </c>
      <c r="Z19" s="736" t="s">
        <v>661</v>
      </c>
      <c r="AA19" s="736" t="s">
        <v>661</v>
      </c>
      <c r="AB19" s="736" t="s">
        <v>661</v>
      </c>
      <c r="AC19" s="736" t="s">
        <v>661</v>
      </c>
      <c r="AD19" s="736" t="s">
        <v>661</v>
      </c>
      <c r="AE19" s="735"/>
      <c r="AF19" s="736" t="s">
        <v>661</v>
      </c>
      <c r="AG19" s="736" t="s">
        <v>661</v>
      </c>
      <c r="AH19" s="736" t="s">
        <v>661</v>
      </c>
      <c r="AI19" s="749">
        <f t="shared" si="0"/>
        <v>0</v>
      </c>
      <c r="AJ19" s="749">
        <f t="shared" si="1"/>
        <v>0</v>
      </c>
      <c r="AK19" s="749">
        <f t="shared" si="2"/>
        <v>0</v>
      </c>
    </row>
    <row r="20" spans="2:37">
      <c r="B20" s="724">
        <v>17</v>
      </c>
      <c r="C20" s="734" t="str">
        <f>SISWA!E22</f>
        <v>Anak 17</v>
      </c>
      <c r="D20" s="736" t="s">
        <v>661</v>
      </c>
      <c r="E20" s="736" t="s">
        <v>661</v>
      </c>
      <c r="F20" s="735"/>
      <c r="G20" s="736" t="s">
        <v>661</v>
      </c>
      <c r="H20" s="736" t="s">
        <v>661</v>
      </c>
      <c r="I20" s="736" t="s">
        <v>661</v>
      </c>
      <c r="J20" s="735"/>
      <c r="K20" s="736" t="s">
        <v>661</v>
      </c>
      <c r="L20" s="736" t="s">
        <v>661</v>
      </c>
      <c r="M20" s="736" t="s">
        <v>661</v>
      </c>
      <c r="N20" s="736" t="s">
        <v>661</v>
      </c>
      <c r="O20" s="736" t="s">
        <v>661</v>
      </c>
      <c r="P20" s="736" t="s">
        <v>661</v>
      </c>
      <c r="Q20" s="735"/>
      <c r="R20" s="736" t="s">
        <v>661</v>
      </c>
      <c r="S20" s="736" t="s">
        <v>661</v>
      </c>
      <c r="T20" s="736" t="s">
        <v>661</v>
      </c>
      <c r="U20" s="736" t="s">
        <v>661</v>
      </c>
      <c r="V20" s="736" t="s">
        <v>661</v>
      </c>
      <c r="W20" s="736" t="s">
        <v>661</v>
      </c>
      <c r="X20" s="735"/>
      <c r="Y20" s="736" t="s">
        <v>661</v>
      </c>
      <c r="Z20" s="736" t="s">
        <v>661</v>
      </c>
      <c r="AA20" s="736" t="s">
        <v>661</v>
      </c>
      <c r="AB20" s="736" t="s">
        <v>661</v>
      </c>
      <c r="AC20" s="736" t="s">
        <v>661</v>
      </c>
      <c r="AD20" s="736" t="s">
        <v>661</v>
      </c>
      <c r="AE20" s="735"/>
      <c r="AF20" s="736" t="s">
        <v>661</v>
      </c>
      <c r="AG20" s="736" t="s">
        <v>661</v>
      </c>
      <c r="AH20" s="736" t="s">
        <v>661</v>
      </c>
      <c r="AI20" s="749">
        <f t="shared" si="0"/>
        <v>0</v>
      </c>
      <c r="AJ20" s="749">
        <f t="shared" si="1"/>
        <v>0</v>
      </c>
      <c r="AK20" s="749">
        <f t="shared" si="2"/>
        <v>0</v>
      </c>
    </row>
    <row r="21" spans="2:37">
      <c r="B21" s="724">
        <v>18</v>
      </c>
      <c r="C21" s="734" t="str">
        <f>SISWA!E23</f>
        <v>Anak 18</v>
      </c>
      <c r="D21" s="736" t="s">
        <v>661</v>
      </c>
      <c r="E21" s="736" t="s">
        <v>661</v>
      </c>
      <c r="F21" s="735"/>
      <c r="G21" s="736" t="s">
        <v>661</v>
      </c>
      <c r="H21" s="736" t="s">
        <v>661</v>
      </c>
      <c r="I21" s="736" t="s">
        <v>661</v>
      </c>
      <c r="J21" s="735"/>
      <c r="K21" s="736" t="s">
        <v>661</v>
      </c>
      <c r="L21" s="736" t="s">
        <v>661</v>
      </c>
      <c r="M21" s="736" t="s">
        <v>661</v>
      </c>
      <c r="N21" s="736" t="s">
        <v>661</v>
      </c>
      <c r="O21" s="736" t="s">
        <v>661</v>
      </c>
      <c r="P21" s="736" t="s">
        <v>661</v>
      </c>
      <c r="Q21" s="735"/>
      <c r="R21" s="736" t="s">
        <v>661</v>
      </c>
      <c r="S21" s="736" t="s">
        <v>661</v>
      </c>
      <c r="T21" s="736" t="s">
        <v>661</v>
      </c>
      <c r="U21" s="736" t="s">
        <v>661</v>
      </c>
      <c r="V21" s="736" t="s">
        <v>661</v>
      </c>
      <c r="W21" s="736" t="s">
        <v>661</v>
      </c>
      <c r="X21" s="735"/>
      <c r="Y21" s="736" t="s">
        <v>661</v>
      </c>
      <c r="Z21" s="736" t="s">
        <v>661</v>
      </c>
      <c r="AA21" s="736" t="s">
        <v>661</v>
      </c>
      <c r="AB21" s="736" t="s">
        <v>661</v>
      </c>
      <c r="AC21" s="736" t="s">
        <v>661</v>
      </c>
      <c r="AD21" s="736" t="s">
        <v>661</v>
      </c>
      <c r="AE21" s="735"/>
      <c r="AF21" s="736" t="s">
        <v>661</v>
      </c>
      <c r="AG21" s="736" t="s">
        <v>661</v>
      </c>
      <c r="AH21" s="736" t="s">
        <v>661</v>
      </c>
      <c r="AI21" s="749">
        <f t="shared" si="0"/>
        <v>0</v>
      </c>
      <c r="AJ21" s="749">
        <f t="shared" si="1"/>
        <v>0</v>
      </c>
      <c r="AK21" s="749">
        <f t="shared" si="2"/>
        <v>0</v>
      </c>
    </row>
    <row r="22" spans="2:37">
      <c r="B22" s="724">
        <v>19</v>
      </c>
      <c r="C22" s="734" t="str">
        <f>SISWA!E24</f>
        <v>Anak 19</v>
      </c>
      <c r="D22" s="736" t="s">
        <v>661</v>
      </c>
      <c r="E22" s="736" t="s">
        <v>661</v>
      </c>
      <c r="F22" s="735"/>
      <c r="G22" s="736" t="s">
        <v>661</v>
      </c>
      <c r="H22" s="736" t="s">
        <v>661</v>
      </c>
      <c r="I22" s="736" t="s">
        <v>661</v>
      </c>
      <c r="J22" s="735"/>
      <c r="K22" s="736" t="s">
        <v>661</v>
      </c>
      <c r="L22" s="736" t="s">
        <v>661</v>
      </c>
      <c r="M22" s="736" t="s">
        <v>661</v>
      </c>
      <c r="N22" s="736" t="s">
        <v>661</v>
      </c>
      <c r="O22" s="736" t="s">
        <v>661</v>
      </c>
      <c r="P22" s="736" t="s">
        <v>661</v>
      </c>
      <c r="Q22" s="735"/>
      <c r="R22" s="736" t="s">
        <v>661</v>
      </c>
      <c r="S22" s="736" t="s">
        <v>661</v>
      </c>
      <c r="T22" s="736" t="s">
        <v>661</v>
      </c>
      <c r="U22" s="736" t="s">
        <v>661</v>
      </c>
      <c r="V22" s="736" t="s">
        <v>661</v>
      </c>
      <c r="W22" s="736" t="s">
        <v>661</v>
      </c>
      <c r="X22" s="735"/>
      <c r="Y22" s="736" t="s">
        <v>661</v>
      </c>
      <c r="Z22" s="736" t="s">
        <v>661</v>
      </c>
      <c r="AA22" s="736" t="s">
        <v>661</v>
      </c>
      <c r="AB22" s="736" t="s">
        <v>661</v>
      </c>
      <c r="AC22" s="736" t="s">
        <v>661</v>
      </c>
      <c r="AD22" s="736" t="s">
        <v>661</v>
      </c>
      <c r="AE22" s="735"/>
      <c r="AF22" s="736" t="s">
        <v>661</v>
      </c>
      <c r="AG22" s="736" t="s">
        <v>661</v>
      </c>
      <c r="AH22" s="736" t="s">
        <v>661</v>
      </c>
      <c r="AI22" s="749">
        <f t="shared" si="0"/>
        <v>0</v>
      </c>
      <c r="AJ22" s="749">
        <f t="shared" si="1"/>
        <v>0</v>
      </c>
      <c r="AK22" s="749">
        <f t="shared" si="2"/>
        <v>0</v>
      </c>
    </row>
    <row r="23" spans="2:37">
      <c r="B23" s="724">
        <v>20</v>
      </c>
      <c r="C23" s="734" t="str">
        <f>SISWA!E25</f>
        <v>Anak 20</v>
      </c>
      <c r="D23" s="736" t="s">
        <v>661</v>
      </c>
      <c r="E23" s="736" t="s">
        <v>661</v>
      </c>
      <c r="F23" s="735"/>
      <c r="G23" s="736" t="s">
        <v>661</v>
      </c>
      <c r="H23" s="736" t="s">
        <v>661</v>
      </c>
      <c r="I23" s="736" t="s">
        <v>661</v>
      </c>
      <c r="J23" s="735"/>
      <c r="K23" s="736" t="s">
        <v>661</v>
      </c>
      <c r="L23" s="736" t="s">
        <v>661</v>
      </c>
      <c r="M23" s="736" t="s">
        <v>661</v>
      </c>
      <c r="N23" s="736" t="s">
        <v>661</v>
      </c>
      <c r="O23" s="736" t="s">
        <v>661</v>
      </c>
      <c r="P23" s="736" t="s">
        <v>661</v>
      </c>
      <c r="Q23" s="735"/>
      <c r="R23" s="736" t="s">
        <v>661</v>
      </c>
      <c r="S23" s="736" t="s">
        <v>661</v>
      </c>
      <c r="T23" s="736" t="s">
        <v>661</v>
      </c>
      <c r="U23" s="736" t="s">
        <v>661</v>
      </c>
      <c r="V23" s="736" t="s">
        <v>661</v>
      </c>
      <c r="W23" s="736" t="s">
        <v>661</v>
      </c>
      <c r="X23" s="735"/>
      <c r="Y23" s="736" t="s">
        <v>661</v>
      </c>
      <c r="Z23" s="736" t="s">
        <v>661</v>
      </c>
      <c r="AA23" s="736" t="s">
        <v>661</v>
      </c>
      <c r="AB23" s="736" t="s">
        <v>661</v>
      </c>
      <c r="AC23" s="736" t="s">
        <v>661</v>
      </c>
      <c r="AD23" s="736" t="s">
        <v>661</v>
      </c>
      <c r="AE23" s="735"/>
      <c r="AF23" s="736" t="s">
        <v>661</v>
      </c>
      <c r="AG23" s="736" t="s">
        <v>661</v>
      </c>
      <c r="AH23" s="736" t="s">
        <v>661</v>
      </c>
      <c r="AI23" s="749">
        <f t="shared" si="0"/>
        <v>0</v>
      </c>
      <c r="AJ23" s="749">
        <f t="shared" si="1"/>
        <v>0</v>
      </c>
      <c r="AK23" s="749">
        <f t="shared" si="2"/>
        <v>0</v>
      </c>
    </row>
    <row r="24" spans="2:37">
      <c r="B24" s="724">
        <v>21</v>
      </c>
      <c r="C24" s="734" t="str">
        <f>SISWA!E26</f>
        <v>Anak 21</v>
      </c>
      <c r="D24" s="736" t="s">
        <v>661</v>
      </c>
      <c r="E24" s="736" t="s">
        <v>661</v>
      </c>
      <c r="F24" s="735"/>
      <c r="G24" s="736" t="s">
        <v>661</v>
      </c>
      <c r="H24" s="736" t="s">
        <v>661</v>
      </c>
      <c r="I24" s="736" t="s">
        <v>661</v>
      </c>
      <c r="J24" s="735"/>
      <c r="K24" s="736" t="s">
        <v>661</v>
      </c>
      <c r="L24" s="736" t="s">
        <v>661</v>
      </c>
      <c r="M24" s="736" t="s">
        <v>661</v>
      </c>
      <c r="N24" s="736" t="s">
        <v>661</v>
      </c>
      <c r="O24" s="736" t="s">
        <v>661</v>
      </c>
      <c r="P24" s="736" t="s">
        <v>661</v>
      </c>
      <c r="Q24" s="735"/>
      <c r="R24" s="736" t="s">
        <v>661</v>
      </c>
      <c r="S24" s="736" t="s">
        <v>661</v>
      </c>
      <c r="T24" s="736" t="s">
        <v>661</v>
      </c>
      <c r="U24" s="736" t="s">
        <v>661</v>
      </c>
      <c r="V24" s="736" t="s">
        <v>661</v>
      </c>
      <c r="W24" s="736" t="s">
        <v>661</v>
      </c>
      <c r="X24" s="735"/>
      <c r="Y24" s="736" t="s">
        <v>661</v>
      </c>
      <c r="Z24" s="736" t="s">
        <v>661</v>
      </c>
      <c r="AA24" s="736" t="s">
        <v>661</v>
      </c>
      <c r="AB24" s="736" t="s">
        <v>661</v>
      </c>
      <c r="AC24" s="736" t="s">
        <v>661</v>
      </c>
      <c r="AD24" s="736" t="s">
        <v>661</v>
      </c>
      <c r="AE24" s="735"/>
      <c r="AF24" s="736" t="s">
        <v>661</v>
      </c>
      <c r="AG24" s="736" t="s">
        <v>661</v>
      </c>
      <c r="AH24" s="736" t="s">
        <v>661</v>
      </c>
      <c r="AI24" s="749">
        <f t="shared" si="0"/>
        <v>0</v>
      </c>
      <c r="AJ24" s="749">
        <f t="shared" si="1"/>
        <v>0</v>
      </c>
      <c r="AK24" s="749">
        <f t="shared" si="2"/>
        <v>0</v>
      </c>
    </row>
    <row r="25" spans="2:37">
      <c r="B25" s="724">
        <v>22</v>
      </c>
      <c r="C25" s="734" t="str">
        <f>SISWA!E27</f>
        <v>Anak 22</v>
      </c>
      <c r="D25" s="736" t="s">
        <v>661</v>
      </c>
      <c r="E25" s="736" t="s">
        <v>661</v>
      </c>
      <c r="F25" s="735"/>
      <c r="G25" s="736" t="s">
        <v>661</v>
      </c>
      <c r="H25" s="736" t="s">
        <v>661</v>
      </c>
      <c r="I25" s="736" t="s">
        <v>661</v>
      </c>
      <c r="J25" s="735"/>
      <c r="K25" s="736" t="s">
        <v>661</v>
      </c>
      <c r="L25" s="736" t="s">
        <v>661</v>
      </c>
      <c r="M25" s="736" t="s">
        <v>661</v>
      </c>
      <c r="N25" s="736" t="s">
        <v>661</v>
      </c>
      <c r="O25" s="736" t="s">
        <v>661</v>
      </c>
      <c r="P25" s="736" t="s">
        <v>661</v>
      </c>
      <c r="Q25" s="735"/>
      <c r="R25" s="736" t="s">
        <v>661</v>
      </c>
      <c r="S25" s="736" t="s">
        <v>661</v>
      </c>
      <c r="T25" s="736" t="s">
        <v>661</v>
      </c>
      <c r="U25" s="736" t="s">
        <v>661</v>
      </c>
      <c r="V25" s="736" t="s">
        <v>661</v>
      </c>
      <c r="W25" s="736" t="s">
        <v>661</v>
      </c>
      <c r="X25" s="735"/>
      <c r="Y25" s="736" t="s">
        <v>661</v>
      </c>
      <c r="Z25" s="736" t="s">
        <v>661</v>
      </c>
      <c r="AA25" s="736" t="s">
        <v>661</v>
      </c>
      <c r="AB25" s="736" t="s">
        <v>661</v>
      </c>
      <c r="AC25" s="736" t="s">
        <v>661</v>
      </c>
      <c r="AD25" s="736" t="s">
        <v>661</v>
      </c>
      <c r="AE25" s="735"/>
      <c r="AF25" s="736" t="s">
        <v>661</v>
      </c>
      <c r="AG25" s="736" t="s">
        <v>661</v>
      </c>
      <c r="AH25" s="736" t="s">
        <v>661</v>
      </c>
      <c r="AI25" s="749">
        <f t="shared" si="0"/>
        <v>0</v>
      </c>
      <c r="AJ25" s="749">
        <f t="shared" si="1"/>
        <v>0</v>
      </c>
      <c r="AK25" s="749">
        <f t="shared" si="2"/>
        <v>0</v>
      </c>
    </row>
    <row r="26" spans="2:37">
      <c r="B26" s="724">
        <v>23</v>
      </c>
      <c r="C26" s="734" t="str">
        <f>SISWA!E28</f>
        <v>Anak 23</v>
      </c>
      <c r="D26" s="736" t="s">
        <v>661</v>
      </c>
      <c r="E26" s="736" t="s">
        <v>661</v>
      </c>
      <c r="F26" s="735"/>
      <c r="G26" s="736" t="s">
        <v>661</v>
      </c>
      <c r="H26" s="736" t="s">
        <v>661</v>
      </c>
      <c r="I26" s="736" t="s">
        <v>661</v>
      </c>
      <c r="J26" s="735"/>
      <c r="K26" s="736" t="s">
        <v>661</v>
      </c>
      <c r="L26" s="736" t="s">
        <v>661</v>
      </c>
      <c r="M26" s="736" t="s">
        <v>661</v>
      </c>
      <c r="N26" s="736" t="s">
        <v>661</v>
      </c>
      <c r="O26" s="736" t="s">
        <v>661</v>
      </c>
      <c r="P26" s="736" t="s">
        <v>661</v>
      </c>
      <c r="Q26" s="735"/>
      <c r="R26" s="736" t="s">
        <v>661</v>
      </c>
      <c r="S26" s="736" t="s">
        <v>661</v>
      </c>
      <c r="T26" s="736" t="s">
        <v>661</v>
      </c>
      <c r="U26" s="736" t="s">
        <v>661</v>
      </c>
      <c r="V26" s="736" t="s">
        <v>661</v>
      </c>
      <c r="W26" s="736" t="s">
        <v>661</v>
      </c>
      <c r="X26" s="735"/>
      <c r="Y26" s="736" t="s">
        <v>661</v>
      </c>
      <c r="Z26" s="736" t="s">
        <v>661</v>
      </c>
      <c r="AA26" s="736" t="s">
        <v>661</v>
      </c>
      <c r="AB26" s="736" t="s">
        <v>661</v>
      </c>
      <c r="AC26" s="736" t="s">
        <v>661</v>
      </c>
      <c r="AD26" s="736" t="s">
        <v>661</v>
      </c>
      <c r="AE26" s="735"/>
      <c r="AF26" s="736" t="s">
        <v>661</v>
      </c>
      <c r="AG26" s="736" t="s">
        <v>661</v>
      </c>
      <c r="AH26" s="736" t="s">
        <v>661</v>
      </c>
      <c r="AI26" s="749">
        <f t="shared" si="0"/>
        <v>0</v>
      </c>
      <c r="AJ26" s="749">
        <f t="shared" si="1"/>
        <v>0</v>
      </c>
      <c r="AK26" s="749">
        <f t="shared" si="2"/>
        <v>0</v>
      </c>
    </row>
    <row r="27" spans="2:37">
      <c r="B27" s="724">
        <v>24</v>
      </c>
      <c r="C27" s="734" t="str">
        <f>SISWA!E29</f>
        <v>Anak 24</v>
      </c>
      <c r="D27" s="736" t="s">
        <v>661</v>
      </c>
      <c r="E27" s="736" t="s">
        <v>661</v>
      </c>
      <c r="F27" s="735"/>
      <c r="G27" s="736" t="s">
        <v>661</v>
      </c>
      <c r="H27" s="736" t="s">
        <v>661</v>
      </c>
      <c r="I27" s="736" t="s">
        <v>661</v>
      </c>
      <c r="J27" s="735"/>
      <c r="K27" s="736" t="s">
        <v>661</v>
      </c>
      <c r="L27" s="736" t="s">
        <v>661</v>
      </c>
      <c r="M27" s="736" t="s">
        <v>661</v>
      </c>
      <c r="N27" s="736" t="s">
        <v>661</v>
      </c>
      <c r="O27" s="736" t="s">
        <v>661</v>
      </c>
      <c r="P27" s="736" t="s">
        <v>661</v>
      </c>
      <c r="Q27" s="735"/>
      <c r="R27" s="736" t="s">
        <v>661</v>
      </c>
      <c r="S27" s="736" t="s">
        <v>661</v>
      </c>
      <c r="T27" s="736" t="s">
        <v>661</v>
      </c>
      <c r="U27" s="736" t="s">
        <v>661</v>
      </c>
      <c r="V27" s="736" t="s">
        <v>661</v>
      </c>
      <c r="W27" s="736" t="s">
        <v>661</v>
      </c>
      <c r="X27" s="735"/>
      <c r="Y27" s="736" t="s">
        <v>661</v>
      </c>
      <c r="Z27" s="736" t="s">
        <v>661</v>
      </c>
      <c r="AA27" s="736" t="s">
        <v>661</v>
      </c>
      <c r="AB27" s="736" t="s">
        <v>661</v>
      </c>
      <c r="AC27" s="736" t="s">
        <v>661</v>
      </c>
      <c r="AD27" s="736" t="s">
        <v>661</v>
      </c>
      <c r="AE27" s="735"/>
      <c r="AF27" s="736" t="s">
        <v>661</v>
      </c>
      <c r="AG27" s="736" t="s">
        <v>661</v>
      </c>
      <c r="AH27" s="736" t="s">
        <v>661</v>
      </c>
      <c r="AI27" s="749">
        <f t="shared" si="0"/>
        <v>0</v>
      </c>
      <c r="AJ27" s="749">
        <f t="shared" si="1"/>
        <v>0</v>
      </c>
      <c r="AK27" s="749">
        <f t="shared" si="2"/>
        <v>0</v>
      </c>
    </row>
    <row r="28" spans="2:37">
      <c r="B28" s="724">
        <v>25</v>
      </c>
      <c r="C28" s="734" t="str">
        <f>SISWA!E30</f>
        <v>Anak 25</v>
      </c>
      <c r="D28" s="736" t="s">
        <v>661</v>
      </c>
      <c r="E28" s="736" t="s">
        <v>661</v>
      </c>
      <c r="F28" s="735"/>
      <c r="G28" s="736" t="s">
        <v>661</v>
      </c>
      <c r="H28" s="736" t="s">
        <v>661</v>
      </c>
      <c r="I28" s="736" t="s">
        <v>661</v>
      </c>
      <c r="J28" s="735"/>
      <c r="K28" s="736" t="s">
        <v>661</v>
      </c>
      <c r="L28" s="736" t="s">
        <v>661</v>
      </c>
      <c r="M28" s="736" t="s">
        <v>661</v>
      </c>
      <c r="N28" s="736" t="s">
        <v>661</v>
      </c>
      <c r="O28" s="736" t="s">
        <v>661</v>
      </c>
      <c r="P28" s="736" t="s">
        <v>661</v>
      </c>
      <c r="Q28" s="735"/>
      <c r="R28" s="736" t="s">
        <v>661</v>
      </c>
      <c r="S28" s="736" t="s">
        <v>661</v>
      </c>
      <c r="T28" s="736" t="s">
        <v>661</v>
      </c>
      <c r="U28" s="736" t="s">
        <v>661</v>
      </c>
      <c r="V28" s="736" t="s">
        <v>661</v>
      </c>
      <c r="W28" s="736" t="s">
        <v>661</v>
      </c>
      <c r="X28" s="735"/>
      <c r="Y28" s="736" t="s">
        <v>661</v>
      </c>
      <c r="Z28" s="736" t="s">
        <v>661</v>
      </c>
      <c r="AA28" s="736" t="s">
        <v>661</v>
      </c>
      <c r="AB28" s="736" t="s">
        <v>661</v>
      </c>
      <c r="AC28" s="736" t="s">
        <v>661</v>
      </c>
      <c r="AD28" s="736" t="s">
        <v>661</v>
      </c>
      <c r="AE28" s="735"/>
      <c r="AF28" s="736" t="s">
        <v>661</v>
      </c>
      <c r="AG28" s="736" t="s">
        <v>661</v>
      </c>
      <c r="AH28" s="736" t="s">
        <v>661</v>
      </c>
      <c r="AI28" s="749">
        <f t="shared" si="0"/>
        <v>0</v>
      </c>
      <c r="AJ28" s="749">
        <f t="shared" si="1"/>
        <v>0</v>
      </c>
      <c r="AK28" s="749">
        <f t="shared" si="2"/>
        <v>0</v>
      </c>
    </row>
    <row r="29" spans="2:37">
      <c r="B29" s="724">
        <v>26</v>
      </c>
      <c r="C29" s="734" t="str">
        <f>SISWA!E31</f>
        <v>Anak 26</v>
      </c>
      <c r="D29" s="736" t="s">
        <v>661</v>
      </c>
      <c r="E29" s="736" t="s">
        <v>661</v>
      </c>
      <c r="F29" s="735"/>
      <c r="G29" s="736" t="s">
        <v>661</v>
      </c>
      <c r="H29" s="736" t="s">
        <v>661</v>
      </c>
      <c r="I29" s="736" t="s">
        <v>661</v>
      </c>
      <c r="J29" s="735"/>
      <c r="K29" s="736" t="s">
        <v>661</v>
      </c>
      <c r="L29" s="736" t="s">
        <v>661</v>
      </c>
      <c r="M29" s="736" t="s">
        <v>661</v>
      </c>
      <c r="N29" s="736" t="s">
        <v>661</v>
      </c>
      <c r="O29" s="736" t="s">
        <v>661</v>
      </c>
      <c r="P29" s="736" t="s">
        <v>661</v>
      </c>
      <c r="Q29" s="735"/>
      <c r="R29" s="736" t="s">
        <v>661</v>
      </c>
      <c r="S29" s="736" t="s">
        <v>661</v>
      </c>
      <c r="T29" s="736" t="s">
        <v>661</v>
      </c>
      <c r="U29" s="736" t="s">
        <v>661</v>
      </c>
      <c r="V29" s="736" t="s">
        <v>661</v>
      </c>
      <c r="W29" s="736" t="s">
        <v>661</v>
      </c>
      <c r="X29" s="735"/>
      <c r="Y29" s="736" t="s">
        <v>661</v>
      </c>
      <c r="Z29" s="736" t="s">
        <v>661</v>
      </c>
      <c r="AA29" s="736" t="s">
        <v>661</v>
      </c>
      <c r="AB29" s="736" t="s">
        <v>661</v>
      </c>
      <c r="AC29" s="736" t="s">
        <v>661</v>
      </c>
      <c r="AD29" s="736" t="s">
        <v>661</v>
      </c>
      <c r="AE29" s="735"/>
      <c r="AF29" s="736" t="s">
        <v>661</v>
      </c>
      <c r="AG29" s="736" t="s">
        <v>661</v>
      </c>
      <c r="AH29" s="736" t="s">
        <v>661</v>
      </c>
      <c r="AI29" s="749">
        <f t="shared" si="0"/>
        <v>0</v>
      </c>
      <c r="AJ29" s="749">
        <f t="shared" si="1"/>
        <v>0</v>
      </c>
      <c r="AK29" s="749">
        <f t="shared" si="2"/>
        <v>0</v>
      </c>
    </row>
    <row r="30" spans="2:37">
      <c r="B30" s="724">
        <v>27</v>
      </c>
      <c r="C30" s="734" t="str">
        <f>SISWA!E32</f>
        <v>Anak 27</v>
      </c>
      <c r="D30" s="736" t="s">
        <v>661</v>
      </c>
      <c r="E30" s="736" t="s">
        <v>661</v>
      </c>
      <c r="F30" s="735"/>
      <c r="G30" s="736" t="s">
        <v>661</v>
      </c>
      <c r="H30" s="736" t="s">
        <v>661</v>
      </c>
      <c r="I30" s="736" t="s">
        <v>661</v>
      </c>
      <c r="J30" s="735"/>
      <c r="K30" s="736" t="s">
        <v>661</v>
      </c>
      <c r="L30" s="736" t="s">
        <v>661</v>
      </c>
      <c r="M30" s="736" t="s">
        <v>661</v>
      </c>
      <c r="N30" s="736" t="s">
        <v>661</v>
      </c>
      <c r="O30" s="736" t="s">
        <v>661</v>
      </c>
      <c r="P30" s="736" t="s">
        <v>661</v>
      </c>
      <c r="Q30" s="735"/>
      <c r="R30" s="736" t="s">
        <v>661</v>
      </c>
      <c r="S30" s="736" t="s">
        <v>661</v>
      </c>
      <c r="T30" s="736" t="s">
        <v>661</v>
      </c>
      <c r="U30" s="736" t="s">
        <v>661</v>
      </c>
      <c r="V30" s="736" t="s">
        <v>661</v>
      </c>
      <c r="W30" s="736" t="s">
        <v>661</v>
      </c>
      <c r="X30" s="735"/>
      <c r="Y30" s="736" t="s">
        <v>661</v>
      </c>
      <c r="Z30" s="736" t="s">
        <v>661</v>
      </c>
      <c r="AA30" s="736" t="s">
        <v>661</v>
      </c>
      <c r="AB30" s="736" t="s">
        <v>661</v>
      </c>
      <c r="AC30" s="736" t="s">
        <v>661</v>
      </c>
      <c r="AD30" s="736" t="s">
        <v>661</v>
      </c>
      <c r="AE30" s="735"/>
      <c r="AF30" s="736" t="s">
        <v>661</v>
      </c>
      <c r="AG30" s="736" t="s">
        <v>661</v>
      </c>
      <c r="AH30" s="736" t="s">
        <v>661</v>
      </c>
      <c r="AI30" s="749">
        <f t="shared" si="0"/>
        <v>0</v>
      </c>
      <c r="AJ30" s="749">
        <f t="shared" si="1"/>
        <v>0</v>
      </c>
      <c r="AK30" s="749">
        <f t="shared" si="2"/>
        <v>0</v>
      </c>
    </row>
    <row r="31" spans="2:37">
      <c r="B31" s="724">
        <v>28</v>
      </c>
      <c r="C31" s="734" t="str">
        <f>SISWA!E33</f>
        <v>Anak 28</v>
      </c>
      <c r="D31" s="736" t="s">
        <v>661</v>
      </c>
      <c r="E31" s="736" t="s">
        <v>661</v>
      </c>
      <c r="F31" s="735"/>
      <c r="G31" s="736" t="s">
        <v>661</v>
      </c>
      <c r="H31" s="736" t="s">
        <v>661</v>
      </c>
      <c r="I31" s="736" t="s">
        <v>661</v>
      </c>
      <c r="J31" s="735"/>
      <c r="K31" s="736" t="s">
        <v>661</v>
      </c>
      <c r="L31" s="736" t="s">
        <v>661</v>
      </c>
      <c r="M31" s="736" t="s">
        <v>661</v>
      </c>
      <c r="N31" s="736" t="s">
        <v>661</v>
      </c>
      <c r="O31" s="736" t="s">
        <v>661</v>
      </c>
      <c r="P31" s="736" t="s">
        <v>661</v>
      </c>
      <c r="Q31" s="735"/>
      <c r="R31" s="736" t="s">
        <v>661</v>
      </c>
      <c r="S31" s="736" t="s">
        <v>661</v>
      </c>
      <c r="T31" s="736" t="s">
        <v>661</v>
      </c>
      <c r="U31" s="736" t="s">
        <v>661</v>
      </c>
      <c r="V31" s="736" t="s">
        <v>661</v>
      </c>
      <c r="W31" s="736" t="s">
        <v>661</v>
      </c>
      <c r="X31" s="735"/>
      <c r="Y31" s="736" t="s">
        <v>661</v>
      </c>
      <c r="Z31" s="736" t="s">
        <v>661</v>
      </c>
      <c r="AA31" s="736" t="s">
        <v>661</v>
      </c>
      <c r="AB31" s="736" t="s">
        <v>661</v>
      </c>
      <c r="AC31" s="736" t="s">
        <v>661</v>
      </c>
      <c r="AD31" s="736" t="s">
        <v>661</v>
      </c>
      <c r="AE31" s="735"/>
      <c r="AF31" s="736" t="s">
        <v>661</v>
      </c>
      <c r="AG31" s="736" t="s">
        <v>661</v>
      </c>
      <c r="AH31" s="736" t="s">
        <v>661</v>
      </c>
      <c r="AI31" s="749">
        <f t="shared" si="0"/>
        <v>0</v>
      </c>
      <c r="AJ31" s="749">
        <f t="shared" si="1"/>
        <v>0</v>
      </c>
      <c r="AK31" s="749">
        <f t="shared" si="2"/>
        <v>0</v>
      </c>
    </row>
    <row r="32" spans="2:37">
      <c r="B32" s="724">
        <v>29</v>
      </c>
      <c r="C32" s="734" t="str">
        <f>SISWA!E34</f>
        <v>Anak 29</v>
      </c>
      <c r="D32" s="736" t="s">
        <v>661</v>
      </c>
      <c r="E32" s="736" t="s">
        <v>661</v>
      </c>
      <c r="F32" s="735"/>
      <c r="G32" s="736" t="s">
        <v>661</v>
      </c>
      <c r="H32" s="736" t="s">
        <v>661</v>
      </c>
      <c r="I32" s="736" t="s">
        <v>661</v>
      </c>
      <c r="J32" s="735"/>
      <c r="K32" s="736" t="s">
        <v>661</v>
      </c>
      <c r="L32" s="736" t="s">
        <v>661</v>
      </c>
      <c r="M32" s="736" t="s">
        <v>661</v>
      </c>
      <c r="N32" s="736" t="s">
        <v>661</v>
      </c>
      <c r="O32" s="736" t="s">
        <v>661</v>
      </c>
      <c r="P32" s="736" t="s">
        <v>661</v>
      </c>
      <c r="Q32" s="735"/>
      <c r="R32" s="736" t="s">
        <v>661</v>
      </c>
      <c r="S32" s="736" t="s">
        <v>661</v>
      </c>
      <c r="T32" s="736" t="s">
        <v>661</v>
      </c>
      <c r="U32" s="736" t="s">
        <v>661</v>
      </c>
      <c r="V32" s="736" t="s">
        <v>661</v>
      </c>
      <c r="W32" s="736" t="s">
        <v>661</v>
      </c>
      <c r="X32" s="735"/>
      <c r="Y32" s="736" t="s">
        <v>661</v>
      </c>
      <c r="Z32" s="736" t="s">
        <v>661</v>
      </c>
      <c r="AA32" s="736" t="s">
        <v>661</v>
      </c>
      <c r="AB32" s="736" t="s">
        <v>661</v>
      </c>
      <c r="AC32" s="736" t="s">
        <v>661</v>
      </c>
      <c r="AD32" s="736" t="s">
        <v>661</v>
      </c>
      <c r="AE32" s="735"/>
      <c r="AF32" s="736" t="s">
        <v>661</v>
      </c>
      <c r="AG32" s="736" t="s">
        <v>661</v>
      </c>
      <c r="AH32" s="736" t="s">
        <v>661</v>
      </c>
      <c r="AI32" s="749">
        <f t="shared" si="0"/>
        <v>0</v>
      </c>
      <c r="AJ32" s="749">
        <f t="shared" si="1"/>
        <v>0</v>
      </c>
      <c r="AK32" s="749">
        <f t="shared" si="2"/>
        <v>0</v>
      </c>
    </row>
    <row r="33" spans="2:37">
      <c r="B33" s="724">
        <v>30</v>
      </c>
      <c r="C33" s="734" t="str">
        <f>SISWA!E35</f>
        <v>Anak 30</v>
      </c>
      <c r="D33" s="736" t="s">
        <v>661</v>
      </c>
      <c r="E33" s="736" t="s">
        <v>661</v>
      </c>
      <c r="F33" s="735"/>
      <c r="G33" s="736" t="s">
        <v>661</v>
      </c>
      <c r="H33" s="736" t="s">
        <v>661</v>
      </c>
      <c r="I33" s="736" t="s">
        <v>661</v>
      </c>
      <c r="J33" s="735"/>
      <c r="K33" s="736" t="s">
        <v>661</v>
      </c>
      <c r="L33" s="736" t="s">
        <v>661</v>
      </c>
      <c r="M33" s="736" t="s">
        <v>661</v>
      </c>
      <c r="N33" s="736" t="s">
        <v>661</v>
      </c>
      <c r="O33" s="736" t="s">
        <v>661</v>
      </c>
      <c r="P33" s="736" t="s">
        <v>661</v>
      </c>
      <c r="Q33" s="735"/>
      <c r="R33" s="736" t="s">
        <v>661</v>
      </c>
      <c r="S33" s="736" t="s">
        <v>661</v>
      </c>
      <c r="T33" s="736" t="s">
        <v>661</v>
      </c>
      <c r="U33" s="736" t="s">
        <v>661</v>
      </c>
      <c r="V33" s="736" t="s">
        <v>661</v>
      </c>
      <c r="W33" s="736" t="s">
        <v>661</v>
      </c>
      <c r="X33" s="735"/>
      <c r="Y33" s="736" t="s">
        <v>661</v>
      </c>
      <c r="Z33" s="736" t="s">
        <v>661</v>
      </c>
      <c r="AA33" s="736" t="s">
        <v>661</v>
      </c>
      <c r="AB33" s="736" t="s">
        <v>661</v>
      </c>
      <c r="AC33" s="736" t="s">
        <v>661</v>
      </c>
      <c r="AD33" s="736" t="s">
        <v>661</v>
      </c>
      <c r="AE33" s="735"/>
      <c r="AF33" s="736" t="s">
        <v>661</v>
      </c>
      <c r="AG33" s="736" t="s">
        <v>661</v>
      </c>
      <c r="AH33" s="736" t="s">
        <v>661</v>
      </c>
      <c r="AI33" s="749">
        <f t="shared" si="0"/>
        <v>0</v>
      </c>
      <c r="AJ33" s="749">
        <f t="shared" si="1"/>
        <v>0</v>
      </c>
      <c r="AK33" s="749">
        <f t="shared" si="2"/>
        <v>0</v>
      </c>
    </row>
    <row r="34" spans="2:37">
      <c r="B34" s="724">
        <v>31</v>
      </c>
      <c r="C34" s="734" t="str">
        <f>SISWA!E36</f>
        <v>Anak 31</v>
      </c>
      <c r="D34" s="736" t="s">
        <v>661</v>
      </c>
      <c r="E34" s="736" t="s">
        <v>661</v>
      </c>
      <c r="F34" s="735"/>
      <c r="G34" s="736" t="s">
        <v>661</v>
      </c>
      <c r="H34" s="736" t="s">
        <v>661</v>
      </c>
      <c r="I34" s="736" t="s">
        <v>661</v>
      </c>
      <c r="J34" s="735"/>
      <c r="K34" s="736" t="s">
        <v>661</v>
      </c>
      <c r="L34" s="736" t="s">
        <v>661</v>
      </c>
      <c r="M34" s="736" t="s">
        <v>661</v>
      </c>
      <c r="N34" s="736" t="s">
        <v>661</v>
      </c>
      <c r="O34" s="736" t="s">
        <v>661</v>
      </c>
      <c r="P34" s="736" t="s">
        <v>661</v>
      </c>
      <c r="Q34" s="735"/>
      <c r="R34" s="736" t="s">
        <v>661</v>
      </c>
      <c r="S34" s="736" t="s">
        <v>661</v>
      </c>
      <c r="T34" s="736" t="s">
        <v>661</v>
      </c>
      <c r="U34" s="736" t="s">
        <v>661</v>
      </c>
      <c r="V34" s="736" t="s">
        <v>661</v>
      </c>
      <c r="W34" s="736" t="s">
        <v>661</v>
      </c>
      <c r="X34" s="735"/>
      <c r="Y34" s="736" t="s">
        <v>661</v>
      </c>
      <c r="Z34" s="736" t="s">
        <v>661</v>
      </c>
      <c r="AA34" s="736" t="s">
        <v>661</v>
      </c>
      <c r="AB34" s="736" t="s">
        <v>661</v>
      </c>
      <c r="AC34" s="736" t="s">
        <v>661</v>
      </c>
      <c r="AD34" s="736" t="s">
        <v>661</v>
      </c>
      <c r="AE34" s="735"/>
      <c r="AF34" s="736" t="s">
        <v>661</v>
      </c>
      <c r="AG34" s="736" t="s">
        <v>661</v>
      </c>
      <c r="AH34" s="736" t="s">
        <v>661</v>
      </c>
      <c r="AI34" s="749">
        <f t="shared" si="0"/>
        <v>0</v>
      </c>
      <c r="AJ34" s="749">
        <f t="shared" si="1"/>
        <v>0</v>
      </c>
      <c r="AK34" s="749">
        <f t="shared" si="2"/>
        <v>0</v>
      </c>
    </row>
    <row r="35" spans="2:37">
      <c r="B35" s="724">
        <v>32</v>
      </c>
      <c r="C35" s="734" t="str">
        <f>SISWA!E37</f>
        <v>Anak 32</v>
      </c>
      <c r="D35" s="736" t="s">
        <v>661</v>
      </c>
      <c r="E35" s="736" t="s">
        <v>661</v>
      </c>
      <c r="F35" s="735"/>
      <c r="G35" s="736" t="s">
        <v>661</v>
      </c>
      <c r="H35" s="736" t="s">
        <v>661</v>
      </c>
      <c r="I35" s="736" t="s">
        <v>661</v>
      </c>
      <c r="J35" s="735"/>
      <c r="K35" s="736" t="s">
        <v>661</v>
      </c>
      <c r="L35" s="736" t="s">
        <v>661</v>
      </c>
      <c r="M35" s="736" t="s">
        <v>661</v>
      </c>
      <c r="N35" s="736" t="s">
        <v>661</v>
      </c>
      <c r="O35" s="736" t="s">
        <v>661</v>
      </c>
      <c r="P35" s="736" t="s">
        <v>661</v>
      </c>
      <c r="Q35" s="735"/>
      <c r="R35" s="736" t="s">
        <v>661</v>
      </c>
      <c r="S35" s="736" t="s">
        <v>661</v>
      </c>
      <c r="T35" s="736" t="s">
        <v>661</v>
      </c>
      <c r="U35" s="736" t="s">
        <v>661</v>
      </c>
      <c r="V35" s="736" t="s">
        <v>661</v>
      </c>
      <c r="W35" s="736" t="s">
        <v>661</v>
      </c>
      <c r="X35" s="735"/>
      <c r="Y35" s="736" t="s">
        <v>661</v>
      </c>
      <c r="Z35" s="736" t="s">
        <v>661</v>
      </c>
      <c r="AA35" s="736" t="s">
        <v>661</v>
      </c>
      <c r="AB35" s="736" t="s">
        <v>661</v>
      </c>
      <c r="AC35" s="736" t="s">
        <v>661</v>
      </c>
      <c r="AD35" s="736" t="s">
        <v>661</v>
      </c>
      <c r="AE35" s="735"/>
      <c r="AF35" s="736" t="s">
        <v>661</v>
      </c>
      <c r="AG35" s="736" t="s">
        <v>661</v>
      </c>
      <c r="AH35" s="736" t="s">
        <v>661</v>
      </c>
      <c r="AI35" s="749">
        <f t="shared" si="0"/>
        <v>0</v>
      </c>
      <c r="AJ35" s="749">
        <f t="shared" si="1"/>
        <v>0</v>
      </c>
      <c r="AK35" s="749">
        <f t="shared" si="2"/>
        <v>0</v>
      </c>
    </row>
    <row r="36" spans="2:37">
      <c r="B36" s="724">
        <v>33</v>
      </c>
      <c r="C36" s="734" t="str">
        <f>SISWA!E38</f>
        <v>Anak 33</v>
      </c>
      <c r="D36" s="736" t="s">
        <v>661</v>
      </c>
      <c r="E36" s="736" t="s">
        <v>661</v>
      </c>
      <c r="F36" s="735"/>
      <c r="G36" s="736" t="s">
        <v>661</v>
      </c>
      <c r="H36" s="736" t="s">
        <v>661</v>
      </c>
      <c r="I36" s="736" t="s">
        <v>661</v>
      </c>
      <c r="J36" s="735"/>
      <c r="K36" s="736" t="s">
        <v>661</v>
      </c>
      <c r="L36" s="736" t="s">
        <v>661</v>
      </c>
      <c r="M36" s="736" t="s">
        <v>661</v>
      </c>
      <c r="N36" s="736" t="s">
        <v>661</v>
      </c>
      <c r="O36" s="736" t="s">
        <v>661</v>
      </c>
      <c r="P36" s="736" t="s">
        <v>661</v>
      </c>
      <c r="Q36" s="735"/>
      <c r="R36" s="736" t="s">
        <v>661</v>
      </c>
      <c r="S36" s="736" t="s">
        <v>661</v>
      </c>
      <c r="T36" s="736" t="s">
        <v>661</v>
      </c>
      <c r="U36" s="736" t="s">
        <v>661</v>
      </c>
      <c r="V36" s="736" t="s">
        <v>661</v>
      </c>
      <c r="W36" s="736" t="s">
        <v>661</v>
      </c>
      <c r="X36" s="735"/>
      <c r="Y36" s="736" t="s">
        <v>661</v>
      </c>
      <c r="Z36" s="736" t="s">
        <v>661</v>
      </c>
      <c r="AA36" s="736" t="s">
        <v>661</v>
      </c>
      <c r="AB36" s="736" t="s">
        <v>661</v>
      </c>
      <c r="AC36" s="736" t="s">
        <v>661</v>
      </c>
      <c r="AD36" s="736" t="s">
        <v>661</v>
      </c>
      <c r="AE36" s="735"/>
      <c r="AF36" s="736" t="s">
        <v>661</v>
      </c>
      <c r="AG36" s="736" t="s">
        <v>661</v>
      </c>
      <c r="AH36" s="736" t="s">
        <v>661</v>
      </c>
      <c r="AI36" s="749">
        <f t="shared" si="0"/>
        <v>0</v>
      </c>
      <c r="AJ36" s="749">
        <f t="shared" si="1"/>
        <v>0</v>
      </c>
      <c r="AK36" s="749">
        <f t="shared" si="2"/>
        <v>0</v>
      </c>
    </row>
    <row r="37" spans="2:37">
      <c r="B37" s="724">
        <v>34</v>
      </c>
      <c r="C37" s="734" t="str">
        <f>SISWA!E39</f>
        <v>Anak 34</v>
      </c>
      <c r="D37" s="736" t="s">
        <v>661</v>
      </c>
      <c r="E37" s="736" t="s">
        <v>661</v>
      </c>
      <c r="F37" s="735"/>
      <c r="G37" s="736" t="s">
        <v>661</v>
      </c>
      <c r="H37" s="736" t="s">
        <v>661</v>
      </c>
      <c r="I37" s="736" t="s">
        <v>661</v>
      </c>
      <c r="J37" s="735"/>
      <c r="K37" s="736" t="s">
        <v>661</v>
      </c>
      <c r="L37" s="736" t="s">
        <v>661</v>
      </c>
      <c r="M37" s="736" t="s">
        <v>661</v>
      </c>
      <c r="N37" s="736" t="s">
        <v>661</v>
      </c>
      <c r="O37" s="736" t="s">
        <v>661</v>
      </c>
      <c r="P37" s="736" t="s">
        <v>661</v>
      </c>
      <c r="Q37" s="735"/>
      <c r="R37" s="736" t="s">
        <v>661</v>
      </c>
      <c r="S37" s="736" t="s">
        <v>661</v>
      </c>
      <c r="T37" s="736" t="s">
        <v>661</v>
      </c>
      <c r="U37" s="736" t="s">
        <v>661</v>
      </c>
      <c r="V37" s="736" t="s">
        <v>661</v>
      </c>
      <c r="W37" s="736" t="s">
        <v>661</v>
      </c>
      <c r="X37" s="735"/>
      <c r="Y37" s="736" t="s">
        <v>661</v>
      </c>
      <c r="Z37" s="736" t="s">
        <v>661</v>
      </c>
      <c r="AA37" s="736" t="s">
        <v>661</v>
      </c>
      <c r="AB37" s="736" t="s">
        <v>661</v>
      </c>
      <c r="AC37" s="736" t="s">
        <v>661</v>
      </c>
      <c r="AD37" s="736" t="s">
        <v>661</v>
      </c>
      <c r="AE37" s="735"/>
      <c r="AF37" s="736" t="s">
        <v>661</v>
      </c>
      <c r="AG37" s="736" t="s">
        <v>661</v>
      </c>
      <c r="AH37" s="736" t="s">
        <v>661</v>
      </c>
      <c r="AI37" s="749">
        <f t="shared" si="0"/>
        <v>0</v>
      </c>
      <c r="AJ37" s="749">
        <f t="shared" si="1"/>
        <v>0</v>
      </c>
      <c r="AK37" s="749">
        <f t="shared" si="2"/>
        <v>0</v>
      </c>
    </row>
    <row r="38" spans="2:37">
      <c r="B38" s="724">
        <v>35</v>
      </c>
      <c r="C38" s="734" t="str">
        <f>SISWA!E40</f>
        <v>Anak 35</v>
      </c>
      <c r="D38" s="736" t="s">
        <v>661</v>
      </c>
      <c r="E38" s="736" t="s">
        <v>661</v>
      </c>
      <c r="F38" s="735"/>
      <c r="G38" s="736" t="s">
        <v>661</v>
      </c>
      <c r="H38" s="736" t="s">
        <v>661</v>
      </c>
      <c r="I38" s="736" t="s">
        <v>661</v>
      </c>
      <c r="J38" s="735"/>
      <c r="K38" s="736" t="s">
        <v>661</v>
      </c>
      <c r="L38" s="736" t="s">
        <v>661</v>
      </c>
      <c r="M38" s="736" t="s">
        <v>661</v>
      </c>
      <c r="N38" s="736" t="s">
        <v>661</v>
      </c>
      <c r="O38" s="736" t="s">
        <v>661</v>
      </c>
      <c r="P38" s="736" t="s">
        <v>661</v>
      </c>
      <c r="Q38" s="735"/>
      <c r="R38" s="736" t="s">
        <v>661</v>
      </c>
      <c r="S38" s="736" t="s">
        <v>661</v>
      </c>
      <c r="T38" s="736" t="s">
        <v>661</v>
      </c>
      <c r="U38" s="736" t="s">
        <v>661</v>
      </c>
      <c r="V38" s="736" t="s">
        <v>661</v>
      </c>
      <c r="W38" s="736" t="s">
        <v>661</v>
      </c>
      <c r="X38" s="735"/>
      <c r="Y38" s="736" t="s">
        <v>661</v>
      </c>
      <c r="Z38" s="736" t="s">
        <v>661</v>
      </c>
      <c r="AA38" s="736" t="s">
        <v>661</v>
      </c>
      <c r="AB38" s="736" t="s">
        <v>661</v>
      </c>
      <c r="AC38" s="736" t="s">
        <v>661</v>
      </c>
      <c r="AD38" s="736" t="s">
        <v>661</v>
      </c>
      <c r="AE38" s="735"/>
      <c r="AF38" s="736" t="s">
        <v>661</v>
      </c>
      <c r="AG38" s="736" t="s">
        <v>661</v>
      </c>
      <c r="AH38" s="736" t="s">
        <v>661</v>
      </c>
      <c r="AI38" s="749">
        <f t="shared" si="0"/>
        <v>0</v>
      </c>
      <c r="AJ38" s="749">
        <f t="shared" si="1"/>
        <v>0</v>
      </c>
      <c r="AK38" s="749">
        <f t="shared" si="2"/>
        <v>0</v>
      </c>
    </row>
    <row r="39" spans="2:37">
      <c r="B39" s="724">
        <v>36</v>
      </c>
      <c r="C39" s="734" t="str">
        <f>SISWA!E41</f>
        <v>Anak 36</v>
      </c>
      <c r="D39" s="736" t="s">
        <v>661</v>
      </c>
      <c r="E39" s="736" t="s">
        <v>661</v>
      </c>
      <c r="F39" s="735"/>
      <c r="G39" s="736" t="s">
        <v>661</v>
      </c>
      <c r="H39" s="736" t="s">
        <v>661</v>
      </c>
      <c r="I39" s="736" t="s">
        <v>661</v>
      </c>
      <c r="J39" s="735"/>
      <c r="K39" s="736" t="s">
        <v>661</v>
      </c>
      <c r="L39" s="736" t="s">
        <v>661</v>
      </c>
      <c r="M39" s="736" t="s">
        <v>661</v>
      </c>
      <c r="N39" s="736" t="s">
        <v>661</v>
      </c>
      <c r="O39" s="736" t="s">
        <v>661</v>
      </c>
      <c r="P39" s="736" t="s">
        <v>661</v>
      </c>
      <c r="Q39" s="735"/>
      <c r="R39" s="736" t="s">
        <v>661</v>
      </c>
      <c r="S39" s="736" t="s">
        <v>661</v>
      </c>
      <c r="T39" s="736" t="s">
        <v>661</v>
      </c>
      <c r="U39" s="736" t="s">
        <v>661</v>
      </c>
      <c r="V39" s="736" t="s">
        <v>661</v>
      </c>
      <c r="W39" s="736" t="s">
        <v>661</v>
      </c>
      <c r="X39" s="735"/>
      <c r="Y39" s="736" t="s">
        <v>661</v>
      </c>
      <c r="Z39" s="736" t="s">
        <v>661</v>
      </c>
      <c r="AA39" s="736" t="s">
        <v>661</v>
      </c>
      <c r="AB39" s="736" t="s">
        <v>661</v>
      </c>
      <c r="AC39" s="736" t="s">
        <v>661</v>
      </c>
      <c r="AD39" s="736" t="s">
        <v>661</v>
      </c>
      <c r="AE39" s="735"/>
      <c r="AF39" s="736" t="s">
        <v>661</v>
      </c>
      <c r="AG39" s="736" t="s">
        <v>661</v>
      </c>
      <c r="AH39" s="736" t="s">
        <v>661</v>
      </c>
      <c r="AI39" s="749">
        <f t="shared" si="0"/>
        <v>0</v>
      </c>
      <c r="AJ39" s="749">
        <f t="shared" si="1"/>
        <v>0</v>
      </c>
      <c r="AK39" s="749">
        <f t="shared" si="2"/>
        <v>0</v>
      </c>
    </row>
    <row r="40" spans="2:37">
      <c r="B40" s="724">
        <v>37</v>
      </c>
      <c r="C40" s="734" t="str">
        <f>SISWA!E42</f>
        <v>Anak 37</v>
      </c>
      <c r="D40" s="736" t="s">
        <v>661</v>
      </c>
      <c r="E40" s="736" t="s">
        <v>661</v>
      </c>
      <c r="F40" s="735"/>
      <c r="G40" s="736" t="s">
        <v>661</v>
      </c>
      <c r="H40" s="736" t="s">
        <v>661</v>
      </c>
      <c r="I40" s="736" t="s">
        <v>661</v>
      </c>
      <c r="J40" s="735"/>
      <c r="K40" s="736" t="s">
        <v>661</v>
      </c>
      <c r="L40" s="736" t="s">
        <v>661</v>
      </c>
      <c r="M40" s="736" t="s">
        <v>661</v>
      </c>
      <c r="N40" s="736" t="s">
        <v>661</v>
      </c>
      <c r="O40" s="736" t="s">
        <v>661</v>
      </c>
      <c r="P40" s="736" t="s">
        <v>661</v>
      </c>
      <c r="Q40" s="735"/>
      <c r="R40" s="736" t="s">
        <v>661</v>
      </c>
      <c r="S40" s="736" t="s">
        <v>661</v>
      </c>
      <c r="T40" s="736" t="s">
        <v>661</v>
      </c>
      <c r="U40" s="736" t="s">
        <v>661</v>
      </c>
      <c r="V40" s="736" t="s">
        <v>661</v>
      </c>
      <c r="W40" s="736" t="s">
        <v>661</v>
      </c>
      <c r="X40" s="735"/>
      <c r="Y40" s="736" t="s">
        <v>661</v>
      </c>
      <c r="Z40" s="736" t="s">
        <v>661</v>
      </c>
      <c r="AA40" s="736" t="s">
        <v>661</v>
      </c>
      <c r="AB40" s="736" t="s">
        <v>661</v>
      </c>
      <c r="AC40" s="736" t="s">
        <v>661</v>
      </c>
      <c r="AD40" s="736" t="s">
        <v>661</v>
      </c>
      <c r="AE40" s="735"/>
      <c r="AF40" s="736" t="s">
        <v>661</v>
      </c>
      <c r="AG40" s="736" t="s">
        <v>661</v>
      </c>
      <c r="AH40" s="736" t="s">
        <v>661</v>
      </c>
      <c r="AI40" s="749">
        <f t="shared" si="0"/>
        <v>0</v>
      </c>
      <c r="AJ40" s="749">
        <f t="shared" si="1"/>
        <v>0</v>
      </c>
      <c r="AK40" s="749">
        <f t="shared" si="2"/>
        <v>0</v>
      </c>
    </row>
    <row r="41" spans="2:37">
      <c r="B41" s="724">
        <v>38</v>
      </c>
      <c r="C41" s="734" t="str">
        <f>SISWA!E43</f>
        <v>Anak 38</v>
      </c>
      <c r="D41" s="736" t="s">
        <v>661</v>
      </c>
      <c r="E41" s="736" t="s">
        <v>661</v>
      </c>
      <c r="F41" s="735"/>
      <c r="G41" s="736" t="s">
        <v>661</v>
      </c>
      <c r="H41" s="736" t="s">
        <v>661</v>
      </c>
      <c r="I41" s="736" t="s">
        <v>661</v>
      </c>
      <c r="J41" s="735"/>
      <c r="K41" s="736" t="s">
        <v>661</v>
      </c>
      <c r="L41" s="736" t="s">
        <v>661</v>
      </c>
      <c r="M41" s="736" t="s">
        <v>661</v>
      </c>
      <c r="N41" s="736" t="s">
        <v>661</v>
      </c>
      <c r="O41" s="736" t="s">
        <v>661</v>
      </c>
      <c r="P41" s="736" t="s">
        <v>661</v>
      </c>
      <c r="Q41" s="735"/>
      <c r="R41" s="736" t="s">
        <v>661</v>
      </c>
      <c r="S41" s="736" t="s">
        <v>661</v>
      </c>
      <c r="T41" s="736" t="s">
        <v>661</v>
      </c>
      <c r="U41" s="736" t="s">
        <v>661</v>
      </c>
      <c r="V41" s="736" t="s">
        <v>661</v>
      </c>
      <c r="W41" s="736" t="s">
        <v>661</v>
      </c>
      <c r="X41" s="735"/>
      <c r="Y41" s="736" t="s">
        <v>661</v>
      </c>
      <c r="Z41" s="736" t="s">
        <v>661</v>
      </c>
      <c r="AA41" s="736" t="s">
        <v>661</v>
      </c>
      <c r="AB41" s="736" t="s">
        <v>661</v>
      </c>
      <c r="AC41" s="736" t="s">
        <v>661</v>
      </c>
      <c r="AD41" s="736" t="s">
        <v>661</v>
      </c>
      <c r="AE41" s="735"/>
      <c r="AF41" s="736" t="s">
        <v>661</v>
      </c>
      <c r="AG41" s="736" t="s">
        <v>661</v>
      </c>
      <c r="AH41" s="736" t="s">
        <v>661</v>
      </c>
      <c r="AI41" s="749">
        <f t="shared" si="0"/>
        <v>0</v>
      </c>
      <c r="AJ41" s="749">
        <f t="shared" si="1"/>
        <v>0</v>
      </c>
      <c r="AK41" s="749">
        <f t="shared" si="2"/>
        <v>0</v>
      </c>
    </row>
    <row r="42" spans="2:37">
      <c r="B42" s="724">
        <v>39</v>
      </c>
      <c r="C42" s="734" t="str">
        <f>SISWA!E44</f>
        <v>Anak 39</v>
      </c>
      <c r="D42" s="736" t="s">
        <v>661</v>
      </c>
      <c r="E42" s="736" t="s">
        <v>661</v>
      </c>
      <c r="F42" s="735"/>
      <c r="G42" s="736" t="s">
        <v>661</v>
      </c>
      <c r="H42" s="736" t="s">
        <v>661</v>
      </c>
      <c r="I42" s="736" t="s">
        <v>661</v>
      </c>
      <c r="J42" s="735"/>
      <c r="K42" s="736" t="s">
        <v>661</v>
      </c>
      <c r="L42" s="736" t="s">
        <v>661</v>
      </c>
      <c r="M42" s="736" t="s">
        <v>661</v>
      </c>
      <c r="N42" s="736" t="s">
        <v>661</v>
      </c>
      <c r="O42" s="736" t="s">
        <v>661</v>
      </c>
      <c r="P42" s="736" t="s">
        <v>661</v>
      </c>
      <c r="Q42" s="735"/>
      <c r="R42" s="736" t="s">
        <v>661</v>
      </c>
      <c r="S42" s="736" t="s">
        <v>661</v>
      </c>
      <c r="T42" s="736" t="s">
        <v>661</v>
      </c>
      <c r="U42" s="736" t="s">
        <v>661</v>
      </c>
      <c r="V42" s="736" t="s">
        <v>661</v>
      </c>
      <c r="W42" s="736" t="s">
        <v>661</v>
      </c>
      <c r="X42" s="735"/>
      <c r="Y42" s="736" t="s">
        <v>661</v>
      </c>
      <c r="Z42" s="736" t="s">
        <v>661</v>
      </c>
      <c r="AA42" s="736" t="s">
        <v>661</v>
      </c>
      <c r="AB42" s="736" t="s">
        <v>661</v>
      </c>
      <c r="AC42" s="736" t="s">
        <v>661</v>
      </c>
      <c r="AD42" s="736" t="s">
        <v>661</v>
      </c>
      <c r="AE42" s="735"/>
      <c r="AF42" s="736" t="s">
        <v>661</v>
      </c>
      <c r="AG42" s="736" t="s">
        <v>661</v>
      </c>
      <c r="AH42" s="736" t="s">
        <v>661</v>
      </c>
      <c r="AI42" s="749">
        <f t="shared" si="0"/>
        <v>0</v>
      </c>
      <c r="AJ42" s="749">
        <f t="shared" si="1"/>
        <v>0</v>
      </c>
      <c r="AK42" s="749">
        <f t="shared" si="2"/>
        <v>0</v>
      </c>
    </row>
    <row r="43" spans="2:37">
      <c r="B43" s="724">
        <v>40</v>
      </c>
      <c r="C43" s="734" t="str">
        <f>SISWA!E45</f>
        <v>Anak 40</v>
      </c>
      <c r="D43" s="736" t="s">
        <v>661</v>
      </c>
      <c r="E43" s="736" t="s">
        <v>661</v>
      </c>
      <c r="F43" s="735"/>
      <c r="G43" s="736" t="s">
        <v>661</v>
      </c>
      <c r="H43" s="736" t="s">
        <v>661</v>
      </c>
      <c r="I43" s="736" t="s">
        <v>661</v>
      </c>
      <c r="J43" s="735"/>
      <c r="K43" s="736" t="s">
        <v>661</v>
      </c>
      <c r="L43" s="736" t="s">
        <v>661</v>
      </c>
      <c r="M43" s="736" t="s">
        <v>661</v>
      </c>
      <c r="N43" s="736" t="s">
        <v>661</v>
      </c>
      <c r="O43" s="736" t="s">
        <v>661</v>
      </c>
      <c r="P43" s="736" t="s">
        <v>661</v>
      </c>
      <c r="Q43" s="735"/>
      <c r="R43" s="736" t="s">
        <v>661</v>
      </c>
      <c r="S43" s="736" t="s">
        <v>661</v>
      </c>
      <c r="T43" s="736" t="s">
        <v>661</v>
      </c>
      <c r="U43" s="736" t="s">
        <v>661</v>
      </c>
      <c r="V43" s="736" t="s">
        <v>661</v>
      </c>
      <c r="W43" s="736" t="s">
        <v>661</v>
      </c>
      <c r="X43" s="735"/>
      <c r="Y43" s="736" t="s">
        <v>661</v>
      </c>
      <c r="Z43" s="736" t="s">
        <v>661</v>
      </c>
      <c r="AA43" s="736" t="s">
        <v>661</v>
      </c>
      <c r="AB43" s="736" t="s">
        <v>661</v>
      </c>
      <c r="AC43" s="736" t="s">
        <v>661</v>
      </c>
      <c r="AD43" s="736" t="s">
        <v>661</v>
      </c>
      <c r="AE43" s="735"/>
      <c r="AF43" s="736" t="s">
        <v>661</v>
      </c>
      <c r="AG43" s="736" t="s">
        <v>661</v>
      </c>
      <c r="AH43" s="736" t="s">
        <v>661</v>
      </c>
      <c r="AI43" s="749">
        <f t="shared" si="0"/>
        <v>0</v>
      </c>
      <c r="AJ43" s="749">
        <f t="shared" si="1"/>
        <v>0</v>
      </c>
      <c r="AK43" s="749">
        <f t="shared" si="2"/>
        <v>0</v>
      </c>
    </row>
    <row r="44" spans="2:37">
      <c r="B44" s="724">
        <v>41</v>
      </c>
      <c r="C44" s="734" t="str">
        <f>SISWA!E46</f>
        <v>Anak 41</v>
      </c>
      <c r="D44" s="736" t="s">
        <v>661</v>
      </c>
      <c r="E44" s="736" t="s">
        <v>661</v>
      </c>
      <c r="F44" s="735"/>
      <c r="G44" s="736" t="s">
        <v>661</v>
      </c>
      <c r="H44" s="736" t="s">
        <v>661</v>
      </c>
      <c r="I44" s="736" t="s">
        <v>661</v>
      </c>
      <c r="J44" s="735"/>
      <c r="K44" s="736" t="s">
        <v>661</v>
      </c>
      <c r="L44" s="736" t="s">
        <v>661</v>
      </c>
      <c r="M44" s="736" t="s">
        <v>661</v>
      </c>
      <c r="N44" s="736" t="s">
        <v>661</v>
      </c>
      <c r="O44" s="736" t="s">
        <v>661</v>
      </c>
      <c r="P44" s="736" t="s">
        <v>661</v>
      </c>
      <c r="Q44" s="735"/>
      <c r="R44" s="736" t="s">
        <v>661</v>
      </c>
      <c r="S44" s="736" t="s">
        <v>661</v>
      </c>
      <c r="T44" s="736" t="s">
        <v>661</v>
      </c>
      <c r="U44" s="736" t="s">
        <v>661</v>
      </c>
      <c r="V44" s="736" t="s">
        <v>661</v>
      </c>
      <c r="W44" s="736" t="s">
        <v>661</v>
      </c>
      <c r="X44" s="735"/>
      <c r="Y44" s="736" t="s">
        <v>661</v>
      </c>
      <c r="Z44" s="736" t="s">
        <v>661</v>
      </c>
      <c r="AA44" s="736" t="s">
        <v>661</v>
      </c>
      <c r="AB44" s="736" t="s">
        <v>661</v>
      </c>
      <c r="AC44" s="736" t="s">
        <v>661</v>
      </c>
      <c r="AD44" s="736" t="s">
        <v>661</v>
      </c>
      <c r="AE44" s="735"/>
      <c r="AF44" s="736" t="s">
        <v>661</v>
      </c>
      <c r="AG44" s="736" t="s">
        <v>661</v>
      </c>
      <c r="AH44" s="736" t="s">
        <v>661</v>
      </c>
      <c r="AI44" s="749">
        <f t="shared" si="0"/>
        <v>0</v>
      </c>
      <c r="AJ44" s="749">
        <f t="shared" si="1"/>
        <v>0</v>
      </c>
      <c r="AK44" s="749">
        <f t="shared" si="2"/>
        <v>0</v>
      </c>
    </row>
    <row r="45" spans="2:37">
      <c r="B45" s="724">
        <v>42</v>
      </c>
      <c r="C45" s="734" t="str">
        <f>SISWA!E47</f>
        <v>Anak 42</v>
      </c>
      <c r="D45" s="736" t="s">
        <v>661</v>
      </c>
      <c r="E45" s="736" t="s">
        <v>661</v>
      </c>
      <c r="F45" s="735"/>
      <c r="G45" s="736" t="s">
        <v>661</v>
      </c>
      <c r="H45" s="736" t="s">
        <v>661</v>
      </c>
      <c r="I45" s="736" t="s">
        <v>661</v>
      </c>
      <c r="J45" s="735"/>
      <c r="K45" s="736" t="s">
        <v>661</v>
      </c>
      <c r="L45" s="736" t="s">
        <v>661</v>
      </c>
      <c r="M45" s="736" t="s">
        <v>661</v>
      </c>
      <c r="N45" s="736" t="s">
        <v>661</v>
      </c>
      <c r="O45" s="736" t="s">
        <v>661</v>
      </c>
      <c r="P45" s="736" t="s">
        <v>661</v>
      </c>
      <c r="Q45" s="735"/>
      <c r="R45" s="736" t="s">
        <v>661</v>
      </c>
      <c r="S45" s="736" t="s">
        <v>661</v>
      </c>
      <c r="T45" s="736" t="s">
        <v>661</v>
      </c>
      <c r="U45" s="736" t="s">
        <v>661</v>
      </c>
      <c r="V45" s="736" t="s">
        <v>661</v>
      </c>
      <c r="W45" s="736" t="s">
        <v>661</v>
      </c>
      <c r="X45" s="735"/>
      <c r="Y45" s="736" t="s">
        <v>661</v>
      </c>
      <c r="Z45" s="736" t="s">
        <v>661</v>
      </c>
      <c r="AA45" s="736" t="s">
        <v>661</v>
      </c>
      <c r="AB45" s="736" t="s">
        <v>661</v>
      </c>
      <c r="AC45" s="736" t="s">
        <v>661</v>
      </c>
      <c r="AD45" s="736" t="s">
        <v>661</v>
      </c>
      <c r="AE45" s="735"/>
      <c r="AF45" s="736" t="s">
        <v>661</v>
      </c>
      <c r="AG45" s="736" t="s">
        <v>661</v>
      </c>
      <c r="AH45" s="736" t="s">
        <v>661</v>
      </c>
      <c r="AI45" s="749">
        <f t="shared" si="0"/>
        <v>0</v>
      </c>
      <c r="AJ45" s="749">
        <f t="shared" si="1"/>
        <v>0</v>
      </c>
      <c r="AK45" s="749">
        <f t="shared" si="2"/>
        <v>0</v>
      </c>
    </row>
    <row r="46" spans="2:37">
      <c r="B46" s="724">
        <v>43</v>
      </c>
      <c r="C46" s="734" t="str">
        <f>SISWA!E48</f>
        <v>Anak 43</v>
      </c>
      <c r="D46" s="736" t="s">
        <v>661</v>
      </c>
      <c r="E46" s="736" t="s">
        <v>661</v>
      </c>
      <c r="F46" s="735"/>
      <c r="G46" s="736" t="s">
        <v>661</v>
      </c>
      <c r="H46" s="736" t="s">
        <v>661</v>
      </c>
      <c r="I46" s="736" t="s">
        <v>661</v>
      </c>
      <c r="J46" s="735"/>
      <c r="K46" s="736" t="s">
        <v>661</v>
      </c>
      <c r="L46" s="736" t="s">
        <v>661</v>
      </c>
      <c r="M46" s="736" t="s">
        <v>661</v>
      </c>
      <c r="N46" s="736" t="s">
        <v>661</v>
      </c>
      <c r="O46" s="736" t="s">
        <v>661</v>
      </c>
      <c r="P46" s="736" t="s">
        <v>661</v>
      </c>
      <c r="Q46" s="735"/>
      <c r="R46" s="736" t="s">
        <v>661</v>
      </c>
      <c r="S46" s="736" t="s">
        <v>661</v>
      </c>
      <c r="T46" s="736" t="s">
        <v>661</v>
      </c>
      <c r="U46" s="736" t="s">
        <v>661</v>
      </c>
      <c r="V46" s="736" t="s">
        <v>661</v>
      </c>
      <c r="W46" s="736" t="s">
        <v>661</v>
      </c>
      <c r="X46" s="735"/>
      <c r="Y46" s="736" t="s">
        <v>661</v>
      </c>
      <c r="Z46" s="736" t="s">
        <v>661</v>
      </c>
      <c r="AA46" s="736" t="s">
        <v>661</v>
      </c>
      <c r="AB46" s="736" t="s">
        <v>661</v>
      </c>
      <c r="AC46" s="736" t="s">
        <v>661</v>
      </c>
      <c r="AD46" s="736" t="s">
        <v>661</v>
      </c>
      <c r="AE46" s="735"/>
      <c r="AF46" s="736" t="s">
        <v>661</v>
      </c>
      <c r="AG46" s="736" t="s">
        <v>661</v>
      </c>
      <c r="AH46" s="736" t="s">
        <v>661</v>
      </c>
      <c r="AI46" s="749">
        <f t="shared" si="0"/>
        <v>0</v>
      </c>
      <c r="AJ46" s="749">
        <f t="shared" si="1"/>
        <v>0</v>
      </c>
      <c r="AK46" s="749">
        <f t="shared" si="2"/>
        <v>0</v>
      </c>
    </row>
    <row r="47" spans="2:37">
      <c r="B47" s="724">
        <v>44</v>
      </c>
      <c r="C47" s="734" t="str">
        <f>SISWA!E49</f>
        <v>Anak 44</v>
      </c>
      <c r="D47" s="736" t="s">
        <v>661</v>
      </c>
      <c r="E47" s="736" t="s">
        <v>661</v>
      </c>
      <c r="F47" s="735"/>
      <c r="G47" s="736" t="s">
        <v>661</v>
      </c>
      <c r="H47" s="736" t="s">
        <v>661</v>
      </c>
      <c r="I47" s="736" t="s">
        <v>661</v>
      </c>
      <c r="J47" s="735"/>
      <c r="K47" s="736" t="s">
        <v>661</v>
      </c>
      <c r="L47" s="736" t="s">
        <v>661</v>
      </c>
      <c r="M47" s="736" t="s">
        <v>661</v>
      </c>
      <c r="N47" s="736" t="s">
        <v>661</v>
      </c>
      <c r="O47" s="736" t="s">
        <v>661</v>
      </c>
      <c r="P47" s="736" t="s">
        <v>661</v>
      </c>
      <c r="Q47" s="735"/>
      <c r="R47" s="736" t="s">
        <v>661</v>
      </c>
      <c r="S47" s="736" t="s">
        <v>661</v>
      </c>
      <c r="T47" s="736" t="s">
        <v>661</v>
      </c>
      <c r="U47" s="736" t="s">
        <v>661</v>
      </c>
      <c r="V47" s="736" t="s">
        <v>661</v>
      </c>
      <c r="W47" s="736" t="s">
        <v>661</v>
      </c>
      <c r="X47" s="735"/>
      <c r="Y47" s="736" t="s">
        <v>661</v>
      </c>
      <c r="Z47" s="736" t="s">
        <v>661</v>
      </c>
      <c r="AA47" s="736" t="s">
        <v>661</v>
      </c>
      <c r="AB47" s="736" t="s">
        <v>661</v>
      </c>
      <c r="AC47" s="736" t="s">
        <v>661</v>
      </c>
      <c r="AD47" s="736" t="s">
        <v>661</v>
      </c>
      <c r="AE47" s="735"/>
      <c r="AF47" s="736" t="s">
        <v>661</v>
      </c>
      <c r="AG47" s="736" t="s">
        <v>661</v>
      </c>
      <c r="AH47" s="736" t="s">
        <v>661</v>
      </c>
      <c r="AI47" s="749">
        <f t="shared" si="0"/>
        <v>0</v>
      </c>
      <c r="AJ47" s="749">
        <f t="shared" si="1"/>
        <v>0</v>
      </c>
      <c r="AK47" s="749">
        <f t="shared" si="2"/>
        <v>0</v>
      </c>
    </row>
    <row r="48" spans="2:37">
      <c r="B48" s="724">
        <v>45</v>
      </c>
      <c r="C48" s="734" t="str">
        <f>SISWA!E50</f>
        <v>Anak 45</v>
      </c>
      <c r="D48" s="736" t="s">
        <v>661</v>
      </c>
      <c r="E48" s="736" t="s">
        <v>661</v>
      </c>
      <c r="F48" s="735"/>
      <c r="G48" s="736" t="s">
        <v>661</v>
      </c>
      <c r="H48" s="736" t="s">
        <v>661</v>
      </c>
      <c r="I48" s="736" t="s">
        <v>661</v>
      </c>
      <c r="J48" s="735"/>
      <c r="K48" s="736" t="s">
        <v>661</v>
      </c>
      <c r="L48" s="736" t="s">
        <v>661</v>
      </c>
      <c r="M48" s="736" t="s">
        <v>661</v>
      </c>
      <c r="N48" s="736" t="s">
        <v>661</v>
      </c>
      <c r="O48" s="736" t="s">
        <v>661</v>
      </c>
      <c r="P48" s="736" t="s">
        <v>661</v>
      </c>
      <c r="Q48" s="735"/>
      <c r="R48" s="736" t="s">
        <v>661</v>
      </c>
      <c r="S48" s="736" t="s">
        <v>661</v>
      </c>
      <c r="T48" s="736" t="s">
        <v>661</v>
      </c>
      <c r="U48" s="736" t="s">
        <v>661</v>
      </c>
      <c r="V48" s="736" t="s">
        <v>661</v>
      </c>
      <c r="W48" s="736" t="s">
        <v>661</v>
      </c>
      <c r="X48" s="735"/>
      <c r="Y48" s="736" t="s">
        <v>661</v>
      </c>
      <c r="Z48" s="736" t="s">
        <v>661</v>
      </c>
      <c r="AA48" s="736" t="s">
        <v>661</v>
      </c>
      <c r="AB48" s="736" t="s">
        <v>661</v>
      </c>
      <c r="AC48" s="736" t="s">
        <v>661</v>
      </c>
      <c r="AD48" s="736" t="s">
        <v>661</v>
      </c>
      <c r="AE48" s="735"/>
      <c r="AF48" s="736" t="s">
        <v>661</v>
      </c>
      <c r="AG48" s="736" t="s">
        <v>661</v>
      </c>
      <c r="AH48" s="736" t="s">
        <v>661</v>
      </c>
      <c r="AI48" s="749">
        <f t="shared" si="0"/>
        <v>0</v>
      </c>
      <c r="AJ48" s="749">
        <f t="shared" si="1"/>
        <v>0</v>
      </c>
      <c r="AK48" s="749">
        <f t="shared" si="2"/>
        <v>0</v>
      </c>
    </row>
    <row r="49" spans="2:37">
      <c r="B49" s="724">
        <v>46</v>
      </c>
      <c r="C49" s="734" t="str">
        <f>SISWA!E51</f>
        <v>Anak 46</v>
      </c>
      <c r="D49" s="736" t="s">
        <v>661</v>
      </c>
      <c r="E49" s="736" t="s">
        <v>661</v>
      </c>
      <c r="F49" s="735"/>
      <c r="G49" s="736" t="s">
        <v>661</v>
      </c>
      <c r="H49" s="736" t="s">
        <v>661</v>
      </c>
      <c r="I49" s="736" t="s">
        <v>661</v>
      </c>
      <c r="J49" s="735"/>
      <c r="K49" s="736" t="s">
        <v>661</v>
      </c>
      <c r="L49" s="736" t="s">
        <v>661</v>
      </c>
      <c r="M49" s="736" t="s">
        <v>661</v>
      </c>
      <c r="N49" s="736" t="s">
        <v>661</v>
      </c>
      <c r="O49" s="736" t="s">
        <v>661</v>
      </c>
      <c r="P49" s="736" t="s">
        <v>661</v>
      </c>
      <c r="Q49" s="735"/>
      <c r="R49" s="736" t="s">
        <v>661</v>
      </c>
      <c r="S49" s="736" t="s">
        <v>661</v>
      </c>
      <c r="T49" s="736" t="s">
        <v>661</v>
      </c>
      <c r="U49" s="736" t="s">
        <v>661</v>
      </c>
      <c r="V49" s="736" t="s">
        <v>661</v>
      </c>
      <c r="W49" s="736" t="s">
        <v>661</v>
      </c>
      <c r="X49" s="735"/>
      <c r="Y49" s="736" t="s">
        <v>661</v>
      </c>
      <c r="Z49" s="736" t="s">
        <v>661</v>
      </c>
      <c r="AA49" s="736" t="s">
        <v>661</v>
      </c>
      <c r="AB49" s="736" t="s">
        <v>661</v>
      </c>
      <c r="AC49" s="736" t="s">
        <v>661</v>
      </c>
      <c r="AD49" s="736" t="s">
        <v>661</v>
      </c>
      <c r="AE49" s="735"/>
      <c r="AF49" s="736" t="s">
        <v>661</v>
      </c>
      <c r="AG49" s="736" t="s">
        <v>661</v>
      </c>
      <c r="AH49" s="736" t="s">
        <v>661</v>
      </c>
      <c r="AI49" s="749">
        <f t="shared" si="0"/>
        <v>0</v>
      </c>
      <c r="AJ49" s="749">
        <f t="shared" si="1"/>
        <v>0</v>
      </c>
      <c r="AK49" s="749">
        <f t="shared" si="2"/>
        <v>0</v>
      </c>
    </row>
    <row r="50" spans="2:37">
      <c r="B50" s="724">
        <v>47</v>
      </c>
      <c r="C50" s="734" t="str">
        <f>SISWA!E52</f>
        <v>Anak 47</v>
      </c>
      <c r="D50" s="736" t="s">
        <v>661</v>
      </c>
      <c r="E50" s="736" t="s">
        <v>661</v>
      </c>
      <c r="F50" s="735"/>
      <c r="G50" s="736" t="s">
        <v>661</v>
      </c>
      <c r="H50" s="736" t="s">
        <v>661</v>
      </c>
      <c r="I50" s="736" t="s">
        <v>661</v>
      </c>
      <c r="J50" s="735"/>
      <c r="K50" s="736" t="s">
        <v>661</v>
      </c>
      <c r="L50" s="736" t="s">
        <v>661</v>
      </c>
      <c r="M50" s="736" t="s">
        <v>661</v>
      </c>
      <c r="N50" s="736" t="s">
        <v>661</v>
      </c>
      <c r="O50" s="736" t="s">
        <v>661</v>
      </c>
      <c r="P50" s="736" t="s">
        <v>661</v>
      </c>
      <c r="Q50" s="735"/>
      <c r="R50" s="736" t="s">
        <v>661</v>
      </c>
      <c r="S50" s="736" t="s">
        <v>661</v>
      </c>
      <c r="T50" s="736" t="s">
        <v>661</v>
      </c>
      <c r="U50" s="736" t="s">
        <v>661</v>
      </c>
      <c r="V50" s="736" t="s">
        <v>661</v>
      </c>
      <c r="W50" s="736" t="s">
        <v>661</v>
      </c>
      <c r="X50" s="735"/>
      <c r="Y50" s="736" t="s">
        <v>661</v>
      </c>
      <c r="Z50" s="736" t="s">
        <v>661</v>
      </c>
      <c r="AA50" s="736" t="s">
        <v>661</v>
      </c>
      <c r="AB50" s="736" t="s">
        <v>661</v>
      </c>
      <c r="AC50" s="736" t="s">
        <v>661</v>
      </c>
      <c r="AD50" s="736" t="s">
        <v>661</v>
      </c>
      <c r="AE50" s="735"/>
      <c r="AF50" s="736" t="s">
        <v>661</v>
      </c>
      <c r="AG50" s="736" t="s">
        <v>661</v>
      </c>
      <c r="AH50" s="736" t="s">
        <v>661</v>
      </c>
      <c r="AI50" s="749">
        <f t="shared" si="0"/>
        <v>0</v>
      </c>
      <c r="AJ50" s="749">
        <f t="shared" si="1"/>
        <v>0</v>
      </c>
      <c r="AK50" s="749">
        <f t="shared" si="2"/>
        <v>0</v>
      </c>
    </row>
    <row r="51" spans="2:37">
      <c r="B51" s="724">
        <v>48</v>
      </c>
      <c r="C51" s="734" t="str">
        <f>SISWA!E53</f>
        <v>Anak 48</v>
      </c>
      <c r="D51" s="736" t="s">
        <v>661</v>
      </c>
      <c r="E51" s="736" t="s">
        <v>661</v>
      </c>
      <c r="F51" s="735"/>
      <c r="G51" s="736" t="s">
        <v>661</v>
      </c>
      <c r="H51" s="736" t="s">
        <v>661</v>
      </c>
      <c r="I51" s="736" t="s">
        <v>661</v>
      </c>
      <c r="J51" s="735"/>
      <c r="K51" s="736" t="s">
        <v>661</v>
      </c>
      <c r="L51" s="736" t="s">
        <v>661</v>
      </c>
      <c r="M51" s="736" t="s">
        <v>661</v>
      </c>
      <c r="N51" s="736" t="s">
        <v>661</v>
      </c>
      <c r="O51" s="736" t="s">
        <v>661</v>
      </c>
      <c r="P51" s="736" t="s">
        <v>661</v>
      </c>
      <c r="Q51" s="735"/>
      <c r="R51" s="736" t="s">
        <v>661</v>
      </c>
      <c r="S51" s="736" t="s">
        <v>661</v>
      </c>
      <c r="T51" s="736" t="s">
        <v>661</v>
      </c>
      <c r="U51" s="736" t="s">
        <v>661</v>
      </c>
      <c r="V51" s="736" t="s">
        <v>661</v>
      </c>
      <c r="W51" s="736" t="s">
        <v>661</v>
      </c>
      <c r="X51" s="735"/>
      <c r="Y51" s="736" t="s">
        <v>661</v>
      </c>
      <c r="Z51" s="736" t="s">
        <v>661</v>
      </c>
      <c r="AA51" s="736" t="s">
        <v>661</v>
      </c>
      <c r="AB51" s="736" t="s">
        <v>661</v>
      </c>
      <c r="AC51" s="736" t="s">
        <v>661</v>
      </c>
      <c r="AD51" s="736" t="s">
        <v>661</v>
      </c>
      <c r="AE51" s="735"/>
      <c r="AF51" s="736" t="s">
        <v>661</v>
      </c>
      <c r="AG51" s="736" t="s">
        <v>661</v>
      </c>
      <c r="AH51" s="736" t="s">
        <v>661</v>
      </c>
      <c r="AI51" s="749">
        <f t="shared" si="0"/>
        <v>0</v>
      </c>
      <c r="AJ51" s="749">
        <f t="shared" si="1"/>
        <v>0</v>
      </c>
      <c r="AK51" s="749">
        <f t="shared" si="2"/>
        <v>0</v>
      </c>
    </row>
    <row r="52" spans="2:37">
      <c r="B52" s="724">
        <v>49</v>
      </c>
      <c r="C52" s="734" t="str">
        <f>SISWA!E54</f>
        <v>Anak 49</v>
      </c>
      <c r="D52" s="736" t="s">
        <v>661</v>
      </c>
      <c r="E52" s="736" t="s">
        <v>661</v>
      </c>
      <c r="F52" s="735"/>
      <c r="G52" s="736" t="s">
        <v>661</v>
      </c>
      <c r="H52" s="736" t="s">
        <v>661</v>
      </c>
      <c r="I52" s="736" t="s">
        <v>661</v>
      </c>
      <c r="J52" s="735"/>
      <c r="K52" s="736" t="s">
        <v>661</v>
      </c>
      <c r="L52" s="736" t="s">
        <v>661</v>
      </c>
      <c r="M52" s="736" t="s">
        <v>661</v>
      </c>
      <c r="N52" s="736" t="s">
        <v>661</v>
      </c>
      <c r="O52" s="736" t="s">
        <v>661</v>
      </c>
      <c r="P52" s="736" t="s">
        <v>661</v>
      </c>
      <c r="Q52" s="735"/>
      <c r="R52" s="736" t="s">
        <v>661</v>
      </c>
      <c r="S52" s="736" t="s">
        <v>661</v>
      </c>
      <c r="T52" s="736" t="s">
        <v>661</v>
      </c>
      <c r="U52" s="736" t="s">
        <v>661</v>
      </c>
      <c r="V52" s="736" t="s">
        <v>661</v>
      </c>
      <c r="W52" s="736" t="s">
        <v>661</v>
      </c>
      <c r="X52" s="735"/>
      <c r="Y52" s="736" t="s">
        <v>661</v>
      </c>
      <c r="Z52" s="736" t="s">
        <v>661</v>
      </c>
      <c r="AA52" s="736" t="s">
        <v>661</v>
      </c>
      <c r="AB52" s="736" t="s">
        <v>661</v>
      </c>
      <c r="AC52" s="736" t="s">
        <v>661</v>
      </c>
      <c r="AD52" s="736" t="s">
        <v>661</v>
      </c>
      <c r="AE52" s="735"/>
      <c r="AF52" s="736" t="s">
        <v>661</v>
      </c>
      <c r="AG52" s="736" t="s">
        <v>661</v>
      </c>
      <c r="AH52" s="736" t="s">
        <v>661</v>
      </c>
      <c r="AI52" s="749">
        <f t="shared" si="0"/>
        <v>0</v>
      </c>
      <c r="AJ52" s="749">
        <f t="shared" si="1"/>
        <v>0</v>
      </c>
      <c r="AK52" s="749">
        <f t="shared" si="2"/>
        <v>0</v>
      </c>
    </row>
    <row r="53" spans="2:37">
      <c r="B53" s="724">
        <v>50</v>
      </c>
      <c r="C53" s="734" t="str">
        <f>SISWA!E55</f>
        <v>Anak 50</v>
      </c>
      <c r="D53" s="736" t="s">
        <v>661</v>
      </c>
      <c r="E53" s="736" t="s">
        <v>661</v>
      </c>
      <c r="F53" s="735"/>
      <c r="G53" s="736" t="s">
        <v>661</v>
      </c>
      <c r="H53" s="736" t="s">
        <v>661</v>
      </c>
      <c r="I53" s="736" t="s">
        <v>661</v>
      </c>
      <c r="J53" s="735"/>
      <c r="K53" s="736" t="s">
        <v>661</v>
      </c>
      <c r="L53" s="736" t="s">
        <v>661</v>
      </c>
      <c r="M53" s="736" t="s">
        <v>661</v>
      </c>
      <c r="N53" s="736" t="s">
        <v>661</v>
      </c>
      <c r="O53" s="736" t="s">
        <v>661</v>
      </c>
      <c r="P53" s="736" t="s">
        <v>661</v>
      </c>
      <c r="Q53" s="735"/>
      <c r="R53" s="736" t="s">
        <v>661</v>
      </c>
      <c r="S53" s="736" t="s">
        <v>661</v>
      </c>
      <c r="T53" s="736" t="s">
        <v>661</v>
      </c>
      <c r="U53" s="736" t="s">
        <v>661</v>
      </c>
      <c r="V53" s="736" t="s">
        <v>661</v>
      </c>
      <c r="W53" s="736" t="s">
        <v>661</v>
      </c>
      <c r="X53" s="735"/>
      <c r="Y53" s="736" t="s">
        <v>661</v>
      </c>
      <c r="Z53" s="736" t="s">
        <v>661</v>
      </c>
      <c r="AA53" s="736" t="s">
        <v>661</v>
      </c>
      <c r="AB53" s="736" t="s">
        <v>661</v>
      </c>
      <c r="AC53" s="736" t="s">
        <v>661</v>
      </c>
      <c r="AD53" s="736" t="s">
        <v>661</v>
      </c>
      <c r="AE53" s="735"/>
      <c r="AF53" s="736" t="s">
        <v>661</v>
      </c>
      <c r="AG53" s="736" t="s">
        <v>661</v>
      </c>
      <c r="AH53" s="736" t="s">
        <v>661</v>
      </c>
      <c r="AI53" s="749">
        <f t="shared" si="0"/>
        <v>0</v>
      </c>
      <c r="AJ53" s="749">
        <f t="shared" si="1"/>
        <v>0</v>
      </c>
      <c r="AK53" s="749">
        <f t="shared" si="2"/>
        <v>0</v>
      </c>
    </row>
    <row r="54" spans="2:37">
      <c r="B54" s="471"/>
      <c r="C54" s="471"/>
      <c r="D54" s="1008" t="s">
        <v>460</v>
      </c>
      <c r="E54" s="1009"/>
      <c r="F54" s="1009"/>
      <c r="G54" s="1009"/>
      <c r="H54" s="1009"/>
      <c r="I54" s="1009"/>
      <c r="J54" s="1009"/>
      <c r="K54" s="1009"/>
      <c r="L54" s="1009"/>
      <c r="M54" s="1009"/>
      <c r="N54" s="1009"/>
      <c r="O54" s="1009"/>
      <c r="P54" s="1009"/>
      <c r="Q54" s="1009"/>
      <c r="R54" s="1009"/>
      <c r="S54" s="1009"/>
      <c r="T54" s="1009"/>
      <c r="U54" s="1009"/>
      <c r="V54" s="1009"/>
      <c r="W54" s="1009"/>
      <c r="X54" s="1009"/>
      <c r="Y54" s="1009"/>
      <c r="Z54" s="1009"/>
      <c r="AA54" s="1009"/>
      <c r="AB54" s="1009"/>
      <c r="AC54" s="1009"/>
      <c r="AD54" s="1009"/>
      <c r="AE54" s="1009"/>
      <c r="AF54" s="1009"/>
      <c r="AG54" s="1009"/>
      <c r="AH54" s="1010"/>
      <c r="AI54" s="749">
        <f>SUM(AI4:AI53)</f>
        <v>6</v>
      </c>
      <c r="AJ54" s="749">
        <f>SUM(AJ4:AJ53)</f>
        <v>0</v>
      </c>
      <c r="AK54" s="749">
        <f>SUM(AK4:AK53)</f>
        <v>0</v>
      </c>
    </row>
    <row r="55" spans="2:37" ht="15.75" thickBot="1"/>
    <row r="56" spans="2:37" ht="15.75" thickBot="1">
      <c r="C56" s="737"/>
      <c r="D56" s="738"/>
      <c r="E56" s="738"/>
      <c r="F56" s="738"/>
      <c r="G56" s="739"/>
    </row>
    <row r="57" spans="2:37" ht="16.5" thickBot="1">
      <c r="C57" s="740" t="s">
        <v>969</v>
      </c>
      <c r="D57" s="742">
        <v>26</v>
      </c>
      <c r="E57" s="741"/>
      <c r="F57" s="1011">
        <f>D57*DEPAN!E23</f>
        <v>1300</v>
      </c>
      <c r="G57" s="1012"/>
      <c r="L57" s="1013" t="s">
        <v>244</v>
      </c>
      <c r="M57" s="1013"/>
      <c r="N57" s="1013"/>
      <c r="O57" s="1013"/>
      <c r="P57" s="1013"/>
      <c r="Q57" s="1013"/>
      <c r="AC57" s="1013" t="s">
        <v>981</v>
      </c>
      <c r="AD57" s="1013"/>
      <c r="AE57" s="1013"/>
      <c r="AF57" s="1013"/>
      <c r="AG57" s="1013"/>
      <c r="AH57" s="1013"/>
      <c r="AI57" s="1013"/>
      <c r="AJ57" s="1013"/>
    </row>
    <row r="58" spans="2:37" ht="15.75">
      <c r="C58" s="740"/>
      <c r="D58" s="743"/>
      <c r="E58" s="741"/>
      <c r="F58" s="741"/>
      <c r="G58" s="744"/>
      <c r="L58" s="1013" t="s">
        <v>245</v>
      </c>
      <c r="M58" s="1013"/>
      <c r="N58" s="1013"/>
      <c r="O58" s="1013"/>
      <c r="P58" s="1013"/>
      <c r="Q58" s="1013"/>
      <c r="AC58" s="1013" t="s">
        <v>971</v>
      </c>
      <c r="AD58" s="1013"/>
      <c r="AE58" s="1013"/>
      <c r="AF58" s="1013"/>
      <c r="AG58" s="1013"/>
      <c r="AH58" s="1013"/>
      <c r="AI58" s="1013"/>
      <c r="AJ58" s="1013"/>
    </row>
    <row r="59" spans="2:37" ht="15.75">
      <c r="C59" s="740" t="s">
        <v>972</v>
      </c>
      <c r="D59" s="745"/>
      <c r="E59" s="741"/>
      <c r="F59" s="741"/>
      <c r="G59" s="744"/>
    </row>
    <row r="60" spans="2:37" ht="15.75">
      <c r="C60" s="740" t="s">
        <v>973</v>
      </c>
      <c r="D60" s="1005">
        <f>AI54/F57</f>
        <v>4.6153846153846158E-3</v>
      </c>
      <c r="E60" s="1005"/>
      <c r="F60" s="741"/>
      <c r="G60" s="744"/>
    </row>
    <row r="61" spans="2:37" ht="15.75">
      <c r="C61" s="740" t="s">
        <v>974</v>
      </c>
      <c r="D61" s="1014">
        <f>AJ54/F57</f>
        <v>0</v>
      </c>
      <c r="E61" s="1014"/>
      <c r="F61" s="741"/>
      <c r="G61" s="744"/>
    </row>
    <row r="62" spans="2:37" ht="15.75">
      <c r="C62" s="740" t="s">
        <v>975</v>
      </c>
      <c r="D62" s="1014">
        <f>AK54/F57</f>
        <v>0</v>
      </c>
      <c r="E62" s="1014"/>
      <c r="F62" s="741"/>
      <c r="G62" s="744"/>
    </row>
    <row r="63" spans="2:37" ht="15.75" thickBot="1">
      <c r="C63" s="746"/>
      <c r="D63" s="747"/>
      <c r="E63" s="747"/>
      <c r="F63" s="747"/>
      <c r="G63" s="748"/>
      <c r="K63" s="474"/>
      <c r="L63" s="1015" t="str">
        <f>DEPAN!E12</f>
        <v>H. SAMSUDIN,M.Pd</v>
      </c>
      <c r="M63" s="1015"/>
      <c r="N63" s="1015"/>
      <c r="O63" s="1015"/>
      <c r="P63" s="1015"/>
      <c r="Q63" s="1015"/>
      <c r="R63" s="474"/>
      <c r="AC63" s="474"/>
      <c r="AD63" s="1015" t="str">
        <f>DEPAN!E16</f>
        <v>SITI PONIMAH,M.Pd</v>
      </c>
      <c r="AE63" s="1015"/>
      <c r="AF63" s="1015"/>
      <c r="AG63" s="1015"/>
      <c r="AH63" s="1015"/>
      <c r="AI63" s="1015"/>
      <c r="AJ63" s="474"/>
    </row>
    <row r="64" spans="2:37">
      <c r="K64" s="1016" t="str">
        <f>CONCATENATE("NIP.",DEPAN!E13)</f>
        <v>NIP.19921233 198777 1 336</v>
      </c>
      <c r="L64" s="1016"/>
      <c r="M64" s="1016"/>
      <c r="N64" s="1016"/>
      <c r="O64" s="1016"/>
      <c r="P64" s="1016"/>
      <c r="Q64" s="1016"/>
      <c r="R64" s="1016"/>
      <c r="AC64" s="1016" t="str">
        <f>CONCATENATE("NIP.",DEPAN!E17)</f>
        <v>NIP.19616566 201808 2 033</v>
      </c>
      <c r="AD64" s="1016"/>
      <c r="AE64" s="1016"/>
      <c r="AF64" s="1016"/>
      <c r="AG64" s="1016"/>
      <c r="AH64" s="1016"/>
      <c r="AI64" s="1016"/>
      <c r="AJ64" s="1016"/>
    </row>
    <row r="65"/>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row r="88"/>
  </sheetData>
  <mergeCells count="16">
    <mergeCell ref="K64:R64"/>
    <mergeCell ref="AC64:AJ64"/>
    <mergeCell ref="L58:Q58"/>
    <mergeCell ref="AC58:AJ58"/>
    <mergeCell ref="D60:E60"/>
    <mergeCell ref="D61:E61"/>
    <mergeCell ref="D62:E62"/>
    <mergeCell ref="L63:Q63"/>
    <mergeCell ref="AD63:AI63"/>
    <mergeCell ref="B2:B3"/>
    <mergeCell ref="C2:C3"/>
    <mergeCell ref="D2:AK2"/>
    <mergeCell ref="D54:AH54"/>
    <mergeCell ref="F57:G57"/>
    <mergeCell ref="L57:Q57"/>
    <mergeCell ref="AC57:AJ57"/>
  </mergeCells>
  <dataValidations count="2">
    <dataValidation allowBlank="1" showInputMessage="1" showErrorMessage="1" prompt="isi dengan jumlah HARI EFEKTIF" sqref="D57"/>
    <dataValidation allowBlank="1" showInputMessage="1" showErrorMessage="1" promptTitle="TIDAK USAH DI GANTI" prompt="hasil dari perkalian HARI EFEKTIF dan JUMLAH SISWA" sqref="F57"/>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88"/>
  <sheetViews>
    <sheetView topLeftCell="A46" zoomScaleNormal="100" workbookViewId="0">
      <selection activeCell="AC57" sqref="AC57:AJ57"/>
    </sheetView>
  </sheetViews>
  <sheetFormatPr defaultColWidth="0" defaultRowHeight="15" customHeight="1" zeroHeight="1"/>
  <cols>
    <col min="1" max="1" width="9.140625" style="750" customWidth="1"/>
    <col min="2" max="2" width="5.85546875" customWidth="1"/>
    <col min="3" max="3" width="25" customWidth="1"/>
    <col min="4" max="37" width="4.5703125" customWidth="1"/>
    <col min="38" max="38" width="9.140625" customWidth="1"/>
    <col min="39" max="40" width="0" hidden="1" customWidth="1"/>
    <col min="41" max="16384" width="9.140625" hidden="1"/>
  </cols>
  <sheetData>
    <row r="1" spans="2:37"/>
    <row r="2" spans="2:37" ht="21">
      <c r="B2" s="1006" t="s">
        <v>2</v>
      </c>
      <c r="C2" s="1006" t="s">
        <v>965</v>
      </c>
      <c r="D2" s="1007" t="s">
        <v>982</v>
      </c>
      <c r="E2" s="1007"/>
      <c r="F2" s="1007"/>
      <c r="G2" s="1007"/>
      <c r="H2" s="1007"/>
      <c r="I2" s="1007"/>
      <c r="J2" s="1007"/>
      <c r="K2" s="1007"/>
      <c r="L2" s="1007"/>
      <c r="M2" s="1007"/>
      <c r="N2" s="1007"/>
      <c r="O2" s="1007"/>
      <c r="P2" s="1007"/>
      <c r="Q2" s="1007"/>
      <c r="R2" s="1007"/>
      <c r="S2" s="1007"/>
      <c r="T2" s="1007"/>
      <c r="U2" s="1007"/>
      <c r="V2" s="1007"/>
      <c r="W2" s="1007"/>
      <c r="X2" s="1007"/>
      <c r="Y2" s="1007"/>
      <c r="Z2" s="1007"/>
      <c r="AA2" s="1007"/>
      <c r="AB2" s="1007"/>
      <c r="AC2" s="1007"/>
      <c r="AD2" s="1007"/>
      <c r="AE2" s="1007"/>
      <c r="AF2" s="1007"/>
      <c r="AG2" s="1007"/>
      <c r="AH2" s="1007"/>
      <c r="AI2" s="1007"/>
      <c r="AJ2" s="1007"/>
      <c r="AK2" s="1007"/>
    </row>
    <row r="3" spans="2:37">
      <c r="B3" s="1006"/>
      <c r="C3" s="1006"/>
      <c r="D3" s="733">
        <v>1</v>
      </c>
      <c r="E3" s="733">
        <v>2</v>
      </c>
      <c r="F3" s="733">
        <v>3</v>
      </c>
      <c r="G3" s="733">
        <v>4</v>
      </c>
      <c r="H3" s="733">
        <v>5</v>
      </c>
      <c r="I3" s="733">
        <v>6</v>
      </c>
      <c r="J3" s="733">
        <v>7</v>
      </c>
      <c r="K3" s="733">
        <v>8</v>
      </c>
      <c r="L3" s="733">
        <v>9</v>
      </c>
      <c r="M3" s="733">
        <v>10</v>
      </c>
      <c r="N3" s="733">
        <v>11</v>
      </c>
      <c r="O3" s="733">
        <v>12</v>
      </c>
      <c r="P3" s="733">
        <v>13</v>
      </c>
      <c r="Q3" s="733">
        <v>14</v>
      </c>
      <c r="R3" s="733">
        <v>15</v>
      </c>
      <c r="S3" s="733">
        <v>16</v>
      </c>
      <c r="T3" s="733">
        <v>17</v>
      </c>
      <c r="U3" s="733">
        <v>18</v>
      </c>
      <c r="V3" s="733">
        <v>19</v>
      </c>
      <c r="W3" s="733">
        <v>20</v>
      </c>
      <c r="X3" s="733">
        <v>21</v>
      </c>
      <c r="Y3" s="733">
        <v>22</v>
      </c>
      <c r="Z3" s="733">
        <v>23</v>
      </c>
      <c r="AA3" s="733">
        <v>24</v>
      </c>
      <c r="AB3" s="733">
        <v>25</v>
      </c>
      <c r="AC3" s="733">
        <v>26</v>
      </c>
      <c r="AD3" s="733">
        <v>27</v>
      </c>
      <c r="AE3" s="733">
        <v>28</v>
      </c>
      <c r="AF3" s="733">
        <v>29</v>
      </c>
      <c r="AG3" s="733">
        <v>30</v>
      </c>
      <c r="AH3" s="733">
        <v>31</v>
      </c>
      <c r="AI3" s="733" t="s">
        <v>967</v>
      </c>
      <c r="AJ3" s="733" t="s">
        <v>884</v>
      </c>
      <c r="AK3" s="733" t="s">
        <v>968</v>
      </c>
    </row>
    <row r="4" spans="2:37">
      <c r="B4" s="724">
        <v>1</v>
      </c>
      <c r="C4" s="734" t="str">
        <f>SISWA!E6</f>
        <v>Anak 1</v>
      </c>
      <c r="D4" s="735"/>
      <c r="E4" s="736" t="s">
        <v>661</v>
      </c>
      <c r="F4" s="736" t="s">
        <v>661</v>
      </c>
      <c r="G4" s="736" t="s">
        <v>661</v>
      </c>
      <c r="H4" s="735"/>
      <c r="I4" s="736" t="s">
        <v>661</v>
      </c>
      <c r="J4" s="736" t="s">
        <v>661</v>
      </c>
      <c r="K4" s="736" t="s">
        <v>661</v>
      </c>
      <c r="L4" s="736" t="s">
        <v>661</v>
      </c>
      <c r="M4" s="736" t="s">
        <v>661</v>
      </c>
      <c r="N4" s="736" t="s">
        <v>661</v>
      </c>
      <c r="O4" s="735"/>
      <c r="P4" s="736" t="s">
        <v>661</v>
      </c>
      <c r="Q4" s="736" t="s">
        <v>661</v>
      </c>
      <c r="R4" s="736" t="s">
        <v>661</v>
      </c>
      <c r="S4" s="736" t="s">
        <v>661</v>
      </c>
      <c r="T4" s="736" t="s">
        <v>661</v>
      </c>
      <c r="U4" s="736" t="s">
        <v>661</v>
      </c>
      <c r="V4" s="735"/>
      <c r="W4" s="736" t="s">
        <v>661</v>
      </c>
      <c r="X4" s="736" t="s">
        <v>661</v>
      </c>
      <c r="Y4" s="736" t="s">
        <v>661</v>
      </c>
      <c r="Z4" s="736" t="s">
        <v>661</v>
      </c>
      <c r="AA4" s="736" t="s">
        <v>661</v>
      </c>
      <c r="AB4" s="736" t="s">
        <v>661</v>
      </c>
      <c r="AC4" s="735"/>
      <c r="AD4" s="736" t="s">
        <v>661</v>
      </c>
      <c r="AE4" s="736" t="s">
        <v>661</v>
      </c>
      <c r="AF4" s="736" t="s">
        <v>661</v>
      </c>
      <c r="AG4" s="735"/>
      <c r="AH4" s="736" t="s">
        <v>661</v>
      </c>
      <c r="AI4" s="749">
        <f>COUNTIF(D4:AH4,"S")</f>
        <v>0</v>
      </c>
      <c r="AJ4" s="749">
        <f>COUNTIF(D4:AH4,"I")</f>
        <v>0</v>
      </c>
      <c r="AK4" s="749">
        <f>COUNTIF(D4:AH4,"A")</f>
        <v>0</v>
      </c>
    </row>
    <row r="5" spans="2:37">
      <c r="B5" s="724">
        <v>2</v>
      </c>
      <c r="C5" s="734" t="str">
        <f>SISWA!E7</f>
        <v>Anak 2</v>
      </c>
      <c r="D5" s="735"/>
      <c r="E5" s="736" t="s">
        <v>661</v>
      </c>
      <c r="F5" s="736" t="s">
        <v>661</v>
      </c>
      <c r="G5" s="736" t="s">
        <v>661</v>
      </c>
      <c r="H5" s="735"/>
      <c r="I5" s="736" t="s">
        <v>661</v>
      </c>
      <c r="J5" s="736" t="s">
        <v>661</v>
      </c>
      <c r="K5" s="736" t="s">
        <v>661</v>
      </c>
      <c r="L5" s="736" t="s">
        <v>661</v>
      </c>
      <c r="M5" s="736" t="s">
        <v>661</v>
      </c>
      <c r="N5" s="736" t="s">
        <v>661</v>
      </c>
      <c r="O5" s="735"/>
      <c r="P5" s="736" t="s">
        <v>661</v>
      </c>
      <c r="Q5" s="736" t="s">
        <v>661</v>
      </c>
      <c r="R5" s="736" t="s">
        <v>661</v>
      </c>
      <c r="S5" s="736" t="s">
        <v>661</v>
      </c>
      <c r="T5" s="736" t="s">
        <v>661</v>
      </c>
      <c r="U5" s="736" t="s">
        <v>661</v>
      </c>
      <c r="V5" s="735"/>
      <c r="W5" s="736" t="s">
        <v>661</v>
      </c>
      <c r="X5" s="736" t="s">
        <v>661</v>
      </c>
      <c r="Y5" s="736" t="s">
        <v>661</v>
      </c>
      <c r="Z5" s="736" t="s">
        <v>661</v>
      </c>
      <c r="AA5" s="736" t="s">
        <v>661</v>
      </c>
      <c r="AB5" s="736" t="s">
        <v>661</v>
      </c>
      <c r="AC5" s="735"/>
      <c r="AD5" s="736" t="s">
        <v>661</v>
      </c>
      <c r="AE5" s="736" t="s">
        <v>661</v>
      </c>
      <c r="AF5" s="736" t="s">
        <v>661</v>
      </c>
      <c r="AG5" s="735"/>
      <c r="AH5" s="736" t="s">
        <v>661</v>
      </c>
      <c r="AI5" s="749">
        <f t="shared" ref="AI5:AI53" si="0">COUNTIF(D5:AH5,"S")</f>
        <v>0</v>
      </c>
      <c r="AJ5" s="749">
        <f t="shared" ref="AJ5:AJ53" si="1">COUNTIF(D5:AH5,"I")</f>
        <v>0</v>
      </c>
      <c r="AK5" s="749">
        <f t="shared" ref="AK5:AK53" si="2">COUNTIF(D5:AH5,"A")</f>
        <v>0</v>
      </c>
    </row>
    <row r="6" spans="2:37">
      <c r="B6" s="724">
        <v>3</v>
      </c>
      <c r="C6" s="734" t="str">
        <f>SISWA!E8</f>
        <v>Anak 3</v>
      </c>
      <c r="D6" s="735"/>
      <c r="E6" s="736" t="s">
        <v>661</v>
      </c>
      <c r="F6" s="736" t="s">
        <v>661</v>
      </c>
      <c r="G6" s="736" t="s">
        <v>661</v>
      </c>
      <c r="H6" s="735"/>
      <c r="I6" s="736" t="s">
        <v>661</v>
      </c>
      <c r="J6" s="736" t="s">
        <v>661</v>
      </c>
      <c r="K6" s="736" t="s">
        <v>661</v>
      </c>
      <c r="L6" s="736" t="s">
        <v>661</v>
      </c>
      <c r="M6" s="736" t="s">
        <v>661</v>
      </c>
      <c r="N6" s="736" t="s">
        <v>661</v>
      </c>
      <c r="O6" s="735"/>
      <c r="P6" s="736" t="s">
        <v>661</v>
      </c>
      <c r="Q6" s="736" t="s">
        <v>661</v>
      </c>
      <c r="R6" s="736" t="s">
        <v>661</v>
      </c>
      <c r="S6" s="736" t="s">
        <v>661</v>
      </c>
      <c r="T6" s="736" t="s">
        <v>661</v>
      </c>
      <c r="U6" s="736" t="s">
        <v>661</v>
      </c>
      <c r="V6" s="735"/>
      <c r="W6" s="736" t="s">
        <v>661</v>
      </c>
      <c r="X6" s="736" t="s">
        <v>661</v>
      </c>
      <c r="Y6" s="736" t="s">
        <v>661</v>
      </c>
      <c r="Z6" s="736" t="s">
        <v>661</v>
      </c>
      <c r="AA6" s="736" t="s">
        <v>661</v>
      </c>
      <c r="AB6" s="736" t="s">
        <v>661</v>
      </c>
      <c r="AC6" s="735"/>
      <c r="AD6" s="736" t="s">
        <v>661</v>
      </c>
      <c r="AE6" s="736" t="s">
        <v>661</v>
      </c>
      <c r="AF6" s="736" t="s">
        <v>661</v>
      </c>
      <c r="AG6" s="735"/>
      <c r="AH6" s="736" t="s">
        <v>661</v>
      </c>
      <c r="AI6" s="749">
        <f t="shared" si="0"/>
        <v>0</v>
      </c>
      <c r="AJ6" s="749">
        <f t="shared" si="1"/>
        <v>0</v>
      </c>
      <c r="AK6" s="749">
        <f t="shared" si="2"/>
        <v>0</v>
      </c>
    </row>
    <row r="7" spans="2:37">
      <c r="B7" s="724">
        <v>4</v>
      </c>
      <c r="C7" s="734" t="str">
        <f>SISWA!E9</f>
        <v>Anak 4</v>
      </c>
      <c r="D7" s="735"/>
      <c r="E7" s="736" t="s">
        <v>661</v>
      </c>
      <c r="F7" s="736" t="s">
        <v>661</v>
      </c>
      <c r="G7" s="736" t="s">
        <v>661</v>
      </c>
      <c r="H7" s="735"/>
      <c r="I7" s="736" t="s">
        <v>661</v>
      </c>
      <c r="J7" s="736" t="s">
        <v>661</v>
      </c>
      <c r="K7" s="736" t="s">
        <v>661</v>
      </c>
      <c r="L7" s="736" t="s">
        <v>661</v>
      </c>
      <c r="M7" s="736" t="s">
        <v>661</v>
      </c>
      <c r="N7" s="736" t="s">
        <v>661</v>
      </c>
      <c r="O7" s="735"/>
      <c r="P7" s="736" t="s">
        <v>661</v>
      </c>
      <c r="Q7" s="736" t="s">
        <v>661</v>
      </c>
      <c r="R7" s="736" t="s">
        <v>661</v>
      </c>
      <c r="S7" s="736" t="s">
        <v>661</v>
      </c>
      <c r="T7" s="736" t="s">
        <v>661</v>
      </c>
      <c r="U7" s="736" t="s">
        <v>661</v>
      </c>
      <c r="V7" s="735"/>
      <c r="W7" s="736" t="s">
        <v>661</v>
      </c>
      <c r="X7" s="736" t="s">
        <v>661</v>
      </c>
      <c r="Y7" s="736" t="s">
        <v>661</v>
      </c>
      <c r="Z7" s="736" t="s">
        <v>661</v>
      </c>
      <c r="AA7" s="736" t="s">
        <v>661</v>
      </c>
      <c r="AB7" s="736" t="s">
        <v>661</v>
      </c>
      <c r="AC7" s="735"/>
      <c r="AD7" s="736" t="s">
        <v>661</v>
      </c>
      <c r="AE7" s="736" t="s">
        <v>661</v>
      </c>
      <c r="AF7" s="736" t="s">
        <v>661</v>
      </c>
      <c r="AG7" s="735"/>
      <c r="AH7" s="736" t="s">
        <v>661</v>
      </c>
      <c r="AI7" s="749">
        <f t="shared" si="0"/>
        <v>0</v>
      </c>
      <c r="AJ7" s="749">
        <f t="shared" si="1"/>
        <v>0</v>
      </c>
      <c r="AK7" s="749">
        <f t="shared" si="2"/>
        <v>0</v>
      </c>
    </row>
    <row r="8" spans="2:37">
      <c r="B8" s="724">
        <v>5</v>
      </c>
      <c r="C8" s="734" t="str">
        <f>SISWA!E10</f>
        <v>Anak 5</v>
      </c>
      <c r="D8" s="735"/>
      <c r="E8" s="736" t="s">
        <v>661</v>
      </c>
      <c r="F8" s="736" t="s">
        <v>661</v>
      </c>
      <c r="G8" s="736" t="s">
        <v>661</v>
      </c>
      <c r="H8" s="735"/>
      <c r="I8" s="736" t="s">
        <v>661</v>
      </c>
      <c r="J8" s="736" t="s">
        <v>661</v>
      </c>
      <c r="K8" s="736" t="s">
        <v>661</v>
      </c>
      <c r="L8" s="736" t="s">
        <v>661</v>
      </c>
      <c r="M8" s="736" t="s">
        <v>661</v>
      </c>
      <c r="N8" s="736" t="s">
        <v>661</v>
      </c>
      <c r="O8" s="735"/>
      <c r="P8" s="736" t="s">
        <v>661</v>
      </c>
      <c r="Q8" s="736" t="s">
        <v>661</v>
      </c>
      <c r="R8" s="736" t="s">
        <v>661</v>
      </c>
      <c r="S8" s="736" t="s">
        <v>661</v>
      </c>
      <c r="T8" s="736" t="s">
        <v>661</v>
      </c>
      <c r="U8" s="736" t="s">
        <v>661</v>
      </c>
      <c r="V8" s="735"/>
      <c r="W8" s="736" t="s">
        <v>661</v>
      </c>
      <c r="X8" s="736" t="s">
        <v>661</v>
      </c>
      <c r="Y8" s="736" t="s">
        <v>661</v>
      </c>
      <c r="Z8" s="736" t="s">
        <v>661</v>
      </c>
      <c r="AA8" s="736" t="s">
        <v>661</v>
      </c>
      <c r="AB8" s="736" t="s">
        <v>661</v>
      </c>
      <c r="AC8" s="735"/>
      <c r="AD8" s="736" t="s">
        <v>661</v>
      </c>
      <c r="AE8" s="736" t="s">
        <v>661</v>
      </c>
      <c r="AF8" s="736" t="s">
        <v>661</v>
      </c>
      <c r="AG8" s="735"/>
      <c r="AH8" s="736" t="s">
        <v>661</v>
      </c>
      <c r="AI8" s="749">
        <f t="shared" si="0"/>
        <v>0</v>
      </c>
      <c r="AJ8" s="749">
        <f t="shared" si="1"/>
        <v>0</v>
      </c>
      <c r="AK8" s="749">
        <f t="shared" si="2"/>
        <v>0</v>
      </c>
    </row>
    <row r="9" spans="2:37">
      <c r="B9" s="724">
        <v>6</v>
      </c>
      <c r="C9" s="734" t="str">
        <f>SISWA!E11</f>
        <v>Anak 6</v>
      </c>
      <c r="D9" s="735"/>
      <c r="E9" s="736" t="s">
        <v>661</v>
      </c>
      <c r="F9" s="736" t="s">
        <v>661</v>
      </c>
      <c r="G9" s="736" t="s">
        <v>661</v>
      </c>
      <c r="H9" s="735"/>
      <c r="I9" s="736" t="s">
        <v>661</v>
      </c>
      <c r="J9" s="736" t="s">
        <v>661</v>
      </c>
      <c r="K9" s="736" t="s">
        <v>661</v>
      </c>
      <c r="L9" s="736" t="s">
        <v>661</v>
      </c>
      <c r="M9" s="736" t="s">
        <v>661</v>
      </c>
      <c r="N9" s="736" t="s">
        <v>661</v>
      </c>
      <c r="O9" s="735"/>
      <c r="P9" s="736" t="s">
        <v>661</v>
      </c>
      <c r="Q9" s="736" t="s">
        <v>661</v>
      </c>
      <c r="R9" s="736" t="s">
        <v>661</v>
      </c>
      <c r="S9" s="736" t="s">
        <v>661</v>
      </c>
      <c r="T9" s="736" t="s">
        <v>661</v>
      </c>
      <c r="U9" s="736" t="s">
        <v>661</v>
      </c>
      <c r="V9" s="735"/>
      <c r="W9" s="736" t="s">
        <v>661</v>
      </c>
      <c r="X9" s="736" t="s">
        <v>661</v>
      </c>
      <c r="Y9" s="736" t="s">
        <v>661</v>
      </c>
      <c r="Z9" s="736" t="s">
        <v>661</v>
      </c>
      <c r="AA9" s="736" t="s">
        <v>661</v>
      </c>
      <c r="AB9" s="736" t="s">
        <v>661</v>
      </c>
      <c r="AC9" s="735"/>
      <c r="AD9" s="736" t="s">
        <v>661</v>
      </c>
      <c r="AE9" s="736" t="s">
        <v>661</v>
      </c>
      <c r="AF9" s="736" t="s">
        <v>661</v>
      </c>
      <c r="AG9" s="735"/>
      <c r="AH9" s="736" t="s">
        <v>661</v>
      </c>
      <c r="AI9" s="749">
        <f t="shared" si="0"/>
        <v>0</v>
      </c>
      <c r="AJ9" s="749">
        <f t="shared" si="1"/>
        <v>0</v>
      </c>
      <c r="AK9" s="749">
        <f t="shared" si="2"/>
        <v>0</v>
      </c>
    </row>
    <row r="10" spans="2:37">
      <c r="B10" s="724">
        <v>7</v>
      </c>
      <c r="C10" s="734" t="str">
        <f>SISWA!E12</f>
        <v>Anak 7</v>
      </c>
      <c r="D10" s="735"/>
      <c r="E10" s="736" t="s">
        <v>661</v>
      </c>
      <c r="F10" s="736" t="s">
        <v>661</v>
      </c>
      <c r="G10" s="736" t="s">
        <v>661</v>
      </c>
      <c r="H10" s="735"/>
      <c r="I10" s="736" t="s">
        <v>661</v>
      </c>
      <c r="J10" s="736" t="s">
        <v>661</v>
      </c>
      <c r="K10" s="736" t="s">
        <v>661</v>
      </c>
      <c r="L10" s="736" t="s">
        <v>661</v>
      </c>
      <c r="M10" s="736" t="s">
        <v>661</v>
      </c>
      <c r="N10" s="736" t="s">
        <v>661</v>
      </c>
      <c r="O10" s="735"/>
      <c r="P10" s="736" t="s">
        <v>661</v>
      </c>
      <c r="Q10" s="736" t="s">
        <v>661</v>
      </c>
      <c r="R10" s="736" t="s">
        <v>661</v>
      </c>
      <c r="S10" s="736" t="s">
        <v>661</v>
      </c>
      <c r="T10" s="736" t="s">
        <v>661</v>
      </c>
      <c r="U10" s="736" t="s">
        <v>661</v>
      </c>
      <c r="V10" s="735"/>
      <c r="W10" s="736" t="s">
        <v>661</v>
      </c>
      <c r="X10" s="736" t="s">
        <v>661</v>
      </c>
      <c r="Y10" s="736" t="s">
        <v>661</v>
      </c>
      <c r="Z10" s="736" t="s">
        <v>661</v>
      </c>
      <c r="AA10" s="736" t="s">
        <v>661</v>
      </c>
      <c r="AB10" s="736" t="s">
        <v>661</v>
      </c>
      <c r="AC10" s="735"/>
      <c r="AD10" s="736" t="s">
        <v>661</v>
      </c>
      <c r="AE10" s="736" t="s">
        <v>661</v>
      </c>
      <c r="AF10" s="736" t="s">
        <v>661</v>
      </c>
      <c r="AG10" s="735"/>
      <c r="AH10" s="736" t="s">
        <v>661</v>
      </c>
      <c r="AI10" s="749">
        <f t="shared" si="0"/>
        <v>0</v>
      </c>
      <c r="AJ10" s="749">
        <f t="shared" si="1"/>
        <v>0</v>
      </c>
      <c r="AK10" s="749">
        <f t="shared" si="2"/>
        <v>0</v>
      </c>
    </row>
    <row r="11" spans="2:37">
      <c r="B11" s="724">
        <v>8</v>
      </c>
      <c r="C11" s="734" t="str">
        <f>SISWA!E13</f>
        <v>Anak 8</v>
      </c>
      <c r="D11" s="735"/>
      <c r="E11" s="736" t="s">
        <v>661</v>
      </c>
      <c r="F11" s="736" t="s">
        <v>661</v>
      </c>
      <c r="G11" s="736" t="s">
        <v>661</v>
      </c>
      <c r="H11" s="735"/>
      <c r="I11" s="736" t="s">
        <v>661</v>
      </c>
      <c r="J11" s="736" t="s">
        <v>661</v>
      </c>
      <c r="K11" s="736" t="s">
        <v>661</v>
      </c>
      <c r="L11" s="736" t="s">
        <v>661</v>
      </c>
      <c r="M11" s="736" t="s">
        <v>661</v>
      </c>
      <c r="N11" s="736" t="s">
        <v>661</v>
      </c>
      <c r="O11" s="735"/>
      <c r="P11" s="736" t="s">
        <v>661</v>
      </c>
      <c r="Q11" s="736" t="s">
        <v>661</v>
      </c>
      <c r="R11" s="736" t="s">
        <v>661</v>
      </c>
      <c r="S11" s="736" t="s">
        <v>661</v>
      </c>
      <c r="T11" s="736" t="s">
        <v>661</v>
      </c>
      <c r="U11" s="736" t="s">
        <v>661</v>
      </c>
      <c r="V11" s="735"/>
      <c r="W11" s="736" t="s">
        <v>661</v>
      </c>
      <c r="X11" s="736" t="s">
        <v>661</v>
      </c>
      <c r="Y11" s="736" t="s">
        <v>661</v>
      </c>
      <c r="Z11" s="736" t="s">
        <v>661</v>
      </c>
      <c r="AA11" s="736" t="s">
        <v>661</v>
      </c>
      <c r="AB11" s="736" t="s">
        <v>661</v>
      </c>
      <c r="AC11" s="735"/>
      <c r="AD11" s="736" t="s">
        <v>661</v>
      </c>
      <c r="AE11" s="736" t="s">
        <v>661</v>
      </c>
      <c r="AF11" s="736" t="s">
        <v>661</v>
      </c>
      <c r="AG11" s="735"/>
      <c r="AH11" s="736" t="s">
        <v>661</v>
      </c>
      <c r="AI11" s="749">
        <f t="shared" si="0"/>
        <v>0</v>
      </c>
      <c r="AJ11" s="749">
        <f t="shared" si="1"/>
        <v>0</v>
      </c>
      <c r="AK11" s="749">
        <f t="shared" si="2"/>
        <v>0</v>
      </c>
    </row>
    <row r="12" spans="2:37">
      <c r="B12" s="724">
        <v>9</v>
      </c>
      <c r="C12" s="734" t="str">
        <f>SISWA!E14</f>
        <v>Anak 9</v>
      </c>
      <c r="D12" s="735"/>
      <c r="E12" s="736" t="s">
        <v>661</v>
      </c>
      <c r="F12" s="736" t="s">
        <v>661</v>
      </c>
      <c r="G12" s="736" t="s">
        <v>661</v>
      </c>
      <c r="H12" s="735"/>
      <c r="I12" s="736" t="s">
        <v>661</v>
      </c>
      <c r="J12" s="736" t="s">
        <v>661</v>
      </c>
      <c r="K12" s="736" t="s">
        <v>661</v>
      </c>
      <c r="L12" s="736" t="s">
        <v>661</v>
      </c>
      <c r="M12" s="736" t="s">
        <v>661</v>
      </c>
      <c r="N12" s="736" t="s">
        <v>661</v>
      </c>
      <c r="O12" s="735"/>
      <c r="P12" s="736" t="s">
        <v>661</v>
      </c>
      <c r="Q12" s="736" t="s">
        <v>661</v>
      </c>
      <c r="R12" s="736" t="s">
        <v>661</v>
      </c>
      <c r="S12" s="736" t="s">
        <v>661</v>
      </c>
      <c r="T12" s="736" t="s">
        <v>661</v>
      </c>
      <c r="U12" s="736" t="s">
        <v>661</v>
      </c>
      <c r="V12" s="735"/>
      <c r="W12" s="736" t="s">
        <v>661</v>
      </c>
      <c r="X12" s="736" t="s">
        <v>661</v>
      </c>
      <c r="Y12" s="736" t="s">
        <v>661</v>
      </c>
      <c r="Z12" s="736" t="s">
        <v>661</v>
      </c>
      <c r="AA12" s="736" t="s">
        <v>661</v>
      </c>
      <c r="AB12" s="736" t="s">
        <v>661</v>
      </c>
      <c r="AC12" s="735"/>
      <c r="AD12" s="736" t="s">
        <v>661</v>
      </c>
      <c r="AE12" s="736" t="s">
        <v>661</v>
      </c>
      <c r="AF12" s="736" t="s">
        <v>661</v>
      </c>
      <c r="AG12" s="735"/>
      <c r="AH12" s="736" t="s">
        <v>661</v>
      </c>
      <c r="AI12" s="749">
        <f t="shared" si="0"/>
        <v>0</v>
      </c>
      <c r="AJ12" s="749">
        <f t="shared" si="1"/>
        <v>0</v>
      </c>
      <c r="AK12" s="749">
        <f t="shared" si="2"/>
        <v>0</v>
      </c>
    </row>
    <row r="13" spans="2:37">
      <c r="B13" s="724">
        <v>10</v>
      </c>
      <c r="C13" s="734" t="str">
        <f>SISWA!E15</f>
        <v>Anak 10</v>
      </c>
      <c r="D13" s="735"/>
      <c r="E13" s="736" t="s">
        <v>661</v>
      </c>
      <c r="F13" s="736" t="s">
        <v>661</v>
      </c>
      <c r="G13" s="736" t="s">
        <v>661</v>
      </c>
      <c r="H13" s="735"/>
      <c r="I13" s="736" t="s">
        <v>661</v>
      </c>
      <c r="J13" s="736" t="s">
        <v>661</v>
      </c>
      <c r="K13" s="736" t="s">
        <v>661</v>
      </c>
      <c r="L13" s="736" t="s">
        <v>661</v>
      </c>
      <c r="M13" s="736" t="s">
        <v>661</v>
      </c>
      <c r="N13" s="736" t="s">
        <v>661</v>
      </c>
      <c r="O13" s="735"/>
      <c r="P13" s="736" t="s">
        <v>661</v>
      </c>
      <c r="Q13" s="736" t="s">
        <v>661</v>
      </c>
      <c r="R13" s="736" t="s">
        <v>661</v>
      </c>
      <c r="S13" s="736" t="s">
        <v>661</v>
      </c>
      <c r="T13" s="736" t="s">
        <v>661</v>
      </c>
      <c r="U13" s="736" t="s">
        <v>661</v>
      </c>
      <c r="V13" s="735"/>
      <c r="W13" s="736" t="s">
        <v>661</v>
      </c>
      <c r="X13" s="736" t="s">
        <v>661</v>
      </c>
      <c r="Y13" s="736" t="s">
        <v>661</v>
      </c>
      <c r="Z13" s="736" t="s">
        <v>661</v>
      </c>
      <c r="AA13" s="736" t="s">
        <v>661</v>
      </c>
      <c r="AB13" s="736" t="s">
        <v>661</v>
      </c>
      <c r="AC13" s="735"/>
      <c r="AD13" s="736" t="s">
        <v>661</v>
      </c>
      <c r="AE13" s="736" t="s">
        <v>661</v>
      </c>
      <c r="AF13" s="736" t="s">
        <v>661</v>
      </c>
      <c r="AG13" s="735"/>
      <c r="AH13" s="736" t="s">
        <v>661</v>
      </c>
      <c r="AI13" s="749">
        <f t="shared" si="0"/>
        <v>0</v>
      </c>
      <c r="AJ13" s="749">
        <f t="shared" si="1"/>
        <v>0</v>
      </c>
      <c r="AK13" s="749">
        <f t="shared" si="2"/>
        <v>0</v>
      </c>
    </row>
    <row r="14" spans="2:37">
      <c r="B14" s="724">
        <v>11</v>
      </c>
      <c r="C14" s="734" t="str">
        <f>SISWA!E16</f>
        <v>Anak 11</v>
      </c>
      <c r="D14" s="735"/>
      <c r="E14" s="736" t="s">
        <v>661</v>
      </c>
      <c r="F14" s="736" t="s">
        <v>661</v>
      </c>
      <c r="G14" s="736" t="s">
        <v>661</v>
      </c>
      <c r="H14" s="735"/>
      <c r="I14" s="736" t="s">
        <v>661</v>
      </c>
      <c r="J14" s="736" t="s">
        <v>661</v>
      </c>
      <c r="K14" s="736" t="s">
        <v>661</v>
      </c>
      <c r="L14" s="736" t="s">
        <v>661</v>
      </c>
      <c r="M14" s="736" t="s">
        <v>661</v>
      </c>
      <c r="N14" s="736" t="s">
        <v>661</v>
      </c>
      <c r="O14" s="735"/>
      <c r="P14" s="736" t="s">
        <v>661</v>
      </c>
      <c r="Q14" s="736" t="s">
        <v>661</v>
      </c>
      <c r="R14" s="736" t="s">
        <v>661</v>
      </c>
      <c r="S14" s="736" t="s">
        <v>661</v>
      </c>
      <c r="T14" s="736" t="s">
        <v>661</v>
      </c>
      <c r="U14" s="736" t="s">
        <v>661</v>
      </c>
      <c r="V14" s="735"/>
      <c r="W14" s="736" t="s">
        <v>661</v>
      </c>
      <c r="X14" s="736" t="s">
        <v>661</v>
      </c>
      <c r="Y14" s="736" t="s">
        <v>661</v>
      </c>
      <c r="Z14" s="736" t="s">
        <v>661</v>
      </c>
      <c r="AA14" s="736" t="s">
        <v>661</v>
      </c>
      <c r="AB14" s="736" t="s">
        <v>661</v>
      </c>
      <c r="AC14" s="735"/>
      <c r="AD14" s="736" t="s">
        <v>661</v>
      </c>
      <c r="AE14" s="736" t="s">
        <v>661</v>
      </c>
      <c r="AF14" s="736" t="s">
        <v>661</v>
      </c>
      <c r="AG14" s="735"/>
      <c r="AH14" s="736" t="s">
        <v>661</v>
      </c>
      <c r="AI14" s="749">
        <f t="shared" si="0"/>
        <v>0</v>
      </c>
      <c r="AJ14" s="749">
        <f t="shared" si="1"/>
        <v>0</v>
      </c>
      <c r="AK14" s="749">
        <f t="shared" si="2"/>
        <v>0</v>
      </c>
    </row>
    <row r="15" spans="2:37">
      <c r="B15" s="724">
        <v>12</v>
      </c>
      <c r="C15" s="734" t="str">
        <f>SISWA!E17</f>
        <v>Anak 12</v>
      </c>
      <c r="D15" s="735"/>
      <c r="E15" s="736" t="s">
        <v>661</v>
      </c>
      <c r="F15" s="736" t="s">
        <v>661</v>
      </c>
      <c r="G15" s="736" t="s">
        <v>661</v>
      </c>
      <c r="H15" s="735"/>
      <c r="I15" s="736" t="s">
        <v>661</v>
      </c>
      <c r="J15" s="736" t="s">
        <v>661</v>
      </c>
      <c r="K15" s="736" t="s">
        <v>661</v>
      </c>
      <c r="L15" s="736" t="s">
        <v>661</v>
      </c>
      <c r="M15" s="736" t="s">
        <v>661</v>
      </c>
      <c r="N15" s="736" t="s">
        <v>661</v>
      </c>
      <c r="O15" s="735"/>
      <c r="P15" s="736" t="s">
        <v>661</v>
      </c>
      <c r="Q15" s="736" t="s">
        <v>661</v>
      </c>
      <c r="R15" s="736" t="s">
        <v>661</v>
      </c>
      <c r="S15" s="736" t="s">
        <v>661</v>
      </c>
      <c r="T15" s="736" t="s">
        <v>661</v>
      </c>
      <c r="U15" s="736" t="s">
        <v>661</v>
      </c>
      <c r="V15" s="735"/>
      <c r="W15" s="736" t="s">
        <v>661</v>
      </c>
      <c r="X15" s="736" t="s">
        <v>661</v>
      </c>
      <c r="Y15" s="736" t="s">
        <v>661</v>
      </c>
      <c r="Z15" s="736" t="s">
        <v>661</v>
      </c>
      <c r="AA15" s="736" t="s">
        <v>661</v>
      </c>
      <c r="AB15" s="736" t="s">
        <v>661</v>
      </c>
      <c r="AC15" s="735"/>
      <c r="AD15" s="736" t="s">
        <v>661</v>
      </c>
      <c r="AE15" s="736" t="s">
        <v>661</v>
      </c>
      <c r="AF15" s="736" t="s">
        <v>661</v>
      </c>
      <c r="AG15" s="735"/>
      <c r="AH15" s="736" t="s">
        <v>661</v>
      </c>
      <c r="AI15" s="749">
        <f t="shared" si="0"/>
        <v>0</v>
      </c>
      <c r="AJ15" s="749">
        <f t="shared" si="1"/>
        <v>0</v>
      </c>
      <c r="AK15" s="749">
        <f t="shared" si="2"/>
        <v>0</v>
      </c>
    </row>
    <row r="16" spans="2:37">
      <c r="B16" s="724">
        <v>13</v>
      </c>
      <c r="C16" s="734" t="str">
        <f>SISWA!E18</f>
        <v>Anak 13</v>
      </c>
      <c r="D16" s="735"/>
      <c r="E16" s="736" t="s">
        <v>661</v>
      </c>
      <c r="F16" s="736" t="s">
        <v>661</v>
      </c>
      <c r="G16" s="736" t="s">
        <v>661</v>
      </c>
      <c r="H16" s="735"/>
      <c r="I16" s="736" t="s">
        <v>661</v>
      </c>
      <c r="J16" s="736" t="s">
        <v>661</v>
      </c>
      <c r="K16" s="736" t="s">
        <v>661</v>
      </c>
      <c r="L16" s="736" t="s">
        <v>661</v>
      </c>
      <c r="M16" s="736" t="s">
        <v>661</v>
      </c>
      <c r="N16" s="736" t="s">
        <v>661</v>
      </c>
      <c r="O16" s="735"/>
      <c r="P16" s="736" t="s">
        <v>661</v>
      </c>
      <c r="Q16" s="736" t="s">
        <v>661</v>
      </c>
      <c r="R16" s="736" t="s">
        <v>661</v>
      </c>
      <c r="S16" s="736" t="s">
        <v>661</v>
      </c>
      <c r="T16" s="736" t="s">
        <v>661</v>
      </c>
      <c r="U16" s="736" t="s">
        <v>661</v>
      </c>
      <c r="V16" s="735"/>
      <c r="W16" s="736" t="s">
        <v>661</v>
      </c>
      <c r="X16" s="736" t="s">
        <v>661</v>
      </c>
      <c r="Y16" s="736" t="s">
        <v>661</v>
      </c>
      <c r="Z16" s="736" t="s">
        <v>661</v>
      </c>
      <c r="AA16" s="736" t="s">
        <v>661</v>
      </c>
      <c r="AB16" s="736" t="s">
        <v>661</v>
      </c>
      <c r="AC16" s="735"/>
      <c r="AD16" s="736" t="s">
        <v>661</v>
      </c>
      <c r="AE16" s="736" t="s">
        <v>661</v>
      </c>
      <c r="AF16" s="736" t="s">
        <v>661</v>
      </c>
      <c r="AG16" s="735"/>
      <c r="AH16" s="736" t="s">
        <v>661</v>
      </c>
      <c r="AI16" s="749">
        <f t="shared" si="0"/>
        <v>0</v>
      </c>
      <c r="AJ16" s="749">
        <f t="shared" si="1"/>
        <v>0</v>
      </c>
      <c r="AK16" s="749">
        <f t="shared" si="2"/>
        <v>0</v>
      </c>
    </row>
    <row r="17" spans="2:37">
      <c r="B17" s="724">
        <v>14</v>
      </c>
      <c r="C17" s="734" t="str">
        <f>SISWA!E19</f>
        <v>Anak 14</v>
      </c>
      <c r="D17" s="735"/>
      <c r="E17" s="736" t="s">
        <v>661</v>
      </c>
      <c r="F17" s="736" t="s">
        <v>661</v>
      </c>
      <c r="G17" s="736" t="s">
        <v>661</v>
      </c>
      <c r="H17" s="735"/>
      <c r="I17" s="736" t="s">
        <v>661</v>
      </c>
      <c r="J17" s="736" t="s">
        <v>661</v>
      </c>
      <c r="K17" s="736" t="s">
        <v>661</v>
      </c>
      <c r="L17" s="736" t="s">
        <v>661</v>
      </c>
      <c r="M17" s="736" t="s">
        <v>661</v>
      </c>
      <c r="N17" s="736" t="s">
        <v>661</v>
      </c>
      <c r="O17" s="735"/>
      <c r="P17" s="736" t="s">
        <v>661</v>
      </c>
      <c r="Q17" s="736" t="s">
        <v>661</v>
      </c>
      <c r="R17" s="736" t="s">
        <v>661</v>
      </c>
      <c r="S17" s="736" t="s">
        <v>661</v>
      </c>
      <c r="T17" s="736" t="s">
        <v>661</v>
      </c>
      <c r="U17" s="736" t="s">
        <v>661</v>
      </c>
      <c r="V17" s="735"/>
      <c r="W17" s="736" t="s">
        <v>661</v>
      </c>
      <c r="X17" s="736" t="s">
        <v>661</v>
      </c>
      <c r="Y17" s="736" t="s">
        <v>661</v>
      </c>
      <c r="Z17" s="736" t="s">
        <v>661</v>
      </c>
      <c r="AA17" s="736" t="s">
        <v>661</v>
      </c>
      <c r="AB17" s="736" t="s">
        <v>661</v>
      </c>
      <c r="AC17" s="735"/>
      <c r="AD17" s="736" t="s">
        <v>661</v>
      </c>
      <c r="AE17" s="736" t="s">
        <v>661</v>
      </c>
      <c r="AF17" s="736" t="s">
        <v>661</v>
      </c>
      <c r="AG17" s="735"/>
      <c r="AH17" s="736" t="s">
        <v>661</v>
      </c>
      <c r="AI17" s="749">
        <f t="shared" si="0"/>
        <v>0</v>
      </c>
      <c r="AJ17" s="749">
        <f t="shared" si="1"/>
        <v>0</v>
      </c>
      <c r="AK17" s="749">
        <f t="shared" si="2"/>
        <v>0</v>
      </c>
    </row>
    <row r="18" spans="2:37">
      <c r="B18" s="724">
        <v>15</v>
      </c>
      <c r="C18" s="734" t="str">
        <f>SISWA!E20</f>
        <v>Anak 15</v>
      </c>
      <c r="D18" s="735"/>
      <c r="E18" s="736" t="s">
        <v>661</v>
      </c>
      <c r="F18" s="736" t="s">
        <v>661</v>
      </c>
      <c r="G18" s="736" t="s">
        <v>661</v>
      </c>
      <c r="H18" s="735"/>
      <c r="I18" s="736" t="s">
        <v>661</v>
      </c>
      <c r="J18" s="736" t="s">
        <v>661</v>
      </c>
      <c r="K18" s="736" t="s">
        <v>661</v>
      </c>
      <c r="L18" s="736" t="s">
        <v>661</v>
      </c>
      <c r="M18" s="736" t="s">
        <v>661</v>
      </c>
      <c r="N18" s="736" t="s">
        <v>661</v>
      </c>
      <c r="O18" s="735"/>
      <c r="P18" s="736" t="s">
        <v>661</v>
      </c>
      <c r="Q18" s="736" t="s">
        <v>661</v>
      </c>
      <c r="R18" s="736" t="s">
        <v>661</v>
      </c>
      <c r="S18" s="736" t="s">
        <v>661</v>
      </c>
      <c r="T18" s="736" t="s">
        <v>661</v>
      </c>
      <c r="U18" s="736" t="s">
        <v>661</v>
      </c>
      <c r="V18" s="735"/>
      <c r="W18" s="736" t="s">
        <v>661</v>
      </c>
      <c r="X18" s="736" t="s">
        <v>661</v>
      </c>
      <c r="Y18" s="736" t="s">
        <v>661</v>
      </c>
      <c r="Z18" s="736" t="s">
        <v>661</v>
      </c>
      <c r="AA18" s="736" t="s">
        <v>661</v>
      </c>
      <c r="AB18" s="736" t="s">
        <v>661</v>
      </c>
      <c r="AC18" s="735"/>
      <c r="AD18" s="736" t="s">
        <v>661</v>
      </c>
      <c r="AE18" s="736" t="s">
        <v>661</v>
      </c>
      <c r="AF18" s="736" t="s">
        <v>661</v>
      </c>
      <c r="AG18" s="735"/>
      <c r="AH18" s="736" t="s">
        <v>661</v>
      </c>
      <c r="AI18" s="749">
        <f t="shared" si="0"/>
        <v>0</v>
      </c>
      <c r="AJ18" s="749">
        <f t="shared" si="1"/>
        <v>0</v>
      </c>
      <c r="AK18" s="749">
        <f t="shared" si="2"/>
        <v>0</v>
      </c>
    </row>
    <row r="19" spans="2:37">
      <c r="B19" s="724">
        <v>16</v>
      </c>
      <c r="C19" s="734" t="str">
        <f>SISWA!E21</f>
        <v>Anak 16</v>
      </c>
      <c r="D19" s="735"/>
      <c r="E19" s="736" t="s">
        <v>661</v>
      </c>
      <c r="F19" s="736" t="s">
        <v>661</v>
      </c>
      <c r="G19" s="736" t="s">
        <v>661</v>
      </c>
      <c r="H19" s="735"/>
      <c r="I19" s="736" t="s">
        <v>661</v>
      </c>
      <c r="J19" s="736" t="s">
        <v>661</v>
      </c>
      <c r="K19" s="736" t="s">
        <v>661</v>
      </c>
      <c r="L19" s="736" t="s">
        <v>661</v>
      </c>
      <c r="M19" s="736" t="s">
        <v>661</v>
      </c>
      <c r="N19" s="736" t="s">
        <v>661</v>
      </c>
      <c r="O19" s="735"/>
      <c r="P19" s="736" t="s">
        <v>661</v>
      </c>
      <c r="Q19" s="736" t="s">
        <v>661</v>
      </c>
      <c r="R19" s="736" t="s">
        <v>661</v>
      </c>
      <c r="S19" s="736" t="s">
        <v>661</v>
      </c>
      <c r="T19" s="736" t="s">
        <v>661</v>
      </c>
      <c r="U19" s="736" t="s">
        <v>661</v>
      </c>
      <c r="V19" s="735"/>
      <c r="W19" s="736" t="s">
        <v>661</v>
      </c>
      <c r="X19" s="736" t="s">
        <v>661</v>
      </c>
      <c r="Y19" s="736" t="s">
        <v>661</v>
      </c>
      <c r="Z19" s="736" t="s">
        <v>661</v>
      </c>
      <c r="AA19" s="736" t="s">
        <v>661</v>
      </c>
      <c r="AB19" s="736" t="s">
        <v>661</v>
      </c>
      <c r="AC19" s="735"/>
      <c r="AD19" s="736" t="s">
        <v>661</v>
      </c>
      <c r="AE19" s="736" t="s">
        <v>661</v>
      </c>
      <c r="AF19" s="736" t="s">
        <v>661</v>
      </c>
      <c r="AG19" s="735"/>
      <c r="AH19" s="736" t="s">
        <v>661</v>
      </c>
      <c r="AI19" s="749">
        <f t="shared" si="0"/>
        <v>0</v>
      </c>
      <c r="AJ19" s="749">
        <f t="shared" si="1"/>
        <v>0</v>
      </c>
      <c r="AK19" s="749">
        <f t="shared" si="2"/>
        <v>0</v>
      </c>
    </row>
    <row r="20" spans="2:37">
      <c r="B20" s="724">
        <v>17</v>
      </c>
      <c r="C20" s="734" t="str">
        <f>SISWA!E22</f>
        <v>Anak 17</v>
      </c>
      <c r="D20" s="735"/>
      <c r="E20" s="736" t="s">
        <v>661</v>
      </c>
      <c r="F20" s="736" t="s">
        <v>661</v>
      </c>
      <c r="G20" s="736" t="s">
        <v>661</v>
      </c>
      <c r="H20" s="735"/>
      <c r="I20" s="736" t="s">
        <v>661</v>
      </c>
      <c r="J20" s="736" t="s">
        <v>661</v>
      </c>
      <c r="K20" s="736" t="s">
        <v>661</v>
      </c>
      <c r="L20" s="736" t="s">
        <v>661</v>
      </c>
      <c r="M20" s="736" t="s">
        <v>661</v>
      </c>
      <c r="N20" s="736" t="s">
        <v>661</v>
      </c>
      <c r="O20" s="735"/>
      <c r="P20" s="736" t="s">
        <v>661</v>
      </c>
      <c r="Q20" s="736" t="s">
        <v>661</v>
      </c>
      <c r="R20" s="736" t="s">
        <v>661</v>
      </c>
      <c r="S20" s="736" t="s">
        <v>661</v>
      </c>
      <c r="T20" s="736" t="s">
        <v>661</v>
      </c>
      <c r="U20" s="736" t="s">
        <v>661</v>
      </c>
      <c r="V20" s="735"/>
      <c r="W20" s="736" t="s">
        <v>661</v>
      </c>
      <c r="X20" s="736" t="s">
        <v>661</v>
      </c>
      <c r="Y20" s="736" t="s">
        <v>661</v>
      </c>
      <c r="Z20" s="736" t="s">
        <v>661</v>
      </c>
      <c r="AA20" s="736" t="s">
        <v>661</v>
      </c>
      <c r="AB20" s="736" t="s">
        <v>661</v>
      </c>
      <c r="AC20" s="735"/>
      <c r="AD20" s="736" t="s">
        <v>661</v>
      </c>
      <c r="AE20" s="736" t="s">
        <v>661</v>
      </c>
      <c r="AF20" s="736" t="s">
        <v>661</v>
      </c>
      <c r="AG20" s="735"/>
      <c r="AH20" s="736" t="s">
        <v>661</v>
      </c>
      <c r="AI20" s="749">
        <f t="shared" si="0"/>
        <v>0</v>
      </c>
      <c r="AJ20" s="749">
        <f t="shared" si="1"/>
        <v>0</v>
      </c>
      <c r="AK20" s="749">
        <f t="shared" si="2"/>
        <v>0</v>
      </c>
    </row>
    <row r="21" spans="2:37">
      <c r="B21" s="724">
        <v>18</v>
      </c>
      <c r="C21" s="734" t="str">
        <f>SISWA!E23</f>
        <v>Anak 18</v>
      </c>
      <c r="D21" s="735"/>
      <c r="E21" s="736" t="s">
        <v>661</v>
      </c>
      <c r="F21" s="736" t="s">
        <v>661</v>
      </c>
      <c r="G21" s="736" t="s">
        <v>661</v>
      </c>
      <c r="H21" s="735"/>
      <c r="I21" s="736" t="s">
        <v>661</v>
      </c>
      <c r="J21" s="736" t="s">
        <v>661</v>
      </c>
      <c r="K21" s="736" t="s">
        <v>661</v>
      </c>
      <c r="L21" s="736" t="s">
        <v>661</v>
      </c>
      <c r="M21" s="736" t="s">
        <v>661</v>
      </c>
      <c r="N21" s="736" t="s">
        <v>661</v>
      </c>
      <c r="O21" s="735"/>
      <c r="P21" s="736" t="s">
        <v>661</v>
      </c>
      <c r="Q21" s="736" t="s">
        <v>661</v>
      </c>
      <c r="R21" s="736" t="s">
        <v>661</v>
      </c>
      <c r="S21" s="736" t="s">
        <v>661</v>
      </c>
      <c r="T21" s="736" t="s">
        <v>661</v>
      </c>
      <c r="U21" s="736" t="s">
        <v>661</v>
      </c>
      <c r="V21" s="735"/>
      <c r="W21" s="736" t="s">
        <v>661</v>
      </c>
      <c r="X21" s="736" t="s">
        <v>661</v>
      </c>
      <c r="Y21" s="736" t="s">
        <v>661</v>
      </c>
      <c r="Z21" s="736" t="s">
        <v>661</v>
      </c>
      <c r="AA21" s="736" t="s">
        <v>661</v>
      </c>
      <c r="AB21" s="736" t="s">
        <v>661</v>
      </c>
      <c r="AC21" s="735"/>
      <c r="AD21" s="736" t="s">
        <v>661</v>
      </c>
      <c r="AE21" s="736" t="s">
        <v>661</v>
      </c>
      <c r="AF21" s="736" t="s">
        <v>661</v>
      </c>
      <c r="AG21" s="735"/>
      <c r="AH21" s="736" t="s">
        <v>661</v>
      </c>
      <c r="AI21" s="749">
        <f t="shared" si="0"/>
        <v>0</v>
      </c>
      <c r="AJ21" s="749">
        <f t="shared" si="1"/>
        <v>0</v>
      </c>
      <c r="AK21" s="749">
        <f t="shared" si="2"/>
        <v>0</v>
      </c>
    </row>
    <row r="22" spans="2:37">
      <c r="B22" s="724">
        <v>19</v>
      </c>
      <c r="C22" s="734" t="str">
        <f>SISWA!E24</f>
        <v>Anak 19</v>
      </c>
      <c r="D22" s="735"/>
      <c r="E22" s="736" t="s">
        <v>661</v>
      </c>
      <c r="F22" s="736" t="s">
        <v>661</v>
      </c>
      <c r="G22" s="736" t="s">
        <v>661</v>
      </c>
      <c r="H22" s="735"/>
      <c r="I22" s="736" t="s">
        <v>661</v>
      </c>
      <c r="J22" s="736" t="s">
        <v>661</v>
      </c>
      <c r="K22" s="736" t="s">
        <v>661</v>
      </c>
      <c r="L22" s="736" t="s">
        <v>661</v>
      </c>
      <c r="M22" s="736" t="s">
        <v>661</v>
      </c>
      <c r="N22" s="736" t="s">
        <v>661</v>
      </c>
      <c r="O22" s="735"/>
      <c r="P22" s="736" t="s">
        <v>661</v>
      </c>
      <c r="Q22" s="736" t="s">
        <v>661</v>
      </c>
      <c r="R22" s="736" t="s">
        <v>661</v>
      </c>
      <c r="S22" s="736" t="s">
        <v>661</v>
      </c>
      <c r="T22" s="736" t="s">
        <v>661</v>
      </c>
      <c r="U22" s="736" t="s">
        <v>661</v>
      </c>
      <c r="V22" s="735"/>
      <c r="W22" s="736" t="s">
        <v>661</v>
      </c>
      <c r="X22" s="736" t="s">
        <v>661</v>
      </c>
      <c r="Y22" s="736" t="s">
        <v>661</v>
      </c>
      <c r="Z22" s="736" t="s">
        <v>661</v>
      </c>
      <c r="AA22" s="736" t="s">
        <v>661</v>
      </c>
      <c r="AB22" s="736" t="s">
        <v>661</v>
      </c>
      <c r="AC22" s="735"/>
      <c r="AD22" s="736" t="s">
        <v>661</v>
      </c>
      <c r="AE22" s="736" t="s">
        <v>661</v>
      </c>
      <c r="AF22" s="736" t="s">
        <v>661</v>
      </c>
      <c r="AG22" s="735"/>
      <c r="AH22" s="736" t="s">
        <v>661</v>
      </c>
      <c r="AI22" s="749">
        <f t="shared" si="0"/>
        <v>0</v>
      </c>
      <c r="AJ22" s="749">
        <f t="shared" si="1"/>
        <v>0</v>
      </c>
      <c r="AK22" s="749">
        <f t="shared" si="2"/>
        <v>0</v>
      </c>
    </row>
    <row r="23" spans="2:37">
      <c r="B23" s="724">
        <v>20</v>
      </c>
      <c r="C23" s="734" t="str">
        <f>SISWA!E25</f>
        <v>Anak 20</v>
      </c>
      <c r="D23" s="735"/>
      <c r="E23" s="736" t="s">
        <v>661</v>
      </c>
      <c r="F23" s="736" t="s">
        <v>661</v>
      </c>
      <c r="G23" s="736" t="s">
        <v>661</v>
      </c>
      <c r="H23" s="735"/>
      <c r="I23" s="736" t="s">
        <v>661</v>
      </c>
      <c r="J23" s="736" t="s">
        <v>661</v>
      </c>
      <c r="K23" s="736" t="s">
        <v>661</v>
      </c>
      <c r="L23" s="736" t="s">
        <v>661</v>
      </c>
      <c r="M23" s="736" t="s">
        <v>661</v>
      </c>
      <c r="N23" s="736" t="s">
        <v>661</v>
      </c>
      <c r="O23" s="735"/>
      <c r="P23" s="736" t="s">
        <v>661</v>
      </c>
      <c r="Q23" s="736" t="s">
        <v>661</v>
      </c>
      <c r="R23" s="736" t="s">
        <v>661</v>
      </c>
      <c r="S23" s="736" t="s">
        <v>661</v>
      </c>
      <c r="T23" s="736" t="s">
        <v>661</v>
      </c>
      <c r="U23" s="736" t="s">
        <v>661</v>
      </c>
      <c r="V23" s="735"/>
      <c r="W23" s="736" t="s">
        <v>661</v>
      </c>
      <c r="X23" s="736" t="s">
        <v>661</v>
      </c>
      <c r="Y23" s="736" t="s">
        <v>661</v>
      </c>
      <c r="Z23" s="736" t="s">
        <v>661</v>
      </c>
      <c r="AA23" s="736" t="s">
        <v>661</v>
      </c>
      <c r="AB23" s="736" t="s">
        <v>661</v>
      </c>
      <c r="AC23" s="735"/>
      <c r="AD23" s="736" t="s">
        <v>661</v>
      </c>
      <c r="AE23" s="736" t="s">
        <v>661</v>
      </c>
      <c r="AF23" s="736" t="s">
        <v>661</v>
      </c>
      <c r="AG23" s="735"/>
      <c r="AH23" s="736" t="s">
        <v>661</v>
      </c>
      <c r="AI23" s="749">
        <f t="shared" si="0"/>
        <v>0</v>
      </c>
      <c r="AJ23" s="749">
        <f t="shared" si="1"/>
        <v>0</v>
      </c>
      <c r="AK23" s="749">
        <f t="shared" si="2"/>
        <v>0</v>
      </c>
    </row>
    <row r="24" spans="2:37">
      <c r="B24" s="724">
        <v>21</v>
      </c>
      <c r="C24" s="734" t="str">
        <f>SISWA!E26</f>
        <v>Anak 21</v>
      </c>
      <c r="D24" s="735"/>
      <c r="E24" s="736" t="s">
        <v>661</v>
      </c>
      <c r="F24" s="736" t="s">
        <v>661</v>
      </c>
      <c r="G24" s="736" t="s">
        <v>661</v>
      </c>
      <c r="H24" s="735"/>
      <c r="I24" s="736" t="s">
        <v>661</v>
      </c>
      <c r="J24" s="736" t="s">
        <v>661</v>
      </c>
      <c r="K24" s="736" t="s">
        <v>661</v>
      </c>
      <c r="L24" s="736" t="s">
        <v>661</v>
      </c>
      <c r="M24" s="736" t="s">
        <v>661</v>
      </c>
      <c r="N24" s="736" t="s">
        <v>661</v>
      </c>
      <c r="O24" s="735"/>
      <c r="P24" s="736" t="s">
        <v>661</v>
      </c>
      <c r="Q24" s="736" t="s">
        <v>661</v>
      </c>
      <c r="R24" s="736" t="s">
        <v>661</v>
      </c>
      <c r="S24" s="736" t="s">
        <v>661</v>
      </c>
      <c r="T24" s="736" t="s">
        <v>661</v>
      </c>
      <c r="U24" s="736" t="s">
        <v>661</v>
      </c>
      <c r="V24" s="735"/>
      <c r="W24" s="736" t="s">
        <v>661</v>
      </c>
      <c r="X24" s="736" t="s">
        <v>661</v>
      </c>
      <c r="Y24" s="736" t="s">
        <v>661</v>
      </c>
      <c r="Z24" s="736" t="s">
        <v>661</v>
      </c>
      <c r="AA24" s="736" t="s">
        <v>661</v>
      </c>
      <c r="AB24" s="736" t="s">
        <v>661</v>
      </c>
      <c r="AC24" s="735"/>
      <c r="AD24" s="736" t="s">
        <v>661</v>
      </c>
      <c r="AE24" s="736" t="s">
        <v>661</v>
      </c>
      <c r="AF24" s="736" t="s">
        <v>661</v>
      </c>
      <c r="AG24" s="735"/>
      <c r="AH24" s="736" t="s">
        <v>661</v>
      </c>
      <c r="AI24" s="749">
        <f t="shared" si="0"/>
        <v>0</v>
      </c>
      <c r="AJ24" s="749">
        <f t="shared" si="1"/>
        <v>0</v>
      </c>
      <c r="AK24" s="749">
        <f t="shared" si="2"/>
        <v>0</v>
      </c>
    </row>
    <row r="25" spans="2:37">
      <c r="B25" s="724">
        <v>22</v>
      </c>
      <c r="C25" s="734" t="str">
        <f>SISWA!E27</f>
        <v>Anak 22</v>
      </c>
      <c r="D25" s="735"/>
      <c r="E25" s="736" t="s">
        <v>661</v>
      </c>
      <c r="F25" s="736" t="s">
        <v>661</v>
      </c>
      <c r="G25" s="736" t="s">
        <v>661</v>
      </c>
      <c r="H25" s="735"/>
      <c r="I25" s="736" t="s">
        <v>661</v>
      </c>
      <c r="J25" s="736" t="s">
        <v>661</v>
      </c>
      <c r="K25" s="736" t="s">
        <v>661</v>
      </c>
      <c r="L25" s="736" t="s">
        <v>661</v>
      </c>
      <c r="M25" s="736" t="s">
        <v>661</v>
      </c>
      <c r="N25" s="736" t="s">
        <v>661</v>
      </c>
      <c r="O25" s="735"/>
      <c r="P25" s="736" t="s">
        <v>661</v>
      </c>
      <c r="Q25" s="736" t="s">
        <v>661</v>
      </c>
      <c r="R25" s="736" t="s">
        <v>661</v>
      </c>
      <c r="S25" s="736" t="s">
        <v>661</v>
      </c>
      <c r="T25" s="736" t="s">
        <v>661</v>
      </c>
      <c r="U25" s="736" t="s">
        <v>661</v>
      </c>
      <c r="V25" s="735"/>
      <c r="W25" s="736" t="s">
        <v>661</v>
      </c>
      <c r="X25" s="736" t="s">
        <v>661</v>
      </c>
      <c r="Y25" s="736" t="s">
        <v>661</v>
      </c>
      <c r="Z25" s="736" t="s">
        <v>661</v>
      </c>
      <c r="AA25" s="736" t="s">
        <v>661</v>
      </c>
      <c r="AB25" s="736" t="s">
        <v>661</v>
      </c>
      <c r="AC25" s="735"/>
      <c r="AD25" s="736" t="s">
        <v>661</v>
      </c>
      <c r="AE25" s="736" t="s">
        <v>661</v>
      </c>
      <c r="AF25" s="736" t="s">
        <v>661</v>
      </c>
      <c r="AG25" s="735"/>
      <c r="AH25" s="736" t="s">
        <v>661</v>
      </c>
      <c r="AI25" s="749">
        <f t="shared" si="0"/>
        <v>0</v>
      </c>
      <c r="AJ25" s="749">
        <f t="shared" si="1"/>
        <v>0</v>
      </c>
      <c r="AK25" s="749">
        <f t="shared" si="2"/>
        <v>0</v>
      </c>
    </row>
    <row r="26" spans="2:37">
      <c r="B26" s="724">
        <v>23</v>
      </c>
      <c r="C26" s="734" t="str">
        <f>SISWA!E28</f>
        <v>Anak 23</v>
      </c>
      <c r="D26" s="735"/>
      <c r="E26" s="736" t="s">
        <v>661</v>
      </c>
      <c r="F26" s="736" t="s">
        <v>661</v>
      </c>
      <c r="G26" s="736" t="s">
        <v>661</v>
      </c>
      <c r="H26" s="735"/>
      <c r="I26" s="736" t="s">
        <v>661</v>
      </c>
      <c r="J26" s="736" t="s">
        <v>661</v>
      </c>
      <c r="K26" s="736" t="s">
        <v>661</v>
      </c>
      <c r="L26" s="736" t="s">
        <v>661</v>
      </c>
      <c r="M26" s="736" t="s">
        <v>661</v>
      </c>
      <c r="N26" s="736" t="s">
        <v>661</v>
      </c>
      <c r="O26" s="735"/>
      <c r="P26" s="736" t="s">
        <v>661</v>
      </c>
      <c r="Q26" s="736" t="s">
        <v>661</v>
      </c>
      <c r="R26" s="736" t="s">
        <v>661</v>
      </c>
      <c r="S26" s="736" t="s">
        <v>661</v>
      </c>
      <c r="T26" s="736" t="s">
        <v>661</v>
      </c>
      <c r="U26" s="736" t="s">
        <v>661</v>
      </c>
      <c r="V26" s="735"/>
      <c r="W26" s="736" t="s">
        <v>661</v>
      </c>
      <c r="X26" s="736" t="s">
        <v>661</v>
      </c>
      <c r="Y26" s="736" t="s">
        <v>661</v>
      </c>
      <c r="Z26" s="736" t="s">
        <v>661</v>
      </c>
      <c r="AA26" s="736" t="s">
        <v>661</v>
      </c>
      <c r="AB26" s="736" t="s">
        <v>661</v>
      </c>
      <c r="AC26" s="735"/>
      <c r="AD26" s="736" t="s">
        <v>661</v>
      </c>
      <c r="AE26" s="736" t="s">
        <v>661</v>
      </c>
      <c r="AF26" s="736" t="s">
        <v>661</v>
      </c>
      <c r="AG26" s="735"/>
      <c r="AH26" s="736" t="s">
        <v>661</v>
      </c>
      <c r="AI26" s="749">
        <f t="shared" si="0"/>
        <v>0</v>
      </c>
      <c r="AJ26" s="749">
        <f t="shared" si="1"/>
        <v>0</v>
      </c>
      <c r="AK26" s="749">
        <f t="shared" si="2"/>
        <v>0</v>
      </c>
    </row>
    <row r="27" spans="2:37">
      <c r="B27" s="724">
        <v>24</v>
      </c>
      <c r="C27" s="734" t="str">
        <f>SISWA!E29</f>
        <v>Anak 24</v>
      </c>
      <c r="D27" s="735"/>
      <c r="E27" s="736" t="s">
        <v>661</v>
      </c>
      <c r="F27" s="736" t="s">
        <v>661</v>
      </c>
      <c r="G27" s="736" t="s">
        <v>661</v>
      </c>
      <c r="H27" s="735"/>
      <c r="I27" s="736" t="s">
        <v>661</v>
      </c>
      <c r="J27" s="736" t="s">
        <v>661</v>
      </c>
      <c r="K27" s="736" t="s">
        <v>661</v>
      </c>
      <c r="L27" s="736" t="s">
        <v>661</v>
      </c>
      <c r="M27" s="736" t="s">
        <v>661</v>
      </c>
      <c r="N27" s="736" t="s">
        <v>661</v>
      </c>
      <c r="O27" s="735"/>
      <c r="P27" s="736" t="s">
        <v>661</v>
      </c>
      <c r="Q27" s="736" t="s">
        <v>661</v>
      </c>
      <c r="R27" s="736" t="s">
        <v>661</v>
      </c>
      <c r="S27" s="736" t="s">
        <v>661</v>
      </c>
      <c r="T27" s="736" t="s">
        <v>661</v>
      </c>
      <c r="U27" s="736" t="s">
        <v>661</v>
      </c>
      <c r="V27" s="735"/>
      <c r="W27" s="736" t="s">
        <v>661</v>
      </c>
      <c r="X27" s="736" t="s">
        <v>661</v>
      </c>
      <c r="Y27" s="736" t="s">
        <v>661</v>
      </c>
      <c r="Z27" s="736" t="s">
        <v>661</v>
      </c>
      <c r="AA27" s="736" t="s">
        <v>661</v>
      </c>
      <c r="AB27" s="736" t="s">
        <v>661</v>
      </c>
      <c r="AC27" s="735"/>
      <c r="AD27" s="736" t="s">
        <v>661</v>
      </c>
      <c r="AE27" s="736" t="s">
        <v>661</v>
      </c>
      <c r="AF27" s="736" t="s">
        <v>661</v>
      </c>
      <c r="AG27" s="735"/>
      <c r="AH27" s="736" t="s">
        <v>661</v>
      </c>
      <c r="AI27" s="749">
        <f t="shared" si="0"/>
        <v>0</v>
      </c>
      <c r="AJ27" s="749">
        <f t="shared" si="1"/>
        <v>0</v>
      </c>
      <c r="AK27" s="749">
        <f t="shared" si="2"/>
        <v>0</v>
      </c>
    </row>
    <row r="28" spans="2:37">
      <c r="B28" s="724">
        <v>25</v>
      </c>
      <c r="C28" s="734" t="str">
        <f>SISWA!E30</f>
        <v>Anak 25</v>
      </c>
      <c r="D28" s="735"/>
      <c r="E28" s="736" t="s">
        <v>661</v>
      </c>
      <c r="F28" s="736" t="s">
        <v>661</v>
      </c>
      <c r="G28" s="736" t="s">
        <v>661</v>
      </c>
      <c r="H28" s="735"/>
      <c r="I28" s="736" t="s">
        <v>661</v>
      </c>
      <c r="J28" s="736" t="s">
        <v>661</v>
      </c>
      <c r="K28" s="736" t="s">
        <v>661</v>
      </c>
      <c r="L28" s="736" t="s">
        <v>661</v>
      </c>
      <c r="M28" s="736" t="s">
        <v>661</v>
      </c>
      <c r="N28" s="736" t="s">
        <v>661</v>
      </c>
      <c r="O28" s="735"/>
      <c r="P28" s="736" t="s">
        <v>661</v>
      </c>
      <c r="Q28" s="736" t="s">
        <v>661</v>
      </c>
      <c r="R28" s="736" t="s">
        <v>661</v>
      </c>
      <c r="S28" s="736" t="s">
        <v>661</v>
      </c>
      <c r="T28" s="736" t="s">
        <v>661</v>
      </c>
      <c r="U28" s="736" t="s">
        <v>661</v>
      </c>
      <c r="V28" s="735"/>
      <c r="W28" s="736" t="s">
        <v>661</v>
      </c>
      <c r="X28" s="736" t="s">
        <v>661</v>
      </c>
      <c r="Y28" s="736" t="s">
        <v>661</v>
      </c>
      <c r="Z28" s="736" t="s">
        <v>661</v>
      </c>
      <c r="AA28" s="736" t="s">
        <v>661</v>
      </c>
      <c r="AB28" s="736" t="s">
        <v>661</v>
      </c>
      <c r="AC28" s="735"/>
      <c r="AD28" s="736" t="s">
        <v>661</v>
      </c>
      <c r="AE28" s="736" t="s">
        <v>661</v>
      </c>
      <c r="AF28" s="736" t="s">
        <v>661</v>
      </c>
      <c r="AG28" s="735"/>
      <c r="AH28" s="736" t="s">
        <v>661</v>
      </c>
      <c r="AI28" s="749">
        <f t="shared" si="0"/>
        <v>0</v>
      </c>
      <c r="AJ28" s="749">
        <f t="shared" si="1"/>
        <v>0</v>
      </c>
      <c r="AK28" s="749">
        <f t="shared" si="2"/>
        <v>0</v>
      </c>
    </row>
    <row r="29" spans="2:37">
      <c r="B29" s="724">
        <v>26</v>
      </c>
      <c r="C29" s="734" t="str">
        <f>SISWA!E31</f>
        <v>Anak 26</v>
      </c>
      <c r="D29" s="735"/>
      <c r="E29" s="736" t="s">
        <v>661</v>
      </c>
      <c r="F29" s="736" t="s">
        <v>661</v>
      </c>
      <c r="G29" s="736" t="s">
        <v>661</v>
      </c>
      <c r="H29" s="735"/>
      <c r="I29" s="736" t="s">
        <v>661</v>
      </c>
      <c r="J29" s="736" t="s">
        <v>661</v>
      </c>
      <c r="K29" s="736" t="s">
        <v>661</v>
      </c>
      <c r="L29" s="736" t="s">
        <v>661</v>
      </c>
      <c r="M29" s="736" t="s">
        <v>661</v>
      </c>
      <c r="N29" s="736" t="s">
        <v>661</v>
      </c>
      <c r="O29" s="735"/>
      <c r="P29" s="736" t="s">
        <v>661</v>
      </c>
      <c r="Q29" s="736" t="s">
        <v>661</v>
      </c>
      <c r="R29" s="736" t="s">
        <v>661</v>
      </c>
      <c r="S29" s="736" t="s">
        <v>661</v>
      </c>
      <c r="T29" s="736" t="s">
        <v>661</v>
      </c>
      <c r="U29" s="736" t="s">
        <v>661</v>
      </c>
      <c r="V29" s="735"/>
      <c r="W29" s="736" t="s">
        <v>661</v>
      </c>
      <c r="X29" s="736" t="s">
        <v>661</v>
      </c>
      <c r="Y29" s="736" t="s">
        <v>661</v>
      </c>
      <c r="Z29" s="736" t="s">
        <v>661</v>
      </c>
      <c r="AA29" s="736" t="s">
        <v>661</v>
      </c>
      <c r="AB29" s="736" t="s">
        <v>661</v>
      </c>
      <c r="AC29" s="735"/>
      <c r="AD29" s="736" t="s">
        <v>661</v>
      </c>
      <c r="AE29" s="736" t="s">
        <v>661</v>
      </c>
      <c r="AF29" s="736" t="s">
        <v>661</v>
      </c>
      <c r="AG29" s="735"/>
      <c r="AH29" s="736" t="s">
        <v>661</v>
      </c>
      <c r="AI29" s="749">
        <f t="shared" si="0"/>
        <v>0</v>
      </c>
      <c r="AJ29" s="749">
        <f t="shared" si="1"/>
        <v>0</v>
      </c>
      <c r="AK29" s="749">
        <f t="shared" si="2"/>
        <v>0</v>
      </c>
    </row>
    <row r="30" spans="2:37">
      <c r="B30" s="724">
        <v>27</v>
      </c>
      <c r="C30" s="734" t="str">
        <f>SISWA!E32</f>
        <v>Anak 27</v>
      </c>
      <c r="D30" s="735"/>
      <c r="E30" s="736" t="s">
        <v>661</v>
      </c>
      <c r="F30" s="736" t="s">
        <v>661</v>
      </c>
      <c r="G30" s="736" t="s">
        <v>661</v>
      </c>
      <c r="H30" s="735"/>
      <c r="I30" s="736" t="s">
        <v>661</v>
      </c>
      <c r="J30" s="736" t="s">
        <v>661</v>
      </c>
      <c r="K30" s="736" t="s">
        <v>661</v>
      </c>
      <c r="L30" s="736" t="s">
        <v>661</v>
      </c>
      <c r="M30" s="736" t="s">
        <v>661</v>
      </c>
      <c r="N30" s="736" t="s">
        <v>661</v>
      </c>
      <c r="O30" s="735"/>
      <c r="P30" s="736" t="s">
        <v>661</v>
      </c>
      <c r="Q30" s="736" t="s">
        <v>661</v>
      </c>
      <c r="R30" s="736" t="s">
        <v>661</v>
      </c>
      <c r="S30" s="736" t="s">
        <v>661</v>
      </c>
      <c r="T30" s="736" t="s">
        <v>661</v>
      </c>
      <c r="U30" s="736" t="s">
        <v>661</v>
      </c>
      <c r="V30" s="735"/>
      <c r="W30" s="736" t="s">
        <v>661</v>
      </c>
      <c r="X30" s="736" t="s">
        <v>661</v>
      </c>
      <c r="Y30" s="736" t="s">
        <v>661</v>
      </c>
      <c r="Z30" s="736" t="s">
        <v>661</v>
      </c>
      <c r="AA30" s="736" t="s">
        <v>661</v>
      </c>
      <c r="AB30" s="736" t="s">
        <v>661</v>
      </c>
      <c r="AC30" s="735"/>
      <c r="AD30" s="736" t="s">
        <v>661</v>
      </c>
      <c r="AE30" s="736" t="s">
        <v>661</v>
      </c>
      <c r="AF30" s="736" t="s">
        <v>661</v>
      </c>
      <c r="AG30" s="735"/>
      <c r="AH30" s="736" t="s">
        <v>661</v>
      </c>
      <c r="AI30" s="749">
        <f t="shared" si="0"/>
        <v>0</v>
      </c>
      <c r="AJ30" s="749">
        <f t="shared" si="1"/>
        <v>0</v>
      </c>
      <c r="AK30" s="749">
        <f t="shared" si="2"/>
        <v>0</v>
      </c>
    </row>
    <row r="31" spans="2:37">
      <c r="B31" s="724">
        <v>28</v>
      </c>
      <c r="C31" s="734" t="str">
        <f>SISWA!E33</f>
        <v>Anak 28</v>
      </c>
      <c r="D31" s="735"/>
      <c r="E31" s="736" t="s">
        <v>661</v>
      </c>
      <c r="F31" s="736" t="s">
        <v>661</v>
      </c>
      <c r="G31" s="736" t="s">
        <v>661</v>
      </c>
      <c r="H31" s="735"/>
      <c r="I31" s="736" t="s">
        <v>661</v>
      </c>
      <c r="J31" s="736" t="s">
        <v>661</v>
      </c>
      <c r="K31" s="736" t="s">
        <v>661</v>
      </c>
      <c r="L31" s="736" t="s">
        <v>661</v>
      </c>
      <c r="M31" s="736" t="s">
        <v>661</v>
      </c>
      <c r="N31" s="736" t="s">
        <v>661</v>
      </c>
      <c r="O31" s="735"/>
      <c r="P31" s="736" t="s">
        <v>661</v>
      </c>
      <c r="Q31" s="736" t="s">
        <v>661</v>
      </c>
      <c r="R31" s="736" t="s">
        <v>661</v>
      </c>
      <c r="S31" s="736" t="s">
        <v>661</v>
      </c>
      <c r="T31" s="736" t="s">
        <v>661</v>
      </c>
      <c r="U31" s="736" t="s">
        <v>661</v>
      </c>
      <c r="V31" s="735"/>
      <c r="W31" s="736" t="s">
        <v>661</v>
      </c>
      <c r="X31" s="736" t="s">
        <v>661</v>
      </c>
      <c r="Y31" s="736" t="s">
        <v>661</v>
      </c>
      <c r="Z31" s="736" t="s">
        <v>661</v>
      </c>
      <c r="AA31" s="736" t="s">
        <v>661</v>
      </c>
      <c r="AB31" s="736" t="s">
        <v>661</v>
      </c>
      <c r="AC31" s="735"/>
      <c r="AD31" s="736" t="s">
        <v>661</v>
      </c>
      <c r="AE31" s="736" t="s">
        <v>661</v>
      </c>
      <c r="AF31" s="736" t="s">
        <v>661</v>
      </c>
      <c r="AG31" s="735"/>
      <c r="AH31" s="736" t="s">
        <v>661</v>
      </c>
      <c r="AI31" s="749">
        <f t="shared" si="0"/>
        <v>0</v>
      </c>
      <c r="AJ31" s="749">
        <f t="shared" si="1"/>
        <v>0</v>
      </c>
      <c r="AK31" s="749">
        <f t="shared" si="2"/>
        <v>0</v>
      </c>
    </row>
    <row r="32" spans="2:37">
      <c r="B32" s="724">
        <v>29</v>
      </c>
      <c r="C32" s="734" t="str">
        <f>SISWA!E34</f>
        <v>Anak 29</v>
      </c>
      <c r="D32" s="735"/>
      <c r="E32" s="736" t="s">
        <v>661</v>
      </c>
      <c r="F32" s="736" t="s">
        <v>661</v>
      </c>
      <c r="G32" s="736" t="s">
        <v>661</v>
      </c>
      <c r="H32" s="735"/>
      <c r="I32" s="736" t="s">
        <v>661</v>
      </c>
      <c r="J32" s="736" t="s">
        <v>661</v>
      </c>
      <c r="K32" s="736" t="s">
        <v>661</v>
      </c>
      <c r="L32" s="736" t="s">
        <v>661</v>
      </c>
      <c r="M32" s="736" t="s">
        <v>661</v>
      </c>
      <c r="N32" s="736" t="s">
        <v>661</v>
      </c>
      <c r="O32" s="735"/>
      <c r="P32" s="736" t="s">
        <v>661</v>
      </c>
      <c r="Q32" s="736" t="s">
        <v>661</v>
      </c>
      <c r="R32" s="736" t="s">
        <v>661</v>
      </c>
      <c r="S32" s="736" t="s">
        <v>661</v>
      </c>
      <c r="T32" s="736" t="s">
        <v>661</v>
      </c>
      <c r="U32" s="736" t="s">
        <v>661</v>
      </c>
      <c r="V32" s="735"/>
      <c r="W32" s="736" t="s">
        <v>661</v>
      </c>
      <c r="X32" s="736" t="s">
        <v>661</v>
      </c>
      <c r="Y32" s="736" t="s">
        <v>661</v>
      </c>
      <c r="Z32" s="736" t="s">
        <v>661</v>
      </c>
      <c r="AA32" s="736" t="s">
        <v>661</v>
      </c>
      <c r="AB32" s="736" t="s">
        <v>661</v>
      </c>
      <c r="AC32" s="735"/>
      <c r="AD32" s="736" t="s">
        <v>661</v>
      </c>
      <c r="AE32" s="736" t="s">
        <v>661</v>
      </c>
      <c r="AF32" s="736" t="s">
        <v>661</v>
      </c>
      <c r="AG32" s="735"/>
      <c r="AH32" s="736" t="s">
        <v>661</v>
      </c>
      <c r="AI32" s="749">
        <f t="shared" si="0"/>
        <v>0</v>
      </c>
      <c r="AJ32" s="749">
        <f t="shared" si="1"/>
        <v>0</v>
      </c>
      <c r="AK32" s="749">
        <f t="shared" si="2"/>
        <v>0</v>
      </c>
    </row>
    <row r="33" spans="2:37">
      <c r="B33" s="724">
        <v>30</v>
      </c>
      <c r="C33" s="734" t="str">
        <f>SISWA!E35</f>
        <v>Anak 30</v>
      </c>
      <c r="D33" s="735"/>
      <c r="E33" s="736" t="s">
        <v>661</v>
      </c>
      <c r="F33" s="736" t="s">
        <v>661</v>
      </c>
      <c r="G33" s="736" t="s">
        <v>661</v>
      </c>
      <c r="H33" s="735"/>
      <c r="I33" s="736" t="s">
        <v>661</v>
      </c>
      <c r="J33" s="736" t="s">
        <v>661</v>
      </c>
      <c r="K33" s="736" t="s">
        <v>661</v>
      </c>
      <c r="L33" s="736" t="s">
        <v>661</v>
      </c>
      <c r="M33" s="736" t="s">
        <v>661</v>
      </c>
      <c r="N33" s="736" t="s">
        <v>661</v>
      </c>
      <c r="O33" s="735"/>
      <c r="P33" s="736" t="s">
        <v>661</v>
      </c>
      <c r="Q33" s="736" t="s">
        <v>661</v>
      </c>
      <c r="R33" s="736" t="s">
        <v>661</v>
      </c>
      <c r="S33" s="736" t="s">
        <v>661</v>
      </c>
      <c r="T33" s="736" t="s">
        <v>661</v>
      </c>
      <c r="U33" s="736" t="s">
        <v>661</v>
      </c>
      <c r="V33" s="735"/>
      <c r="W33" s="736" t="s">
        <v>661</v>
      </c>
      <c r="X33" s="736" t="s">
        <v>661</v>
      </c>
      <c r="Y33" s="736" t="s">
        <v>661</v>
      </c>
      <c r="Z33" s="736" t="s">
        <v>661</v>
      </c>
      <c r="AA33" s="736" t="s">
        <v>661</v>
      </c>
      <c r="AB33" s="736" t="s">
        <v>661</v>
      </c>
      <c r="AC33" s="735"/>
      <c r="AD33" s="736" t="s">
        <v>661</v>
      </c>
      <c r="AE33" s="736" t="s">
        <v>661</v>
      </c>
      <c r="AF33" s="736" t="s">
        <v>661</v>
      </c>
      <c r="AG33" s="735"/>
      <c r="AH33" s="736" t="s">
        <v>661</v>
      </c>
      <c r="AI33" s="749">
        <f t="shared" si="0"/>
        <v>0</v>
      </c>
      <c r="AJ33" s="749">
        <f t="shared" si="1"/>
        <v>0</v>
      </c>
      <c r="AK33" s="749">
        <f t="shared" si="2"/>
        <v>0</v>
      </c>
    </row>
    <row r="34" spans="2:37">
      <c r="B34" s="724">
        <v>31</v>
      </c>
      <c r="C34" s="734" t="str">
        <f>SISWA!E36</f>
        <v>Anak 31</v>
      </c>
      <c r="D34" s="735"/>
      <c r="E34" s="736" t="s">
        <v>661</v>
      </c>
      <c r="F34" s="736" t="s">
        <v>661</v>
      </c>
      <c r="G34" s="736" t="s">
        <v>661</v>
      </c>
      <c r="H34" s="735"/>
      <c r="I34" s="736" t="s">
        <v>661</v>
      </c>
      <c r="J34" s="736" t="s">
        <v>661</v>
      </c>
      <c r="K34" s="736" t="s">
        <v>661</v>
      </c>
      <c r="L34" s="736" t="s">
        <v>661</v>
      </c>
      <c r="M34" s="736" t="s">
        <v>661</v>
      </c>
      <c r="N34" s="736" t="s">
        <v>661</v>
      </c>
      <c r="O34" s="735"/>
      <c r="P34" s="736" t="s">
        <v>661</v>
      </c>
      <c r="Q34" s="736" t="s">
        <v>661</v>
      </c>
      <c r="R34" s="736" t="s">
        <v>661</v>
      </c>
      <c r="S34" s="736" t="s">
        <v>661</v>
      </c>
      <c r="T34" s="736" t="s">
        <v>661</v>
      </c>
      <c r="U34" s="736" t="s">
        <v>661</v>
      </c>
      <c r="V34" s="735"/>
      <c r="W34" s="736" t="s">
        <v>661</v>
      </c>
      <c r="X34" s="736" t="s">
        <v>661</v>
      </c>
      <c r="Y34" s="736" t="s">
        <v>661</v>
      </c>
      <c r="Z34" s="736" t="s">
        <v>661</v>
      </c>
      <c r="AA34" s="736" t="s">
        <v>661</v>
      </c>
      <c r="AB34" s="736" t="s">
        <v>661</v>
      </c>
      <c r="AC34" s="735"/>
      <c r="AD34" s="736" t="s">
        <v>661</v>
      </c>
      <c r="AE34" s="736" t="s">
        <v>661</v>
      </c>
      <c r="AF34" s="736" t="s">
        <v>661</v>
      </c>
      <c r="AG34" s="735"/>
      <c r="AH34" s="736" t="s">
        <v>661</v>
      </c>
      <c r="AI34" s="749">
        <f t="shared" si="0"/>
        <v>0</v>
      </c>
      <c r="AJ34" s="749">
        <f t="shared" si="1"/>
        <v>0</v>
      </c>
      <c r="AK34" s="749">
        <f t="shared" si="2"/>
        <v>0</v>
      </c>
    </row>
    <row r="35" spans="2:37">
      <c r="B35" s="724">
        <v>32</v>
      </c>
      <c r="C35" s="734" t="str">
        <f>SISWA!E37</f>
        <v>Anak 32</v>
      </c>
      <c r="D35" s="735"/>
      <c r="E35" s="736" t="s">
        <v>661</v>
      </c>
      <c r="F35" s="736" t="s">
        <v>661</v>
      </c>
      <c r="G35" s="736" t="s">
        <v>661</v>
      </c>
      <c r="H35" s="735"/>
      <c r="I35" s="736" t="s">
        <v>661</v>
      </c>
      <c r="J35" s="736" t="s">
        <v>661</v>
      </c>
      <c r="K35" s="736" t="s">
        <v>661</v>
      </c>
      <c r="L35" s="736" t="s">
        <v>661</v>
      </c>
      <c r="M35" s="736" t="s">
        <v>661</v>
      </c>
      <c r="N35" s="736" t="s">
        <v>661</v>
      </c>
      <c r="O35" s="735"/>
      <c r="P35" s="736" t="s">
        <v>661</v>
      </c>
      <c r="Q35" s="736" t="s">
        <v>661</v>
      </c>
      <c r="R35" s="736" t="s">
        <v>661</v>
      </c>
      <c r="S35" s="736" t="s">
        <v>661</v>
      </c>
      <c r="T35" s="736" t="s">
        <v>661</v>
      </c>
      <c r="U35" s="736" t="s">
        <v>661</v>
      </c>
      <c r="V35" s="735"/>
      <c r="W35" s="736" t="s">
        <v>661</v>
      </c>
      <c r="X35" s="736" t="s">
        <v>661</v>
      </c>
      <c r="Y35" s="736" t="s">
        <v>661</v>
      </c>
      <c r="Z35" s="736" t="s">
        <v>661</v>
      </c>
      <c r="AA35" s="736" t="s">
        <v>661</v>
      </c>
      <c r="AB35" s="736" t="s">
        <v>661</v>
      </c>
      <c r="AC35" s="735"/>
      <c r="AD35" s="736" t="s">
        <v>661</v>
      </c>
      <c r="AE35" s="736" t="s">
        <v>661</v>
      </c>
      <c r="AF35" s="736" t="s">
        <v>661</v>
      </c>
      <c r="AG35" s="735"/>
      <c r="AH35" s="736" t="s">
        <v>661</v>
      </c>
      <c r="AI35" s="749">
        <f t="shared" si="0"/>
        <v>0</v>
      </c>
      <c r="AJ35" s="749">
        <f t="shared" si="1"/>
        <v>0</v>
      </c>
      <c r="AK35" s="749">
        <f t="shared" si="2"/>
        <v>0</v>
      </c>
    </row>
    <row r="36" spans="2:37">
      <c r="B36" s="724">
        <v>33</v>
      </c>
      <c r="C36" s="734" t="str">
        <f>SISWA!E38</f>
        <v>Anak 33</v>
      </c>
      <c r="D36" s="735"/>
      <c r="E36" s="736" t="s">
        <v>661</v>
      </c>
      <c r="F36" s="736" t="s">
        <v>661</v>
      </c>
      <c r="G36" s="736" t="s">
        <v>661</v>
      </c>
      <c r="H36" s="735"/>
      <c r="I36" s="736" t="s">
        <v>661</v>
      </c>
      <c r="J36" s="736" t="s">
        <v>661</v>
      </c>
      <c r="K36" s="736" t="s">
        <v>661</v>
      </c>
      <c r="L36" s="736" t="s">
        <v>661</v>
      </c>
      <c r="M36" s="736" t="s">
        <v>661</v>
      </c>
      <c r="N36" s="736" t="s">
        <v>661</v>
      </c>
      <c r="O36" s="735"/>
      <c r="P36" s="736" t="s">
        <v>661</v>
      </c>
      <c r="Q36" s="736" t="s">
        <v>661</v>
      </c>
      <c r="R36" s="736" t="s">
        <v>661</v>
      </c>
      <c r="S36" s="736" t="s">
        <v>661</v>
      </c>
      <c r="T36" s="736" t="s">
        <v>661</v>
      </c>
      <c r="U36" s="736" t="s">
        <v>661</v>
      </c>
      <c r="V36" s="735"/>
      <c r="W36" s="736" t="s">
        <v>661</v>
      </c>
      <c r="X36" s="736" t="s">
        <v>661</v>
      </c>
      <c r="Y36" s="736" t="s">
        <v>661</v>
      </c>
      <c r="Z36" s="736" t="s">
        <v>661</v>
      </c>
      <c r="AA36" s="736" t="s">
        <v>661</v>
      </c>
      <c r="AB36" s="736" t="s">
        <v>661</v>
      </c>
      <c r="AC36" s="735"/>
      <c r="AD36" s="736" t="s">
        <v>661</v>
      </c>
      <c r="AE36" s="736" t="s">
        <v>661</v>
      </c>
      <c r="AF36" s="736" t="s">
        <v>661</v>
      </c>
      <c r="AG36" s="735"/>
      <c r="AH36" s="736" t="s">
        <v>661</v>
      </c>
      <c r="AI36" s="749">
        <f t="shared" si="0"/>
        <v>0</v>
      </c>
      <c r="AJ36" s="749">
        <f t="shared" si="1"/>
        <v>0</v>
      </c>
      <c r="AK36" s="749">
        <f t="shared" si="2"/>
        <v>0</v>
      </c>
    </row>
    <row r="37" spans="2:37">
      <c r="B37" s="724">
        <v>34</v>
      </c>
      <c r="C37" s="734" t="str">
        <f>SISWA!E39</f>
        <v>Anak 34</v>
      </c>
      <c r="D37" s="735"/>
      <c r="E37" s="736" t="s">
        <v>661</v>
      </c>
      <c r="F37" s="736" t="s">
        <v>661</v>
      </c>
      <c r="G37" s="736" t="s">
        <v>661</v>
      </c>
      <c r="H37" s="735"/>
      <c r="I37" s="736" t="s">
        <v>661</v>
      </c>
      <c r="J37" s="736" t="s">
        <v>661</v>
      </c>
      <c r="K37" s="736" t="s">
        <v>661</v>
      </c>
      <c r="L37" s="736" t="s">
        <v>661</v>
      </c>
      <c r="M37" s="736" t="s">
        <v>661</v>
      </c>
      <c r="N37" s="736" t="s">
        <v>661</v>
      </c>
      <c r="O37" s="735"/>
      <c r="P37" s="736" t="s">
        <v>661</v>
      </c>
      <c r="Q37" s="736" t="s">
        <v>661</v>
      </c>
      <c r="R37" s="736" t="s">
        <v>661</v>
      </c>
      <c r="S37" s="736" t="s">
        <v>661</v>
      </c>
      <c r="T37" s="736" t="s">
        <v>661</v>
      </c>
      <c r="U37" s="736" t="s">
        <v>661</v>
      </c>
      <c r="V37" s="735"/>
      <c r="W37" s="736" t="s">
        <v>661</v>
      </c>
      <c r="X37" s="736" t="s">
        <v>661</v>
      </c>
      <c r="Y37" s="736" t="s">
        <v>661</v>
      </c>
      <c r="Z37" s="736" t="s">
        <v>661</v>
      </c>
      <c r="AA37" s="736" t="s">
        <v>661</v>
      </c>
      <c r="AB37" s="736" t="s">
        <v>661</v>
      </c>
      <c r="AC37" s="735"/>
      <c r="AD37" s="736" t="s">
        <v>661</v>
      </c>
      <c r="AE37" s="736" t="s">
        <v>661</v>
      </c>
      <c r="AF37" s="736" t="s">
        <v>661</v>
      </c>
      <c r="AG37" s="735"/>
      <c r="AH37" s="736" t="s">
        <v>661</v>
      </c>
      <c r="AI37" s="749">
        <f t="shared" si="0"/>
        <v>0</v>
      </c>
      <c r="AJ37" s="749">
        <f t="shared" si="1"/>
        <v>0</v>
      </c>
      <c r="AK37" s="749">
        <f t="shared" si="2"/>
        <v>0</v>
      </c>
    </row>
    <row r="38" spans="2:37">
      <c r="B38" s="724">
        <v>35</v>
      </c>
      <c r="C38" s="734" t="str">
        <f>SISWA!E40</f>
        <v>Anak 35</v>
      </c>
      <c r="D38" s="735"/>
      <c r="E38" s="736" t="s">
        <v>661</v>
      </c>
      <c r="F38" s="736" t="s">
        <v>661</v>
      </c>
      <c r="G38" s="736" t="s">
        <v>661</v>
      </c>
      <c r="H38" s="735"/>
      <c r="I38" s="736" t="s">
        <v>661</v>
      </c>
      <c r="J38" s="736" t="s">
        <v>661</v>
      </c>
      <c r="K38" s="736" t="s">
        <v>661</v>
      </c>
      <c r="L38" s="736" t="s">
        <v>661</v>
      </c>
      <c r="M38" s="736" t="s">
        <v>661</v>
      </c>
      <c r="N38" s="736" t="s">
        <v>661</v>
      </c>
      <c r="O38" s="735"/>
      <c r="P38" s="736" t="s">
        <v>661</v>
      </c>
      <c r="Q38" s="736" t="s">
        <v>661</v>
      </c>
      <c r="R38" s="736" t="s">
        <v>661</v>
      </c>
      <c r="S38" s="736" t="s">
        <v>661</v>
      </c>
      <c r="T38" s="736" t="s">
        <v>661</v>
      </c>
      <c r="U38" s="736" t="s">
        <v>661</v>
      </c>
      <c r="V38" s="735"/>
      <c r="W38" s="736" t="s">
        <v>661</v>
      </c>
      <c r="X38" s="736" t="s">
        <v>661</v>
      </c>
      <c r="Y38" s="736" t="s">
        <v>661</v>
      </c>
      <c r="Z38" s="736" t="s">
        <v>661</v>
      </c>
      <c r="AA38" s="736" t="s">
        <v>661</v>
      </c>
      <c r="AB38" s="736" t="s">
        <v>661</v>
      </c>
      <c r="AC38" s="735"/>
      <c r="AD38" s="736" t="s">
        <v>661</v>
      </c>
      <c r="AE38" s="736" t="s">
        <v>661</v>
      </c>
      <c r="AF38" s="736" t="s">
        <v>661</v>
      </c>
      <c r="AG38" s="735"/>
      <c r="AH38" s="736" t="s">
        <v>661</v>
      </c>
      <c r="AI38" s="749">
        <f t="shared" si="0"/>
        <v>0</v>
      </c>
      <c r="AJ38" s="749">
        <f t="shared" si="1"/>
        <v>0</v>
      </c>
      <c r="AK38" s="749">
        <f t="shared" si="2"/>
        <v>0</v>
      </c>
    </row>
    <row r="39" spans="2:37">
      <c r="B39" s="724">
        <v>36</v>
      </c>
      <c r="C39" s="734" t="str">
        <f>SISWA!E41</f>
        <v>Anak 36</v>
      </c>
      <c r="D39" s="735"/>
      <c r="E39" s="736" t="s">
        <v>661</v>
      </c>
      <c r="F39" s="736" t="s">
        <v>661</v>
      </c>
      <c r="G39" s="736" t="s">
        <v>661</v>
      </c>
      <c r="H39" s="735"/>
      <c r="I39" s="736" t="s">
        <v>661</v>
      </c>
      <c r="J39" s="736" t="s">
        <v>661</v>
      </c>
      <c r="K39" s="736" t="s">
        <v>661</v>
      </c>
      <c r="L39" s="736" t="s">
        <v>661</v>
      </c>
      <c r="M39" s="736" t="s">
        <v>661</v>
      </c>
      <c r="N39" s="736" t="s">
        <v>661</v>
      </c>
      <c r="O39" s="735"/>
      <c r="P39" s="736" t="s">
        <v>661</v>
      </c>
      <c r="Q39" s="736" t="s">
        <v>661</v>
      </c>
      <c r="R39" s="736" t="s">
        <v>661</v>
      </c>
      <c r="S39" s="736" t="s">
        <v>661</v>
      </c>
      <c r="T39" s="736" t="s">
        <v>661</v>
      </c>
      <c r="U39" s="736" t="s">
        <v>661</v>
      </c>
      <c r="V39" s="735"/>
      <c r="W39" s="736" t="s">
        <v>661</v>
      </c>
      <c r="X39" s="736" t="s">
        <v>661</v>
      </c>
      <c r="Y39" s="736" t="s">
        <v>661</v>
      </c>
      <c r="Z39" s="736" t="s">
        <v>661</v>
      </c>
      <c r="AA39" s="736" t="s">
        <v>661</v>
      </c>
      <c r="AB39" s="736" t="s">
        <v>661</v>
      </c>
      <c r="AC39" s="735"/>
      <c r="AD39" s="736" t="s">
        <v>661</v>
      </c>
      <c r="AE39" s="736" t="s">
        <v>661</v>
      </c>
      <c r="AF39" s="736" t="s">
        <v>661</v>
      </c>
      <c r="AG39" s="735"/>
      <c r="AH39" s="736" t="s">
        <v>661</v>
      </c>
      <c r="AI39" s="749">
        <f t="shared" si="0"/>
        <v>0</v>
      </c>
      <c r="AJ39" s="749">
        <f t="shared" si="1"/>
        <v>0</v>
      </c>
      <c r="AK39" s="749">
        <f t="shared" si="2"/>
        <v>0</v>
      </c>
    </row>
    <row r="40" spans="2:37">
      <c r="B40" s="724">
        <v>37</v>
      </c>
      <c r="C40" s="734" t="str">
        <f>SISWA!E42</f>
        <v>Anak 37</v>
      </c>
      <c r="D40" s="735"/>
      <c r="E40" s="736" t="s">
        <v>661</v>
      </c>
      <c r="F40" s="736" t="s">
        <v>661</v>
      </c>
      <c r="G40" s="736" t="s">
        <v>661</v>
      </c>
      <c r="H40" s="735"/>
      <c r="I40" s="736" t="s">
        <v>661</v>
      </c>
      <c r="J40" s="736" t="s">
        <v>661</v>
      </c>
      <c r="K40" s="736" t="s">
        <v>661</v>
      </c>
      <c r="L40" s="736" t="s">
        <v>661</v>
      </c>
      <c r="M40" s="736" t="s">
        <v>661</v>
      </c>
      <c r="N40" s="736" t="s">
        <v>661</v>
      </c>
      <c r="O40" s="735"/>
      <c r="P40" s="736" t="s">
        <v>661</v>
      </c>
      <c r="Q40" s="736" t="s">
        <v>661</v>
      </c>
      <c r="R40" s="736" t="s">
        <v>661</v>
      </c>
      <c r="S40" s="736" t="s">
        <v>661</v>
      </c>
      <c r="T40" s="736" t="s">
        <v>661</v>
      </c>
      <c r="U40" s="736" t="s">
        <v>661</v>
      </c>
      <c r="V40" s="735"/>
      <c r="W40" s="736" t="s">
        <v>661</v>
      </c>
      <c r="X40" s="736" t="s">
        <v>661</v>
      </c>
      <c r="Y40" s="736" t="s">
        <v>661</v>
      </c>
      <c r="Z40" s="736" t="s">
        <v>661</v>
      </c>
      <c r="AA40" s="736" t="s">
        <v>661</v>
      </c>
      <c r="AB40" s="736" t="s">
        <v>661</v>
      </c>
      <c r="AC40" s="735"/>
      <c r="AD40" s="736" t="s">
        <v>661</v>
      </c>
      <c r="AE40" s="736" t="s">
        <v>661</v>
      </c>
      <c r="AF40" s="736" t="s">
        <v>661</v>
      </c>
      <c r="AG40" s="735"/>
      <c r="AH40" s="736" t="s">
        <v>661</v>
      </c>
      <c r="AI40" s="749">
        <f t="shared" si="0"/>
        <v>0</v>
      </c>
      <c r="AJ40" s="749">
        <f t="shared" si="1"/>
        <v>0</v>
      </c>
      <c r="AK40" s="749">
        <f t="shared" si="2"/>
        <v>0</v>
      </c>
    </row>
    <row r="41" spans="2:37">
      <c r="B41" s="724">
        <v>38</v>
      </c>
      <c r="C41" s="734" t="str">
        <f>SISWA!E43</f>
        <v>Anak 38</v>
      </c>
      <c r="D41" s="735"/>
      <c r="E41" s="736" t="s">
        <v>661</v>
      </c>
      <c r="F41" s="736" t="s">
        <v>661</v>
      </c>
      <c r="G41" s="736" t="s">
        <v>661</v>
      </c>
      <c r="H41" s="735"/>
      <c r="I41" s="736" t="s">
        <v>661</v>
      </c>
      <c r="J41" s="736" t="s">
        <v>661</v>
      </c>
      <c r="K41" s="736" t="s">
        <v>661</v>
      </c>
      <c r="L41" s="736" t="s">
        <v>661</v>
      </c>
      <c r="M41" s="736" t="s">
        <v>661</v>
      </c>
      <c r="N41" s="736" t="s">
        <v>661</v>
      </c>
      <c r="O41" s="735"/>
      <c r="P41" s="736" t="s">
        <v>661</v>
      </c>
      <c r="Q41" s="736" t="s">
        <v>661</v>
      </c>
      <c r="R41" s="736" t="s">
        <v>661</v>
      </c>
      <c r="S41" s="736" t="s">
        <v>661</v>
      </c>
      <c r="T41" s="736" t="s">
        <v>661</v>
      </c>
      <c r="U41" s="736" t="s">
        <v>661</v>
      </c>
      <c r="V41" s="735"/>
      <c r="W41" s="736" t="s">
        <v>661</v>
      </c>
      <c r="X41" s="736" t="s">
        <v>661</v>
      </c>
      <c r="Y41" s="736" t="s">
        <v>661</v>
      </c>
      <c r="Z41" s="736" t="s">
        <v>661</v>
      </c>
      <c r="AA41" s="736" t="s">
        <v>661</v>
      </c>
      <c r="AB41" s="736" t="s">
        <v>661</v>
      </c>
      <c r="AC41" s="735"/>
      <c r="AD41" s="736" t="s">
        <v>661</v>
      </c>
      <c r="AE41" s="736" t="s">
        <v>661</v>
      </c>
      <c r="AF41" s="736" t="s">
        <v>661</v>
      </c>
      <c r="AG41" s="735"/>
      <c r="AH41" s="736" t="s">
        <v>661</v>
      </c>
      <c r="AI41" s="749">
        <f t="shared" si="0"/>
        <v>0</v>
      </c>
      <c r="AJ41" s="749">
        <f t="shared" si="1"/>
        <v>0</v>
      </c>
      <c r="AK41" s="749">
        <f t="shared" si="2"/>
        <v>0</v>
      </c>
    </row>
    <row r="42" spans="2:37">
      <c r="B42" s="724">
        <v>39</v>
      </c>
      <c r="C42" s="734" t="str">
        <f>SISWA!E44</f>
        <v>Anak 39</v>
      </c>
      <c r="D42" s="735"/>
      <c r="E42" s="736" t="s">
        <v>661</v>
      </c>
      <c r="F42" s="736" t="s">
        <v>661</v>
      </c>
      <c r="G42" s="736" t="s">
        <v>661</v>
      </c>
      <c r="H42" s="735"/>
      <c r="I42" s="736" t="s">
        <v>661</v>
      </c>
      <c r="J42" s="736" t="s">
        <v>661</v>
      </c>
      <c r="K42" s="736" t="s">
        <v>661</v>
      </c>
      <c r="L42" s="736" t="s">
        <v>661</v>
      </c>
      <c r="M42" s="736" t="s">
        <v>661</v>
      </c>
      <c r="N42" s="736" t="s">
        <v>661</v>
      </c>
      <c r="O42" s="735"/>
      <c r="P42" s="736" t="s">
        <v>661</v>
      </c>
      <c r="Q42" s="736" t="s">
        <v>661</v>
      </c>
      <c r="R42" s="736" t="s">
        <v>661</v>
      </c>
      <c r="S42" s="736" t="s">
        <v>661</v>
      </c>
      <c r="T42" s="736" t="s">
        <v>661</v>
      </c>
      <c r="U42" s="736" t="s">
        <v>661</v>
      </c>
      <c r="V42" s="735"/>
      <c r="W42" s="736" t="s">
        <v>661</v>
      </c>
      <c r="X42" s="736" t="s">
        <v>661</v>
      </c>
      <c r="Y42" s="736" t="s">
        <v>661</v>
      </c>
      <c r="Z42" s="736" t="s">
        <v>661</v>
      </c>
      <c r="AA42" s="736" t="s">
        <v>661</v>
      </c>
      <c r="AB42" s="736" t="s">
        <v>661</v>
      </c>
      <c r="AC42" s="735"/>
      <c r="AD42" s="736" t="s">
        <v>661</v>
      </c>
      <c r="AE42" s="736" t="s">
        <v>661</v>
      </c>
      <c r="AF42" s="736" t="s">
        <v>661</v>
      </c>
      <c r="AG42" s="735"/>
      <c r="AH42" s="736" t="s">
        <v>661</v>
      </c>
      <c r="AI42" s="749">
        <f t="shared" si="0"/>
        <v>0</v>
      </c>
      <c r="AJ42" s="749">
        <f t="shared" si="1"/>
        <v>0</v>
      </c>
      <c r="AK42" s="749">
        <f t="shared" si="2"/>
        <v>0</v>
      </c>
    </row>
    <row r="43" spans="2:37">
      <c r="B43" s="724">
        <v>40</v>
      </c>
      <c r="C43" s="734" t="str">
        <f>SISWA!E45</f>
        <v>Anak 40</v>
      </c>
      <c r="D43" s="735"/>
      <c r="E43" s="736" t="s">
        <v>661</v>
      </c>
      <c r="F43" s="736" t="s">
        <v>661</v>
      </c>
      <c r="G43" s="736" t="s">
        <v>661</v>
      </c>
      <c r="H43" s="735"/>
      <c r="I43" s="736" t="s">
        <v>661</v>
      </c>
      <c r="J43" s="736" t="s">
        <v>661</v>
      </c>
      <c r="K43" s="736" t="s">
        <v>661</v>
      </c>
      <c r="L43" s="736" t="s">
        <v>661</v>
      </c>
      <c r="M43" s="736" t="s">
        <v>661</v>
      </c>
      <c r="N43" s="736" t="s">
        <v>661</v>
      </c>
      <c r="O43" s="735"/>
      <c r="P43" s="736" t="s">
        <v>661</v>
      </c>
      <c r="Q43" s="736" t="s">
        <v>661</v>
      </c>
      <c r="R43" s="736" t="s">
        <v>661</v>
      </c>
      <c r="S43" s="736" t="s">
        <v>661</v>
      </c>
      <c r="T43" s="736" t="s">
        <v>661</v>
      </c>
      <c r="U43" s="736" t="s">
        <v>661</v>
      </c>
      <c r="V43" s="735"/>
      <c r="W43" s="736" t="s">
        <v>661</v>
      </c>
      <c r="X43" s="736" t="s">
        <v>661</v>
      </c>
      <c r="Y43" s="736" t="s">
        <v>661</v>
      </c>
      <c r="Z43" s="736" t="s">
        <v>661</v>
      </c>
      <c r="AA43" s="736" t="s">
        <v>661</v>
      </c>
      <c r="AB43" s="736" t="s">
        <v>661</v>
      </c>
      <c r="AC43" s="735"/>
      <c r="AD43" s="736" t="s">
        <v>661</v>
      </c>
      <c r="AE43" s="736" t="s">
        <v>661</v>
      </c>
      <c r="AF43" s="736" t="s">
        <v>661</v>
      </c>
      <c r="AG43" s="735"/>
      <c r="AH43" s="736" t="s">
        <v>661</v>
      </c>
      <c r="AI43" s="749">
        <f t="shared" si="0"/>
        <v>0</v>
      </c>
      <c r="AJ43" s="749">
        <f t="shared" si="1"/>
        <v>0</v>
      </c>
      <c r="AK43" s="749">
        <f t="shared" si="2"/>
        <v>0</v>
      </c>
    </row>
    <row r="44" spans="2:37">
      <c r="B44" s="724">
        <v>41</v>
      </c>
      <c r="C44" s="734" t="str">
        <f>SISWA!E46</f>
        <v>Anak 41</v>
      </c>
      <c r="D44" s="735"/>
      <c r="E44" s="736" t="s">
        <v>661</v>
      </c>
      <c r="F44" s="736" t="s">
        <v>661</v>
      </c>
      <c r="G44" s="736" t="s">
        <v>661</v>
      </c>
      <c r="H44" s="735"/>
      <c r="I44" s="736" t="s">
        <v>661</v>
      </c>
      <c r="J44" s="736" t="s">
        <v>661</v>
      </c>
      <c r="K44" s="736" t="s">
        <v>661</v>
      </c>
      <c r="L44" s="736" t="s">
        <v>661</v>
      </c>
      <c r="M44" s="736" t="s">
        <v>661</v>
      </c>
      <c r="N44" s="736" t="s">
        <v>661</v>
      </c>
      <c r="O44" s="735"/>
      <c r="P44" s="736" t="s">
        <v>661</v>
      </c>
      <c r="Q44" s="736" t="s">
        <v>661</v>
      </c>
      <c r="R44" s="736" t="s">
        <v>661</v>
      </c>
      <c r="S44" s="736" t="s">
        <v>661</v>
      </c>
      <c r="T44" s="736" t="s">
        <v>661</v>
      </c>
      <c r="U44" s="736" t="s">
        <v>661</v>
      </c>
      <c r="V44" s="735"/>
      <c r="W44" s="736" t="s">
        <v>661</v>
      </c>
      <c r="X44" s="736" t="s">
        <v>661</v>
      </c>
      <c r="Y44" s="736" t="s">
        <v>661</v>
      </c>
      <c r="Z44" s="736" t="s">
        <v>661</v>
      </c>
      <c r="AA44" s="736" t="s">
        <v>661</v>
      </c>
      <c r="AB44" s="736" t="s">
        <v>661</v>
      </c>
      <c r="AC44" s="735"/>
      <c r="AD44" s="736" t="s">
        <v>661</v>
      </c>
      <c r="AE44" s="736" t="s">
        <v>661</v>
      </c>
      <c r="AF44" s="736" t="s">
        <v>661</v>
      </c>
      <c r="AG44" s="735"/>
      <c r="AH44" s="736" t="s">
        <v>661</v>
      </c>
      <c r="AI44" s="749">
        <f t="shared" si="0"/>
        <v>0</v>
      </c>
      <c r="AJ44" s="749">
        <f t="shared" si="1"/>
        <v>0</v>
      </c>
      <c r="AK44" s="749">
        <f t="shared" si="2"/>
        <v>0</v>
      </c>
    </row>
    <row r="45" spans="2:37">
      <c r="B45" s="724">
        <v>42</v>
      </c>
      <c r="C45" s="734" t="str">
        <f>SISWA!E47</f>
        <v>Anak 42</v>
      </c>
      <c r="D45" s="735"/>
      <c r="E45" s="736" t="s">
        <v>661</v>
      </c>
      <c r="F45" s="736" t="s">
        <v>661</v>
      </c>
      <c r="G45" s="736" t="s">
        <v>661</v>
      </c>
      <c r="H45" s="735"/>
      <c r="I45" s="736" t="s">
        <v>661</v>
      </c>
      <c r="J45" s="736" t="s">
        <v>661</v>
      </c>
      <c r="K45" s="736" t="s">
        <v>661</v>
      </c>
      <c r="L45" s="736" t="s">
        <v>661</v>
      </c>
      <c r="M45" s="736" t="s">
        <v>661</v>
      </c>
      <c r="N45" s="736" t="s">
        <v>661</v>
      </c>
      <c r="O45" s="735"/>
      <c r="P45" s="736" t="s">
        <v>661</v>
      </c>
      <c r="Q45" s="736" t="s">
        <v>661</v>
      </c>
      <c r="R45" s="736" t="s">
        <v>661</v>
      </c>
      <c r="S45" s="736" t="s">
        <v>661</v>
      </c>
      <c r="T45" s="736" t="s">
        <v>661</v>
      </c>
      <c r="U45" s="736" t="s">
        <v>661</v>
      </c>
      <c r="V45" s="735"/>
      <c r="W45" s="736" t="s">
        <v>661</v>
      </c>
      <c r="X45" s="736" t="s">
        <v>661</v>
      </c>
      <c r="Y45" s="736" t="s">
        <v>661</v>
      </c>
      <c r="Z45" s="736" t="s">
        <v>661</v>
      </c>
      <c r="AA45" s="736" t="s">
        <v>661</v>
      </c>
      <c r="AB45" s="736" t="s">
        <v>661</v>
      </c>
      <c r="AC45" s="735"/>
      <c r="AD45" s="736" t="s">
        <v>661</v>
      </c>
      <c r="AE45" s="736" t="s">
        <v>661</v>
      </c>
      <c r="AF45" s="736" t="s">
        <v>661</v>
      </c>
      <c r="AG45" s="735"/>
      <c r="AH45" s="736" t="s">
        <v>661</v>
      </c>
      <c r="AI45" s="749">
        <f t="shared" si="0"/>
        <v>0</v>
      </c>
      <c r="AJ45" s="749">
        <f t="shared" si="1"/>
        <v>0</v>
      </c>
      <c r="AK45" s="749">
        <f t="shared" si="2"/>
        <v>0</v>
      </c>
    </row>
    <row r="46" spans="2:37">
      <c r="B46" s="724">
        <v>43</v>
      </c>
      <c r="C46" s="734" t="str">
        <f>SISWA!E48</f>
        <v>Anak 43</v>
      </c>
      <c r="D46" s="735"/>
      <c r="E46" s="736" t="s">
        <v>661</v>
      </c>
      <c r="F46" s="736" t="s">
        <v>661</v>
      </c>
      <c r="G46" s="736" t="s">
        <v>661</v>
      </c>
      <c r="H46" s="735"/>
      <c r="I46" s="736" t="s">
        <v>661</v>
      </c>
      <c r="J46" s="736" t="s">
        <v>661</v>
      </c>
      <c r="K46" s="736" t="s">
        <v>661</v>
      </c>
      <c r="L46" s="736" t="s">
        <v>661</v>
      </c>
      <c r="M46" s="736" t="s">
        <v>661</v>
      </c>
      <c r="N46" s="736" t="s">
        <v>661</v>
      </c>
      <c r="O46" s="735"/>
      <c r="P46" s="736" t="s">
        <v>661</v>
      </c>
      <c r="Q46" s="736" t="s">
        <v>661</v>
      </c>
      <c r="R46" s="736" t="s">
        <v>661</v>
      </c>
      <c r="S46" s="736" t="s">
        <v>661</v>
      </c>
      <c r="T46" s="736" t="s">
        <v>661</v>
      </c>
      <c r="U46" s="736" t="s">
        <v>661</v>
      </c>
      <c r="V46" s="735"/>
      <c r="W46" s="736" t="s">
        <v>661</v>
      </c>
      <c r="X46" s="736" t="s">
        <v>661</v>
      </c>
      <c r="Y46" s="736" t="s">
        <v>661</v>
      </c>
      <c r="Z46" s="736" t="s">
        <v>661</v>
      </c>
      <c r="AA46" s="736" t="s">
        <v>661</v>
      </c>
      <c r="AB46" s="736" t="s">
        <v>661</v>
      </c>
      <c r="AC46" s="735"/>
      <c r="AD46" s="736" t="s">
        <v>661</v>
      </c>
      <c r="AE46" s="736" t="s">
        <v>661</v>
      </c>
      <c r="AF46" s="736" t="s">
        <v>661</v>
      </c>
      <c r="AG46" s="735"/>
      <c r="AH46" s="736" t="s">
        <v>661</v>
      </c>
      <c r="AI46" s="749">
        <f t="shared" si="0"/>
        <v>0</v>
      </c>
      <c r="AJ46" s="749">
        <f t="shared" si="1"/>
        <v>0</v>
      </c>
      <c r="AK46" s="749">
        <f t="shared" si="2"/>
        <v>0</v>
      </c>
    </row>
    <row r="47" spans="2:37">
      <c r="B47" s="724">
        <v>44</v>
      </c>
      <c r="C47" s="734" t="str">
        <f>SISWA!E49</f>
        <v>Anak 44</v>
      </c>
      <c r="D47" s="735"/>
      <c r="E47" s="736" t="s">
        <v>661</v>
      </c>
      <c r="F47" s="736" t="s">
        <v>661</v>
      </c>
      <c r="G47" s="736" t="s">
        <v>661</v>
      </c>
      <c r="H47" s="735"/>
      <c r="I47" s="736" t="s">
        <v>661</v>
      </c>
      <c r="J47" s="736" t="s">
        <v>661</v>
      </c>
      <c r="K47" s="736" t="s">
        <v>661</v>
      </c>
      <c r="L47" s="736" t="s">
        <v>661</v>
      </c>
      <c r="M47" s="736" t="s">
        <v>661</v>
      </c>
      <c r="N47" s="736" t="s">
        <v>661</v>
      </c>
      <c r="O47" s="735"/>
      <c r="P47" s="736" t="s">
        <v>661</v>
      </c>
      <c r="Q47" s="736" t="s">
        <v>661</v>
      </c>
      <c r="R47" s="736" t="s">
        <v>661</v>
      </c>
      <c r="S47" s="736" t="s">
        <v>661</v>
      </c>
      <c r="T47" s="736" t="s">
        <v>661</v>
      </c>
      <c r="U47" s="736" t="s">
        <v>661</v>
      </c>
      <c r="V47" s="735"/>
      <c r="W47" s="736" t="s">
        <v>661</v>
      </c>
      <c r="X47" s="736" t="s">
        <v>661</v>
      </c>
      <c r="Y47" s="736" t="s">
        <v>661</v>
      </c>
      <c r="Z47" s="736" t="s">
        <v>661</v>
      </c>
      <c r="AA47" s="736" t="s">
        <v>661</v>
      </c>
      <c r="AB47" s="736" t="s">
        <v>661</v>
      </c>
      <c r="AC47" s="735"/>
      <c r="AD47" s="736" t="s">
        <v>661</v>
      </c>
      <c r="AE47" s="736" t="s">
        <v>661</v>
      </c>
      <c r="AF47" s="736" t="s">
        <v>661</v>
      </c>
      <c r="AG47" s="735"/>
      <c r="AH47" s="736" t="s">
        <v>661</v>
      </c>
      <c r="AI47" s="749">
        <f t="shared" si="0"/>
        <v>0</v>
      </c>
      <c r="AJ47" s="749">
        <f t="shared" si="1"/>
        <v>0</v>
      </c>
      <c r="AK47" s="749">
        <f t="shared" si="2"/>
        <v>0</v>
      </c>
    </row>
    <row r="48" spans="2:37">
      <c r="B48" s="724">
        <v>45</v>
      </c>
      <c r="C48" s="734" t="str">
        <f>SISWA!E50</f>
        <v>Anak 45</v>
      </c>
      <c r="D48" s="735"/>
      <c r="E48" s="736" t="s">
        <v>661</v>
      </c>
      <c r="F48" s="736" t="s">
        <v>661</v>
      </c>
      <c r="G48" s="736" t="s">
        <v>661</v>
      </c>
      <c r="H48" s="735"/>
      <c r="I48" s="736" t="s">
        <v>661</v>
      </c>
      <c r="J48" s="736" t="s">
        <v>661</v>
      </c>
      <c r="K48" s="736" t="s">
        <v>661</v>
      </c>
      <c r="L48" s="736" t="s">
        <v>661</v>
      </c>
      <c r="M48" s="736" t="s">
        <v>661</v>
      </c>
      <c r="N48" s="736" t="s">
        <v>661</v>
      </c>
      <c r="O48" s="735"/>
      <c r="P48" s="736" t="s">
        <v>661</v>
      </c>
      <c r="Q48" s="736" t="s">
        <v>661</v>
      </c>
      <c r="R48" s="736" t="s">
        <v>661</v>
      </c>
      <c r="S48" s="736" t="s">
        <v>661</v>
      </c>
      <c r="T48" s="736" t="s">
        <v>661</v>
      </c>
      <c r="U48" s="736" t="s">
        <v>661</v>
      </c>
      <c r="V48" s="735"/>
      <c r="W48" s="736" t="s">
        <v>661</v>
      </c>
      <c r="X48" s="736" t="s">
        <v>661</v>
      </c>
      <c r="Y48" s="736" t="s">
        <v>661</v>
      </c>
      <c r="Z48" s="736" t="s">
        <v>661</v>
      </c>
      <c r="AA48" s="736" t="s">
        <v>661</v>
      </c>
      <c r="AB48" s="736" t="s">
        <v>661</v>
      </c>
      <c r="AC48" s="735"/>
      <c r="AD48" s="736" t="s">
        <v>661</v>
      </c>
      <c r="AE48" s="736" t="s">
        <v>661</v>
      </c>
      <c r="AF48" s="736" t="s">
        <v>661</v>
      </c>
      <c r="AG48" s="735"/>
      <c r="AH48" s="736" t="s">
        <v>661</v>
      </c>
      <c r="AI48" s="749">
        <f t="shared" si="0"/>
        <v>0</v>
      </c>
      <c r="AJ48" s="749">
        <f t="shared" si="1"/>
        <v>0</v>
      </c>
      <c r="AK48" s="749">
        <f t="shared" si="2"/>
        <v>0</v>
      </c>
    </row>
    <row r="49" spans="2:37">
      <c r="B49" s="724">
        <v>46</v>
      </c>
      <c r="C49" s="734" t="str">
        <f>SISWA!E51</f>
        <v>Anak 46</v>
      </c>
      <c r="D49" s="735"/>
      <c r="E49" s="736" t="s">
        <v>661</v>
      </c>
      <c r="F49" s="736" t="s">
        <v>661</v>
      </c>
      <c r="G49" s="736" t="s">
        <v>661</v>
      </c>
      <c r="H49" s="735"/>
      <c r="I49" s="736" t="s">
        <v>661</v>
      </c>
      <c r="J49" s="736" t="s">
        <v>661</v>
      </c>
      <c r="K49" s="736" t="s">
        <v>661</v>
      </c>
      <c r="L49" s="736" t="s">
        <v>661</v>
      </c>
      <c r="M49" s="736" t="s">
        <v>661</v>
      </c>
      <c r="N49" s="736" t="s">
        <v>661</v>
      </c>
      <c r="O49" s="735"/>
      <c r="P49" s="736" t="s">
        <v>661</v>
      </c>
      <c r="Q49" s="736" t="s">
        <v>661</v>
      </c>
      <c r="R49" s="736" t="s">
        <v>661</v>
      </c>
      <c r="S49" s="736" t="s">
        <v>661</v>
      </c>
      <c r="T49" s="736" t="s">
        <v>661</v>
      </c>
      <c r="U49" s="736" t="s">
        <v>661</v>
      </c>
      <c r="V49" s="735"/>
      <c r="W49" s="736" t="s">
        <v>661</v>
      </c>
      <c r="X49" s="736" t="s">
        <v>661</v>
      </c>
      <c r="Y49" s="736" t="s">
        <v>661</v>
      </c>
      <c r="Z49" s="736" t="s">
        <v>661</v>
      </c>
      <c r="AA49" s="736" t="s">
        <v>661</v>
      </c>
      <c r="AB49" s="736" t="s">
        <v>661</v>
      </c>
      <c r="AC49" s="735"/>
      <c r="AD49" s="736" t="s">
        <v>661</v>
      </c>
      <c r="AE49" s="736" t="s">
        <v>661</v>
      </c>
      <c r="AF49" s="736" t="s">
        <v>661</v>
      </c>
      <c r="AG49" s="735"/>
      <c r="AH49" s="736" t="s">
        <v>661</v>
      </c>
      <c r="AI49" s="749">
        <f t="shared" si="0"/>
        <v>0</v>
      </c>
      <c r="AJ49" s="749">
        <f t="shared" si="1"/>
        <v>0</v>
      </c>
      <c r="AK49" s="749">
        <f t="shared" si="2"/>
        <v>0</v>
      </c>
    </row>
    <row r="50" spans="2:37">
      <c r="B50" s="724">
        <v>47</v>
      </c>
      <c r="C50" s="734" t="str">
        <f>SISWA!E52</f>
        <v>Anak 47</v>
      </c>
      <c r="D50" s="735"/>
      <c r="E50" s="736" t="s">
        <v>661</v>
      </c>
      <c r="F50" s="736" t="s">
        <v>661</v>
      </c>
      <c r="G50" s="736" t="s">
        <v>661</v>
      </c>
      <c r="H50" s="735"/>
      <c r="I50" s="736" t="s">
        <v>661</v>
      </c>
      <c r="J50" s="736" t="s">
        <v>661</v>
      </c>
      <c r="K50" s="736" t="s">
        <v>661</v>
      </c>
      <c r="L50" s="736" t="s">
        <v>661</v>
      </c>
      <c r="M50" s="736" t="s">
        <v>661</v>
      </c>
      <c r="N50" s="736" t="s">
        <v>661</v>
      </c>
      <c r="O50" s="735"/>
      <c r="P50" s="736" t="s">
        <v>661</v>
      </c>
      <c r="Q50" s="736" t="s">
        <v>661</v>
      </c>
      <c r="R50" s="736" t="s">
        <v>661</v>
      </c>
      <c r="S50" s="736" t="s">
        <v>661</v>
      </c>
      <c r="T50" s="736" t="s">
        <v>661</v>
      </c>
      <c r="U50" s="736" t="s">
        <v>661</v>
      </c>
      <c r="V50" s="735"/>
      <c r="W50" s="736" t="s">
        <v>661</v>
      </c>
      <c r="X50" s="736" t="s">
        <v>661</v>
      </c>
      <c r="Y50" s="736" t="s">
        <v>661</v>
      </c>
      <c r="Z50" s="736" t="s">
        <v>661</v>
      </c>
      <c r="AA50" s="736" t="s">
        <v>661</v>
      </c>
      <c r="AB50" s="736" t="s">
        <v>661</v>
      </c>
      <c r="AC50" s="735"/>
      <c r="AD50" s="736" t="s">
        <v>661</v>
      </c>
      <c r="AE50" s="736" t="s">
        <v>661</v>
      </c>
      <c r="AF50" s="736" t="s">
        <v>661</v>
      </c>
      <c r="AG50" s="735"/>
      <c r="AH50" s="736" t="s">
        <v>661</v>
      </c>
      <c r="AI50" s="749">
        <f t="shared" si="0"/>
        <v>0</v>
      </c>
      <c r="AJ50" s="749">
        <f t="shared" si="1"/>
        <v>0</v>
      </c>
      <c r="AK50" s="749">
        <f t="shared" si="2"/>
        <v>0</v>
      </c>
    </row>
    <row r="51" spans="2:37">
      <c r="B51" s="724">
        <v>48</v>
      </c>
      <c r="C51" s="734" t="str">
        <f>SISWA!E53</f>
        <v>Anak 48</v>
      </c>
      <c r="D51" s="735"/>
      <c r="E51" s="736" t="s">
        <v>661</v>
      </c>
      <c r="F51" s="736" t="s">
        <v>661</v>
      </c>
      <c r="G51" s="736" t="s">
        <v>661</v>
      </c>
      <c r="H51" s="735"/>
      <c r="I51" s="736" t="s">
        <v>661</v>
      </c>
      <c r="J51" s="736" t="s">
        <v>661</v>
      </c>
      <c r="K51" s="736" t="s">
        <v>661</v>
      </c>
      <c r="L51" s="736" t="s">
        <v>661</v>
      </c>
      <c r="M51" s="736" t="s">
        <v>661</v>
      </c>
      <c r="N51" s="736" t="s">
        <v>661</v>
      </c>
      <c r="O51" s="735"/>
      <c r="P51" s="736" t="s">
        <v>661</v>
      </c>
      <c r="Q51" s="736" t="s">
        <v>661</v>
      </c>
      <c r="R51" s="736" t="s">
        <v>661</v>
      </c>
      <c r="S51" s="736" t="s">
        <v>661</v>
      </c>
      <c r="T51" s="736" t="s">
        <v>661</v>
      </c>
      <c r="U51" s="736" t="s">
        <v>661</v>
      </c>
      <c r="V51" s="735"/>
      <c r="W51" s="736" t="s">
        <v>661</v>
      </c>
      <c r="X51" s="736" t="s">
        <v>661</v>
      </c>
      <c r="Y51" s="736" t="s">
        <v>661</v>
      </c>
      <c r="Z51" s="736" t="s">
        <v>661</v>
      </c>
      <c r="AA51" s="736" t="s">
        <v>661</v>
      </c>
      <c r="AB51" s="736" t="s">
        <v>661</v>
      </c>
      <c r="AC51" s="735"/>
      <c r="AD51" s="736" t="s">
        <v>661</v>
      </c>
      <c r="AE51" s="736" t="s">
        <v>661</v>
      </c>
      <c r="AF51" s="736" t="s">
        <v>661</v>
      </c>
      <c r="AG51" s="735"/>
      <c r="AH51" s="736" t="s">
        <v>661</v>
      </c>
      <c r="AI51" s="749">
        <f t="shared" si="0"/>
        <v>0</v>
      </c>
      <c r="AJ51" s="749">
        <f t="shared" si="1"/>
        <v>0</v>
      </c>
      <c r="AK51" s="749">
        <f t="shared" si="2"/>
        <v>0</v>
      </c>
    </row>
    <row r="52" spans="2:37">
      <c r="B52" s="724">
        <v>49</v>
      </c>
      <c r="C52" s="734" t="str">
        <f>SISWA!E54</f>
        <v>Anak 49</v>
      </c>
      <c r="D52" s="735"/>
      <c r="E52" s="736" t="s">
        <v>661</v>
      </c>
      <c r="F52" s="736" t="s">
        <v>661</v>
      </c>
      <c r="G52" s="736" t="s">
        <v>661</v>
      </c>
      <c r="H52" s="735"/>
      <c r="I52" s="736" t="s">
        <v>661</v>
      </c>
      <c r="J52" s="736" t="s">
        <v>661</v>
      </c>
      <c r="K52" s="736" t="s">
        <v>661</v>
      </c>
      <c r="L52" s="736" t="s">
        <v>661</v>
      </c>
      <c r="M52" s="736" t="s">
        <v>661</v>
      </c>
      <c r="N52" s="736" t="s">
        <v>661</v>
      </c>
      <c r="O52" s="735"/>
      <c r="P52" s="736" t="s">
        <v>661</v>
      </c>
      <c r="Q52" s="736" t="s">
        <v>661</v>
      </c>
      <c r="R52" s="736" t="s">
        <v>661</v>
      </c>
      <c r="S52" s="736" t="s">
        <v>661</v>
      </c>
      <c r="T52" s="736" t="s">
        <v>661</v>
      </c>
      <c r="U52" s="736" t="s">
        <v>661</v>
      </c>
      <c r="V52" s="735"/>
      <c r="W52" s="736" t="s">
        <v>661</v>
      </c>
      <c r="X52" s="736" t="s">
        <v>661</v>
      </c>
      <c r="Y52" s="736" t="s">
        <v>661</v>
      </c>
      <c r="Z52" s="736" t="s">
        <v>661</v>
      </c>
      <c r="AA52" s="736" t="s">
        <v>661</v>
      </c>
      <c r="AB52" s="736" t="s">
        <v>661</v>
      </c>
      <c r="AC52" s="735"/>
      <c r="AD52" s="736" t="s">
        <v>661</v>
      </c>
      <c r="AE52" s="736" t="s">
        <v>661</v>
      </c>
      <c r="AF52" s="736" t="s">
        <v>661</v>
      </c>
      <c r="AG52" s="735"/>
      <c r="AH52" s="736" t="s">
        <v>661</v>
      </c>
      <c r="AI52" s="749">
        <f t="shared" si="0"/>
        <v>0</v>
      </c>
      <c r="AJ52" s="749">
        <f t="shared" si="1"/>
        <v>0</v>
      </c>
      <c r="AK52" s="749">
        <f t="shared" si="2"/>
        <v>0</v>
      </c>
    </row>
    <row r="53" spans="2:37">
      <c r="B53" s="724">
        <v>50</v>
      </c>
      <c r="C53" s="734" t="str">
        <f>SISWA!E55</f>
        <v>Anak 50</v>
      </c>
      <c r="D53" s="735"/>
      <c r="E53" s="736" t="s">
        <v>661</v>
      </c>
      <c r="F53" s="736" t="s">
        <v>661</v>
      </c>
      <c r="G53" s="736" t="s">
        <v>661</v>
      </c>
      <c r="H53" s="735"/>
      <c r="I53" s="736" t="s">
        <v>661</v>
      </c>
      <c r="J53" s="736" t="s">
        <v>661</v>
      </c>
      <c r="K53" s="736" t="s">
        <v>661</v>
      </c>
      <c r="L53" s="736" t="s">
        <v>661</v>
      </c>
      <c r="M53" s="736" t="s">
        <v>661</v>
      </c>
      <c r="N53" s="736" t="s">
        <v>661</v>
      </c>
      <c r="O53" s="735"/>
      <c r="P53" s="736" t="s">
        <v>661</v>
      </c>
      <c r="Q53" s="736" t="s">
        <v>661</v>
      </c>
      <c r="R53" s="736" t="s">
        <v>661</v>
      </c>
      <c r="S53" s="736" t="s">
        <v>661</v>
      </c>
      <c r="T53" s="736" t="s">
        <v>661</v>
      </c>
      <c r="U53" s="736" t="s">
        <v>661</v>
      </c>
      <c r="V53" s="735"/>
      <c r="W53" s="736" t="s">
        <v>661</v>
      </c>
      <c r="X53" s="736" t="s">
        <v>661</v>
      </c>
      <c r="Y53" s="736" t="s">
        <v>661</v>
      </c>
      <c r="Z53" s="736" t="s">
        <v>661</v>
      </c>
      <c r="AA53" s="736" t="s">
        <v>661</v>
      </c>
      <c r="AB53" s="736" t="s">
        <v>661</v>
      </c>
      <c r="AC53" s="735"/>
      <c r="AD53" s="736" t="s">
        <v>661</v>
      </c>
      <c r="AE53" s="736" t="s">
        <v>661</v>
      </c>
      <c r="AF53" s="736" t="s">
        <v>661</v>
      </c>
      <c r="AG53" s="735"/>
      <c r="AH53" s="736" t="s">
        <v>661</v>
      </c>
      <c r="AI53" s="749">
        <f t="shared" si="0"/>
        <v>0</v>
      </c>
      <c r="AJ53" s="749">
        <f t="shared" si="1"/>
        <v>0</v>
      </c>
      <c r="AK53" s="749">
        <f t="shared" si="2"/>
        <v>0</v>
      </c>
    </row>
    <row r="54" spans="2:37">
      <c r="B54" s="471"/>
      <c r="C54" s="471"/>
      <c r="D54" s="1008" t="s">
        <v>460</v>
      </c>
      <c r="E54" s="1009"/>
      <c r="F54" s="1009"/>
      <c r="G54" s="1009"/>
      <c r="H54" s="1009"/>
      <c r="I54" s="1009"/>
      <c r="J54" s="1009"/>
      <c r="K54" s="1009"/>
      <c r="L54" s="1009"/>
      <c r="M54" s="1009"/>
      <c r="N54" s="1009"/>
      <c r="O54" s="1009"/>
      <c r="P54" s="1009"/>
      <c r="Q54" s="1009"/>
      <c r="R54" s="1009"/>
      <c r="S54" s="1009"/>
      <c r="T54" s="1009"/>
      <c r="U54" s="1009"/>
      <c r="V54" s="1009"/>
      <c r="W54" s="1009"/>
      <c r="X54" s="1009"/>
      <c r="Y54" s="1009"/>
      <c r="Z54" s="1009"/>
      <c r="AA54" s="1009"/>
      <c r="AB54" s="1009"/>
      <c r="AC54" s="1009"/>
      <c r="AD54" s="1009"/>
      <c r="AE54" s="1009"/>
      <c r="AF54" s="1009"/>
      <c r="AG54" s="1009"/>
      <c r="AH54" s="1010"/>
      <c r="AI54" s="749">
        <f>SUM(AI4:AI53)</f>
        <v>0</v>
      </c>
      <c r="AJ54" s="749">
        <f>SUM(AJ4:AJ53)</f>
        <v>0</v>
      </c>
      <c r="AK54" s="749">
        <f>SUM(AK4:AK53)</f>
        <v>0</v>
      </c>
    </row>
    <row r="55" spans="2:37" ht="15.75" thickBot="1"/>
    <row r="56" spans="2:37" ht="15.75" thickBot="1">
      <c r="C56" s="737"/>
      <c r="D56" s="738"/>
      <c r="E56" s="738"/>
      <c r="F56" s="738"/>
      <c r="G56" s="739"/>
    </row>
    <row r="57" spans="2:37" ht="16.5" thickBot="1">
      <c r="C57" s="740" t="s">
        <v>969</v>
      </c>
      <c r="D57" s="742">
        <v>26</v>
      </c>
      <c r="E57" s="741"/>
      <c r="F57" s="1011">
        <f>D57*DEPAN!E23</f>
        <v>1300</v>
      </c>
      <c r="G57" s="1012"/>
      <c r="L57" s="1013" t="s">
        <v>244</v>
      </c>
      <c r="M57" s="1013"/>
      <c r="N57" s="1013"/>
      <c r="O57" s="1013"/>
      <c r="P57" s="1013"/>
      <c r="Q57" s="1013"/>
      <c r="AC57" s="1013" t="s">
        <v>1180</v>
      </c>
      <c r="AD57" s="1013"/>
      <c r="AE57" s="1013"/>
      <c r="AF57" s="1013"/>
      <c r="AG57" s="1013"/>
      <c r="AH57" s="1013"/>
      <c r="AI57" s="1013"/>
      <c r="AJ57" s="1013"/>
    </row>
    <row r="58" spans="2:37" ht="15.75">
      <c r="C58" s="740"/>
      <c r="D58" s="743"/>
      <c r="E58" s="741"/>
      <c r="F58" s="741"/>
      <c r="G58" s="744"/>
      <c r="L58" s="1013" t="s">
        <v>245</v>
      </c>
      <c r="M58" s="1013"/>
      <c r="N58" s="1013"/>
      <c r="O58" s="1013"/>
      <c r="P58" s="1013"/>
      <c r="Q58" s="1013"/>
      <c r="AC58" s="1013" t="s">
        <v>971</v>
      </c>
      <c r="AD58" s="1013"/>
      <c r="AE58" s="1013"/>
      <c r="AF58" s="1013"/>
      <c r="AG58" s="1013"/>
      <c r="AH58" s="1013"/>
      <c r="AI58" s="1013"/>
      <c r="AJ58" s="1013"/>
    </row>
    <row r="59" spans="2:37" ht="15.75">
      <c r="C59" s="740" t="s">
        <v>972</v>
      </c>
      <c r="D59" s="745"/>
      <c r="E59" s="741"/>
      <c r="F59" s="741"/>
      <c r="G59" s="744"/>
    </row>
    <row r="60" spans="2:37" ht="15.75">
      <c r="C60" s="740" t="s">
        <v>973</v>
      </c>
      <c r="D60" s="1005">
        <f>AI54/F57</f>
        <v>0</v>
      </c>
      <c r="E60" s="1005"/>
      <c r="F60" s="741"/>
      <c r="G60" s="744"/>
    </row>
    <row r="61" spans="2:37" ht="15.75">
      <c r="C61" s="740" t="s">
        <v>974</v>
      </c>
      <c r="D61" s="1014">
        <f>AJ54/F57</f>
        <v>0</v>
      </c>
      <c r="E61" s="1014"/>
      <c r="F61" s="741"/>
      <c r="G61" s="744"/>
    </row>
    <row r="62" spans="2:37" ht="15.75">
      <c r="C62" s="740" t="s">
        <v>975</v>
      </c>
      <c r="D62" s="1014">
        <f>AK54/F57</f>
        <v>0</v>
      </c>
      <c r="E62" s="1014"/>
      <c r="F62" s="741"/>
      <c r="G62" s="744"/>
    </row>
    <row r="63" spans="2:37" ht="15.75" thickBot="1">
      <c r="C63" s="746"/>
      <c r="D63" s="747"/>
      <c r="E63" s="747"/>
      <c r="F63" s="747"/>
      <c r="G63" s="748"/>
      <c r="K63" s="474"/>
      <c r="L63" s="1015" t="str">
        <f>DEPAN!E12</f>
        <v>H. SAMSUDIN,M.Pd</v>
      </c>
      <c r="M63" s="1015"/>
      <c r="N63" s="1015"/>
      <c r="O63" s="1015"/>
      <c r="P63" s="1015"/>
      <c r="Q63" s="1015"/>
      <c r="R63" s="474"/>
      <c r="AC63" s="474"/>
      <c r="AD63" s="1015" t="str">
        <f>DEPAN!E16</f>
        <v>SITI PONIMAH,M.Pd</v>
      </c>
      <c r="AE63" s="1015"/>
      <c r="AF63" s="1015"/>
      <c r="AG63" s="1015"/>
      <c r="AH63" s="1015"/>
      <c r="AI63" s="1015"/>
      <c r="AJ63" s="474"/>
    </row>
    <row r="64" spans="2:37">
      <c r="K64" s="1016" t="str">
        <f>CONCATENATE("NIP.",DEPAN!E13)</f>
        <v>NIP.19921233 198777 1 336</v>
      </c>
      <c r="L64" s="1016"/>
      <c r="M64" s="1016"/>
      <c r="N64" s="1016"/>
      <c r="O64" s="1016"/>
      <c r="P64" s="1016"/>
      <c r="Q64" s="1016"/>
      <c r="R64" s="1016"/>
      <c r="AC64" s="1016" t="str">
        <f>CONCATENATE("NIP.",DEPAN!E17)</f>
        <v>NIP.19616566 201808 2 033</v>
      </c>
      <c r="AD64" s="1016"/>
      <c r="AE64" s="1016"/>
      <c r="AF64" s="1016"/>
      <c r="AG64" s="1016"/>
      <c r="AH64" s="1016"/>
      <c r="AI64" s="1016"/>
      <c r="AJ64" s="1016"/>
    </row>
    <row r="65"/>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row r="88"/>
  </sheetData>
  <mergeCells count="16">
    <mergeCell ref="K64:R64"/>
    <mergeCell ref="AC64:AJ64"/>
    <mergeCell ref="L58:Q58"/>
    <mergeCell ref="AC58:AJ58"/>
    <mergeCell ref="D60:E60"/>
    <mergeCell ref="D61:E61"/>
    <mergeCell ref="D62:E62"/>
    <mergeCell ref="L63:Q63"/>
    <mergeCell ref="AD63:AI63"/>
    <mergeCell ref="B2:B3"/>
    <mergeCell ref="C2:C3"/>
    <mergeCell ref="D2:AK2"/>
    <mergeCell ref="D54:AH54"/>
    <mergeCell ref="F57:G57"/>
    <mergeCell ref="L57:Q57"/>
    <mergeCell ref="AC57:AJ57"/>
  </mergeCells>
  <dataValidations count="2">
    <dataValidation allowBlank="1" showInputMessage="1" showErrorMessage="1" promptTitle="TIDAK USAH DI GANTI" prompt="hasil dari perkalian HARI EFEKTIF dan JUMLAH SISWA" sqref="F57"/>
    <dataValidation allowBlank="1" showInputMessage="1" showErrorMessage="1" prompt="isi dengan jumlah HARI EFEKTIF" sqref="D57"/>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88"/>
  <sheetViews>
    <sheetView topLeftCell="A40" zoomScaleNormal="100" workbookViewId="0">
      <selection activeCell="AB60" sqref="AB60"/>
    </sheetView>
  </sheetViews>
  <sheetFormatPr defaultColWidth="0" defaultRowHeight="15" customHeight="1" zeroHeight="1"/>
  <cols>
    <col min="1" max="1" width="9.140625" customWidth="1"/>
    <col min="2" max="2" width="5.85546875" customWidth="1"/>
    <col min="3" max="3" width="25" customWidth="1"/>
    <col min="4" max="37" width="4.5703125" customWidth="1"/>
    <col min="38" max="38" width="9.140625" customWidth="1"/>
    <col min="39" max="40" width="0" hidden="1" customWidth="1"/>
    <col min="41" max="16384" width="9.140625" hidden="1"/>
  </cols>
  <sheetData>
    <row r="1" spans="1:37">
      <c r="A1" s="750"/>
    </row>
    <row r="2" spans="1:37" ht="21">
      <c r="A2" s="750"/>
      <c r="B2" s="1006" t="s">
        <v>2</v>
      </c>
      <c r="C2" s="1006" t="s">
        <v>965</v>
      </c>
      <c r="D2" s="1007" t="s">
        <v>983</v>
      </c>
      <c r="E2" s="1007"/>
      <c r="F2" s="1007"/>
      <c r="G2" s="1007"/>
      <c r="H2" s="1007"/>
      <c r="I2" s="1007"/>
      <c r="J2" s="1007"/>
      <c r="K2" s="1007"/>
      <c r="L2" s="1007"/>
      <c r="M2" s="1007"/>
      <c r="N2" s="1007"/>
      <c r="O2" s="1007"/>
      <c r="P2" s="1007"/>
      <c r="Q2" s="1007"/>
      <c r="R2" s="1007"/>
      <c r="S2" s="1007"/>
      <c r="T2" s="1007"/>
      <c r="U2" s="1007"/>
      <c r="V2" s="1007"/>
      <c r="W2" s="1007"/>
      <c r="X2" s="1007"/>
      <c r="Y2" s="1007"/>
      <c r="Z2" s="1007"/>
      <c r="AA2" s="1007"/>
      <c r="AB2" s="1007"/>
      <c r="AC2" s="1007"/>
      <c r="AD2" s="1007"/>
      <c r="AE2" s="1007"/>
      <c r="AF2" s="1007"/>
      <c r="AG2" s="1007"/>
      <c r="AH2" s="1007"/>
      <c r="AI2" s="1007"/>
      <c r="AJ2" s="1007"/>
      <c r="AK2" s="1007"/>
    </row>
    <row r="3" spans="1:37">
      <c r="A3" s="750"/>
      <c r="B3" s="1006"/>
      <c r="C3" s="1006"/>
      <c r="D3" s="733">
        <v>1</v>
      </c>
      <c r="E3" s="733">
        <v>2</v>
      </c>
      <c r="F3" s="733">
        <v>3</v>
      </c>
      <c r="G3" s="733">
        <v>4</v>
      </c>
      <c r="H3" s="733">
        <v>5</v>
      </c>
      <c r="I3" s="733">
        <v>6</v>
      </c>
      <c r="J3" s="733">
        <v>7</v>
      </c>
      <c r="K3" s="733">
        <v>8</v>
      </c>
      <c r="L3" s="733">
        <v>9</v>
      </c>
      <c r="M3" s="733">
        <v>10</v>
      </c>
      <c r="N3" s="733">
        <v>11</v>
      </c>
      <c r="O3" s="733">
        <v>12</v>
      </c>
      <c r="P3" s="733">
        <v>13</v>
      </c>
      <c r="Q3" s="733">
        <v>14</v>
      </c>
      <c r="R3" s="733">
        <v>15</v>
      </c>
      <c r="S3" s="733">
        <v>16</v>
      </c>
      <c r="T3" s="733">
        <v>17</v>
      </c>
      <c r="U3" s="733">
        <v>18</v>
      </c>
      <c r="V3" s="733">
        <v>19</v>
      </c>
      <c r="W3" s="733">
        <v>20</v>
      </c>
      <c r="X3" s="733">
        <v>21</v>
      </c>
      <c r="Y3" s="733">
        <v>22</v>
      </c>
      <c r="Z3" s="733">
        <v>23</v>
      </c>
      <c r="AA3" s="733">
        <v>24</v>
      </c>
      <c r="AB3" s="733">
        <v>25</v>
      </c>
      <c r="AC3" s="733">
        <v>26</v>
      </c>
      <c r="AD3" s="733">
        <v>27</v>
      </c>
      <c r="AE3" s="733">
        <v>28</v>
      </c>
      <c r="AF3" s="733">
        <v>29</v>
      </c>
      <c r="AG3" s="733">
        <v>30</v>
      </c>
      <c r="AH3" s="733">
        <v>31</v>
      </c>
      <c r="AI3" s="733" t="s">
        <v>967</v>
      </c>
      <c r="AJ3" s="733" t="s">
        <v>884</v>
      </c>
      <c r="AK3" s="733" t="s">
        <v>968</v>
      </c>
    </row>
    <row r="4" spans="1:37">
      <c r="A4" s="750"/>
      <c r="B4" s="724">
        <v>1</v>
      </c>
      <c r="C4" s="734" t="str">
        <f>SISWA!E6</f>
        <v>Anak 1</v>
      </c>
      <c r="D4" s="735"/>
      <c r="E4" s="735"/>
      <c r="F4" s="735"/>
      <c r="G4" s="735"/>
      <c r="H4" s="735"/>
      <c r="I4" s="735"/>
      <c r="J4" s="735"/>
      <c r="K4" s="735"/>
      <c r="L4" s="735"/>
      <c r="M4" s="735"/>
      <c r="N4" s="735"/>
      <c r="O4" s="735"/>
      <c r="P4" s="735"/>
      <c r="Q4" s="736" t="s">
        <v>661</v>
      </c>
      <c r="R4" s="736" t="s">
        <v>661</v>
      </c>
      <c r="S4" s="735"/>
      <c r="T4" s="736" t="s">
        <v>661</v>
      </c>
      <c r="U4" s="736" t="s">
        <v>661</v>
      </c>
      <c r="V4" s="736" t="s">
        <v>661</v>
      </c>
      <c r="W4" s="736" t="s">
        <v>661</v>
      </c>
      <c r="X4" s="736" t="s">
        <v>661</v>
      </c>
      <c r="Y4" s="736" t="s">
        <v>661</v>
      </c>
      <c r="Z4" s="735"/>
      <c r="AA4" s="735"/>
      <c r="AB4" s="735"/>
      <c r="AC4" s="735"/>
      <c r="AD4" s="735"/>
      <c r="AE4" s="735"/>
      <c r="AF4" s="735"/>
      <c r="AG4" s="735"/>
      <c r="AH4" s="736" t="s">
        <v>661</v>
      </c>
      <c r="AI4" s="749">
        <f>COUNTIF(D4:AH4,"S")</f>
        <v>0</v>
      </c>
      <c r="AJ4" s="749">
        <f>COUNTIF(D4:AH4,"I")</f>
        <v>0</v>
      </c>
      <c r="AK4" s="749">
        <f>COUNTIF(D4:AH4,"A")</f>
        <v>0</v>
      </c>
    </row>
    <row r="5" spans="1:37">
      <c r="A5" s="750"/>
      <c r="B5" s="724">
        <v>2</v>
      </c>
      <c r="C5" s="734" t="str">
        <f>SISWA!E7</f>
        <v>Anak 2</v>
      </c>
      <c r="D5" s="735"/>
      <c r="E5" s="735"/>
      <c r="F5" s="735"/>
      <c r="G5" s="735"/>
      <c r="H5" s="735"/>
      <c r="I5" s="735"/>
      <c r="J5" s="735"/>
      <c r="K5" s="735"/>
      <c r="L5" s="735"/>
      <c r="M5" s="735"/>
      <c r="N5" s="735"/>
      <c r="O5" s="735"/>
      <c r="P5" s="735"/>
      <c r="Q5" s="736" t="s">
        <v>661</v>
      </c>
      <c r="R5" s="736" t="s">
        <v>661</v>
      </c>
      <c r="S5" s="735"/>
      <c r="T5" s="736" t="s">
        <v>661</v>
      </c>
      <c r="U5" s="736" t="s">
        <v>661</v>
      </c>
      <c r="V5" s="736" t="s">
        <v>661</v>
      </c>
      <c r="W5" s="736" t="s">
        <v>661</v>
      </c>
      <c r="X5" s="736" t="s">
        <v>661</v>
      </c>
      <c r="Y5" s="736" t="s">
        <v>661</v>
      </c>
      <c r="Z5" s="735"/>
      <c r="AA5" s="735"/>
      <c r="AB5" s="735"/>
      <c r="AC5" s="735"/>
      <c r="AD5" s="735"/>
      <c r="AE5" s="735"/>
      <c r="AF5" s="735"/>
      <c r="AG5" s="735"/>
      <c r="AH5" s="736" t="s">
        <v>661</v>
      </c>
      <c r="AI5" s="749">
        <f t="shared" ref="AI5:AI53" si="0">COUNTIF(D5:AH5,"S")</f>
        <v>0</v>
      </c>
      <c r="AJ5" s="749">
        <f t="shared" ref="AJ5:AJ53" si="1">COUNTIF(D5:AH5,"I")</f>
        <v>0</v>
      </c>
      <c r="AK5" s="749">
        <f t="shared" ref="AK5:AK53" si="2">COUNTIF(D5:AH5,"A")</f>
        <v>0</v>
      </c>
    </row>
    <row r="6" spans="1:37">
      <c r="A6" s="750"/>
      <c r="B6" s="724">
        <v>3</v>
      </c>
      <c r="C6" s="734" t="str">
        <f>SISWA!E8</f>
        <v>Anak 3</v>
      </c>
      <c r="D6" s="735"/>
      <c r="E6" s="735"/>
      <c r="F6" s="735"/>
      <c r="G6" s="735"/>
      <c r="H6" s="735"/>
      <c r="I6" s="735"/>
      <c r="J6" s="735"/>
      <c r="K6" s="735"/>
      <c r="L6" s="735"/>
      <c r="M6" s="735"/>
      <c r="N6" s="735"/>
      <c r="O6" s="735"/>
      <c r="P6" s="735"/>
      <c r="Q6" s="736" t="s">
        <v>661</v>
      </c>
      <c r="R6" s="736" t="s">
        <v>661</v>
      </c>
      <c r="S6" s="735"/>
      <c r="T6" s="736" t="s">
        <v>661</v>
      </c>
      <c r="U6" s="736" t="s">
        <v>661</v>
      </c>
      <c r="V6" s="736" t="s">
        <v>661</v>
      </c>
      <c r="W6" s="736" t="s">
        <v>661</v>
      </c>
      <c r="X6" s="736" t="s">
        <v>661</v>
      </c>
      <c r="Y6" s="736" t="s">
        <v>661</v>
      </c>
      <c r="Z6" s="735"/>
      <c r="AA6" s="735"/>
      <c r="AB6" s="735"/>
      <c r="AC6" s="735"/>
      <c r="AD6" s="735"/>
      <c r="AE6" s="735"/>
      <c r="AF6" s="735"/>
      <c r="AG6" s="735"/>
      <c r="AH6" s="736" t="s">
        <v>661</v>
      </c>
      <c r="AI6" s="749">
        <f t="shared" si="0"/>
        <v>0</v>
      </c>
      <c r="AJ6" s="749">
        <f t="shared" si="1"/>
        <v>0</v>
      </c>
      <c r="AK6" s="749">
        <f t="shared" si="2"/>
        <v>0</v>
      </c>
    </row>
    <row r="7" spans="1:37">
      <c r="A7" s="750"/>
      <c r="B7" s="724">
        <v>4</v>
      </c>
      <c r="C7" s="734" t="str">
        <f>SISWA!E9</f>
        <v>Anak 4</v>
      </c>
      <c r="D7" s="735"/>
      <c r="E7" s="735"/>
      <c r="F7" s="735"/>
      <c r="G7" s="735"/>
      <c r="H7" s="735"/>
      <c r="I7" s="735"/>
      <c r="J7" s="735"/>
      <c r="K7" s="735"/>
      <c r="L7" s="735"/>
      <c r="M7" s="735"/>
      <c r="N7" s="735"/>
      <c r="O7" s="735"/>
      <c r="P7" s="735"/>
      <c r="Q7" s="736" t="s">
        <v>661</v>
      </c>
      <c r="R7" s="736" t="s">
        <v>661</v>
      </c>
      <c r="S7" s="735"/>
      <c r="T7" s="736" t="s">
        <v>661</v>
      </c>
      <c r="U7" s="736" t="s">
        <v>661</v>
      </c>
      <c r="V7" s="736" t="s">
        <v>661</v>
      </c>
      <c r="W7" s="736" t="s">
        <v>661</v>
      </c>
      <c r="X7" s="736" t="s">
        <v>661</v>
      </c>
      <c r="Y7" s="736" t="s">
        <v>661</v>
      </c>
      <c r="Z7" s="735"/>
      <c r="AA7" s="735"/>
      <c r="AB7" s="735"/>
      <c r="AC7" s="735"/>
      <c r="AD7" s="735"/>
      <c r="AE7" s="735"/>
      <c r="AF7" s="735"/>
      <c r="AG7" s="735"/>
      <c r="AH7" s="736" t="s">
        <v>661</v>
      </c>
      <c r="AI7" s="749">
        <f t="shared" si="0"/>
        <v>0</v>
      </c>
      <c r="AJ7" s="749">
        <f t="shared" si="1"/>
        <v>0</v>
      </c>
      <c r="AK7" s="749">
        <f t="shared" si="2"/>
        <v>0</v>
      </c>
    </row>
    <row r="8" spans="1:37">
      <c r="A8" s="750"/>
      <c r="B8" s="724">
        <v>5</v>
      </c>
      <c r="C8" s="734" t="str">
        <f>SISWA!E10</f>
        <v>Anak 5</v>
      </c>
      <c r="D8" s="735"/>
      <c r="E8" s="735"/>
      <c r="F8" s="735"/>
      <c r="G8" s="735"/>
      <c r="H8" s="735"/>
      <c r="I8" s="735"/>
      <c r="J8" s="735"/>
      <c r="K8" s="735"/>
      <c r="L8" s="735"/>
      <c r="M8" s="735"/>
      <c r="N8" s="735"/>
      <c r="O8" s="735"/>
      <c r="P8" s="735"/>
      <c r="Q8" s="736" t="s">
        <v>661</v>
      </c>
      <c r="R8" s="736" t="s">
        <v>661</v>
      </c>
      <c r="S8" s="735"/>
      <c r="T8" s="736" t="s">
        <v>661</v>
      </c>
      <c r="U8" s="736" t="s">
        <v>661</v>
      </c>
      <c r="V8" s="736" t="s">
        <v>661</v>
      </c>
      <c r="W8" s="736" t="s">
        <v>661</v>
      </c>
      <c r="X8" s="736" t="s">
        <v>661</v>
      </c>
      <c r="Y8" s="736" t="s">
        <v>661</v>
      </c>
      <c r="Z8" s="735"/>
      <c r="AA8" s="735"/>
      <c r="AB8" s="735"/>
      <c r="AC8" s="735"/>
      <c r="AD8" s="735"/>
      <c r="AE8" s="735"/>
      <c r="AF8" s="735"/>
      <c r="AG8" s="735"/>
      <c r="AH8" s="736" t="s">
        <v>661</v>
      </c>
      <c r="AI8" s="749">
        <f t="shared" si="0"/>
        <v>0</v>
      </c>
      <c r="AJ8" s="749">
        <f t="shared" si="1"/>
        <v>0</v>
      </c>
      <c r="AK8" s="749">
        <f t="shared" si="2"/>
        <v>0</v>
      </c>
    </row>
    <row r="9" spans="1:37">
      <c r="A9" s="750"/>
      <c r="B9" s="724">
        <v>6</v>
      </c>
      <c r="C9" s="734" t="str">
        <f>SISWA!E11</f>
        <v>Anak 6</v>
      </c>
      <c r="D9" s="735"/>
      <c r="E9" s="735"/>
      <c r="F9" s="735"/>
      <c r="G9" s="735"/>
      <c r="H9" s="735"/>
      <c r="I9" s="735"/>
      <c r="J9" s="735"/>
      <c r="K9" s="735"/>
      <c r="L9" s="735"/>
      <c r="M9" s="735"/>
      <c r="N9" s="735"/>
      <c r="O9" s="735"/>
      <c r="P9" s="735"/>
      <c r="Q9" s="736" t="s">
        <v>661</v>
      </c>
      <c r="R9" s="736" t="s">
        <v>661</v>
      </c>
      <c r="S9" s="735"/>
      <c r="T9" s="736" t="s">
        <v>661</v>
      </c>
      <c r="U9" s="736" t="s">
        <v>661</v>
      </c>
      <c r="V9" s="736" t="s">
        <v>661</v>
      </c>
      <c r="W9" s="736" t="s">
        <v>661</v>
      </c>
      <c r="X9" s="736" t="s">
        <v>661</v>
      </c>
      <c r="Y9" s="736" t="s">
        <v>661</v>
      </c>
      <c r="Z9" s="735"/>
      <c r="AA9" s="735"/>
      <c r="AB9" s="735"/>
      <c r="AC9" s="735"/>
      <c r="AD9" s="735"/>
      <c r="AE9" s="735"/>
      <c r="AF9" s="735"/>
      <c r="AG9" s="735"/>
      <c r="AH9" s="736" t="s">
        <v>661</v>
      </c>
      <c r="AI9" s="749">
        <f t="shared" si="0"/>
        <v>0</v>
      </c>
      <c r="AJ9" s="749">
        <f t="shared" si="1"/>
        <v>0</v>
      </c>
      <c r="AK9" s="749">
        <f t="shared" si="2"/>
        <v>0</v>
      </c>
    </row>
    <row r="10" spans="1:37">
      <c r="A10" s="750"/>
      <c r="B10" s="724">
        <v>7</v>
      </c>
      <c r="C10" s="734" t="str">
        <f>SISWA!E12</f>
        <v>Anak 7</v>
      </c>
      <c r="D10" s="735"/>
      <c r="E10" s="735"/>
      <c r="F10" s="735"/>
      <c r="G10" s="735"/>
      <c r="H10" s="735"/>
      <c r="I10" s="735"/>
      <c r="J10" s="735"/>
      <c r="K10" s="735"/>
      <c r="L10" s="735"/>
      <c r="M10" s="735"/>
      <c r="N10" s="735"/>
      <c r="O10" s="735"/>
      <c r="P10" s="735"/>
      <c r="Q10" s="736" t="s">
        <v>661</v>
      </c>
      <c r="R10" s="736" t="s">
        <v>661</v>
      </c>
      <c r="S10" s="735"/>
      <c r="T10" s="736" t="s">
        <v>661</v>
      </c>
      <c r="U10" s="736" t="s">
        <v>661</v>
      </c>
      <c r="V10" s="736" t="s">
        <v>661</v>
      </c>
      <c r="W10" s="736" t="s">
        <v>661</v>
      </c>
      <c r="X10" s="736" t="s">
        <v>661</v>
      </c>
      <c r="Y10" s="736" t="s">
        <v>661</v>
      </c>
      <c r="Z10" s="735"/>
      <c r="AA10" s="735"/>
      <c r="AB10" s="735"/>
      <c r="AC10" s="735"/>
      <c r="AD10" s="735"/>
      <c r="AE10" s="735"/>
      <c r="AF10" s="735"/>
      <c r="AG10" s="735"/>
      <c r="AH10" s="736" t="s">
        <v>661</v>
      </c>
      <c r="AI10" s="749">
        <f t="shared" si="0"/>
        <v>0</v>
      </c>
      <c r="AJ10" s="749">
        <f t="shared" si="1"/>
        <v>0</v>
      </c>
      <c r="AK10" s="749">
        <f t="shared" si="2"/>
        <v>0</v>
      </c>
    </row>
    <row r="11" spans="1:37">
      <c r="A11" s="750"/>
      <c r="B11" s="724">
        <v>8</v>
      </c>
      <c r="C11" s="734" t="str">
        <f>SISWA!E13</f>
        <v>Anak 8</v>
      </c>
      <c r="D11" s="735"/>
      <c r="E11" s="735"/>
      <c r="F11" s="735"/>
      <c r="G11" s="735"/>
      <c r="H11" s="735"/>
      <c r="I11" s="735"/>
      <c r="J11" s="735"/>
      <c r="K11" s="735"/>
      <c r="L11" s="735"/>
      <c r="M11" s="735"/>
      <c r="N11" s="735"/>
      <c r="O11" s="735"/>
      <c r="P11" s="735"/>
      <c r="Q11" s="736" t="s">
        <v>661</v>
      </c>
      <c r="R11" s="736" t="s">
        <v>661</v>
      </c>
      <c r="S11" s="735"/>
      <c r="T11" s="736" t="s">
        <v>661</v>
      </c>
      <c r="U11" s="736" t="s">
        <v>661</v>
      </c>
      <c r="V11" s="736" t="s">
        <v>661</v>
      </c>
      <c r="W11" s="736" t="s">
        <v>661</v>
      </c>
      <c r="X11" s="736" t="s">
        <v>661</v>
      </c>
      <c r="Y11" s="736" t="s">
        <v>661</v>
      </c>
      <c r="Z11" s="735"/>
      <c r="AA11" s="735"/>
      <c r="AB11" s="735"/>
      <c r="AC11" s="735"/>
      <c r="AD11" s="735"/>
      <c r="AE11" s="735"/>
      <c r="AF11" s="735"/>
      <c r="AG11" s="735"/>
      <c r="AH11" s="736" t="s">
        <v>661</v>
      </c>
      <c r="AI11" s="749">
        <f t="shared" si="0"/>
        <v>0</v>
      </c>
      <c r="AJ11" s="749">
        <f t="shared" si="1"/>
        <v>0</v>
      </c>
      <c r="AK11" s="749">
        <f t="shared" si="2"/>
        <v>0</v>
      </c>
    </row>
    <row r="12" spans="1:37">
      <c r="A12" s="750"/>
      <c r="B12" s="724">
        <v>9</v>
      </c>
      <c r="C12" s="734" t="str">
        <f>SISWA!E14</f>
        <v>Anak 9</v>
      </c>
      <c r="D12" s="735"/>
      <c r="E12" s="735"/>
      <c r="F12" s="735"/>
      <c r="G12" s="735"/>
      <c r="H12" s="735"/>
      <c r="I12" s="735"/>
      <c r="J12" s="735"/>
      <c r="K12" s="735"/>
      <c r="L12" s="735"/>
      <c r="M12" s="735"/>
      <c r="N12" s="735"/>
      <c r="O12" s="735"/>
      <c r="P12" s="735"/>
      <c r="Q12" s="736" t="s">
        <v>661</v>
      </c>
      <c r="R12" s="736" t="s">
        <v>661</v>
      </c>
      <c r="S12" s="735"/>
      <c r="T12" s="736" t="s">
        <v>661</v>
      </c>
      <c r="U12" s="736" t="s">
        <v>661</v>
      </c>
      <c r="V12" s="736" t="s">
        <v>661</v>
      </c>
      <c r="W12" s="736" t="s">
        <v>661</v>
      </c>
      <c r="X12" s="736" t="s">
        <v>661</v>
      </c>
      <c r="Y12" s="736" t="s">
        <v>661</v>
      </c>
      <c r="Z12" s="735"/>
      <c r="AA12" s="735"/>
      <c r="AB12" s="735"/>
      <c r="AC12" s="735"/>
      <c r="AD12" s="735"/>
      <c r="AE12" s="735"/>
      <c r="AF12" s="735"/>
      <c r="AG12" s="735"/>
      <c r="AH12" s="736" t="s">
        <v>661</v>
      </c>
      <c r="AI12" s="749">
        <f t="shared" si="0"/>
        <v>0</v>
      </c>
      <c r="AJ12" s="749">
        <f t="shared" si="1"/>
        <v>0</v>
      </c>
      <c r="AK12" s="749">
        <f t="shared" si="2"/>
        <v>0</v>
      </c>
    </row>
    <row r="13" spans="1:37">
      <c r="A13" s="750"/>
      <c r="B13" s="724">
        <v>10</v>
      </c>
      <c r="C13" s="734" t="str">
        <f>SISWA!E15</f>
        <v>Anak 10</v>
      </c>
      <c r="D13" s="735"/>
      <c r="E13" s="735"/>
      <c r="F13" s="735"/>
      <c r="G13" s="735"/>
      <c r="H13" s="735"/>
      <c r="I13" s="735"/>
      <c r="J13" s="735"/>
      <c r="K13" s="735"/>
      <c r="L13" s="735"/>
      <c r="M13" s="735"/>
      <c r="N13" s="735"/>
      <c r="O13" s="735"/>
      <c r="P13" s="735"/>
      <c r="Q13" s="736" t="s">
        <v>661</v>
      </c>
      <c r="R13" s="736" t="s">
        <v>661</v>
      </c>
      <c r="S13" s="735"/>
      <c r="T13" s="736" t="s">
        <v>661</v>
      </c>
      <c r="U13" s="736" t="s">
        <v>661</v>
      </c>
      <c r="V13" s="736" t="s">
        <v>661</v>
      </c>
      <c r="W13" s="736" t="s">
        <v>661</v>
      </c>
      <c r="X13" s="736" t="s">
        <v>661</v>
      </c>
      <c r="Y13" s="736" t="s">
        <v>661</v>
      </c>
      <c r="Z13" s="735"/>
      <c r="AA13" s="735"/>
      <c r="AB13" s="735"/>
      <c r="AC13" s="735"/>
      <c r="AD13" s="735"/>
      <c r="AE13" s="735"/>
      <c r="AF13" s="735"/>
      <c r="AG13" s="735"/>
      <c r="AH13" s="736" t="s">
        <v>661</v>
      </c>
      <c r="AI13" s="749">
        <f t="shared" si="0"/>
        <v>0</v>
      </c>
      <c r="AJ13" s="749">
        <f t="shared" si="1"/>
        <v>0</v>
      </c>
      <c r="AK13" s="749">
        <f t="shared" si="2"/>
        <v>0</v>
      </c>
    </row>
    <row r="14" spans="1:37">
      <c r="A14" s="750"/>
      <c r="B14" s="724">
        <v>11</v>
      </c>
      <c r="C14" s="734" t="str">
        <f>SISWA!E16</f>
        <v>Anak 11</v>
      </c>
      <c r="D14" s="735"/>
      <c r="E14" s="735"/>
      <c r="F14" s="735"/>
      <c r="G14" s="735"/>
      <c r="H14" s="735"/>
      <c r="I14" s="735"/>
      <c r="J14" s="735"/>
      <c r="K14" s="735"/>
      <c r="L14" s="735"/>
      <c r="M14" s="735"/>
      <c r="N14" s="735"/>
      <c r="O14" s="735"/>
      <c r="P14" s="735"/>
      <c r="Q14" s="736" t="s">
        <v>661</v>
      </c>
      <c r="R14" s="736" t="s">
        <v>661</v>
      </c>
      <c r="S14" s="735"/>
      <c r="T14" s="736" t="s">
        <v>661</v>
      </c>
      <c r="U14" s="736" t="s">
        <v>661</v>
      </c>
      <c r="V14" s="736" t="s">
        <v>661</v>
      </c>
      <c r="W14" s="736" t="s">
        <v>661</v>
      </c>
      <c r="X14" s="736" t="s">
        <v>661</v>
      </c>
      <c r="Y14" s="736" t="s">
        <v>661</v>
      </c>
      <c r="Z14" s="735"/>
      <c r="AA14" s="735"/>
      <c r="AB14" s="735"/>
      <c r="AC14" s="735"/>
      <c r="AD14" s="735"/>
      <c r="AE14" s="735"/>
      <c r="AF14" s="735"/>
      <c r="AG14" s="735"/>
      <c r="AH14" s="736" t="s">
        <v>661</v>
      </c>
      <c r="AI14" s="749">
        <f t="shared" si="0"/>
        <v>0</v>
      </c>
      <c r="AJ14" s="749">
        <f t="shared" si="1"/>
        <v>0</v>
      </c>
      <c r="AK14" s="749">
        <f t="shared" si="2"/>
        <v>0</v>
      </c>
    </row>
    <row r="15" spans="1:37">
      <c r="A15" s="750"/>
      <c r="B15" s="724">
        <v>12</v>
      </c>
      <c r="C15" s="734" t="str">
        <f>SISWA!E17</f>
        <v>Anak 12</v>
      </c>
      <c r="D15" s="735"/>
      <c r="E15" s="735"/>
      <c r="F15" s="735"/>
      <c r="G15" s="735"/>
      <c r="H15" s="735"/>
      <c r="I15" s="735"/>
      <c r="J15" s="735"/>
      <c r="K15" s="735"/>
      <c r="L15" s="735"/>
      <c r="M15" s="735"/>
      <c r="N15" s="735"/>
      <c r="O15" s="735"/>
      <c r="P15" s="735"/>
      <c r="Q15" s="736" t="s">
        <v>661</v>
      </c>
      <c r="R15" s="736" t="s">
        <v>661</v>
      </c>
      <c r="S15" s="735"/>
      <c r="T15" s="736" t="s">
        <v>661</v>
      </c>
      <c r="U15" s="736" t="s">
        <v>661</v>
      </c>
      <c r="V15" s="736" t="s">
        <v>661</v>
      </c>
      <c r="W15" s="736" t="s">
        <v>661</v>
      </c>
      <c r="X15" s="736" t="s">
        <v>661</v>
      </c>
      <c r="Y15" s="736" t="s">
        <v>661</v>
      </c>
      <c r="Z15" s="735"/>
      <c r="AA15" s="735"/>
      <c r="AB15" s="735"/>
      <c r="AC15" s="735"/>
      <c r="AD15" s="735"/>
      <c r="AE15" s="735"/>
      <c r="AF15" s="735"/>
      <c r="AG15" s="735"/>
      <c r="AH15" s="736" t="s">
        <v>661</v>
      </c>
      <c r="AI15" s="749">
        <f t="shared" si="0"/>
        <v>0</v>
      </c>
      <c r="AJ15" s="749">
        <f t="shared" si="1"/>
        <v>0</v>
      </c>
      <c r="AK15" s="749">
        <f t="shared" si="2"/>
        <v>0</v>
      </c>
    </row>
    <row r="16" spans="1:37">
      <c r="A16" s="750"/>
      <c r="B16" s="724">
        <v>13</v>
      </c>
      <c r="C16" s="734" t="str">
        <f>SISWA!E18</f>
        <v>Anak 13</v>
      </c>
      <c r="D16" s="735"/>
      <c r="E16" s="735"/>
      <c r="F16" s="735"/>
      <c r="G16" s="735"/>
      <c r="H16" s="735"/>
      <c r="I16" s="735"/>
      <c r="J16" s="735"/>
      <c r="K16" s="735"/>
      <c r="L16" s="735"/>
      <c r="M16" s="735"/>
      <c r="N16" s="735"/>
      <c r="O16" s="735"/>
      <c r="P16" s="735"/>
      <c r="Q16" s="736" t="s">
        <v>661</v>
      </c>
      <c r="R16" s="736" t="s">
        <v>661</v>
      </c>
      <c r="S16" s="735"/>
      <c r="T16" s="736" t="s">
        <v>661</v>
      </c>
      <c r="U16" s="736" t="s">
        <v>661</v>
      </c>
      <c r="V16" s="736" t="s">
        <v>661</v>
      </c>
      <c r="W16" s="736" t="s">
        <v>661</v>
      </c>
      <c r="X16" s="736" t="s">
        <v>661</v>
      </c>
      <c r="Y16" s="736" t="s">
        <v>661</v>
      </c>
      <c r="Z16" s="735"/>
      <c r="AA16" s="735"/>
      <c r="AB16" s="735"/>
      <c r="AC16" s="735"/>
      <c r="AD16" s="735"/>
      <c r="AE16" s="735"/>
      <c r="AF16" s="735"/>
      <c r="AG16" s="735"/>
      <c r="AH16" s="736" t="s">
        <v>661</v>
      </c>
      <c r="AI16" s="749">
        <f t="shared" si="0"/>
        <v>0</v>
      </c>
      <c r="AJ16" s="749">
        <f t="shared" si="1"/>
        <v>0</v>
      </c>
      <c r="AK16" s="749">
        <f t="shared" si="2"/>
        <v>0</v>
      </c>
    </row>
    <row r="17" spans="1:37">
      <c r="A17" s="750"/>
      <c r="B17" s="724">
        <v>14</v>
      </c>
      <c r="C17" s="734" t="str">
        <f>SISWA!E19</f>
        <v>Anak 14</v>
      </c>
      <c r="D17" s="735"/>
      <c r="E17" s="735"/>
      <c r="F17" s="735"/>
      <c r="G17" s="735"/>
      <c r="H17" s="735"/>
      <c r="I17" s="735"/>
      <c r="J17" s="735"/>
      <c r="K17" s="735"/>
      <c r="L17" s="735"/>
      <c r="M17" s="735"/>
      <c r="N17" s="735"/>
      <c r="O17" s="735"/>
      <c r="P17" s="735"/>
      <c r="Q17" s="736" t="s">
        <v>661</v>
      </c>
      <c r="R17" s="736" t="s">
        <v>661</v>
      </c>
      <c r="S17" s="735"/>
      <c r="T17" s="736" t="s">
        <v>661</v>
      </c>
      <c r="U17" s="736" t="s">
        <v>661</v>
      </c>
      <c r="V17" s="736" t="s">
        <v>661</v>
      </c>
      <c r="W17" s="736" t="s">
        <v>661</v>
      </c>
      <c r="X17" s="736" t="s">
        <v>661</v>
      </c>
      <c r="Y17" s="736" t="s">
        <v>661</v>
      </c>
      <c r="Z17" s="735"/>
      <c r="AA17" s="735"/>
      <c r="AB17" s="735"/>
      <c r="AC17" s="735"/>
      <c r="AD17" s="735"/>
      <c r="AE17" s="735"/>
      <c r="AF17" s="735"/>
      <c r="AG17" s="735"/>
      <c r="AH17" s="736" t="s">
        <v>661</v>
      </c>
      <c r="AI17" s="749">
        <f t="shared" si="0"/>
        <v>0</v>
      </c>
      <c r="AJ17" s="749">
        <f t="shared" si="1"/>
        <v>0</v>
      </c>
      <c r="AK17" s="749">
        <f t="shared" si="2"/>
        <v>0</v>
      </c>
    </row>
    <row r="18" spans="1:37">
      <c r="A18" s="750"/>
      <c r="B18" s="724">
        <v>15</v>
      </c>
      <c r="C18" s="734" t="str">
        <f>SISWA!E20</f>
        <v>Anak 15</v>
      </c>
      <c r="D18" s="735"/>
      <c r="E18" s="735"/>
      <c r="F18" s="735"/>
      <c r="G18" s="735"/>
      <c r="H18" s="735"/>
      <c r="I18" s="735"/>
      <c r="J18" s="735"/>
      <c r="K18" s="735"/>
      <c r="L18" s="735"/>
      <c r="M18" s="735"/>
      <c r="N18" s="735"/>
      <c r="O18" s="735"/>
      <c r="P18" s="735"/>
      <c r="Q18" s="736" t="s">
        <v>661</v>
      </c>
      <c r="R18" s="736" t="s">
        <v>661</v>
      </c>
      <c r="S18" s="735"/>
      <c r="T18" s="736" t="s">
        <v>661</v>
      </c>
      <c r="U18" s="736" t="s">
        <v>661</v>
      </c>
      <c r="V18" s="736" t="s">
        <v>661</v>
      </c>
      <c r="W18" s="736" t="s">
        <v>661</v>
      </c>
      <c r="X18" s="736" t="s">
        <v>661</v>
      </c>
      <c r="Y18" s="736" t="s">
        <v>661</v>
      </c>
      <c r="Z18" s="735"/>
      <c r="AA18" s="735"/>
      <c r="AB18" s="735"/>
      <c r="AC18" s="735"/>
      <c r="AD18" s="735"/>
      <c r="AE18" s="735"/>
      <c r="AF18" s="735"/>
      <c r="AG18" s="735"/>
      <c r="AH18" s="736" t="s">
        <v>661</v>
      </c>
      <c r="AI18" s="749">
        <f t="shared" si="0"/>
        <v>0</v>
      </c>
      <c r="AJ18" s="749">
        <f t="shared" si="1"/>
        <v>0</v>
      </c>
      <c r="AK18" s="749">
        <f t="shared" si="2"/>
        <v>0</v>
      </c>
    </row>
    <row r="19" spans="1:37">
      <c r="A19" s="750"/>
      <c r="B19" s="724">
        <v>16</v>
      </c>
      <c r="C19" s="734" t="str">
        <f>SISWA!E21</f>
        <v>Anak 16</v>
      </c>
      <c r="D19" s="735"/>
      <c r="E19" s="735"/>
      <c r="F19" s="735"/>
      <c r="G19" s="735"/>
      <c r="H19" s="735"/>
      <c r="I19" s="735"/>
      <c r="J19" s="735"/>
      <c r="K19" s="735"/>
      <c r="L19" s="735"/>
      <c r="M19" s="735"/>
      <c r="N19" s="735"/>
      <c r="O19" s="735"/>
      <c r="P19" s="735"/>
      <c r="Q19" s="736" t="s">
        <v>661</v>
      </c>
      <c r="R19" s="736" t="s">
        <v>661</v>
      </c>
      <c r="S19" s="735"/>
      <c r="T19" s="736" t="s">
        <v>661</v>
      </c>
      <c r="U19" s="736" t="s">
        <v>661</v>
      </c>
      <c r="V19" s="736" t="s">
        <v>661</v>
      </c>
      <c r="W19" s="736" t="s">
        <v>661</v>
      </c>
      <c r="X19" s="736" t="s">
        <v>661</v>
      </c>
      <c r="Y19" s="736" t="s">
        <v>661</v>
      </c>
      <c r="Z19" s="735"/>
      <c r="AA19" s="735"/>
      <c r="AB19" s="735"/>
      <c r="AC19" s="735"/>
      <c r="AD19" s="735"/>
      <c r="AE19" s="735"/>
      <c r="AF19" s="735"/>
      <c r="AG19" s="735"/>
      <c r="AH19" s="736" t="s">
        <v>661</v>
      </c>
      <c r="AI19" s="749">
        <f t="shared" si="0"/>
        <v>0</v>
      </c>
      <c r="AJ19" s="749">
        <f t="shared" si="1"/>
        <v>0</v>
      </c>
      <c r="AK19" s="749">
        <f t="shared" si="2"/>
        <v>0</v>
      </c>
    </row>
    <row r="20" spans="1:37">
      <c r="A20" s="750"/>
      <c r="B20" s="724">
        <v>17</v>
      </c>
      <c r="C20" s="734" t="str">
        <f>SISWA!E22</f>
        <v>Anak 17</v>
      </c>
      <c r="D20" s="735"/>
      <c r="E20" s="735"/>
      <c r="F20" s="735"/>
      <c r="G20" s="735"/>
      <c r="H20" s="735"/>
      <c r="I20" s="735"/>
      <c r="J20" s="735"/>
      <c r="K20" s="735"/>
      <c r="L20" s="735"/>
      <c r="M20" s="735"/>
      <c r="N20" s="735"/>
      <c r="O20" s="735"/>
      <c r="P20" s="735"/>
      <c r="Q20" s="736" t="s">
        <v>661</v>
      </c>
      <c r="R20" s="736" t="s">
        <v>661</v>
      </c>
      <c r="S20" s="735"/>
      <c r="T20" s="736" t="s">
        <v>661</v>
      </c>
      <c r="U20" s="736" t="s">
        <v>661</v>
      </c>
      <c r="V20" s="736" t="s">
        <v>661</v>
      </c>
      <c r="W20" s="736" t="s">
        <v>661</v>
      </c>
      <c r="X20" s="736" t="s">
        <v>661</v>
      </c>
      <c r="Y20" s="736" t="s">
        <v>661</v>
      </c>
      <c r="Z20" s="735"/>
      <c r="AA20" s="735"/>
      <c r="AB20" s="735"/>
      <c r="AC20" s="735"/>
      <c r="AD20" s="735"/>
      <c r="AE20" s="735"/>
      <c r="AF20" s="735"/>
      <c r="AG20" s="735"/>
      <c r="AH20" s="736" t="s">
        <v>661</v>
      </c>
      <c r="AI20" s="749">
        <f t="shared" si="0"/>
        <v>0</v>
      </c>
      <c r="AJ20" s="749">
        <f t="shared" si="1"/>
        <v>0</v>
      </c>
      <c r="AK20" s="749">
        <f t="shared" si="2"/>
        <v>0</v>
      </c>
    </row>
    <row r="21" spans="1:37">
      <c r="A21" s="750"/>
      <c r="B21" s="724">
        <v>18</v>
      </c>
      <c r="C21" s="734" t="str">
        <f>SISWA!E23</f>
        <v>Anak 18</v>
      </c>
      <c r="D21" s="735"/>
      <c r="E21" s="735"/>
      <c r="F21" s="735"/>
      <c r="G21" s="735"/>
      <c r="H21" s="735"/>
      <c r="I21" s="735"/>
      <c r="J21" s="735"/>
      <c r="K21" s="735"/>
      <c r="L21" s="735"/>
      <c r="M21" s="735"/>
      <c r="N21" s="735"/>
      <c r="O21" s="735"/>
      <c r="P21" s="735"/>
      <c r="Q21" s="736" t="s">
        <v>661</v>
      </c>
      <c r="R21" s="736" t="s">
        <v>661</v>
      </c>
      <c r="S21" s="735"/>
      <c r="T21" s="736" t="s">
        <v>661</v>
      </c>
      <c r="U21" s="736" t="s">
        <v>661</v>
      </c>
      <c r="V21" s="736" t="s">
        <v>661</v>
      </c>
      <c r="W21" s="736" t="s">
        <v>661</v>
      </c>
      <c r="X21" s="736" t="s">
        <v>661</v>
      </c>
      <c r="Y21" s="736" t="s">
        <v>661</v>
      </c>
      <c r="Z21" s="735"/>
      <c r="AA21" s="735"/>
      <c r="AB21" s="735"/>
      <c r="AC21" s="735"/>
      <c r="AD21" s="735"/>
      <c r="AE21" s="735"/>
      <c r="AF21" s="735"/>
      <c r="AG21" s="735"/>
      <c r="AH21" s="736" t="s">
        <v>661</v>
      </c>
      <c r="AI21" s="749">
        <f t="shared" si="0"/>
        <v>0</v>
      </c>
      <c r="AJ21" s="749">
        <f t="shared" si="1"/>
        <v>0</v>
      </c>
      <c r="AK21" s="749">
        <f t="shared" si="2"/>
        <v>0</v>
      </c>
    </row>
    <row r="22" spans="1:37">
      <c r="A22" s="750"/>
      <c r="B22" s="724">
        <v>19</v>
      </c>
      <c r="C22" s="734" t="str">
        <f>SISWA!E24</f>
        <v>Anak 19</v>
      </c>
      <c r="D22" s="735"/>
      <c r="E22" s="735"/>
      <c r="F22" s="735"/>
      <c r="G22" s="735"/>
      <c r="H22" s="735"/>
      <c r="I22" s="735"/>
      <c r="J22" s="735"/>
      <c r="K22" s="735"/>
      <c r="L22" s="735"/>
      <c r="M22" s="735"/>
      <c r="N22" s="735"/>
      <c r="O22" s="735"/>
      <c r="P22" s="735"/>
      <c r="Q22" s="736" t="s">
        <v>661</v>
      </c>
      <c r="R22" s="736" t="s">
        <v>661</v>
      </c>
      <c r="S22" s="735"/>
      <c r="T22" s="736" t="s">
        <v>661</v>
      </c>
      <c r="U22" s="736" t="s">
        <v>661</v>
      </c>
      <c r="V22" s="736" t="s">
        <v>661</v>
      </c>
      <c r="W22" s="736" t="s">
        <v>661</v>
      </c>
      <c r="X22" s="736" t="s">
        <v>661</v>
      </c>
      <c r="Y22" s="736" t="s">
        <v>661</v>
      </c>
      <c r="Z22" s="735"/>
      <c r="AA22" s="735"/>
      <c r="AB22" s="735"/>
      <c r="AC22" s="735"/>
      <c r="AD22" s="735"/>
      <c r="AE22" s="735"/>
      <c r="AF22" s="735"/>
      <c r="AG22" s="735"/>
      <c r="AH22" s="736" t="s">
        <v>661</v>
      </c>
      <c r="AI22" s="749">
        <f t="shared" si="0"/>
        <v>0</v>
      </c>
      <c r="AJ22" s="749">
        <f t="shared" si="1"/>
        <v>0</v>
      </c>
      <c r="AK22" s="749">
        <f t="shared" si="2"/>
        <v>0</v>
      </c>
    </row>
    <row r="23" spans="1:37">
      <c r="A23" s="750"/>
      <c r="B23" s="724">
        <v>20</v>
      </c>
      <c r="C23" s="734" t="str">
        <f>SISWA!E25</f>
        <v>Anak 20</v>
      </c>
      <c r="D23" s="735"/>
      <c r="E23" s="735"/>
      <c r="F23" s="735"/>
      <c r="G23" s="735"/>
      <c r="H23" s="735"/>
      <c r="I23" s="735"/>
      <c r="J23" s="735"/>
      <c r="K23" s="735"/>
      <c r="L23" s="735"/>
      <c r="M23" s="735"/>
      <c r="N23" s="735"/>
      <c r="O23" s="735"/>
      <c r="P23" s="735"/>
      <c r="Q23" s="736" t="s">
        <v>661</v>
      </c>
      <c r="R23" s="736" t="s">
        <v>661</v>
      </c>
      <c r="S23" s="735"/>
      <c r="T23" s="736" t="s">
        <v>661</v>
      </c>
      <c r="U23" s="736" t="s">
        <v>661</v>
      </c>
      <c r="V23" s="736" t="s">
        <v>661</v>
      </c>
      <c r="W23" s="736" t="s">
        <v>661</v>
      </c>
      <c r="X23" s="736" t="s">
        <v>661</v>
      </c>
      <c r="Y23" s="736" t="s">
        <v>661</v>
      </c>
      <c r="Z23" s="735"/>
      <c r="AA23" s="735"/>
      <c r="AB23" s="735"/>
      <c r="AC23" s="735"/>
      <c r="AD23" s="735"/>
      <c r="AE23" s="735"/>
      <c r="AF23" s="735"/>
      <c r="AG23" s="735"/>
      <c r="AH23" s="736" t="s">
        <v>661</v>
      </c>
      <c r="AI23" s="749">
        <f t="shared" si="0"/>
        <v>0</v>
      </c>
      <c r="AJ23" s="749">
        <f t="shared" si="1"/>
        <v>0</v>
      </c>
      <c r="AK23" s="749">
        <f t="shared" si="2"/>
        <v>0</v>
      </c>
    </row>
    <row r="24" spans="1:37">
      <c r="A24" s="750"/>
      <c r="B24" s="724">
        <v>21</v>
      </c>
      <c r="C24" s="734" t="str">
        <f>SISWA!E26</f>
        <v>Anak 21</v>
      </c>
      <c r="D24" s="735"/>
      <c r="E24" s="735"/>
      <c r="F24" s="735"/>
      <c r="G24" s="735"/>
      <c r="H24" s="735"/>
      <c r="I24" s="735"/>
      <c r="J24" s="735"/>
      <c r="K24" s="735"/>
      <c r="L24" s="735"/>
      <c r="M24" s="735"/>
      <c r="N24" s="735"/>
      <c r="O24" s="735"/>
      <c r="P24" s="735"/>
      <c r="Q24" s="736" t="s">
        <v>661</v>
      </c>
      <c r="R24" s="736" t="s">
        <v>661</v>
      </c>
      <c r="S24" s="735"/>
      <c r="T24" s="736" t="s">
        <v>661</v>
      </c>
      <c r="U24" s="736" t="s">
        <v>661</v>
      </c>
      <c r="V24" s="736" t="s">
        <v>661</v>
      </c>
      <c r="W24" s="736" t="s">
        <v>661</v>
      </c>
      <c r="X24" s="736" t="s">
        <v>661</v>
      </c>
      <c r="Y24" s="736" t="s">
        <v>661</v>
      </c>
      <c r="Z24" s="735"/>
      <c r="AA24" s="735"/>
      <c r="AB24" s="735"/>
      <c r="AC24" s="735"/>
      <c r="AD24" s="735"/>
      <c r="AE24" s="735"/>
      <c r="AF24" s="735"/>
      <c r="AG24" s="735"/>
      <c r="AH24" s="736" t="s">
        <v>661</v>
      </c>
      <c r="AI24" s="749">
        <f t="shared" si="0"/>
        <v>0</v>
      </c>
      <c r="AJ24" s="749">
        <f t="shared" si="1"/>
        <v>0</v>
      </c>
      <c r="AK24" s="749">
        <f t="shared" si="2"/>
        <v>0</v>
      </c>
    </row>
    <row r="25" spans="1:37">
      <c r="A25" s="750"/>
      <c r="B25" s="724">
        <v>22</v>
      </c>
      <c r="C25" s="734" t="str">
        <f>SISWA!E27</f>
        <v>Anak 22</v>
      </c>
      <c r="D25" s="735"/>
      <c r="E25" s="735"/>
      <c r="F25" s="735"/>
      <c r="G25" s="735"/>
      <c r="H25" s="735"/>
      <c r="I25" s="735"/>
      <c r="J25" s="735"/>
      <c r="K25" s="735"/>
      <c r="L25" s="735"/>
      <c r="M25" s="735"/>
      <c r="N25" s="735"/>
      <c r="O25" s="735"/>
      <c r="P25" s="735"/>
      <c r="Q25" s="736" t="s">
        <v>661</v>
      </c>
      <c r="R25" s="736" t="s">
        <v>661</v>
      </c>
      <c r="S25" s="735"/>
      <c r="T25" s="736" t="s">
        <v>661</v>
      </c>
      <c r="U25" s="736" t="s">
        <v>661</v>
      </c>
      <c r="V25" s="736" t="s">
        <v>661</v>
      </c>
      <c r="W25" s="736" t="s">
        <v>661</v>
      </c>
      <c r="X25" s="736" t="s">
        <v>661</v>
      </c>
      <c r="Y25" s="736" t="s">
        <v>661</v>
      </c>
      <c r="Z25" s="735"/>
      <c r="AA25" s="735"/>
      <c r="AB25" s="735"/>
      <c r="AC25" s="735"/>
      <c r="AD25" s="735"/>
      <c r="AE25" s="735"/>
      <c r="AF25" s="735"/>
      <c r="AG25" s="735"/>
      <c r="AH25" s="736" t="s">
        <v>661</v>
      </c>
      <c r="AI25" s="749">
        <f t="shared" si="0"/>
        <v>0</v>
      </c>
      <c r="AJ25" s="749">
        <f t="shared" si="1"/>
        <v>0</v>
      </c>
      <c r="AK25" s="749">
        <f t="shared" si="2"/>
        <v>0</v>
      </c>
    </row>
    <row r="26" spans="1:37">
      <c r="A26" s="750"/>
      <c r="B26" s="724">
        <v>23</v>
      </c>
      <c r="C26" s="734" t="str">
        <f>SISWA!E28</f>
        <v>Anak 23</v>
      </c>
      <c r="D26" s="735"/>
      <c r="E26" s="735"/>
      <c r="F26" s="735"/>
      <c r="G26" s="735"/>
      <c r="H26" s="735"/>
      <c r="I26" s="735"/>
      <c r="J26" s="735"/>
      <c r="K26" s="735"/>
      <c r="L26" s="735"/>
      <c r="M26" s="735"/>
      <c r="N26" s="735"/>
      <c r="O26" s="735"/>
      <c r="P26" s="735"/>
      <c r="Q26" s="736" t="s">
        <v>661</v>
      </c>
      <c r="R26" s="736" t="s">
        <v>661</v>
      </c>
      <c r="S26" s="735"/>
      <c r="T26" s="736" t="s">
        <v>661</v>
      </c>
      <c r="U26" s="736" t="s">
        <v>661</v>
      </c>
      <c r="V26" s="736" t="s">
        <v>661</v>
      </c>
      <c r="W26" s="736" t="s">
        <v>661</v>
      </c>
      <c r="X26" s="736" t="s">
        <v>661</v>
      </c>
      <c r="Y26" s="736" t="s">
        <v>661</v>
      </c>
      <c r="Z26" s="735"/>
      <c r="AA26" s="735"/>
      <c r="AB26" s="735"/>
      <c r="AC26" s="735"/>
      <c r="AD26" s="735"/>
      <c r="AE26" s="735"/>
      <c r="AF26" s="735"/>
      <c r="AG26" s="735"/>
      <c r="AH26" s="736" t="s">
        <v>661</v>
      </c>
      <c r="AI26" s="749">
        <f t="shared" si="0"/>
        <v>0</v>
      </c>
      <c r="AJ26" s="749">
        <f t="shared" si="1"/>
        <v>0</v>
      </c>
      <c r="AK26" s="749">
        <f t="shared" si="2"/>
        <v>0</v>
      </c>
    </row>
    <row r="27" spans="1:37">
      <c r="A27" s="750"/>
      <c r="B27" s="724">
        <v>24</v>
      </c>
      <c r="C27" s="734" t="str">
        <f>SISWA!E29</f>
        <v>Anak 24</v>
      </c>
      <c r="D27" s="735"/>
      <c r="E27" s="735"/>
      <c r="F27" s="735"/>
      <c r="G27" s="735"/>
      <c r="H27" s="735"/>
      <c r="I27" s="735"/>
      <c r="J27" s="735"/>
      <c r="K27" s="735"/>
      <c r="L27" s="735"/>
      <c r="M27" s="735"/>
      <c r="N27" s="735"/>
      <c r="O27" s="735"/>
      <c r="P27" s="735"/>
      <c r="Q27" s="736" t="s">
        <v>661</v>
      </c>
      <c r="R27" s="736" t="s">
        <v>661</v>
      </c>
      <c r="S27" s="735"/>
      <c r="T27" s="736" t="s">
        <v>661</v>
      </c>
      <c r="U27" s="736" t="s">
        <v>661</v>
      </c>
      <c r="V27" s="736" t="s">
        <v>661</v>
      </c>
      <c r="W27" s="736" t="s">
        <v>661</v>
      </c>
      <c r="X27" s="736" t="s">
        <v>661</v>
      </c>
      <c r="Y27" s="736" t="s">
        <v>661</v>
      </c>
      <c r="Z27" s="735"/>
      <c r="AA27" s="735"/>
      <c r="AB27" s="735"/>
      <c r="AC27" s="735"/>
      <c r="AD27" s="735"/>
      <c r="AE27" s="735"/>
      <c r="AF27" s="735"/>
      <c r="AG27" s="735"/>
      <c r="AH27" s="736" t="s">
        <v>661</v>
      </c>
      <c r="AI27" s="749">
        <f t="shared" si="0"/>
        <v>0</v>
      </c>
      <c r="AJ27" s="749">
        <f t="shared" si="1"/>
        <v>0</v>
      </c>
      <c r="AK27" s="749">
        <f t="shared" si="2"/>
        <v>0</v>
      </c>
    </row>
    <row r="28" spans="1:37">
      <c r="A28" s="750"/>
      <c r="B28" s="724">
        <v>25</v>
      </c>
      <c r="C28" s="734" t="str">
        <f>SISWA!E30</f>
        <v>Anak 25</v>
      </c>
      <c r="D28" s="735"/>
      <c r="E28" s="735"/>
      <c r="F28" s="735"/>
      <c r="G28" s="735"/>
      <c r="H28" s="735"/>
      <c r="I28" s="735"/>
      <c r="J28" s="735"/>
      <c r="K28" s="735"/>
      <c r="L28" s="735"/>
      <c r="M28" s="735"/>
      <c r="N28" s="735"/>
      <c r="O28" s="735"/>
      <c r="P28" s="735"/>
      <c r="Q28" s="736" t="s">
        <v>661</v>
      </c>
      <c r="R28" s="736" t="s">
        <v>661</v>
      </c>
      <c r="S28" s="735"/>
      <c r="T28" s="736" t="s">
        <v>661</v>
      </c>
      <c r="U28" s="736" t="s">
        <v>661</v>
      </c>
      <c r="V28" s="736" t="s">
        <v>661</v>
      </c>
      <c r="W28" s="736" t="s">
        <v>661</v>
      </c>
      <c r="X28" s="736" t="s">
        <v>661</v>
      </c>
      <c r="Y28" s="736" t="s">
        <v>661</v>
      </c>
      <c r="Z28" s="735"/>
      <c r="AA28" s="735"/>
      <c r="AB28" s="735"/>
      <c r="AC28" s="735"/>
      <c r="AD28" s="735"/>
      <c r="AE28" s="735"/>
      <c r="AF28" s="735"/>
      <c r="AG28" s="735"/>
      <c r="AH28" s="736" t="s">
        <v>661</v>
      </c>
      <c r="AI28" s="749">
        <f t="shared" si="0"/>
        <v>0</v>
      </c>
      <c r="AJ28" s="749">
        <f t="shared" si="1"/>
        <v>0</v>
      </c>
      <c r="AK28" s="749">
        <f t="shared" si="2"/>
        <v>0</v>
      </c>
    </row>
    <row r="29" spans="1:37">
      <c r="A29" s="750"/>
      <c r="B29" s="724">
        <v>26</v>
      </c>
      <c r="C29" s="734" t="str">
        <f>SISWA!E31</f>
        <v>Anak 26</v>
      </c>
      <c r="D29" s="735"/>
      <c r="E29" s="735"/>
      <c r="F29" s="735"/>
      <c r="G29" s="735"/>
      <c r="H29" s="735"/>
      <c r="I29" s="735"/>
      <c r="J29" s="735"/>
      <c r="K29" s="735"/>
      <c r="L29" s="735"/>
      <c r="M29" s="735"/>
      <c r="N29" s="735"/>
      <c r="O29" s="735"/>
      <c r="P29" s="735"/>
      <c r="Q29" s="736" t="s">
        <v>661</v>
      </c>
      <c r="R29" s="736" t="s">
        <v>661</v>
      </c>
      <c r="S29" s="735"/>
      <c r="T29" s="736" t="s">
        <v>661</v>
      </c>
      <c r="U29" s="736" t="s">
        <v>661</v>
      </c>
      <c r="V29" s="736" t="s">
        <v>661</v>
      </c>
      <c r="W29" s="736" t="s">
        <v>661</v>
      </c>
      <c r="X29" s="736" t="s">
        <v>661</v>
      </c>
      <c r="Y29" s="736" t="s">
        <v>661</v>
      </c>
      <c r="Z29" s="735"/>
      <c r="AA29" s="735"/>
      <c r="AB29" s="735"/>
      <c r="AC29" s="735"/>
      <c r="AD29" s="735"/>
      <c r="AE29" s="735"/>
      <c r="AF29" s="735"/>
      <c r="AG29" s="735"/>
      <c r="AH29" s="736" t="s">
        <v>661</v>
      </c>
      <c r="AI29" s="749">
        <f t="shared" si="0"/>
        <v>0</v>
      </c>
      <c r="AJ29" s="749">
        <f t="shared" si="1"/>
        <v>0</v>
      </c>
      <c r="AK29" s="749">
        <f t="shared" si="2"/>
        <v>0</v>
      </c>
    </row>
    <row r="30" spans="1:37">
      <c r="A30" s="750"/>
      <c r="B30" s="724">
        <v>27</v>
      </c>
      <c r="C30" s="734" t="str">
        <f>SISWA!E32</f>
        <v>Anak 27</v>
      </c>
      <c r="D30" s="735"/>
      <c r="E30" s="735"/>
      <c r="F30" s="735"/>
      <c r="G30" s="735"/>
      <c r="H30" s="735"/>
      <c r="I30" s="735"/>
      <c r="J30" s="735"/>
      <c r="K30" s="735"/>
      <c r="L30" s="735"/>
      <c r="M30" s="735"/>
      <c r="N30" s="735"/>
      <c r="O30" s="735"/>
      <c r="P30" s="735"/>
      <c r="Q30" s="736" t="s">
        <v>661</v>
      </c>
      <c r="R30" s="736" t="s">
        <v>661</v>
      </c>
      <c r="S30" s="735"/>
      <c r="T30" s="736" t="s">
        <v>661</v>
      </c>
      <c r="U30" s="736" t="s">
        <v>661</v>
      </c>
      <c r="V30" s="736" t="s">
        <v>661</v>
      </c>
      <c r="W30" s="736" t="s">
        <v>661</v>
      </c>
      <c r="X30" s="736" t="s">
        <v>661</v>
      </c>
      <c r="Y30" s="736" t="s">
        <v>661</v>
      </c>
      <c r="Z30" s="735"/>
      <c r="AA30" s="735"/>
      <c r="AB30" s="735"/>
      <c r="AC30" s="735"/>
      <c r="AD30" s="735"/>
      <c r="AE30" s="735"/>
      <c r="AF30" s="735"/>
      <c r="AG30" s="735"/>
      <c r="AH30" s="736" t="s">
        <v>661</v>
      </c>
      <c r="AI30" s="749">
        <f t="shared" si="0"/>
        <v>0</v>
      </c>
      <c r="AJ30" s="749">
        <f t="shared" si="1"/>
        <v>0</v>
      </c>
      <c r="AK30" s="749">
        <f t="shared" si="2"/>
        <v>0</v>
      </c>
    </row>
    <row r="31" spans="1:37">
      <c r="A31" s="750"/>
      <c r="B31" s="724">
        <v>28</v>
      </c>
      <c r="C31" s="734" t="str">
        <f>SISWA!E33</f>
        <v>Anak 28</v>
      </c>
      <c r="D31" s="735"/>
      <c r="E31" s="735"/>
      <c r="F31" s="735"/>
      <c r="G31" s="735"/>
      <c r="H31" s="735"/>
      <c r="I31" s="735"/>
      <c r="J31" s="735"/>
      <c r="K31" s="735"/>
      <c r="L31" s="735"/>
      <c r="M31" s="735"/>
      <c r="N31" s="735"/>
      <c r="O31" s="735"/>
      <c r="P31" s="735"/>
      <c r="Q31" s="736" t="s">
        <v>661</v>
      </c>
      <c r="R31" s="736" t="s">
        <v>661</v>
      </c>
      <c r="S31" s="735"/>
      <c r="T31" s="736" t="s">
        <v>661</v>
      </c>
      <c r="U31" s="736" t="s">
        <v>661</v>
      </c>
      <c r="V31" s="736" t="s">
        <v>661</v>
      </c>
      <c r="W31" s="736" t="s">
        <v>661</v>
      </c>
      <c r="X31" s="736" t="s">
        <v>661</v>
      </c>
      <c r="Y31" s="736" t="s">
        <v>661</v>
      </c>
      <c r="Z31" s="735"/>
      <c r="AA31" s="735"/>
      <c r="AB31" s="735"/>
      <c r="AC31" s="735"/>
      <c r="AD31" s="735"/>
      <c r="AE31" s="735"/>
      <c r="AF31" s="735"/>
      <c r="AG31" s="735"/>
      <c r="AH31" s="736" t="s">
        <v>661</v>
      </c>
      <c r="AI31" s="749">
        <f t="shared" si="0"/>
        <v>0</v>
      </c>
      <c r="AJ31" s="749">
        <f t="shared" si="1"/>
        <v>0</v>
      </c>
      <c r="AK31" s="749">
        <f t="shared" si="2"/>
        <v>0</v>
      </c>
    </row>
    <row r="32" spans="1:37">
      <c r="A32" s="750"/>
      <c r="B32" s="724">
        <v>29</v>
      </c>
      <c r="C32" s="734" t="str">
        <f>SISWA!E34</f>
        <v>Anak 29</v>
      </c>
      <c r="D32" s="735"/>
      <c r="E32" s="735"/>
      <c r="F32" s="735"/>
      <c r="G32" s="735"/>
      <c r="H32" s="735"/>
      <c r="I32" s="735"/>
      <c r="J32" s="735"/>
      <c r="K32" s="735"/>
      <c r="L32" s="735"/>
      <c r="M32" s="735"/>
      <c r="N32" s="735"/>
      <c r="O32" s="735"/>
      <c r="P32" s="735"/>
      <c r="Q32" s="736" t="s">
        <v>661</v>
      </c>
      <c r="R32" s="736" t="s">
        <v>661</v>
      </c>
      <c r="S32" s="735"/>
      <c r="T32" s="736" t="s">
        <v>661</v>
      </c>
      <c r="U32" s="736" t="s">
        <v>661</v>
      </c>
      <c r="V32" s="736" t="s">
        <v>661</v>
      </c>
      <c r="W32" s="736" t="s">
        <v>661</v>
      </c>
      <c r="X32" s="736" t="s">
        <v>661</v>
      </c>
      <c r="Y32" s="736" t="s">
        <v>661</v>
      </c>
      <c r="Z32" s="735"/>
      <c r="AA32" s="735"/>
      <c r="AB32" s="735"/>
      <c r="AC32" s="735"/>
      <c r="AD32" s="735"/>
      <c r="AE32" s="735"/>
      <c r="AF32" s="735"/>
      <c r="AG32" s="735"/>
      <c r="AH32" s="736" t="s">
        <v>661</v>
      </c>
      <c r="AI32" s="749">
        <f t="shared" si="0"/>
        <v>0</v>
      </c>
      <c r="AJ32" s="749">
        <f t="shared" si="1"/>
        <v>0</v>
      </c>
      <c r="AK32" s="749">
        <f t="shared" si="2"/>
        <v>0</v>
      </c>
    </row>
    <row r="33" spans="1:37">
      <c r="A33" s="750"/>
      <c r="B33" s="724">
        <v>30</v>
      </c>
      <c r="C33" s="734" t="str">
        <f>SISWA!E35</f>
        <v>Anak 30</v>
      </c>
      <c r="D33" s="735"/>
      <c r="E33" s="735"/>
      <c r="F33" s="735"/>
      <c r="G33" s="735"/>
      <c r="H33" s="735"/>
      <c r="I33" s="735"/>
      <c r="J33" s="735"/>
      <c r="K33" s="735"/>
      <c r="L33" s="735"/>
      <c r="M33" s="735"/>
      <c r="N33" s="735"/>
      <c r="O33" s="735"/>
      <c r="P33" s="735"/>
      <c r="Q33" s="736" t="s">
        <v>661</v>
      </c>
      <c r="R33" s="736" t="s">
        <v>661</v>
      </c>
      <c r="S33" s="735"/>
      <c r="T33" s="736" t="s">
        <v>661</v>
      </c>
      <c r="U33" s="736" t="s">
        <v>661</v>
      </c>
      <c r="V33" s="736" t="s">
        <v>661</v>
      </c>
      <c r="W33" s="736" t="s">
        <v>661</v>
      </c>
      <c r="X33" s="736" t="s">
        <v>661</v>
      </c>
      <c r="Y33" s="736" t="s">
        <v>661</v>
      </c>
      <c r="Z33" s="735"/>
      <c r="AA33" s="735"/>
      <c r="AB33" s="735"/>
      <c r="AC33" s="735"/>
      <c r="AD33" s="735"/>
      <c r="AE33" s="735"/>
      <c r="AF33" s="735"/>
      <c r="AG33" s="735"/>
      <c r="AH33" s="736" t="s">
        <v>661</v>
      </c>
      <c r="AI33" s="749">
        <f t="shared" si="0"/>
        <v>0</v>
      </c>
      <c r="AJ33" s="749">
        <f t="shared" si="1"/>
        <v>0</v>
      </c>
      <c r="AK33" s="749">
        <f t="shared" si="2"/>
        <v>0</v>
      </c>
    </row>
    <row r="34" spans="1:37">
      <c r="A34" s="750"/>
      <c r="B34" s="724">
        <v>31</v>
      </c>
      <c r="C34" s="734" t="str">
        <f>SISWA!E36</f>
        <v>Anak 31</v>
      </c>
      <c r="D34" s="735"/>
      <c r="E34" s="735"/>
      <c r="F34" s="735"/>
      <c r="G34" s="735"/>
      <c r="H34" s="735"/>
      <c r="I34" s="735"/>
      <c r="J34" s="735"/>
      <c r="K34" s="735"/>
      <c r="L34" s="735"/>
      <c r="M34" s="735"/>
      <c r="N34" s="735"/>
      <c r="O34" s="735"/>
      <c r="P34" s="735"/>
      <c r="Q34" s="736" t="s">
        <v>661</v>
      </c>
      <c r="R34" s="736" t="s">
        <v>661</v>
      </c>
      <c r="S34" s="735"/>
      <c r="T34" s="736" t="s">
        <v>661</v>
      </c>
      <c r="U34" s="736" t="s">
        <v>661</v>
      </c>
      <c r="V34" s="736" t="s">
        <v>661</v>
      </c>
      <c r="W34" s="736" t="s">
        <v>661</v>
      </c>
      <c r="X34" s="736" t="s">
        <v>661</v>
      </c>
      <c r="Y34" s="736" t="s">
        <v>661</v>
      </c>
      <c r="Z34" s="735"/>
      <c r="AA34" s="735"/>
      <c r="AB34" s="735"/>
      <c r="AC34" s="735"/>
      <c r="AD34" s="735"/>
      <c r="AE34" s="735"/>
      <c r="AF34" s="735"/>
      <c r="AG34" s="735"/>
      <c r="AH34" s="736" t="s">
        <v>661</v>
      </c>
      <c r="AI34" s="749">
        <f t="shared" si="0"/>
        <v>0</v>
      </c>
      <c r="AJ34" s="749">
        <f t="shared" si="1"/>
        <v>0</v>
      </c>
      <c r="AK34" s="749">
        <f t="shared" si="2"/>
        <v>0</v>
      </c>
    </row>
    <row r="35" spans="1:37">
      <c r="A35" s="750"/>
      <c r="B35" s="724">
        <v>32</v>
      </c>
      <c r="C35" s="734" t="str">
        <f>SISWA!E37</f>
        <v>Anak 32</v>
      </c>
      <c r="D35" s="735"/>
      <c r="E35" s="735"/>
      <c r="F35" s="735"/>
      <c r="G35" s="735"/>
      <c r="H35" s="735"/>
      <c r="I35" s="735"/>
      <c r="J35" s="735"/>
      <c r="K35" s="735"/>
      <c r="L35" s="735"/>
      <c r="M35" s="735"/>
      <c r="N35" s="735"/>
      <c r="O35" s="735"/>
      <c r="P35" s="735"/>
      <c r="Q35" s="736" t="s">
        <v>661</v>
      </c>
      <c r="R35" s="736" t="s">
        <v>661</v>
      </c>
      <c r="S35" s="735"/>
      <c r="T35" s="736" t="s">
        <v>661</v>
      </c>
      <c r="U35" s="736" t="s">
        <v>661</v>
      </c>
      <c r="V35" s="736" t="s">
        <v>661</v>
      </c>
      <c r="W35" s="736" t="s">
        <v>661</v>
      </c>
      <c r="X35" s="736" t="s">
        <v>661</v>
      </c>
      <c r="Y35" s="736" t="s">
        <v>661</v>
      </c>
      <c r="Z35" s="735"/>
      <c r="AA35" s="735"/>
      <c r="AB35" s="735"/>
      <c r="AC35" s="735"/>
      <c r="AD35" s="735"/>
      <c r="AE35" s="735"/>
      <c r="AF35" s="735"/>
      <c r="AG35" s="735"/>
      <c r="AH35" s="736" t="s">
        <v>661</v>
      </c>
      <c r="AI35" s="749">
        <f t="shared" si="0"/>
        <v>0</v>
      </c>
      <c r="AJ35" s="749">
        <f t="shared" si="1"/>
        <v>0</v>
      </c>
      <c r="AK35" s="749">
        <f t="shared" si="2"/>
        <v>0</v>
      </c>
    </row>
    <row r="36" spans="1:37">
      <c r="A36" s="750"/>
      <c r="B36" s="724">
        <v>33</v>
      </c>
      <c r="C36" s="734" t="str">
        <f>SISWA!E38</f>
        <v>Anak 33</v>
      </c>
      <c r="D36" s="735"/>
      <c r="E36" s="735"/>
      <c r="F36" s="735"/>
      <c r="G36" s="735"/>
      <c r="H36" s="735"/>
      <c r="I36" s="735"/>
      <c r="J36" s="735"/>
      <c r="K36" s="735"/>
      <c r="L36" s="735"/>
      <c r="M36" s="735"/>
      <c r="N36" s="735"/>
      <c r="O36" s="735"/>
      <c r="P36" s="735"/>
      <c r="Q36" s="736" t="s">
        <v>661</v>
      </c>
      <c r="R36" s="736" t="s">
        <v>661</v>
      </c>
      <c r="S36" s="735"/>
      <c r="T36" s="736" t="s">
        <v>661</v>
      </c>
      <c r="U36" s="736" t="s">
        <v>661</v>
      </c>
      <c r="V36" s="736" t="s">
        <v>661</v>
      </c>
      <c r="W36" s="736" t="s">
        <v>661</v>
      </c>
      <c r="X36" s="736" t="s">
        <v>661</v>
      </c>
      <c r="Y36" s="736" t="s">
        <v>661</v>
      </c>
      <c r="Z36" s="735"/>
      <c r="AA36" s="735"/>
      <c r="AB36" s="735"/>
      <c r="AC36" s="735"/>
      <c r="AD36" s="735"/>
      <c r="AE36" s="735"/>
      <c r="AF36" s="735"/>
      <c r="AG36" s="735"/>
      <c r="AH36" s="736" t="s">
        <v>661</v>
      </c>
      <c r="AI36" s="749">
        <f t="shared" si="0"/>
        <v>0</v>
      </c>
      <c r="AJ36" s="749">
        <f t="shared" si="1"/>
        <v>0</v>
      </c>
      <c r="AK36" s="749">
        <f t="shared" si="2"/>
        <v>0</v>
      </c>
    </row>
    <row r="37" spans="1:37">
      <c r="A37" s="750"/>
      <c r="B37" s="724">
        <v>34</v>
      </c>
      <c r="C37" s="734" t="str">
        <f>SISWA!E39</f>
        <v>Anak 34</v>
      </c>
      <c r="D37" s="735"/>
      <c r="E37" s="735"/>
      <c r="F37" s="735"/>
      <c r="G37" s="735"/>
      <c r="H37" s="735"/>
      <c r="I37" s="735"/>
      <c r="J37" s="735"/>
      <c r="K37" s="735"/>
      <c r="L37" s="735"/>
      <c r="M37" s="735"/>
      <c r="N37" s="735"/>
      <c r="O37" s="735"/>
      <c r="P37" s="735"/>
      <c r="Q37" s="736" t="s">
        <v>661</v>
      </c>
      <c r="R37" s="736" t="s">
        <v>661</v>
      </c>
      <c r="S37" s="735"/>
      <c r="T37" s="736" t="s">
        <v>661</v>
      </c>
      <c r="U37" s="736" t="s">
        <v>661</v>
      </c>
      <c r="V37" s="736" t="s">
        <v>661</v>
      </c>
      <c r="W37" s="736" t="s">
        <v>661</v>
      </c>
      <c r="X37" s="736" t="s">
        <v>661</v>
      </c>
      <c r="Y37" s="736" t="s">
        <v>661</v>
      </c>
      <c r="Z37" s="735"/>
      <c r="AA37" s="735"/>
      <c r="AB37" s="735"/>
      <c r="AC37" s="735"/>
      <c r="AD37" s="735"/>
      <c r="AE37" s="735"/>
      <c r="AF37" s="735"/>
      <c r="AG37" s="735"/>
      <c r="AH37" s="736" t="s">
        <v>661</v>
      </c>
      <c r="AI37" s="749">
        <f t="shared" si="0"/>
        <v>0</v>
      </c>
      <c r="AJ37" s="749">
        <f t="shared" si="1"/>
        <v>0</v>
      </c>
      <c r="AK37" s="749">
        <f t="shared" si="2"/>
        <v>0</v>
      </c>
    </row>
    <row r="38" spans="1:37">
      <c r="A38" s="750"/>
      <c r="B38" s="724">
        <v>35</v>
      </c>
      <c r="C38" s="734" t="str">
        <f>SISWA!E40</f>
        <v>Anak 35</v>
      </c>
      <c r="D38" s="735"/>
      <c r="E38" s="735"/>
      <c r="F38" s="735"/>
      <c r="G38" s="735"/>
      <c r="H38" s="735"/>
      <c r="I38" s="735"/>
      <c r="J38" s="735"/>
      <c r="K38" s="735"/>
      <c r="L38" s="735"/>
      <c r="M38" s="735"/>
      <c r="N38" s="735"/>
      <c r="O38" s="735"/>
      <c r="P38" s="735"/>
      <c r="Q38" s="736" t="s">
        <v>661</v>
      </c>
      <c r="R38" s="736" t="s">
        <v>661</v>
      </c>
      <c r="S38" s="735"/>
      <c r="T38" s="736" t="s">
        <v>661</v>
      </c>
      <c r="U38" s="736" t="s">
        <v>661</v>
      </c>
      <c r="V38" s="736" t="s">
        <v>661</v>
      </c>
      <c r="W38" s="736" t="s">
        <v>661</v>
      </c>
      <c r="X38" s="736" t="s">
        <v>661</v>
      </c>
      <c r="Y38" s="736" t="s">
        <v>661</v>
      </c>
      <c r="Z38" s="735"/>
      <c r="AA38" s="735"/>
      <c r="AB38" s="735"/>
      <c r="AC38" s="735"/>
      <c r="AD38" s="735"/>
      <c r="AE38" s="735"/>
      <c r="AF38" s="735"/>
      <c r="AG38" s="735"/>
      <c r="AH38" s="736" t="s">
        <v>661</v>
      </c>
      <c r="AI38" s="749">
        <f t="shared" si="0"/>
        <v>0</v>
      </c>
      <c r="AJ38" s="749">
        <f t="shared" si="1"/>
        <v>0</v>
      </c>
      <c r="AK38" s="749">
        <f t="shared" si="2"/>
        <v>0</v>
      </c>
    </row>
    <row r="39" spans="1:37">
      <c r="A39" s="750"/>
      <c r="B39" s="724">
        <v>36</v>
      </c>
      <c r="C39" s="734" t="str">
        <f>SISWA!E41</f>
        <v>Anak 36</v>
      </c>
      <c r="D39" s="735"/>
      <c r="E39" s="735"/>
      <c r="F39" s="735"/>
      <c r="G39" s="735"/>
      <c r="H39" s="735"/>
      <c r="I39" s="735"/>
      <c r="J39" s="735"/>
      <c r="K39" s="735"/>
      <c r="L39" s="735"/>
      <c r="M39" s="735"/>
      <c r="N39" s="735"/>
      <c r="O39" s="735"/>
      <c r="P39" s="735"/>
      <c r="Q39" s="736" t="s">
        <v>661</v>
      </c>
      <c r="R39" s="736" t="s">
        <v>661</v>
      </c>
      <c r="S39" s="735"/>
      <c r="T39" s="736" t="s">
        <v>661</v>
      </c>
      <c r="U39" s="736" t="s">
        <v>661</v>
      </c>
      <c r="V39" s="736" t="s">
        <v>661</v>
      </c>
      <c r="W39" s="736" t="s">
        <v>661</v>
      </c>
      <c r="X39" s="736" t="s">
        <v>661</v>
      </c>
      <c r="Y39" s="736" t="s">
        <v>661</v>
      </c>
      <c r="Z39" s="735"/>
      <c r="AA39" s="735"/>
      <c r="AB39" s="735"/>
      <c r="AC39" s="735"/>
      <c r="AD39" s="735"/>
      <c r="AE39" s="735"/>
      <c r="AF39" s="735"/>
      <c r="AG39" s="735"/>
      <c r="AH39" s="736" t="s">
        <v>661</v>
      </c>
      <c r="AI39" s="749">
        <f t="shared" si="0"/>
        <v>0</v>
      </c>
      <c r="AJ39" s="749">
        <f t="shared" si="1"/>
        <v>0</v>
      </c>
      <c r="AK39" s="749">
        <f t="shared" si="2"/>
        <v>0</v>
      </c>
    </row>
    <row r="40" spans="1:37">
      <c r="A40" s="750"/>
      <c r="B40" s="724">
        <v>37</v>
      </c>
      <c r="C40" s="734" t="str">
        <f>SISWA!E42</f>
        <v>Anak 37</v>
      </c>
      <c r="D40" s="735"/>
      <c r="E40" s="735"/>
      <c r="F40" s="735"/>
      <c r="G40" s="735"/>
      <c r="H40" s="735"/>
      <c r="I40" s="735"/>
      <c r="J40" s="735"/>
      <c r="K40" s="735"/>
      <c r="L40" s="735"/>
      <c r="M40" s="735"/>
      <c r="N40" s="735"/>
      <c r="O40" s="735"/>
      <c r="P40" s="735"/>
      <c r="Q40" s="736" t="s">
        <v>661</v>
      </c>
      <c r="R40" s="736" t="s">
        <v>661</v>
      </c>
      <c r="S40" s="735"/>
      <c r="T40" s="736" t="s">
        <v>661</v>
      </c>
      <c r="U40" s="736" t="s">
        <v>661</v>
      </c>
      <c r="V40" s="736" t="s">
        <v>661</v>
      </c>
      <c r="W40" s="736" t="s">
        <v>661</v>
      </c>
      <c r="X40" s="736" t="s">
        <v>661</v>
      </c>
      <c r="Y40" s="736" t="s">
        <v>661</v>
      </c>
      <c r="Z40" s="735"/>
      <c r="AA40" s="735"/>
      <c r="AB40" s="735"/>
      <c r="AC40" s="735"/>
      <c r="AD40" s="735"/>
      <c r="AE40" s="735"/>
      <c r="AF40" s="735"/>
      <c r="AG40" s="735"/>
      <c r="AH40" s="736" t="s">
        <v>661</v>
      </c>
      <c r="AI40" s="749">
        <f t="shared" si="0"/>
        <v>0</v>
      </c>
      <c r="AJ40" s="749">
        <f t="shared" si="1"/>
        <v>0</v>
      </c>
      <c r="AK40" s="749">
        <f t="shared" si="2"/>
        <v>0</v>
      </c>
    </row>
    <row r="41" spans="1:37">
      <c r="A41" s="750"/>
      <c r="B41" s="724">
        <v>38</v>
      </c>
      <c r="C41" s="734" t="str">
        <f>SISWA!E43</f>
        <v>Anak 38</v>
      </c>
      <c r="D41" s="735"/>
      <c r="E41" s="735"/>
      <c r="F41" s="735"/>
      <c r="G41" s="735"/>
      <c r="H41" s="735"/>
      <c r="I41" s="735"/>
      <c r="J41" s="735"/>
      <c r="K41" s="735"/>
      <c r="L41" s="735"/>
      <c r="M41" s="735"/>
      <c r="N41" s="735"/>
      <c r="O41" s="735"/>
      <c r="P41" s="735"/>
      <c r="Q41" s="736" t="s">
        <v>661</v>
      </c>
      <c r="R41" s="736" t="s">
        <v>661</v>
      </c>
      <c r="S41" s="735"/>
      <c r="T41" s="736" t="s">
        <v>661</v>
      </c>
      <c r="U41" s="736" t="s">
        <v>661</v>
      </c>
      <c r="V41" s="736" t="s">
        <v>661</v>
      </c>
      <c r="W41" s="736" t="s">
        <v>661</v>
      </c>
      <c r="X41" s="736" t="s">
        <v>661</v>
      </c>
      <c r="Y41" s="736" t="s">
        <v>661</v>
      </c>
      <c r="Z41" s="735"/>
      <c r="AA41" s="735"/>
      <c r="AB41" s="735"/>
      <c r="AC41" s="735"/>
      <c r="AD41" s="735"/>
      <c r="AE41" s="735"/>
      <c r="AF41" s="735"/>
      <c r="AG41" s="735"/>
      <c r="AH41" s="736" t="s">
        <v>661</v>
      </c>
      <c r="AI41" s="749">
        <f t="shared" si="0"/>
        <v>0</v>
      </c>
      <c r="AJ41" s="749">
        <f t="shared" si="1"/>
        <v>0</v>
      </c>
      <c r="AK41" s="749">
        <f t="shared" si="2"/>
        <v>0</v>
      </c>
    </row>
    <row r="42" spans="1:37">
      <c r="A42" s="750"/>
      <c r="B42" s="724">
        <v>39</v>
      </c>
      <c r="C42" s="734" t="str">
        <f>SISWA!E44</f>
        <v>Anak 39</v>
      </c>
      <c r="D42" s="735"/>
      <c r="E42" s="735"/>
      <c r="F42" s="735"/>
      <c r="G42" s="735"/>
      <c r="H42" s="735"/>
      <c r="I42" s="735"/>
      <c r="J42" s="735"/>
      <c r="K42" s="735"/>
      <c r="L42" s="735"/>
      <c r="M42" s="735"/>
      <c r="N42" s="735"/>
      <c r="O42" s="735"/>
      <c r="P42" s="735"/>
      <c r="Q42" s="736" t="s">
        <v>661</v>
      </c>
      <c r="R42" s="736" t="s">
        <v>661</v>
      </c>
      <c r="S42" s="735"/>
      <c r="T42" s="736" t="s">
        <v>661</v>
      </c>
      <c r="U42" s="736" t="s">
        <v>661</v>
      </c>
      <c r="V42" s="736" t="s">
        <v>661</v>
      </c>
      <c r="W42" s="736" t="s">
        <v>661</v>
      </c>
      <c r="X42" s="736" t="s">
        <v>661</v>
      </c>
      <c r="Y42" s="736" t="s">
        <v>661</v>
      </c>
      <c r="Z42" s="735"/>
      <c r="AA42" s="735"/>
      <c r="AB42" s="735"/>
      <c r="AC42" s="735"/>
      <c r="AD42" s="735"/>
      <c r="AE42" s="735"/>
      <c r="AF42" s="735"/>
      <c r="AG42" s="735"/>
      <c r="AH42" s="736" t="s">
        <v>661</v>
      </c>
      <c r="AI42" s="749">
        <f t="shared" si="0"/>
        <v>0</v>
      </c>
      <c r="AJ42" s="749">
        <f t="shared" si="1"/>
        <v>0</v>
      </c>
      <c r="AK42" s="749">
        <f t="shared" si="2"/>
        <v>0</v>
      </c>
    </row>
    <row r="43" spans="1:37">
      <c r="A43" s="750"/>
      <c r="B43" s="724">
        <v>40</v>
      </c>
      <c r="C43" s="734" t="str">
        <f>SISWA!E45</f>
        <v>Anak 40</v>
      </c>
      <c r="D43" s="735"/>
      <c r="E43" s="735"/>
      <c r="F43" s="735"/>
      <c r="G43" s="735"/>
      <c r="H43" s="735"/>
      <c r="I43" s="735"/>
      <c r="J43" s="735"/>
      <c r="K43" s="735"/>
      <c r="L43" s="735"/>
      <c r="M43" s="735"/>
      <c r="N43" s="735"/>
      <c r="O43" s="735"/>
      <c r="P43" s="735"/>
      <c r="Q43" s="736" t="s">
        <v>661</v>
      </c>
      <c r="R43" s="736" t="s">
        <v>661</v>
      </c>
      <c r="S43" s="735"/>
      <c r="T43" s="736" t="s">
        <v>661</v>
      </c>
      <c r="U43" s="736" t="s">
        <v>661</v>
      </c>
      <c r="V43" s="736" t="s">
        <v>661</v>
      </c>
      <c r="W43" s="736" t="s">
        <v>661</v>
      </c>
      <c r="X43" s="736" t="s">
        <v>661</v>
      </c>
      <c r="Y43" s="736" t="s">
        <v>661</v>
      </c>
      <c r="Z43" s="735"/>
      <c r="AA43" s="735"/>
      <c r="AB43" s="735"/>
      <c r="AC43" s="735"/>
      <c r="AD43" s="735"/>
      <c r="AE43" s="735"/>
      <c r="AF43" s="735"/>
      <c r="AG43" s="735"/>
      <c r="AH43" s="736" t="s">
        <v>661</v>
      </c>
      <c r="AI43" s="749">
        <f t="shared" si="0"/>
        <v>0</v>
      </c>
      <c r="AJ43" s="749">
        <f t="shared" si="1"/>
        <v>0</v>
      </c>
      <c r="AK43" s="749">
        <f t="shared" si="2"/>
        <v>0</v>
      </c>
    </row>
    <row r="44" spans="1:37">
      <c r="A44" s="750"/>
      <c r="B44" s="724">
        <v>41</v>
      </c>
      <c r="C44" s="734" t="str">
        <f>SISWA!E46</f>
        <v>Anak 41</v>
      </c>
      <c r="D44" s="735"/>
      <c r="E44" s="735"/>
      <c r="F44" s="735"/>
      <c r="G44" s="735"/>
      <c r="H44" s="735"/>
      <c r="I44" s="735"/>
      <c r="J44" s="735"/>
      <c r="K44" s="735"/>
      <c r="L44" s="735"/>
      <c r="M44" s="735"/>
      <c r="N44" s="735"/>
      <c r="O44" s="735"/>
      <c r="P44" s="735"/>
      <c r="Q44" s="736" t="s">
        <v>661</v>
      </c>
      <c r="R44" s="736" t="s">
        <v>661</v>
      </c>
      <c r="S44" s="735"/>
      <c r="T44" s="736" t="s">
        <v>661</v>
      </c>
      <c r="U44" s="736" t="s">
        <v>661</v>
      </c>
      <c r="V44" s="736" t="s">
        <v>661</v>
      </c>
      <c r="W44" s="736" t="s">
        <v>661</v>
      </c>
      <c r="X44" s="736" t="s">
        <v>661</v>
      </c>
      <c r="Y44" s="736" t="s">
        <v>661</v>
      </c>
      <c r="Z44" s="735"/>
      <c r="AA44" s="735"/>
      <c r="AB44" s="735"/>
      <c r="AC44" s="735"/>
      <c r="AD44" s="735"/>
      <c r="AE44" s="735"/>
      <c r="AF44" s="735"/>
      <c r="AG44" s="735"/>
      <c r="AH44" s="736" t="s">
        <v>661</v>
      </c>
      <c r="AI44" s="749">
        <f t="shared" si="0"/>
        <v>0</v>
      </c>
      <c r="AJ44" s="749">
        <f t="shared" si="1"/>
        <v>0</v>
      </c>
      <c r="AK44" s="749">
        <f t="shared" si="2"/>
        <v>0</v>
      </c>
    </row>
    <row r="45" spans="1:37">
      <c r="A45" s="750"/>
      <c r="B45" s="724">
        <v>42</v>
      </c>
      <c r="C45" s="734" t="str">
        <f>SISWA!E47</f>
        <v>Anak 42</v>
      </c>
      <c r="D45" s="735"/>
      <c r="E45" s="735"/>
      <c r="F45" s="735"/>
      <c r="G45" s="735"/>
      <c r="H45" s="735"/>
      <c r="I45" s="735"/>
      <c r="J45" s="735"/>
      <c r="K45" s="735"/>
      <c r="L45" s="735"/>
      <c r="M45" s="735"/>
      <c r="N45" s="735"/>
      <c r="O45" s="735"/>
      <c r="P45" s="735"/>
      <c r="Q45" s="736" t="s">
        <v>661</v>
      </c>
      <c r="R45" s="736" t="s">
        <v>661</v>
      </c>
      <c r="S45" s="735"/>
      <c r="T45" s="736" t="s">
        <v>661</v>
      </c>
      <c r="U45" s="736" t="s">
        <v>661</v>
      </c>
      <c r="V45" s="736" t="s">
        <v>661</v>
      </c>
      <c r="W45" s="736" t="s">
        <v>661</v>
      </c>
      <c r="X45" s="736" t="s">
        <v>661</v>
      </c>
      <c r="Y45" s="736" t="s">
        <v>661</v>
      </c>
      <c r="Z45" s="735"/>
      <c r="AA45" s="735"/>
      <c r="AB45" s="735"/>
      <c r="AC45" s="735"/>
      <c r="AD45" s="735"/>
      <c r="AE45" s="735"/>
      <c r="AF45" s="735"/>
      <c r="AG45" s="735"/>
      <c r="AH45" s="736" t="s">
        <v>661</v>
      </c>
      <c r="AI45" s="749">
        <f t="shared" si="0"/>
        <v>0</v>
      </c>
      <c r="AJ45" s="749">
        <f t="shared" si="1"/>
        <v>0</v>
      </c>
      <c r="AK45" s="749">
        <f t="shared" si="2"/>
        <v>0</v>
      </c>
    </row>
    <row r="46" spans="1:37">
      <c r="A46" s="750"/>
      <c r="B46" s="724">
        <v>43</v>
      </c>
      <c r="C46" s="734" t="str">
        <f>SISWA!E48</f>
        <v>Anak 43</v>
      </c>
      <c r="D46" s="735"/>
      <c r="E46" s="735"/>
      <c r="F46" s="735"/>
      <c r="G46" s="735"/>
      <c r="H46" s="735"/>
      <c r="I46" s="735"/>
      <c r="J46" s="735"/>
      <c r="K46" s="735"/>
      <c r="L46" s="735"/>
      <c r="M46" s="735"/>
      <c r="N46" s="735"/>
      <c r="O46" s="735"/>
      <c r="P46" s="735"/>
      <c r="Q46" s="736" t="s">
        <v>661</v>
      </c>
      <c r="R46" s="736" t="s">
        <v>661</v>
      </c>
      <c r="S46" s="735"/>
      <c r="T46" s="736" t="s">
        <v>661</v>
      </c>
      <c r="U46" s="736" t="s">
        <v>661</v>
      </c>
      <c r="V46" s="736" t="s">
        <v>661</v>
      </c>
      <c r="W46" s="736" t="s">
        <v>661</v>
      </c>
      <c r="X46" s="736" t="s">
        <v>661</v>
      </c>
      <c r="Y46" s="736" t="s">
        <v>661</v>
      </c>
      <c r="Z46" s="735"/>
      <c r="AA46" s="735"/>
      <c r="AB46" s="735"/>
      <c r="AC46" s="735"/>
      <c r="AD46" s="735"/>
      <c r="AE46" s="735"/>
      <c r="AF46" s="735"/>
      <c r="AG46" s="735"/>
      <c r="AH46" s="736" t="s">
        <v>661</v>
      </c>
      <c r="AI46" s="749">
        <f t="shared" si="0"/>
        <v>0</v>
      </c>
      <c r="AJ46" s="749">
        <f t="shared" si="1"/>
        <v>0</v>
      </c>
      <c r="AK46" s="749">
        <f t="shared" si="2"/>
        <v>0</v>
      </c>
    </row>
    <row r="47" spans="1:37">
      <c r="A47" s="750"/>
      <c r="B47" s="724">
        <v>44</v>
      </c>
      <c r="C47" s="734" t="str">
        <f>SISWA!E49</f>
        <v>Anak 44</v>
      </c>
      <c r="D47" s="735"/>
      <c r="E47" s="735"/>
      <c r="F47" s="735"/>
      <c r="G47" s="735"/>
      <c r="H47" s="735"/>
      <c r="I47" s="735"/>
      <c r="J47" s="735"/>
      <c r="K47" s="735"/>
      <c r="L47" s="735"/>
      <c r="M47" s="735"/>
      <c r="N47" s="735"/>
      <c r="O47" s="735"/>
      <c r="P47" s="735"/>
      <c r="Q47" s="736" t="s">
        <v>661</v>
      </c>
      <c r="R47" s="736" t="s">
        <v>661</v>
      </c>
      <c r="S47" s="735"/>
      <c r="T47" s="736" t="s">
        <v>661</v>
      </c>
      <c r="U47" s="736" t="s">
        <v>661</v>
      </c>
      <c r="V47" s="736" t="s">
        <v>661</v>
      </c>
      <c r="W47" s="736" t="s">
        <v>661</v>
      </c>
      <c r="X47" s="736" t="s">
        <v>661</v>
      </c>
      <c r="Y47" s="736" t="s">
        <v>661</v>
      </c>
      <c r="Z47" s="735"/>
      <c r="AA47" s="735"/>
      <c r="AB47" s="735"/>
      <c r="AC47" s="735"/>
      <c r="AD47" s="735"/>
      <c r="AE47" s="735"/>
      <c r="AF47" s="735"/>
      <c r="AG47" s="735"/>
      <c r="AH47" s="736" t="s">
        <v>661</v>
      </c>
      <c r="AI47" s="749">
        <f t="shared" si="0"/>
        <v>0</v>
      </c>
      <c r="AJ47" s="749">
        <f t="shared" si="1"/>
        <v>0</v>
      </c>
      <c r="AK47" s="749">
        <f t="shared" si="2"/>
        <v>0</v>
      </c>
    </row>
    <row r="48" spans="1:37">
      <c r="A48" s="750"/>
      <c r="B48" s="724">
        <v>45</v>
      </c>
      <c r="C48" s="734" t="str">
        <f>SISWA!E50</f>
        <v>Anak 45</v>
      </c>
      <c r="D48" s="735"/>
      <c r="E48" s="735"/>
      <c r="F48" s="735"/>
      <c r="G48" s="735"/>
      <c r="H48" s="735"/>
      <c r="I48" s="735"/>
      <c r="J48" s="735"/>
      <c r="K48" s="735"/>
      <c r="L48" s="735"/>
      <c r="M48" s="735"/>
      <c r="N48" s="735"/>
      <c r="O48" s="735"/>
      <c r="P48" s="735"/>
      <c r="Q48" s="736" t="s">
        <v>661</v>
      </c>
      <c r="R48" s="736" t="s">
        <v>661</v>
      </c>
      <c r="S48" s="735"/>
      <c r="T48" s="736" t="s">
        <v>661</v>
      </c>
      <c r="U48" s="736" t="s">
        <v>661</v>
      </c>
      <c r="V48" s="736" t="s">
        <v>661</v>
      </c>
      <c r="W48" s="736" t="s">
        <v>661</v>
      </c>
      <c r="X48" s="736" t="s">
        <v>661</v>
      </c>
      <c r="Y48" s="736" t="s">
        <v>661</v>
      </c>
      <c r="Z48" s="735"/>
      <c r="AA48" s="735"/>
      <c r="AB48" s="735"/>
      <c r="AC48" s="735"/>
      <c r="AD48" s="735"/>
      <c r="AE48" s="735"/>
      <c r="AF48" s="735"/>
      <c r="AG48" s="735"/>
      <c r="AH48" s="736" t="s">
        <v>661</v>
      </c>
      <c r="AI48" s="749">
        <f t="shared" si="0"/>
        <v>0</v>
      </c>
      <c r="AJ48" s="749">
        <f t="shared" si="1"/>
        <v>0</v>
      </c>
      <c r="AK48" s="749">
        <f t="shared" si="2"/>
        <v>0</v>
      </c>
    </row>
    <row r="49" spans="1:37">
      <c r="A49" s="750"/>
      <c r="B49" s="724">
        <v>46</v>
      </c>
      <c r="C49" s="734" t="str">
        <f>SISWA!E51</f>
        <v>Anak 46</v>
      </c>
      <c r="D49" s="735"/>
      <c r="E49" s="735"/>
      <c r="F49" s="735"/>
      <c r="G49" s="735"/>
      <c r="H49" s="735"/>
      <c r="I49" s="735"/>
      <c r="J49" s="735"/>
      <c r="K49" s="735"/>
      <c r="L49" s="735"/>
      <c r="M49" s="735"/>
      <c r="N49" s="735"/>
      <c r="O49" s="735"/>
      <c r="P49" s="735"/>
      <c r="Q49" s="736" t="s">
        <v>661</v>
      </c>
      <c r="R49" s="736" t="s">
        <v>661</v>
      </c>
      <c r="S49" s="735"/>
      <c r="T49" s="736" t="s">
        <v>661</v>
      </c>
      <c r="U49" s="736" t="s">
        <v>661</v>
      </c>
      <c r="V49" s="736" t="s">
        <v>661</v>
      </c>
      <c r="W49" s="736" t="s">
        <v>661</v>
      </c>
      <c r="X49" s="736" t="s">
        <v>661</v>
      </c>
      <c r="Y49" s="736" t="s">
        <v>661</v>
      </c>
      <c r="Z49" s="735"/>
      <c r="AA49" s="735"/>
      <c r="AB49" s="735"/>
      <c r="AC49" s="735"/>
      <c r="AD49" s="735"/>
      <c r="AE49" s="735"/>
      <c r="AF49" s="735"/>
      <c r="AG49" s="735"/>
      <c r="AH49" s="736" t="s">
        <v>661</v>
      </c>
      <c r="AI49" s="749">
        <f t="shared" si="0"/>
        <v>0</v>
      </c>
      <c r="AJ49" s="749">
        <f t="shared" si="1"/>
        <v>0</v>
      </c>
      <c r="AK49" s="749">
        <f t="shared" si="2"/>
        <v>0</v>
      </c>
    </row>
    <row r="50" spans="1:37">
      <c r="A50" s="750"/>
      <c r="B50" s="724">
        <v>47</v>
      </c>
      <c r="C50" s="734" t="str">
        <f>SISWA!E52</f>
        <v>Anak 47</v>
      </c>
      <c r="D50" s="735"/>
      <c r="E50" s="735"/>
      <c r="F50" s="735"/>
      <c r="G50" s="735"/>
      <c r="H50" s="735"/>
      <c r="I50" s="735"/>
      <c r="J50" s="735"/>
      <c r="K50" s="735"/>
      <c r="L50" s="735"/>
      <c r="M50" s="735"/>
      <c r="N50" s="735"/>
      <c r="O50" s="735"/>
      <c r="P50" s="735"/>
      <c r="Q50" s="736" t="s">
        <v>661</v>
      </c>
      <c r="R50" s="736" t="s">
        <v>661</v>
      </c>
      <c r="S50" s="735"/>
      <c r="T50" s="736" t="s">
        <v>661</v>
      </c>
      <c r="U50" s="736" t="s">
        <v>661</v>
      </c>
      <c r="V50" s="736" t="s">
        <v>661</v>
      </c>
      <c r="W50" s="736" t="s">
        <v>661</v>
      </c>
      <c r="X50" s="736" t="s">
        <v>661</v>
      </c>
      <c r="Y50" s="736" t="s">
        <v>661</v>
      </c>
      <c r="Z50" s="735"/>
      <c r="AA50" s="735"/>
      <c r="AB50" s="735"/>
      <c r="AC50" s="735"/>
      <c r="AD50" s="735"/>
      <c r="AE50" s="735"/>
      <c r="AF50" s="735"/>
      <c r="AG50" s="735"/>
      <c r="AH50" s="736" t="s">
        <v>661</v>
      </c>
      <c r="AI50" s="749">
        <f t="shared" si="0"/>
        <v>0</v>
      </c>
      <c r="AJ50" s="749">
        <f t="shared" si="1"/>
        <v>0</v>
      </c>
      <c r="AK50" s="749">
        <f t="shared" si="2"/>
        <v>0</v>
      </c>
    </row>
    <row r="51" spans="1:37">
      <c r="A51" s="750"/>
      <c r="B51" s="724">
        <v>48</v>
      </c>
      <c r="C51" s="734" t="str">
        <f>SISWA!E53</f>
        <v>Anak 48</v>
      </c>
      <c r="D51" s="735"/>
      <c r="E51" s="735"/>
      <c r="F51" s="735"/>
      <c r="G51" s="735"/>
      <c r="H51" s="735"/>
      <c r="I51" s="735"/>
      <c r="J51" s="735"/>
      <c r="K51" s="735"/>
      <c r="L51" s="735"/>
      <c r="M51" s="735"/>
      <c r="N51" s="735"/>
      <c r="O51" s="735"/>
      <c r="P51" s="735"/>
      <c r="Q51" s="736" t="s">
        <v>661</v>
      </c>
      <c r="R51" s="736" t="s">
        <v>661</v>
      </c>
      <c r="S51" s="735"/>
      <c r="T51" s="736" t="s">
        <v>661</v>
      </c>
      <c r="U51" s="736" t="s">
        <v>661</v>
      </c>
      <c r="V51" s="736" t="s">
        <v>661</v>
      </c>
      <c r="W51" s="736" t="s">
        <v>661</v>
      </c>
      <c r="X51" s="736" t="s">
        <v>661</v>
      </c>
      <c r="Y51" s="736" t="s">
        <v>661</v>
      </c>
      <c r="Z51" s="735"/>
      <c r="AA51" s="735"/>
      <c r="AB51" s="735"/>
      <c r="AC51" s="735"/>
      <c r="AD51" s="735"/>
      <c r="AE51" s="735"/>
      <c r="AF51" s="735"/>
      <c r="AG51" s="735"/>
      <c r="AH51" s="736" t="s">
        <v>661</v>
      </c>
      <c r="AI51" s="749">
        <f t="shared" si="0"/>
        <v>0</v>
      </c>
      <c r="AJ51" s="749">
        <f t="shared" si="1"/>
        <v>0</v>
      </c>
      <c r="AK51" s="749">
        <f t="shared" si="2"/>
        <v>0</v>
      </c>
    </row>
    <row r="52" spans="1:37">
      <c r="A52" s="750"/>
      <c r="B52" s="724">
        <v>49</v>
      </c>
      <c r="C52" s="734" t="str">
        <f>SISWA!E54</f>
        <v>Anak 49</v>
      </c>
      <c r="D52" s="735"/>
      <c r="E52" s="735"/>
      <c r="F52" s="735"/>
      <c r="G52" s="735"/>
      <c r="H52" s="735"/>
      <c r="I52" s="735"/>
      <c r="J52" s="735"/>
      <c r="K52" s="735"/>
      <c r="L52" s="735"/>
      <c r="M52" s="735"/>
      <c r="N52" s="735"/>
      <c r="O52" s="735"/>
      <c r="P52" s="735"/>
      <c r="Q52" s="736" t="s">
        <v>661</v>
      </c>
      <c r="R52" s="736" t="s">
        <v>661</v>
      </c>
      <c r="S52" s="735"/>
      <c r="T52" s="736" t="s">
        <v>661</v>
      </c>
      <c r="U52" s="736" t="s">
        <v>661</v>
      </c>
      <c r="V52" s="736" t="s">
        <v>661</v>
      </c>
      <c r="W52" s="736" t="s">
        <v>661</v>
      </c>
      <c r="X52" s="736" t="s">
        <v>661</v>
      </c>
      <c r="Y52" s="736" t="s">
        <v>661</v>
      </c>
      <c r="Z52" s="735"/>
      <c r="AA52" s="735"/>
      <c r="AB52" s="735"/>
      <c r="AC52" s="735"/>
      <c r="AD52" s="735"/>
      <c r="AE52" s="735"/>
      <c r="AF52" s="735"/>
      <c r="AG52" s="735"/>
      <c r="AH52" s="736" t="s">
        <v>661</v>
      </c>
      <c r="AI52" s="749">
        <f t="shared" si="0"/>
        <v>0</v>
      </c>
      <c r="AJ52" s="749">
        <f t="shared" si="1"/>
        <v>0</v>
      </c>
      <c r="AK52" s="749">
        <f t="shared" si="2"/>
        <v>0</v>
      </c>
    </row>
    <row r="53" spans="1:37">
      <c r="A53" s="750"/>
      <c r="B53" s="724">
        <v>50</v>
      </c>
      <c r="C53" s="734" t="str">
        <f>SISWA!E55</f>
        <v>Anak 50</v>
      </c>
      <c r="D53" s="735"/>
      <c r="E53" s="735"/>
      <c r="F53" s="735"/>
      <c r="G53" s="735"/>
      <c r="H53" s="735"/>
      <c r="I53" s="735"/>
      <c r="J53" s="735"/>
      <c r="K53" s="735"/>
      <c r="L53" s="735"/>
      <c r="M53" s="735"/>
      <c r="N53" s="735"/>
      <c r="O53" s="735"/>
      <c r="P53" s="735"/>
      <c r="Q53" s="736" t="s">
        <v>661</v>
      </c>
      <c r="R53" s="736" t="s">
        <v>661</v>
      </c>
      <c r="S53" s="735"/>
      <c r="T53" s="736" t="s">
        <v>661</v>
      </c>
      <c r="U53" s="736" t="s">
        <v>661</v>
      </c>
      <c r="V53" s="736" t="s">
        <v>661</v>
      </c>
      <c r="W53" s="736" t="s">
        <v>661</v>
      </c>
      <c r="X53" s="736" t="s">
        <v>661</v>
      </c>
      <c r="Y53" s="736" t="s">
        <v>661</v>
      </c>
      <c r="Z53" s="735"/>
      <c r="AA53" s="735"/>
      <c r="AB53" s="735"/>
      <c r="AC53" s="735"/>
      <c r="AD53" s="735"/>
      <c r="AE53" s="735"/>
      <c r="AF53" s="735"/>
      <c r="AG53" s="735"/>
      <c r="AH53" s="736" t="s">
        <v>661</v>
      </c>
      <c r="AI53" s="749">
        <f t="shared" si="0"/>
        <v>0</v>
      </c>
      <c r="AJ53" s="749">
        <f t="shared" si="1"/>
        <v>0</v>
      </c>
      <c r="AK53" s="749">
        <f t="shared" si="2"/>
        <v>0</v>
      </c>
    </row>
    <row r="54" spans="1:37">
      <c r="A54" s="750"/>
      <c r="B54" s="471"/>
      <c r="C54" s="471"/>
      <c r="D54" s="1008" t="s">
        <v>460</v>
      </c>
      <c r="E54" s="1009"/>
      <c r="F54" s="1009"/>
      <c r="G54" s="1009"/>
      <c r="H54" s="1009"/>
      <c r="I54" s="1009"/>
      <c r="J54" s="1009"/>
      <c r="K54" s="1009"/>
      <c r="L54" s="1009"/>
      <c r="M54" s="1009"/>
      <c r="N54" s="1009"/>
      <c r="O54" s="1009"/>
      <c r="P54" s="1009"/>
      <c r="Q54" s="1009"/>
      <c r="R54" s="1009"/>
      <c r="S54" s="1009"/>
      <c r="T54" s="1009"/>
      <c r="U54" s="1009"/>
      <c r="V54" s="1009"/>
      <c r="W54" s="1009"/>
      <c r="X54" s="1009"/>
      <c r="Y54" s="1009"/>
      <c r="Z54" s="1009"/>
      <c r="AA54" s="1009"/>
      <c r="AB54" s="1009"/>
      <c r="AC54" s="1009"/>
      <c r="AD54" s="1009"/>
      <c r="AE54" s="1009"/>
      <c r="AF54" s="1009"/>
      <c r="AG54" s="1009"/>
      <c r="AH54" s="1010"/>
      <c r="AI54" s="749">
        <f>SUM(AI4:AI53)</f>
        <v>0</v>
      </c>
      <c r="AJ54" s="749">
        <f>SUM(AJ4:AJ53)</f>
        <v>0</v>
      </c>
      <c r="AK54" s="749">
        <f>SUM(AK4:AK53)</f>
        <v>0</v>
      </c>
    </row>
    <row r="55" spans="1:37" ht="15.75" thickBot="1">
      <c r="A55" s="750"/>
    </row>
    <row r="56" spans="1:37" ht="15.75" thickBot="1">
      <c r="A56" s="750"/>
      <c r="C56" s="737"/>
      <c r="D56" s="738"/>
      <c r="E56" s="738"/>
      <c r="F56" s="738"/>
      <c r="G56" s="739"/>
    </row>
    <row r="57" spans="1:37" ht="16.5" thickBot="1">
      <c r="A57" s="750"/>
      <c r="C57" s="740" t="s">
        <v>969</v>
      </c>
      <c r="D57" s="742">
        <v>26</v>
      </c>
      <c r="E57" s="741"/>
      <c r="F57" s="1011">
        <f>D57*DEPAN!E23</f>
        <v>1300</v>
      </c>
      <c r="G57" s="1012"/>
      <c r="L57" s="1013" t="s">
        <v>244</v>
      </c>
      <c r="M57" s="1013"/>
      <c r="N57" s="1013"/>
      <c r="O57" s="1013"/>
      <c r="P57" s="1013"/>
      <c r="Q57" s="1013"/>
      <c r="AC57" s="1013" t="s">
        <v>1203</v>
      </c>
      <c r="AD57" s="1013"/>
      <c r="AE57" s="1013"/>
      <c r="AF57" s="1013"/>
      <c r="AG57" s="1013"/>
      <c r="AH57" s="1013"/>
      <c r="AI57" s="1013"/>
      <c r="AJ57" s="1013"/>
    </row>
    <row r="58" spans="1:37" ht="15.75">
      <c r="A58" s="750"/>
      <c r="C58" s="740"/>
      <c r="D58" s="743"/>
      <c r="E58" s="741"/>
      <c r="F58" s="741"/>
      <c r="G58" s="744"/>
      <c r="L58" s="1013" t="s">
        <v>245</v>
      </c>
      <c r="M58" s="1013"/>
      <c r="N58" s="1013"/>
      <c r="O58" s="1013"/>
      <c r="P58" s="1013"/>
      <c r="Q58" s="1013"/>
      <c r="AC58" s="1013" t="s">
        <v>971</v>
      </c>
      <c r="AD58" s="1013"/>
      <c r="AE58" s="1013"/>
      <c r="AF58" s="1013"/>
      <c r="AG58" s="1013"/>
      <c r="AH58" s="1013"/>
      <c r="AI58" s="1013"/>
      <c r="AJ58" s="1013"/>
    </row>
    <row r="59" spans="1:37" ht="15.75">
      <c r="A59" s="750"/>
      <c r="C59" s="740" t="s">
        <v>972</v>
      </c>
      <c r="D59" s="745"/>
      <c r="E59" s="741"/>
      <c r="F59" s="741"/>
      <c r="G59" s="744"/>
    </row>
    <row r="60" spans="1:37" ht="15.75">
      <c r="A60" s="750"/>
      <c r="C60" s="740" t="s">
        <v>973</v>
      </c>
      <c r="D60" s="1005">
        <f>AI54/F57</f>
        <v>0</v>
      </c>
      <c r="E60" s="1005"/>
      <c r="F60" s="741"/>
      <c r="G60" s="744"/>
    </row>
    <row r="61" spans="1:37" ht="15.75">
      <c r="A61" s="750"/>
      <c r="C61" s="740" t="s">
        <v>974</v>
      </c>
      <c r="D61" s="1014">
        <f>AJ54/F57</f>
        <v>0</v>
      </c>
      <c r="E61" s="1014"/>
      <c r="F61" s="741"/>
      <c r="G61" s="744"/>
    </row>
    <row r="62" spans="1:37" ht="15.75">
      <c r="A62" s="750"/>
      <c r="C62" s="740" t="s">
        <v>975</v>
      </c>
      <c r="D62" s="1014">
        <f>AK54/F57</f>
        <v>0</v>
      </c>
      <c r="E62" s="1014"/>
      <c r="F62" s="741"/>
      <c r="G62" s="744"/>
    </row>
    <row r="63" spans="1:37" ht="15.75" thickBot="1">
      <c r="A63" s="750"/>
      <c r="C63" s="746"/>
      <c r="D63" s="747"/>
      <c r="E63" s="747"/>
      <c r="F63" s="747"/>
      <c r="G63" s="748"/>
      <c r="K63" s="474"/>
      <c r="L63" s="1015" t="str">
        <f>DEPAN!E12</f>
        <v>H. SAMSUDIN,M.Pd</v>
      </c>
      <c r="M63" s="1015"/>
      <c r="N63" s="1015"/>
      <c r="O63" s="1015"/>
      <c r="P63" s="1015"/>
      <c r="Q63" s="1015"/>
      <c r="R63" s="474"/>
      <c r="AC63" s="474"/>
      <c r="AD63" s="1015" t="str">
        <f>DEPAN!E16</f>
        <v>SITI PONIMAH,M.Pd</v>
      </c>
      <c r="AE63" s="1015"/>
      <c r="AF63" s="1015"/>
      <c r="AG63" s="1015"/>
      <c r="AH63" s="1015"/>
      <c r="AI63" s="1015"/>
      <c r="AJ63" s="474"/>
    </row>
    <row r="64" spans="1:37">
      <c r="A64" s="750"/>
      <c r="K64" s="1016" t="str">
        <f>CONCATENATE("NIP.",DEPAN!E13)</f>
        <v>NIP.19921233 198777 1 336</v>
      </c>
      <c r="L64" s="1016"/>
      <c r="M64" s="1016"/>
      <c r="N64" s="1016"/>
      <c r="O64" s="1016"/>
      <c r="P64" s="1016"/>
      <c r="Q64" s="1016"/>
      <c r="R64" s="1016"/>
      <c r="AC64" s="1016" t="str">
        <f>CONCATENATE("NIP.",DEPAN!E17)</f>
        <v>NIP.19616566 201808 2 033</v>
      </c>
      <c r="AD64" s="1016"/>
      <c r="AE64" s="1016"/>
      <c r="AF64" s="1016"/>
      <c r="AG64" s="1016"/>
      <c r="AH64" s="1016"/>
      <c r="AI64" s="1016"/>
      <c r="AJ64" s="1016"/>
    </row>
    <row r="65" spans="1:1">
      <c r="A65" s="750"/>
    </row>
    <row r="66" spans="1:1" hidden="1">
      <c r="A66" s="750"/>
    </row>
    <row r="67" spans="1:1" hidden="1">
      <c r="A67" s="750"/>
    </row>
    <row r="68" spans="1:1" hidden="1">
      <c r="A68" s="750"/>
    </row>
    <row r="69" spans="1:1" hidden="1">
      <c r="A69" s="750"/>
    </row>
    <row r="70" spans="1:1" hidden="1">
      <c r="A70" s="750"/>
    </row>
    <row r="71" spans="1:1" hidden="1">
      <c r="A71" s="750"/>
    </row>
    <row r="72" spans="1:1" hidden="1">
      <c r="A72" s="750"/>
    </row>
    <row r="73" spans="1:1" hidden="1">
      <c r="A73" s="750"/>
    </row>
    <row r="74" spans="1:1" hidden="1">
      <c r="A74" s="750"/>
    </row>
    <row r="75" spans="1:1" hidden="1">
      <c r="A75" s="750"/>
    </row>
    <row r="76" spans="1:1" hidden="1">
      <c r="A76" s="750"/>
    </row>
    <row r="77" spans="1:1" hidden="1">
      <c r="A77" s="750"/>
    </row>
    <row r="78" spans="1:1" hidden="1">
      <c r="A78" s="750"/>
    </row>
    <row r="79" spans="1:1" hidden="1">
      <c r="A79" s="750"/>
    </row>
    <row r="80" spans="1:1" hidden="1">
      <c r="A80" s="750"/>
    </row>
    <row r="81" spans="1:1" hidden="1">
      <c r="A81" s="750"/>
    </row>
    <row r="82" spans="1:1" hidden="1">
      <c r="A82" s="750"/>
    </row>
    <row r="83" spans="1:1" hidden="1">
      <c r="A83" s="750"/>
    </row>
    <row r="84" spans="1:1" hidden="1">
      <c r="A84" s="750"/>
    </row>
    <row r="85" spans="1:1" hidden="1">
      <c r="A85" s="750"/>
    </row>
    <row r="86" spans="1:1" hidden="1">
      <c r="A86" s="750"/>
    </row>
    <row r="87" spans="1:1">
      <c r="A87" s="750"/>
    </row>
    <row r="88" spans="1:1">
      <c r="A88" s="750"/>
    </row>
  </sheetData>
  <mergeCells count="16">
    <mergeCell ref="K64:R64"/>
    <mergeCell ref="AC64:AJ64"/>
    <mergeCell ref="L58:Q58"/>
    <mergeCell ref="AC58:AJ58"/>
    <mergeCell ref="D60:E60"/>
    <mergeCell ref="D61:E61"/>
    <mergeCell ref="D62:E62"/>
    <mergeCell ref="L63:Q63"/>
    <mergeCell ref="AD63:AI63"/>
    <mergeCell ref="B2:B3"/>
    <mergeCell ref="C2:C3"/>
    <mergeCell ref="D2:AK2"/>
    <mergeCell ref="D54:AH54"/>
    <mergeCell ref="F57:G57"/>
    <mergeCell ref="L57:Q57"/>
    <mergeCell ref="AC57:AJ57"/>
  </mergeCells>
  <dataValidations count="2">
    <dataValidation allowBlank="1" showInputMessage="1" showErrorMessage="1" prompt="isi dengan jumlah HARI EFEKTIF" sqref="D57"/>
    <dataValidation allowBlank="1" showInputMessage="1" showErrorMessage="1" promptTitle="TIDAK USAH DI GANTI" prompt="hasil dari perkalian HARI EFEKTIF dan JUMLAH SISWA" sqref="F57"/>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88"/>
  <sheetViews>
    <sheetView topLeftCell="A46" workbookViewId="0">
      <selection activeCell="AE19" sqref="AE19"/>
    </sheetView>
  </sheetViews>
  <sheetFormatPr defaultColWidth="0" defaultRowHeight="0" customHeight="1" zeroHeight="1"/>
  <cols>
    <col min="1" max="1" width="9.140625" style="24" customWidth="1"/>
    <col min="2" max="2" width="5.85546875" style="24" customWidth="1"/>
    <col min="3" max="3" width="24.140625" style="24" customWidth="1"/>
    <col min="4" max="6" width="4.5703125" style="24" customWidth="1"/>
    <col min="7" max="7" width="2.85546875" style="24" customWidth="1"/>
    <col min="8" max="10" width="4.5703125" style="24" customWidth="1"/>
    <col min="11" max="11" width="2.140625" style="24" customWidth="1"/>
    <col min="12" max="14" width="4.5703125" style="24" customWidth="1"/>
    <col min="15" max="15" width="2.140625" style="24" customWidth="1"/>
    <col min="16" max="18" width="4.5703125" style="24" customWidth="1"/>
    <col min="19" max="19" width="2.140625" style="24" customWidth="1"/>
    <col min="20" max="22" width="4.5703125" style="24" customWidth="1"/>
    <col min="23" max="23" width="2.28515625" style="24" customWidth="1"/>
    <col min="24" max="26" width="4.5703125" style="24" customWidth="1"/>
    <col min="27" max="27" width="2.28515625" style="24" customWidth="1"/>
    <col min="28" max="30" width="4.5703125" style="24" customWidth="1"/>
    <col min="31" max="31" width="9.140625" style="24" customWidth="1"/>
    <col min="32" max="40" width="0" style="24" hidden="1" customWidth="1"/>
    <col min="41" max="16384" width="9.140625" style="24" hidden="1"/>
  </cols>
  <sheetData>
    <row r="1" spans="1:30" ht="15">
      <c r="A1" s="758"/>
    </row>
    <row r="2" spans="1:30" ht="21">
      <c r="A2" s="758"/>
      <c r="B2" s="1017" t="s">
        <v>2</v>
      </c>
      <c r="C2" s="1017" t="s">
        <v>965</v>
      </c>
      <c r="D2" s="1018" t="s">
        <v>164</v>
      </c>
      <c r="E2" s="1018"/>
      <c r="F2" s="1018"/>
      <c r="G2" s="1018"/>
      <c r="H2" s="1018"/>
      <c r="I2" s="1018"/>
      <c r="J2" s="1018"/>
      <c r="K2" s="1018"/>
      <c r="L2" s="1018"/>
      <c r="M2" s="1018"/>
      <c r="N2" s="1018"/>
      <c r="O2" s="1018"/>
      <c r="P2" s="1018"/>
      <c r="Q2" s="1018"/>
      <c r="R2" s="1018"/>
      <c r="S2" s="1018"/>
      <c r="T2" s="1018"/>
      <c r="U2" s="1018"/>
      <c r="V2" s="1018"/>
      <c r="W2" s="1018"/>
      <c r="X2" s="1018"/>
      <c r="Y2" s="1018"/>
      <c r="Z2" s="1018"/>
      <c r="AA2" s="1018"/>
      <c r="AB2" s="1018"/>
      <c r="AC2" s="1018"/>
      <c r="AD2" s="1018"/>
    </row>
    <row r="3" spans="1:30" ht="15">
      <c r="A3" s="758"/>
      <c r="B3" s="1017"/>
      <c r="C3" s="1017"/>
      <c r="D3" s="1022" t="s">
        <v>966</v>
      </c>
      <c r="E3" s="1023"/>
      <c r="F3" s="1024"/>
      <c r="G3" s="831"/>
      <c r="H3" s="1022" t="s">
        <v>976</v>
      </c>
      <c r="I3" s="1023"/>
      <c r="J3" s="1024"/>
      <c r="K3" s="831"/>
      <c r="L3" s="1022" t="s">
        <v>978</v>
      </c>
      <c r="M3" s="1023"/>
      <c r="N3" s="1024"/>
      <c r="O3" s="831"/>
      <c r="P3" s="1022" t="s">
        <v>980</v>
      </c>
      <c r="Q3" s="1023"/>
      <c r="R3" s="1024"/>
      <c r="S3" s="831"/>
      <c r="T3" s="1022" t="s">
        <v>982</v>
      </c>
      <c r="U3" s="1023"/>
      <c r="V3" s="1024"/>
      <c r="W3" s="831"/>
      <c r="X3" s="1022" t="s">
        <v>983</v>
      </c>
      <c r="Y3" s="1023"/>
      <c r="Z3" s="1024"/>
      <c r="AA3" s="831"/>
      <c r="AB3" s="1022" t="s">
        <v>460</v>
      </c>
      <c r="AC3" s="1023"/>
      <c r="AD3" s="1024"/>
    </row>
    <row r="4" spans="1:30" ht="15">
      <c r="A4" s="758"/>
      <c r="B4" s="832"/>
      <c r="C4" s="832"/>
      <c r="D4" s="832" t="s">
        <v>967</v>
      </c>
      <c r="E4" s="832" t="s">
        <v>884</v>
      </c>
      <c r="F4" s="832" t="s">
        <v>968</v>
      </c>
      <c r="G4" s="831"/>
      <c r="H4" s="832" t="s">
        <v>967</v>
      </c>
      <c r="I4" s="832" t="s">
        <v>884</v>
      </c>
      <c r="J4" s="832" t="s">
        <v>968</v>
      </c>
      <c r="K4" s="831"/>
      <c r="L4" s="832" t="s">
        <v>967</v>
      </c>
      <c r="M4" s="832" t="s">
        <v>884</v>
      </c>
      <c r="N4" s="832" t="s">
        <v>968</v>
      </c>
      <c r="O4" s="831"/>
      <c r="P4" s="832" t="s">
        <v>967</v>
      </c>
      <c r="Q4" s="832" t="s">
        <v>884</v>
      </c>
      <c r="R4" s="832" t="s">
        <v>968</v>
      </c>
      <c r="S4" s="831"/>
      <c r="T4" s="832" t="s">
        <v>967</v>
      </c>
      <c r="U4" s="832" t="s">
        <v>884</v>
      </c>
      <c r="V4" s="832" t="s">
        <v>968</v>
      </c>
      <c r="W4" s="831"/>
      <c r="X4" s="832" t="s">
        <v>967</v>
      </c>
      <c r="Y4" s="832" t="s">
        <v>884</v>
      </c>
      <c r="Z4" s="832" t="s">
        <v>968</v>
      </c>
      <c r="AA4" s="831"/>
      <c r="AB4" s="832" t="s">
        <v>967</v>
      </c>
      <c r="AC4" s="832" t="s">
        <v>884</v>
      </c>
      <c r="AD4" s="832" t="s">
        <v>968</v>
      </c>
    </row>
    <row r="5" spans="1:30" ht="15">
      <c r="A5" s="758"/>
      <c r="B5" s="833">
        <v>1</v>
      </c>
      <c r="C5" s="834" t="str">
        <f>SISWA!E6</f>
        <v>Anak 1</v>
      </c>
      <c r="D5" s="835">
        <f>JAN!AI4</f>
        <v>0</v>
      </c>
      <c r="E5" s="835">
        <f>JAN!AJ4</f>
        <v>0</v>
      </c>
      <c r="F5" s="835">
        <f>JAN!AK4</f>
        <v>0</v>
      </c>
      <c r="G5" s="836"/>
      <c r="H5" s="835">
        <f>PEB!AI4</f>
        <v>0</v>
      </c>
      <c r="I5" s="835">
        <f>PEB!AJ4</f>
        <v>0</v>
      </c>
      <c r="J5" s="835">
        <f>PEB!AK4</f>
        <v>0</v>
      </c>
      <c r="K5" s="836"/>
      <c r="L5" s="835">
        <f>MART!AI4</f>
        <v>0</v>
      </c>
      <c r="M5" s="835">
        <f>MART!AJ4</f>
        <v>0</v>
      </c>
      <c r="N5" s="835">
        <f>MART!AK4</f>
        <v>0</v>
      </c>
      <c r="O5" s="836"/>
      <c r="P5" s="835">
        <f>APR!AI4</f>
        <v>0</v>
      </c>
      <c r="Q5" s="835">
        <f>APR!AJ4</f>
        <v>0</v>
      </c>
      <c r="R5" s="835">
        <f>APR!AK4</f>
        <v>0</v>
      </c>
      <c r="S5" s="836"/>
      <c r="T5" s="835">
        <f>MEI!AI4</f>
        <v>0</v>
      </c>
      <c r="U5" s="835">
        <f>MEI!AJ4</f>
        <v>0</v>
      </c>
      <c r="V5" s="835">
        <f>MEI!AK4</f>
        <v>0</v>
      </c>
      <c r="W5" s="836"/>
      <c r="X5" s="835">
        <f>JUN!AI4</f>
        <v>0</v>
      </c>
      <c r="Y5" s="835">
        <f>JUN!AJ4</f>
        <v>0</v>
      </c>
      <c r="Z5" s="835">
        <f>JUN!AK4</f>
        <v>0</v>
      </c>
      <c r="AA5" s="836"/>
      <c r="AB5" s="837">
        <f>SUM(D5,H5,L5,P5,T5,X5)</f>
        <v>0</v>
      </c>
      <c r="AC5" s="837">
        <f>SUM(E5,I5,M5,Q5,U5,Y5)</f>
        <v>0</v>
      </c>
      <c r="AD5" s="837">
        <f>SUM(F5,J5,N5,R5,V5,Z5)</f>
        <v>0</v>
      </c>
    </row>
    <row r="6" spans="1:30" ht="15">
      <c r="A6" s="758"/>
      <c r="B6" s="833">
        <v>2</v>
      </c>
      <c r="C6" s="834" t="str">
        <f>SISWA!E7</f>
        <v>Anak 2</v>
      </c>
      <c r="D6" s="835">
        <f>JAN!AI5</f>
        <v>3</v>
      </c>
      <c r="E6" s="835">
        <f>JAN!AJ5</f>
        <v>0</v>
      </c>
      <c r="F6" s="835">
        <f>JAN!AK5</f>
        <v>0</v>
      </c>
      <c r="G6" s="836"/>
      <c r="H6" s="835">
        <f>PEB!AI5</f>
        <v>0</v>
      </c>
      <c r="I6" s="835">
        <f>PEB!AJ5</f>
        <v>0</v>
      </c>
      <c r="J6" s="835">
        <f>PEB!AK5</f>
        <v>0</v>
      </c>
      <c r="K6" s="836"/>
      <c r="L6" s="835">
        <f>MART!AI5</f>
        <v>0</v>
      </c>
      <c r="M6" s="835">
        <f>MART!AJ5</f>
        <v>0</v>
      </c>
      <c r="N6" s="835">
        <f>MART!AK5</f>
        <v>0</v>
      </c>
      <c r="O6" s="836"/>
      <c r="P6" s="835">
        <f>APR!AI5</f>
        <v>0</v>
      </c>
      <c r="Q6" s="835">
        <f>APR!AJ5</f>
        <v>0</v>
      </c>
      <c r="R6" s="835">
        <f>APR!AK5</f>
        <v>0</v>
      </c>
      <c r="S6" s="836"/>
      <c r="T6" s="835">
        <f>MEI!AI5</f>
        <v>0</v>
      </c>
      <c r="U6" s="835">
        <f>MEI!AJ5</f>
        <v>0</v>
      </c>
      <c r="V6" s="835">
        <f>MEI!AK5</f>
        <v>0</v>
      </c>
      <c r="W6" s="836"/>
      <c r="X6" s="835">
        <f>JUN!AI5</f>
        <v>0</v>
      </c>
      <c r="Y6" s="835">
        <f>JUN!AJ5</f>
        <v>0</v>
      </c>
      <c r="Z6" s="835">
        <f>JUN!AK5</f>
        <v>0</v>
      </c>
      <c r="AA6" s="836"/>
      <c r="AB6" s="837">
        <f t="shared" ref="AB6:AB54" si="0">SUM(D6,H6,L6,P6,T6,X6)</f>
        <v>3</v>
      </c>
      <c r="AC6" s="837">
        <f t="shared" ref="AC6:AC54" si="1">SUM(E6,I6,M6,Q6,U6,Y6)</f>
        <v>0</v>
      </c>
      <c r="AD6" s="837">
        <f t="shared" ref="AD6:AD54" si="2">SUM(F6,J6,N6,R6,V6,Z6)</f>
        <v>0</v>
      </c>
    </row>
    <row r="7" spans="1:30" ht="15">
      <c r="A7" s="758"/>
      <c r="B7" s="833">
        <v>3</v>
      </c>
      <c r="C7" s="834" t="str">
        <f>SISWA!E8</f>
        <v>Anak 3</v>
      </c>
      <c r="D7" s="835">
        <f>JAN!AI6</f>
        <v>0</v>
      </c>
      <c r="E7" s="835">
        <f>JAN!AJ6</f>
        <v>0</v>
      </c>
      <c r="F7" s="835">
        <f>JAN!AK6</f>
        <v>0</v>
      </c>
      <c r="G7" s="836"/>
      <c r="H7" s="835">
        <f>PEB!AI6</f>
        <v>0</v>
      </c>
      <c r="I7" s="835">
        <f>PEB!AJ6</f>
        <v>0</v>
      </c>
      <c r="J7" s="835">
        <f>PEB!AK6</f>
        <v>0</v>
      </c>
      <c r="K7" s="836"/>
      <c r="L7" s="835">
        <f>MART!AI6</f>
        <v>0</v>
      </c>
      <c r="M7" s="835">
        <f>MART!AJ6</f>
        <v>0</v>
      </c>
      <c r="N7" s="835">
        <f>MART!AK6</f>
        <v>0</v>
      </c>
      <c r="O7" s="836"/>
      <c r="P7" s="835">
        <f>APR!AI6</f>
        <v>0</v>
      </c>
      <c r="Q7" s="835">
        <f>APR!AJ6</f>
        <v>0</v>
      </c>
      <c r="R7" s="835">
        <f>APR!AK6</f>
        <v>0</v>
      </c>
      <c r="S7" s="836"/>
      <c r="T7" s="835">
        <f>MEI!AI6</f>
        <v>0</v>
      </c>
      <c r="U7" s="835">
        <f>MEI!AJ6</f>
        <v>0</v>
      </c>
      <c r="V7" s="835">
        <f>MEI!AK6</f>
        <v>0</v>
      </c>
      <c r="W7" s="836"/>
      <c r="X7" s="835">
        <f>JUN!AI6</f>
        <v>0</v>
      </c>
      <c r="Y7" s="835">
        <f>JUN!AJ6</f>
        <v>0</v>
      </c>
      <c r="Z7" s="835">
        <f>JUN!AK6</f>
        <v>0</v>
      </c>
      <c r="AA7" s="836"/>
      <c r="AB7" s="837">
        <f t="shared" si="0"/>
        <v>0</v>
      </c>
      <c r="AC7" s="837">
        <f t="shared" si="1"/>
        <v>0</v>
      </c>
      <c r="AD7" s="837">
        <f t="shared" si="2"/>
        <v>0</v>
      </c>
    </row>
    <row r="8" spans="1:30" ht="15">
      <c r="A8" s="758"/>
      <c r="B8" s="833">
        <v>4</v>
      </c>
      <c r="C8" s="834" t="str">
        <f>SISWA!E9</f>
        <v>Anak 4</v>
      </c>
      <c r="D8" s="835">
        <f>JAN!AI7</f>
        <v>0</v>
      </c>
      <c r="E8" s="835">
        <f>JAN!AJ7</f>
        <v>0</v>
      </c>
      <c r="F8" s="835">
        <f>JAN!AK7</f>
        <v>0</v>
      </c>
      <c r="G8" s="836"/>
      <c r="H8" s="835">
        <f>PEB!AI7</f>
        <v>0</v>
      </c>
      <c r="I8" s="835">
        <f>PEB!AJ7</f>
        <v>0</v>
      </c>
      <c r="J8" s="835">
        <f>PEB!AK7</f>
        <v>0</v>
      </c>
      <c r="K8" s="836"/>
      <c r="L8" s="835">
        <f>MART!AI7</f>
        <v>0</v>
      </c>
      <c r="M8" s="835">
        <f>MART!AJ7</f>
        <v>0</v>
      </c>
      <c r="N8" s="835">
        <f>MART!AK7</f>
        <v>0</v>
      </c>
      <c r="O8" s="836"/>
      <c r="P8" s="835">
        <f>APR!AI7</f>
        <v>0</v>
      </c>
      <c r="Q8" s="835">
        <f>APR!AJ7</f>
        <v>0</v>
      </c>
      <c r="R8" s="835">
        <f>APR!AK7</f>
        <v>0</v>
      </c>
      <c r="S8" s="836"/>
      <c r="T8" s="835">
        <f>MEI!AI7</f>
        <v>0</v>
      </c>
      <c r="U8" s="835">
        <f>MEI!AJ7</f>
        <v>0</v>
      </c>
      <c r="V8" s="835">
        <f>MEI!AK7</f>
        <v>0</v>
      </c>
      <c r="W8" s="836"/>
      <c r="X8" s="835">
        <f>JUN!AI7</f>
        <v>0</v>
      </c>
      <c r="Y8" s="835">
        <f>JUN!AJ7</f>
        <v>0</v>
      </c>
      <c r="Z8" s="835">
        <f>JUN!AK7</f>
        <v>0</v>
      </c>
      <c r="AA8" s="836"/>
      <c r="AB8" s="837">
        <f t="shared" si="0"/>
        <v>0</v>
      </c>
      <c r="AC8" s="837">
        <f t="shared" si="1"/>
        <v>0</v>
      </c>
      <c r="AD8" s="837">
        <f t="shared" si="2"/>
        <v>0</v>
      </c>
    </row>
    <row r="9" spans="1:30" ht="15">
      <c r="A9" s="758"/>
      <c r="B9" s="833">
        <v>5</v>
      </c>
      <c r="C9" s="834" t="str">
        <f>SISWA!E10</f>
        <v>Anak 5</v>
      </c>
      <c r="D9" s="835">
        <f>JAN!AI8</f>
        <v>1</v>
      </c>
      <c r="E9" s="835">
        <f>JAN!AJ8</f>
        <v>0</v>
      </c>
      <c r="F9" s="835">
        <f>JAN!AK8</f>
        <v>0</v>
      </c>
      <c r="G9" s="836"/>
      <c r="H9" s="835">
        <f>PEB!AI8</f>
        <v>0</v>
      </c>
      <c r="I9" s="835">
        <f>PEB!AJ8</f>
        <v>0</v>
      </c>
      <c r="J9" s="835">
        <f>PEB!AK8</f>
        <v>0</v>
      </c>
      <c r="K9" s="836"/>
      <c r="L9" s="835">
        <f>MART!AI8</f>
        <v>0</v>
      </c>
      <c r="M9" s="835">
        <f>MART!AJ8</f>
        <v>0</v>
      </c>
      <c r="N9" s="835">
        <f>MART!AK8</f>
        <v>0</v>
      </c>
      <c r="O9" s="836"/>
      <c r="P9" s="835">
        <f>APR!AI8</f>
        <v>6</v>
      </c>
      <c r="Q9" s="835">
        <f>APR!AJ8</f>
        <v>0</v>
      </c>
      <c r="R9" s="835">
        <f>APR!AK8</f>
        <v>0</v>
      </c>
      <c r="S9" s="836"/>
      <c r="T9" s="835">
        <f>MEI!AI8</f>
        <v>0</v>
      </c>
      <c r="U9" s="835">
        <f>MEI!AJ8</f>
        <v>0</v>
      </c>
      <c r="V9" s="835">
        <f>MEI!AK8</f>
        <v>0</v>
      </c>
      <c r="W9" s="836"/>
      <c r="X9" s="835">
        <f>JUN!AI8</f>
        <v>0</v>
      </c>
      <c r="Y9" s="835">
        <f>JUN!AJ8</f>
        <v>0</v>
      </c>
      <c r="Z9" s="835">
        <f>JUN!AK8</f>
        <v>0</v>
      </c>
      <c r="AA9" s="836"/>
      <c r="AB9" s="837">
        <f t="shared" si="0"/>
        <v>7</v>
      </c>
      <c r="AC9" s="837">
        <f t="shared" si="1"/>
        <v>0</v>
      </c>
      <c r="AD9" s="837">
        <f t="shared" si="2"/>
        <v>0</v>
      </c>
    </row>
    <row r="10" spans="1:30" ht="15">
      <c r="A10" s="758"/>
      <c r="B10" s="833">
        <v>6</v>
      </c>
      <c r="C10" s="834" t="str">
        <f>SISWA!E11</f>
        <v>Anak 6</v>
      </c>
      <c r="D10" s="835">
        <f>JAN!AI9</f>
        <v>0</v>
      </c>
      <c r="E10" s="835">
        <f>JAN!AJ9</f>
        <v>0</v>
      </c>
      <c r="F10" s="835">
        <f>JAN!AK9</f>
        <v>0</v>
      </c>
      <c r="G10" s="836"/>
      <c r="H10" s="835">
        <f>PEB!AI9</f>
        <v>0</v>
      </c>
      <c r="I10" s="835">
        <f>PEB!AJ9</f>
        <v>0</v>
      </c>
      <c r="J10" s="835">
        <f>PEB!AK9</f>
        <v>0</v>
      </c>
      <c r="K10" s="836"/>
      <c r="L10" s="835">
        <f>MART!AI9</f>
        <v>0</v>
      </c>
      <c r="M10" s="835">
        <f>MART!AJ9</f>
        <v>0</v>
      </c>
      <c r="N10" s="835">
        <f>MART!AK9</f>
        <v>0</v>
      </c>
      <c r="O10" s="836"/>
      <c r="P10" s="835">
        <f>APR!AI9</f>
        <v>0</v>
      </c>
      <c r="Q10" s="835">
        <f>APR!AJ9</f>
        <v>0</v>
      </c>
      <c r="R10" s="835">
        <f>APR!AK9</f>
        <v>0</v>
      </c>
      <c r="S10" s="836"/>
      <c r="T10" s="835">
        <f>MEI!AI9</f>
        <v>0</v>
      </c>
      <c r="U10" s="835">
        <f>MEI!AJ9</f>
        <v>0</v>
      </c>
      <c r="V10" s="835">
        <f>MEI!AK9</f>
        <v>0</v>
      </c>
      <c r="W10" s="836"/>
      <c r="X10" s="835">
        <f>JUN!AI9</f>
        <v>0</v>
      </c>
      <c r="Y10" s="835">
        <f>JUN!AJ9</f>
        <v>0</v>
      </c>
      <c r="Z10" s="835">
        <f>JUN!AK9</f>
        <v>0</v>
      </c>
      <c r="AA10" s="836"/>
      <c r="AB10" s="837">
        <f t="shared" si="0"/>
        <v>0</v>
      </c>
      <c r="AC10" s="837">
        <f t="shared" si="1"/>
        <v>0</v>
      </c>
      <c r="AD10" s="837">
        <f t="shared" si="2"/>
        <v>0</v>
      </c>
    </row>
    <row r="11" spans="1:30" ht="15">
      <c r="A11" s="758"/>
      <c r="B11" s="833">
        <v>7</v>
      </c>
      <c r="C11" s="834" t="str">
        <f>SISWA!E12</f>
        <v>Anak 7</v>
      </c>
      <c r="D11" s="835">
        <f>JAN!AI10</f>
        <v>0</v>
      </c>
      <c r="E11" s="835">
        <f>JAN!AJ10</f>
        <v>0</v>
      </c>
      <c r="F11" s="835">
        <f>JAN!AK10</f>
        <v>0</v>
      </c>
      <c r="G11" s="836"/>
      <c r="H11" s="835">
        <f>PEB!AI10</f>
        <v>0</v>
      </c>
      <c r="I11" s="835">
        <f>PEB!AJ10</f>
        <v>0</v>
      </c>
      <c r="J11" s="835">
        <f>PEB!AK10</f>
        <v>0</v>
      </c>
      <c r="K11" s="836"/>
      <c r="L11" s="835">
        <f>MART!AI10</f>
        <v>0</v>
      </c>
      <c r="M11" s="835">
        <f>MART!AJ10</f>
        <v>0</v>
      </c>
      <c r="N11" s="835">
        <f>MART!AK10</f>
        <v>0</v>
      </c>
      <c r="O11" s="836"/>
      <c r="P11" s="835">
        <f>APR!AI10</f>
        <v>0</v>
      </c>
      <c r="Q11" s="835">
        <f>APR!AJ10</f>
        <v>0</v>
      </c>
      <c r="R11" s="835">
        <f>APR!AK10</f>
        <v>0</v>
      </c>
      <c r="S11" s="836"/>
      <c r="T11" s="835">
        <f>MEI!AI10</f>
        <v>0</v>
      </c>
      <c r="U11" s="835">
        <f>MEI!AJ10</f>
        <v>0</v>
      </c>
      <c r="V11" s="835">
        <f>MEI!AK10</f>
        <v>0</v>
      </c>
      <c r="W11" s="836"/>
      <c r="X11" s="835">
        <f>JUN!AI10</f>
        <v>0</v>
      </c>
      <c r="Y11" s="835">
        <f>JUN!AJ10</f>
        <v>0</v>
      </c>
      <c r="Z11" s="835">
        <f>JUN!AK10</f>
        <v>0</v>
      </c>
      <c r="AA11" s="836"/>
      <c r="AB11" s="837">
        <f t="shared" si="0"/>
        <v>0</v>
      </c>
      <c r="AC11" s="837">
        <f t="shared" si="1"/>
        <v>0</v>
      </c>
      <c r="AD11" s="837">
        <f t="shared" si="2"/>
        <v>0</v>
      </c>
    </row>
    <row r="12" spans="1:30" ht="15">
      <c r="A12" s="758"/>
      <c r="B12" s="833">
        <v>8</v>
      </c>
      <c r="C12" s="834" t="str">
        <f>SISWA!E13</f>
        <v>Anak 8</v>
      </c>
      <c r="D12" s="835">
        <f>JAN!AI11</f>
        <v>0</v>
      </c>
      <c r="E12" s="835">
        <f>JAN!AJ11</f>
        <v>0</v>
      </c>
      <c r="F12" s="835">
        <f>JAN!AK11</f>
        <v>0</v>
      </c>
      <c r="G12" s="836"/>
      <c r="H12" s="835">
        <f>PEB!AI11</f>
        <v>1</v>
      </c>
      <c r="I12" s="835">
        <f>PEB!AJ11</f>
        <v>0</v>
      </c>
      <c r="J12" s="835">
        <f>PEB!AK11</f>
        <v>0</v>
      </c>
      <c r="K12" s="836"/>
      <c r="L12" s="835">
        <f>MART!AI11</f>
        <v>0</v>
      </c>
      <c r="M12" s="835">
        <f>MART!AJ11</f>
        <v>0</v>
      </c>
      <c r="N12" s="835">
        <f>MART!AK11</f>
        <v>0</v>
      </c>
      <c r="O12" s="836"/>
      <c r="P12" s="835">
        <f>APR!AI11</f>
        <v>0</v>
      </c>
      <c r="Q12" s="835">
        <f>APR!AJ11</f>
        <v>0</v>
      </c>
      <c r="R12" s="835">
        <f>APR!AK11</f>
        <v>0</v>
      </c>
      <c r="S12" s="836"/>
      <c r="T12" s="835">
        <f>MEI!AI11</f>
        <v>0</v>
      </c>
      <c r="U12" s="835">
        <f>MEI!AJ11</f>
        <v>0</v>
      </c>
      <c r="V12" s="835">
        <f>MEI!AK11</f>
        <v>0</v>
      </c>
      <c r="W12" s="836"/>
      <c r="X12" s="835">
        <f>JUN!AI11</f>
        <v>0</v>
      </c>
      <c r="Y12" s="835">
        <f>JUN!AJ11</f>
        <v>0</v>
      </c>
      <c r="Z12" s="835">
        <f>JUN!AK11</f>
        <v>0</v>
      </c>
      <c r="AA12" s="836"/>
      <c r="AB12" s="837">
        <f t="shared" si="0"/>
        <v>1</v>
      </c>
      <c r="AC12" s="837">
        <f t="shared" si="1"/>
        <v>0</v>
      </c>
      <c r="AD12" s="837">
        <f t="shared" si="2"/>
        <v>0</v>
      </c>
    </row>
    <row r="13" spans="1:30" ht="15">
      <c r="A13" s="758"/>
      <c r="B13" s="833">
        <v>9</v>
      </c>
      <c r="C13" s="834" t="str">
        <f>SISWA!E14</f>
        <v>Anak 9</v>
      </c>
      <c r="D13" s="835">
        <f>JAN!AI12</f>
        <v>0</v>
      </c>
      <c r="E13" s="835">
        <f>JAN!AJ12</f>
        <v>0</v>
      </c>
      <c r="F13" s="835">
        <f>JAN!AK12</f>
        <v>1</v>
      </c>
      <c r="G13" s="836"/>
      <c r="H13" s="835">
        <f>PEB!AI12</f>
        <v>0</v>
      </c>
      <c r="I13" s="835">
        <f>PEB!AJ12</f>
        <v>0</v>
      </c>
      <c r="J13" s="835">
        <f>PEB!AK12</f>
        <v>0</v>
      </c>
      <c r="K13" s="836"/>
      <c r="L13" s="835">
        <f>MART!AI12</f>
        <v>0</v>
      </c>
      <c r="M13" s="835">
        <f>MART!AJ12</f>
        <v>0</v>
      </c>
      <c r="N13" s="835">
        <f>MART!AK12</f>
        <v>0</v>
      </c>
      <c r="O13" s="836"/>
      <c r="P13" s="835">
        <f>APR!AI12</f>
        <v>0</v>
      </c>
      <c r="Q13" s="835">
        <f>APR!AJ12</f>
        <v>0</v>
      </c>
      <c r="R13" s="835">
        <f>APR!AK12</f>
        <v>0</v>
      </c>
      <c r="S13" s="836"/>
      <c r="T13" s="835">
        <f>MEI!AI12</f>
        <v>0</v>
      </c>
      <c r="U13" s="835">
        <f>MEI!AJ12</f>
        <v>0</v>
      </c>
      <c r="V13" s="835">
        <f>MEI!AK12</f>
        <v>0</v>
      </c>
      <c r="W13" s="836"/>
      <c r="X13" s="835">
        <f>JUN!AI12</f>
        <v>0</v>
      </c>
      <c r="Y13" s="835">
        <f>JUN!AJ12</f>
        <v>0</v>
      </c>
      <c r="Z13" s="835">
        <f>JUN!AK12</f>
        <v>0</v>
      </c>
      <c r="AA13" s="836"/>
      <c r="AB13" s="837">
        <f t="shared" si="0"/>
        <v>0</v>
      </c>
      <c r="AC13" s="837">
        <f t="shared" si="1"/>
        <v>0</v>
      </c>
      <c r="AD13" s="837">
        <f t="shared" si="2"/>
        <v>1</v>
      </c>
    </row>
    <row r="14" spans="1:30" ht="15">
      <c r="A14" s="758"/>
      <c r="B14" s="833">
        <v>10</v>
      </c>
      <c r="C14" s="834" t="str">
        <f>SISWA!E15</f>
        <v>Anak 10</v>
      </c>
      <c r="D14" s="835">
        <f>JAN!AI13</f>
        <v>0</v>
      </c>
      <c r="E14" s="835">
        <f>JAN!AJ13</f>
        <v>0</v>
      </c>
      <c r="F14" s="835">
        <f>JAN!AK13</f>
        <v>0</v>
      </c>
      <c r="G14" s="836"/>
      <c r="H14" s="835">
        <f>PEB!AI13</f>
        <v>0</v>
      </c>
      <c r="I14" s="835">
        <f>PEB!AJ13</f>
        <v>0</v>
      </c>
      <c r="J14" s="835">
        <f>PEB!AK13</f>
        <v>0</v>
      </c>
      <c r="K14" s="836"/>
      <c r="L14" s="835">
        <f>MART!AI13</f>
        <v>0</v>
      </c>
      <c r="M14" s="835">
        <f>MART!AJ13</f>
        <v>0</v>
      </c>
      <c r="N14" s="835">
        <f>MART!AK13</f>
        <v>0</v>
      </c>
      <c r="O14" s="836"/>
      <c r="P14" s="835">
        <f>APR!AI13</f>
        <v>0</v>
      </c>
      <c r="Q14" s="835">
        <f>APR!AJ13</f>
        <v>0</v>
      </c>
      <c r="R14" s="835">
        <f>APR!AK13</f>
        <v>0</v>
      </c>
      <c r="S14" s="836"/>
      <c r="T14" s="835">
        <f>MEI!AI13</f>
        <v>0</v>
      </c>
      <c r="U14" s="835">
        <f>MEI!AJ13</f>
        <v>0</v>
      </c>
      <c r="V14" s="835">
        <f>MEI!AK13</f>
        <v>0</v>
      </c>
      <c r="W14" s="836"/>
      <c r="X14" s="835">
        <f>JUN!AI13</f>
        <v>0</v>
      </c>
      <c r="Y14" s="835">
        <f>JUN!AJ13</f>
        <v>0</v>
      </c>
      <c r="Z14" s="835">
        <f>JUN!AK13</f>
        <v>0</v>
      </c>
      <c r="AA14" s="836"/>
      <c r="AB14" s="837">
        <f t="shared" si="0"/>
        <v>0</v>
      </c>
      <c r="AC14" s="837">
        <f t="shared" si="1"/>
        <v>0</v>
      </c>
      <c r="AD14" s="837">
        <f t="shared" si="2"/>
        <v>0</v>
      </c>
    </row>
    <row r="15" spans="1:30" ht="15">
      <c r="A15" s="758"/>
      <c r="B15" s="833">
        <v>11</v>
      </c>
      <c r="C15" s="834" t="str">
        <f>SISWA!E16</f>
        <v>Anak 11</v>
      </c>
      <c r="D15" s="835">
        <f>JAN!AI14</f>
        <v>0</v>
      </c>
      <c r="E15" s="835">
        <f>JAN!AJ14</f>
        <v>0</v>
      </c>
      <c r="F15" s="835">
        <f>JAN!AK14</f>
        <v>0</v>
      </c>
      <c r="G15" s="836"/>
      <c r="H15" s="835">
        <f>PEB!AI14</f>
        <v>0</v>
      </c>
      <c r="I15" s="835">
        <f>PEB!AJ14</f>
        <v>0</v>
      </c>
      <c r="J15" s="835">
        <f>PEB!AK14</f>
        <v>0</v>
      </c>
      <c r="K15" s="836"/>
      <c r="L15" s="835">
        <f>MART!AI14</f>
        <v>0</v>
      </c>
      <c r="M15" s="835">
        <f>MART!AJ14</f>
        <v>0</v>
      </c>
      <c r="N15" s="835">
        <f>MART!AK14</f>
        <v>0</v>
      </c>
      <c r="O15" s="836"/>
      <c r="P15" s="835">
        <f>APR!AI14</f>
        <v>0</v>
      </c>
      <c r="Q15" s="835">
        <f>APR!AJ14</f>
        <v>0</v>
      </c>
      <c r="R15" s="835">
        <f>APR!AK14</f>
        <v>0</v>
      </c>
      <c r="S15" s="836"/>
      <c r="T15" s="835">
        <f>MEI!AI14</f>
        <v>0</v>
      </c>
      <c r="U15" s="835">
        <f>MEI!AJ14</f>
        <v>0</v>
      </c>
      <c r="V15" s="835">
        <f>MEI!AK14</f>
        <v>0</v>
      </c>
      <c r="W15" s="836"/>
      <c r="X15" s="835">
        <f>JUN!AI14</f>
        <v>0</v>
      </c>
      <c r="Y15" s="835">
        <f>JUN!AJ14</f>
        <v>0</v>
      </c>
      <c r="Z15" s="835">
        <f>JUN!AK14</f>
        <v>0</v>
      </c>
      <c r="AA15" s="836"/>
      <c r="AB15" s="837">
        <f t="shared" si="0"/>
        <v>0</v>
      </c>
      <c r="AC15" s="837">
        <f t="shared" si="1"/>
        <v>0</v>
      </c>
      <c r="AD15" s="837">
        <f t="shared" si="2"/>
        <v>0</v>
      </c>
    </row>
    <row r="16" spans="1:30" ht="15">
      <c r="A16" s="758"/>
      <c r="B16" s="833">
        <v>12</v>
      </c>
      <c r="C16" s="834" t="str">
        <f>SISWA!E17</f>
        <v>Anak 12</v>
      </c>
      <c r="D16" s="835">
        <f>JAN!AI15</f>
        <v>0</v>
      </c>
      <c r="E16" s="835">
        <f>JAN!AJ15</f>
        <v>0</v>
      </c>
      <c r="F16" s="835">
        <f>JAN!AK15</f>
        <v>0</v>
      </c>
      <c r="G16" s="836"/>
      <c r="H16" s="835">
        <f>PEB!AI15</f>
        <v>0</v>
      </c>
      <c r="I16" s="835">
        <f>PEB!AJ15</f>
        <v>0</v>
      </c>
      <c r="J16" s="835">
        <f>PEB!AK15</f>
        <v>0</v>
      </c>
      <c r="K16" s="836"/>
      <c r="L16" s="835">
        <f>MART!AI15</f>
        <v>0</v>
      </c>
      <c r="M16" s="835">
        <f>MART!AJ15</f>
        <v>0</v>
      </c>
      <c r="N16" s="835">
        <f>MART!AK15</f>
        <v>0</v>
      </c>
      <c r="O16" s="836"/>
      <c r="P16" s="835">
        <f>APR!AI15</f>
        <v>0</v>
      </c>
      <c r="Q16" s="835">
        <f>APR!AJ15</f>
        <v>0</v>
      </c>
      <c r="R16" s="835">
        <f>APR!AK15</f>
        <v>0</v>
      </c>
      <c r="S16" s="836"/>
      <c r="T16" s="835">
        <f>MEI!AI15</f>
        <v>0</v>
      </c>
      <c r="U16" s="835">
        <f>MEI!AJ15</f>
        <v>0</v>
      </c>
      <c r="V16" s="835">
        <f>MEI!AK15</f>
        <v>0</v>
      </c>
      <c r="W16" s="836"/>
      <c r="X16" s="835">
        <f>JUN!AI15</f>
        <v>0</v>
      </c>
      <c r="Y16" s="835">
        <f>JUN!AJ15</f>
        <v>0</v>
      </c>
      <c r="Z16" s="835">
        <f>JUN!AK15</f>
        <v>0</v>
      </c>
      <c r="AA16" s="836"/>
      <c r="AB16" s="837">
        <f t="shared" si="0"/>
        <v>0</v>
      </c>
      <c r="AC16" s="837">
        <f t="shared" si="1"/>
        <v>0</v>
      </c>
      <c r="AD16" s="837">
        <f t="shared" si="2"/>
        <v>0</v>
      </c>
    </row>
    <row r="17" spans="1:30" ht="15">
      <c r="A17" s="758"/>
      <c r="B17" s="833">
        <v>13</v>
      </c>
      <c r="C17" s="834" t="str">
        <f>SISWA!E18</f>
        <v>Anak 13</v>
      </c>
      <c r="D17" s="835">
        <f>JAN!AI16</f>
        <v>0</v>
      </c>
      <c r="E17" s="835">
        <f>JAN!AJ16</f>
        <v>0</v>
      </c>
      <c r="F17" s="835">
        <f>JAN!AK16</f>
        <v>0</v>
      </c>
      <c r="G17" s="836"/>
      <c r="H17" s="835">
        <f>PEB!AI16</f>
        <v>0</v>
      </c>
      <c r="I17" s="835">
        <f>PEB!AJ16</f>
        <v>0</v>
      </c>
      <c r="J17" s="835">
        <f>PEB!AK16</f>
        <v>0</v>
      </c>
      <c r="K17" s="836"/>
      <c r="L17" s="835">
        <f>MART!AI16</f>
        <v>0</v>
      </c>
      <c r="M17" s="835">
        <f>MART!AJ16</f>
        <v>0</v>
      </c>
      <c r="N17" s="835">
        <f>MART!AK16</f>
        <v>0</v>
      </c>
      <c r="O17" s="836"/>
      <c r="P17" s="835">
        <f>APR!AI16</f>
        <v>0</v>
      </c>
      <c r="Q17" s="835">
        <f>APR!AJ16</f>
        <v>0</v>
      </c>
      <c r="R17" s="835">
        <f>APR!AK16</f>
        <v>0</v>
      </c>
      <c r="S17" s="836"/>
      <c r="T17" s="835">
        <f>MEI!AI16</f>
        <v>0</v>
      </c>
      <c r="U17" s="835">
        <f>MEI!AJ16</f>
        <v>0</v>
      </c>
      <c r="V17" s="835">
        <f>MEI!AK16</f>
        <v>0</v>
      </c>
      <c r="W17" s="836"/>
      <c r="X17" s="835">
        <f>JUN!AI16</f>
        <v>0</v>
      </c>
      <c r="Y17" s="835">
        <f>JUN!AJ16</f>
        <v>0</v>
      </c>
      <c r="Z17" s="835">
        <f>JUN!AK16</f>
        <v>0</v>
      </c>
      <c r="AA17" s="836"/>
      <c r="AB17" s="837">
        <f t="shared" si="0"/>
        <v>0</v>
      </c>
      <c r="AC17" s="837">
        <f t="shared" si="1"/>
        <v>0</v>
      </c>
      <c r="AD17" s="837">
        <f t="shared" si="2"/>
        <v>0</v>
      </c>
    </row>
    <row r="18" spans="1:30" ht="15">
      <c r="A18" s="758"/>
      <c r="B18" s="833">
        <v>14</v>
      </c>
      <c r="C18" s="834" t="str">
        <f>SISWA!E19</f>
        <v>Anak 14</v>
      </c>
      <c r="D18" s="835">
        <f>JAN!AI17</f>
        <v>0</v>
      </c>
      <c r="E18" s="835">
        <f>JAN!AJ17</f>
        <v>0</v>
      </c>
      <c r="F18" s="835">
        <f>JAN!AK17</f>
        <v>0</v>
      </c>
      <c r="G18" s="836"/>
      <c r="H18" s="835">
        <f>PEB!AI17</f>
        <v>0</v>
      </c>
      <c r="I18" s="835">
        <f>PEB!AJ17</f>
        <v>0</v>
      </c>
      <c r="J18" s="835">
        <f>PEB!AK17</f>
        <v>0</v>
      </c>
      <c r="K18" s="836"/>
      <c r="L18" s="835">
        <f>MART!AI17</f>
        <v>0</v>
      </c>
      <c r="M18" s="835">
        <f>MART!AJ17</f>
        <v>1</v>
      </c>
      <c r="N18" s="835">
        <f>MART!AK17</f>
        <v>0</v>
      </c>
      <c r="O18" s="836"/>
      <c r="P18" s="835">
        <f>APR!AI17</f>
        <v>0</v>
      </c>
      <c r="Q18" s="835">
        <f>APR!AJ17</f>
        <v>0</v>
      </c>
      <c r="R18" s="835">
        <f>APR!AK17</f>
        <v>0</v>
      </c>
      <c r="S18" s="836"/>
      <c r="T18" s="835">
        <f>MEI!AI17</f>
        <v>0</v>
      </c>
      <c r="U18" s="835">
        <f>MEI!AJ17</f>
        <v>0</v>
      </c>
      <c r="V18" s="835">
        <f>MEI!AK17</f>
        <v>0</v>
      </c>
      <c r="W18" s="836"/>
      <c r="X18" s="835">
        <f>JUN!AI17</f>
        <v>0</v>
      </c>
      <c r="Y18" s="835">
        <f>JUN!AJ17</f>
        <v>0</v>
      </c>
      <c r="Z18" s="835">
        <f>JUN!AK17</f>
        <v>0</v>
      </c>
      <c r="AA18" s="836"/>
      <c r="AB18" s="837">
        <f t="shared" si="0"/>
        <v>0</v>
      </c>
      <c r="AC18" s="837">
        <f t="shared" si="1"/>
        <v>1</v>
      </c>
      <c r="AD18" s="837">
        <f t="shared" si="2"/>
        <v>0</v>
      </c>
    </row>
    <row r="19" spans="1:30" ht="15">
      <c r="A19" s="758"/>
      <c r="B19" s="833">
        <v>15</v>
      </c>
      <c r="C19" s="834" t="str">
        <f>SISWA!E20</f>
        <v>Anak 15</v>
      </c>
      <c r="D19" s="835">
        <f>JAN!AI18</f>
        <v>0</v>
      </c>
      <c r="E19" s="835">
        <f>JAN!AJ18</f>
        <v>0</v>
      </c>
      <c r="F19" s="835">
        <f>JAN!AK18</f>
        <v>1</v>
      </c>
      <c r="G19" s="836"/>
      <c r="H19" s="835">
        <f>PEB!AI18</f>
        <v>0</v>
      </c>
      <c r="I19" s="835">
        <f>PEB!AJ18</f>
        <v>0</v>
      </c>
      <c r="J19" s="835">
        <f>PEB!AK18</f>
        <v>0</v>
      </c>
      <c r="K19" s="836"/>
      <c r="L19" s="835">
        <f>MART!AI18</f>
        <v>0</v>
      </c>
      <c r="M19" s="835">
        <f>MART!AJ18</f>
        <v>0</v>
      </c>
      <c r="N19" s="835">
        <f>MART!AK18</f>
        <v>0</v>
      </c>
      <c r="O19" s="836"/>
      <c r="P19" s="835">
        <f>APR!AI18</f>
        <v>0</v>
      </c>
      <c r="Q19" s="835">
        <f>APR!AJ18</f>
        <v>0</v>
      </c>
      <c r="R19" s="835">
        <f>APR!AK18</f>
        <v>0</v>
      </c>
      <c r="S19" s="836"/>
      <c r="T19" s="835">
        <f>MEI!AI18</f>
        <v>0</v>
      </c>
      <c r="U19" s="835">
        <f>MEI!AJ18</f>
        <v>0</v>
      </c>
      <c r="V19" s="835">
        <f>MEI!AK18</f>
        <v>0</v>
      </c>
      <c r="W19" s="836"/>
      <c r="X19" s="835">
        <f>JUN!AI18</f>
        <v>0</v>
      </c>
      <c r="Y19" s="835">
        <f>JUN!AJ18</f>
        <v>0</v>
      </c>
      <c r="Z19" s="835">
        <f>JUN!AK18</f>
        <v>0</v>
      </c>
      <c r="AA19" s="836"/>
      <c r="AB19" s="837">
        <f t="shared" si="0"/>
        <v>0</v>
      </c>
      <c r="AC19" s="837">
        <f t="shared" si="1"/>
        <v>0</v>
      </c>
      <c r="AD19" s="837">
        <f t="shared" si="2"/>
        <v>1</v>
      </c>
    </row>
    <row r="20" spans="1:30" ht="15">
      <c r="A20" s="758"/>
      <c r="B20" s="833">
        <v>16</v>
      </c>
      <c r="C20" s="834" t="str">
        <f>SISWA!E21</f>
        <v>Anak 16</v>
      </c>
      <c r="D20" s="835">
        <f>JAN!AI19</f>
        <v>1</v>
      </c>
      <c r="E20" s="835">
        <f>JAN!AJ19</f>
        <v>0</v>
      </c>
      <c r="F20" s="835">
        <f>JAN!AK19</f>
        <v>0</v>
      </c>
      <c r="G20" s="836"/>
      <c r="H20" s="835">
        <f>PEB!AI19</f>
        <v>0</v>
      </c>
      <c r="I20" s="835">
        <f>PEB!AJ19</f>
        <v>0</v>
      </c>
      <c r="J20" s="835">
        <f>PEB!AK19</f>
        <v>0</v>
      </c>
      <c r="K20" s="836"/>
      <c r="L20" s="835">
        <f>MART!AI19</f>
        <v>0</v>
      </c>
      <c r="M20" s="835">
        <f>MART!AJ19</f>
        <v>0</v>
      </c>
      <c r="N20" s="835">
        <f>MART!AK19</f>
        <v>0</v>
      </c>
      <c r="O20" s="836"/>
      <c r="P20" s="835">
        <f>APR!AI19</f>
        <v>0</v>
      </c>
      <c r="Q20" s="835">
        <f>APR!AJ19</f>
        <v>0</v>
      </c>
      <c r="R20" s="835">
        <f>APR!AK19</f>
        <v>0</v>
      </c>
      <c r="S20" s="836"/>
      <c r="T20" s="835">
        <f>MEI!AI19</f>
        <v>0</v>
      </c>
      <c r="U20" s="835">
        <f>MEI!AJ19</f>
        <v>0</v>
      </c>
      <c r="V20" s="835">
        <f>MEI!AK19</f>
        <v>0</v>
      </c>
      <c r="W20" s="836"/>
      <c r="X20" s="835">
        <f>JUN!AI19</f>
        <v>0</v>
      </c>
      <c r="Y20" s="835">
        <f>JUN!AJ19</f>
        <v>0</v>
      </c>
      <c r="Z20" s="835">
        <f>JUN!AK19</f>
        <v>0</v>
      </c>
      <c r="AA20" s="836"/>
      <c r="AB20" s="837">
        <f t="shared" si="0"/>
        <v>1</v>
      </c>
      <c r="AC20" s="837">
        <f t="shared" si="1"/>
        <v>0</v>
      </c>
      <c r="AD20" s="837">
        <f t="shared" si="2"/>
        <v>0</v>
      </c>
    </row>
    <row r="21" spans="1:30" ht="15">
      <c r="A21" s="758"/>
      <c r="B21" s="833">
        <v>17</v>
      </c>
      <c r="C21" s="834" t="str">
        <f>SISWA!E22</f>
        <v>Anak 17</v>
      </c>
      <c r="D21" s="835">
        <f>JAN!AI20</f>
        <v>0</v>
      </c>
      <c r="E21" s="835">
        <f>JAN!AJ20</f>
        <v>0</v>
      </c>
      <c r="F21" s="835">
        <f>JAN!AK20</f>
        <v>0</v>
      </c>
      <c r="G21" s="836"/>
      <c r="H21" s="835">
        <f>PEB!AI20</f>
        <v>0</v>
      </c>
      <c r="I21" s="835">
        <f>PEB!AJ20</f>
        <v>0</v>
      </c>
      <c r="J21" s="835">
        <f>PEB!AK20</f>
        <v>0</v>
      </c>
      <c r="K21" s="836"/>
      <c r="L21" s="835">
        <f>MART!AI20</f>
        <v>0</v>
      </c>
      <c r="M21" s="835">
        <f>MART!AJ20</f>
        <v>0</v>
      </c>
      <c r="N21" s="835">
        <f>MART!AK20</f>
        <v>0</v>
      </c>
      <c r="O21" s="836"/>
      <c r="P21" s="835">
        <f>APR!AI20</f>
        <v>0</v>
      </c>
      <c r="Q21" s="835">
        <f>APR!AJ20</f>
        <v>0</v>
      </c>
      <c r="R21" s="835">
        <f>APR!AK20</f>
        <v>0</v>
      </c>
      <c r="S21" s="836"/>
      <c r="T21" s="835">
        <f>MEI!AI20</f>
        <v>0</v>
      </c>
      <c r="U21" s="835">
        <f>MEI!AJ20</f>
        <v>0</v>
      </c>
      <c r="V21" s="835">
        <f>MEI!AK20</f>
        <v>0</v>
      </c>
      <c r="W21" s="836"/>
      <c r="X21" s="835">
        <f>JUN!AI20</f>
        <v>0</v>
      </c>
      <c r="Y21" s="835">
        <f>JUN!AJ20</f>
        <v>0</v>
      </c>
      <c r="Z21" s="835">
        <f>JUN!AK20</f>
        <v>0</v>
      </c>
      <c r="AA21" s="836"/>
      <c r="AB21" s="837">
        <f t="shared" si="0"/>
        <v>0</v>
      </c>
      <c r="AC21" s="837">
        <f t="shared" si="1"/>
        <v>0</v>
      </c>
      <c r="AD21" s="837">
        <f t="shared" si="2"/>
        <v>0</v>
      </c>
    </row>
    <row r="22" spans="1:30" ht="15">
      <c r="A22" s="758"/>
      <c r="B22" s="833">
        <v>18</v>
      </c>
      <c r="C22" s="834" t="str">
        <f>SISWA!E23</f>
        <v>Anak 18</v>
      </c>
      <c r="D22" s="835">
        <f>JAN!AI21</f>
        <v>0</v>
      </c>
      <c r="E22" s="835">
        <f>JAN!AJ21</f>
        <v>1</v>
      </c>
      <c r="F22" s="835">
        <f>JAN!AK21</f>
        <v>0</v>
      </c>
      <c r="G22" s="836"/>
      <c r="H22" s="835">
        <f>PEB!AI21</f>
        <v>0</v>
      </c>
      <c r="I22" s="835">
        <f>PEB!AJ21</f>
        <v>0</v>
      </c>
      <c r="J22" s="835">
        <f>PEB!AK21</f>
        <v>0</v>
      </c>
      <c r="K22" s="836"/>
      <c r="L22" s="835">
        <f>MART!AI21</f>
        <v>0</v>
      </c>
      <c r="M22" s="835">
        <f>MART!AJ21</f>
        <v>0</v>
      </c>
      <c r="N22" s="835">
        <f>MART!AK21</f>
        <v>0</v>
      </c>
      <c r="O22" s="836"/>
      <c r="P22" s="835">
        <f>APR!AI21</f>
        <v>0</v>
      </c>
      <c r="Q22" s="835">
        <f>APR!AJ21</f>
        <v>0</v>
      </c>
      <c r="R22" s="835">
        <f>APR!AK21</f>
        <v>0</v>
      </c>
      <c r="S22" s="836"/>
      <c r="T22" s="835">
        <f>MEI!AI21</f>
        <v>0</v>
      </c>
      <c r="U22" s="835">
        <f>MEI!AJ21</f>
        <v>0</v>
      </c>
      <c r="V22" s="835">
        <f>MEI!AK21</f>
        <v>0</v>
      </c>
      <c r="W22" s="836"/>
      <c r="X22" s="835">
        <f>JUN!AI21</f>
        <v>0</v>
      </c>
      <c r="Y22" s="835">
        <f>JUN!AJ21</f>
        <v>0</v>
      </c>
      <c r="Z22" s="835">
        <f>JUN!AK21</f>
        <v>0</v>
      </c>
      <c r="AA22" s="836"/>
      <c r="AB22" s="837">
        <f t="shared" si="0"/>
        <v>0</v>
      </c>
      <c r="AC22" s="837">
        <f t="shared" si="1"/>
        <v>1</v>
      </c>
      <c r="AD22" s="837">
        <f t="shared" si="2"/>
        <v>0</v>
      </c>
    </row>
    <row r="23" spans="1:30" ht="15">
      <c r="A23" s="758"/>
      <c r="B23" s="833">
        <v>19</v>
      </c>
      <c r="C23" s="834" t="str">
        <f>SISWA!E24</f>
        <v>Anak 19</v>
      </c>
      <c r="D23" s="835">
        <f>JAN!AI22</f>
        <v>0</v>
      </c>
      <c r="E23" s="835">
        <f>JAN!AJ22</f>
        <v>0</v>
      </c>
      <c r="F23" s="835">
        <f>JAN!AK22</f>
        <v>0</v>
      </c>
      <c r="G23" s="836"/>
      <c r="H23" s="835">
        <f>PEB!AI22</f>
        <v>0</v>
      </c>
      <c r="I23" s="835">
        <f>PEB!AJ22</f>
        <v>0</v>
      </c>
      <c r="J23" s="835">
        <f>PEB!AK22</f>
        <v>0</v>
      </c>
      <c r="K23" s="836"/>
      <c r="L23" s="835">
        <f>MART!AI22</f>
        <v>0</v>
      </c>
      <c r="M23" s="835">
        <f>MART!AJ22</f>
        <v>0</v>
      </c>
      <c r="N23" s="835">
        <f>MART!AK22</f>
        <v>0</v>
      </c>
      <c r="O23" s="836"/>
      <c r="P23" s="835">
        <f>APR!AI22</f>
        <v>0</v>
      </c>
      <c r="Q23" s="835">
        <f>APR!AJ22</f>
        <v>0</v>
      </c>
      <c r="R23" s="835">
        <f>APR!AK22</f>
        <v>0</v>
      </c>
      <c r="S23" s="836"/>
      <c r="T23" s="835">
        <f>MEI!AI22</f>
        <v>0</v>
      </c>
      <c r="U23" s="835">
        <f>MEI!AJ22</f>
        <v>0</v>
      </c>
      <c r="V23" s="835">
        <f>MEI!AK22</f>
        <v>0</v>
      </c>
      <c r="W23" s="836"/>
      <c r="X23" s="835">
        <f>JUN!AI22</f>
        <v>0</v>
      </c>
      <c r="Y23" s="835">
        <f>JUN!AJ22</f>
        <v>0</v>
      </c>
      <c r="Z23" s="835">
        <f>JUN!AK22</f>
        <v>0</v>
      </c>
      <c r="AA23" s="836"/>
      <c r="AB23" s="837">
        <f t="shared" si="0"/>
        <v>0</v>
      </c>
      <c r="AC23" s="837">
        <f t="shared" si="1"/>
        <v>0</v>
      </c>
      <c r="AD23" s="837">
        <f t="shared" si="2"/>
        <v>0</v>
      </c>
    </row>
    <row r="24" spans="1:30" ht="15">
      <c r="A24" s="758"/>
      <c r="B24" s="833">
        <v>20</v>
      </c>
      <c r="C24" s="834" t="str">
        <f>SISWA!E25</f>
        <v>Anak 20</v>
      </c>
      <c r="D24" s="835">
        <f>JAN!AI23</f>
        <v>0</v>
      </c>
      <c r="E24" s="835">
        <f>JAN!AJ23</f>
        <v>0</v>
      </c>
      <c r="F24" s="835">
        <f>JAN!AK23</f>
        <v>0</v>
      </c>
      <c r="G24" s="836"/>
      <c r="H24" s="835">
        <f>PEB!AI23</f>
        <v>0</v>
      </c>
      <c r="I24" s="835">
        <f>PEB!AJ23</f>
        <v>0</v>
      </c>
      <c r="J24" s="835">
        <f>PEB!AK23</f>
        <v>0</v>
      </c>
      <c r="K24" s="836"/>
      <c r="L24" s="835">
        <f>MART!AI23</f>
        <v>0</v>
      </c>
      <c r="M24" s="835">
        <f>MART!AJ23</f>
        <v>0</v>
      </c>
      <c r="N24" s="835">
        <f>MART!AK23</f>
        <v>0</v>
      </c>
      <c r="O24" s="836"/>
      <c r="P24" s="835">
        <f>APR!AI23</f>
        <v>0</v>
      </c>
      <c r="Q24" s="835">
        <f>APR!AJ23</f>
        <v>0</v>
      </c>
      <c r="R24" s="835">
        <f>APR!AK23</f>
        <v>0</v>
      </c>
      <c r="S24" s="836"/>
      <c r="T24" s="835">
        <f>MEI!AI23</f>
        <v>0</v>
      </c>
      <c r="U24" s="835">
        <f>MEI!AJ23</f>
        <v>0</v>
      </c>
      <c r="V24" s="835">
        <f>MEI!AK23</f>
        <v>0</v>
      </c>
      <c r="W24" s="836"/>
      <c r="X24" s="835">
        <f>JUN!AI23</f>
        <v>0</v>
      </c>
      <c r="Y24" s="835">
        <f>JUN!AJ23</f>
        <v>0</v>
      </c>
      <c r="Z24" s="835">
        <f>JUN!AK23</f>
        <v>0</v>
      </c>
      <c r="AA24" s="836"/>
      <c r="AB24" s="837">
        <f t="shared" si="0"/>
        <v>0</v>
      </c>
      <c r="AC24" s="837">
        <f t="shared" si="1"/>
        <v>0</v>
      </c>
      <c r="AD24" s="837">
        <f t="shared" si="2"/>
        <v>0</v>
      </c>
    </row>
    <row r="25" spans="1:30" ht="15">
      <c r="A25" s="758"/>
      <c r="B25" s="833">
        <v>21</v>
      </c>
      <c r="C25" s="834" t="str">
        <f>SISWA!E26</f>
        <v>Anak 21</v>
      </c>
      <c r="D25" s="835">
        <f>JAN!AI24</f>
        <v>0</v>
      </c>
      <c r="E25" s="835">
        <f>JAN!AJ24</f>
        <v>0</v>
      </c>
      <c r="F25" s="835">
        <f>JAN!AK24</f>
        <v>1</v>
      </c>
      <c r="G25" s="836"/>
      <c r="H25" s="835">
        <f>PEB!AI24</f>
        <v>0</v>
      </c>
      <c r="I25" s="835">
        <f>PEB!AJ24</f>
        <v>0</v>
      </c>
      <c r="J25" s="835">
        <f>PEB!AK24</f>
        <v>0</v>
      </c>
      <c r="K25" s="836"/>
      <c r="L25" s="835">
        <f>MART!AI24</f>
        <v>0</v>
      </c>
      <c r="M25" s="835">
        <f>MART!AJ24</f>
        <v>0</v>
      </c>
      <c r="N25" s="835">
        <f>MART!AK24</f>
        <v>0</v>
      </c>
      <c r="O25" s="836"/>
      <c r="P25" s="835">
        <f>APR!AI24</f>
        <v>0</v>
      </c>
      <c r="Q25" s="835">
        <f>APR!AJ24</f>
        <v>0</v>
      </c>
      <c r="R25" s="835">
        <f>APR!AK24</f>
        <v>0</v>
      </c>
      <c r="S25" s="836"/>
      <c r="T25" s="835">
        <f>MEI!AI24</f>
        <v>0</v>
      </c>
      <c r="U25" s="835">
        <f>MEI!AJ24</f>
        <v>0</v>
      </c>
      <c r="V25" s="835">
        <f>MEI!AK24</f>
        <v>0</v>
      </c>
      <c r="W25" s="836"/>
      <c r="X25" s="835">
        <f>JUN!AI24</f>
        <v>0</v>
      </c>
      <c r="Y25" s="835">
        <f>JUN!AJ24</f>
        <v>0</v>
      </c>
      <c r="Z25" s="835">
        <f>JUN!AK24</f>
        <v>0</v>
      </c>
      <c r="AA25" s="836"/>
      <c r="AB25" s="837">
        <f t="shared" si="0"/>
        <v>0</v>
      </c>
      <c r="AC25" s="837">
        <f t="shared" si="1"/>
        <v>0</v>
      </c>
      <c r="AD25" s="837">
        <f t="shared" si="2"/>
        <v>1</v>
      </c>
    </row>
    <row r="26" spans="1:30" ht="15">
      <c r="A26" s="758"/>
      <c r="B26" s="833">
        <v>22</v>
      </c>
      <c r="C26" s="834" t="str">
        <f>SISWA!E27</f>
        <v>Anak 22</v>
      </c>
      <c r="D26" s="835">
        <f>JAN!AI25</f>
        <v>0</v>
      </c>
      <c r="E26" s="835">
        <f>JAN!AJ25</f>
        <v>0</v>
      </c>
      <c r="F26" s="835">
        <f>JAN!AK25</f>
        <v>0</v>
      </c>
      <c r="G26" s="836"/>
      <c r="H26" s="835">
        <f>PEB!AI25</f>
        <v>0</v>
      </c>
      <c r="I26" s="835">
        <f>PEB!AJ25</f>
        <v>0</v>
      </c>
      <c r="J26" s="835">
        <f>PEB!AK25</f>
        <v>0</v>
      </c>
      <c r="K26" s="836"/>
      <c r="L26" s="835">
        <f>MART!AI25</f>
        <v>0</v>
      </c>
      <c r="M26" s="835">
        <f>MART!AJ25</f>
        <v>0</v>
      </c>
      <c r="N26" s="835">
        <f>MART!AK25</f>
        <v>0</v>
      </c>
      <c r="O26" s="836"/>
      <c r="P26" s="835">
        <f>APR!AI25</f>
        <v>0</v>
      </c>
      <c r="Q26" s="835">
        <f>APR!AJ25</f>
        <v>0</v>
      </c>
      <c r="R26" s="835">
        <f>APR!AK25</f>
        <v>0</v>
      </c>
      <c r="S26" s="836"/>
      <c r="T26" s="835">
        <f>MEI!AI25</f>
        <v>0</v>
      </c>
      <c r="U26" s="835">
        <f>MEI!AJ25</f>
        <v>0</v>
      </c>
      <c r="V26" s="835">
        <f>MEI!AK25</f>
        <v>0</v>
      </c>
      <c r="W26" s="836"/>
      <c r="X26" s="835">
        <f>JUN!AI25</f>
        <v>0</v>
      </c>
      <c r="Y26" s="835">
        <f>JUN!AJ25</f>
        <v>0</v>
      </c>
      <c r="Z26" s="835">
        <f>JUN!AK25</f>
        <v>0</v>
      </c>
      <c r="AA26" s="836"/>
      <c r="AB26" s="837">
        <f t="shared" si="0"/>
        <v>0</v>
      </c>
      <c r="AC26" s="837">
        <f t="shared" si="1"/>
        <v>0</v>
      </c>
      <c r="AD26" s="837">
        <f t="shared" si="2"/>
        <v>0</v>
      </c>
    </row>
    <row r="27" spans="1:30" ht="15">
      <c r="A27" s="758"/>
      <c r="B27" s="833">
        <v>23</v>
      </c>
      <c r="C27" s="834" t="str">
        <f>SISWA!E28</f>
        <v>Anak 23</v>
      </c>
      <c r="D27" s="835">
        <f>JAN!AI26</f>
        <v>0</v>
      </c>
      <c r="E27" s="835">
        <f>JAN!AJ26</f>
        <v>0</v>
      </c>
      <c r="F27" s="835">
        <f>JAN!AK26</f>
        <v>0</v>
      </c>
      <c r="G27" s="836"/>
      <c r="H27" s="835">
        <f>PEB!AI26</f>
        <v>0</v>
      </c>
      <c r="I27" s="835">
        <f>PEB!AJ26</f>
        <v>0</v>
      </c>
      <c r="J27" s="835">
        <f>PEB!AK26</f>
        <v>0</v>
      </c>
      <c r="K27" s="836"/>
      <c r="L27" s="835">
        <f>MART!AI26</f>
        <v>0</v>
      </c>
      <c r="M27" s="835">
        <f>MART!AJ26</f>
        <v>0</v>
      </c>
      <c r="N27" s="835">
        <f>MART!AK26</f>
        <v>0</v>
      </c>
      <c r="O27" s="836"/>
      <c r="P27" s="835">
        <f>APR!AI26</f>
        <v>0</v>
      </c>
      <c r="Q27" s="835">
        <f>APR!AJ26</f>
        <v>0</v>
      </c>
      <c r="R27" s="835">
        <f>APR!AK26</f>
        <v>0</v>
      </c>
      <c r="S27" s="836"/>
      <c r="T27" s="835">
        <f>MEI!AI26</f>
        <v>0</v>
      </c>
      <c r="U27" s="835">
        <f>MEI!AJ26</f>
        <v>0</v>
      </c>
      <c r="V27" s="835">
        <f>MEI!AK26</f>
        <v>0</v>
      </c>
      <c r="W27" s="836"/>
      <c r="X27" s="835">
        <f>JUN!AI26</f>
        <v>0</v>
      </c>
      <c r="Y27" s="835">
        <f>JUN!AJ26</f>
        <v>0</v>
      </c>
      <c r="Z27" s="835">
        <f>JUN!AK26</f>
        <v>0</v>
      </c>
      <c r="AA27" s="836"/>
      <c r="AB27" s="837">
        <f t="shared" si="0"/>
        <v>0</v>
      </c>
      <c r="AC27" s="837">
        <f t="shared" si="1"/>
        <v>0</v>
      </c>
      <c r="AD27" s="837">
        <f t="shared" si="2"/>
        <v>0</v>
      </c>
    </row>
    <row r="28" spans="1:30" ht="15">
      <c r="A28" s="758"/>
      <c r="B28" s="833">
        <v>24</v>
      </c>
      <c r="C28" s="834" t="str">
        <f>SISWA!E29</f>
        <v>Anak 24</v>
      </c>
      <c r="D28" s="835">
        <f>JAN!AI27</f>
        <v>0</v>
      </c>
      <c r="E28" s="835">
        <f>JAN!AJ27</f>
        <v>0</v>
      </c>
      <c r="F28" s="835">
        <f>JAN!AK27</f>
        <v>0</v>
      </c>
      <c r="G28" s="836"/>
      <c r="H28" s="835">
        <f>PEB!AI27</f>
        <v>0</v>
      </c>
      <c r="I28" s="835">
        <f>PEB!AJ27</f>
        <v>0</v>
      </c>
      <c r="J28" s="835">
        <f>PEB!AK27</f>
        <v>0</v>
      </c>
      <c r="K28" s="836"/>
      <c r="L28" s="835">
        <f>MART!AI27</f>
        <v>0</v>
      </c>
      <c r="M28" s="835">
        <f>MART!AJ27</f>
        <v>0</v>
      </c>
      <c r="N28" s="835">
        <f>MART!AK27</f>
        <v>0</v>
      </c>
      <c r="O28" s="836"/>
      <c r="P28" s="835">
        <f>APR!AI27</f>
        <v>0</v>
      </c>
      <c r="Q28" s="835">
        <f>APR!AJ27</f>
        <v>0</v>
      </c>
      <c r="R28" s="835">
        <f>APR!AK27</f>
        <v>0</v>
      </c>
      <c r="S28" s="836"/>
      <c r="T28" s="835">
        <f>MEI!AI27</f>
        <v>0</v>
      </c>
      <c r="U28" s="835">
        <f>MEI!AJ27</f>
        <v>0</v>
      </c>
      <c r="V28" s="835">
        <f>MEI!AK27</f>
        <v>0</v>
      </c>
      <c r="W28" s="836"/>
      <c r="X28" s="835">
        <f>JUN!AI27</f>
        <v>0</v>
      </c>
      <c r="Y28" s="835">
        <f>JUN!AJ27</f>
        <v>0</v>
      </c>
      <c r="Z28" s="835">
        <f>JUN!AK27</f>
        <v>0</v>
      </c>
      <c r="AA28" s="836"/>
      <c r="AB28" s="837">
        <f t="shared" si="0"/>
        <v>0</v>
      </c>
      <c r="AC28" s="837">
        <f t="shared" si="1"/>
        <v>0</v>
      </c>
      <c r="AD28" s="837">
        <f t="shared" si="2"/>
        <v>0</v>
      </c>
    </row>
    <row r="29" spans="1:30" ht="15">
      <c r="A29" s="758"/>
      <c r="B29" s="833">
        <v>25</v>
      </c>
      <c r="C29" s="834" t="str">
        <f>SISWA!E30</f>
        <v>Anak 25</v>
      </c>
      <c r="D29" s="835">
        <f>JAN!AI28</f>
        <v>0</v>
      </c>
      <c r="E29" s="835">
        <f>JAN!AJ28</f>
        <v>0</v>
      </c>
      <c r="F29" s="835">
        <f>JAN!AK28</f>
        <v>0</v>
      </c>
      <c r="G29" s="836"/>
      <c r="H29" s="835">
        <f>PEB!AI28</f>
        <v>0</v>
      </c>
      <c r="I29" s="835">
        <f>PEB!AJ28</f>
        <v>0</v>
      </c>
      <c r="J29" s="835">
        <f>PEB!AK28</f>
        <v>0</v>
      </c>
      <c r="K29" s="836"/>
      <c r="L29" s="835">
        <f>MART!AI28</f>
        <v>0</v>
      </c>
      <c r="M29" s="835">
        <f>MART!AJ28</f>
        <v>0</v>
      </c>
      <c r="N29" s="835">
        <f>MART!AK28</f>
        <v>0</v>
      </c>
      <c r="O29" s="836"/>
      <c r="P29" s="835">
        <f>APR!AI28</f>
        <v>0</v>
      </c>
      <c r="Q29" s="835">
        <f>APR!AJ28</f>
        <v>0</v>
      </c>
      <c r="R29" s="835">
        <f>APR!AK28</f>
        <v>0</v>
      </c>
      <c r="S29" s="836"/>
      <c r="T29" s="835">
        <f>MEI!AI28</f>
        <v>0</v>
      </c>
      <c r="U29" s="835">
        <f>MEI!AJ28</f>
        <v>0</v>
      </c>
      <c r="V29" s="835">
        <f>MEI!AK28</f>
        <v>0</v>
      </c>
      <c r="W29" s="836"/>
      <c r="X29" s="835">
        <f>JUN!AI28</f>
        <v>0</v>
      </c>
      <c r="Y29" s="835">
        <f>JUN!AJ28</f>
        <v>0</v>
      </c>
      <c r="Z29" s="835">
        <f>JUN!AK28</f>
        <v>0</v>
      </c>
      <c r="AA29" s="836"/>
      <c r="AB29" s="837">
        <f t="shared" si="0"/>
        <v>0</v>
      </c>
      <c r="AC29" s="837">
        <f t="shared" si="1"/>
        <v>0</v>
      </c>
      <c r="AD29" s="837">
        <f t="shared" si="2"/>
        <v>0</v>
      </c>
    </row>
    <row r="30" spans="1:30" ht="15">
      <c r="A30" s="758"/>
      <c r="B30" s="833">
        <v>26</v>
      </c>
      <c r="C30" s="834" t="str">
        <f>SISWA!E31</f>
        <v>Anak 26</v>
      </c>
      <c r="D30" s="835">
        <f>JAN!AI29</f>
        <v>0</v>
      </c>
      <c r="E30" s="835">
        <f>JAN!AJ29</f>
        <v>0</v>
      </c>
      <c r="F30" s="835">
        <f>JAN!AK29</f>
        <v>0</v>
      </c>
      <c r="G30" s="836"/>
      <c r="H30" s="835">
        <f>PEB!AI29</f>
        <v>0</v>
      </c>
      <c r="I30" s="835">
        <f>PEB!AJ29</f>
        <v>0</v>
      </c>
      <c r="J30" s="835">
        <f>PEB!AK29</f>
        <v>0</v>
      </c>
      <c r="K30" s="836"/>
      <c r="L30" s="835">
        <f>MART!AI29</f>
        <v>0</v>
      </c>
      <c r="M30" s="835">
        <f>MART!AJ29</f>
        <v>0</v>
      </c>
      <c r="N30" s="835">
        <f>MART!AK29</f>
        <v>0</v>
      </c>
      <c r="O30" s="836"/>
      <c r="P30" s="835">
        <f>APR!AI29</f>
        <v>0</v>
      </c>
      <c r="Q30" s="835">
        <f>APR!AJ29</f>
        <v>0</v>
      </c>
      <c r="R30" s="835">
        <f>APR!AK29</f>
        <v>0</v>
      </c>
      <c r="S30" s="836"/>
      <c r="T30" s="835">
        <f>MEI!AI29</f>
        <v>0</v>
      </c>
      <c r="U30" s="835">
        <f>MEI!AJ29</f>
        <v>0</v>
      </c>
      <c r="V30" s="835">
        <f>MEI!AK29</f>
        <v>0</v>
      </c>
      <c r="W30" s="836"/>
      <c r="X30" s="835">
        <f>JUN!AI29</f>
        <v>0</v>
      </c>
      <c r="Y30" s="835">
        <f>JUN!AJ29</f>
        <v>0</v>
      </c>
      <c r="Z30" s="835">
        <f>JUN!AK29</f>
        <v>0</v>
      </c>
      <c r="AA30" s="836"/>
      <c r="AB30" s="837">
        <f t="shared" si="0"/>
        <v>0</v>
      </c>
      <c r="AC30" s="837">
        <f t="shared" si="1"/>
        <v>0</v>
      </c>
      <c r="AD30" s="837">
        <f t="shared" si="2"/>
        <v>0</v>
      </c>
    </row>
    <row r="31" spans="1:30" ht="15">
      <c r="A31" s="758"/>
      <c r="B31" s="833">
        <v>27</v>
      </c>
      <c r="C31" s="834" t="str">
        <f>SISWA!E32</f>
        <v>Anak 27</v>
      </c>
      <c r="D31" s="835">
        <f>JAN!AI30</f>
        <v>0</v>
      </c>
      <c r="E31" s="835">
        <f>JAN!AJ30</f>
        <v>0</v>
      </c>
      <c r="F31" s="835">
        <f>JAN!AK30</f>
        <v>0</v>
      </c>
      <c r="G31" s="836"/>
      <c r="H31" s="835">
        <f>PEB!AI30</f>
        <v>0</v>
      </c>
      <c r="I31" s="835">
        <f>PEB!AJ30</f>
        <v>0</v>
      </c>
      <c r="J31" s="835">
        <f>PEB!AK30</f>
        <v>0</v>
      </c>
      <c r="K31" s="836"/>
      <c r="L31" s="835">
        <f>MART!AI30</f>
        <v>0</v>
      </c>
      <c r="M31" s="835">
        <f>MART!AJ30</f>
        <v>0</v>
      </c>
      <c r="N31" s="835">
        <f>MART!AK30</f>
        <v>0</v>
      </c>
      <c r="O31" s="836"/>
      <c r="P31" s="835">
        <f>APR!AI30</f>
        <v>0</v>
      </c>
      <c r="Q31" s="835">
        <f>APR!AJ30</f>
        <v>0</v>
      </c>
      <c r="R31" s="835">
        <f>APR!AK30</f>
        <v>0</v>
      </c>
      <c r="S31" s="836"/>
      <c r="T31" s="835">
        <f>MEI!AI30</f>
        <v>0</v>
      </c>
      <c r="U31" s="835">
        <f>MEI!AJ30</f>
        <v>0</v>
      </c>
      <c r="V31" s="835">
        <f>MEI!AK30</f>
        <v>0</v>
      </c>
      <c r="W31" s="836"/>
      <c r="X31" s="835">
        <f>JUN!AI30</f>
        <v>0</v>
      </c>
      <c r="Y31" s="835">
        <f>JUN!AJ30</f>
        <v>0</v>
      </c>
      <c r="Z31" s="835">
        <f>JUN!AK30</f>
        <v>0</v>
      </c>
      <c r="AA31" s="836"/>
      <c r="AB31" s="837">
        <f t="shared" si="0"/>
        <v>0</v>
      </c>
      <c r="AC31" s="837">
        <f t="shared" si="1"/>
        <v>0</v>
      </c>
      <c r="AD31" s="837">
        <f t="shared" si="2"/>
        <v>0</v>
      </c>
    </row>
    <row r="32" spans="1:30" ht="15">
      <c r="A32" s="758"/>
      <c r="B32" s="833">
        <v>28</v>
      </c>
      <c r="C32" s="834" t="str">
        <f>SISWA!E33</f>
        <v>Anak 28</v>
      </c>
      <c r="D32" s="835">
        <f>JAN!AI31</f>
        <v>0</v>
      </c>
      <c r="E32" s="835">
        <f>JAN!AJ31</f>
        <v>0</v>
      </c>
      <c r="F32" s="835">
        <f>JAN!AK31</f>
        <v>0</v>
      </c>
      <c r="G32" s="836"/>
      <c r="H32" s="835">
        <f>PEB!AI31</f>
        <v>0</v>
      </c>
      <c r="I32" s="835">
        <f>PEB!AJ31</f>
        <v>0</v>
      </c>
      <c r="J32" s="835">
        <f>PEB!AK31</f>
        <v>0</v>
      </c>
      <c r="K32" s="836"/>
      <c r="L32" s="835">
        <f>MART!AI31</f>
        <v>0</v>
      </c>
      <c r="M32" s="835">
        <f>MART!AJ31</f>
        <v>0</v>
      </c>
      <c r="N32" s="835">
        <f>MART!AK31</f>
        <v>0</v>
      </c>
      <c r="O32" s="836"/>
      <c r="P32" s="835">
        <f>APR!AI31</f>
        <v>0</v>
      </c>
      <c r="Q32" s="835">
        <f>APR!AJ31</f>
        <v>0</v>
      </c>
      <c r="R32" s="835">
        <f>APR!AK31</f>
        <v>0</v>
      </c>
      <c r="S32" s="836"/>
      <c r="T32" s="835">
        <f>MEI!AI31</f>
        <v>0</v>
      </c>
      <c r="U32" s="835">
        <f>MEI!AJ31</f>
        <v>0</v>
      </c>
      <c r="V32" s="835">
        <f>MEI!AK31</f>
        <v>0</v>
      </c>
      <c r="W32" s="836"/>
      <c r="X32" s="835">
        <f>JUN!AI31</f>
        <v>0</v>
      </c>
      <c r="Y32" s="835">
        <f>JUN!AJ31</f>
        <v>0</v>
      </c>
      <c r="Z32" s="835">
        <f>JUN!AK31</f>
        <v>0</v>
      </c>
      <c r="AA32" s="836"/>
      <c r="AB32" s="837">
        <f t="shared" si="0"/>
        <v>0</v>
      </c>
      <c r="AC32" s="837">
        <f t="shared" si="1"/>
        <v>0</v>
      </c>
      <c r="AD32" s="837">
        <f t="shared" si="2"/>
        <v>0</v>
      </c>
    </row>
    <row r="33" spans="1:30" ht="15">
      <c r="A33" s="758"/>
      <c r="B33" s="833">
        <v>29</v>
      </c>
      <c r="C33" s="834" t="str">
        <f>SISWA!E34</f>
        <v>Anak 29</v>
      </c>
      <c r="D33" s="835">
        <f>JAN!AI32</f>
        <v>0</v>
      </c>
      <c r="E33" s="835">
        <f>JAN!AJ32</f>
        <v>0</v>
      </c>
      <c r="F33" s="835">
        <f>JAN!AK32</f>
        <v>0</v>
      </c>
      <c r="G33" s="836"/>
      <c r="H33" s="835">
        <f>PEB!AI32</f>
        <v>0</v>
      </c>
      <c r="I33" s="835">
        <f>PEB!AJ32</f>
        <v>0</v>
      </c>
      <c r="J33" s="835">
        <f>PEB!AK32</f>
        <v>0</v>
      </c>
      <c r="K33" s="836"/>
      <c r="L33" s="835">
        <f>MART!AI32</f>
        <v>0</v>
      </c>
      <c r="M33" s="835">
        <f>MART!AJ32</f>
        <v>0</v>
      </c>
      <c r="N33" s="835">
        <f>MART!AK32</f>
        <v>0</v>
      </c>
      <c r="O33" s="836"/>
      <c r="P33" s="835">
        <f>APR!AI32</f>
        <v>0</v>
      </c>
      <c r="Q33" s="835">
        <f>APR!AJ32</f>
        <v>0</v>
      </c>
      <c r="R33" s="835">
        <f>APR!AK32</f>
        <v>0</v>
      </c>
      <c r="S33" s="836"/>
      <c r="T33" s="835">
        <f>MEI!AI32</f>
        <v>0</v>
      </c>
      <c r="U33" s="835">
        <f>MEI!AJ32</f>
        <v>0</v>
      </c>
      <c r="V33" s="835">
        <f>MEI!AK32</f>
        <v>0</v>
      </c>
      <c r="W33" s="836"/>
      <c r="X33" s="835">
        <f>JUN!AI32</f>
        <v>0</v>
      </c>
      <c r="Y33" s="835">
        <f>JUN!AJ32</f>
        <v>0</v>
      </c>
      <c r="Z33" s="835">
        <f>JUN!AK32</f>
        <v>0</v>
      </c>
      <c r="AA33" s="836"/>
      <c r="AB33" s="837">
        <f t="shared" si="0"/>
        <v>0</v>
      </c>
      <c r="AC33" s="837">
        <f t="shared" si="1"/>
        <v>0</v>
      </c>
      <c r="AD33" s="837">
        <f t="shared" si="2"/>
        <v>0</v>
      </c>
    </row>
    <row r="34" spans="1:30" ht="15">
      <c r="A34" s="758"/>
      <c r="B34" s="833">
        <v>30</v>
      </c>
      <c r="C34" s="834" t="str">
        <f>SISWA!E35</f>
        <v>Anak 30</v>
      </c>
      <c r="D34" s="835">
        <f>JAN!AI33</f>
        <v>0</v>
      </c>
      <c r="E34" s="835">
        <f>JAN!AJ33</f>
        <v>0</v>
      </c>
      <c r="F34" s="835">
        <f>JAN!AK33</f>
        <v>0</v>
      </c>
      <c r="G34" s="836"/>
      <c r="H34" s="835">
        <f>PEB!AI33</f>
        <v>0</v>
      </c>
      <c r="I34" s="835">
        <f>PEB!AJ33</f>
        <v>0</v>
      </c>
      <c r="J34" s="835">
        <f>PEB!AK33</f>
        <v>0</v>
      </c>
      <c r="K34" s="836"/>
      <c r="L34" s="835">
        <f>MART!AI33</f>
        <v>0</v>
      </c>
      <c r="M34" s="835">
        <f>MART!AJ33</f>
        <v>0</v>
      </c>
      <c r="N34" s="835">
        <f>MART!AK33</f>
        <v>0</v>
      </c>
      <c r="O34" s="836"/>
      <c r="P34" s="835">
        <f>APR!AI33</f>
        <v>0</v>
      </c>
      <c r="Q34" s="835">
        <f>APR!AJ33</f>
        <v>0</v>
      </c>
      <c r="R34" s="835">
        <f>APR!AK33</f>
        <v>0</v>
      </c>
      <c r="S34" s="836"/>
      <c r="T34" s="835">
        <f>MEI!AI33</f>
        <v>0</v>
      </c>
      <c r="U34" s="835">
        <f>MEI!AJ33</f>
        <v>0</v>
      </c>
      <c r="V34" s="835">
        <f>MEI!AK33</f>
        <v>0</v>
      </c>
      <c r="W34" s="836"/>
      <c r="X34" s="835">
        <f>JUN!AI33</f>
        <v>0</v>
      </c>
      <c r="Y34" s="835">
        <f>JUN!AJ33</f>
        <v>0</v>
      </c>
      <c r="Z34" s="835">
        <f>JUN!AK33</f>
        <v>0</v>
      </c>
      <c r="AA34" s="836"/>
      <c r="AB34" s="837">
        <f t="shared" si="0"/>
        <v>0</v>
      </c>
      <c r="AC34" s="837">
        <f t="shared" si="1"/>
        <v>0</v>
      </c>
      <c r="AD34" s="837">
        <f t="shared" si="2"/>
        <v>0</v>
      </c>
    </row>
    <row r="35" spans="1:30" ht="15">
      <c r="A35" s="758"/>
      <c r="B35" s="833">
        <v>31</v>
      </c>
      <c r="C35" s="834" t="str">
        <f>SISWA!E36</f>
        <v>Anak 31</v>
      </c>
      <c r="D35" s="835">
        <f>JAN!AI34</f>
        <v>0</v>
      </c>
      <c r="E35" s="835">
        <f>JAN!AJ34</f>
        <v>0</v>
      </c>
      <c r="F35" s="835">
        <f>JAN!AK34</f>
        <v>0</v>
      </c>
      <c r="G35" s="836"/>
      <c r="H35" s="835">
        <f>PEB!AI34</f>
        <v>0</v>
      </c>
      <c r="I35" s="835">
        <f>PEB!AJ34</f>
        <v>0</v>
      </c>
      <c r="J35" s="835">
        <f>PEB!AK34</f>
        <v>0</v>
      </c>
      <c r="K35" s="836"/>
      <c r="L35" s="835">
        <f>MART!AI34</f>
        <v>0</v>
      </c>
      <c r="M35" s="835">
        <f>MART!AJ34</f>
        <v>0</v>
      </c>
      <c r="N35" s="835">
        <f>MART!AK34</f>
        <v>0</v>
      </c>
      <c r="O35" s="836"/>
      <c r="P35" s="835">
        <f>APR!AI34</f>
        <v>0</v>
      </c>
      <c r="Q35" s="835">
        <f>APR!AJ34</f>
        <v>0</v>
      </c>
      <c r="R35" s="835">
        <f>APR!AK34</f>
        <v>0</v>
      </c>
      <c r="S35" s="836"/>
      <c r="T35" s="835">
        <f>MEI!AI34</f>
        <v>0</v>
      </c>
      <c r="U35" s="835">
        <f>MEI!AJ34</f>
        <v>0</v>
      </c>
      <c r="V35" s="835">
        <f>MEI!AK34</f>
        <v>0</v>
      </c>
      <c r="W35" s="836"/>
      <c r="X35" s="835">
        <f>JUN!AI34</f>
        <v>0</v>
      </c>
      <c r="Y35" s="835">
        <f>JUN!AJ34</f>
        <v>0</v>
      </c>
      <c r="Z35" s="835">
        <f>JUN!AK34</f>
        <v>0</v>
      </c>
      <c r="AA35" s="836"/>
      <c r="AB35" s="837">
        <f t="shared" si="0"/>
        <v>0</v>
      </c>
      <c r="AC35" s="837">
        <f t="shared" si="1"/>
        <v>0</v>
      </c>
      <c r="AD35" s="837">
        <f t="shared" si="2"/>
        <v>0</v>
      </c>
    </row>
    <row r="36" spans="1:30" ht="15">
      <c r="A36" s="758"/>
      <c r="B36" s="833">
        <v>32</v>
      </c>
      <c r="C36" s="834" t="str">
        <f>SISWA!E37</f>
        <v>Anak 32</v>
      </c>
      <c r="D36" s="835">
        <f>JAN!AI35</f>
        <v>0</v>
      </c>
      <c r="E36" s="835">
        <f>JAN!AJ35</f>
        <v>0</v>
      </c>
      <c r="F36" s="835">
        <f>JAN!AK35</f>
        <v>0</v>
      </c>
      <c r="G36" s="836"/>
      <c r="H36" s="835">
        <f>PEB!AI35</f>
        <v>0</v>
      </c>
      <c r="I36" s="835">
        <f>PEB!AJ35</f>
        <v>0</v>
      </c>
      <c r="J36" s="835">
        <f>PEB!AK35</f>
        <v>0</v>
      </c>
      <c r="K36" s="836"/>
      <c r="L36" s="835">
        <f>MART!AI35</f>
        <v>0</v>
      </c>
      <c r="M36" s="835">
        <f>MART!AJ35</f>
        <v>0</v>
      </c>
      <c r="N36" s="835">
        <f>MART!AK35</f>
        <v>0</v>
      </c>
      <c r="O36" s="836"/>
      <c r="P36" s="835">
        <f>APR!AI35</f>
        <v>0</v>
      </c>
      <c r="Q36" s="835">
        <f>APR!AJ35</f>
        <v>0</v>
      </c>
      <c r="R36" s="835">
        <f>APR!AK35</f>
        <v>0</v>
      </c>
      <c r="S36" s="836"/>
      <c r="T36" s="835">
        <f>MEI!AI35</f>
        <v>0</v>
      </c>
      <c r="U36" s="835">
        <f>MEI!AJ35</f>
        <v>0</v>
      </c>
      <c r="V36" s="835">
        <f>MEI!AK35</f>
        <v>0</v>
      </c>
      <c r="W36" s="836"/>
      <c r="X36" s="835">
        <f>JUN!AI35</f>
        <v>0</v>
      </c>
      <c r="Y36" s="835">
        <f>JUN!AJ35</f>
        <v>0</v>
      </c>
      <c r="Z36" s="835">
        <f>JUN!AK35</f>
        <v>0</v>
      </c>
      <c r="AA36" s="836"/>
      <c r="AB36" s="837">
        <f t="shared" si="0"/>
        <v>0</v>
      </c>
      <c r="AC36" s="837">
        <f t="shared" si="1"/>
        <v>0</v>
      </c>
      <c r="AD36" s="837">
        <f t="shared" si="2"/>
        <v>0</v>
      </c>
    </row>
    <row r="37" spans="1:30" ht="15">
      <c r="A37" s="758"/>
      <c r="B37" s="833">
        <v>33</v>
      </c>
      <c r="C37" s="834" t="str">
        <f>SISWA!E38</f>
        <v>Anak 33</v>
      </c>
      <c r="D37" s="835">
        <f>JAN!AI36</f>
        <v>0</v>
      </c>
      <c r="E37" s="835">
        <f>JAN!AJ36</f>
        <v>0</v>
      </c>
      <c r="F37" s="835">
        <f>JAN!AK36</f>
        <v>0</v>
      </c>
      <c r="G37" s="836"/>
      <c r="H37" s="835">
        <f>PEB!AI36</f>
        <v>0</v>
      </c>
      <c r="I37" s="835">
        <f>PEB!AJ36</f>
        <v>0</v>
      </c>
      <c r="J37" s="835">
        <f>PEB!AK36</f>
        <v>0</v>
      </c>
      <c r="K37" s="836"/>
      <c r="L37" s="835">
        <f>MART!AI36</f>
        <v>0</v>
      </c>
      <c r="M37" s="835">
        <f>MART!AJ36</f>
        <v>0</v>
      </c>
      <c r="N37" s="835">
        <f>MART!AK36</f>
        <v>0</v>
      </c>
      <c r="O37" s="836"/>
      <c r="P37" s="835">
        <f>APR!AI36</f>
        <v>0</v>
      </c>
      <c r="Q37" s="835">
        <f>APR!AJ36</f>
        <v>0</v>
      </c>
      <c r="R37" s="835">
        <f>APR!AK36</f>
        <v>0</v>
      </c>
      <c r="S37" s="836"/>
      <c r="T37" s="835">
        <f>MEI!AI36</f>
        <v>0</v>
      </c>
      <c r="U37" s="835">
        <f>MEI!AJ36</f>
        <v>0</v>
      </c>
      <c r="V37" s="835">
        <f>MEI!AK36</f>
        <v>0</v>
      </c>
      <c r="W37" s="836"/>
      <c r="X37" s="835">
        <f>JUN!AI36</f>
        <v>0</v>
      </c>
      <c r="Y37" s="835">
        <f>JUN!AJ36</f>
        <v>0</v>
      </c>
      <c r="Z37" s="835">
        <f>JUN!AK36</f>
        <v>0</v>
      </c>
      <c r="AA37" s="836"/>
      <c r="AB37" s="837">
        <f t="shared" si="0"/>
        <v>0</v>
      </c>
      <c r="AC37" s="837">
        <f t="shared" si="1"/>
        <v>0</v>
      </c>
      <c r="AD37" s="837">
        <f t="shared" si="2"/>
        <v>0</v>
      </c>
    </row>
    <row r="38" spans="1:30" ht="15">
      <c r="A38" s="758"/>
      <c r="B38" s="833">
        <v>34</v>
      </c>
      <c r="C38" s="834" t="str">
        <f>SISWA!E39</f>
        <v>Anak 34</v>
      </c>
      <c r="D38" s="835">
        <f>JAN!AI37</f>
        <v>0</v>
      </c>
      <c r="E38" s="835">
        <f>JAN!AJ37</f>
        <v>0</v>
      </c>
      <c r="F38" s="835">
        <f>JAN!AK37</f>
        <v>0</v>
      </c>
      <c r="G38" s="836"/>
      <c r="H38" s="835">
        <f>PEB!AI37</f>
        <v>0</v>
      </c>
      <c r="I38" s="835">
        <f>PEB!AJ37</f>
        <v>0</v>
      </c>
      <c r="J38" s="835">
        <f>PEB!AK37</f>
        <v>0</v>
      </c>
      <c r="K38" s="836"/>
      <c r="L38" s="835">
        <f>MART!AI37</f>
        <v>0</v>
      </c>
      <c r="M38" s="835">
        <f>MART!AJ37</f>
        <v>0</v>
      </c>
      <c r="N38" s="835">
        <f>MART!AK37</f>
        <v>0</v>
      </c>
      <c r="O38" s="836"/>
      <c r="P38" s="835">
        <f>APR!AI37</f>
        <v>0</v>
      </c>
      <c r="Q38" s="835">
        <f>APR!AJ37</f>
        <v>0</v>
      </c>
      <c r="R38" s="835">
        <f>APR!AK37</f>
        <v>0</v>
      </c>
      <c r="S38" s="836"/>
      <c r="T38" s="835">
        <f>MEI!AI37</f>
        <v>0</v>
      </c>
      <c r="U38" s="835">
        <f>MEI!AJ37</f>
        <v>0</v>
      </c>
      <c r="V38" s="835">
        <f>MEI!AK37</f>
        <v>0</v>
      </c>
      <c r="W38" s="836"/>
      <c r="X38" s="835">
        <f>JUN!AI37</f>
        <v>0</v>
      </c>
      <c r="Y38" s="835">
        <f>JUN!AJ37</f>
        <v>0</v>
      </c>
      <c r="Z38" s="835">
        <f>JUN!AK37</f>
        <v>0</v>
      </c>
      <c r="AA38" s="836"/>
      <c r="AB38" s="837">
        <f t="shared" si="0"/>
        <v>0</v>
      </c>
      <c r="AC38" s="837">
        <f t="shared" si="1"/>
        <v>0</v>
      </c>
      <c r="AD38" s="837">
        <f t="shared" si="2"/>
        <v>0</v>
      </c>
    </row>
    <row r="39" spans="1:30" ht="15">
      <c r="A39" s="758"/>
      <c r="B39" s="833">
        <v>35</v>
      </c>
      <c r="C39" s="834" t="str">
        <f>SISWA!E40</f>
        <v>Anak 35</v>
      </c>
      <c r="D39" s="835">
        <f>JAN!AI38</f>
        <v>0</v>
      </c>
      <c r="E39" s="835">
        <f>JAN!AJ38</f>
        <v>0</v>
      </c>
      <c r="F39" s="835">
        <f>JAN!AK38</f>
        <v>0</v>
      </c>
      <c r="G39" s="836"/>
      <c r="H39" s="835">
        <f>PEB!AI38</f>
        <v>0</v>
      </c>
      <c r="I39" s="835">
        <f>PEB!AJ38</f>
        <v>0</v>
      </c>
      <c r="J39" s="835">
        <f>PEB!AK38</f>
        <v>0</v>
      </c>
      <c r="K39" s="836"/>
      <c r="L39" s="835">
        <f>MART!AI38</f>
        <v>0</v>
      </c>
      <c r="M39" s="835">
        <f>MART!AJ38</f>
        <v>0</v>
      </c>
      <c r="N39" s="835">
        <f>MART!AK38</f>
        <v>0</v>
      </c>
      <c r="O39" s="836"/>
      <c r="P39" s="835">
        <f>APR!AI38</f>
        <v>0</v>
      </c>
      <c r="Q39" s="835">
        <f>APR!AJ38</f>
        <v>0</v>
      </c>
      <c r="R39" s="835">
        <f>APR!AK38</f>
        <v>0</v>
      </c>
      <c r="S39" s="836"/>
      <c r="T39" s="835">
        <f>MEI!AI38</f>
        <v>0</v>
      </c>
      <c r="U39" s="835">
        <f>MEI!AJ38</f>
        <v>0</v>
      </c>
      <c r="V39" s="835">
        <f>MEI!AK38</f>
        <v>0</v>
      </c>
      <c r="W39" s="836"/>
      <c r="X39" s="835">
        <f>JUN!AI38</f>
        <v>0</v>
      </c>
      <c r="Y39" s="835">
        <f>JUN!AJ38</f>
        <v>0</v>
      </c>
      <c r="Z39" s="835">
        <f>JUN!AK38</f>
        <v>0</v>
      </c>
      <c r="AA39" s="836"/>
      <c r="AB39" s="837">
        <f t="shared" si="0"/>
        <v>0</v>
      </c>
      <c r="AC39" s="837">
        <f t="shared" si="1"/>
        <v>0</v>
      </c>
      <c r="AD39" s="837">
        <f t="shared" si="2"/>
        <v>0</v>
      </c>
    </row>
    <row r="40" spans="1:30" ht="15">
      <c r="A40" s="758"/>
      <c r="B40" s="833">
        <v>36</v>
      </c>
      <c r="C40" s="834" t="str">
        <f>SISWA!E41</f>
        <v>Anak 36</v>
      </c>
      <c r="D40" s="835">
        <f>JAN!AI39</f>
        <v>0</v>
      </c>
      <c r="E40" s="835">
        <f>JAN!AJ39</f>
        <v>0</v>
      </c>
      <c r="F40" s="835">
        <f>JAN!AK39</f>
        <v>0</v>
      </c>
      <c r="G40" s="836"/>
      <c r="H40" s="835">
        <f>PEB!AI39</f>
        <v>0</v>
      </c>
      <c r="I40" s="835">
        <f>PEB!AJ39</f>
        <v>0</v>
      </c>
      <c r="J40" s="835">
        <f>PEB!AK39</f>
        <v>0</v>
      </c>
      <c r="K40" s="836"/>
      <c r="L40" s="835">
        <f>MART!AI39</f>
        <v>0</v>
      </c>
      <c r="M40" s="835">
        <f>MART!AJ39</f>
        <v>0</v>
      </c>
      <c r="N40" s="835">
        <f>MART!AK39</f>
        <v>0</v>
      </c>
      <c r="O40" s="836"/>
      <c r="P40" s="835">
        <f>APR!AI39</f>
        <v>0</v>
      </c>
      <c r="Q40" s="835">
        <f>APR!AJ39</f>
        <v>0</v>
      </c>
      <c r="R40" s="835">
        <f>APR!AK39</f>
        <v>0</v>
      </c>
      <c r="S40" s="836"/>
      <c r="T40" s="835">
        <f>MEI!AI39</f>
        <v>0</v>
      </c>
      <c r="U40" s="835">
        <f>MEI!AJ39</f>
        <v>0</v>
      </c>
      <c r="V40" s="835">
        <f>MEI!AK39</f>
        <v>0</v>
      </c>
      <c r="W40" s="836"/>
      <c r="X40" s="835">
        <f>JUN!AI39</f>
        <v>0</v>
      </c>
      <c r="Y40" s="835">
        <f>JUN!AJ39</f>
        <v>0</v>
      </c>
      <c r="Z40" s="835">
        <f>JUN!AK39</f>
        <v>0</v>
      </c>
      <c r="AA40" s="836"/>
      <c r="AB40" s="837">
        <f t="shared" si="0"/>
        <v>0</v>
      </c>
      <c r="AC40" s="837">
        <f t="shared" si="1"/>
        <v>0</v>
      </c>
      <c r="AD40" s="837">
        <f t="shared" si="2"/>
        <v>0</v>
      </c>
    </row>
    <row r="41" spans="1:30" ht="15">
      <c r="A41" s="758"/>
      <c r="B41" s="833">
        <v>37</v>
      </c>
      <c r="C41" s="834" t="str">
        <f>SISWA!E42</f>
        <v>Anak 37</v>
      </c>
      <c r="D41" s="835">
        <f>JAN!AI40</f>
        <v>0</v>
      </c>
      <c r="E41" s="835">
        <f>JAN!AJ40</f>
        <v>0</v>
      </c>
      <c r="F41" s="835">
        <f>JAN!AK40</f>
        <v>0</v>
      </c>
      <c r="G41" s="836"/>
      <c r="H41" s="835">
        <f>PEB!AI40</f>
        <v>0</v>
      </c>
      <c r="I41" s="835">
        <f>PEB!AJ40</f>
        <v>0</v>
      </c>
      <c r="J41" s="835">
        <f>PEB!AK40</f>
        <v>0</v>
      </c>
      <c r="K41" s="836"/>
      <c r="L41" s="835">
        <f>MART!AI40</f>
        <v>0</v>
      </c>
      <c r="M41" s="835">
        <f>MART!AJ40</f>
        <v>0</v>
      </c>
      <c r="N41" s="835">
        <f>MART!AK40</f>
        <v>0</v>
      </c>
      <c r="O41" s="836"/>
      <c r="P41" s="835">
        <f>APR!AI40</f>
        <v>0</v>
      </c>
      <c r="Q41" s="835">
        <f>APR!AJ40</f>
        <v>0</v>
      </c>
      <c r="R41" s="835">
        <f>APR!AK40</f>
        <v>0</v>
      </c>
      <c r="S41" s="836"/>
      <c r="T41" s="835">
        <f>MEI!AI40</f>
        <v>0</v>
      </c>
      <c r="U41" s="835">
        <f>MEI!AJ40</f>
        <v>0</v>
      </c>
      <c r="V41" s="835">
        <f>MEI!AK40</f>
        <v>0</v>
      </c>
      <c r="W41" s="836"/>
      <c r="X41" s="835">
        <f>JUN!AI40</f>
        <v>0</v>
      </c>
      <c r="Y41" s="835">
        <f>JUN!AJ40</f>
        <v>0</v>
      </c>
      <c r="Z41" s="835">
        <f>JUN!AK40</f>
        <v>0</v>
      </c>
      <c r="AA41" s="836"/>
      <c r="AB41" s="837">
        <f t="shared" si="0"/>
        <v>0</v>
      </c>
      <c r="AC41" s="837">
        <f t="shared" si="1"/>
        <v>0</v>
      </c>
      <c r="AD41" s="837">
        <f t="shared" si="2"/>
        <v>0</v>
      </c>
    </row>
    <row r="42" spans="1:30" ht="15">
      <c r="A42" s="758"/>
      <c r="B42" s="833">
        <v>38</v>
      </c>
      <c r="C42" s="834" t="str">
        <f>SISWA!E43</f>
        <v>Anak 38</v>
      </c>
      <c r="D42" s="835">
        <f>JAN!AI41</f>
        <v>0</v>
      </c>
      <c r="E42" s="835">
        <f>JAN!AJ41</f>
        <v>0</v>
      </c>
      <c r="F42" s="835">
        <f>JAN!AK41</f>
        <v>0</v>
      </c>
      <c r="G42" s="836"/>
      <c r="H42" s="835">
        <f>PEB!AI41</f>
        <v>0</v>
      </c>
      <c r="I42" s="835">
        <f>PEB!AJ41</f>
        <v>0</v>
      </c>
      <c r="J42" s="835">
        <f>PEB!AK41</f>
        <v>0</v>
      </c>
      <c r="K42" s="836"/>
      <c r="L42" s="835">
        <f>MART!AI41</f>
        <v>0</v>
      </c>
      <c r="M42" s="835">
        <f>MART!AJ41</f>
        <v>0</v>
      </c>
      <c r="N42" s="835">
        <f>MART!AK41</f>
        <v>0</v>
      </c>
      <c r="O42" s="836"/>
      <c r="P42" s="835">
        <f>APR!AI41</f>
        <v>0</v>
      </c>
      <c r="Q42" s="835">
        <f>APR!AJ41</f>
        <v>0</v>
      </c>
      <c r="R42" s="835">
        <f>APR!AK41</f>
        <v>0</v>
      </c>
      <c r="S42" s="836"/>
      <c r="T42" s="835">
        <f>MEI!AI41</f>
        <v>0</v>
      </c>
      <c r="U42" s="835">
        <f>MEI!AJ41</f>
        <v>0</v>
      </c>
      <c r="V42" s="835">
        <f>MEI!AK41</f>
        <v>0</v>
      </c>
      <c r="W42" s="836"/>
      <c r="X42" s="835">
        <f>JUN!AI41</f>
        <v>0</v>
      </c>
      <c r="Y42" s="835">
        <f>JUN!AJ41</f>
        <v>0</v>
      </c>
      <c r="Z42" s="835">
        <f>JUN!AK41</f>
        <v>0</v>
      </c>
      <c r="AA42" s="836"/>
      <c r="AB42" s="837">
        <f t="shared" si="0"/>
        <v>0</v>
      </c>
      <c r="AC42" s="837">
        <f t="shared" si="1"/>
        <v>0</v>
      </c>
      <c r="AD42" s="837">
        <f t="shared" si="2"/>
        <v>0</v>
      </c>
    </row>
    <row r="43" spans="1:30" ht="15">
      <c r="A43" s="758"/>
      <c r="B43" s="833">
        <v>39</v>
      </c>
      <c r="C43" s="834" t="str">
        <f>SISWA!E44</f>
        <v>Anak 39</v>
      </c>
      <c r="D43" s="835">
        <f>JAN!AI42</f>
        <v>0</v>
      </c>
      <c r="E43" s="835">
        <f>JAN!AJ42</f>
        <v>0</v>
      </c>
      <c r="F43" s="835">
        <f>JAN!AK42</f>
        <v>0</v>
      </c>
      <c r="G43" s="836"/>
      <c r="H43" s="835">
        <f>PEB!AI42</f>
        <v>0</v>
      </c>
      <c r="I43" s="835">
        <f>PEB!AJ42</f>
        <v>0</v>
      </c>
      <c r="J43" s="835">
        <f>PEB!AK42</f>
        <v>0</v>
      </c>
      <c r="K43" s="836"/>
      <c r="L43" s="835">
        <f>MART!AI42</f>
        <v>0</v>
      </c>
      <c r="M43" s="835">
        <f>MART!AJ42</f>
        <v>0</v>
      </c>
      <c r="N43" s="835">
        <f>MART!AK42</f>
        <v>0</v>
      </c>
      <c r="O43" s="836"/>
      <c r="P43" s="835">
        <f>APR!AI42</f>
        <v>0</v>
      </c>
      <c r="Q43" s="835">
        <f>APR!AJ42</f>
        <v>0</v>
      </c>
      <c r="R43" s="835">
        <f>APR!AK42</f>
        <v>0</v>
      </c>
      <c r="S43" s="836"/>
      <c r="T43" s="835">
        <f>MEI!AI42</f>
        <v>0</v>
      </c>
      <c r="U43" s="835">
        <f>MEI!AJ42</f>
        <v>0</v>
      </c>
      <c r="V43" s="835">
        <f>MEI!AK42</f>
        <v>0</v>
      </c>
      <c r="W43" s="836"/>
      <c r="X43" s="835">
        <f>JUN!AI42</f>
        <v>0</v>
      </c>
      <c r="Y43" s="835">
        <f>JUN!AJ42</f>
        <v>0</v>
      </c>
      <c r="Z43" s="835">
        <f>JUN!AK42</f>
        <v>0</v>
      </c>
      <c r="AA43" s="836"/>
      <c r="AB43" s="837">
        <f t="shared" si="0"/>
        <v>0</v>
      </c>
      <c r="AC43" s="837">
        <f t="shared" si="1"/>
        <v>0</v>
      </c>
      <c r="AD43" s="837">
        <f t="shared" si="2"/>
        <v>0</v>
      </c>
    </row>
    <row r="44" spans="1:30" ht="15">
      <c r="A44" s="758"/>
      <c r="B44" s="833">
        <v>40</v>
      </c>
      <c r="C44" s="834" t="str">
        <f>SISWA!E45</f>
        <v>Anak 40</v>
      </c>
      <c r="D44" s="835">
        <f>JAN!AI43</f>
        <v>0</v>
      </c>
      <c r="E44" s="835">
        <f>JAN!AJ43</f>
        <v>0</v>
      </c>
      <c r="F44" s="835">
        <f>JAN!AK43</f>
        <v>0</v>
      </c>
      <c r="G44" s="836"/>
      <c r="H44" s="835">
        <f>PEB!AI43</f>
        <v>0</v>
      </c>
      <c r="I44" s="835">
        <f>PEB!AJ43</f>
        <v>0</v>
      </c>
      <c r="J44" s="835">
        <f>PEB!AK43</f>
        <v>0</v>
      </c>
      <c r="K44" s="836"/>
      <c r="L44" s="835">
        <f>MART!AI43</f>
        <v>0</v>
      </c>
      <c r="M44" s="835">
        <f>MART!AJ43</f>
        <v>0</v>
      </c>
      <c r="N44" s="835">
        <f>MART!AK43</f>
        <v>0</v>
      </c>
      <c r="O44" s="836"/>
      <c r="P44" s="835">
        <f>APR!AI43</f>
        <v>0</v>
      </c>
      <c r="Q44" s="835">
        <f>APR!AJ43</f>
        <v>0</v>
      </c>
      <c r="R44" s="835">
        <f>APR!AK43</f>
        <v>0</v>
      </c>
      <c r="S44" s="836"/>
      <c r="T44" s="835">
        <f>MEI!AI43</f>
        <v>0</v>
      </c>
      <c r="U44" s="835">
        <f>MEI!AJ43</f>
        <v>0</v>
      </c>
      <c r="V44" s="835">
        <f>MEI!AK43</f>
        <v>0</v>
      </c>
      <c r="W44" s="836"/>
      <c r="X44" s="835">
        <f>JUN!AI43</f>
        <v>0</v>
      </c>
      <c r="Y44" s="835">
        <f>JUN!AJ43</f>
        <v>0</v>
      </c>
      <c r="Z44" s="835">
        <f>JUN!AK43</f>
        <v>0</v>
      </c>
      <c r="AA44" s="836"/>
      <c r="AB44" s="837">
        <f t="shared" si="0"/>
        <v>0</v>
      </c>
      <c r="AC44" s="837">
        <f t="shared" si="1"/>
        <v>0</v>
      </c>
      <c r="AD44" s="837">
        <f t="shared" si="2"/>
        <v>0</v>
      </c>
    </row>
    <row r="45" spans="1:30" ht="15">
      <c r="A45" s="758"/>
      <c r="B45" s="833">
        <v>41</v>
      </c>
      <c r="C45" s="834" t="str">
        <f>SISWA!E46</f>
        <v>Anak 41</v>
      </c>
      <c r="D45" s="835">
        <f>JAN!AI44</f>
        <v>0</v>
      </c>
      <c r="E45" s="835">
        <f>JAN!AJ44</f>
        <v>0</v>
      </c>
      <c r="F45" s="835">
        <f>JAN!AK44</f>
        <v>0</v>
      </c>
      <c r="G45" s="836"/>
      <c r="H45" s="835">
        <f>PEB!AI44</f>
        <v>0</v>
      </c>
      <c r="I45" s="835">
        <f>PEB!AJ44</f>
        <v>0</v>
      </c>
      <c r="J45" s="835">
        <f>PEB!AK44</f>
        <v>0</v>
      </c>
      <c r="K45" s="836"/>
      <c r="L45" s="835">
        <f>MART!AI44</f>
        <v>0</v>
      </c>
      <c r="M45" s="835">
        <f>MART!AJ44</f>
        <v>0</v>
      </c>
      <c r="N45" s="835">
        <f>MART!AK44</f>
        <v>0</v>
      </c>
      <c r="O45" s="836"/>
      <c r="P45" s="835">
        <f>APR!AI44</f>
        <v>0</v>
      </c>
      <c r="Q45" s="835">
        <f>APR!AJ44</f>
        <v>0</v>
      </c>
      <c r="R45" s="835">
        <f>APR!AK44</f>
        <v>0</v>
      </c>
      <c r="S45" s="836"/>
      <c r="T45" s="835">
        <f>MEI!AI44</f>
        <v>0</v>
      </c>
      <c r="U45" s="835">
        <f>MEI!AJ44</f>
        <v>0</v>
      </c>
      <c r="V45" s="835">
        <f>MEI!AK44</f>
        <v>0</v>
      </c>
      <c r="W45" s="836"/>
      <c r="X45" s="835">
        <f>JUN!AI44</f>
        <v>0</v>
      </c>
      <c r="Y45" s="835">
        <f>JUN!AJ44</f>
        <v>0</v>
      </c>
      <c r="Z45" s="835">
        <f>JUN!AK44</f>
        <v>0</v>
      </c>
      <c r="AA45" s="836"/>
      <c r="AB45" s="837">
        <f t="shared" si="0"/>
        <v>0</v>
      </c>
      <c r="AC45" s="837">
        <f t="shared" si="1"/>
        <v>0</v>
      </c>
      <c r="AD45" s="837">
        <f t="shared" si="2"/>
        <v>0</v>
      </c>
    </row>
    <row r="46" spans="1:30" ht="15">
      <c r="A46" s="758"/>
      <c r="B46" s="833">
        <v>42</v>
      </c>
      <c r="C46" s="834" t="str">
        <f>SISWA!E47</f>
        <v>Anak 42</v>
      </c>
      <c r="D46" s="835">
        <f>JAN!AI45</f>
        <v>0</v>
      </c>
      <c r="E46" s="835">
        <f>JAN!AJ45</f>
        <v>0</v>
      </c>
      <c r="F46" s="835">
        <f>JAN!AK45</f>
        <v>0</v>
      </c>
      <c r="G46" s="836"/>
      <c r="H46" s="835">
        <f>PEB!AI45</f>
        <v>0</v>
      </c>
      <c r="I46" s="835">
        <f>PEB!AJ45</f>
        <v>0</v>
      </c>
      <c r="J46" s="835">
        <f>PEB!AK45</f>
        <v>0</v>
      </c>
      <c r="K46" s="836"/>
      <c r="L46" s="835">
        <f>MART!AI45</f>
        <v>0</v>
      </c>
      <c r="M46" s="835">
        <f>MART!AJ45</f>
        <v>0</v>
      </c>
      <c r="N46" s="835">
        <f>MART!AK45</f>
        <v>0</v>
      </c>
      <c r="O46" s="836"/>
      <c r="P46" s="835">
        <f>APR!AI45</f>
        <v>0</v>
      </c>
      <c r="Q46" s="835">
        <f>APR!AJ45</f>
        <v>0</v>
      </c>
      <c r="R46" s="835">
        <f>APR!AK45</f>
        <v>0</v>
      </c>
      <c r="S46" s="836"/>
      <c r="T46" s="835">
        <f>MEI!AI45</f>
        <v>0</v>
      </c>
      <c r="U46" s="835">
        <f>MEI!AJ45</f>
        <v>0</v>
      </c>
      <c r="V46" s="835">
        <f>MEI!AK45</f>
        <v>0</v>
      </c>
      <c r="W46" s="836"/>
      <c r="X46" s="835">
        <f>JUN!AI45</f>
        <v>0</v>
      </c>
      <c r="Y46" s="835">
        <f>JUN!AJ45</f>
        <v>0</v>
      </c>
      <c r="Z46" s="835">
        <f>JUN!AK45</f>
        <v>0</v>
      </c>
      <c r="AA46" s="836"/>
      <c r="AB46" s="837">
        <f t="shared" si="0"/>
        <v>0</v>
      </c>
      <c r="AC46" s="837">
        <f t="shared" si="1"/>
        <v>0</v>
      </c>
      <c r="AD46" s="837">
        <f t="shared" si="2"/>
        <v>0</v>
      </c>
    </row>
    <row r="47" spans="1:30" ht="15">
      <c r="A47" s="758"/>
      <c r="B47" s="833">
        <v>43</v>
      </c>
      <c r="C47" s="834" t="str">
        <f>SISWA!E48</f>
        <v>Anak 43</v>
      </c>
      <c r="D47" s="835">
        <f>JAN!AI46</f>
        <v>0</v>
      </c>
      <c r="E47" s="835">
        <f>JAN!AJ46</f>
        <v>0</v>
      </c>
      <c r="F47" s="835">
        <f>JAN!AK46</f>
        <v>0</v>
      </c>
      <c r="G47" s="836"/>
      <c r="H47" s="835">
        <f>PEB!AI46</f>
        <v>0</v>
      </c>
      <c r="I47" s="835">
        <f>PEB!AJ46</f>
        <v>0</v>
      </c>
      <c r="J47" s="835">
        <f>PEB!AK46</f>
        <v>0</v>
      </c>
      <c r="K47" s="836"/>
      <c r="L47" s="835">
        <f>MART!AI46</f>
        <v>0</v>
      </c>
      <c r="M47" s="835">
        <f>MART!AJ46</f>
        <v>0</v>
      </c>
      <c r="N47" s="835">
        <f>MART!AK46</f>
        <v>0</v>
      </c>
      <c r="O47" s="836"/>
      <c r="P47" s="835">
        <f>APR!AI46</f>
        <v>0</v>
      </c>
      <c r="Q47" s="835">
        <f>APR!AJ46</f>
        <v>0</v>
      </c>
      <c r="R47" s="835">
        <f>APR!AK46</f>
        <v>0</v>
      </c>
      <c r="S47" s="836"/>
      <c r="T47" s="835">
        <f>MEI!AI46</f>
        <v>0</v>
      </c>
      <c r="U47" s="835">
        <f>MEI!AJ46</f>
        <v>0</v>
      </c>
      <c r="V47" s="835">
        <f>MEI!AK46</f>
        <v>0</v>
      </c>
      <c r="W47" s="836"/>
      <c r="X47" s="835">
        <f>JUN!AI46</f>
        <v>0</v>
      </c>
      <c r="Y47" s="835">
        <f>JUN!AJ46</f>
        <v>0</v>
      </c>
      <c r="Z47" s="835">
        <f>JUN!AK46</f>
        <v>0</v>
      </c>
      <c r="AA47" s="836"/>
      <c r="AB47" s="837">
        <f t="shared" si="0"/>
        <v>0</v>
      </c>
      <c r="AC47" s="837">
        <f t="shared" si="1"/>
        <v>0</v>
      </c>
      <c r="AD47" s="837">
        <f t="shared" si="2"/>
        <v>0</v>
      </c>
    </row>
    <row r="48" spans="1:30" ht="15">
      <c r="A48" s="758"/>
      <c r="B48" s="833">
        <v>44</v>
      </c>
      <c r="C48" s="834" t="str">
        <f>SISWA!E49</f>
        <v>Anak 44</v>
      </c>
      <c r="D48" s="835">
        <f>JAN!AI47</f>
        <v>0</v>
      </c>
      <c r="E48" s="835">
        <f>JAN!AJ47</f>
        <v>0</v>
      </c>
      <c r="F48" s="835">
        <f>JAN!AK47</f>
        <v>0</v>
      </c>
      <c r="G48" s="836"/>
      <c r="H48" s="835">
        <f>PEB!AI47</f>
        <v>0</v>
      </c>
      <c r="I48" s="835">
        <f>PEB!AJ47</f>
        <v>0</v>
      </c>
      <c r="J48" s="835">
        <f>PEB!AK47</f>
        <v>0</v>
      </c>
      <c r="K48" s="836"/>
      <c r="L48" s="835">
        <f>MART!AI47</f>
        <v>0</v>
      </c>
      <c r="M48" s="835">
        <f>MART!AJ47</f>
        <v>0</v>
      </c>
      <c r="N48" s="835">
        <f>MART!AK47</f>
        <v>0</v>
      </c>
      <c r="O48" s="836"/>
      <c r="P48" s="835">
        <f>APR!AI47</f>
        <v>0</v>
      </c>
      <c r="Q48" s="835">
        <f>APR!AJ47</f>
        <v>0</v>
      </c>
      <c r="R48" s="835">
        <f>APR!AK47</f>
        <v>0</v>
      </c>
      <c r="S48" s="836"/>
      <c r="T48" s="835">
        <f>MEI!AI47</f>
        <v>0</v>
      </c>
      <c r="U48" s="835">
        <f>MEI!AJ47</f>
        <v>0</v>
      </c>
      <c r="V48" s="835">
        <f>MEI!AK47</f>
        <v>0</v>
      </c>
      <c r="W48" s="836"/>
      <c r="X48" s="835">
        <f>JUN!AI47</f>
        <v>0</v>
      </c>
      <c r="Y48" s="835">
        <f>JUN!AJ47</f>
        <v>0</v>
      </c>
      <c r="Z48" s="835">
        <f>JUN!AK47</f>
        <v>0</v>
      </c>
      <c r="AA48" s="836"/>
      <c r="AB48" s="837">
        <f t="shared" si="0"/>
        <v>0</v>
      </c>
      <c r="AC48" s="837">
        <f t="shared" si="1"/>
        <v>0</v>
      </c>
      <c r="AD48" s="837">
        <f t="shared" si="2"/>
        <v>0</v>
      </c>
    </row>
    <row r="49" spans="1:30" ht="15">
      <c r="A49" s="758"/>
      <c r="B49" s="833">
        <v>45</v>
      </c>
      <c r="C49" s="834" t="str">
        <f>SISWA!E50</f>
        <v>Anak 45</v>
      </c>
      <c r="D49" s="835">
        <f>JAN!AI48</f>
        <v>0</v>
      </c>
      <c r="E49" s="835">
        <f>JAN!AJ48</f>
        <v>0</v>
      </c>
      <c r="F49" s="835">
        <f>JAN!AK48</f>
        <v>0</v>
      </c>
      <c r="G49" s="836"/>
      <c r="H49" s="835">
        <f>PEB!AI48</f>
        <v>0</v>
      </c>
      <c r="I49" s="835">
        <f>PEB!AJ48</f>
        <v>0</v>
      </c>
      <c r="J49" s="835">
        <f>PEB!AK48</f>
        <v>0</v>
      </c>
      <c r="K49" s="836"/>
      <c r="L49" s="835">
        <f>MART!AI48</f>
        <v>0</v>
      </c>
      <c r="M49" s="835">
        <f>MART!AJ48</f>
        <v>0</v>
      </c>
      <c r="N49" s="835">
        <f>MART!AK48</f>
        <v>0</v>
      </c>
      <c r="O49" s="836"/>
      <c r="P49" s="835">
        <f>APR!AI48</f>
        <v>0</v>
      </c>
      <c r="Q49" s="835">
        <f>APR!AJ48</f>
        <v>0</v>
      </c>
      <c r="R49" s="835">
        <f>APR!AK48</f>
        <v>0</v>
      </c>
      <c r="S49" s="836"/>
      <c r="T49" s="835">
        <f>MEI!AI48</f>
        <v>0</v>
      </c>
      <c r="U49" s="835">
        <f>MEI!AJ48</f>
        <v>0</v>
      </c>
      <c r="V49" s="835">
        <f>MEI!AK48</f>
        <v>0</v>
      </c>
      <c r="W49" s="836"/>
      <c r="X49" s="835">
        <f>JUN!AI48</f>
        <v>0</v>
      </c>
      <c r="Y49" s="835">
        <f>JUN!AJ48</f>
        <v>0</v>
      </c>
      <c r="Z49" s="835">
        <f>JUN!AK48</f>
        <v>0</v>
      </c>
      <c r="AA49" s="836"/>
      <c r="AB49" s="837">
        <f t="shared" si="0"/>
        <v>0</v>
      </c>
      <c r="AC49" s="837">
        <f t="shared" si="1"/>
        <v>0</v>
      </c>
      <c r="AD49" s="837">
        <f t="shared" si="2"/>
        <v>0</v>
      </c>
    </row>
    <row r="50" spans="1:30" ht="15">
      <c r="A50" s="758"/>
      <c r="B50" s="833">
        <v>46</v>
      </c>
      <c r="C50" s="834" t="str">
        <f>SISWA!E51</f>
        <v>Anak 46</v>
      </c>
      <c r="D50" s="835">
        <f>JAN!AI49</f>
        <v>0</v>
      </c>
      <c r="E50" s="835">
        <f>JAN!AJ49</f>
        <v>0</v>
      </c>
      <c r="F50" s="835">
        <f>JAN!AK49</f>
        <v>0</v>
      </c>
      <c r="G50" s="836"/>
      <c r="H50" s="835">
        <f>PEB!AI49</f>
        <v>0</v>
      </c>
      <c r="I50" s="835">
        <f>PEB!AJ49</f>
        <v>0</v>
      </c>
      <c r="J50" s="835">
        <f>PEB!AK49</f>
        <v>0</v>
      </c>
      <c r="K50" s="836"/>
      <c r="L50" s="835">
        <f>MART!AI49</f>
        <v>0</v>
      </c>
      <c r="M50" s="835">
        <f>MART!AJ49</f>
        <v>0</v>
      </c>
      <c r="N50" s="835">
        <f>MART!AK49</f>
        <v>0</v>
      </c>
      <c r="O50" s="836"/>
      <c r="P50" s="835">
        <f>APR!AI49</f>
        <v>0</v>
      </c>
      <c r="Q50" s="835">
        <f>APR!AJ49</f>
        <v>0</v>
      </c>
      <c r="R50" s="835">
        <f>APR!AK49</f>
        <v>0</v>
      </c>
      <c r="S50" s="836"/>
      <c r="T50" s="835">
        <f>MEI!AI49</f>
        <v>0</v>
      </c>
      <c r="U50" s="835">
        <f>MEI!AJ49</f>
        <v>0</v>
      </c>
      <c r="V50" s="835">
        <f>MEI!AK49</f>
        <v>0</v>
      </c>
      <c r="W50" s="836"/>
      <c r="X50" s="835">
        <f>JUN!AI49</f>
        <v>0</v>
      </c>
      <c r="Y50" s="835">
        <f>JUN!AJ49</f>
        <v>0</v>
      </c>
      <c r="Z50" s="835">
        <f>JUN!AK49</f>
        <v>0</v>
      </c>
      <c r="AA50" s="836"/>
      <c r="AB50" s="837">
        <f t="shared" si="0"/>
        <v>0</v>
      </c>
      <c r="AC50" s="837">
        <f t="shared" si="1"/>
        <v>0</v>
      </c>
      <c r="AD50" s="837">
        <f t="shared" si="2"/>
        <v>0</v>
      </c>
    </row>
    <row r="51" spans="1:30" ht="15">
      <c r="A51" s="758"/>
      <c r="B51" s="833">
        <v>47</v>
      </c>
      <c r="C51" s="834" t="str">
        <f>SISWA!E52</f>
        <v>Anak 47</v>
      </c>
      <c r="D51" s="835">
        <f>JAN!AI50</f>
        <v>0</v>
      </c>
      <c r="E51" s="835">
        <f>JAN!AJ50</f>
        <v>0</v>
      </c>
      <c r="F51" s="835">
        <f>JAN!AK50</f>
        <v>0</v>
      </c>
      <c r="G51" s="836"/>
      <c r="H51" s="835">
        <f>PEB!AI50</f>
        <v>0</v>
      </c>
      <c r="I51" s="835">
        <f>PEB!AJ50</f>
        <v>0</v>
      </c>
      <c r="J51" s="835">
        <f>PEB!AK50</f>
        <v>0</v>
      </c>
      <c r="K51" s="836"/>
      <c r="L51" s="835">
        <f>MART!AI50</f>
        <v>0</v>
      </c>
      <c r="M51" s="835">
        <f>MART!AJ50</f>
        <v>0</v>
      </c>
      <c r="N51" s="835">
        <f>MART!AK50</f>
        <v>0</v>
      </c>
      <c r="O51" s="836"/>
      <c r="P51" s="835">
        <f>APR!AI50</f>
        <v>0</v>
      </c>
      <c r="Q51" s="835">
        <f>APR!AJ50</f>
        <v>0</v>
      </c>
      <c r="R51" s="835">
        <f>APR!AK50</f>
        <v>0</v>
      </c>
      <c r="S51" s="836"/>
      <c r="T51" s="835">
        <f>MEI!AI50</f>
        <v>0</v>
      </c>
      <c r="U51" s="835">
        <f>MEI!AJ50</f>
        <v>0</v>
      </c>
      <c r="V51" s="835">
        <f>MEI!AK50</f>
        <v>0</v>
      </c>
      <c r="W51" s="836"/>
      <c r="X51" s="835">
        <f>JUN!AI50</f>
        <v>0</v>
      </c>
      <c r="Y51" s="835">
        <f>JUN!AJ50</f>
        <v>0</v>
      </c>
      <c r="Z51" s="835">
        <f>JUN!AK50</f>
        <v>0</v>
      </c>
      <c r="AA51" s="836"/>
      <c r="AB51" s="837">
        <f t="shared" si="0"/>
        <v>0</v>
      </c>
      <c r="AC51" s="837">
        <f t="shared" si="1"/>
        <v>0</v>
      </c>
      <c r="AD51" s="837">
        <f t="shared" si="2"/>
        <v>0</v>
      </c>
    </row>
    <row r="52" spans="1:30" ht="15">
      <c r="A52" s="758"/>
      <c r="B52" s="833">
        <v>48</v>
      </c>
      <c r="C52" s="834" t="str">
        <f>SISWA!E53</f>
        <v>Anak 48</v>
      </c>
      <c r="D52" s="835">
        <f>JAN!AI51</f>
        <v>0</v>
      </c>
      <c r="E52" s="835">
        <f>JAN!AJ51</f>
        <v>0</v>
      </c>
      <c r="F52" s="835">
        <f>JAN!AK51</f>
        <v>0</v>
      </c>
      <c r="G52" s="836"/>
      <c r="H52" s="835">
        <f>PEB!AI51</f>
        <v>0</v>
      </c>
      <c r="I52" s="835">
        <f>PEB!AJ51</f>
        <v>0</v>
      </c>
      <c r="J52" s="835">
        <f>PEB!AK51</f>
        <v>0</v>
      </c>
      <c r="K52" s="836"/>
      <c r="L52" s="835">
        <f>MART!AI51</f>
        <v>0</v>
      </c>
      <c r="M52" s="835">
        <f>MART!AJ51</f>
        <v>0</v>
      </c>
      <c r="N52" s="835">
        <f>MART!AK51</f>
        <v>0</v>
      </c>
      <c r="O52" s="836"/>
      <c r="P52" s="835">
        <f>APR!AI51</f>
        <v>0</v>
      </c>
      <c r="Q52" s="835">
        <f>APR!AJ51</f>
        <v>0</v>
      </c>
      <c r="R52" s="835">
        <f>APR!AK51</f>
        <v>0</v>
      </c>
      <c r="S52" s="836"/>
      <c r="T52" s="835">
        <f>MEI!AI51</f>
        <v>0</v>
      </c>
      <c r="U52" s="835">
        <f>MEI!AJ51</f>
        <v>0</v>
      </c>
      <c r="V52" s="835">
        <f>MEI!AK51</f>
        <v>0</v>
      </c>
      <c r="W52" s="836"/>
      <c r="X52" s="835">
        <f>JUN!AI51</f>
        <v>0</v>
      </c>
      <c r="Y52" s="835">
        <f>JUN!AJ51</f>
        <v>0</v>
      </c>
      <c r="Z52" s="835">
        <f>JUN!AK51</f>
        <v>0</v>
      </c>
      <c r="AA52" s="836"/>
      <c r="AB52" s="837">
        <f t="shared" si="0"/>
        <v>0</v>
      </c>
      <c r="AC52" s="837">
        <f t="shared" si="1"/>
        <v>0</v>
      </c>
      <c r="AD52" s="837">
        <f t="shared" si="2"/>
        <v>0</v>
      </c>
    </row>
    <row r="53" spans="1:30" ht="15">
      <c r="A53" s="758"/>
      <c r="B53" s="833">
        <v>49</v>
      </c>
      <c r="C53" s="834" t="str">
        <f>SISWA!E54</f>
        <v>Anak 49</v>
      </c>
      <c r="D53" s="835">
        <f>JAN!AI52</f>
        <v>0</v>
      </c>
      <c r="E53" s="835">
        <f>JAN!AJ52</f>
        <v>0</v>
      </c>
      <c r="F53" s="835">
        <f>JAN!AK52</f>
        <v>0</v>
      </c>
      <c r="G53" s="836"/>
      <c r="H53" s="835">
        <f>PEB!AI52</f>
        <v>0</v>
      </c>
      <c r="I53" s="835">
        <f>PEB!AJ52</f>
        <v>0</v>
      </c>
      <c r="J53" s="835">
        <f>PEB!AK52</f>
        <v>0</v>
      </c>
      <c r="K53" s="836"/>
      <c r="L53" s="835">
        <f>MART!AI52</f>
        <v>0</v>
      </c>
      <c r="M53" s="835">
        <f>MART!AJ52</f>
        <v>0</v>
      </c>
      <c r="N53" s="835">
        <f>MART!AK52</f>
        <v>0</v>
      </c>
      <c r="O53" s="836"/>
      <c r="P53" s="835">
        <f>APR!AI52</f>
        <v>0</v>
      </c>
      <c r="Q53" s="835">
        <f>APR!AJ52</f>
        <v>0</v>
      </c>
      <c r="R53" s="835">
        <f>APR!AK52</f>
        <v>0</v>
      </c>
      <c r="S53" s="836"/>
      <c r="T53" s="835">
        <f>MEI!AI52</f>
        <v>0</v>
      </c>
      <c r="U53" s="835">
        <f>MEI!AJ52</f>
        <v>0</v>
      </c>
      <c r="V53" s="835">
        <f>MEI!AK52</f>
        <v>0</v>
      </c>
      <c r="W53" s="836"/>
      <c r="X53" s="835">
        <f>JUN!AI52</f>
        <v>0</v>
      </c>
      <c r="Y53" s="835">
        <f>JUN!AJ52</f>
        <v>0</v>
      </c>
      <c r="Z53" s="835">
        <f>JUN!AK52</f>
        <v>0</v>
      </c>
      <c r="AA53" s="836"/>
      <c r="AB53" s="837">
        <f t="shared" si="0"/>
        <v>0</v>
      </c>
      <c r="AC53" s="837">
        <f t="shared" si="1"/>
        <v>0</v>
      </c>
      <c r="AD53" s="837">
        <f t="shared" si="2"/>
        <v>0</v>
      </c>
    </row>
    <row r="54" spans="1:30" ht="15">
      <c r="A54" s="758"/>
      <c r="B54" s="833">
        <v>50</v>
      </c>
      <c r="C54" s="834" t="str">
        <f>SISWA!E55</f>
        <v>Anak 50</v>
      </c>
      <c r="D54" s="835">
        <f>JAN!AI53</f>
        <v>0</v>
      </c>
      <c r="E54" s="835">
        <f>JAN!AJ53</f>
        <v>0</v>
      </c>
      <c r="F54" s="835">
        <f>JAN!AK53</f>
        <v>0</v>
      </c>
      <c r="G54" s="836"/>
      <c r="H54" s="835">
        <f>PEB!AI53</f>
        <v>0</v>
      </c>
      <c r="I54" s="835">
        <f>PEB!AJ53</f>
        <v>0</v>
      </c>
      <c r="J54" s="835">
        <f>PEB!AK53</f>
        <v>0</v>
      </c>
      <c r="K54" s="836"/>
      <c r="L54" s="835">
        <f>MART!AI53</f>
        <v>0</v>
      </c>
      <c r="M54" s="835">
        <f>MART!AJ53</f>
        <v>0</v>
      </c>
      <c r="N54" s="835">
        <f>MART!AK53</f>
        <v>0</v>
      </c>
      <c r="O54" s="836"/>
      <c r="P54" s="835">
        <f>APR!AI53</f>
        <v>0</v>
      </c>
      <c r="Q54" s="835">
        <f>APR!AJ53</f>
        <v>0</v>
      </c>
      <c r="R54" s="835">
        <f>APR!AK53</f>
        <v>0</v>
      </c>
      <c r="S54" s="836"/>
      <c r="T54" s="835">
        <f>MEI!AI53</f>
        <v>0</v>
      </c>
      <c r="U54" s="835">
        <f>MEI!AJ53</f>
        <v>0</v>
      </c>
      <c r="V54" s="835">
        <f>MEI!AK53</f>
        <v>0</v>
      </c>
      <c r="W54" s="836"/>
      <c r="X54" s="835">
        <f>JUN!AI53</f>
        <v>0</v>
      </c>
      <c r="Y54" s="835">
        <f>JUN!AJ53</f>
        <v>0</v>
      </c>
      <c r="Z54" s="835">
        <f>JUN!AK53</f>
        <v>0</v>
      </c>
      <c r="AA54" s="836"/>
      <c r="AB54" s="837">
        <f t="shared" si="0"/>
        <v>0</v>
      </c>
      <c r="AC54" s="837">
        <f t="shared" si="1"/>
        <v>0</v>
      </c>
      <c r="AD54" s="837">
        <f t="shared" si="2"/>
        <v>0</v>
      </c>
    </row>
    <row r="55" spans="1:30" ht="15">
      <c r="A55" s="758"/>
    </row>
    <row r="56" spans="1:30" ht="15">
      <c r="A56" s="758"/>
    </row>
    <row r="57" spans="1:30" ht="15">
      <c r="A57" s="758"/>
      <c r="F57" s="1019" t="s">
        <v>244</v>
      </c>
      <c r="G57" s="1019"/>
      <c r="H57" s="1019"/>
      <c r="I57" s="1019"/>
      <c r="J57" s="1019"/>
      <c r="K57" s="1019"/>
      <c r="W57" s="1020" t="s">
        <v>979</v>
      </c>
      <c r="X57" s="1020"/>
      <c r="Y57" s="1020"/>
      <c r="Z57" s="1020"/>
      <c r="AA57" s="1020"/>
      <c r="AB57" s="1020"/>
      <c r="AC57" s="1020"/>
    </row>
    <row r="58" spans="1:30" ht="15">
      <c r="A58" s="758"/>
      <c r="F58" s="1019" t="s">
        <v>245</v>
      </c>
      <c r="G58" s="1019"/>
      <c r="H58" s="1019"/>
      <c r="I58" s="1019"/>
      <c r="J58" s="1019"/>
      <c r="K58" s="1019"/>
      <c r="W58" s="1019" t="s">
        <v>971</v>
      </c>
      <c r="X58" s="1019"/>
      <c r="Y58" s="1019"/>
      <c r="Z58" s="1019"/>
      <c r="AA58" s="1019"/>
      <c r="AB58" s="1019"/>
      <c r="AC58" s="1019"/>
    </row>
    <row r="59" spans="1:30" ht="15">
      <c r="A59" s="758"/>
    </row>
    <row r="60" spans="1:30" ht="15">
      <c r="A60" s="758"/>
    </row>
    <row r="61" spans="1:30" ht="15">
      <c r="A61" s="758"/>
    </row>
    <row r="62" spans="1:30" ht="15">
      <c r="A62" s="758"/>
    </row>
    <row r="63" spans="1:30" ht="15">
      <c r="A63" s="758"/>
      <c r="F63" s="1025" t="str">
        <f>DEPAN!E12</f>
        <v>H. SAMSUDIN,M.Pd</v>
      </c>
      <c r="G63" s="1025"/>
      <c r="H63" s="1025"/>
      <c r="I63" s="1025"/>
      <c r="J63" s="1025"/>
      <c r="K63" s="1025"/>
      <c r="L63" s="838"/>
      <c r="W63" s="838"/>
      <c r="X63" s="1025" t="str">
        <f>DEPAN!E16</f>
        <v>SITI PONIMAH,M.Pd</v>
      </c>
      <c r="Y63" s="1025"/>
      <c r="Z63" s="1025"/>
      <c r="AA63" s="1025"/>
      <c r="AB63" s="1025"/>
      <c r="AC63" s="838"/>
    </row>
    <row r="64" spans="1:30" ht="15">
      <c r="A64" s="758"/>
      <c r="F64" s="1021" t="str">
        <f>CONCATENATE("NIP.",DEPAN!E13)</f>
        <v>NIP.19921233 198777 1 336</v>
      </c>
      <c r="G64" s="1021"/>
      <c r="H64" s="1021"/>
      <c r="I64" s="1021"/>
      <c r="J64" s="1021"/>
      <c r="K64" s="1021"/>
      <c r="L64" s="839"/>
      <c r="W64" s="1021" t="str">
        <f>CONCATENATE("NIP.",DEPAN!E17)</f>
        <v>NIP.19616566 201808 2 033</v>
      </c>
      <c r="X64" s="1021"/>
      <c r="Y64" s="1021"/>
      <c r="Z64" s="1021"/>
      <c r="AA64" s="1021"/>
      <c r="AB64" s="1021"/>
      <c r="AC64" s="1021"/>
    </row>
    <row r="65" spans="1:1" ht="15">
      <c r="A65" s="758"/>
    </row>
    <row r="66" spans="1:1" ht="15" hidden="1">
      <c r="A66" s="758"/>
    </row>
    <row r="67" spans="1:1" ht="15" hidden="1">
      <c r="A67" s="758"/>
    </row>
    <row r="68" spans="1:1" ht="15" hidden="1">
      <c r="A68" s="758"/>
    </row>
    <row r="69" spans="1:1" ht="15" hidden="1">
      <c r="A69" s="758"/>
    </row>
    <row r="70" spans="1:1" ht="15" hidden="1">
      <c r="A70" s="758"/>
    </row>
    <row r="71" spans="1:1" ht="15" hidden="1">
      <c r="A71" s="758"/>
    </row>
    <row r="72" spans="1:1" ht="15" hidden="1">
      <c r="A72" s="758"/>
    </row>
    <row r="73" spans="1:1" ht="15" hidden="1">
      <c r="A73" s="758"/>
    </row>
    <row r="74" spans="1:1" ht="15" hidden="1">
      <c r="A74" s="758"/>
    </row>
    <row r="75" spans="1:1" ht="15" hidden="1">
      <c r="A75" s="758"/>
    </row>
    <row r="76" spans="1:1" ht="15" hidden="1">
      <c r="A76" s="758"/>
    </row>
    <row r="77" spans="1:1" ht="15" hidden="1">
      <c r="A77" s="758"/>
    </row>
    <row r="78" spans="1:1" ht="15" hidden="1">
      <c r="A78" s="758"/>
    </row>
    <row r="79" spans="1:1" ht="15" hidden="1">
      <c r="A79" s="758"/>
    </row>
    <row r="80" spans="1:1" ht="15" hidden="1">
      <c r="A80" s="758"/>
    </row>
    <row r="81" spans="1:1" ht="15" hidden="1">
      <c r="A81" s="758"/>
    </row>
    <row r="82" spans="1:1" ht="15" hidden="1">
      <c r="A82" s="758"/>
    </row>
    <row r="83" spans="1:1" ht="15" hidden="1">
      <c r="A83" s="758"/>
    </row>
    <row r="84" spans="1:1" ht="15" hidden="1">
      <c r="A84" s="758"/>
    </row>
    <row r="85" spans="1:1" ht="15" hidden="1">
      <c r="A85" s="758"/>
    </row>
    <row r="86" spans="1:1" ht="15" hidden="1">
      <c r="A86" s="758"/>
    </row>
    <row r="87" spans="1:1" ht="15">
      <c r="A87" s="758"/>
    </row>
    <row r="88" spans="1:1" ht="15">
      <c r="A88" s="758"/>
    </row>
  </sheetData>
  <sheetProtection sheet="1" objects="1" scenarios="1"/>
  <mergeCells count="18">
    <mergeCell ref="W64:AC64"/>
    <mergeCell ref="F64:K64"/>
    <mergeCell ref="D3:F3"/>
    <mergeCell ref="H3:J3"/>
    <mergeCell ref="L3:N3"/>
    <mergeCell ref="P3:R3"/>
    <mergeCell ref="T3:V3"/>
    <mergeCell ref="X3:Z3"/>
    <mergeCell ref="AB3:AD3"/>
    <mergeCell ref="F58:K58"/>
    <mergeCell ref="W58:AC58"/>
    <mergeCell ref="F63:K63"/>
    <mergeCell ref="X63:AB63"/>
    <mergeCell ref="B2:B3"/>
    <mergeCell ref="C2:C3"/>
    <mergeCell ref="D2:AD2"/>
    <mergeCell ref="F57:K57"/>
    <mergeCell ref="W57:AC57"/>
  </mergeCells>
  <pageMargins left="0.7" right="0.7" top="0.75" bottom="0.75" header="0.3" footer="0.3"/>
  <pageSetup orientation="portrait" horizontalDpi="0"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M57"/>
  <sheetViews>
    <sheetView zoomScale="70" zoomScaleNormal="70" workbookViewId="0">
      <pane xSplit="4" ySplit="5" topLeftCell="E6" activePane="bottomRight" state="frozen"/>
      <selection pane="topRight" activeCell="D1" sqref="D1"/>
      <selection pane="bottomLeft" activeCell="A6" sqref="A6"/>
      <selection pane="bottomRight"/>
    </sheetView>
  </sheetViews>
  <sheetFormatPr defaultColWidth="0" defaultRowHeight="15"/>
  <cols>
    <col min="1" max="1" width="23.28515625" style="446" customWidth="1"/>
    <col min="2" max="2" width="4.42578125" style="104" customWidth="1"/>
    <col min="3" max="3" width="6.42578125" style="104" hidden="1" customWidth="1"/>
    <col min="4" max="4" width="33.42578125" style="104" customWidth="1"/>
    <col min="5" max="23" width="6.140625" style="104" customWidth="1"/>
    <col min="24" max="24" width="7" style="104" customWidth="1"/>
    <col min="25" max="42" width="6.140625" style="104" customWidth="1"/>
    <col min="43" max="55" width="4.85546875" style="104" customWidth="1"/>
    <col min="56" max="63" width="4.85546875" style="104" hidden="1" customWidth="1"/>
    <col min="64" max="67" width="4.85546875" style="104" customWidth="1"/>
    <col min="68" max="75" width="4.85546875" style="104" hidden="1" customWidth="1"/>
    <col min="76" max="83" width="4.85546875" style="104" customWidth="1"/>
    <col min="84" max="87" width="4.85546875" style="104" hidden="1" customWidth="1"/>
    <col min="88" max="93" width="4.85546875" style="104" customWidth="1"/>
    <col min="94" max="99" width="4.85546875" style="104" hidden="1" customWidth="1"/>
    <col min="100" max="103" width="4.85546875" style="104" customWidth="1"/>
    <col min="104" max="111" width="4.85546875" style="104" hidden="1" customWidth="1"/>
    <col min="112" max="117" width="4.85546875" style="104" customWidth="1"/>
    <col min="118" max="123" width="4.85546875" style="104" hidden="1" customWidth="1"/>
    <col min="124" max="124" width="6.7109375" style="104" customWidth="1"/>
    <col min="125" max="126" width="4.7109375" style="104" customWidth="1"/>
    <col min="127" max="127" width="5.140625" style="104" customWidth="1"/>
    <col min="128" max="128" width="10.28515625" style="104" customWidth="1"/>
    <col min="129" max="129" width="5.140625" style="104" customWidth="1"/>
    <col min="130" max="130" width="10.85546875" style="104" customWidth="1"/>
    <col min="131" max="131" width="84.42578125" style="104" customWidth="1"/>
    <col min="132" max="132" width="29.85546875" style="104" hidden="1" customWidth="1"/>
    <col min="133" max="138" width="10.7109375" style="104" hidden="1" customWidth="1"/>
    <col min="139" max="153" width="9.140625" style="104" hidden="1" customWidth="1"/>
    <col min="154" max="159" width="6.5703125" style="104" hidden="1" customWidth="1"/>
    <col min="160" max="160" width="65.85546875" style="104" hidden="1" customWidth="1"/>
    <col min="161" max="161" width="18.7109375" style="104" hidden="1" customWidth="1"/>
    <col min="162" max="173" width="9.140625" style="104" hidden="1" customWidth="1"/>
    <col min="174" max="175" width="9.140625" style="104" customWidth="1"/>
    <col min="176" max="195" width="0" style="104" hidden="1" customWidth="1"/>
    <col min="196" max="16384" width="9.140625" style="104" hidden="1"/>
  </cols>
  <sheetData>
    <row r="1" spans="1:173" s="449" customFormat="1" ht="45.75" customHeight="1">
      <c r="B1" s="1040" t="s">
        <v>47</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c r="AT1" s="1040"/>
      <c r="AU1" s="1040"/>
      <c r="AV1" s="1040"/>
      <c r="AW1" s="1040"/>
      <c r="AX1" s="1040"/>
      <c r="AY1" s="1040"/>
      <c r="AZ1" s="1040"/>
      <c r="BA1" s="1040"/>
      <c r="BB1" s="1040"/>
      <c r="BC1" s="1040"/>
      <c r="BD1" s="1040"/>
      <c r="BE1" s="1040"/>
      <c r="BF1" s="1040"/>
      <c r="BG1" s="1040"/>
      <c r="BH1" s="1040"/>
      <c r="BI1" s="1040"/>
      <c r="BJ1" s="1040"/>
      <c r="BK1" s="1040"/>
      <c r="BL1" s="1040"/>
      <c r="BM1" s="1040"/>
      <c r="BN1" s="1040"/>
      <c r="BO1" s="1040"/>
      <c r="BP1" s="1040"/>
      <c r="BQ1" s="1040"/>
      <c r="BR1" s="1040"/>
      <c r="BS1" s="1040"/>
      <c r="BT1" s="1040"/>
      <c r="BU1" s="1040"/>
      <c r="BV1" s="1040"/>
      <c r="BW1" s="1040"/>
      <c r="BX1" s="1040"/>
      <c r="BY1" s="1040"/>
      <c r="BZ1" s="1040"/>
      <c r="CA1" s="1040"/>
      <c r="CB1" s="1040"/>
      <c r="CC1" s="1040"/>
      <c r="CD1" s="1040"/>
      <c r="CE1" s="1040"/>
      <c r="CF1" s="1040"/>
      <c r="CG1" s="1040"/>
      <c r="CH1" s="1040"/>
      <c r="CI1" s="1040"/>
      <c r="CJ1" s="1040"/>
      <c r="CK1" s="1040"/>
      <c r="CL1" s="1040"/>
      <c r="CM1" s="1040"/>
      <c r="CN1" s="1040"/>
      <c r="CO1" s="1040"/>
      <c r="CP1" s="1040"/>
      <c r="CQ1" s="1040"/>
      <c r="CR1" s="1040"/>
      <c r="CS1" s="1040"/>
      <c r="CT1" s="1040"/>
      <c r="CU1" s="1040"/>
      <c r="CV1" s="1040"/>
      <c r="CW1" s="1040"/>
      <c r="CX1" s="1040"/>
      <c r="CY1" s="1040"/>
      <c r="CZ1" s="1040"/>
      <c r="DA1" s="1040"/>
      <c r="DB1" s="1040"/>
      <c r="DC1" s="1040"/>
      <c r="DD1" s="1040"/>
      <c r="DE1" s="1040"/>
      <c r="DF1" s="1040"/>
      <c r="DG1" s="1040"/>
      <c r="DH1" s="1040"/>
      <c r="DI1" s="1040"/>
      <c r="DJ1" s="1040"/>
      <c r="DK1" s="1040"/>
      <c r="DL1" s="1040"/>
      <c r="DM1" s="1040"/>
      <c r="DN1" s="1040"/>
      <c r="DO1" s="1040"/>
      <c r="DP1" s="1040"/>
      <c r="DQ1" s="1040"/>
      <c r="DR1" s="1040"/>
      <c r="DS1" s="1040"/>
      <c r="DT1" s="1040"/>
      <c r="DU1" s="1040"/>
      <c r="DV1" s="1040"/>
      <c r="DW1" s="1040"/>
      <c r="DX1" s="1040"/>
      <c r="DY1" s="1040"/>
      <c r="DZ1" s="1040"/>
    </row>
    <row r="2" spans="1:173" ht="30.75" customHeight="1">
      <c r="B2" s="1041" t="s">
        <v>2</v>
      </c>
      <c r="C2" s="1042" t="s">
        <v>3</v>
      </c>
      <c r="D2" s="1043" t="s">
        <v>48</v>
      </c>
      <c r="E2" s="1035" t="s">
        <v>699</v>
      </c>
      <c r="F2" s="1036"/>
      <c r="G2" s="1036"/>
      <c r="H2" s="1036"/>
      <c r="I2" s="1036"/>
      <c r="J2" s="1036"/>
      <c r="K2" s="1036"/>
      <c r="L2" s="1036"/>
      <c r="M2" s="1036"/>
      <c r="N2" s="1036"/>
      <c r="O2" s="1036"/>
      <c r="P2" s="1036"/>
      <c r="Q2" s="1036"/>
      <c r="R2" s="1037" t="s">
        <v>730</v>
      </c>
      <c r="S2" s="1038"/>
      <c r="T2" s="1038"/>
      <c r="U2" s="1038"/>
      <c r="V2" s="1038"/>
      <c r="W2" s="1038"/>
      <c r="X2" s="1038"/>
      <c r="Y2" s="1038"/>
      <c r="Z2" s="1038"/>
      <c r="AA2" s="1038"/>
      <c r="AB2" s="1038"/>
      <c r="AC2" s="1038"/>
      <c r="AD2" s="1034" t="s">
        <v>736</v>
      </c>
      <c r="AE2" s="1034"/>
      <c r="AF2" s="1034"/>
      <c r="AG2" s="1034"/>
      <c r="AH2" s="1034"/>
      <c r="AI2" s="1034"/>
      <c r="AJ2" s="1034"/>
      <c r="AK2" s="1034"/>
      <c r="AL2" s="1034"/>
      <c r="AM2" s="1034"/>
      <c r="AN2" s="1034"/>
      <c r="AO2" s="1034"/>
      <c r="AP2" s="1034"/>
      <c r="AQ2" s="1044" t="s">
        <v>0</v>
      </c>
      <c r="AR2" s="1044"/>
      <c r="AS2" s="1044"/>
      <c r="AT2" s="1044"/>
      <c r="AU2" s="1044"/>
      <c r="AV2" s="1044"/>
      <c r="AW2" s="1044"/>
      <c r="AX2" s="1044"/>
      <c r="AY2" s="1044"/>
      <c r="AZ2" s="1044"/>
      <c r="BA2" s="1044"/>
      <c r="BB2" s="1044"/>
      <c r="BC2" s="1044"/>
      <c r="BD2" s="1044"/>
      <c r="BE2" s="1044"/>
      <c r="BF2" s="1044"/>
      <c r="BG2" s="1044"/>
      <c r="BH2" s="1044"/>
      <c r="BI2" s="1044"/>
      <c r="BJ2" s="1044"/>
      <c r="BK2" s="1044"/>
      <c r="BL2" s="1044"/>
      <c r="BM2" s="1044"/>
      <c r="BN2" s="1044"/>
      <c r="BO2" s="1044"/>
      <c r="BP2" s="1044"/>
      <c r="BQ2" s="1044"/>
      <c r="BR2" s="1044"/>
      <c r="BS2" s="1044"/>
      <c r="BT2" s="1044"/>
      <c r="BU2" s="1044"/>
      <c r="BV2" s="1044"/>
      <c r="BW2" s="1044"/>
      <c r="BX2" s="1044"/>
      <c r="BY2" s="1044"/>
      <c r="BZ2" s="1044"/>
      <c r="CA2" s="1044"/>
      <c r="CB2" s="1044"/>
      <c r="CC2" s="1044"/>
      <c r="CD2" s="1044"/>
      <c r="CE2" s="1044"/>
      <c r="CF2" s="1044"/>
      <c r="CG2" s="1044"/>
      <c r="CH2" s="1044"/>
      <c r="CI2" s="1044"/>
      <c r="CJ2" s="1044"/>
      <c r="CK2" s="1044"/>
      <c r="CL2" s="1044"/>
      <c r="CM2" s="1044"/>
      <c r="CN2" s="1044"/>
      <c r="CO2" s="1044"/>
      <c r="CP2" s="1044"/>
      <c r="CQ2" s="1044"/>
      <c r="CR2" s="1044"/>
      <c r="CS2" s="1044"/>
      <c r="CT2" s="1044"/>
      <c r="CU2" s="1044"/>
      <c r="CV2" s="1044"/>
      <c r="CW2" s="1044"/>
      <c r="CX2" s="1044"/>
      <c r="CY2" s="1044"/>
      <c r="CZ2" s="1044"/>
      <c r="DA2" s="1044"/>
      <c r="DB2" s="1044"/>
      <c r="DC2" s="1044"/>
      <c r="DD2" s="1044"/>
      <c r="DE2" s="1044"/>
      <c r="DF2" s="1044"/>
      <c r="DG2" s="1044"/>
      <c r="DH2" s="1044"/>
      <c r="DI2" s="1044"/>
      <c r="DJ2" s="1044"/>
      <c r="DK2" s="1044"/>
      <c r="DL2" s="1044"/>
      <c r="DM2" s="1044"/>
      <c r="DN2" s="1044"/>
      <c r="DO2" s="1044"/>
      <c r="DP2" s="1044"/>
      <c r="DQ2" s="1044"/>
      <c r="DR2" s="1044"/>
      <c r="DS2" s="1044"/>
      <c r="DT2" s="1044"/>
      <c r="DU2" s="1045" t="s">
        <v>5</v>
      </c>
      <c r="DV2" s="1046" t="s">
        <v>6</v>
      </c>
      <c r="DW2" s="1047" t="s">
        <v>314</v>
      </c>
      <c r="DX2" s="1048"/>
      <c r="DY2" s="1048"/>
      <c r="DZ2" s="1048"/>
      <c r="EA2" s="1027" t="s">
        <v>1</v>
      </c>
      <c r="EH2" s="294"/>
      <c r="EX2" s="1045" t="s">
        <v>5</v>
      </c>
      <c r="EY2" s="1046" t="s">
        <v>6</v>
      </c>
      <c r="EZ2" s="1047" t="s">
        <v>314</v>
      </c>
      <c r="FA2" s="1048"/>
      <c r="FB2" s="1048"/>
      <c r="FC2" s="1048"/>
      <c r="FD2" s="1027" t="s">
        <v>1</v>
      </c>
    </row>
    <row r="3" spans="1:173" s="330" customFormat="1" ht="33.75" customHeight="1">
      <c r="A3" s="447"/>
      <c r="B3" s="1041"/>
      <c r="C3" s="1042"/>
      <c r="D3" s="1043"/>
      <c r="E3" s="1026">
        <f>AQ5</f>
        <v>3.1</v>
      </c>
      <c r="F3" s="1026">
        <f t="shared" ref="F3:Q3" si="0">AR5</f>
        <v>3.4</v>
      </c>
      <c r="G3" s="1026">
        <f t="shared" si="0"/>
        <v>3.12</v>
      </c>
      <c r="H3" s="1026">
        <f t="shared" si="0"/>
        <v>3.13</v>
      </c>
      <c r="I3" s="1026">
        <f t="shared" si="0"/>
        <v>3.7</v>
      </c>
      <c r="J3" s="1026">
        <f t="shared" si="0"/>
        <v>3.8</v>
      </c>
      <c r="K3" s="1039">
        <f t="shared" si="0"/>
        <v>3.15</v>
      </c>
      <c r="L3" s="1026" t="str">
        <f t="shared" si="0"/>
        <v>3.21</v>
      </c>
      <c r="M3" s="1026">
        <f t="shared" si="0"/>
        <v>0</v>
      </c>
      <c r="N3" s="1026">
        <f t="shared" si="0"/>
        <v>0</v>
      </c>
      <c r="O3" s="1026">
        <f t="shared" si="0"/>
        <v>0</v>
      </c>
      <c r="P3" s="1026">
        <f t="shared" si="0"/>
        <v>0</v>
      </c>
      <c r="Q3" s="1026">
        <f t="shared" si="0"/>
        <v>0</v>
      </c>
      <c r="R3" s="1026">
        <f>E3</f>
        <v>3.1</v>
      </c>
      <c r="S3" s="1026">
        <f t="shared" ref="S3:Y3" si="1">F3</f>
        <v>3.4</v>
      </c>
      <c r="T3" s="1026">
        <f t="shared" si="1"/>
        <v>3.12</v>
      </c>
      <c r="U3" s="1026">
        <f t="shared" si="1"/>
        <v>3.13</v>
      </c>
      <c r="V3" s="1026">
        <f t="shared" si="1"/>
        <v>3.7</v>
      </c>
      <c r="W3" s="1026">
        <f t="shared" si="1"/>
        <v>3.8</v>
      </c>
      <c r="X3" s="1039">
        <f t="shared" si="1"/>
        <v>3.15</v>
      </c>
      <c r="Y3" s="1039" t="str">
        <f t="shared" si="1"/>
        <v>3.21</v>
      </c>
      <c r="Z3" s="1039"/>
      <c r="AA3" s="1039"/>
      <c r="AB3" s="1039"/>
      <c r="AC3" s="1026"/>
      <c r="AD3" s="1026">
        <f>E3</f>
        <v>3.1</v>
      </c>
      <c r="AE3" s="1026">
        <f t="shared" ref="AE3:AP3" si="2">F3</f>
        <v>3.4</v>
      </c>
      <c r="AF3" s="1026">
        <f t="shared" si="2"/>
        <v>3.12</v>
      </c>
      <c r="AG3" s="1026">
        <f t="shared" si="2"/>
        <v>3.13</v>
      </c>
      <c r="AH3" s="1026">
        <f t="shared" si="2"/>
        <v>3.7</v>
      </c>
      <c r="AI3" s="1026">
        <f t="shared" si="2"/>
        <v>3.8</v>
      </c>
      <c r="AJ3" s="1026">
        <f t="shared" si="2"/>
        <v>3.15</v>
      </c>
      <c r="AK3" s="1026" t="str">
        <f t="shared" si="2"/>
        <v>3.21</v>
      </c>
      <c r="AL3" s="1026">
        <f t="shared" si="2"/>
        <v>0</v>
      </c>
      <c r="AM3" s="1026">
        <f t="shared" si="2"/>
        <v>0</v>
      </c>
      <c r="AN3" s="1026">
        <f t="shared" si="2"/>
        <v>0</v>
      </c>
      <c r="AO3" s="1026">
        <f t="shared" si="2"/>
        <v>0</v>
      </c>
      <c r="AP3" s="1026">
        <f t="shared" si="2"/>
        <v>0</v>
      </c>
      <c r="AQ3" s="1049" t="s">
        <v>340</v>
      </c>
      <c r="AR3" s="1050"/>
      <c r="AS3" s="1050"/>
      <c r="AT3" s="1050"/>
      <c r="AU3" s="1050"/>
      <c r="AV3" s="1050"/>
      <c r="AW3" s="1050"/>
      <c r="AX3" s="1050"/>
      <c r="AY3" s="1050"/>
      <c r="AZ3" s="1050"/>
      <c r="BA3" s="1050"/>
      <c r="BB3" s="1050"/>
      <c r="BC3" s="1050"/>
      <c r="BD3" s="1050"/>
      <c r="BE3" s="1050"/>
      <c r="BF3" s="1050"/>
      <c r="BG3" s="1050"/>
      <c r="BH3" s="1050"/>
      <c r="BI3" s="1050"/>
      <c r="BJ3" s="1050"/>
      <c r="BK3" s="1051"/>
      <c r="BL3" s="1052" t="s">
        <v>341</v>
      </c>
      <c r="BM3" s="1053"/>
      <c r="BN3" s="1053"/>
      <c r="BO3" s="1053"/>
      <c r="BP3" s="1053"/>
      <c r="BQ3" s="1053"/>
      <c r="BR3" s="1053"/>
      <c r="BS3" s="1053"/>
      <c r="BT3" s="1053"/>
      <c r="BU3" s="1053"/>
      <c r="BV3" s="1053"/>
      <c r="BW3" s="1054"/>
      <c r="BX3" s="1055" t="s">
        <v>342</v>
      </c>
      <c r="BY3" s="1056"/>
      <c r="BZ3" s="1056"/>
      <c r="CA3" s="1056"/>
      <c r="CB3" s="1056"/>
      <c r="CC3" s="1056"/>
      <c r="CD3" s="1056"/>
      <c r="CE3" s="1056"/>
      <c r="CF3" s="1056"/>
      <c r="CG3" s="1056"/>
      <c r="CH3" s="1056"/>
      <c r="CI3" s="1057"/>
      <c r="CJ3" s="1058" t="s">
        <v>343</v>
      </c>
      <c r="CK3" s="1059"/>
      <c r="CL3" s="1059"/>
      <c r="CM3" s="1059"/>
      <c r="CN3" s="1059"/>
      <c r="CO3" s="1059"/>
      <c r="CP3" s="1059"/>
      <c r="CQ3" s="1059"/>
      <c r="CR3" s="1059"/>
      <c r="CS3" s="1059"/>
      <c r="CT3" s="1059"/>
      <c r="CU3" s="1060"/>
      <c r="CV3" s="1061" t="s">
        <v>344</v>
      </c>
      <c r="CW3" s="1062"/>
      <c r="CX3" s="1062"/>
      <c r="CY3" s="1062"/>
      <c r="CZ3" s="1062"/>
      <c r="DA3" s="1062"/>
      <c r="DB3" s="1062"/>
      <c r="DC3" s="1062"/>
      <c r="DD3" s="1062"/>
      <c r="DE3" s="1062"/>
      <c r="DF3" s="1062"/>
      <c r="DG3" s="1063"/>
      <c r="DH3" s="1064" t="s">
        <v>345</v>
      </c>
      <c r="DI3" s="1065"/>
      <c r="DJ3" s="1065"/>
      <c r="DK3" s="1065"/>
      <c r="DL3" s="1065"/>
      <c r="DM3" s="1065"/>
      <c r="DN3" s="1065"/>
      <c r="DO3" s="1065"/>
      <c r="DP3" s="1065"/>
      <c r="DQ3" s="1065"/>
      <c r="DR3" s="1065"/>
      <c r="DS3" s="1066"/>
      <c r="DT3" s="329"/>
      <c r="DU3" s="1045"/>
      <c r="DV3" s="1046"/>
      <c r="DW3" s="327"/>
      <c r="DX3" s="328"/>
      <c r="DY3" s="328"/>
      <c r="DZ3" s="328"/>
      <c r="EA3" s="1028"/>
      <c r="EH3" s="331"/>
      <c r="ET3" s="441">
        <f>DEPAN!$E$23</f>
        <v>50</v>
      </c>
      <c r="EX3" s="1045"/>
      <c r="EY3" s="1046"/>
      <c r="EZ3" s="327"/>
      <c r="FA3" s="328"/>
      <c r="FB3" s="328"/>
      <c r="FC3" s="328"/>
      <c r="FD3" s="1028"/>
    </row>
    <row r="4" spans="1:173" ht="57.75" customHeight="1">
      <c r="B4" s="1041"/>
      <c r="C4" s="1042"/>
      <c r="D4" s="1043"/>
      <c r="E4" s="1026"/>
      <c r="F4" s="1026"/>
      <c r="G4" s="1026"/>
      <c r="H4" s="1026"/>
      <c r="I4" s="1026"/>
      <c r="J4" s="1026"/>
      <c r="K4" s="1039"/>
      <c r="L4" s="1026"/>
      <c r="M4" s="1026"/>
      <c r="N4" s="1026"/>
      <c r="O4" s="1026"/>
      <c r="P4" s="1026"/>
      <c r="Q4" s="1026"/>
      <c r="R4" s="1026"/>
      <c r="S4" s="1026"/>
      <c r="T4" s="1026"/>
      <c r="U4" s="1026"/>
      <c r="V4" s="1026"/>
      <c r="W4" s="1026"/>
      <c r="X4" s="1039"/>
      <c r="Y4" s="1039"/>
      <c r="Z4" s="1039"/>
      <c r="AA4" s="1039"/>
      <c r="AB4" s="1039"/>
      <c r="AC4" s="1026"/>
      <c r="AD4" s="1026"/>
      <c r="AE4" s="1026"/>
      <c r="AF4" s="1026"/>
      <c r="AG4" s="1026"/>
      <c r="AH4" s="1026"/>
      <c r="AI4" s="1026"/>
      <c r="AJ4" s="1026"/>
      <c r="AK4" s="1026"/>
      <c r="AL4" s="1026"/>
      <c r="AM4" s="1026"/>
      <c r="AN4" s="1026"/>
      <c r="AO4" s="1026"/>
      <c r="AP4" s="1026"/>
      <c r="AQ4" s="335" t="str">
        <f>'KI-KD'!$C4</f>
        <v>memahami Q.S. al- Falaq dan Q.S. al- Fil dengan baik dan benar</v>
      </c>
      <c r="AR4" s="336" t="str">
        <f>'KI-KD'!$C5</f>
        <v>memahami makna iman kepada malaikat-malaikat Allah berdasar kan pengamatan terha dap dirinya dan alam sekitar</v>
      </c>
      <c r="AS4" s="335" t="str">
        <f>'KI-KD'!$C6</f>
        <v>memahami manfaat gemar membaca</v>
      </c>
      <c r="AT4" s="335" t="str">
        <f>'KI-KD'!$C7</f>
        <v>memahami makna sikap pantang menyerah</v>
      </c>
      <c r="AU4" s="335" t="str">
        <f>'KI-KD'!$C8</f>
        <v>memahami sikap rendah hati</v>
      </c>
      <c r="AV4" s="335" t="str">
        <f>'KI-KD'!$C9</f>
        <v>memahami perilaku hemat</v>
      </c>
      <c r="AW4" s="335" t="str">
        <f>'KI-KD'!$C10</f>
        <v>memahami makna ibadah salat</v>
      </c>
      <c r="AX4" s="335" t="str">
        <f>'KI-KD'!$C11</f>
        <v>Memahami kisah keteladanan Wali Songo</v>
      </c>
      <c r="AY4" s="335">
        <f>'KI-KD'!$C12</f>
        <v>0</v>
      </c>
      <c r="AZ4" s="335">
        <f>'KI-KD'!$C13</f>
        <v>0</v>
      </c>
      <c r="BA4" s="335">
        <f>'KI-KD'!$C14</f>
        <v>0</v>
      </c>
      <c r="BB4" s="335">
        <f>'KI-KD'!$C15</f>
        <v>0</v>
      </c>
      <c r="BC4" s="350">
        <f>'KI-KD'!$C16</f>
        <v>0</v>
      </c>
      <c r="BD4" s="350">
        <f>'KI-KD'!$C17</f>
        <v>0</v>
      </c>
      <c r="BE4" s="350">
        <f>'KI-KD'!$C18</f>
        <v>0</v>
      </c>
      <c r="BF4" s="350">
        <f>'KI-KD'!$C19</f>
        <v>0</v>
      </c>
      <c r="BG4" s="350">
        <f>'KI-KD'!$C20</f>
        <v>0</v>
      </c>
      <c r="BH4" s="350">
        <f>'KI-KD'!$C21</f>
        <v>0</v>
      </c>
      <c r="BI4" s="350">
        <f>'KI-KD'!$C22</f>
        <v>0</v>
      </c>
      <c r="BJ4" s="350">
        <f>'KI-KD'!$C23</f>
        <v>0</v>
      </c>
      <c r="BK4" s="350">
        <f>'KI-KD'!$C24</f>
        <v>0</v>
      </c>
      <c r="BL4" s="337" t="str">
        <f>'KI-KD'!$C154</f>
        <v>memahami kehadiran Allah dalam berbagai peristiwa kehidupan</v>
      </c>
      <c r="BM4" s="337" t="str">
        <f>'KI-KD'!$C155</f>
        <v>memahami kemahakuasaan Allah dalam berbagai peristiwa rantai kehidupan manusia di sekitarnya</v>
      </c>
      <c r="BN4" s="337" t="str">
        <f>'KI-KD'!$C156</f>
        <v>memahami keterbatasannya sebagai manusia</v>
      </c>
      <c r="BO4" s="337" t="str">
        <f>'KI-KD'!$C157</f>
        <v>mengaplikasikan keyakinannya bahwa Allah memelihara manusia</v>
      </c>
      <c r="BP4" s="337">
        <f>'KI-KD'!$C158</f>
        <v>0</v>
      </c>
      <c r="BQ4" s="337">
        <f>'KI-KD'!$C159</f>
        <v>0</v>
      </c>
      <c r="BR4" s="337">
        <f>'KI-KD'!$C160</f>
        <v>0</v>
      </c>
      <c r="BS4" s="337">
        <f>'KI-KD'!$C161</f>
        <v>0</v>
      </c>
      <c r="BT4" s="337">
        <f>'KI-KD'!$C162</f>
        <v>0</v>
      </c>
      <c r="BU4" s="337">
        <f>'KI-KD'!$C163</f>
        <v>0</v>
      </c>
      <c r="BV4" s="337">
        <f>'KI-KD'!$C164</f>
        <v>0</v>
      </c>
      <c r="BW4" s="337">
        <f>'KI-KD'!$C165</f>
        <v>0</v>
      </c>
      <c r="BX4" s="338" t="str">
        <f>'KI-KD'!$C169</f>
        <v>memahami keunikan diri sebagai anugerah Allah yang patut disyukuri</v>
      </c>
      <c r="BY4" s="338" t="str">
        <f>'KI-KD'!$C170</f>
        <v>memahami kemampuan dan keterbatasan diri sebagai anugerah Allah</v>
      </c>
      <c r="BZ4" s="338" t="str">
        <f>'KI-KD'!$C171</f>
        <v>memahami kesetiaan Allah pada janjiNya yang memberikan Sepuluh Firman sebagai pedoman hidup</v>
      </c>
      <c r="CA4" s="338" t="str">
        <f>'KI-KD'!$C172</f>
        <v>memahami Sepuluh Perintah Allah yang menjadi landasan dalam berelasi dengan orang tua</v>
      </c>
      <c r="CB4" s="338" t="str">
        <f>'KI-KD'!$C173</f>
        <v>memahami Sepuluh Perintah Allah yang menjadi landasan dalam berelasi dengan sesama</v>
      </c>
      <c r="CC4" s="338" t="str">
        <f>'KI-KD'!$C174</f>
        <v>memahami makna perumpamaan-perumpamaan dan mukjizat-mukjizat Yesus sebagai perwujudan karya keselamatan Allah</v>
      </c>
      <c r="CD4" s="338" t="str">
        <f>'KI-KD'!$C175</f>
        <v>memahami aneka doa dalam gereja sebagai ungkapan iman kepada Allah</v>
      </c>
      <c r="CE4" s="338" t="str">
        <f>'KI-KD'!$C176</f>
        <v>memahami makna doa spontan, doa pribadi dan doa bersama sebagai ungkapan iman kepada Allah</v>
      </c>
      <c r="CF4" s="338">
        <f>'KI-KD'!$C177</f>
        <v>0</v>
      </c>
      <c r="CG4" s="338">
        <f>'KI-KD'!$C178</f>
        <v>0</v>
      </c>
      <c r="CH4" s="338">
        <f>'KI-KD'!$C179</f>
        <v>0</v>
      </c>
      <c r="CI4" s="338">
        <f>'KI-KD'!$C180</f>
        <v>0</v>
      </c>
      <c r="CJ4" s="339" t="str">
        <f>'KI-KD'!$C184</f>
        <v>memahami ajaran Punarbhawa sebagai upaya untuk meningkatkan kualitas hidup</v>
      </c>
      <c r="CK4" s="339" t="str">
        <f>'KI-KD'!$C185</f>
        <v>mengenal orang suci agama Hindu yang patut diteladani</v>
      </c>
      <c r="CL4" s="339" t="str">
        <f>'KI-KD'!$C186</f>
        <v>memahami ajaran Catur Pramana dalam mencari pengetahuan kebenaran</v>
      </c>
      <c r="CM4" s="339" t="str">
        <f>'KI-KD'!$C187</f>
        <v>memahami Maharsi penerima wahyu Veda</v>
      </c>
      <c r="CN4" s="339" t="str">
        <f>'KI-KD'!$C188</f>
        <v>mengenal hari-hari suci agama Hindu</v>
      </c>
      <c r="CO4" s="339" t="str">
        <f>'KI-KD'!$C189</f>
        <v>memahami sejarah perkembangan agama Hindu di Indonesia secara singkat</v>
      </c>
      <c r="CP4" s="339">
        <f>'KI-KD'!$C190</f>
        <v>0</v>
      </c>
      <c r="CQ4" s="339">
        <f>'KI-KD'!$C191</f>
        <v>0</v>
      </c>
      <c r="CR4" s="339">
        <f>'KI-KD'!$C192</f>
        <v>0</v>
      </c>
      <c r="CS4" s="339">
        <f>'KI-KD'!$C193</f>
        <v>0</v>
      </c>
      <c r="CT4" s="339">
        <f>'KI-KD'!$C194</f>
        <v>0</v>
      </c>
      <c r="CU4" s="339">
        <f>'KI-KD'!$C195</f>
        <v>0</v>
      </c>
      <c r="CV4" s="340" t="str">
        <f>'KI-KD'!$C199</f>
        <v>memahami masa berumah tangga dan Pelepasan Agung Pangeran Siddharta</v>
      </c>
      <c r="CW4" s="340" t="str">
        <f>'KI-KD'!$C200</f>
        <v>memahami pertolongan tanpa pamrih dan tahu berterima kasih</v>
      </c>
      <c r="CX4" s="340" t="str">
        <f>'KI-KD'!$C201</f>
        <v>memahami brahma vihara dan puja bakti</v>
      </c>
      <c r="CY4" s="340" t="str">
        <f>'KI-KD'!$C202</f>
        <v>mendeskripsikan candi-candi agama Buddha di Indonesia dan candi yang dipergunakan perayaan Waisak</v>
      </c>
      <c r="CZ4" s="340">
        <f>'KI-KD'!$C203</f>
        <v>0</v>
      </c>
      <c r="DA4" s="340">
        <f>'KI-KD'!$C204</f>
        <v>0</v>
      </c>
      <c r="DB4" s="340">
        <f>'KI-KD'!$C205</f>
        <v>0</v>
      </c>
      <c r="DC4" s="340">
        <f>'KI-KD'!$C206</f>
        <v>0</v>
      </c>
      <c r="DD4" s="340">
        <f>'KI-KD'!$C207</f>
        <v>0</v>
      </c>
      <c r="DE4" s="340">
        <f>'KI-KD'!$C208</f>
        <v>0</v>
      </c>
      <c r="DF4" s="340">
        <f>'KI-KD'!$C209</f>
        <v>0</v>
      </c>
      <c r="DG4" s="340">
        <f>'KI-KD'!$C210</f>
        <v>0</v>
      </c>
      <c r="DH4" s="341" t="str">
        <f>'KI-KD'!$C214</f>
        <v>memahami sikap tengah harmonis (Zhong He) dalam kehidupan</v>
      </c>
      <c r="DI4" s="341" t="str">
        <f>'KI-KD'!$C215</f>
        <v>memahami Wuchang sebagai pedoman hidup</v>
      </c>
      <c r="DJ4" s="341" t="str">
        <f>'KI-KD'!$C216</f>
        <v>memahami hukum sebab akibat atau pangkal ujung di alam semesta</v>
      </c>
      <c r="DK4" s="341" t="str">
        <f>'KI-KD'!$C217</f>
        <v>memahami hukum sebab akibat atau pangkal ujung dalam hubungan dengan sesama manusia</v>
      </c>
      <c r="DL4" s="341" t="str">
        <f>'KI-KD'!$C218</f>
        <v>memahami nilai-nilai kebajikan dari kisah Tiga Ibunda Agung</v>
      </c>
      <c r="DM4" s="341" t="str">
        <f>'KI-KD'!$C219</f>
        <v>memahami kisah keteladanan Zhisheng Kongzi semasa remaja hingga dewasa</v>
      </c>
      <c r="DN4" s="341">
        <f>'KI-KD'!$C220</f>
        <v>0</v>
      </c>
      <c r="DO4" s="341">
        <f>'KI-KD'!$C221</f>
        <v>0</v>
      </c>
      <c r="DP4" s="341">
        <f>'KI-KD'!$C222</f>
        <v>0</v>
      </c>
      <c r="DQ4" s="341">
        <f>'KI-KD'!$C223</f>
        <v>0</v>
      </c>
      <c r="DR4" s="341">
        <f>'KI-KD'!$C224</f>
        <v>0</v>
      </c>
      <c r="DS4" s="341">
        <f>'KI-KD'!$C225</f>
        <v>0</v>
      </c>
      <c r="DT4" s="105"/>
      <c r="DU4" s="1045"/>
      <c r="DV4" s="1046"/>
      <c r="DW4" s="1030" t="s">
        <v>315</v>
      </c>
      <c r="DX4" s="1031"/>
      <c r="DY4" s="1032" t="s">
        <v>316</v>
      </c>
      <c r="DZ4" s="1033"/>
      <c r="EA4" s="1028"/>
      <c r="EH4" s="294"/>
      <c r="ET4" s="408">
        <f>ET5-ET6</f>
        <v>50</v>
      </c>
      <c r="EX4" s="1045"/>
      <c r="EY4" s="1046"/>
      <c r="EZ4" s="1067" t="s">
        <v>315</v>
      </c>
      <c r="FA4" s="1068"/>
      <c r="FB4" s="1069" t="s">
        <v>316</v>
      </c>
      <c r="FC4" s="1070"/>
      <c r="FD4" s="1028"/>
    </row>
    <row r="5" spans="1:173" s="108" customFormat="1" ht="17.25" customHeight="1">
      <c r="A5" s="448"/>
      <c r="B5" s="1041"/>
      <c r="C5" s="1042"/>
      <c r="D5" s="1043"/>
      <c r="E5" s="1026"/>
      <c r="F5" s="1026"/>
      <c r="G5" s="1026"/>
      <c r="H5" s="1026"/>
      <c r="I5" s="1026"/>
      <c r="J5" s="1026"/>
      <c r="K5" s="1039"/>
      <c r="L5" s="1026"/>
      <c r="M5" s="1026"/>
      <c r="N5" s="1026"/>
      <c r="O5" s="1026"/>
      <c r="P5" s="1026"/>
      <c r="Q5" s="1026"/>
      <c r="R5" s="1026"/>
      <c r="S5" s="1026"/>
      <c r="T5" s="1026"/>
      <c r="U5" s="1026"/>
      <c r="V5" s="1026"/>
      <c r="W5" s="1026"/>
      <c r="X5" s="1039"/>
      <c r="Y5" s="1039"/>
      <c r="Z5" s="1039"/>
      <c r="AA5" s="1039"/>
      <c r="AB5" s="1039"/>
      <c r="AC5" s="1026"/>
      <c r="AD5" s="1026"/>
      <c r="AE5" s="1026"/>
      <c r="AF5" s="1026"/>
      <c r="AG5" s="1026"/>
      <c r="AH5" s="1026"/>
      <c r="AI5" s="1026"/>
      <c r="AJ5" s="1026"/>
      <c r="AK5" s="1026"/>
      <c r="AL5" s="1026"/>
      <c r="AM5" s="1026"/>
      <c r="AN5" s="1026"/>
      <c r="AO5" s="1026"/>
      <c r="AP5" s="1026"/>
      <c r="AQ5" s="342">
        <f>'KI-KD'!$B4</f>
        <v>3.1</v>
      </c>
      <c r="AR5" s="342">
        <f>'KI-KD'!$B5</f>
        <v>3.4</v>
      </c>
      <c r="AS5" s="342">
        <f>'KI-KD'!$B6</f>
        <v>3.12</v>
      </c>
      <c r="AT5" s="342">
        <f>'KI-KD'!$B7</f>
        <v>3.13</v>
      </c>
      <c r="AU5" s="342">
        <f>'KI-KD'!$B8</f>
        <v>3.7</v>
      </c>
      <c r="AV5" s="342">
        <f>'KI-KD'!$B9</f>
        <v>3.8</v>
      </c>
      <c r="AW5" s="342">
        <f>'KI-KD'!$B10</f>
        <v>3.15</v>
      </c>
      <c r="AX5" s="342" t="str">
        <f>'KI-KD'!$B11</f>
        <v>3.21</v>
      </c>
      <c r="AY5" s="342">
        <f>'KI-KD'!$B12</f>
        <v>0</v>
      </c>
      <c r="AZ5" s="342">
        <f>'KI-KD'!$B13</f>
        <v>0</v>
      </c>
      <c r="BA5" s="342">
        <f>'KI-KD'!$B14</f>
        <v>0</v>
      </c>
      <c r="BB5" s="342">
        <f>'KI-KD'!$B15</f>
        <v>0</v>
      </c>
      <c r="BC5" s="342">
        <f>'KI-KD'!$B16</f>
        <v>0</v>
      </c>
      <c r="BD5" s="342">
        <f>'KI-KD'!$B17</f>
        <v>0</v>
      </c>
      <c r="BE5" s="342">
        <f>'KI-KD'!$B18</f>
        <v>0</v>
      </c>
      <c r="BF5" s="342">
        <f>'KI-KD'!$B19</f>
        <v>0</v>
      </c>
      <c r="BG5" s="342">
        <f>'KI-KD'!$B20</f>
        <v>0</v>
      </c>
      <c r="BH5" s="342">
        <f>'KI-KD'!$B21</f>
        <v>0</v>
      </c>
      <c r="BI5" s="342">
        <f>'KI-KD'!$B22</f>
        <v>0</v>
      </c>
      <c r="BJ5" s="342">
        <f>'KI-KD'!$B23</f>
        <v>0</v>
      </c>
      <c r="BK5" s="342">
        <f>'KI-KD'!$B24</f>
        <v>0</v>
      </c>
      <c r="BL5" s="343">
        <f>'KI-KD'!$B154</f>
        <v>3.1</v>
      </c>
      <c r="BM5" s="343">
        <f>'KI-KD'!$B155</f>
        <v>3.2</v>
      </c>
      <c r="BN5" s="343">
        <f>'KI-KD'!$B156</f>
        <v>3.3</v>
      </c>
      <c r="BO5" s="343">
        <f>'KI-KD'!$B157</f>
        <v>3.4</v>
      </c>
      <c r="BP5" s="343">
        <f>'KI-KD'!$B158</f>
        <v>0</v>
      </c>
      <c r="BQ5" s="343">
        <f>'KI-KD'!$B159</f>
        <v>0</v>
      </c>
      <c r="BR5" s="343">
        <f>'KI-KD'!$B160</f>
        <v>0</v>
      </c>
      <c r="BS5" s="343">
        <f>'KI-KD'!$B161</f>
        <v>0</v>
      </c>
      <c r="BT5" s="343">
        <f>'KI-KD'!$B162</f>
        <v>0</v>
      </c>
      <c r="BU5" s="343">
        <f>'KI-KD'!$B163</f>
        <v>0</v>
      </c>
      <c r="BV5" s="343">
        <f>'KI-KD'!$B164</f>
        <v>0</v>
      </c>
      <c r="BW5" s="343">
        <f>'KI-KD'!$B165</f>
        <v>0</v>
      </c>
      <c r="BX5" s="344">
        <f>'KI-KD'!$B169</f>
        <v>3.1</v>
      </c>
      <c r="BY5" s="344">
        <f>'KI-KD'!$B170</f>
        <v>3.2</v>
      </c>
      <c r="BZ5" s="344">
        <f>'KI-KD'!$B171</f>
        <v>3.3</v>
      </c>
      <c r="CA5" s="344">
        <f>'KI-KD'!$B172</f>
        <v>3.4</v>
      </c>
      <c r="CB5" s="344">
        <f>'KI-KD'!$B173</f>
        <v>3.5</v>
      </c>
      <c r="CC5" s="344">
        <f>'KI-KD'!$B174</f>
        <v>3.6</v>
      </c>
      <c r="CD5" s="344">
        <f>'KI-KD'!$B175</f>
        <v>3.7</v>
      </c>
      <c r="CE5" s="344">
        <f>'KI-KD'!$B176</f>
        <v>3.8</v>
      </c>
      <c r="CF5" s="344">
        <f>'KI-KD'!$B177</f>
        <v>0</v>
      </c>
      <c r="CG5" s="344">
        <f>'KI-KD'!$B178</f>
        <v>0</v>
      </c>
      <c r="CH5" s="344">
        <f>'KI-KD'!$B179</f>
        <v>0</v>
      </c>
      <c r="CI5" s="344">
        <f>'KI-KD'!$B180</f>
        <v>0</v>
      </c>
      <c r="CJ5" s="345">
        <f>'KI-KD'!$B184</f>
        <v>3.1</v>
      </c>
      <c r="CK5" s="345">
        <f>'KI-KD'!$B185</f>
        <v>3.2</v>
      </c>
      <c r="CL5" s="345">
        <f>'KI-KD'!$B186</f>
        <v>3.3</v>
      </c>
      <c r="CM5" s="345">
        <f>'KI-KD'!$B187</f>
        <v>3.4</v>
      </c>
      <c r="CN5" s="345">
        <f>'KI-KD'!$B188</f>
        <v>3.5</v>
      </c>
      <c r="CO5" s="345">
        <f>'KI-KD'!$B189</f>
        <v>3.6</v>
      </c>
      <c r="CP5" s="345">
        <f>'KI-KD'!$B190</f>
        <v>0</v>
      </c>
      <c r="CQ5" s="345">
        <f>'KI-KD'!$B191</f>
        <v>0</v>
      </c>
      <c r="CR5" s="345">
        <f>'KI-KD'!$B192</f>
        <v>0</v>
      </c>
      <c r="CS5" s="345">
        <f>'KI-KD'!$B193</f>
        <v>0</v>
      </c>
      <c r="CT5" s="345">
        <f>'KI-KD'!$B194</f>
        <v>0</v>
      </c>
      <c r="CU5" s="345">
        <f>'KI-KD'!$B195</f>
        <v>0</v>
      </c>
      <c r="CV5" s="346">
        <f>'KI-KD'!$B199</f>
        <v>3.1</v>
      </c>
      <c r="CW5" s="346">
        <f>'KI-KD'!$B200</f>
        <v>3.2</v>
      </c>
      <c r="CX5" s="346">
        <f>'KI-KD'!$B201</f>
        <v>3.3</v>
      </c>
      <c r="CY5" s="346">
        <f>'KI-KD'!$B202</f>
        <v>3.4</v>
      </c>
      <c r="CZ5" s="346">
        <f>'KI-KD'!$B203</f>
        <v>0</v>
      </c>
      <c r="DA5" s="346">
        <f>'KI-KD'!$B204</f>
        <v>0</v>
      </c>
      <c r="DB5" s="346">
        <f>'KI-KD'!$B205</f>
        <v>0</v>
      </c>
      <c r="DC5" s="346">
        <f>'KI-KD'!$B206</f>
        <v>0</v>
      </c>
      <c r="DD5" s="346">
        <f>'KI-KD'!$B207</f>
        <v>0</v>
      </c>
      <c r="DE5" s="346">
        <f>'KI-KD'!$B208</f>
        <v>0</v>
      </c>
      <c r="DF5" s="346">
        <f>'KI-KD'!$B209</f>
        <v>0</v>
      </c>
      <c r="DG5" s="346">
        <f>'KI-KD'!$B210</f>
        <v>0</v>
      </c>
      <c r="DH5" s="347">
        <f>'KI-KD'!$B214</f>
        <v>3.1</v>
      </c>
      <c r="DI5" s="347">
        <f>'KI-KD'!$B215</f>
        <v>3.2</v>
      </c>
      <c r="DJ5" s="347">
        <f>'KI-KD'!$B216</f>
        <v>3.3</v>
      </c>
      <c r="DK5" s="347">
        <f>'KI-KD'!$B217</f>
        <v>3.4</v>
      </c>
      <c r="DL5" s="347">
        <f>'KI-KD'!$B218</f>
        <v>3.5</v>
      </c>
      <c r="DM5" s="347">
        <f>'KI-KD'!$B219</f>
        <v>3.6</v>
      </c>
      <c r="DN5" s="347">
        <f>'KI-KD'!$B220</f>
        <v>0</v>
      </c>
      <c r="DO5" s="347">
        <f>'KI-KD'!$B221</f>
        <v>0</v>
      </c>
      <c r="DP5" s="347">
        <f>'KI-KD'!$B222</f>
        <v>0</v>
      </c>
      <c r="DQ5" s="347">
        <f>'KI-KD'!$B223</f>
        <v>0</v>
      </c>
      <c r="DR5" s="347">
        <f>'KI-KD'!$B224</f>
        <v>0</v>
      </c>
      <c r="DS5" s="347">
        <f>'KI-KD'!$B225</f>
        <v>0</v>
      </c>
      <c r="DT5" s="107"/>
      <c r="DU5" s="1045"/>
      <c r="DV5" s="1046"/>
      <c r="DW5" s="295" t="s">
        <v>317</v>
      </c>
      <c r="DX5" s="296" t="s">
        <v>1</v>
      </c>
      <c r="DY5" s="297" t="s">
        <v>317</v>
      </c>
      <c r="DZ5" s="298" t="s">
        <v>1</v>
      </c>
      <c r="EA5" s="1029"/>
      <c r="EB5" s="104"/>
      <c r="EC5" s="299" t="s">
        <v>318</v>
      </c>
      <c r="ED5" s="299" t="s">
        <v>319</v>
      </c>
      <c r="EE5" s="299" t="s">
        <v>320</v>
      </c>
      <c r="EF5" s="299" t="s">
        <v>321</v>
      </c>
      <c r="EG5" s="300" t="s">
        <v>314</v>
      </c>
      <c r="EH5" s="301"/>
      <c r="ET5" s="108">
        <v>50</v>
      </c>
      <c r="EX5" s="1045"/>
      <c r="EY5" s="1046"/>
      <c r="EZ5" s="295" t="s">
        <v>317</v>
      </c>
      <c r="FA5" s="296" t="s">
        <v>1</v>
      </c>
      <c r="FB5" s="297" t="s">
        <v>317</v>
      </c>
      <c r="FC5" s="298" t="s">
        <v>1</v>
      </c>
      <c r="FD5" s="1029"/>
      <c r="FE5" s="299" t="s">
        <v>318</v>
      </c>
      <c r="FF5" s="299" t="s">
        <v>319</v>
      </c>
      <c r="FG5" s="299" t="s">
        <v>320</v>
      </c>
      <c r="FH5" s="299" t="s">
        <v>321</v>
      </c>
      <c r="FI5" s="300" t="s">
        <v>314</v>
      </c>
      <c r="FJ5" s="301"/>
    </row>
    <row r="6" spans="1:173" ht="63" customHeight="1">
      <c r="B6" s="109">
        <v>1</v>
      </c>
      <c r="C6" s="110">
        <f>SISWA!B6</f>
        <v>4822</v>
      </c>
      <c r="D6" s="111" t="str">
        <f>SISWA!E6</f>
        <v>Anak 1</v>
      </c>
      <c r="E6" s="631">
        <v>89</v>
      </c>
      <c r="F6" s="631">
        <v>99</v>
      </c>
      <c r="G6" s="631">
        <v>100</v>
      </c>
      <c r="H6" s="605"/>
      <c r="I6" s="605"/>
      <c r="J6" s="605"/>
      <c r="K6" s="605">
        <v>78</v>
      </c>
      <c r="L6" s="605"/>
      <c r="M6" s="605"/>
      <c r="N6" s="605"/>
      <c r="O6" s="605"/>
      <c r="P6" s="605"/>
      <c r="Q6" s="605"/>
      <c r="R6" s="631">
        <v>89</v>
      </c>
      <c r="S6" s="631">
        <v>99</v>
      </c>
      <c r="T6" s="631">
        <v>100</v>
      </c>
      <c r="U6" s="606"/>
      <c r="V6" s="606"/>
      <c r="W6" s="606"/>
      <c r="X6" s="606"/>
      <c r="Y6" s="606"/>
      <c r="Z6" s="606"/>
      <c r="AA6" s="606"/>
      <c r="AB6" s="606"/>
      <c r="AC6" s="606"/>
      <c r="AD6" s="631">
        <v>89</v>
      </c>
      <c r="AE6" s="631">
        <v>99</v>
      </c>
      <c r="AF6" s="631">
        <v>100</v>
      </c>
      <c r="AG6" s="605"/>
      <c r="AH6" s="605"/>
      <c r="AI6" s="605"/>
      <c r="AJ6" s="605"/>
      <c r="AK6" s="605"/>
      <c r="AL6" s="605"/>
      <c r="AM6" s="605"/>
      <c r="AN6" s="605"/>
      <c r="AO6" s="605"/>
      <c r="AP6" s="605"/>
      <c r="AQ6" s="728">
        <f>IFERROR(AVERAGE(E6,E6,R6,AD6),"")</f>
        <v>89</v>
      </c>
      <c r="AR6" s="728">
        <f t="shared" ref="AR6:AX6" si="3">IFERROR(AVERAGE(F6,F6,S6,AE6),"")</f>
        <v>99</v>
      </c>
      <c r="AS6" s="728">
        <f t="shared" si="3"/>
        <v>100</v>
      </c>
      <c r="AT6" s="728" t="str">
        <f t="shared" si="3"/>
        <v/>
      </c>
      <c r="AU6" s="728" t="str">
        <f t="shared" si="3"/>
        <v/>
      </c>
      <c r="AV6" s="728" t="str">
        <f t="shared" si="3"/>
        <v/>
      </c>
      <c r="AW6" s="728">
        <f t="shared" si="3"/>
        <v>78</v>
      </c>
      <c r="AX6" s="728" t="str">
        <f t="shared" si="3"/>
        <v/>
      </c>
      <c r="AY6" s="615"/>
      <c r="AZ6" s="615"/>
      <c r="BA6" s="615"/>
      <c r="BB6" s="615"/>
      <c r="BC6" s="615"/>
      <c r="BD6" s="124"/>
      <c r="BE6" s="124"/>
      <c r="BF6" s="124"/>
      <c r="BG6" s="124"/>
      <c r="BH6" s="124"/>
      <c r="BI6" s="124"/>
      <c r="BJ6" s="124"/>
      <c r="BK6" s="124"/>
      <c r="BL6" s="332"/>
      <c r="BM6" s="332"/>
      <c r="BN6" s="332"/>
      <c r="BO6" s="332"/>
      <c r="BP6" s="332"/>
      <c r="BQ6" s="332"/>
      <c r="BR6" s="332"/>
      <c r="BS6" s="332"/>
      <c r="BT6" s="332"/>
      <c r="BU6" s="332"/>
      <c r="BV6" s="332"/>
      <c r="BW6" s="332"/>
      <c r="BX6" s="124"/>
      <c r="BY6" s="124"/>
      <c r="BZ6" s="124"/>
      <c r="CA6" s="124"/>
      <c r="CB6" s="124"/>
      <c r="CC6" s="124"/>
      <c r="CD6" s="124"/>
      <c r="CE6" s="124"/>
      <c r="CF6" s="124"/>
      <c r="CG6" s="124"/>
      <c r="CH6" s="124"/>
      <c r="CI6" s="124"/>
      <c r="CJ6" s="332"/>
      <c r="CK6" s="332"/>
      <c r="CL6" s="332"/>
      <c r="CM6" s="332"/>
      <c r="CN6" s="332"/>
      <c r="CO6" s="332"/>
      <c r="CP6" s="332"/>
      <c r="CQ6" s="332"/>
      <c r="CR6" s="332"/>
      <c r="CS6" s="332"/>
      <c r="CT6" s="332"/>
      <c r="CU6" s="332"/>
      <c r="CV6" s="124"/>
      <c r="CW6" s="124"/>
      <c r="CX6" s="124"/>
      <c r="CY6" s="124"/>
      <c r="CZ6" s="124"/>
      <c r="DA6" s="124"/>
      <c r="DB6" s="124"/>
      <c r="DC6" s="124"/>
      <c r="DD6" s="124"/>
      <c r="DE6" s="124"/>
      <c r="DF6" s="124"/>
      <c r="DG6" s="124"/>
      <c r="DH6" s="332"/>
      <c r="DI6" s="332"/>
      <c r="DJ6" s="332"/>
      <c r="DK6" s="332"/>
      <c r="DL6" s="332"/>
      <c r="DM6" s="332"/>
      <c r="DN6" s="604"/>
      <c r="DO6" s="604"/>
      <c r="DP6" s="604"/>
      <c r="DQ6" s="604"/>
      <c r="DR6" s="604"/>
      <c r="DS6" s="604"/>
      <c r="DT6" s="722"/>
      <c r="DU6" s="302">
        <f t="shared" ref="DU6:DU37" si="4">ROUND((AVERAGE(AQ6:DT6)),0)</f>
        <v>92</v>
      </c>
      <c r="DV6" s="303" t="str">
        <f>IF(DU6&gt;KKM!$G$10,"A",IF(DU6&gt;KKM!$H$10,"B",IF(DU6&gt;=KKM!$I$10,"C","D")))</f>
        <v>A</v>
      </c>
      <c r="DW6" s="304">
        <f t="shared" ref="DW6:DW37" si="5">MAX(AQ6:DT6)</f>
        <v>100</v>
      </c>
      <c r="DX6" s="115" t="str">
        <f>IF(DW6&gt;KKM!$G$10," sangat baik ",IF(DW6&gt;KKM!$H$10," baik ",IF(DW6&gt;=KKM!$I$10," cukup baik "," perlu bimbingan ")))</f>
        <v xml:space="preserve"> sangat baik </v>
      </c>
      <c r="DY6" s="305">
        <f t="shared" ref="DY6:DY37" si="6">MIN(AQ6:DT6)</f>
        <v>78</v>
      </c>
      <c r="DZ6" s="115" t="str">
        <f>IF(DY6&gt;KKM!$G$10," sangat baik ",IF(DY6&gt;KKM!$H$10," baik ",IF(DY6&gt;=KKM!$I$10," cukup baik "," perlu bimbingan ")))</f>
        <v xml:space="preserve"> cukup baik </v>
      </c>
      <c r="EA6" s="301" t="str">
        <f>IFERROR(EH6," ")</f>
        <v>Anak 1 sangat baik  dalam memahami manfaat gemar membaca, dan  cukup baik  dalam memahami makna ibadah salat</v>
      </c>
      <c r="EB6" s="424"/>
      <c r="EC6" s="307" t="str">
        <f>DX6&amp;" dalam "&amp;INDEX($AQ$4:$DT$4,MATCH(DW6,$AQ6:$DT6,0))</f>
        <v xml:space="preserve"> sangat baik  dalam memahami manfaat gemar membaca</v>
      </c>
      <c r="ED6" s="307" t="str">
        <f t="shared" ref="ED6:ED37" si="7">DZ6&amp;" dalam "&amp;INDEX($AQ$4:$DT$4,MATCH(DY6,$AQ6:$DT6,0))</f>
        <v xml:space="preserve"> cukup baik  dalam memahami makna ibadah salat</v>
      </c>
      <c r="EE6" s="307" t="str">
        <f>EC6&amp;", dan "&amp;ED6</f>
        <v xml:space="preserve"> sangat baik  dalam memahami manfaat gemar membaca, dan  cukup baik  dalam memahami makna ibadah salat</v>
      </c>
      <c r="EF6" s="307" t="str">
        <f>IF(EC6=ED6,EC6," ")</f>
        <v xml:space="preserve"> </v>
      </c>
      <c r="EG6" s="308" t="str">
        <f>IF(EF6=" ",EE6,EF6)</f>
        <v xml:space="preserve"> sangat baik  dalam memahami manfaat gemar membaca, dan  cukup baik  dalam memahami makna ibadah salat</v>
      </c>
      <c r="EH6" s="301" t="str">
        <f t="shared" ref="EH6:EH37" si="8">CONCATENATE(D6,EG6)</f>
        <v>Anak 1 sangat baik  dalam memahami manfaat gemar membaca, dan  cukup baik  dalam memahami makna ibadah salat</v>
      </c>
      <c r="EI6" s="106" t="e">
        <f>IF(#REF!=1,AS$4," ")</f>
        <v>#REF!</v>
      </c>
      <c r="EJ6" s="106" t="e">
        <f>IF(#REF!=1,AT$4," ")</f>
        <v>#REF!</v>
      </c>
      <c r="EK6" s="106" t="e">
        <f>IF(#REF!=1,AU$4," ")</f>
        <v>#REF!</v>
      </c>
      <c r="EL6" s="106" t="e">
        <f>IF(#REF!=1,AV$4," ")</f>
        <v>#REF!</v>
      </c>
      <c r="EM6" s="106" t="e">
        <f>IF(#REF!=1,AW$4," ")</f>
        <v>#REF!</v>
      </c>
      <c r="EN6" s="106" t="e">
        <f>IF(#REF!=1,AX$4," ")</f>
        <v>#REF!</v>
      </c>
      <c r="EO6" s="106" t="e">
        <f>IF(#REF!=1,AY$4," ")</f>
        <v>#REF!</v>
      </c>
      <c r="EP6" s="106" t="e">
        <f>IF(#REF!=1,#REF!," ")</f>
        <v>#REF!</v>
      </c>
      <c r="EQ6" s="106" t="e">
        <f>IF(#REF!=1,#REF!," ")</f>
        <v>#REF!</v>
      </c>
      <c r="ER6" s="106" t="e">
        <f>IF(#REF!=1,DT$4," ")</f>
        <v>#REF!</v>
      </c>
      <c r="ES6" s="408">
        <f>IFERROR(DU6,"")</f>
        <v>92</v>
      </c>
      <c r="ET6" s="408">
        <f>COUNTBLANK(ES6:ES55)</f>
        <v>0</v>
      </c>
      <c r="EX6" s="302">
        <f>ROUND((AVERAGE(R6:AC6)),0)</f>
        <v>96</v>
      </c>
      <c r="EY6" s="303" t="str">
        <f>IF(EX6&gt;KKM!$G$10,"A",IF(EX6&gt;KKM!$H$10,"B",IF(EX6&gt;=KKM!$I$10,"C","D")))</f>
        <v>A</v>
      </c>
      <c r="EZ6" s="523">
        <f>MAX(R6:AC6)</f>
        <v>100</v>
      </c>
      <c r="FA6" s="115" t="str">
        <f>IF(EZ6&gt;KKM!$G$10," sangat baik ",IF(EZ6&gt;KKM!$H$10," baik ",IF(EZ6&gt;=KKM!$I$10," cukup baik "," perlu bimbingan ")))</f>
        <v xml:space="preserve"> sangat baik </v>
      </c>
      <c r="FB6" s="524">
        <f>MIN(R6:AC6)</f>
        <v>89</v>
      </c>
      <c r="FC6" s="115" t="str">
        <f>IF(FB6&gt;KKM!$G$10," sangat baik ",IF(FB6&gt;KKM!$H$10," baik ",IF(FB6&gt;=KKM!$I$10," cukup baik "," perlu bimbingan ")))</f>
        <v xml:space="preserve"> baik </v>
      </c>
      <c r="FD6" s="301" t="str">
        <f>IFERROR(FJ6," ")</f>
        <v>Anak 1 sangat baik  dalam memahami manfaat gemar membaca, dan  baik  dalam memahami Q.S. al- Falaq dan Q.S. al- Fil dengan baik dan benar</v>
      </c>
      <c r="FE6" s="307" t="str">
        <f>FA6&amp;" dalam "&amp;INDEX($AQ$4:$DT$4,MATCH(EZ6,$R6:$AC6,0))</f>
        <v xml:space="preserve"> sangat baik  dalam memahami manfaat gemar membaca</v>
      </c>
      <c r="FF6" s="307" t="str">
        <f>FC6&amp;" dalam "&amp;INDEX($AQ$4:$DT$4,MATCH(FB6,$R6:$AC6,0))</f>
        <v xml:space="preserve"> baik  dalam memahami Q.S. al- Falaq dan Q.S. al- Fil dengan baik dan benar</v>
      </c>
      <c r="FG6" s="307" t="str">
        <f>FE6&amp;", dan "&amp;FF6</f>
        <v xml:space="preserve"> sangat baik  dalam memahami manfaat gemar membaca, dan  baik  dalam memahami Q.S. al- Falaq dan Q.S. al- Fil dengan baik dan benar</v>
      </c>
      <c r="FH6" s="307" t="str">
        <f>IF(FE6=FF6,FE6," ")</f>
        <v xml:space="preserve"> </v>
      </c>
      <c r="FI6" s="308" t="str">
        <f>IF(FH6=" ",FG6,FH6)</f>
        <v xml:space="preserve"> sangat baik  dalam memahami manfaat gemar membaca, dan  baik  dalam memahami Q.S. al- Falaq dan Q.S. al- Fil dengan baik dan benar</v>
      </c>
      <c r="FJ6" s="301" t="str">
        <f>CONCATENATE(D6,FI6)</f>
        <v>Anak 1 sangat baik  dalam memahami manfaat gemar membaca, dan  baik  dalam memahami Q.S. al- Falaq dan Q.S. al- Fil dengan baik dan benar</v>
      </c>
      <c r="FQ6" s="408"/>
    </row>
    <row r="7" spans="1:173" ht="63" customHeight="1">
      <c r="B7" s="109">
        <v>2</v>
      </c>
      <c r="C7" s="110">
        <f>SISWA!B7</f>
        <v>0</v>
      </c>
      <c r="D7" s="111" t="str">
        <f>SISWA!E7</f>
        <v>Anak 2</v>
      </c>
      <c r="E7" s="631">
        <v>99</v>
      </c>
      <c r="F7" s="631">
        <v>99</v>
      </c>
      <c r="G7" s="631">
        <v>99</v>
      </c>
      <c r="H7" s="605"/>
      <c r="I7" s="605"/>
      <c r="J7" s="605"/>
      <c r="K7" s="605"/>
      <c r="L7" s="605"/>
      <c r="M7" s="605"/>
      <c r="N7" s="605"/>
      <c r="O7" s="605"/>
      <c r="P7" s="605"/>
      <c r="Q7" s="605"/>
      <c r="R7" s="631">
        <v>99</v>
      </c>
      <c r="S7" s="631">
        <v>99</v>
      </c>
      <c r="T7" s="631">
        <v>99</v>
      </c>
      <c r="U7" s="606"/>
      <c r="V7" s="606"/>
      <c r="W7" s="606"/>
      <c r="X7" s="606"/>
      <c r="Y7" s="606"/>
      <c r="Z7" s="606"/>
      <c r="AA7" s="606"/>
      <c r="AB7" s="606"/>
      <c r="AC7" s="606"/>
      <c r="AD7" s="631">
        <v>99</v>
      </c>
      <c r="AE7" s="631">
        <v>99</v>
      </c>
      <c r="AF7" s="631">
        <v>99</v>
      </c>
      <c r="AG7" s="605"/>
      <c r="AH7" s="605"/>
      <c r="AI7" s="605"/>
      <c r="AJ7" s="605"/>
      <c r="AK7" s="605"/>
      <c r="AL7" s="605"/>
      <c r="AM7" s="605"/>
      <c r="AN7" s="605"/>
      <c r="AO7" s="605"/>
      <c r="AP7" s="605"/>
      <c r="AQ7" s="728">
        <f t="shared" ref="AQ7:AQ55" si="9">IFERROR(AVERAGE(E7,E7,R7,AD7),"")</f>
        <v>99</v>
      </c>
      <c r="AR7" s="728">
        <f t="shared" ref="AR7:AR55" si="10">IFERROR(AVERAGE(F7,F7,S7,AE7),"")</f>
        <v>99</v>
      </c>
      <c r="AS7" s="728">
        <f t="shared" ref="AS7:AS55" si="11">IFERROR(AVERAGE(G7,G7,T7,AF7),"")</f>
        <v>99</v>
      </c>
      <c r="AT7" s="728" t="str">
        <f t="shared" ref="AT7:AT55" si="12">IFERROR(AVERAGE(H7,H7,U7,AG7),"")</f>
        <v/>
      </c>
      <c r="AU7" s="728" t="str">
        <f t="shared" ref="AU7:AU55" si="13">IFERROR(AVERAGE(I7,I7,V7,AH7),"")</f>
        <v/>
      </c>
      <c r="AV7" s="728" t="str">
        <f t="shared" ref="AV7:AV55" si="14">IFERROR(AVERAGE(J7,J7,W7,AI7),"")</f>
        <v/>
      </c>
      <c r="AW7" s="728" t="str">
        <f t="shared" ref="AW7:AW55" si="15">IFERROR(AVERAGE(K7,K7,X7,AJ7),"")</f>
        <v/>
      </c>
      <c r="AX7" s="728" t="str">
        <f t="shared" ref="AX7:AX55" si="16">IFERROR(AVERAGE(L7,L7,Y7,AK7),"")</f>
        <v/>
      </c>
      <c r="AY7" s="615"/>
      <c r="AZ7" s="615"/>
      <c r="BA7" s="615"/>
      <c r="BB7" s="615"/>
      <c r="BC7" s="615"/>
      <c r="BD7" s="124"/>
      <c r="BE7" s="124"/>
      <c r="BF7" s="124"/>
      <c r="BG7" s="124"/>
      <c r="BH7" s="124"/>
      <c r="BI7" s="124"/>
      <c r="BJ7" s="124"/>
      <c r="BK7" s="124"/>
      <c r="BL7" s="332"/>
      <c r="BM7" s="332"/>
      <c r="BN7" s="332"/>
      <c r="BO7" s="332"/>
      <c r="BP7" s="332"/>
      <c r="BQ7" s="332"/>
      <c r="BR7" s="332"/>
      <c r="BS7" s="332"/>
      <c r="BT7" s="332"/>
      <c r="BU7" s="332"/>
      <c r="BV7" s="332"/>
      <c r="BW7" s="332"/>
      <c r="BX7" s="124"/>
      <c r="BY7" s="124"/>
      <c r="BZ7" s="124"/>
      <c r="CA7" s="124"/>
      <c r="CB7" s="124"/>
      <c r="CC7" s="124"/>
      <c r="CD7" s="124"/>
      <c r="CE7" s="124"/>
      <c r="CF7" s="124"/>
      <c r="CG7" s="124"/>
      <c r="CH7" s="124"/>
      <c r="CI7" s="124"/>
      <c r="CJ7" s="332"/>
      <c r="CK7" s="332"/>
      <c r="CL7" s="332"/>
      <c r="CM7" s="332"/>
      <c r="CN7" s="332"/>
      <c r="CO7" s="332"/>
      <c r="CP7" s="332"/>
      <c r="CQ7" s="332"/>
      <c r="CR7" s="332"/>
      <c r="CS7" s="332"/>
      <c r="CT7" s="332"/>
      <c r="CU7" s="332"/>
      <c r="CV7" s="124"/>
      <c r="CW7" s="124"/>
      <c r="CX7" s="124"/>
      <c r="CY7" s="124"/>
      <c r="CZ7" s="124"/>
      <c r="DA7" s="124"/>
      <c r="DB7" s="124"/>
      <c r="DC7" s="124"/>
      <c r="DD7" s="124"/>
      <c r="DE7" s="124"/>
      <c r="DF7" s="124"/>
      <c r="DG7" s="124"/>
      <c r="DH7" s="332"/>
      <c r="DI7" s="332"/>
      <c r="DJ7" s="332"/>
      <c r="DK7" s="332"/>
      <c r="DL7" s="332"/>
      <c r="DM7" s="332"/>
      <c r="DN7" s="604"/>
      <c r="DO7" s="604"/>
      <c r="DP7" s="604"/>
      <c r="DQ7" s="604"/>
      <c r="DR7" s="604"/>
      <c r="DS7" s="604"/>
      <c r="DT7" s="722"/>
      <c r="DU7" s="302">
        <f t="shared" si="4"/>
        <v>99</v>
      </c>
      <c r="DV7" s="303" t="str">
        <f>IF(DU7&gt;KKM!$G$10,"A",IF(DU7&gt;KKM!$H$10,"B",IF(DU7&gt;=KKM!$I$10,"C","D")))</f>
        <v>A</v>
      </c>
      <c r="DW7" s="304">
        <f t="shared" si="5"/>
        <v>99</v>
      </c>
      <c r="DX7" s="115" t="str">
        <f>IF(DW7&gt;KKM!$G$10," sangat baik ",IF(DW7&gt;KKM!$H$10," baik ",IF(DW7&gt;=KKM!$I$10," cukup baik "," perlu bimbingan ")))</f>
        <v xml:space="preserve"> sangat baik </v>
      </c>
      <c r="DY7" s="305">
        <f t="shared" si="6"/>
        <v>99</v>
      </c>
      <c r="DZ7" s="115" t="str">
        <f>IF(DY7&gt;KKM!$G$10," sangat baik ",IF(DY7&gt;KKM!$H$10," baik ",IF(DY7&gt;=KKM!$I$10," cukup baik "," perlu bimbingan ")))</f>
        <v xml:space="preserve"> sangat baik </v>
      </c>
      <c r="EA7" s="301" t="str">
        <f>IFERROR(EH7," ")</f>
        <v>Anak 2 sangat baik  dalam memahami Q.S. al- Falaq dan Q.S. al- Fil dengan baik dan benar</v>
      </c>
      <c r="EB7" s="424"/>
      <c r="EC7" s="307" t="str">
        <f t="shared" ref="EC7:EC37" si="17">DX7&amp;" dalam "&amp;INDEX($AQ$4:$DT$4,MATCH(DW7,$AQ7:$DT7,0))</f>
        <v xml:space="preserve"> sangat baik  dalam memahami Q.S. al- Falaq dan Q.S. al- Fil dengan baik dan benar</v>
      </c>
      <c r="ED7" s="307" t="str">
        <f t="shared" si="7"/>
        <v xml:space="preserve"> sangat baik  dalam memahami Q.S. al- Falaq dan Q.S. al- Fil dengan baik dan benar</v>
      </c>
      <c r="EE7" s="307" t="str">
        <f t="shared" ref="EE7:EE55" si="18">EC7&amp;", dan "&amp;ED7</f>
        <v xml:space="preserve"> sangat baik  dalam memahami Q.S. al- Falaq dan Q.S. al- Fil dengan baik dan benar, dan  sangat baik  dalam memahami Q.S. al- Falaq dan Q.S. al- Fil dengan baik dan benar</v>
      </c>
      <c r="EF7" s="307" t="str">
        <f t="shared" ref="EF7:EF55" si="19">IF(EC7=ED7,EC7," ")</f>
        <v xml:space="preserve"> sangat baik  dalam memahami Q.S. al- Falaq dan Q.S. al- Fil dengan baik dan benar</v>
      </c>
      <c r="EG7" s="308" t="str">
        <f t="shared" ref="EG7:EG55" si="20">IF(EF7=" ",EE7,EF7)</f>
        <v xml:space="preserve"> sangat baik  dalam memahami Q.S. al- Falaq dan Q.S. al- Fil dengan baik dan benar</v>
      </c>
      <c r="EH7" s="301" t="str">
        <f t="shared" si="8"/>
        <v>Anak 2 sangat baik  dalam memahami Q.S. al- Falaq dan Q.S. al- Fil dengan baik dan benar</v>
      </c>
      <c r="EI7" s="106" t="e">
        <f>IF(#REF!=1,AS$4," ")</f>
        <v>#REF!</v>
      </c>
      <c r="EJ7" s="106" t="e">
        <f>IF(#REF!=1,AT$4," ")</f>
        <v>#REF!</v>
      </c>
      <c r="EK7" s="106" t="e">
        <f>IF(#REF!=1,AU$4," ")</f>
        <v>#REF!</v>
      </c>
      <c r="EL7" s="106" t="e">
        <f>IF(#REF!=1,AV$4," ")</f>
        <v>#REF!</v>
      </c>
      <c r="EM7" s="106" t="e">
        <f>IF(#REF!=1,AW$4," ")</f>
        <v>#REF!</v>
      </c>
      <c r="EN7" s="106" t="e">
        <f>IF(#REF!=1,AX$4," ")</f>
        <v>#REF!</v>
      </c>
      <c r="EO7" s="106" t="e">
        <f>IF(#REF!=1,AY$4," ")</f>
        <v>#REF!</v>
      </c>
      <c r="EP7" s="106" t="e">
        <f>IF(#REF!=1,#REF!," ")</f>
        <v>#REF!</v>
      </c>
      <c r="EQ7" s="106" t="e">
        <f>IF(#REF!=1,#REF!," ")</f>
        <v>#REF!</v>
      </c>
      <c r="ER7" s="106" t="e">
        <f>IF(#REF!=1,DT$4," ")</f>
        <v>#REF!</v>
      </c>
      <c r="ES7" s="408">
        <f t="shared" ref="ES7:ES55" si="21">IFERROR(DU7,"")</f>
        <v>99</v>
      </c>
      <c r="ET7" s="442">
        <f>IFERROR(ET4/ET3,"0%")</f>
        <v>1</v>
      </c>
      <c r="EX7" s="302">
        <f t="shared" ref="EX7:EX55" si="22">ROUND((AVERAGE(R7:AC7)),0)</f>
        <v>99</v>
      </c>
      <c r="EY7" s="303" t="str">
        <f>IF(EX7&gt;KKM!$G$10,"A",IF(EX7&gt;KKM!$H$10,"B",IF(EX7&gt;=KKM!$I$10,"C","D")))</f>
        <v>A</v>
      </c>
      <c r="EZ7" s="523">
        <f t="shared" ref="EZ7:EZ55" si="23">MAX(R7:AC7)</f>
        <v>99</v>
      </c>
      <c r="FA7" s="115" t="str">
        <f>IF(EZ7&gt;KKM!$G$10," sangat baik ",IF(EZ7&gt;KKM!$H$10," baik ",IF(EZ7&gt;=KKM!$I$10," cukup baik "," perlu bimbingan ")))</f>
        <v xml:space="preserve"> sangat baik </v>
      </c>
      <c r="FB7" s="524">
        <f t="shared" ref="FB7:FB55" si="24">MIN(R7:AC7)</f>
        <v>99</v>
      </c>
      <c r="FC7" s="115" t="str">
        <f>IF(FB7&gt;KKM!$G$10," sangat baik ",IF(FB7&gt;KKM!$H$10," baik ",IF(FB7&gt;=KKM!$I$10," cukup baik "," perlu bimbingan ")))</f>
        <v xml:space="preserve"> sangat baik </v>
      </c>
      <c r="FD7" s="301" t="str">
        <f t="shared" ref="FD7:FD55" si="25">IFERROR(FJ7," ")</f>
        <v>Anak 2 sangat baik  dalam memahami Q.S. al- Falaq dan Q.S. al- Fil dengan baik dan benar</v>
      </c>
      <c r="FE7" s="307" t="str">
        <f t="shared" ref="FE7:FE55" si="26">FA7&amp;" dalam "&amp;INDEX($AQ$4:$DT$4,MATCH(EZ7,$R7:$AC7,0))</f>
        <v xml:space="preserve"> sangat baik  dalam memahami Q.S. al- Falaq dan Q.S. al- Fil dengan baik dan benar</v>
      </c>
      <c r="FF7" s="307" t="str">
        <f t="shared" ref="FF7:FF55" si="27">FC7&amp;" dalam "&amp;INDEX($AQ$4:$DT$4,MATCH(FB7,$R7:$AC7,0))</f>
        <v xml:space="preserve"> sangat baik  dalam memahami Q.S. al- Falaq dan Q.S. al- Fil dengan baik dan benar</v>
      </c>
      <c r="FG7" s="307" t="str">
        <f t="shared" ref="FG7:FG55" si="28">FE7&amp;", dan "&amp;FF7</f>
        <v xml:space="preserve"> sangat baik  dalam memahami Q.S. al- Falaq dan Q.S. al- Fil dengan baik dan benar, dan  sangat baik  dalam memahami Q.S. al- Falaq dan Q.S. al- Fil dengan baik dan benar</v>
      </c>
      <c r="FH7" s="307" t="str">
        <f t="shared" ref="FH7:FH55" si="29">IF(FE7=FF7,FE7," ")</f>
        <v xml:space="preserve"> sangat baik  dalam memahami Q.S. al- Falaq dan Q.S. al- Fil dengan baik dan benar</v>
      </c>
      <c r="FI7" s="308" t="str">
        <f t="shared" ref="FI7:FI55" si="30">IF(FH7=" ",FG7,FH7)</f>
        <v xml:space="preserve"> sangat baik  dalam memahami Q.S. al- Falaq dan Q.S. al- Fil dengan baik dan benar</v>
      </c>
      <c r="FJ7" s="301" t="str">
        <f t="shared" ref="FJ7:FJ55" si="31">CONCATENATE(D7,FI7)</f>
        <v>Anak 2 sangat baik  dalam memahami Q.S. al- Falaq dan Q.S. al- Fil dengan baik dan benar</v>
      </c>
      <c r="FQ7" s="408"/>
    </row>
    <row r="8" spans="1:173" ht="63" customHeight="1">
      <c r="B8" s="109">
        <v>3</v>
      </c>
      <c r="C8" s="110">
        <f>SISWA!B8</f>
        <v>0</v>
      </c>
      <c r="D8" s="111" t="str">
        <f>SISWA!E8</f>
        <v>Anak 3</v>
      </c>
      <c r="E8" s="631">
        <v>99</v>
      </c>
      <c r="F8" s="631">
        <v>99</v>
      </c>
      <c r="G8" s="631">
        <v>99</v>
      </c>
      <c r="H8" s="605"/>
      <c r="I8" s="605"/>
      <c r="J8" s="605"/>
      <c r="K8" s="605"/>
      <c r="L8" s="605"/>
      <c r="M8" s="605"/>
      <c r="N8" s="605"/>
      <c r="O8" s="605"/>
      <c r="P8" s="605"/>
      <c r="Q8" s="605"/>
      <c r="R8" s="631">
        <v>99</v>
      </c>
      <c r="S8" s="631">
        <v>99</v>
      </c>
      <c r="T8" s="631">
        <v>99</v>
      </c>
      <c r="U8" s="606"/>
      <c r="V8" s="606"/>
      <c r="W8" s="606"/>
      <c r="X8" s="606"/>
      <c r="Y8" s="606"/>
      <c r="Z8" s="606"/>
      <c r="AA8" s="606"/>
      <c r="AB8" s="606"/>
      <c r="AC8" s="606"/>
      <c r="AD8" s="631">
        <v>99</v>
      </c>
      <c r="AE8" s="631">
        <v>99</v>
      </c>
      <c r="AF8" s="631">
        <v>99</v>
      </c>
      <c r="AG8" s="605"/>
      <c r="AH8" s="605"/>
      <c r="AI8" s="605"/>
      <c r="AJ8" s="605"/>
      <c r="AK8" s="605"/>
      <c r="AL8" s="605"/>
      <c r="AM8" s="605"/>
      <c r="AN8" s="605"/>
      <c r="AO8" s="605"/>
      <c r="AP8" s="605"/>
      <c r="AQ8" s="728">
        <f t="shared" si="9"/>
        <v>99</v>
      </c>
      <c r="AR8" s="728">
        <f t="shared" si="10"/>
        <v>99</v>
      </c>
      <c r="AS8" s="728">
        <f t="shared" si="11"/>
        <v>99</v>
      </c>
      <c r="AT8" s="728" t="str">
        <f t="shared" si="12"/>
        <v/>
      </c>
      <c r="AU8" s="728" t="str">
        <f t="shared" si="13"/>
        <v/>
      </c>
      <c r="AV8" s="728" t="str">
        <f t="shared" si="14"/>
        <v/>
      </c>
      <c r="AW8" s="728" t="str">
        <f t="shared" si="15"/>
        <v/>
      </c>
      <c r="AX8" s="728" t="str">
        <f t="shared" si="16"/>
        <v/>
      </c>
      <c r="AY8" s="615"/>
      <c r="AZ8" s="615"/>
      <c r="BA8" s="615"/>
      <c r="BB8" s="615"/>
      <c r="BC8" s="615"/>
      <c r="BD8" s="124"/>
      <c r="BE8" s="124"/>
      <c r="BF8" s="124"/>
      <c r="BG8" s="124"/>
      <c r="BH8" s="124"/>
      <c r="BI8" s="124"/>
      <c r="BJ8" s="124"/>
      <c r="BK8" s="124"/>
      <c r="BL8" s="332"/>
      <c r="BM8" s="332"/>
      <c r="BN8" s="332"/>
      <c r="BO8" s="332"/>
      <c r="BP8" s="332"/>
      <c r="BQ8" s="332"/>
      <c r="BR8" s="332"/>
      <c r="BS8" s="332"/>
      <c r="BT8" s="332"/>
      <c r="BU8" s="332"/>
      <c r="BV8" s="332"/>
      <c r="BW8" s="332"/>
      <c r="BX8" s="124"/>
      <c r="BY8" s="124"/>
      <c r="BZ8" s="124"/>
      <c r="CA8" s="124"/>
      <c r="CB8" s="124"/>
      <c r="CC8" s="124"/>
      <c r="CD8" s="124"/>
      <c r="CE8" s="124"/>
      <c r="CF8" s="124"/>
      <c r="CG8" s="124"/>
      <c r="CH8" s="124"/>
      <c r="CI8" s="124"/>
      <c r="CJ8" s="332"/>
      <c r="CK8" s="332"/>
      <c r="CL8" s="332"/>
      <c r="CM8" s="332"/>
      <c r="CN8" s="332"/>
      <c r="CO8" s="332"/>
      <c r="CP8" s="332"/>
      <c r="CQ8" s="332"/>
      <c r="CR8" s="332"/>
      <c r="CS8" s="332"/>
      <c r="CT8" s="332"/>
      <c r="CU8" s="332"/>
      <c r="CV8" s="124"/>
      <c r="CW8" s="124"/>
      <c r="CX8" s="124"/>
      <c r="CY8" s="124"/>
      <c r="CZ8" s="124"/>
      <c r="DA8" s="124"/>
      <c r="DB8" s="124"/>
      <c r="DC8" s="124"/>
      <c r="DD8" s="124"/>
      <c r="DE8" s="124"/>
      <c r="DF8" s="124"/>
      <c r="DG8" s="124"/>
      <c r="DH8" s="332"/>
      <c r="DI8" s="332"/>
      <c r="DJ8" s="332"/>
      <c r="DK8" s="332"/>
      <c r="DL8" s="332"/>
      <c r="DM8" s="332"/>
      <c r="DN8" s="604"/>
      <c r="DO8" s="604"/>
      <c r="DP8" s="604"/>
      <c r="DQ8" s="604"/>
      <c r="DR8" s="604"/>
      <c r="DS8" s="604"/>
      <c r="DT8" s="722"/>
      <c r="DU8" s="302">
        <f t="shared" si="4"/>
        <v>99</v>
      </c>
      <c r="DV8" s="303" t="str">
        <f>IF(DU8&gt;KKM!$G$10,"A",IF(DU8&gt;KKM!$H$10,"B",IF(DU8&gt;=KKM!$I$10,"C","D")))</f>
        <v>A</v>
      </c>
      <c r="DW8" s="304">
        <f t="shared" si="5"/>
        <v>99</v>
      </c>
      <c r="DX8" s="115" t="str">
        <f>IF(DW8&gt;KKM!$G$10," sangat baik ",IF(DW8&gt;KKM!$H$10," baik ",IF(DW8&gt;=KKM!$I$10," cukup baik "," perlu bimbingan ")))</f>
        <v xml:space="preserve"> sangat baik </v>
      </c>
      <c r="DY8" s="305">
        <f t="shared" si="6"/>
        <v>99</v>
      </c>
      <c r="DZ8" s="115" t="str">
        <f>IF(DY8&gt;KKM!$G$10," sangat baik ",IF(DY8&gt;KKM!$H$10," baik ",IF(DY8&gt;=KKM!$I$10," cukup baik "," perlu bimbingan ")))</f>
        <v xml:space="preserve"> sangat baik </v>
      </c>
      <c r="EA8" s="301" t="str">
        <f t="shared" ref="EA8:EA55" si="32">IFERROR(EH8," ")</f>
        <v>Anak 3 sangat baik  dalam memahami Q.S. al- Falaq dan Q.S. al- Fil dengan baik dan benar</v>
      </c>
      <c r="EB8" s="424"/>
      <c r="EC8" s="307" t="str">
        <f t="shared" si="17"/>
        <v xml:space="preserve"> sangat baik  dalam memahami Q.S. al- Falaq dan Q.S. al- Fil dengan baik dan benar</v>
      </c>
      <c r="ED8" s="307" t="str">
        <f t="shared" si="7"/>
        <v xml:space="preserve"> sangat baik  dalam memahami Q.S. al- Falaq dan Q.S. al- Fil dengan baik dan benar</v>
      </c>
      <c r="EE8" s="307" t="str">
        <f t="shared" si="18"/>
        <v xml:space="preserve"> sangat baik  dalam memahami Q.S. al- Falaq dan Q.S. al- Fil dengan baik dan benar, dan  sangat baik  dalam memahami Q.S. al- Falaq dan Q.S. al- Fil dengan baik dan benar</v>
      </c>
      <c r="EF8" s="307" t="str">
        <f t="shared" si="19"/>
        <v xml:space="preserve"> sangat baik  dalam memahami Q.S. al- Falaq dan Q.S. al- Fil dengan baik dan benar</v>
      </c>
      <c r="EG8" s="308" t="str">
        <f t="shared" si="20"/>
        <v xml:space="preserve"> sangat baik  dalam memahami Q.S. al- Falaq dan Q.S. al- Fil dengan baik dan benar</v>
      </c>
      <c r="EH8" s="301" t="str">
        <f t="shared" si="8"/>
        <v>Anak 3 sangat baik  dalam memahami Q.S. al- Falaq dan Q.S. al- Fil dengan baik dan benar</v>
      </c>
      <c r="EI8" s="106" t="e">
        <f>IF(#REF!=1,AS$4," ")</f>
        <v>#REF!</v>
      </c>
      <c r="EJ8" s="106" t="e">
        <f>IF(#REF!=1,AT$4," ")</f>
        <v>#REF!</v>
      </c>
      <c r="EK8" s="106" t="e">
        <f>IF(#REF!=1,AU$4," ")</f>
        <v>#REF!</v>
      </c>
      <c r="EL8" s="106" t="e">
        <f>IF(#REF!=1,AV$4," ")</f>
        <v>#REF!</v>
      </c>
      <c r="EM8" s="106" t="e">
        <f>IF(#REF!=1,AW$4," ")</f>
        <v>#REF!</v>
      </c>
      <c r="EN8" s="106" t="e">
        <f>IF(#REF!=1,AX$4," ")</f>
        <v>#REF!</v>
      </c>
      <c r="EO8" s="106" t="e">
        <f>IF(#REF!=1,AY$4," ")</f>
        <v>#REF!</v>
      </c>
      <c r="EP8" s="106" t="e">
        <f>IF(#REF!=1,#REF!," ")</f>
        <v>#REF!</v>
      </c>
      <c r="EQ8" s="106" t="e">
        <f>IF(#REF!=1,#REF!," ")</f>
        <v>#REF!</v>
      </c>
      <c r="ER8" s="106" t="e">
        <f>IF(#REF!=1,DT$4," ")</f>
        <v>#REF!</v>
      </c>
      <c r="ES8" s="408">
        <f t="shared" si="21"/>
        <v>99</v>
      </c>
      <c r="EX8" s="302">
        <f t="shared" si="22"/>
        <v>99</v>
      </c>
      <c r="EY8" s="303" t="str">
        <f>IF(EX8&gt;KKM!$G$10,"A",IF(EX8&gt;KKM!$H$10,"B",IF(EX8&gt;=KKM!$I$10,"C","D")))</f>
        <v>A</v>
      </c>
      <c r="EZ8" s="523">
        <f t="shared" si="23"/>
        <v>99</v>
      </c>
      <c r="FA8" s="115" t="str">
        <f>IF(EZ8&gt;KKM!$G$10," sangat baik ",IF(EZ8&gt;KKM!$H$10," baik ",IF(EZ8&gt;=KKM!$I$10," cukup baik "," perlu bimbingan ")))</f>
        <v xml:space="preserve"> sangat baik </v>
      </c>
      <c r="FB8" s="524">
        <f t="shared" si="24"/>
        <v>99</v>
      </c>
      <c r="FC8" s="115" t="str">
        <f>IF(FB8&gt;KKM!$G$10," sangat baik ",IF(FB8&gt;KKM!$H$10," baik ",IF(FB8&gt;=KKM!$I$10," cukup baik "," perlu bimbingan ")))</f>
        <v xml:space="preserve"> sangat baik </v>
      </c>
      <c r="FD8" s="301" t="str">
        <f t="shared" si="25"/>
        <v>Anak 3 sangat baik  dalam memahami Q.S. al- Falaq dan Q.S. al- Fil dengan baik dan benar</v>
      </c>
      <c r="FE8" s="307" t="str">
        <f t="shared" si="26"/>
        <v xml:space="preserve"> sangat baik  dalam memahami Q.S. al- Falaq dan Q.S. al- Fil dengan baik dan benar</v>
      </c>
      <c r="FF8" s="307" t="str">
        <f t="shared" si="27"/>
        <v xml:space="preserve"> sangat baik  dalam memahami Q.S. al- Falaq dan Q.S. al- Fil dengan baik dan benar</v>
      </c>
      <c r="FG8" s="307" t="str">
        <f t="shared" si="28"/>
        <v xml:space="preserve"> sangat baik  dalam memahami Q.S. al- Falaq dan Q.S. al- Fil dengan baik dan benar, dan  sangat baik  dalam memahami Q.S. al- Falaq dan Q.S. al- Fil dengan baik dan benar</v>
      </c>
      <c r="FH8" s="307" t="str">
        <f t="shared" si="29"/>
        <v xml:space="preserve"> sangat baik  dalam memahami Q.S. al- Falaq dan Q.S. al- Fil dengan baik dan benar</v>
      </c>
      <c r="FI8" s="308" t="str">
        <f t="shared" si="30"/>
        <v xml:space="preserve"> sangat baik  dalam memahami Q.S. al- Falaq dan Q.S. al- Fil dengan baik dan benar</v>
      </c>
      <c r="FJ8" s="301" t="str">
        <f t="shared" si="31"/>
        <v>Anak 3 sangat baik  dalam memahami Q.S. al- Falaq dan Q.S. al- Fil dengan baik dan benar</v>
      </c>
      <c r="FQ8" s="408"/>
    </row>
    <row r="9" spans="1:173" ht="63" customHeight="1">
      <c r="B9" s="109">
        <v>4</v>
      </c>
      <c r="C9" s="110">
        <f>SISWA!B9</f>
        <v>0</v>
      </c>
      <c r="D9" s="111" t="str">
        <f>SISWA!E9</f>
        <v>Anak 4</v>
      </c>
      <c r="E9" s="631">
        <v>99</v>
      </c>
      <c r="F9" s="631">
        <v>99</v>
      </c>
      <c r="G9" s="631">
        <v>99</v>
      </c>
      <c r="H9" s="605"/>
      <c r="I9" s="605"/>
      <c r="J9" s="605"/>
      <c r="K9" s="605"/>
      <c r="L9" s="605"/>
      <c r="M9" s="605"/>
      <c r="N9" s="605"/>
      <c r="O9" s="605"/>
      <c r="P9" s="605"/>
      <c r="Q9" s="605"/>
      <c r="R9" s="631">
        <v>99</v>
      </c>
      <c r="S9" s="631">
        <v>99</v>
      </c>
      <c r="T9" s="631">
        <v>99</v>
      </c>
      <c r="U9" s="606"/>
      <c r="V9" s="606"/>
      <c r="W9" s="606"/>
      <c r="X9" s="606"/>
      <c r="Y9" s="606"/>
      <c r="Z9" s="606"/>
      <c r="AA9" s="606"/>
      <c r="AB9" s="606"/>
      <c r="AC9" s="606"/>
      <c r="AD9" s="631">
        <v>99</v>
      </c>
      <c r="AE9" s="631">
        <v>99</v>
      </c>
      <c r="AF9" s="631">
        <v>99</v>
      </c>
      <c r="AG9" s="605"/>
      <c r="AH9" s="605"/>
      <c r="AI9" s="605"/>
      <c r="AJ9" s="605"/>
      <c r="AK9" s="605"/>
      <c r="AL9" s="605"/>
      <c r="AM9" s="605"/>
      <c r="AN9" s="605"/>
      <c r="AO9" s="605"/>
      <c r="AP9" s="605"/>
      <c r="AQ9" s="728">
        <f t="shared" si="9"/>
        <v>99</v>
      </c>
      <c r="AR9" s="728">
        <f t="shared" si="10"/>
        <v>99</v>
      </c>
      <c r="AS9" s="728">
        <f t="shared" si="11"/>
        <v>99</v>
      </c>
      <c r="AT9" s="728" t="str">
        <f t="shared" si="12"/>
        <v/>
      </c>
      <c r="AU9" s="728" t="str">
        <f t="shared" si="13"/>
        <v/>
      </c>
      <c r="AV9" s="728" t="str">
        <f t="shared" si="14"/>
        <v/>
      </c>
      <c r="AW9" s="728" t="str">
        <f t="shared" si="15"/>
        <v/>
      </c>
      <c r="AX9" s="728" t="str">
        <f t="shared" si="16"/>
        <v/>
      </c>
      <c r="AY9" s="615"/>
      <c r="AZ9" s="615"/>
      <c r="BA9" s="615"/>
      <c r="BB9" s="615"/>
      <c r="BC9" s="615"/>
      <c r="BD9" s="124"/>
      <c r="BE9" s="124"/>
      <c r="BF9" s="124"/>
      <c r="BG9" s="124"/>
      <c r="BH9" s="124"/>
      <c r="BI9" s="124"/>
      <c r="BJ9" s="124"/>
      <c r="BK9" s="124"/>
      <c r="BL9" s="332"/>
      <c r="BM9" s="332"/>
      <c r="BN9" s="332"/>
      <c r="BO9" s="332"/>
      <c r="BP9" s="332"/>
      <c r="BQ9" s="332"/>
      <c r="BR9" s="332"/>
      <c r="BS9" s="332"/>
      <c r="BT9" s="332"/>
      <c r="BU9" s="332"/>
      <c r="BV9" s="332"/>
      <c r="BW9" s="332"/>
      <c r="BX9" s="124"/>
      <c r="BY9" s="124"/>
      <c r="BZ9" s="124"/>
      <c r="CA9" s="124"/>
      <c r="CB9" s="124"/>
      <c r="CC9" s="124"/>
      <c r="CD9" s="124"/>
      <c r="CE9" s="124"/>
      <c r="CF9" s="124"/>
      <c r="CG9" s="124"/>
      <c r="CH9" s="124"/>
      <c r="CI9" s="124"/>
      <c r="CJ9" s="332"/>
      <c r="CK9" s="332"/>
      <c r="CL9" s="332"/>
      <c r="CM9" s="332"/>
      <c r="CN9" s="332"/>
      <c r="CO9" s="332"/>
      <c r="CP9" s="332"/>
      <c r="CQ9" s="332"/>
      <c r="CR9" s="332"/>
      <c r="CS9" s="332"/>
      <c r="CT9" s="332"/>
      <c r="CU9" s="332"/>
      <c r="CV9" s="124"/>
      <c r="CW9" s="124"/>
      <c r="CX9" s="124"/>
      <c r="CY9" s="124"/>
      <c r="CZ9" s="124"/>
      <c r="DA9" s="124"/>
      <c r="DB9" s="124"/>
      <c r="DC9" s="124"/>
      <c r="DD9" s="124"/>
      <c r="DE9" s="124"/>
      <c r="DF9" s="124"/>
      <c r="DG9" s="124"/>
      <c r="DH9" s="332"/>
      <c r="DI9" s="332"/>
      <c r="DJ9" s="332"/>
      <c r="DK9" s="332"/>
      <c r="DL9" s="332"/>
      <c r="DM9" s="332"/>
      <c r="DN9" s="604"/>
      <c r="DO9" s="604"/>
      <c r="DP9" s="604"/>
      <c r="DQ9" s="604"/>
      <c r="DR9" s="604"/>
      <c r="DS9" s="604"/>
      <c r="DT9" s="722"/>
      <c r="DU9" s="302">
        <f t="shared" si="4"/>
        <v>99</v>
      </c>
      <c r="DV9" s="303" t="str">
        <f>IF(DU9&gt;KKM!$G$10,"A",IF(DU9&gt;KKM!$H$10,"B",IF(DU9&gt;=KKM!$I$10,"C","D")))</f>
        <v>A</v>
      </c>
      <c r="DW9" s="304">
        <f t="shared" si="5"/>
        <v>99</v>
      </c>
      <c r="DX9" s="115" t="str">
        <f>IF(DW9&gt;KKM!$G$10," sangat baik ",IF(DW9&gt;KKM!$H$10," baik ",IF(DW9&gt;=KKM!$I$10," cukup baik "," perlu bimbingan ")))</f>
        <v xml:space="preserve"> sangat baik </v>
      </c>
      <c r="DY9" s="305">
        <f t="shared" si="6"/>
        <v>99</v>
      </c>
      <c r="DZ9" s="115" t="str">
        <f>IF(DY9&gt;KKM!$G$10," sangat baik ",IF(DY9&gt;KKM!$H$10," baik ",IF(DY9&gt;=KKM!$I$10," cukup baik "," perlu bimbingan ")))</f>
        <v xml:space="preserve"> sangat baik </v>
      </c>
      <c r="EA9" s="301" t="str">
        <f t="shared" si="32"/>
        <v>Anak 4 sangat baik  dalam memahami Q.S. al- Falaq dan Q.S. al- Fil dengan baik dan benar</v>
      </c>
      <c r="EB9" s="424"/>
      <c r="EC9" s="307" t="str">
        <f t="shared" si="17"/>
        <v xml:space="preserve"> sangat baik  dalam memahami Q.S. al- Falaq dan Q.S. al- Fil dengan baik dan benar</v>
      </c>
      <c r="ED9" s="307" t="str">
        <f t="shared" si="7"/>
        <v xml:space="preserve"> sangat baik  dalam memahami Q.S. al- Falaq dan Q.S. al- Fil dengan baik dan benar</v>
      </c>
      <c r="EE9" s="307" t="str">
        <f t="shared" si="18"/>
        <v xml:space="preserve"> sangat baik  dalam memahami Q.S. al- Falaq dan Q.S. al- Fil dengan baik dan benar, dan  sangat baik  dalam memahami Q.S. al- Falaq dan Q.S. al- Fil dengan baik dan benar</v>
      </c>
      <c r="EF9" s="307" t="str">
        <f t="shared" si="19"/>
        <v xml:space="preserve"> sangat baik  dalam memahami Q.S. al- Falaq dan Q.S. al- Fil dengan baik dan benar</v>
      </c>
      <c r="EG9" s="308" t="str">
        <f t="shared" si="20"/>
        <v xml:space="preserve"> sangat baik  dalam memahami Q.S. al- Falaq dan Q.S. al- Fil dengan baik dan benar</v>
      </c>
      <c r="EH9" s="301" t="str">
        <f t="shared" si="8"/>
        <v>Anak 4 sangat baik  dalam memahami Q.S. al- Falaq dan Q.S. al- Fil dengan baik dan benar</v>
      </c>
      <c r="EI9" s="106" t="e">
        <f>IF(#REF!=1,AS$4," ")</f>
        <v>#REF!</v>
      </c>
      <c r="EJ9" s="106" t="e">
        <f>IF(#REF!=1,AT$4," ")</f>
        <v>#REF!</v>
      </c>
      <c r="EK9" s="106" t="e">
        <f>IF(#REF!=1,AU$4," ")</f>
        <v>#REF!</v>
      </c>
      <c r="EL9" s="106" t="e">
        <f>IF(#REF!=1,AV$4," ")</f>
        <v>#REF!</v>
      </c>
      <c r="EM9" s="106" t="e">
        <f>IF(#REF!=1,AW$4," ")</f>
        <v>#REF!</v>
      </c>
      <c r="EN9" s="106" t="e">
        <f>IF(#REF!=1,AX$4," ")</f>
        <v>#REF!</v>
      </c>
      <c r="EO9" s="106" t="e">
        <f>IF(#REF!=1,AY$4," ")</f>
        <v>#REF!</v>
      </c>
      <c r="EP9" s="106" t="e">
        <f>IF(#REF!=1,#REF!," ")</f>
        <v>#REF!</v>
      </c>
      <c r="EQ9" s="106" t="e">
        <f>IF(#REF!=1,#REF!," ")</f>
        <v>#REF!</v>
      </c>
      <c r="ER9" s="106" t="e">
        <f>IF(#REF!=1,DT$4," ")</f>
        <v>#REF!</v>
      </c>
      <c r="ES9" s="408">
        <f t="shared" si="21"/>
        <v>99</v>
      </c>
      <c r="EX9" s="302">
        <f t="shared" si="22"/>
        <v>99</v>
      </c>
      <c r="EY9" s="303" t="str">
        <f>IF(EX9&gt;KKM!$G$10,"A",IF(EX9&gt;KKM!$H$10,"B",IF(EX9&gt;=KKM!$I$10,"C","D")))</f>
        <v>A</v>
      </c>
      <c r="EZ9" s="523">
        <f t="shared" si="23"/>
        <v>99</v>
      </c>
      <c r="FA9" s="115" t="str">
        <f>IF(EZ9&gt;KKM!$G$10," sangat baik ",IF(EZ9&gt;KKM!$H$10," baik ",IF(EZ9&gt;=KKM!$I$10," cukup baik "," perlu bimbingan ")))</f>
        <v xml:space="preserve"> sangat baik </v>
      </c>
      <c r="FB9" s="524">
        <f t="shared" si="24"/>
        <v>99</v>
      </c>
      <c r="FC9" s="115" t="str">
        <f>IF(FB9&gt;KKM!$G$10," sangat baik ",IF(FB9&gt;KKM!$H$10," baik ",IF(FB9&gt;=KKM!$I$10," cukup baik "," perlu bimbingan ")))</f>
        <v xml:space="preserve"> sangat baik </v>
      </c>
      <c r="FD9" s="301" t="str">
        <f t="shared" si="25"/>
        <v>Anak 4 sangat baik  dalam memahami Q.S. al- Falaq dan Q.S. al- Fil dengan baik dan benar</v>
      </c>
      <c r="FE9" s="307" t="str">
        <f t="shared" si="26"/>
        <v xml:space="preserve"> sangat baik  dalam memahami Q.S. al- Falaq dan Q.S. al- Fil dengan baik dan benar</v>
      </c>
      <c r="FF9" s="307" t="str">
        <f t="shared" si="27"/>
        <v xml:space="preserve"> sangat baik  dalam memahami Q.S. al- Falaq dan Q.S. al- Fil dengan baik dan benar</v>
      </c>
      <c r="FG9" s="307" t="str">
        <f t="shared" si="28"/>
        <v xml:space="preserve"> sangat baik  dalam memahami Q.S. al- Falaq dan Q.S. al- Fil dengan baik dan benar, dan  sangat baik  dalam memahami Q.S. al- Falaq dan Q.S. al- Fil dengan baik dan benar</v>
      </c>
      <c r="FH9" s="307" t="str">
        <f t="shared" si="29"/>
        <v xml:space="preserve"> sangat baik  dalam memahami Q.S. al- Falaq dan Q.S. al- Fil dengan baik dan benar</v>
      </c>
      <c r="FI9" s="308" t="str">
        <f t="shared" si="30"/>
        <v xml:space="preserve"> sangat baik  dalam memahami Q.S. al- Falaq dan Q.S. al- Fil dengan baik dan benar</v>
      </c>
      <c r="FJ9" s="301" t="str">
        <f t="shared" si="31"/>
        <v>Anak 4 sangat baik  dalam memahami Q.S. al- Falaq dan Q.S. al- Fil dengan baik dan benar</v>
      </c>
      <c r="FQ9" s="408"/>
    </row>
    <row r="10" spans="1:173" ht="63" customHeight="1">
      <c r="B10" s="109">
        <v>5</v>
      </c>
      <c r="C10" s="110">
        <f>SISWA!B10</f>
        <v>0</v>
      </c>
      <c r="D10" s="111" t="str">
        <f>SISWA!E10</f>
        <v>Anak 5</v>
      </c>
      <c r="E10" s="631">
        <v>99</v>
      </c>
      <c r="F10" s="631">
        <v>99</v>
      </c>
      <c r="G10" s="631">
        <v>99</v>
      </c>
      <c r="H10" s="605"/>
      <c r="I10" s="605"/>
      <c r="J10" s="605"/>
      <c r="K10" s="605"/>
      <c r="L10" s="605"/>
      <c r="M10" s="605"/>
      <c r="N10" s="605"/>
      <c r="O10" s="605"/>
      <c r="P10" s="605"/>
      <c r="Q10" s="605"/>
      <c r="R10" s="631">
        <v>99</v>
      </c>
      <c r="S10" s="631">
        <v>99</v>
      </c>
      <c r="T10" s="631">
        <v>99</v>
      </c>
      <c r="U10" s="606"/>
      <c r="V10" s="606"/>
      <c r="W10" s="606"/>
      <c r="X10" s="606"/>
      <c r="Y10" s="606"/>
      <c r="Z10" s="606"/>
      <c r="AA10" s="606"/>
      <c r="AB10" s="606"/>
      <c r="AC10" s="606"/>
      <c r="AD10" s="631">
        <v>99</v>
      </c>
      <c r="AE10" s="631">
        <v>99</v>
      </c>
      <c r="AF10" s="631">
        <v>99</v>
      </c>
      <c r="AG10" s="605"/>
      <c r="AH10" s="605"/>
      <c r="AI10" s="605"/>
      <c r="AJ10" s="605"/>
      <c r="AK10" s="605"/>
      <c r="AL10" s="605"/>
      <c r="AM10" s="605"/>
      <c r="AN10" s="605"/>
      <c r="AO10" s="605"/>
      <c r="AP10" s="605"/>
      <c r="AQ10" s="728">
        <f t="shared" si="9"/>
        <v>99</v>
      </c>
      <c r="AR10" s="728">
        <f t="shared" si="10"/>
        <v>99</v>
      </c>
      <c r="AS10" s="728">
        <f t="shared" si="11"/>
        <v>99</v>
      </c>
      <c r="AT10" s="728" t="str">
        <f t="shared" si="12"/>
        <v/>
      </c>
      <c r="AU10" s="728" t="str">
        <f t="shared" si="13"/>
        <v/>
      </c>
      <c r="AV10" s="728" t="str">
        <f t="shared" si="14"/>
        <v/>
      </c>
      <c r="AW10" s="728" t="str">
        <f t="shared" si="15"/>
        <v/>
      </c>
      <c r="AX10" s="728" t="str">
        <f t="shared" si="16"/>
        <v/>
      </c>
      <c r="AY10" s="615"/>
      <c r="AZ10" s="615"/>
      <c r="BA10" s="615"/>
      <c r="BB10" s="615"/>
      <c r="BC10" s="615"/>
      <c r="BD10" s="124"/>
      <c r="BE10" s="124"/>
      <c r="BF10" s="124"/>
      <c r="BG10" s="124"/>
      <c r="BH10" s="124"/>
      <c r="BI10" s="124"/>
      <c r="BJ10" s="124"/>
      <c r="BK10" s="124"/>
      <c r="BL10" s="332"/>
      <c r="BM10" s="332"/>
      <c r="BN10" s="332"/>
      <c r="BO10" s="332"/>
      <c r="BP10" s="332"/>
      <c r="BQ10" s="332"/>
      <c r="BR10" s="332"/>
      <c r="BS10" s="332"/>
      <c r="BT10" s="332"/>
      <c r="BU10" s="332"/>
      <c r="BV10" s="332"/>
      <c r="BW10" s="332"/>
      <c r="BX10" s="124"/>
      <c r="BY10" s="124"/>
      <c r="BZ10" s="124"/>
      <c r="CA10" s="124"/>
      <c r="CB10" s="124"/>
      <c r="CC10" s="124"/>
      <c r="CD10" s="124"/>
      <c r="CE10" s="124"/>
      <c r="CF10" s="124"/>
      <c r="CG10" s="124"/>
      <c r="CH10" s="124"/>
      <c r="CI10" s="124"/>
      <c r="CJ10" s="332"/>
      <c r="CK10" s="332"/>
      <c r="CL10" s="332"/>
      <c r="CM10" s="332"/>
      <c r="CN10" s="332"/>
      <c r="CO10" s="332"/>
      <c r="CP10" s="332"/>
      <c r="CQ10" s="332"/>
      <c r="CR10" s="332"/>
      <c r="CS10" s="332"/>
      <c r="CT10" s="332"/>
      <c r="CU10" s="332"/>
      <c r="CV10" s="124"/>
      <c r="CW10" s="124"/>
      <c r="CX10" s="124"/>
      <c r="CY10" s="124"/>
      <c r="CZ10" s="124"/>
      <c r="DA10" s="124"/>
      <c r="DB10" s="124"/>
      <c r="DC10" s="124"/>
      <c r="DD10" s="124"/>
      <c r="DE10" s="124"/>
      <c r="DF10" s="124"/>
      <c r="DG10" s="124"/>
      <c r="DH10" s="332"/>
      <c r="DI10" s="332"/>
      <c r="DJ10" s="332"/>
      <c r="DK10" s="332"/>
      <c r="DL10" s="332"/>
      <c r="DM10" s="332"/>
      <c r="DN10" s="604"/>
      <c r="DO10" s="604"/>
      <c r="DP10" s="604"/>
      <c r="DQ10" s="604"/>
      <c r="DR10" s="604"/>
      <c r="DS10" s="604"/>
      <c r="DT10" s="722"/>
      <c r="DU10" s="302">
        <f t="shared" si="4"/>
        <v>99</v>
      </c>
      <c r="DV10" s="303" t="str">
        <f>IF(DU10&gt;KKM!$G$10,"A",IF(DU10&gt;KKM!$H$10,"B",IF(DU10&gt;=KKM!$I$10,"C","D")))</f>
        <v>A</v>
      </c>
      <c r="DW10" s="304">
        <f t="shared" si="5"/>
        <v>99</v>
      </c>
      <c r="DX10" s="115" t="str">
        <f>IF(DW10&gt;KKM!$G$10," sangat baik ",IF(DW10&gt;KKM!$H$10," baik ",IF(DW10&gt;=KKM!$I$10," cukup baik "," perlu bimbingan ")))</f>
        <v xml:space="preserve"> sangat baik </v>
      </c>
      <c r="DY10" s="305">
        <f t="shared" si="6"/>
        <v>99</v>
      </c>
      <c r="DZ10" s="115" t="str">
        <f>IF(DY10&gt;KKM!$G$10," sangat baik ",IF(DY10&gt;KKM!$H$10," baik ",IF(DY10&gt;=KKM!$I$10," cukup baik "," perlu bimbingan ")))</f>
        <v xml:space="preserve"> sangat baik </v>
      </c>
      <c r="EA10" s="301" t="str">
        <f t="shared" si="32"/>
        <v>Anak 5 sangat baik  dalam memahami Q.S. al- Falaq dan Q.S. al- Fil dengan baik dan benar</v>
      </c>
      <c r="EB10" s="424"/>
      <c r="EC10" s="307" t="str">
        <f t="shared" si="17"/>
        <v xml:space="preserve"> sangat baik  dalam memahami Q.S. al- Falaq dan Q.S. al- Fil dengan baik dan benar</v>
      </c>
      <c r="ED10" s="307" t="str">
        <f t="shared" si="7"/>
        <v xml:space="preserve"> sangat baik  dalam memahami Q.S. al- Falaq dan Q.S. al- Fil dengan baik dan benar</v>
      </c>
      <c r="EE10" s="307" t="str">
        <f t="shared" si="18"/>
        <v xml:space="preserve"> sangat baik  dalam memahami Q.S. al- Falaq dan Q.S. al- Fil dengan baik dan benar, dan  sangat baik  dalam memahami Q.S. al- Falaq dan Q.S. al- Fil dengan baik dan benar</v>
      </c>
      <c r="EF10" s="307" t="str">
        <f t="shared" si="19"/>
        <v xml:space="preserve"> sangat baik  dalam memahami Q.S. al- Falaq dan Q.S. al- Fil dengan baik dan benar</v>
      </c>
      <c r="EG10" s="308" t="str">
        <f t="shared" si="20"/>
        <v xml:space="preserve"> sangat baik  dalam memahami Q.S. al- Falaq dan Q.S. al- Fil dengan baik dan benar</v>
      </c>
      <c r="EH10" s="301" t="str">
        <f t="shared" si="8"/>
        <v>Anak 5 sangat baik  dalam memahami Q.S. al- Falaq dan Q.S. al- Fil dengan baik dan benar</v>
      </c>
      <c r="EI10" s="106" t="e">
        <f>IF(#REF!=1,AS$4," ")</f>
        <v>#REF!</v>
      </c>
      <c r="EJ10" s="106" t="e">
        <f>IF(#REF!=1,AT$4," ")</f>
        <v>#REF!</v>
      </c>
      <c r="EK10" s="106" t="e">
        <f>IF(#REF!=1,AU$4," ")</f>
        <v>#REF!</v>
      </c>
      <c r="EL10" s="106" t="e">
        <f>IF(#REF!=1,AV$4," ")</f>
        <v>#REF!</v>
      </c>
      <c r="EM10" s="106" t="e">
        <f>IF(#REF!=1,AW$4," ")</f>
        <v>#REF!</v>
      </c>
      <c r="EN10" s="106" t="e">
        <f>IF(#REF!=1,AX$4," ")</f>
        <v>#REF!</v>
      </c>
      <c r="EO10" s="106" t="e">
        <f>IF(#REF!=1,AY$4," ")</f>
        <v>#REF!</v>
      </c>
      <c r="EP10" s="106" t="e">
        <f>IF(#REF!=1,#REF!," ")</f>
        <v>#REF!</v>
      </c>
      <c r="EQ10" s="106" t="e">
        <f>IF(#REF!=1,#REF!," ")</f>
        <v>#REF!</v>
      </c>
      <c r="ER10" s="106" t="e">
        <f>IF(#REF!=1,DT$4," ")</f>
        <v>#REF!</v>
      </c>
      <c r="ES10" s="408">
        <f t="shared" si="21"/>
        <v>99</v>
      </c>
      <c r="EX10" s="302">
        <f t="shared" si="22"/>
        <v>99</v>
      </c>
      <c r="EY10" s="303" t="str">
        <f>IF(EX10&gt;KKM!$G$10,"A",IF(EX10&gt;KKM!$H$10,"B",IF(EX10&gt;=KKM!$I$10,"C","D")))</f>
        <v>A</v>
      </c>
      <c r="EZ10" s="523">
        <f t="shared" si="23"/>
        <v>99</v>
      </c>
      <c r="FA10" s="115" t="str">
        <f>IF(EZ10&gt;KKM!$G$10," sangat baik ",IF(EZ10&gt;KKM!$H$10," baik ",IF(EZ10&gt;=KKM!$I$10," cukup baik "," perlu bimbingan ")))</f>
        <v xml:space="preserve"> sangat baik </v>
      </c>
      <c r="FB10" s="524">
        <f t="shared" si="24"/>
        <v>99</v>
      </c>
      <c r="FC10" s="115" t="str">
        <f>IF(FB10&gt;KKM!$G$10," sangat baik ",IF(FB10&gt;KKM!$H$10," baik ",IF(FB10&gt;=KKM!$I$10," cukup baik "," perlu bimbingan ")))</f>
        <v xml:space="preserve"> sangat baik </v>
      </c>
      <c r="FD10" s="301" t="str">
        <f t="shared" si="25"/>
        <v>Anak 5 sangat baik  dalam memahami Q.S. al- Falaq dan Q.S. al- Fil dengan baik dan benar</v>
      </c>
      <c r="FE10" s="307" t="str">
        <f t="shared" si="26"/>
        <v xml:space="preserve"> sangat baik  dalam memahami Q.S. al- Falaq dan Q.S. al- Fil dengan baik dan benar</v>
      </c>
      <c r="FF10" s="307" t="str">
        <f t="shared" si="27"/>
        <v xml:space="preserve"> sangat baik  dalam memahami Q.S. al- Falaq dan Q.S. al- Fil dengan baik dan benar</v>
      </c>
      <c r="FG10" s="307" t="str">
        <f t="shared" si="28"/>
        <v xml:space="preserve"> sangat baik  dalam memahami Q.S. al- Falaq dan Q.S. al- Fil dengan baik dan benar, dan  sangat baik  dalam memahami Q.S. al- Falaq dan Q.S. al- Fil dengan baik dan benar</v>
      </c>
      <c r="FH10" s="307" t="str">
        <f t="shared" si="29"/>
        <v xml:space="preserve"> sangat baik  dalam memahami Q.S. al- Falaq dan Q.S. al- Fil dengan baik dan benar</v>
      </c>
      <c r="FI10" s="308" t="str">
        <f t="shared" si="30"/>
        <v xml:space="preserve"> sangat baik  dalam memahami Q.S. al- Falaq dan Q.S. al- Fil dengan baik dan benar</v>
      </c>
      <c r="FJ10" s="301" t="str">
        <f t="shared" si="31"/>
        <v>Anak 5 sangat baik  dalam memahami Q.S. al- Falaq dan Q.S. al- Fil dengan baik dan benar</v>
      </c>
      <c r="FQ10" s="408"/>
    </row>
    <row r="11" spans="1:173" ht="63" customHeight="1">
      <c r="B11" s="109">
        <v>6</v>
      </c>
      <c r="C11" s="110">
        <f>SISWA!B11</f>
        <v>0</v>
      </c>
      <c r="D11" s="111" t="str">
        <f>SISWA!E11</f>
        <v>Anak 6</v>
      </c>
      <c r="E11" s="631">
        <v>99</v>
      </c>
      <c r="F11" s="631">
        <v>99</v>
      </c>
      <c r="G11" s="631">
        <v>99</v>
      </c>
      <c r="H11" s="605"/>
      <c r="I11" s="605"/>
      <c r="J11" s="605"/>
      <c r="K11" s="605"/>
      <c r="L11" s="605"/>
      <c r="M11" s="605"/>
      <c r="N11" s="605"/>
      <c r="O11" s="605"/>
      <c r="P11" s="605"/>
      <c r="Q11" s="605"/>
      <c r="R11" s="631">
        <v>99</v>
      </c>
      <c r="S11" s="631">
        <v>99</v>
      </c>
      <c r="T11" s="631">
        <v>99</v>
      </c>
      <c r="U11" s="606"/>
      <c r="V11" s="606"/>
      <c r="W11" s="606"/>
      <c r="X11" s="606"/>
      <c r="Y11" s="606"/>
      <c r="Z11" s="606"/>
      <c r="AA11" s="606"/>
      <c r="AB11" s="606"/>
      <c r="AC11" s="606"/>
      <c r="AD11" s="631">
        <v>99</v>
      </c>
      <c r="AE11" s="631">
        <v>99</v>
      </c>
      <c r="AF11" s="631">
        <v>99</v>
      </c>
      <c r="AG11" s="605"/>
      <c r="AH11" s="605"/>
      <c r="AI11" s="605"/>
      <c r="AJ11" s="605"/>
      <c r="AK11" s="605"/>
      <c r="AL11" s="605"/>
      <c r="AM11" s="605"/>
      <c r="AN11" s="605"/>
      <c r="AO11" s="605"/>
      <c r="AP11" s="605"/>
      <c r="AQ11" s="728">
        <f t="shared" si="9"/>
        <v>99</v>
      </c>
      <c r="AR11" s="728">
        <f t="shared" si="10"/>
        <v>99</v>
      </c>
      <c r="AS11" s="728">
        <f t="shared" si="11"/>
        <v>99</v>
      </c>
      <c r="AT11" s="728" t="str">
        <f t="shared" si="12"/>
        <v/>
      </c>
      <c r="AU11" s="728" t="str">
        <f t="shared" si="13"/>
        <v/>
      </c>
      <c r="AV11" s="728" t="str">
        <f t="shared" si="14"/>
        <v/>
      </c>
      <c r="AW11" s="728" t="str">
        <f t="shared" si="15"/>
        <v/>
      </c>
      <c r="AX11" s="728" t="str">
        <f t="shared" si="16"/>
        <v/>
      </c>
      <c r="AY11" s="615"/>
      <c r="AZ11" s="615"/>
      <c r="BA11" s="615"/>
      <c r="BB11" s="615"/>
      <c r="BC11" s="615"/>
      <c r="BD11" s="124"/>
      <c r="BE11" s="124"/>
      <c r="BF11" s="124"/>
      <c r="BG11" s="124"/>
      <c r="BH11" s="124"/>
      <c r="BI11" s="124"/>
      <c r="BJ11" s="124"/>
      <c r="BK11" s="124"/>
      <c r="BL11" s="332"/>
      <c r="BM11" s="332"/>
      <c r="BN11" s="332"/>
      <c r="BO11" s="332"/>
      <c r="BP11" s="332"/>
      <c r="BQ11" s="332"/>
      <c r="BR11" s="332"/>
      <c r="BS11" s="332"/>
      <c r="BT11" s="332"/>
      <c r="BU11" s="332"/>
      <c r="BV11" s="332"/>
      <c r="BW11" s="332"/>
      <c r="BX11" s="124"/>
      <c r="BY11" s="124"/>
      <c r="BZ11" s="124"/>
      <c r="CA11" s="124"/>
      <c r="CB11" s="124"/>
      <c r="CC11" s="124"/>
      <c r="CD11" s="124"/>
      <c r="CE11" s="124"/>
      <c r="CF11" s="124"/>
      <c r="CG11" s="124"/>
      <c r="CH11" s="124"/>
      <c r="CI11" s="124"/>
      <c r="CJ11" s="332"/>
      <c r="CK11" s="332"/>
      <c r="CL11" s="332"/>
      <c r="CM11" s="332"/>
      <c r="CN11" s="332"/>
      <c r="CO11" s="332"/>
      <c r="CP11" s="332"/>
      <c r="CQ11" s="332"/>
      <c r="CR11" s="332"/>
      <c r="CS11" s="332"/>
      <c r="CT11" s="332"/>
      <c r="CU11" s="332"/>
      <c r="CV11" s="124"/>
      <c r="CW11" s="124"/>
      <c r="CX11" s="124"/>
      <c r="CY11" s="124"/>
      <c r="CZ11" s="124"/>
      <c r="DA11" s="124"/>
      <c r="DB11" s="124"/>
      <c r="DC11" s="124"/>
      <c r="DD11" s="124"/>
      <c r="DE11" s="124"/>
      <c r="DF11" s="124"/>
      <c r="DG11" s="124"/>
      <c r="DH11" s="332"/>
      <c r="DI11" s="332"/>
      <c r="DJ11" s="332"/>
      <c r="DK11" s="332"/>
      <c r="DL11" s="332"/>
      <c r="DM11" s="332"/>
      <c r="DN11" s="604"/>
      <c r="DO11" s="604"/>
      <c r="DP11" s="604"/>
      <c r="DQ11" s="604"/>
      <c r="DR11" s="604"/>
      <c r="DS11" s="604"/>
      <c r="DT11" s="722"/>
      <c r="DU11" s="302">
        <f t="shared" si="4"/>
        <v>99</v>
      </c>
      <c r="DV11" s="303" t="str">
        <f>IF(DU11&gt;KKM!$G$10,"A",IF(DU11&gt;KKM!$H$10,"B",IF(DU11&gt;=KKM!$I$10,"C","D")))</f>
        <v>A</v>
      </c>
      <c r="DW11" s="304">
        <f t="shared" si="5"/>
        <v>99</v>
      </c>
      <c r="DX11" s="115" t="str">
        <f>IF(DW11&gt;KKM!$G$10," sangat baik ",IF(DW11&gt;KKM!$H$10," baik ",IF(DW11&gt;=KKM!$I$10," cukup baik "," perlu bimbingan ")))</f>
        <v xml:space="preserve"> sangat baik </v>
      </c>
      <c r="DY11" s="305">
        <f t="shared" si="6"/>
        <v>99</v>
      </c>
      <c r="DZ11" s="115" t="str">
        <f>IF(DY11&gt;KKM!$G$10," sangat baik ",IF(DY11&gt;KKM!$H$10," baik ",IF(DY11&gt;=KKM!$I$10," cukup baik "," perlu bimbingan ")))</f>
        <v xml:space="preserve"> sangat baik </v>
      </c>
      <c r="EA11" s="301" t="str">
        <f t="shared" si="32"/>
        <v>Anak 6 sangat baik  dalam memahami Q.S. al- Falaq dan Q.S. al- Fil dengan baik dan benar</v>
      </c>
      <c r="EB11" s="424"/>
      <c r="EC11" s="307" t="str">
        <f t="shared" si="17"/>
        <v xml:space="preserve"> sangat baik  dalam memahami Q.S. al- Falaq dan Q.S. al- Fil dengan baik dan benar</v>
      </c>
      <c r="ED11" s="307" t="str">
        <f t="shared" si="7"/>
        <v xml:space="preserve"> sangat baik  dalam memahami Q.S. al- Falaq dan Q.S. al- Fil dengan baik dan benar</v>
      </c>
      <c r="EE11" s="307" t="str">
        <f t="shared" si="18"/>
        <v xml:space="preserve"> sangat baik  dalam memahami Q.S. al- Falaq dan Q.S. al- Fil dengan baik dan benar, dan  sangat baik  dalam memahami Q.S. al- Falaq dan Q.S. al- Fil dengan baik dan benar</v>
      </c>
      <c r="EF11" s="307" t="str">
        <f t="shared" si="19"/>
        <v xml:space="preserve"> sangat baik  dalam memahami Q.S. al- Falaq dan Q.S. al- Fil dengan baik dan benar</v>
      </c>
      <c r="EG11" s="308" t="str">
        <f t="shared" si="20"/>
        <v xml:space="preserve"> sangat baik  dalam memahami Q.S. al- Falaq dan Q.S. al- Fil dengan baik dan benar</v>
      </c>
      <c r="EH11" s="301" t="str">
        <f t="shared" si="8"/>
        <v>Anak 6 sangat baik  dalam memahami Q.S. al- Falaq dan Q.S. al- Fil dengan baik dan benar</v>
      </c>
      <c r="EI11" s="106" t="e">
        <f>IF(#REF!=1,AS$4," ")</f>
        <v>#REF!</v>
      </c>
      <c r="EJ11" s="106" t="e">
        <f>IF(#REF!=1,AT$4," ")</f>
        <v>#REF!</v>
      </c>
      <c r="EK11" s="106" t="e">
        <f>IF(#REF!=1,AU$4," ")</f>
        <v>#REF!</v>
      </c>
      <c r="EL11" s="106" t="e">
        <f>IF(#REF!=1,AV$4," ")</f>
        <v>#REF!</v>
      </c>
      <c r="EM11" s="106" t="e">
        <f>IF(#REF!=1,AW$4," ")</f>
        <v>#REF!</v>
      </c>
      <c r="EN11" s="106" t="e">
        <f>IF(#REF!=1,AX$4," ")</f>
        <v>#REF!</v>
      </c>
      <c r="EO11" s="106" t="e">
        <f>IF(#REF!=1,AY$4," ")</f>
        <v>#REF!</v>
      </c>
      <c r="EP11" s="106" t="e">
        <f>IF(#REF!=1,#REF!," ")</f>
        <v>#REF!</v>
      </c>
      <c r="EQ11" s="106" t="e">
        <f>IF(#REF!=1,#REF!," ")</f>
        <v>#REF!</v>
      </c>
      <c r="ER11" s="106" t="e">
        <f>IF(#REF!=1,DT$4," ")</f>
        <v>#REF!</v>
      </c>
      <c r="ES11" s="408">
        <f t="shared" si="21"/>
        <v>99</v>
      </c>
      <c r="EX11" s="302">
        <f t="shared" si="22"/>
        <v>99</v>
      </c>
      <c r="EY11" s="303" t="str">
        <f>IF(EX11&gt;KKM!$G$10,"A",IF(EX11&gt;KKM!$H$10,"B",IF(EX11&gt;=KKM!$I$10,"C","D")))</f>
        <v>A</v>
      </c>
      <c r="EZ11" s="523">
        <f t="shared" si="23"/>
        <v>99</v>
      </c>
      <c r="FA11" s="115" t="str">
        <f>IF(EZ11&gt;KKM!$G$10," sangat baik ",IF(EZ11&gt;KKM!$H$10," baik ",IF(EZ11&gt;=KKM!$I$10," cukup baik "," perlu bimbingan ")))</f>
        <v xml:space="preserve"> sangat baik </v>
      </c>
      <c r="FB11" s="524">
        <f t="shared" si="24"/>
        <v>99</v>
      </c>
      <c r="FC11" s="115" t="str">
        <f>IF(FB11&gt;KKM!$G$10," sangat baik ",IF(FB11&gt;KKM!$H$10," baik ",IF(FB11&gt;=KKM!$I$10," cukup baik "," perlu bimbingan ")))</f>
        <v xml:space="preserve"> sangat baik </v>
      </c>
      <c r="FD11" s="301" t="str">
        <f t="shared" si="25"/>
        <v>Anak 6 sangat baik  dalam memahami Q.S. al- Falaq dan Q.S. al- Fil dengan baik dan benar</v>
      </c>
      <c r="FE11" s="307" t="str">
        <f t="shared" si="26"/>
        <v xml:space="preserve"> sangat baik  dalam memahami Q.S. al- Falaq dan Q.S. al- Fil dengan baik dan benar</v>
      </c>
      <c r="FF11" s="307" t="str">
        <f t="shared" si="27"/>
        <v xml:space="preserve"> sangat baik  dalam memahami Q.S. al- Falaq dan Q.S. al- Fil dengan baik dan benar</v>
      </c>
      <c r="FG11" s="307" t="str">
        <f t="shared" si="28"/>
        <v xml:space="preserve"> sangat baik  dalam memahami Q.S. al- Falaq dan Q.S. al- Fil dengan baik dan benar, dan  sangat baik  dalam memahami Q.S. al- Falaq dan Q.S. al- Fil dengan baik dan benar</v>
      </c>
      <c r="FH11" s="307" t="str">
        <f t="shared" si="29"/>
        <v xml:space="preserve"> sangat baik  dalam memahami Q.S. al- Falaq dan Q.S. al- Fil dengan baik dan benar</v>
      </c>
      <c r="FI11" s="308" t="str">
        <f t="shared" si="30"/>
        <v xml:space="preserve"> sangat baik  dalam memahami Q.S. al- Falaq dan Q.S. al- Fil dengan baik dan benar</v>
      </c>
      <c r="FJ11" s="301" t="str">
        <f t="shared" si="31"/>
        <v>Anak 6 sangat baik  dalam memahami Q.S. al- Falaq dan Q.S. al- Fil dengan baik dan benar</v>
      </c>
      <c r="FQ11" s="408"/>
    </row>
    <row r="12" spans="1:173" ht="63" customHeight="1">
      <c r="B12" s="109">
        <v>7</v>
      </c>
      <c r="C12" s="110">
        <f>SISWA!B12</f>
        <v>0</v>
      </c>
      <c r="D12" s="111" t="str">
        <f>SISWA!E12</f>
        <v>Anak 7</v>
      </c>
      <c r="E12" s="631">
        <v>99</v>
      </c>
      <c r="F12" s="631">
        <v>99</v>
      </c>
      <c r="G12" s="631">
        <v>99</v>
      </c>
      <c r="H12" s="605"/>
      <c r="I12" s="605"/>
      <c r="J12" s="605"/>
      <c r="K12" s="605"/>
      <c r="L12" s="605"/>
      <c r="M12" s="605"/>
      <c r="N12" s="605"/>
      <c r="O12" s="605"/>
      <c r="P12" s="605"/>
      <c r="Q12" s="605"/>
      <c r="R12" s="631">
        <v>99</v>
      </c>
      <c r="S12" s="631">
        <v>99</v>
      </c>
      <c r="T12" s="631">
        <v>99</v>
      </c>
      <c r="U12" s="606"/>
      <c r="V12" s="606"/>
      <c r="W12" s="606"/>
      <c r="X12" s="606"/>
      <c r="Y12" s="606"/>
      <c r="Z12" s="606"/>
      <c r="AA12" s="606"/>
      <c r="AB12" s="606"/>
      <c r="AC12" s="606"/>
      <c r="AD12" s="631">
        <v>99</v>
      </c>
      <c r="AE12" s="631">
        <v>99</v>
      </c>
      <c r="AF12" s="631">
        <v>99</v>
      </c>
      <c r="AG12" s="605"/>
      <c r="AH12" s="605"/>
      <c r="AI12" s="605"/>
      <c r="AJ12" s="605"/>
      <c r="AK12" s="605"/>
      <c r="AL12" s="605"/>
      <c r="AM12" s="605"/>
      <c r="AN12" s="605"/>
      <c r="AO12" s="605"/>
      <c r="AP12" s="605"/>
      <c r="AQ12" s="728">
        <f t="shared" si="9"/>
        <v>99</v>
      </c>
      <c r="AR12" s="728">
        <f t="shared" si="10"/>
        <v>99</v>
      </c>
      <c r="AS12" s="728">
        <f t="shared" si="11"/>
        <v>99</v>
      </c>
      <c r="AT12" s="728" t="str">
        <f t="shared" si="12"/>
        <v/>
      </c>
      <c r="AU12" s="728" t="str">
        <f t="shared" si="13"/>
        <v/>
      </c>
      <c r="AV12" s="728" t="str">
        <f t="shared" si="14"/>
        <v/>
      </c>
      <c r="AW12" s="728" t="str">
        <f t="shared" si="15"/>
        <v/>
      </c>
      <c r="AX12" s="728" t="str">
        <f t="shared" si="16"/>
        <v/>
      </c>
      <c r="AY12" s="615"/>
      <c r="AZ12" s="615"/>
      <c r="BA12" s="615"/>
      <c r="BB12" s="615"/>
      <c r="BC12" s="615"/>
      <c r="BD12" s="124"/>
      <c r="BE12" s="124"/>
      <c r="BF12" s="124"/>
      <c r="BG12" s="124"/>
      <c r="BH12" s="124"/>
      <c r="BI12" s="124"/>
      <c r="BJ12" s="124"/>
      <c r="BK12" s="124"/>
      <c r="BL12" s="332"/>
      <c r="BM12" s="332"/>
      <c r="BN12" s="332"/>
      <c r="BO12" s="332"/>
      <c r="BP12" s="332"/>
      <c r="BQ12" s="332"/>
      <c r="BR12" s="332"/>
      <c r="BS12" s="332"/>
      <c r="BT12" s="332"/>
      <c r="BU12" s="332"/>
      <c r="BV12" s="332"/>
      <c r="BW12" s="332"/>
      <c r="BX12" s="124"/>
      <c r="BY12" s="124"/>
      <c r="BZ12" s="124"/>
      <c r="CA12" s="124"/>
      <c r="CB12" s="124"/>
      <c r="CC12" s="124"/>
      <c r="CD12" s="124"/>
      <c r="CE12" s="124"/>
      <c r="CF12" s="124"/>
      <c r="CG12" s="124"/>
      <c r="CH12" s="124"/>
      <c r="CI12" s="124"/>
      <c r="CJ12" s="332"/>
      <c r="CK12" s="332"/>
      <c r="CL12" s="332"/>
      <c r="CM12" s="332"/>
      <c r="CN12" s="332"/>
      <c r="CO12" s="332"/>
      <c r="CP12" s="332"/>
      <c r="CQ12" s="332"/>
      <c r="CR12" s="332"/>
      <c r="CS12" s="332"/>
      <c r="CT12" s="332"/>
      <c r="CU12" s="332"/>
      <c r="CV12" s="124"/>
      <c r="CW12" s="124"/>
      <c r="CX12" s="124"/>
      <c r="CY12" s="124"/>
      <c r="CZ12" s="124"/>
      <c r="DA12" s="124"/>
      <c r="DB12" s="124"/>
      <c r="DC12" s="124"/>
      <c r="DD12" s="124"/>
      <c r="DE12" s="124"/>
      <c r="DF12" s="124"/>
      <c r="DG12" s="124"/>
      <c r="DH12" s="332"/>
      <c r="DI12" s="332"/>
      <c r="DJ12" s="332"/>
      <c r="DK12" s="332"/>
      <c r="DL12" s="332"/>
      <c r="DM12" s="332"/>
      <c r="DN12" s="604"/>
      <c r="DO12" s="604"/>
      <c r="DP12" s="604"/>
      <c r="DQ12" s="604"/>
      <c r="DR12" s="604"/>
      <c r="DS12" s="604"/>
      <c r="DT12" s="722"/>
      <c r="DU12" s="302">
        <f t="shared" si="4"/>
        <v>99</v>
      </c>
      <c r="DV12" s="303" t="str">
        <f>IF(DU12&gt;KKM!$G$10,"A",IF(DU12&gt;KKM!$H$10,"B",IF(DU12&gt;=KKM!$I$10,"C","D")))</f>
        <v>A</v>
      </c>
      <c r="DW12" s="304">
        <f t="shared" si="5"/>
        <v>99</v>
      </c>
      <c r="DX12" s="115" t="str">
        <f>IF(DW12&gt;KKM!$G$10," sangat baik ",IF(DW12&gt;KKM!$H$10," baik ",IF(DW12&gt;=KKM!$I$10," cukup baik "," perlu bimbingan ")))</f>
        <v xml:space="preserve"> sangat baik </v>
      </c>
      <c r="DY12" s="305">
        <f t="shared" si="6"/>
        <v>99</v>
      </c>
      <c r="DZ12" s="115" t="str">
        <f>IF(DY12&gt;KKM!$G$10," sangat baik ",IF(DY12&gt;KKM!$H$10," baik ",IF(DY12&gt;=KKM!$I$10," cukup baik "," perlu bimbingan ")))</f>
        <v xml:space="preserve"> sangat baik </v>
      </c>
      <c r="EA12" s="301" t="str">
        <f t="shared" si="32"/>
        <v>Anak 7 sangat baik  dalam memahami Q.S. al- Falaq dan Q.S. al- Fil dengan baik dan benar</v>
      </c>
      <c r="EB12" s="424"/>
      <c r="EC12" s="307" t="str">
        <f t="shared" si="17"/>
        <v xml:space="preserve"> sangat baik  dalam memahami Q.S. al- Falaq dan Q.S. al- Fil dengan baik dan benar</v>
      </c>
      <c r="ED12" s="307" t="str">
        <f t="shared" si="7"/>
        <v xml:space="preserve"> sangat baik  dalam memahami Q.S. al- Falaq dan Q.S. al- Fil dengan baik dan benar</v>
      </c>
      <c r="EE12" s="307" t="str">
        <f t="shared" si="18"/>
        <v xml:space="preserve"> sangat baik  dalam memahami Q.S. al- Falaq dan Q.S. al- Fil dengan baik dan benar, dan  sangat baik  dalam memahami Q.S. al- Falaq dan Q.S. al- Fil dengan baik dan benar</v>
      </c>
      <c r="EF12" s="307" t="str">
        <f t="shared" si="19"/>
        <v xml:space="preserve"> sangat baik  dalam memahami Q.S. al- Falaq dan Q.S. al- Fil dengan baik dan benar</v>
      </c>
      <c r="EG12" s="308" t="str">
        <f t="shared" si="20"/>
        <v xml:space="preserve"> sangat baik  dalam memahami Q.S. al- Falaq dan Q.S. al- Fil dengan baik dan benar</v>
      </c>
      <c r="EH12" s="301" t="str">
        <f t="shared" si="8"/>
        <v>Anak 7 sangat baik  dalam memahami Q.S. al- Falaq dan Q.S. al- Fil dengan baik dan benar</v>
      </c>
      <c r="EI12" s="106" t="e">
        <f>IF(#REF!=1,AS$4," ")</f>
        <v>#REF!</v>
      </c>
      <c r="EJ12" s="106" t="e">
        <f>IF(#REF!=1,AT$4," ")</f>
        <v>#REF!</v>
      </c>
      <c r="EK12" s="106" t="e">
        <f>IF(#REF!=1,AU$4," ")</f>
        <v>#REF!</v>
      </c>
      <c r="EL12" s="106" t="e">
        <f>IF(#REF!=1,AV$4," ")</f>
        <v>#REF!</v>
      </c>
      <c r="EM12" s="106" t="e">
        <f>IF(#REF!=1,AW$4," ")</f>
        <v>#REF!</v>
      </c>
      <c r="EN12" s="106" t="e">
        <f>IF(#REF!=1,AX$4," ")</f>
        <v>#REF!</v>
      </c>
      <c r="EO12" s="106" t="e">
        <f>IF(#REF!=1,AY$4," ")</f>
        <v>#REF!</v>
      </c>
      <c r="EP12" s="106" t="e">
        <f>IF(#REF!=1,#REF!," ")</f>
        <v>#REF!</v>
      </c>
      <c r="EQ12" s="106" t="e">
        <f>IF(#REF!=1,#REF!," ")</f>
        <v>#REF!</v>
      </c>
      <c r="ER12" s="106" t="e">
        <f>IF(#REF!=1,DT$4," ")</f>
        <v>#REF!</v>
      </c>
      <c r="ES12" s="408">
        <f t="shared" si="21"/>
        <v>99</v>
      </c>
      <c r="EX12" s="302">
        <f t="shared" si="22"/>
        <v>99</v>
      </c>
      <c r="EY12" s="303" t="str">
        <f>IF(EX12&gt;KKM!$G$10,"A",IF(EX12&gt;KKM!$H$10,"B",IF(EX12&gt;=KKM!$I$10,"C","D")))</f>
        <v>A</v>
      </c>
      <c r="EZ12" s="523">
        <f t="shared" si="23"/>
        <v>99</v>
      </c>
      <c r="FA12" s="115" t="str">
        <f>IF(EZ12&gt;KKM!$G$10," sangat baik ",IF(EZ12&gt;KKM!$H$10," baik ",IF(EZ12&gt;=KKM!$I$10," cukup baik "," perlu bimbingan ")))</f>
        <v xml:space="preserve"> sangat baik </v>
      </c>
      <c r="FB12" s="524">
        <f t="shared" si="24"/>
        <v>99</v>
      </c>
      <c r="FC12" s="115" t="str">
        <f>IF(FB12&gt;KKM!$G$10," sangat baik ",IF(FB12&gt;KKM!$H$10," baik ",IF(FB12&gt;=KKM!$I$10," cukup baik "," perlu bimbingan ")))</f>
        <v xml:space="preserve"> sangat baik </v>
      </c>
      <c r="FD12" s="301" t="str">
        <f t="shared" si="25"/>
        <v>Anak 7 sangat baik  dalam memahami Q.S. al- Falaq dan Q.S. al- Fil dengan baik dan benar</v>
      </c>
      <c r="FE12" s="307" t="str">
        <f t="shared" si="26"/>
        <v xml:space="preserve"> sangat baik  dalam memahami Q.S. al- Falaq dan Q.S. al- Fil dengan baik dan benar</v>
      </c>
      <c r="FF12" s="307" t="str">
        <f t="shared" si="27"/>
        <v xml:space="preserve"> sangat baik  dalam memahami Q.S. al- Falaq dan Q.S. al- Fil dengan baik dan benar</v>
      </c>
      <c r="FG12" s="307" t="str">
        <f t="shared" si="28"/>
        <v xml:space="preserve"> sangat baik  dalam memahami Q.S. al- Falaq dan Q.S. al- Fil dengan baik dan benar, dan  sangat baik  dalam memahami Q.S. al- Falaq dan Q.S. al- Fil dengan baik dan benar</v>
      </c>
      <c r="FH12" s="307" t="str">
        <f t="shared" si="29"/>
        <v xml:space="preserve"> sangat baik  dalam memahami Q.S. al- Falaq dan Q.S. al- Fil dengan baik dan benar</v>
      </c>
      <c r="FI12" s="308" t="str">
        <f t="shared" si="30"/>
        <v xml:space="preserve"> sangat baik  dalam memahami Q.S. al- Falaq dan Q.S. al- Fil dengan baik dan benar</v>
      </c>
      <c r="FJ12" s="301" t="str">
        <f t="shared" si="31"/>
        <v>Anak 7 sangat baik  dalam memahami Q.S. al- Falaq dan Q.S. al- Fil dengan baik dan benar</v>
      </c>
      <c r="FQ12" s="408"/>
    </row>
    <row r="13" spans="1:173" ht="63" customHeight="1">
      <c r="B13" s="109">
        <v>8</v>
      </c>
      <c r="C13" s="110">
        <f>SISWA!B13</f>
        <v>0</v>
      </c>
      <c r="D13" s="111" t="str">
        <f>SISWA!E13</f>
        <v>Anak 8</v>
      </c>
      <c r="E13" s="631">
        <v>99</v>
      </c>
      <c r="F13" s="631">
        <v>99</v>
      </c>
      <c r="G13" s="631">
        <v>99</v>
      </c>
      <c r="H13" s="605"/>
      <c r="I13" s="605"/>
      <c r="J13" s="605"/>
      <c r="K13" s="605"/>
      <c r="L13" s="605"/>
      <c r="M13" s="605"/>
      <c r="N13" s="605"/>
      <c r="O13" s="605"/>
      <c r="P13" s="605"/>
      <c r="Q13" s="605"/>
      <c r="R13" s="631">
        <v>99</v>
      </c>
      <c r="S13" s="631">
        <v>99</v>
      </c>
      <c r="T13" s="631">
        <v>99</v>
      </c>
      <c r="U13" s="606"/>
      <c r="V13" s="606"/>
      <c r="W13" s="606"/>
      <c r="X13" s="606"/>
      <c r="Y13" s="606"/>
      <c r="Z13" s="606"/>
      <c r="AA13" s="606"/>
      <c r="AB13" s="606"/>
      <c r="AC13" s="606"/>
      <c r="AD13" s="631">
        <v>99</v>
      </c>
      <c r="AE13" s="631">
        <v>99</v>
      </c>
      <c r="AF13" s="631">
        <v>99</v>
      </c>
      <c r="AG13" s="605"/>
      <c r="AH13" s="605"/>
      <c r="AI13" s="605"/>
      <c r="AJ13" s="605"/>
      <c r="AK13" s="605"/>
      <c r="AL13" s="605"/>
      <c r="AM13" s="605"/>
      <c r="AN13" s="605"/>
      <c r="AO13" s="605"/>
      <c r="AP13" s="605"/>
      <c r="AQ13" s="728">
        <f t="shared" si="9"/>
        <v>99</v>
      </c>
      <c r="AR13" s="728">
        <f t="shared" si="10"/>
        <v>99</v>
      </c>
      <c r="AS13" s="728">
        <f t="shared" si="11"/>
        <v>99</v>
      </c>
      <c r="AT13" s="728" t="str">
        <f t="shared" si="12"/>
        <v/>
      </c>
      <c r="AU13" s="728" t="str">
        <f t="shared" si="13"/>
        <v/>
      </c>
      <c r="AV13" s="728" t="str">
        <f t="shared" si="14"/>
        <v/>
      </c>
      <c r="AW13" s="728" t="str">
        <f t="shared" si="15"/>
        <v/>
      </c>
      <c r="AX13" s="728" t="str">
        <f t="shared" si="16"/>
        <v/>
      </c>
      <c r="AY13" s="615"/>
      <c r="AZ13" s="615"/>
      <c r="BA13" s="615"/>
      <c r="BB13" s="615"/>
      <c r="BC13" s="615"/>
      <c r="BD13" s="124"/>
      <c r="BE13" s="124"/>
      <c r="BF13" s="124"/>
      <c r="BG13" s="124"/>
      <c r="BH13" s="124"/>
      <c r="BI13" s="124"/>
      <c r="BJ13" s="124"/>
      <c r="BK13" s="124"/>
      <c r="BL13" s="332"/>
      <c r="BM13" s="332"/>
      <c r="BN13" s="332"/>
      <c r="BO13" s="332"/>
      <c r="BP13" s="332"/>
      <c r="BQ13" s="332"/>
      <c r="BR13" s="332"/>
      <c r="BS13" s="332"/>
      <c r="BT13" s="332"/>
      <c r="BU13" s="332"/>
      <c r="BV13" s="332"/>
      <c r="BW13" s="332"/>
      <c r="BX13" s="124"/>
      <c r="BY13" s="124"/>
      <c r="BZ13" s="124"/>
      <c r="CA13" s="124"/>
      <c r="CB13" s="124"/>
      <c r="CC13" s="124"/>
      <c r="CD13" s="124"/>
      <c r="CE13" s="124"/>
      <c r="CF13" s="124"/>
      <c r="CG13" s="124"/>
      <c r="CH13" s="124"/>
      <c r="CI13" s="124"/>
      <c r="CJ13" s="332"/>
      <c r="CK13" s="332"/>
      <c r="CL13" s="332"/>
      <c r="CM13" s="332"/>
      <c r="CN13" s="332"/>
      <c r="CO13" s="332"/>
      <c r="CP13" s="332"/>
      <c r="CQ13" s="332"/>
      <c r="CR13" s="332"/>
      <c r="CS13" s="332"/>
      <c r="CT13" s="332"/>
      <c r="CU13" s="332"/>
      <c r="CV13" s="124"/>
      <c r="CW13" s="124"/>
      <c r="CX13" s="124"/>
      <c r="CY13" s="124"/>
      <c r="CZ13" s="124"/>
      <c r="DA13" s="124"/>
      <c r="DB13" s="124"/>
      <c r="DC13" s="124"/>
      <c r="DD13" s="124"/>
      <c r="DE13" s="124"/>
      <c r="DF13" s="124"/>
      <c r="DG13" s="124"/>
      <c r="DH13" s="332"/>
      <c r="DI13" s="332"/>
      <c r="DJ13" s="332"/>
      <c r="DK13" s="332"/>
      <c r="DL13" s="332"/>
      <c r="DM13" s="332"/>
      <c r="DN13" s="604"/>
      <c r="DO13" s="604"/>
      <c r="DP13" s="604"/>
      <c r="DQ13" s="604"/>
      <c r="DR13" s="604"/>
      <c r="DS13" s="604"/>
      <c r="DT13" s="722"/>
      <c r="DU13" s="302">
        <f t="shared" si="4"/>
        <v>99</v>
      </c>
      <c r="DV13" s="303" t="str">
        <f>IF(DU13&gt;KKM!$G$10,"A",IF(DU13&gt;KKM!$H$10,"B",IF(DU13&gt;=KKM!$I$10,"C","D")))</f>
        <v>A</v>
      </c>
      <c r="DW13" s="304">
        <f t="shared" si="5"/>
        <v>99</v>
      </c>
      <c r="DX13" s="115" t="str">
        <f>IF(DW13&gt;KKM!$G$10," sangat baik ",IF(DW13&gt;KKM!$H$10," baik ",IF(DW13&gt;=KKM!$I$10," cukup baik "," perlu bimbingan ")))</f>
        <v xml:space="preserve"> sangat baik </v>
      </c>
      <c r="DY13" s="305">
        <f t="shared" si="6"/>
        <v>99</v>
      </c>
      <c r="DZ13" s="115" t="str">
        <f>IF(DY13&gt;KKM!$G$10," sangat baik ",IF(DY13&gt;KKM!$H$10," baik ",IF(DY13&gt;=KKM!$I$10," cukup baik "," perlu bimbingan ")))</f>
        <v xml:space="preserve"> sangat baik </v>
      </c>
      <c r="EA13" s="301" t="str">
        <f t="shared" si="32"/>
        <v>Anak 8 sangat baik  dalam memahami Q.S. al- Falaq dan Q.S. al- Fil dengan baik dan benar</v>
      </c>
      <c r="EB13" s="424"/>
      <c r="EC13" s="307" t="str">
        <f t="shared" si="17"/>
        <v xml:space="preserve"> sangat baik  dalam memahami Q.S. al- Falaq dan Q.S. al- Fil dengan baik dan benar</v>
      </c>
      <c r="ED13" s="307" t="str">
        <f t="shared" si="7"/>
        <v xml:space="preserve"> sangat baik  dalam memahami Q.S. al- Falaq dan Q.S. al- Fil dengan baik dan benar</v>
      </c>
      <c r="EE13" s="307" t="str">
        <f t="shared" si="18"/>
        <v xml:space="preserve"> sangat baik  dalam memahami Q.S. al- Falaq dan Q.S. al- Fil dengan baik dan benar, dan  sangat baik  dalam memahami Q.S. al- Falaq dan Q.S. al- Fil dengan baik dan benar</v>
      </c>
      <c r="EF13" s="307" t="str">
        <f t="shared" si="19"/>
        <v xml:space="preserve"> sangat baik  dalam memahami Q.S. al- Falaq dan Q.S. al- Fil dengan baik dan benar</v>
      </c>
      <c r="EG13" s="308" t="str">
        <f t="shared" si="20"/>
        <v xml:space="preserve"> sangat baik  dalam memahami Q.S. al- Falaq dan Q.S. al- Fil dengan baik dan benar</v>
      </c>
      <c r="EH13" s="301" t="str">
        <f t="shared" si="8"/>
        <v>Anak 8 sangat baik  dalam memahami Q.S. al- Falaq dan Q.S. al- Fil dengan baik dan benar</v>
      </c>
      <c r="EI13" s="106" t="e">
        <f>IF(#REF!=1,AS$4," ")</f>
        <v>#REF!</v>
      </c>
      <c r="EJ13" s="106" t="e">
        <f>IF(#REF!=1,AT$4," ")</f>
        <v>#REF!</v>
      </c>
      <c r="EK13" s="106" t="e">
        <f>IF(#REF!=1,AU$4," ")</f>
        <v>#REF!</v>
      </c>
      <c r="EL13" s="106" t="e">
        <f>IF(#REF!=1,AV$4," ")</f>
        <v>#REF!</v>
      </c>
      <c r="EM13" s="106" t="e">
        <f>IF(#REF!=1,AW$4," ")</f>
        <v>#REF!</v>
      </c>
      <c r="EN13" s="106" t="e">
        <f>IF(#REF!=1,AX$4," ")</f>
        <v>#REF!</v>
      </c>
      <c r="EO13" s="106" t="e">
        <f>IF(#REF!=1,AY$4," ")</f>
        <v>#REF!</v>
      </c>
      <c r="EP13" s="106" t="e">
        <f>IF(#REF!=1,#REF!," ")</f>
        <v>#REF!</v>
      </c>
      <c r="EQ13" s="106" t="e">
        <f>IF(#REF!=1,#REF!," ")</f>
        <v>#REF!</v>
      </c>
      <c r="ER13" s="106" t="e">
        <f>IF(#REF!=1,DT$4," ")</f>
        <v>#REF!</v>
      </c>
      <c r="ES13" s="408">
        <f t="shared" si="21"/>
        <v>99</v>
      </c>
      <c r="EX13" s="302">
        <f t="shared" si="22"/>
        <v>99</v>
      </c>
      <c r="EY13" s="303" t="str">
        <f>IF(EX13&gt;KKM!$G$10,"A",IF(EX13&gt;KKM!$H$10,"B",IF(EX13&gt;=KKM!$I$10,"C","D")))</f>
        <v>A</v>
      </c>
      <c r="EZ13" s="523">
        <f t="shared" si="23"/>
        <v>99</v>
      </c>
      <c r="FA13" s="115" t="str">
        <f>IF(EZ13&gt;KKM!$G$10," sangat baik ",IF(EZ13&gt;KKM!$H$10," baik ",IF(EZ13&gt;=KKM!$I$10," cukup baik "," perlu bimbingan ")))</f>
        <v xml:space="preserve"> sangat baik </v>
      </c>
      <c r="FB13" s="524">
        <f t="shared" si="24"/>
        <v>99</v>
      </c>
      <c r="FC13" s="115" t="str">
        <f>IF(FB13&gt;KKM!$G$10," sangat baik ",IF(FB13&gt;KKM!$H$10," baik ",IF(FB13&gt;=KKM!$I$10," cukup baik "," perlu bimbingan ")))</f>
        <v xml:space="preserve"> sangat baik </v>
      </c>
      <c r="FD13" s="301" t="str">
        <f t="shared" si="25"/>
        <v>Anak 8 sangat baik  dalam memahami Q.S. al- Falaq dan Q.S. al- Fil dengan baik dan benar</v>
      </c>
      <c r="FE13" s="307" t="str">
        <f t="shared" si="26"/>
        <v xml:space="preserve"> sangat baik  dalam memahami Q.S. al- Falaq dan Q.S. al- Fil dengan baik dan benar</v>
      </c>
      <c r="FF13" s="307" t="str">
        <f t="shared" si="27"/>
        <v xml:space="preserve"> sangat baik  dalam memahami Q.S. al- Falaq dan Q.S. al- Fil dengan baik dan benar</v>
      </c>
      <c r="FG13" s="307" t="str">
        <f t="shared" si="28"/>
        <v xml:space="preserve"> sangat baik  dalam memahami Q.S. al- Falaq dan Q.S. al- Fil dengan baik dan benar, dan  sangat baik  dalam memahami Q.S. al- Falaq dan Q.S. al- Fil dengan baik dan benar</v>
      </c>
      <c r="FH13" s="307" t="str">
        <f t="shared" si="29"/>
        <v xml:space="preserve"> sangat baik  dalam memahami Q.S. al- Falaq dan Q.S. al- Fil dengan baik dan benar</v>
      </c>
      <c r="FI13" s="308" t="str">
        <f t="shared" si="30"/>
        <v xml:space="preserve"> sangat baik  dalam memahami Q.S. al- Falaq dan Q.S. al- Fil dengan baik dan benar</v>
      </c>
      <c r="FJ13" s="301" t="str">
        <f t="shared" si="31"/>
        <v>Anak 8 sangat baik  dalam memahami Q.S. al- Falaq dan Q.S. al- Fil dengan baik dan benar</v>
      </c>
      <c r="FQ13" s="408"/>
    </row>
    <row r="14" spans="1:173" ht="63" customHeight="1">
      <c r="B14" s="109">
        <v>9</v>
      </c>
      <c r="C14" s="110">
        <f>SISWA!B14</f>
        <v>0</v>
      </c>
      <c r="D14" s="111" t="str">
        <f>SISWA!E14</f>
        <v>Anak 9</v>
      </c>
      <c r="E14" s="631">
        <v>99</v>
      </c>
      <c r="F14" s="631">
        <v>99</v>
      </c>
      <c r="G14" s="631">
        <v>99</v>
      </c>
      <c r="H14" s="605"/>
      <c r="I14" s="605"/>
      <c r="J14" s="605"/>
      <c r="K14" s="605"/>
      <c r="L14" s="605"/>
      <c r="M14" s="605"/>
      <c r="N14" s="605"/>
      <c r="O14" s="605"/>
      <c r="P14" s="605"/>
      <c r="Q14" s="605"/>
      <c r="R14" s="631">
        <v>99</v>
      </c>
      <c r="S14" s="631">
        <v>99</v>
      </c>
      <c r="T14" s="631">
        <v>99</v>
      </c>
      <c r="U14" s="606"/>
      <c r="V14" s="606"/>
      <c r="W14" s="606"/>
      <c r="X14" s="606"/>
      <c r="Y14" s="606"/>
      <c r="Z14" s="606"/>
      <c r="AA14" s="606"/>
      <c r="AB14" s="606"/>
      <c r="AC14" s="606"/>
      <c r="AD14" s="631">
        <v>99</v>
      </c>
      <c r="AE14" s="631">
        <v>99</v>
      </c>
      <c r="AF14" s="631">
        <v>99</v>
      </c>
      <c r="AG14" s="605"/>
      <c r="AH14" s="605"/>
      <c r="AI14" s="605"/>
      <c r="AJ14" s="605"/>
      <c r="AK14" s="605"/>
      <c r="AL14" s="605"/>
      <c r="AM14" s="605"/>
      <c r="AN14" s="605"/>
      <c r="AO14" s="605"/>
      <c r="AP14" s="605"/>
      <c r="AQ14" s="728">
        <f t="shared" si="9"/>
        <v>99</v>
      </c>
      <c r="AR14" s="728">
        <f t="shared" si="10"/>
        <v>99</v>
      </c>
      <c r="AS14" s="728">
        <f t="shared" si="11"/>
        <v>99</v>
      </c>
      <c r="AT14" s="728" t="str">
        <f t="shared" si="12"/>
        <v/>
      </c>
      <c r="AU14" s="728" t="str">
        <f t="shared" si="13"/>
        <v/>
      </c>
      <c r="AV14" s="728" t="str">
        <f t="shared" si="14"/>
        <v/>
      </c>
      <c r="AW14" s="728" t="str">
        <f t="shared" si="15"/>
        <v/>
      </c>
      <c r="AX14" s="728" t="str">
        <f t="shared" si="16"/>
        <v/>
      </c>
      <c r="AY14" s="615"/>
      <c r="AZ14" s="615"/>
      <c r="BA14" s="615"/>
      <c r="BB14" s="615"/>
      <c r="BC14" s="615"/>
      <c r="BD14" s="124"/>
      <c r="BE14" s="124"/>
      <c r="BF14" s="124"/>
      <c r="BG14" s="124"/>
      <c r="BH14" s="124"/>
      <c r="BI14" s="124"/>
      <c r="BJ14" s="124"/>
      <c r="BK14" s="124"/>
      <c r="BL14" s="332"/>
      <c r="BM14" s="332"/>
      <c r="BN14" s="332"/>
      <c r="BO14" s="332"/>
      <c r="BP14" s="332"/>
      <c r="BQ14" s="332"/>
      <c r="BR14" s="332"/>
      <c r="BS14" s="332"/>
      <c r="BT14" s="332"/>
      <c r="BU14" s="332"/>
      <c r="BV14" s="332"/>
      <c r="BW14" s="332"/>
      <c r="BX14" s="124"/>
      <c r="BY14" s="124"/>
      <c r="BZ14" s="124"/>
      <c r="CA14" s="124"/>
      <c r="CB14" s="124"/>
      <c r="CC14" s="124"/>
      <c r="CD14" s="124"/>
      <c r="CE14" s="124"/>
      <c r="CF14" s="124"/>
      <c r="CG14" s="124"/>
      <c r="CH14" s="124"/>
      <c r="CI14" s="124"/>
      <c r="CJ14" s="332"/>
      <c r="CK14" s="332"/>
      <c r="CL14" s="332"/>
      <c r="CM14" s="332"/>
      <c r="CN14" s="332"/>
      <c r="CO14" s="332"/>
      <c r="CP14" s="332"/>
      <c r="CQ14" s="332"/>
      <c r="CR14" s="332"/>
      <c r="CS14" s="332"/>
      <c r="CT14" s="332"/>
      <c r="CU14" s="332"/>
      <c r="CV14" s="124"/>
      <c r="CW14" s="124"/>
      <c r="CX14" s="124"/>
      <c r="CY14" s="124"/>
      <c r="CZ14" s="124"/>
      <c r="DA14" s="124"/>
      <c r="DB14" s="124"/>
      <c r="DC14" s="124"/>
      <c r="DD14" s="124"/>
      <c r="DE14" s="124"/>
      <c r="DF14" s="124"/>
      <c r="DG14" s="124"/>
      <c r="DH14" s="332"/>
      <c r="DI14" s="332"/>
      <c r="DJ14" s="332"/>
      <c r="DK14" s="332"/>
      <c r="DL14" s="332"/>
      <c r="DM14" s="332"/>
      <c r="DN14" s="604"/>
      <c r="DO14" s="604"/>
      <c r="DP14" s="604"/>
      <c r="DQ14" s="604"/>
      <c r="DR14" s="604"/>
      <c r="DS14" s="604"/>
      <c r="DT14" s="722"/>
      <c r="DU14" s="302">
        <f t="shared" si="4"/>
        <v>99</v>
      </c>
      <c r="DV14" s="303" t="str">
        <f>IF(DU14&gt;KKM!$G$10,"A",IF(DU14&gt;KKM!$H$10,"B",IF(DU14&gt;=KKM!$I$10,"C","D")))</f>
        <v>A</v>
      </c>
      <c r="DW14" s="304">
        <f t="shared" si="5"/>
        <v>99</v>
      </c>
      <c r="DX14" s="115" t="str">
        <f>IF(DW14&gt;KKM!$G$10," sangat baik ",IF(DW14&gt;KKM!$H$10," baik ",IF(DW14&gt;=KKM!$I$10," cukup baik "," perlu bimbingan ")))</f>
        <v xml:space="preserve"> sangat baik </v>
      </c>
      <c r="DY14" s="305">
        <f t="shared" si="6"/>
        <v>99</v>
      </c>
      <c r="DZ14" s="115" t="str">
        <f>IF(DY14&gt;KKM!$G$10," sangat baik ",IF(DY14&gt;KKM!$H$10," baik ",IF(DY14&gt;=KKM!$I$10," cukup baik "," perlu bimbingan ")))</f>
        <v xml:space="preserve"> sangat baik </v>
      </c>
      <c r="EA14" s="301" t="str">
        <f t="shared" si="32"/>
        <v>Anak 9 sangat baik  dalam memahami Q.S. al- Falaq dan Q.S. al- Fil dengan baik dan benar</v>
      </c>
      <c r="EB14" s="424"/>
      <c r="EC14" s="307" t="str">
        <f t="shared" si="17"/>
        <v xml:space="preserve"> sangat baik  dalam memahami Q.S. al- Falaq dan Q.S. al- Fil dengan baik dan benar</v>
      </c>
      <c r="ED14" s="307" t="str">
        <f t="shared" si="7"/>
        <v xml:space="preserve"> sangat baik  dalam memahami Q.S. al- Falaq dan Q.S. al- Fil dengan baik dan benar</v>
      </c>
      <c r="EE14" s="307" t="str">
        <f t="shared" si="18"/>
        <v xml:space="preserve"> sangat baik  dalam memahami Q.S. al- Falaq dan Q.S. al- Fil dengan baik dan benar, dan  sangat baik  dalam memahami Q.S. al- Falaq dan Q.S. al- Fil dengan baik dan benar</v>
      </c>
      <c r="EF14" s="307" t="str">
        <f t="shared" si="19"/>
        <v xml:space="preserve"> sangat baik  dalam memahami Q.S. al- Falaq dan Q.S. al- Fil dengan baik dan benar</v>
      </c>
      <c r="EG14" s="308" t="str">
        <f t="shared" si="20"/>
        <v xml:space="preserve"> sangat baik  dalam memahami Q.S. al- Falaq dan Q.S. al- Fil dengan baik dan benar</v>
      </c>
      <c r="EH14" s="301" t="str">
        <f t="shared" si="8"/>
        <v>Anak 9 sangat baik  dalam memahami Q.S. al- Falaq dan Q.S. al- Fil dengan baik dan benar</v>
      </c>
      <c r="EI14" s="106" t="e">
        <f>IF(#REF!=1,AS$4," ")</f>
        <v>#REF!</v>
      </c>
      <c r="EJ14" s="106" t="e">
        <f>IF(#REF!=1,AT$4," ")</f>
        <v>#REF!</v>
      </c>
      <c r="EK14" s="106" t="e">
        <f>IF(#REF!=1,AU$4," ")</f>
        <v>#REF!</v>
      </c>
      <c r="EL14" s="106" t="e">
        <f>IF(#REF!=1,AV$4," ")</f>
        <v>#REF!</v>
      </c>
      <c r="EM14" s="106" t="e">
        <f>IF(#REF!=1,AW$4," ")</f>
        <v>#REF!</v>
      </c>
      <c r="EN14" s="106" t="e">
        <f>IF(#REF!=1,AX$4," ")</f>
        <v>#REF!</v>
      </c>
      <c r="EO14" s="106" t="e">
        <f>IF(#REF!=1,AY$4," ")</f>
        <v>#REF!</v>
      </c>
      <c r="EP14" s="106" t="e">
        <f>IF(#REF!=1,#REF!," ")</f>
        <v>#REF!</v>
      </c>
      <c r="EQ14" s="106" t="e">
        <f>IF(#REF!=1,#REF!," ")</f>
        <v>#REF!</v>
      </c>
      <c r="ER14" s="106" t="e">
        <f>IF(#REF!=1,DT$4," ")</f>
        <v>#REF!</v>
      </c>
      <c r="ES14" s="408">
        <f t="shared" si="21"/>
        <v>99</v>
      </c>
      <c r="EX14" s="302">
        <f t="shared" si="22"/>
        <v>99</v>
      </c>
      <c r="EY14" s="303" t="str">
        <f>IF(EX14&gt;KKM!$G$10,"A",IF(EX14&gt;KKM!$H$10,"B",IF(EX14&gt;=KKM!$I$10,"C","D")))</f>
        <v>A</v>
      </c>
      <c r="EZ14" s="523">
        <f t="shared" si="23"/>
        <v>99</v>
      </c>
      <c r="FA14" s="115" t="str">
        <f>IF(EZ14&gt;KKM!$G$10," sangat baik ",IF(EZ14&gt;KKM!$H$10," baik ",IF(EZ14&gt;=KKM!$I$10," cukup baik "," perlu bimbingan ")))</f>
        <v xml:space="preserve"> sangat baik </v>
      </c>
      <c r="FB14" s="524">
        <f t="shared" si="24"/>
        <v>99</v>
      </c>
      <c r="FC14" s="115" t="str">
        <f>IF(FB14&gt;KKM!$G$10," sangat baik ",IF(FB14&gt;KKM!$H$10," baik ",IF(FB14&gt;=KKM!$I$10," cukup baik "," perlu bimbingan ")))</f>
        <v xml:space="preserve"> sangat baik </v>
      </c>
      <c r="FD14" s="301" t="str">
        <f t="shared" si="25"/>
        <v>Anak 9 sangat baik  dalam memahami Q.S. al- Falaq dan Q.S. al- Fil dengan baik dan benar</v>
      </c>
      <c r="FE14" s="307" t="str">
        <f t="shared" si="26"/>
        <v xml:space="preserve"> sangat baik  dalam memahami Q.S. al- Falaq dan Q.S. al- Fil dengan baik dan benar</v>
      </c>
      <c r="FF14" s="307" t="str">
        <f t="shared" si="27"/>
        <v xml:space="preserve"> sangat baik  dalam memahami Q.S. al- Falaq dan Q.S. al- Fil dengan baik dan benar</v>
      </c>
      <c r="FG14" s="307" t="str">
        <f t="shared" si="28"/>
        <v xml:space="preserve"> sangat baik  dalam memahami Q.S. al- Falaq dan Q.S. al- Fil dengan baik dan benar, dan  sangat baik  dalam memahami Q.S. al- Falaq dan Q.S. al- Fil dengan baik dan benar</v>
      </c>
      <c r="FH14" s="307" t="str">
        <f t="shared" si="29"/>
        <v xml:space="preserve"> sangat baik  dalam memahami Q.S. al- Falaq dan Q.S. al- Fil dengan baik dan benar</v>
      </c>
      <c r="FI14" s="308" t="str">
        <f t="shared" si="30"/>
        <v xml:space="preserve"> sangat baik  dalam memahami Q.S. al- Falaq dan Q.S. al- Fil dengan baik dan benar</v>
      </c>
      <c r="FJ14" s="301" t="str">
        <f t="shared" si="31"/>
        <v>Anak 9 sangat baik  dalam memahami Q.S. al- Falaq dan Q.S. al- Fil dengan baik dan benar</v>
      </c>
      <c r="FQ14" s="408"/>
    </row>
    <row r="15" spans="1:173" ht="63" customHeight="1">
      <c r="B15" s="109">
        <v>10</v>
      </c>
      <c r="C15" s="110">
        <f>SISWA!B15</f>
        <v>0</v>
      </c>
      <c r="D15" s="111" t="str">
        <f>SISWA!E15</f>
        <v>Anak 10</v>
      </c>
      <c r="E15" s="631">
        <v>99</v>
      </c>
      <c r="F15" s="631">
        <v>99</v>
      </c>
      <c r="G15" s="631">
        <v>99</v>
      </c>
      <c r="H15" s="605"/>
      <c r="I15" s="605"/>
      <c r="J15" s="605"/>
      <c r="K15" s="605"/>
      <c r="L15" s="605"/>
      <c r="M15" s="605"/>
      <c r="N15" s="605"/>
      <c r="O15" s="605"/>
      <c r="P15" s="605"/>
      <c r="Q15" s="605"/>
      <c r="R15" s="631">
        <v>99</v>
      </c>
      <c r="S15" s="631">
        <v>99</v>
      </c>
      <c r="T15" s="631">
        <v>99</v>
      </c>
      <c r="U15" s="606"/>
      <c r="V15" s="606"/>
      <c r="W15" s="606"/>
      <c r="X15" s="606"/>
      <c r="Y15" s="606"/>
      <c r="Z15" s="606"/>
      <c r="AA15" s="606"/>
      <c r="AB15" s="606"/>
      <c r="AC15" s="606"/>
      <c r="AD15" s="631">
        <v>99</v>
      </c>
      <c r="AE15" s="631">
        <v>99</v>
      </c>
      <c r="AF15" s="631">
        <v>99</v>
      </c>
      <c r="AG15" s="605"/>
      <c r="AH15" s="605"/>
      <c r="AI15" s="605"/>
      <c r="AJ15" s="605"/>
      <c r="AK15" s="605"/>
      <c r="AL15" s="605"/>
      <c r="AM15" s="605"/>
      <c r="AN15" s="605"/>
      <c r="AO15" s="605"/>
      <c r="AP15" s="605"/>
      <c r="AQ15" s="728">
        <f t="shared" si="9"/>
        <v>99</v>
      </c>
      <c r="AR15" s="728">
        <f t="shared" si="10"/>
        <v>99</v>
      </c>
      <c r="AS15" s="728">
        <f t="shared" si="11"/>
        <v>99</v>
      </c>
      <c r="AT15" s="728" t="str">
        <f t="shared" si="12"/>
        <v/>
      </c>
      <c r="AU15" s="728" t="str">
        <f t="shared" si="13"/>
        <v/>
      </c>
      <c r="AV15" s="728" t="str">
        <f t="shared" si="14"/>
        <v/>
      </c>
      <c r="AW15" s="728" t="str">
        <f t="shared" si="15"/>
        <v/>
      </c>
      <c r="AX15" s="728" t="str">
        <f t="shared" si="16"/>
        <v/>
      </c>
      <c r="AY15" s="615"/>
      <c r="AZ15" s="615"/>
      <c r="BA15" s="615"/>
      <c r="BB15" s="615"/>
      <c r="BC15" s="615"/>
      <c r="BD15" s="124"/>
      <c r="BE15" s="124"/>
      <c r="BF15" s="124"/>
      <c r="BG15" s="124"/>
      <c r="BH15" s="124"/>
      <c r="BI15" s="124"/>
      <c r="BJ15" s="124"/>
      <c r="BK15" s="124"/>
      <c r="BL15" s="332"/>
      <c r="BM15" s="332"/>
      <c r="BN15" s="332"/>
      <c r="BO15" s="332"/>
      <c r="BP15" s="332"/>
      <c r="BQ15" s="332"/>
      <c r="BR15" s="332"/>
      <c r="BS15" s="332"/>
      <c r="BT15" s="332"/>
      <c r="BU15" s="332"/>
      <c r="BV15" s="332"/>
      <c r="BW15" s="332"/>
      <c r="BX15" s="124"/>
      <c r="BY15" s="124"/>
      <c r="BZ15" s="124"/>
      <c r="CA15" s="124"/>
      <c r="CB15" s="124"/>
      <c r="CC15" s="124"/>
      <c r="CD15" s="124"/>
      <c r="CE15" s="124"/>
      <c r="CF15" s="124"/>
      <c r="CG15" s="124"/>
      <c r="CH15" s="124"/>
      <c r="CI15" s="124"/>
      <c r="CJ15" s="332"/>
      <c r="CK15" s="332"/>
      <c r="CL15" s="332"/>
      <c r="CM15" s="332"/>
      <c r="CN15" s="332"/>
      <c r="CO15" s="332"/>
      <c r="CP15" s="332"/>
      <c r="CQ15" s="332"/>
      <c r="CR15" s="332"/>
      <c r="CS15" s="332"/>
      <c r="CT15" s="332"/>
      <c r="CU15" s="332"/>
      <c r="CV15" s="124"/>
      <c r="CW15" s="124"/>
      <c r="CX15" s="124"/>
      <c r="CY15" s="124"/>
      <c r="CZ15" s="124"/>
      <c r="DA15" s="124"/>
      <c r="DB15" s="124"/>
      <c r="DC15" s="124"/>
      <c r="DD15" s="124"/>
      <c r="DE15" s="124"/>
      <c r="DF15" s="124"/>
      <c r="DG15" s="124"/>
      <c r="DH15" s="332"/>
      <c r="DI15" s="332"/>
      <c r="DJ15" s="332"/>
      <c r="DK15" s="332"/>
      <c r="DL15" s="332"/>
      <c r="DM15" s="332"/>
      <c r="DN15" s="604"/>
      <c r="DO15" s="604"/>
      <c r="DP15" s="604"/>
      <c r="DQ15" s="604"/>
      <c r="DR15" s="604"/>
      <c r="DS15" s="604"/>
      <c r="DT15" s="722"/>
      <c r="DU15" s="302">
        <f t="shared" si="4"/>
        <v>99</v>
      </c>
      <c r="DV15" s="303" t="str">
        <f>IF(DU15&gt;KKM!$G$10,"A",IF(DU15&gt;KKM!$H$10,"B",IF(DU15&gt;=KKM!$I$10,"C","D")))</f>
        <v>A</v>
      </c>
      <c r="DW15" s="304">
        <f t="shared" si="5"/>
        <v>99</v>
      </c>
      <c r="DX15" s="115" t="str">
        <f>IF(DW15&gt;KKM!$G$10," sangat baik ",IF(DW15&gt;KKM!$H$10," baik ",IF(DW15&gt;=KKM!$I$10," cukup baik "," perlu bimbingan ")))</f>
        <v xml:space="preserve"> sangat baik </v>
      </c>
      <c r="DY15" s="305">
        <f t="shared" si="6"/>
        <v>99</v>
      </c>
      <c r="DZ15" s="115" t="str">
        <f>IF(DY15&gt;KKM!$G$10," sangat baik ",IF(DY15&gt;KKM!$H$10," baik ",IF(DY15&gt;=KKM!$I$10," cukup baik "," perlu bimbingan ")))</f>
        <v xml:space="preserve"> sangat baik </v>
      </c>
      <c r="EA15" s="301" t="str">
        <f t="shared" si="32"/>
        <v>Anak 10 sangat baik  dalam memahami Q.S. al- Falaq dan Q.S. al- Fil dengan baik dan benar</v>
      </c>
      <c r="EB15" s="424"/>
      <c r="EC15" s="307" t="str">
        <f t="shared" si="17"/>
        <v xml:space="preserve"> sangat baik  dalam memahami Q.S. al- Falaq dan Q.S. al- Fil dengan baik dan benar</v>
      </c>
      <c r="ED15" s="307" t="str">
        <f t="shared" si="7"/>
        <v xml:space="preserve"> sangat baik  dalam memahami Q.S. al- Falaq dan Q.S. al- Fil dengan baik dan benar</v>
      </c>
      <c r="EE15" s="307" t="str">
        <f t="shared" si="18"/>
        <v xml:space="preserve"> sangat baik  dalam memahami Q.S. al- Falaq dan Q.S. al- Fil dengan baik dan benar, dan  sangat baik  dalam memahami Q.S. al- Falaq dan Q.S. al- Fil dengan baik dan benar</v>
      </c>
      <c r="EF15" s="307" t="str">
        <f t="shared" si="19"/>
        <v xml:space="preserve"> sangat baik  dalam memahami Q.S. al- Falaq dan Q.S. al- Fil dengan baik dan benar</v>
      </c>
      <c r="EG15" s="308" t="str">
        <f t="shared" si="20"/>
        <v xml:space="preserve"> sangat baik  dalam memahami Q.S. al- Falaq dan Q.S. al- Fil dengan baik dan benar</v>
      </c>
      <c r="EH15" s="301" t="str">
        <f t="shared" si="8"/>
        <v>Anak 10 sangat baik  dalam memahami Q.S. al- Falaq dan Q.S. al- Fil dengan baik dan benar</v>
      </c>
      <c r="EI15" s="106" t="e">
        <f>IF(#REF!=1,AS$4," ")</f>
        <v>#REF!</v>
      </c>
      <c r="EJ15" s="106" t="e">
        <f>IF(#REF!=1,AT$4," ")</f>
        <v>#REF!</v>
      </c>
      <c r="EK15" s="106" t="e">
        <f>IF(#REF!=1,AU$4," ")</f>
        <v>#REF!</v>
      </c>
      <c r="EL15" s="106" t="e">
        <f>IF(#REF!=1,AV$4," ")</f>
        <v>#REF!</v>
      </c>
      <c r="EM15" s="106" t="e">
        <f>IF(#REF!=1,AW$4," ")</f>
        <v>#REF!</v>
      </c>
      <c r="EN15" s="106" t="e">
        <f>IF(#REF!=1,AX$4," ")</f>
        <v>#REF!</v>
      </c>
      <c r="EO15" s="106" t="e">
        <f>IF(#REF!=1,AY$4," ")</f>
        <v>#REF!</v>
      </c>
      <c r="EP15" s="106" t="e">
        <f>IF(#REF!=1,#REF!," ")</f>
        <v>#REF!</v>
      </c>
      <c r="EQ15" s="106" t="e">
        <f>IF(#REF!=1,#REF!," ")</f>
        <v>#REF!</v>
      </c>
      <c r="ER15" s="106" t="e">
        <f>IF(#REF!=1,DT$4," ")</f>
        <v>#REF!</v>
      </c>
      <c r="ES15" s="408">
        <f t="shared" si="21"/>
        <v>99</v>
      </c>
      <c r="EX15" s="302">
        <f t="shared" si="22"/>
        <v>99</v>
      </c>
      <c r="EY15" s="303" t="str">
        <f>IF(EX15&gt;KKM!$G$10,"A",IF(EX15&gt;KKM!$H$10,"B",IF(EX15&gt;=KKM!$I$10,"C","D")))</f>
        <v>A</v>
      </c>
      <c r="EZ15" s="523">
        <f t="shared" si="23"/>
        <v>99</v>
      </c>
      <c r="FA15" s="115" t="str">
        <f>IF(EZ15&gt;KKM!$G$10," sangat baik ",IF(EZ15&gt;KKM!$H$10," baik ",IF(EZ15&gt;=KKM!$I$10," cukup baik "," perlu bimbingan ")))</f>
        <v xml:space="preserve"> sangat baik </v>
      </c>
      <c r="FB15" s="524">
        <f t="shared" si="24"/>
        <v>99</v>
      </c>
      <c r="FC15" s="115" t="str">
        <f>IF(FB15&gt;KKM!$G$10," sangat baik ",IF(FB15&gt;KKM!$H$10," baik ",IF(FB15&gt;=KKM!$I$10," cukup baik "," perlu bimbingan ")))</f>
        <v xml:space="preserve"> sangat baik </v>
      </c>
      <c r="FD15" s="301" t="str">
        <f t="shared" si="25"/>
        <v>Anak 10 sangat baik  dalam memahami Q.S. al- Falaq dan Q.S. al- Fil dengan baik dan benar</v>
      </c>
      <c r="FE15" s="307" t="str">
        <f t="shared" si="26"/>
        <v xml:space="preserve"> sangat baik  dalam memahami Q.S. al- Falaq dan Q.S. al- Fil dengan baik dan benar</v>
      </c>
      <c r="FF15" s="307" t="str">
        <f t="shared" si="27"/>
        <v xml:space="preserve"> sangat baik  dalam memahami Q.S. al- Falaq dan Q.S. al- Fil dengan baik dan benar</v>
      </c>
      <c r="FG15" s="307" t="str">
        <f t="shared" si="28"/>
        <v xml:space="preserve"> sangat baik  dalam memahami Q.S. al- Falaq dan Q.S. al- Fil dengan baik dan benar, dan  sangat baik  dalam memahami Q.S. al- Falaq dan Q.S. al- Fil dengan baik dan benar</v>
      </c>
      <c r="FH15" s="307" t="str">
        <f t="shared" si="29"/>
        <v xml:space="preserve"> sangat baik  dalam memahami Q.S. al- Falaq dan Q.S. al- Fil dengan baik dan benar</v>
      </c>
      <c r="FI15" s="308" t="str">
        <f t="shared" si="30"/>
        <v xml:space="preserve"> sangat baik  dalam memahami Q.S. al- Falaq dan Q.S. al- Fil dengan baik dan benar</v>
      </c>
      <c r="FJ15" s="301" t="str">
        <f t="shared" si="31"/>
        <v>Anak 10 sangat baik  dalam memahami Q.S. al- Falaq dan Q.S. al- Fil dengan baik dan benar</v>
      </c>
      <c r="FQ15" s="408"/>
    </row>
    <row r="16" spans="1:173" ht="63" customHeight="1">
      <c r="B16" s="109">
        <v>11</v>
      </c>
      <c r="C16" s="110">
        <f>SISWA!B16</f>
        <v>0</v>
      </c>
      <c r="D16" s="111" t="str">
        <f>SISWA!E16</f>
        <v>Anak 11</v>
      </c>
      <c r="E16" s="631">
        <v>99</v>
      </c>
      <c r="F16" s="631">
        <v>99</v>
      </c>
      <c r="G16" s="631">
        <v>99</v>
      </c>
      <c r="H16" s="605"/>
      <c r="I16" s="605"/>
      <c r="J16" s="605"/>
      <c r="K16" s="605"/>
      <c r="L16" s="605"/>
      <c r="M16" s="605"/>
      <c r="N16" s="605"/>
      <c r="O16" s="605"/>
      <c r="P16" s="605"/>
      <c r="Q16" s="605"/>
      <c r="R16" s="631">
        <v>99</v>
      </c>
      <c r="S16" s="631">
        <v>99</v>
      </c>
      <c r="T16" s="631">
        <v>99</v>
      </c>
      <c r="U16" s="606"/>
      <c r="V16" s="606"/>
      <c r="W16" s="606"/>
      <c r="X16" s="606"/>
      <c r="Y16" s="606"/>
      <c r="Z16" s="606"/>
      <c r="AA16" s="606"/>
      <c r="AB16" s="606"/>
      <c r="AC16" s="606"/>
      <c r="AD16" s="631">
        <v>99</v>
      </c>
      <c r="AE16" s="631">
        <v>99</v>
      </c>
      <c r="AF16" s="631">
        <v>99</v>
      </c>
      <c r="AG16" s="605"/>
      <c r="AH16" s="605"/>
      <c r="AI16" s="605"/>
      <c r="AJ16" s="605"/>
      <c r="AK16" s="605"/>
      <c r="AL16" s="605"/>
      <c r="AM16" s="605"/>
      <c r="AN16" s="605"/>
      <c r="AO16" s="605"/>
      <c r="AP16" s="605"/>
      <c r="AQ16" s="728">
        <f t="shared" si="9"/>
        <v>99</v>
      </c>
      <c r="AR16" s="728">
        <f t="shared" si="10"/>
        <v>99</v>
      </c>
      <c r="AS16" s="728">
        <f t="shared" si="11"/>
        <v>99</v>
      </c>
      <c r="AT16" s="728" t="str">
        <f t="shared" si="12"/>
        <v/>
      </c>
      <c r="AU16" s="728" t="str">
        <f t="shared" si="13"/>
        <v/>
      </c>
      <c r="AV16" s="728" t="str">
        <f t="shared" si="14"/>
        <v/>
      </c>
      <c r="AW16" s="728" t="str">
        <f t="shared" si="15"/>
        <v/>
      </c>
      <c r="AX16" s="728" t="str">
        <f t="shared" si="16"/>
        <v/>
      </c>
      <c r="AY16" s="615"/>
      <c r="AZ16" s="615"/>
      <c r="BA16" s="615"/>
      <c r="BB16" s="615"/>
      <c r="BC16" s="615"/>
      <c r="BD16" s="124"/>
      <c r="BE16" s="124"/>
      <c r="BF16" s="124"/>
      <c r="BG16" s="124"/>
      <c r="BH16" s="124"/>
      <c r="BI16" s="124"/>
      <c r="BJ16" s="124"/>
      <c r="BK16" s="124"/>
      <c r="BL16" s="332"/>
      <c r="BM16" s="332"/>
      <c r="BN16" s="332"/>
      <c r="BO16" s="332"/>
      <c r="BP16" s="332"/>
      <c r="BQ16" s="332"/>
      <c r="BR16" s="332"/>
      <c r="BS16" s="332"/>
      <c r="BT16" s="332"/>
      <c r="BU16" s="332"/>
      <c r="BV16" s="332"/>
      <c r="BW16" s="332"/>
      <c r="BX16" s="124"/>
      <c r="BY16" s="124"/>
      <c r="BZ16" s="124"/>
      <c r="CA16" s="124"/>
      <c r="CB16" s="124"/>
      <c r="CC16" s="124"/>
      <c r="CD16" s="124"/>
      <c r="CE16" s="124"/>
      <c r="CF16" s="124"/>
      <c r="CG16" s="124"/>
      <c r="CH16" s="124"/>
      <c r="CI16" s="124"/>
      <c r="CJ16" s="332"/>
      <c r="CK16" s="332"/>
      <c r="CL16" s="332"/>
      <c r="CM16" s="332"/>
      <c r="CN16" s="332"/>
      <c r="CO16" s="332"/>
      <c r="CP16" s="332"/>
      <c r="CQ16" s="332"/>
      <c r="CR16" s="332"/>
      <c r="CS16" s="332"/>
      <c r="CT16" s="332"/>
      <c r="CU16" s="332"/>
      <c r="CV16" s="124"/>
      <c r="CW16" s="124"/>
      <c r="CX16" s="124"/>
      <c r="CY16" s="124"/>
      <c r="CZ16" s="124"/>
      <c r="DA16" s="124"/>
      <c r="DB16" s="124"/>
      <c r="DC16" s="124"/>
      <c r="DD16" s="124"/>
      <c r="DE16" s="124"/>
      <c r="DF16" s="124"/>
      <c r="DG16" s="124"/>
      <c r="DH16" s="332"/>
      <c r="DI16" s="332"/>
      <c r="DJ16" s="332"/>
      <c r="DK16" s="332"/>
      <c r="DL16" s="332"/>
      <c r="DM16" s="332"/>
      <c r="DN16" s="604"/>
      <c r="DO16" s="604"/>
      <c r="DP16" s="604"/>
      <c r="DQ16" s="604"/>
      <c r="DR16" s="604"/>
      <c r="DS16" s="604"/>
      <c r="DT16" s="722"/>
      <c r="DU16" s="302">
        <f t="shared" si="4"/>
        <v>99</v>
      </c>
      <c r="DV16" s="303" t="str">
        <f>IF(DU16&gt;KKM!$G$10,"A",IF(DU16&gt;KKM!$H$10,"B",IF(DU16&gt;=KKM!$I$10,"C","D")))</f>
        <v>A</v>
      </c>
      <c r="DW16" s="304">
        <f t="shared" si="5"/>
        <v>99</v>
      </c>
      <c r="DX16" s="115" t="str">
        <f>IF(DW16&gt;KKM!$G$10," sangat baik ",IF(DW16&gt;KKM!$H$10," baik ",IF(DW16&gt;=KKM!$I$10," cukup baik "," perlu bimbingan ")))</f>
        <v xml:space="preserve"> sangat baik </v>
      </c>
      <c r="DY16" s="305">
        <f t="shared" si="6"/>
        <v>99</v>
      </c>
      <c r="DZ16" s="115" t="str">
        <f>IF(DY16&gt;KKM!$G$10," sangat baik ",IF(DY16&gt;KKM!$H$10," baik ",IF(DY16&gt;=KKM!$I$10," cukup baik "," perlu bimbingan ")))</f>
        <v xml:space="preserve"> sangat baik </v>
      </c>
      <c r="EA16" s="301" t="str">
        <f t="shared" si="32"/>
        <v>Anak 11 sangat baik  dalam memahami Q.S. al- Falaq dan Q.S. al- Fil dengan baik dan benar</v>
      </c>
      <c r="EB16" s="424"/>
      <c r="EC16" s="307" t="str">
        <f t="shared" si="17"/>
        <v xml:space="preserve"> sangat baik  dalam memahami Q.S. al- Falaq dan Q.S. al- Fil dengan baik dan benar</v>
      </c>
      <c r="ED16" s="307" t="str">
        <f t="shared" si="7"/>
        <v xml:space="preserve"> sangat baik  dalam memahami Q.S. al- Falaq dan Q.S. al- Fil dengan baik dan benar</v>
      </c>
      <c r="EE16" s="307" t="str">
        <f t="shared" si="18"/>
        <v xml:space="preserve"> sangat baik  dalam memahami Q.S. al- Falaq dan Q.S. al- Fil dengan baik dan benar, dan  sangat baik  dalam memahami Q.S. al- Falaq dan Q.S. al- Fil dengan baik dan benar</v>
      </c>
      <c r="EF16" s="307" t="str">
        <f t="shared" si="19"/>
        <v xml:space="preserve"> sangat baik  dalam memahami Q.S. al- Falaq dan Q.S. al- Fil dengan baik dan benar</v>
      </c>
      <c r="EG16" s="308" t="str">
        <f t="shared" si="20"/>
        <v xml:space="preserve"> sangat baik  dalam memahami Q.S. al- Falaq dan Q.S. al- Fil dengan baik dan benar</v>
      </c>
      <c r="EH16" s="301" t="str">
        <f t="shared" si="8"/>
        <v>Anak 11 sangat baik  dalam memahami Q.S. al- Falaq dan Q.S. al- Fil dengan baik dan benar</v>
      </c>
      <c r="EI16" s="106" t="e">
        <f>IF(#REF!=1,AS$4," ")</f>
        <v>#REF!</v>
      </c>
      <c r="EJ16" s="106" t="e">
        <f>IF(#REF!=1,AT$4," ")</f>
        <v>#REF!</v>
      </c>
      <c r="EK16" s="106" t="e">
        <f>IF(#REF!=1,AU$4," ")</f>
        <v>#REF!</v>
      </c>
      <c r="EL16" s="106" t="e">
        <f>IF(#REF!=1,AV$4," ")</f>
        <v>#REF!</v>
      </c>
      <c r="EM16" s="106" t="e">
        <f>IF(#REF!=1,AW$4," ")</f>
        <v>#REF!</v>
      </c>
      <c r="EN16" s="106" t="e">
        <f>IF(#REF!=1,AX$4," ")</f>
        <v>#REF!</v>
      </c>
      <c r="EO16" s="106" t="e">
        <f>IF(#REF!=1,AY$4," ")</f>
        <v>#REF!</v>
      </c>
      <c r="EP16" s="106" t="e">
        <f>IF(#REF!=1,#REF!," ")</f>
        <v>#REF!</v>
      </c>
      <c r="EQ16" s="106" t="e">
        <f>IF(#REF!=1,#REF!," ")</f>
        <v>#REF!</v>
      </c>
      <c r="ER16" s="106" t="e">
        <f>IF(#REF!=1,DT$4," ")</f>
        <v>#REF!</v>
      </c>
      <c r="ES16" s="408">
        <f t="shared" si="21"/>
        <v>99</v>
      </c>
      <c r="EX16" s="302">
        <f t="shared" si="22"/>
        <v>99</v>
      </c>
      <c r="EY16" s="303" t="str">
        <f>IF(EX16&gt;KKM!$G$10,"A",IF(EX16&gt;KKM!$H$10,"B",IF(EX16&gt;=KKM!$I$10,"C","D")))</f>
        <v>A</v>
      </c>
      <c r="EZ16" s="523">
        <f t="shared" si="23"/>
        <v>99</v>
      </c>
      <c r="FA16" s="115" t="str">
        <f>IF(EZ16&gt;KKM!$G$10," sangat baik ",IF(EZ16&gt;KKM!$H$10," baik ",IF(EZ16&gt;=KKM!$I$10," cukup baik "," perlu bimbingan ")))</f>
        <v xml:space="preserve"> sangat baik </v>
      </c>
      <c r="FB16" s="524">
        <f t="shared" si="24"/>
        <v>99</v>
      </c>
      <c r="FC16" s="115" t="str">
        <f>IF(FB16&gt;KKM!$G$10," sangat baik ",IF(FB16&gt;KKM!$H$10," baik ",IF(FB16&gt;=KKM!$I$10," cukup baik "," perlu bimbingan ")))</f>
        <v xml:space="preserve"> sangat baik </v>
      </c>
      <c r="FD16" s="301" t="str">
        <f t="shared" si="25"/>
        <v>Anak 11 sangat baik  dalam memahami Q.S. al- Falaq dan Q.S. al- Fil dengan baik dan benar</v>
      </c>
      <c r="FE16" s="307" t="str">
        <f t="shared" si="26"/>
        <v xml:space="preserve"> sangat baik  dalam memahami Q.S. al- Falaq dan Q.S. al- Fil dengan baik dan benar</v>
      </c>
      <c r="FF16" s="307" t="str">
        <f t="shared" si="27"/>
        <v xml:space="preserve"> sangat baik  dalam memahami Q.S. al- Falaq dan Q.S. al- Fil dengan baik dan benar</v>
      </c>
      <c r="FG16" s="307" t="str">
        <f t="shared" si="28"/>
        <v xml:space="preserve"> sangat baik  dalam memahami Q.S. al- Falaq dan Q.S. al- Fil dengan baik dan benar, dan  sangat baik  dalam memahami Q.S. al- Falaq dan Q.S. al- Fil dengan baik dan benar</v>
      </c>
      <c r="FH16" s="307" t="str">
        <f t="shared" si="29"/>
        <v xml:space="preserve"> sangat baik  dalam memahami Q.S. al- Falaq dan Q.S. al- Fil dengan baik dan benar</v>
      </c>
      <c r="FI16" s="308" t="str">
        <f t="shared" si="30"/>
        <v xml:space="preserve"> sangat baik  dalam memahami Q.S. al- Falaq dan Q.S. al- Fil dengan baik dan benar</v>
      </c>
      <c r="FJ16" s="301" t="str">
        <f t="shared" si="31"/>
        <v>Anak 11 sangat baik  dalam memahami Q.S. al- Falaq dan Q.S. al- Fil dengan baik dan benar</v>
      </c>
      <c r="FQ16" s="408"/>
    </row>
    <row r="17" spans="2:173" ht="63" customHeight="1">
      <c r="B17" s="109">
        <v>12</v>
      </c>
      <c r="C17" s="110">
        <f>SISWA!B17</f>
        <v>0</v>
      </c>
      <c r="D17" s="111" t="str">
        <f>SISWA!E17</f>
        <v>Anak 12</v>
      </c>
      <c r="E17" s="631">
        <v>99</v>
      </c>
      <c r="F17" s="631">
        <v>99</v>
      </c>
      <c r="G17" s="631">
        <v>99</v>
      </c>
      <c r="H17" s="605"/>
      <c r="I17" s="605"/>
      <c r="J17" s="605"/>
      <c r="K17" s="605"/>
      <c r="L17" s="605"/>
      <c r="M17" s="605"/>
      <c r="N17" s="605"/>
      <c r="O17" s="605"/>
      <c r="P17" s="605"/>
      <c r="Q17" s="605"/>
      <c r="R17" s="631">
        <v>99</v>
      </c>
      <c r="S17" s="631">
        <v>99</v>
      </c>
      <c r="T17" s="631">
        <v>99</v>
      </c>
      <c r="U17" s="606"/>
      <c r="V17" s="606"/>
      <c r="W17" s="606"/>
      <c r="X17" s="606"/>
      <c r="Y17" s="606"/>
      <c r="Z17" s="606"/>
      <c r="AA17" s="606"/>
      <c r="AB17" s="606"/>
      <c r="AC17" s="606"/>
      <c r="AD17" s="631">
        <v>99</v>
      </c>
      <c r="AE17" s="631">
        <v>99</v>
      </c>
      <c r="AF17" s="631">
        <v>99</v>
      </c>
      <c r="AG17" s="605"/>
      <c r="AH17" s="605"/>
      <c r="AI17" s="605"/>
      <c r="AJ17" s="605"/>
      <c r="AK17" s="605"/>
      <c r="AL17" s="605"/>
      <c r="AM17" s="605"/>
      <c r="AN17" s="605"/>
      <c r="AO17" s="605"/>
      <c r="AP17" s="605"/>
      <c r="AQ17" s="728">
        <f t="shared" si="9"/>
        <v>99</v>
      </c>
      <c r="AR17" s="728">
        <f t="shared" si="10"/>
        <v>99</v>
      </c>
      <c r="AS17" s="728">
        <f t="shared" si="11"/>
        <v>99</v>
      </c>
      <c r="AT17" s="728" t="str">
        <f t="shared" si="12"/>
        <v/>
      </c>
      <c r="AU17" s="728" t="str">
        <f t="shared" si="13"/>
        <v/>
      </c>
      <c r="AV17" s="728" t="str">
        <f t="shared" si="14"/>
        <v/>
      </c>
      <c r="AW17" s="728" t="str">
        <f t="shared" si="15"/>
        <v/>
      </c>
      <c r="AX17" s="728" t="str">
        <f t="shared" si="16"/>
        <v/>
      </c>
      <c r="AY17" s="615"/>
      <c r="AZ17" s="615"/>
      <c r="BA17" s="615"/>
      <c r="BB17" s="615"/>
      <c r="BC17" s="615"/>
      <c r="BD17" s="124"/>
      <c r="BE17" s="124"/>
      <c r="BF17" s="124"/>
      <c r="BG17" s="124"/>
      <c r="BH17" s="124"/>
      <c r="BI17" s="124"/>
      <c r="BJ17" s="124"/>
      <c r="BK17" s="124"/>
      <c r="BL17" s="332"/>
      <c r="BM17" s="332"/>
      <c r="BN17" s="332"/>
      <c r="BO17" s="332"/>
      <c r="BP17" s="332"/>
      <c r="BQ17" s="332"/>
      <c r="BR17" s="332"/>
      <c r="BS17" s="332"/>
      <c r="BT17" s="332"/>
      <c r="BU17" s="332"/>
      <c r="BV17" s="332"/>
      <c r="BW17" s="332"/>
      <c r="BX17" s="124"/>
      <c r="BY17" s="124"/>
      <c r="BZ17" s="124"/>
      <c r="CA17" s="124"/>
      <c r="CB17" s="124"/>
      <c r="CC17" s="124"/>
      <c r="CD17" s="124"/>
      <c r="CE17" s="124"/>
      <c r="CF17" s="124"/>
      <c r="CG17" s="124"/>
      <c r="CH17" s="124"/>
      <c r="CI17" s="124"/>
      <c r="CJ17" s="332"/>
      <c r="CK17" s="332"/>
      <c r="CL17" s="332"/>
      <c r="CM17" s="332"/>
      <c r="CN17" s="332"/>
      <c r="CO17" s="332"/>
      <c r="CP17" s="332"/>
      <c r="CQ17" s="332"/>
      <c r="CR17" s="332"/>
      <c r="CS17" s="332"/>
      <c r="CT17" s="332"/>
      <c r="CU17" s="332"/>
      <c r="CV17" s="124"/>
      <c r="CW17" s="124"/>
      <c r="CX17" s="124"/>
      <c r="CY17" s="124"/>
      <c r="CZ17" s="124"/>
      <c r="DA17" s="124"/>
      <c r="DB17" s="124"/>
      <c r="DC17" s="124"/>
      <c r="DD17" s="124"/>
      <c r="DE17" s="124"/>
      <c r="DF17" s="124"/>
      <c r="DG17" s="124"/>
      <c r="DH17" s="332"/>
      <c r="DI17" s="332"/>
      <c r="DJ17" s="332"/>
      <c r="DK17" s="332"/>
      <c r="DL17" s="332"/>
      <c r="DM17" s="332"/>
      <c r="DN17" s="604"/>
      <c r="DO17" s="604"/>
      <c r="DP17" s="604"/>
      <c r="DQ17" s="604"/>
      <c r="DR17" s="604"/>
      <c r="DS17" s="604"/>
      <c r="DT17" s="722"/>
      <c r="DU17" s="302">
        <f t="shared" si="4"/>
        <v>99</v>
      </c>
      <c r="DV17" s="303" t="str">
        <f>IF(DU17&gt;KKM!$G$10,"A",IF(DU17&gt;KKM!$H$10,"B",IF(DU17&gt;=KKM!$I$10,"C","D")))</f>
        <v>A</v>
      </c>
      <c r="DW17" s="304">
        <f t="shared" si="5"/>
        <v>99</v>
      </c>
      <c r="DX17" s="115" t="str">
        <f>IF(DW17&gt;KKM!$G$10," sangat baik ",IF(DW17&gt;KKM!$H$10," baik ",IF(DW17&gt;=KKM!$I$10," cukup baik "," perlu bimbingan ")))</f>
        <v xml:space="preserve"> sangat baik </v>
      </c>
      <c r="DY17" s="305">
        <f t="shared" si="6"/>
        <v>99</v>
      </c>
      <c r="DZ17" s="115" t="str">
        <f>IF(DY17&gt;KKM!$G$10," sangat baik ",IF(DY17&gt;KKM!$H$10," baik ",IF(DY17&gt;=KKM!$I$10," cukup baik "," perlu bimbingan ")))</f>
        <v xml:space="preserve"> sangat baik </v>
      </c>
      <c r="EA17" s="301" t="str">
        <f t="shared" si="32"/>
        <v>Anak 12 sangat baik  dalam memahami Q.S. al- Falaq dan Q.S. al- Fil dengan baik dan benar</v>
      </c>
      <c r="EB17" s="424"/>
      <c r="EC17" s="307" t="str">
        <f t="shared" si="17"/>
        <v xml:space="preserve"> sangat baik  dalam memahami Q.S. al- Falaq dan Q.S. al- Fil dengan baik dan benar</v>
      </c>
      <c r="ED17" s="307" t="str">
        <f t="shared" si="7"/>
        <v xml:space="preserve"> sangat baik  dalam memahami Q.S. al- Falaq dan Q.S. al- Fil dengan baik dan benar</v>
      </c>
      <c r="EE17" s="307" t="str">
        <f t="shared" si="18"/>
        <v xml:space="preserve"> sangat baik  dalam memahami Q.S. al- Falaq dan Q.S. al- Fil dengan baik dan benar, dan  sangat baik  dalam memahami Q.S. al- Falaq dan Q.S. al- Fil dengan baik dan benar</v>
      </c>
      <c r="EF17" s="307" t="str">
        <f t="shared" si="19"/>
        <v xml:space="preserve"> sangat baik  dalam memahami Q.S. al- Falaq dan Q.S. al- Fil dengan baik dan benar</v>
      </c>
      <c r="EG17" s="308" t="str">
        <f t="shared" si="20"/>
        <v xml:space="preserve"> sangat baik  dalam memahami Q.S. al- Falaq dan Q.S. al- Fil dengan baik dan benar</v>
      </c>
      <c r="EH17" s="301" t="str">
        <f t="shared" si="8"/>
        <v>Anak 12 sangat baik  dalam memahami Q.S. al- Falaq dan Q.S. al- Fil dengan baik dan benar</v>
      </c>
      <c r="EI17" s="106" t="e">
        <f>IF(#REF!=1,AS$4," ")</f>
        <v>#REF!</v>
      </c>
      <c r="EJ17" s="106" t="e">
        <f>IF(#REF!=1,AT$4," ")</f>
        <v>#REF!</v>
      </c>
      <c r="EK17" s="106" t="e">
        <f>IF(#REF!=1,AU$4," ")</f>
        <v>#REF!</v>
      </c>
      <c r="EL17" s="106" t="e">
        <f>IF(#REF!=1,AV$4," ")</f>
        <v>#REF!</v>
      </c>
      <c r="EM17" s="106" t="e">
        <f>IF(#REF!=1,AW$4," ")</f>
        <v>#REF!</v>
      </c>
      <c r="EN17" s="106" t="e">
        <f>IF(#REF!=1,AX$4," ")</f>
        <v>#REF!</v>
      </c>
      <c r="EO17" s="106" t="e">
        <f>IF(#REF!=1,AY$4," ")</f>
        <v>#REF!</v>
      </c>
      <c r="EP17" s="106" t="e">
        <f>IF(#REF!=1,#REF!," ")</f>
        <v>#REF!</v>
      </c>
      <c r="EQ17" s="106" t="e">
        <f>IF(#REF!=1,#REF!," ")</f>
        <v>#REF!</v>
      </c>
      <c r="ER17" s="106" t="e">
        <f>IF(#REF!=1,DT$4," ")</f>
        <v>#REF!</v>
      </c>
      <c r="ES17" s="408">
        <f t="shared" si="21"/>
        <v>99</v>
      </c>
      <c r="EX17" s="302">
        <f t="shared" si="22"/>
        <v>99</v>
      </c>
      <c r="EY17" s="303" t="str">
        <f>IF(EX17&gt;KKM!$G$10,"A",IF(EX17&gt;KKM!$H$10,"B",IF(EX17&gt;=KKM!$I$10,"C","D")))</f>
        <v>A</v>
      </c>
      <c r="EZ17" s="523">
        <f t="shared" si="23"/>
        <v>99</v>
      </c>
      <c r="FA17" s="115" t="str">
        <f>IF(EZ17&gt;KKM!$G$10," sangat baik ",IF(EZ17&gt;KKM!$H$10," baik ",IF(EZ17&gt;=KKM!$I$10," cukup baik "," perlu bimbingan ")))</f>
        <v xml:space="preserve"> sangat baik </v>
      </c>
      <c r="FB17" s="524">
        <f t="shared" si="24"/>
        <v>99</v>
      </c>
      <c r="FC17" s="115" t="str">
        <f>IF(FB17&gt;KKM!$G$10," sangat baik ",IF(FB17&gt;KKM!$H$10," baik ",IF(FB17&gt;=KKM!$I$10," cukup baik "," perlu bimbingan ")))</f>
        <v xml:space="preserve"> sangat baik </v>
      </c>
      <c r="FD17" s="301" t="str">
        <f t="shared" si="25"/>
        <v>Anak 12 sangat baik  dalam memahami Q.S. al- Falaq dan Q.S. al- Fil dengan baik dan benar</v>
      </c>
      <c r="FE17" s="307" t="str">
        <f t="shared" si="26"/>
        <v xml:space="preserve"> sangat baik  dalam memahami Q.S. al- Falaq dan Q.S. al- Fil dengan baik dan benar</v>
      </c>
      <c r="FF17" s="307" t="str">
        <f t="shared" si="27"/>
        <v xml:space="preserve"> sangat baik  dalam memahami Q.S. al- Falaq dan Q.S. al- Fil dengan baik dan benar</v>
      </c>
      <c r="FG17" s="307" t="str">
        <f t="shared" si="28"/>
        <v xml:space="preserve"> sangat baik  dalam memahami Q.S. al- Falaq dan Q.S. al- Fil dengan baik dan benar, dan  sangat baik  dalam memahami Q.S. al- Falaq dan Q.S. al- Fil dengan baik dan benar</v>
      </c>
      <c r="FH17" s="307" t="str">
        <f t="shared" si="29"/>
        <v xml:space="preserve"> sangat baik  dalam memahami Q.S. al- Falaq dan Q.S. al- Fil dengan baik dan benar</v>
      </c>
      <c r="FI17" s="308" t="str">
        <f t="shared" si="30"/>
        <v xml:space="preserve"> sangat baik  dalam memahami Q.S. al- Falaq dan Q.S. al- Fil dengan baik dan benar</v>
      </c>
      <c r="FJ17" s="301" t="str">
        <f t="shared" si="31"/>
        <v>Anak 12 sangat baik  dalam memahami Q.S. al- Falaq dan Q.S. al- Fil dengan baik dan benar</v>
      </c>
      <c r="FQ17" s="408"/>
    </row>
    <row r="18" spans="2:173" ht="63" customHeight="1">
      <c r="B18" s="109">
        <v>13</v>
      </c>
      <c r="C18" s="110">
        <f>SISWA!B18</f>
        <v>0</v>
      </c>
      <c r="D18" s="111" t="str">
        <f>SISWA!E18</f>
        <v>Anak 13</v>
      </c>
      <c r="E18" s="631">
        <v>99</v>
      </c>
      <c r="F18" s="631">
        <v>99</v>
      </c>
      <c r="G18" s="631">
        <v>99</v>
      </c>
      <c r="H18" s="605"/>
      <c r="I18" s="605"/>
      <c r="J18" s="605"/>
      <c r="K18" s="605"/>
      <c r="L18" s="605"/>
      <c r="M18" s="605"/>
      <c r="N18" s="605"/>
      <c r="O18" s="605"/>
      <c r="P18" s="605"/>
      <c r="Q18" s="605"/>
      <c r="R18" s="631">
        <v>99</v>
      </c>
      <c r="S18" s="631">
        <v>99</v>
      </c>
      <c r="T18" s="631">
        <v>99</v>
      </c>
      <c r="U18" s="606"/>
      <c r="V18" s="606"/>
      <c r="W18" s="606"/>
      <c r="X18" s="606"/>
      <c r="Y18" s="606"/>
      <c r="Z18" s="606"/>
      <c r="AA18" s="606"/>
      <c r="AB18" s="606"/>
      <c r="AC18" s="606"/>
      <c r="AD18" s="631">
        <v>99</v>
      </c>
      <c r="AE18" s="631">
        <v>99</v>
      </c>
      <c r="AF18" s="631">
        <v>99</v>
      </c>
      <c r="AG18" s="605"/>
      <c r="AH18" s="605"/>
      <c r="AI18" s="605"/>
      <c r="AJ18" s="605"/>
      <c r="AK18" s="605"/>
      <c r="AL18" s="605"/>
      <c r="AM18" s="605"/>
      <c r="AN18" s="605"/>
      <c r="AO18" s="605"/>
      <c r="AP18" s="605"/>
      <c r="AQ18" s="728">
        <f t="shared" si="9"/>
        <v>99</v>
      </c>
      <c r="AR18" s="728">
        <f t="shared" si="10"/>
        <v>99</v>
      </c>
      <c r="AS18" s="728">
        <f t="shared" si="11"/>
        <v>99</v>
      </c>
      <c r="AT18" s="728" t="str">
        <f t="shared" si="12"/>
        <v/>
      </c>
      <c r="AU18" s="728" t="str">
        <f t="shared" si="13"/>
        <v/>
      </c>
      <c r="AV18" s="728" t="str">
        <f t="shared" si="14"/>
        <v/>
      </c>
      <c r="AW18" s="728" t="str">
        <f t="shared" si="15"/>
        <v/>
      </c>
      <c r="AX18" s="728" t="str">
        <f t="shared" si="16"/>
        <v/>
      </c>
      <c r="AY18" s="615"/>
      <c r="AZ18" s="615"/>
      <c r="BA18" s="615"/>
      <c r="BB18" s="615"/>
      <c r="BC18" s="615"/>
      <c r="BD18" s="124"/>
      <c r="BE18" s="124"/>
      <c r="BF18" s="124"/>
      <c r="BG18" s="124"/>
      <c r="BH18" s="124"/>
      <c r="BI18" s="124"/>
      <c r="BJ18" s="124"/>
      <c r="BK18" s="124"/>
      <c r="BL18" s="332"/>
      <c r="BM18" s="332"/>
      <c r="BN18" s="332"/>
      <c r="BO18" s="332"/>
      <c r="BP18" s="332"/>
      <c r="BQ18" s="332"/>
      <c r="BR18" s="332"/>
      <c r="BS18" s="332"/>
      <c r="BT18" s="332"/>
      <c r="BU18" s="332"/>
      <c r="BV18" s="332"/>
      <c r="BW18" s="332"/>
      <c r="BX18" s="124"/>
      <c r="BY18" s="124"/>
      <c r="BZ18" s="124"/>
      <c r="CA18" s="124"/>
      <c r="CB18" s="124"/>
      <c r="CC18" s="124"/>
      <c r="CD18" s="124"/>
      <c r="CE18" s="124"/>
      <c r="CF18" s="124"/>
      <c r="CG18" s="124"/>
      <c r="CH18" s="124"/>
      <c r="CI18" s="124"/>
      <c r="CJ18" s="332"/>
      <c r="CK18" s="332"/>
      <c r="CL18" s="332"/>
      <c r="CM18" s="332"/>
      <c r="CN18" s="332"/>
      <c r="CO18" s="332"/>
      <c r="CP18" s="332"/>
      <c r="CQ18" s="332"/>
      <c r="CR18" s="332"/>
      <c r="CS18" s="332"/>
      <c r="CT18" s="332"/>
      <c r="CU18" s="332"/>
      <c r="CV18" s="124"/>
      <c r="CW18" s="124"/>
      <c r="CX18" s="124"/>
      <c r="CY18" s="124"/>
      <c r="CZ18" s="124"/>
      <c r="DA18" s="124"/>
      <c r="DB18" s="124"/>
      <c r="DC18" s="124"/>
      <c r="DD18" s="124"/>
      <c r="DE18" s="124"/>
      <c r="DF18" s="124"/>
      <c r="DG18" s="124"/>
      <c r="DH18" s="332"/>
      <c r="DI18" s="332"/>
      <c r="DJ18" s="332"/>
      <c r="DK18" s="332"/>
      <c r="DL18" s="332"/>
      <c r="DM18" s="332"/>
      <c r="DN18" s="604"/>
      <c r="DO18" s="604"/>
      <c r="DP18" s="604"/>
      <c r="DQ18" s="604"/>
      <c r="DR18" s="604"/>
      <c r="DS18" s="604"/>
      <c r="DT18" s="722"/>
      <c r="DU18" s="302">
        <f t="shared" si="4"/>
        <v>99</v>
      </c>
      <c r="DV18" s="303" t="str">
        <f>IF(DU18&gt;KKM!$G$10,"A",IF(DU18&gt;KKM!$H$10,"B",IF(DU18&gt;=KKM!$I$10,"C","D")))</f>
        <v>A</v>
      </c>
      <c r="DW18" s="304">
        <f t="shared" si="5"/>
        <v>99</v>
      </c>
      <c r="DX18" s="115" t="str">
        <f>IF(DW18&gt;KKM!$G$10," sangat baik ",IF(DW18&gt;KKM!$H$10," baik ",IF(DW18&gt;=KKM!$I$10," cukup baik "," perlu bimbingan ")))</f>
        <v xml:space="preserve"> sangat baik </v>
      </c>
      <c r="DY18" s="305">
        <f t="shared" si="6"/>
        <v>99</v>
      </c>
      <c r="DZ18" s="115" t="str">
        <f>IF(DY18&gt;KKM!$G$10," sangat baik ",IF(DY18&gt;KKM!$H$10," baik ",IF(DY18&gt;=KKM!$I$10," cukup baik "," perlu bimbingan ")))</f>
        <v xml:space="preserve"> sangat baik </v>
      </c>
      <c r="EA18" s="301" t="str">
        <f t="shared" si="32"/>
        <v>Anak 13 sangat baik  dalam memahami Q.S. al- Falaq dan Q.S. al- Fil dengan baik dan benar</v>
      </c>
      <c r="EB18" s="424"/>
      <c r="EC18" s="307" t="str">
        <f t="shared" si="17"/>
        <v xml:space="preserve"> sangat baik  dalam memahami Q.S. al- Falaq dan Q.S. al- Fil dengan baik dan benar</v>
      </c>
      <c r="ED18" s="307" t="str">
        <f t="shared" si="7"/>
        <v xml:space="preserve"> sangat baik  dalam memahami Q.S. al- Falaq dan Q.S. al- Fil dengan baik dan benar</v>
      </c>
      <c r="EE18" s="307" t="str">
        <f t="shared" si="18"/>
        <v xml:space="preserve"> sangat baik  dalam memahami Q.S. al- Falaq dan Q.S. al- Fil dengan baik dan benar, dan  sangat baik  dalam memahami Q.S. al- Falaq dan Q.S. al- Fil dengan baik dan benar</v>
      </c>
      <c r="EF18" s="307" t="str">
        <f t="shared" si="19"/>
        <v xml:space="preserve"> sangat baik  dalam memahami Q.S. al- Falaq dan Q.S. al- Fil dengan baik dan benar</v>
      </c>
      <c r="EG18" s="308" t="str">
        <f t="shared" si="20"/>
        <v xml:space="preserve"> sangat baik  dalam memahami Q.S. al- Falaq dan Q.S. al- Fil dengan baik dan benar</v>
      </c>
      <c r="EH18" s="301" t="str">
        <f t="shared" si="8"/>
        <v>Anak 13 sangat baik  dalam memahami Q.S. al- Falaq dan Q.S. al- Fil dengan baik dan benar</v>
      </c>
      <c r="EI18" s="106" t="e">
        <f>IF(#REF!=1,AS$4," ")</f>
        <v>#REF!</v>
      </c>
      <c r="EJ18" s="106" t="e">
        <f>IF(#REF!=1,AT$4," ")</f>
        <v>#REF!</v>
      </c>
      <c r="EK18" s="106" t="e">
        <f>IF(#REF!=1,AU$4," ")</f>
        <v>#REF!</v>
      </c>
      <c r="EL18" s="106" t="e">
        <f>IF(#REF!=1,AV$4," ")</f>
        <v>#REF!</v>
      </c>
      <c r="EM18" s="106" t="e">
        <f>IF(#REF!=1,AW$4," ")</f>
        <v>#REF!</v>
      </c>
      <c r="EN18" s="106" t="e">
        <f>IF(#REF!=1,AX$4," ")</f>
        <v>#REF!</v>
      </c>
      <c r="EO18" s="106" t="e">
        <f>IF(#REF!=1,AY$4," ")</f>
        <v>#REF!</v>
      </c>
      <c r="EP18" s="106" t="e">
        <f>IF(#REF!=1,#REF!," ")</f>
        <v>#REF!</v>
      </c>
      <c r="EQ18" s="106" t="e">
        <f>IF(#REF!=1,#REF!," ")</f>
        <v>#REF!</v>
      </c>
      <c r="ER18" s="106" t="e">
        <f>IF(#REF!=1,DT$4," ")</f>
        <v>#REF!</v>
      </c>
      <c r="ES18" s="408">
        <f t="shared" si="21"/>
        <v>99</v>
      </c>
      <c r="EX18" s="302">
        <f t="shared" si="22"/>
        <v>99</v>
      </c>
      <c r="EY18" s="303" t="str">
        <f>IF(EX18&gt;KKM!$G$10,"A",IF(EX18&gt;KKM!$H$10,"B",IF(EX18&gt;=KKM!$I$10,"C","D")))</f>
        <v>A</v>
      </c>
      <c r="EZ18" s="523">
        <f t="shared" si="23"/>
        <v>99</v>
      </c>
      <c r="FA18" s="115" t="str">
        <f>IF(EZ18&gt;KKM!$G$10," sangat baik ",IF(EZ18&gt;KKM!$H$10," baik ",IF(EZ18&gt;=KKM!$I$10," cukup baik "," perlu bimbingan ")))</f>
        <v xml:space="preserve"> sangat baik </v>
      </c>
      <c r="FB18" s="524">
        <f t="shared" si="24"/>
        <v>99</v>
      </c>
      <c r="FC18" s="115" t="str">
        <f>IF(FB18&gt;KKM!$G$10," sangat baik ",IF(FB18&gt;KKM!$H$10," baik ",IF(FB18&gt;=KKM!$I$10," cukup baik "," perlu bimbingan ")))</f>
        <v xml:space="preserve"> sangat baik </v>
      </c>
      <c r="FD18" s="301" t="str">
        <f t="shared" si="25"/>
        <v>Anak 13 sangat baik  dalam memahami Q.S. al- Falaq dan Q.S. al- Fil dengan baik dan benar</v>
      </c>
      <c r="FE18" s="307" t="str">
        <f t="shared" si="26"/>
        <v xml:space="preserve"> sangat baik  dalam memahami Q.S. al- Falaq dan Q.S. al- Fil dengan baik dan benar</v>
      </c>
      <c r="FF18" s="307" t="str">
        <f t="shared" si="27"/>
        <v xml:space="preserve"> sangat baik  dalam memahami Q.S. al- Falaq dan Q.S. al- Fil dengan baik dan benar</v>
      </c>
      <c r="FG18" s="307" t="str">
        <f t="shared" si="28"/>
        <v xml:space="preserve"> sangat baik  dalam memahami Q.S. al- Falaq dan Q.S. al- Fil dengan baik dan benar, dan  sangat baik  dalam memahami Q.S. al- Falaq dan Q.S. al- Fil dengan baik dan benar</v>
      </c>
      <c r="FH18" s="307" t="str">
        <f t="shared" si="29"/>
        <v xml:space="preserve"> sangat baik  dalam memahami Q.S. al- Falaq dan Q.S. al- Fil dengan baik dan benar</v>
      </c>
      <c r="FI18" s="308" t="str">
        <f t="shared" si="30"/>
        <v xml:space="preserve"> sangat baik  dalam memahami Q.S. al- Falaq dan Q.S. al- Fil dengan baik dan benar</v>
      </c>
      <c r="FJ18" s="301" t="str">
        <f t="shared" si="31"/>
        <v>Anak 13 sangat baik  dalam memahami Q.S. al- Falaq dan Q.S. al- Fil dengan baik dan benar</v>
      </c>
      <c r="FQ18" s="408"/>
    </row>
    <row r="19" spans="2:173" ht="63" customHeight="1">
      <c r="B19" s="109">
        <v>14</v>
      </c>
      <c r="C19" s="110">
        <f>SISWA!B19</f>
        <v>0</v>
      </c>
      <c r="D19" s="111" t="str">
        <f>SISWA!E19</f>
        <v>Anak 14</v>
      </c>
      <c r="E19" s="631">
        <v>99</v>
      </c>
      <c r="F19" s="631">
        <v>99</v>
      </c>
      <c r="G19" s="631">
        <v>99</v>
      </c>
      <c r="H19" s="605"/>
      <c r="I19" s="605"/>
      <c r="J19" s="605"/>
      <c r="K19" s="605"/>
      <c r="L19" s="605"/>
      <c r="M19" s="605"/>
      <c r="N19" s="605"/>
      <c r="O19" s="605"/>
      <c r="P19" s="605"/>
      <c r="Q19" s="605"/>
      <c r="R19" s="631">
        <v>99</v>
      </c>
      <c r="S19" s="631">
        <v>99</v>
      </c>
      <c r="T19" s="631">
        <v>99</v>
      </c>
      <c r="U19" s="606"/>
      <c r="V19" s="606"/>
      <c r="W19" s="606"/>
      <c r="X19" s="606"/>
      <c r="Y19" s="606"/>
      <c r="Z19" s="606"/>
      <c r="AA19" s="606"/>
      <c r="AB19" s="606"/>
      <c r="AC19" s="606"/>
      <c r="AD19" s="631">
        <v>99</v>
      </c>
      <c r="AE19" s="631">
        <v>99</v>
      </c>
      <c r="AF19" s="631">
        <v>99</v>
      </c>
      <c r="AG19" s="605"/>
      <c r="AH19" s="605"/>
      <c r="AI19" s="605"/>
      <c r="AJ19" s="605"/>
      <c r="AK19" s="605"/>
      <c r="AL19" s="605"/>
      <c r="AM19" s="605"/>
      <c r="AN19" s="605"/>
      <c r="AO19" s="605"/>
      <c r="AP19" s="605"/>
      <c r="AQ19" s="728">
        <f t="shared" si="9"/>
        <v>99</v>
      </c>
      <c r="AR19" s="728">
        <f t="shared" si="10"/>
        <v>99</v>
      </c>
      <c r="AS19" s="728">
        <f t="shared" si="11"/>
        <v>99</v>
      </c>
      <c r="AT19" s="728" t="str">
        <f t="shared" si="12"/>
        <v/>
      </c>
      <c r="AU19" s="728" t="str">
        <f t="shared" si="13"/>
        <v/>
      </c>
      <c r="AV19" s="728" t="str">
        <f t="shared" si="14"/>
        <v/>
      </c>
      <c r="AW19" s="728" t="str">
        <f t="shared" si="15"/>
        <v/>
      </c>
      <c r="AX19" s="728" t="str">
        <f t="shared" si="16"/>
        <v/>
      </c>
      <c r="AY19" s="615"/>
      <c r="AZ19" s="615"/>
      <c r="BA19" s="615"/>
      <c r="BB19" s="615"/>
      <c r="BC19" s="615"/>
      <c r="BD19" s="124"/>
      <c r="BE19" s="124"/>
      <c r="BF19" s="124"/>
      <c r="BG19" s="124"/>
      <c r="BH19" s="124"/>
      <c r="BI19" s="124"/>
      <c r="BJ19" s="124"/>
      <c r="BK19" s="124"/>
      <c r="BL19" s="332"/>
      <c r="BM19" s="332"/>
      <c r="BN19" s="332"/>
      <c r="BO19" s="332"/>
      <c r="BP19" s="332"/>
      <c r="BQ19" s="332"/>
      <c r="BR19" s="332"/>
      <c r="BS19" s="332"/>
      <c r="BT19" s="332"/>
      <c r="BU19" s="332"/>
      <c r="BV19" s="332"/>
      <c r="BW19" s="332"/>
      <c r="BX19" s="124"/>
      <c r="BY19" s="124"/>
      <c r="BZ19" s="124"/>
      <c r="CA19" s="124"/>
      <c r="CB19" s="124"/>
      <c r="CC19" s="124"/>
      <c r="CD19" s="124"/>
      <c r="CE19" s="124"/>
      <c r="CF19" s="124"/>
      <c r="CG19" s="124"/>
      <c r="CH19" s="124"/>
      <c r="CI19" s="124"/>
      <c r="CJ19" s="332"/>
      <c r="CK19" s="332"/>
      <c r="CL19" s="332"/>
      <c r="CM19" s="332"/>
      <c r="CN19" s="332"/>
      <c r="CO19" s="332"/>
      <c r="CP19" s="332"/>
      <c r="CQ19" s="332"/>
      <c r="CR19" s="332"/>
      <c r="CS19" s="332"/>
      <c r="CT19" s="332"/>
      <c r="CU19" s="332"/>
      <c r="CV19" s="124"/>
      <c r="CW19" s="124"/>
      <c r="CX19" s="124"/>
      <c r="CY19" s="124"/>
      <c r="CZ19" s="124"/>
      <c r="DA19" s="124"/>
      <c r="DB19" s="124"/>
      <c r="DC19" s="124"/>
      <c r="DD19" s="124"/>
      <c r="DE19" s="124"/>
      <c r="DF19" s="124"/>
      <c r="DG19" s="124"/>
      <c r="DH19" s="332"/>
      <c r="DI19" s="332"/>
      <c r="DJ19" s="332"/>
      <c r="DK19" s="332"/>
      <c r="DL19" s="332"/>
      <c r="DM19" s="332"/>
      <c r="DN19" s="604"/>
      <c r="DO19" s="604"/>
      <c r="DP19" s="604"/>
      <c r="DQ19" s="604"/>
      <c r="DR19" s="604"/>
      <c r="DS19" s="604"/>
      <c r="DT19" s="722"/>
      <c r="DU19" s="302">
        <f t="shared" si="4"/>
        <v>99</v>
      </c>
      <c r="DV19" s="303" t="str">
        <f>IF(DU19&gt;KKM!$G$10,"A",IF(DU19&gt;KKM!$H$10,"B",IF(DU19&gt;=KKM!$I$10,"C","D")))</f>
        <v>A</v>
      </c>
      <c r="DW19" s="304">
        <f t="shared" si="5"/>
        <v>99</v>
      </c>
      <c r="DX19" s="115" t="str">
        <f>IF(DW19&gt;KKM!$G$10," sangat baik ",IF(DW19&gt;KKM!$H$10," baik ",IF(DW19&gt;=KKM!$I$10," cukup baik "," perlu bimbingan ")))</f>
        <v xml:space="preserve"> sangat baik </v>
      </c>
      <c r="DY19" s="305">
        <f t="shared" si="6"/>
        <v>99</v>
      </c>
      <c r="DZ19" s="115" t="str">
        <f>IF(DY19&gt;KKM!$G$10," sangat baik ",IF(DY19&gt;KKM!$H$10," baik ",IF(DY19&gt;=KKM!$I$10," cukup baik "," perlu bimbingan ")))</f>
        <v xml:space="preserve"> sangat baik </v>
      </c>
      <c r="EA19" s="301" t="str">
        <f t="shared" si="32"/>
        <v>Anak 14 sangat baik  dalam memahami Q.S. al- Falaq dan Q.S. al- Fil dengan baik dan benar</v>
      </c>
      <c r="EB19" s="424"/>
      <c r="EC19" s="307" t="str">
        <f t="shared" si="17"/>
        <v xml:space="preserve"> sangat baik  dalam memahami Q.S. al- Falaq dan Q.S. al- Fil dengan baik dan benar</v>
      </c>
      <c r="ED19" s="307" t="str">
        <f t="shared" si="7"/>
        <v xml:space="preserve"> sangat baik  dalam memahami Q.S. al- Falaq dan Q.S. al- Fil dengan baik dan benar</v>
      </c>
      <c r="EE19" s="307" t="str">
        <f t="shared" si="18"/>
        <v xml:space="preserve"> sangat baik  dalam memahami Q.S. al- Falaq dan Q.S. al- Fil dengan baik dan benar, dan  sangat baik  dalam memahami Q.S. al- Falaq dan Q.S. al- Fil dengan baik dan benar</v>
      </c>
      <c r="EF19" s="307" t="str">
        <f t="shared" si="19"/>
        <v xml:space="preserve"> sangat baik  dalam memahami Q.S. al- Falaq dan Q.S. al- Fil dengan baik dan benar</v>
      </c>
      <c r="EG19" s="308" t="str">
        <f t="shared" si="20"/>
        <v xml:space="preserve"> sangat baik  dalam memahami Q.S. al- Falaq dan Q.S. al- Fil dengan baik dan benar</v>
      </c>
      <c r="EH19" s="301" t="str">
        <f t="shared" si="8"/>
        <v>Anak 14 sangat baik  dalam memahami Q.S. al- Falaq dan Q.S. al- Fil dengan baik dan benar</v>
      </c>
      <c r="EI19" s="106" t="e">
        <f>IF(#REF!=1,AS$4," ")</f>
        <v>#REF!</v>
      </c>
      <c r="EJ19" s="106" t="e">
        <f>IF(#REF!=1,AT$4," ")</f>
        <v>#REF!</v>
      </c>
      <c r="EK19" s="106" t="e">
        <f>IF(#REF!=1,AU$4," ")</f>
        <v>#REF!</v>
      </c>
      <c r="EL19" s="106" t="e">
        <f>IF(#REF!=1,AV$4," ")</f>
        <v>#REF!</v>
      </c>
      <c r="EM19" s="106" t="e">
        <f>IF(#REF!=1,AW$4," ")</f>
        <v>#REF!</v>
      </c>
      <c r="EN19" s="106" t="e">
        <f>IF(#REF!=1,AX$4," ")</f>
        <v>#REF!</v>
      </c>
      <c r="EO19" s="106" t="e">
        <f>IF(#REF!=1,AY$4," ")</f>
        <v>#REF!</v>
      </c>
      <c r="EP19" s="106" t="e">
        <f>IF(#REF!=1,#REF!," ")</f>
        <v>#REF!</v>
      </c>
      <c r="EQ19" s="106" t="e">
        <f>IF(#REF!=1,#REF!," ")</f>
        <v>#REF!</v>
      </c>
      <c r="ER19" s="106" t="e">
        <f>IF(#REF!=1,DT$4," ")</f>
        <v>#REF!</v>
      </c>
      <c r="ES19" s="408">
        <f t="shared" si="21"/>
        <v>99</v>
      </c>
      <c r="EX19" s="302">
        <f t="shared" si="22"/>
        <v>99</v>
      </c>
      <c r="EY19" s="303" t="str">
        <f>IF(EX19&gt;KKM!$G$10,"A",IF(EX19&gt;KKM!$H$10,"B",IF(EX19&gt;=KKM!$I$10,"C","D")))</f>
        <v>A</v>
      </c>
      <c r="EZ19" s="523">
        <f t="shared" si="23"/>
        <v>99</v>
      </c>
      <c r="FA19" s="115" t="str">
        <f>IF(EZ19&gt;KKM!$G$10," sangat baik ",IF(EZ19&gt;KKM!$H$10," baik ",IF(EZ19&gt;=KKM!$I$10," cukup baik "," perlu bimbingan ")))</f>
        <v xml:space="preserve"> sangat baik </v>
      </c>
      <c r="FB19" s="524">
        <f t="shared" si="24"/>
        <v>99</v>
      </c>
      <c r="FC19" s="115" t="str">
        <f>IF(FB19&gt;KKM!$G$10," sangat baik ",IF(FB19&gt;KKM!$H$10," baik ",IF(FB19&gt;=KKM!$I$10," cukup baik "," perlu bimbingan ")))</f>
        <v xml:space="preserve"> sangat baik </v>
      </c>
      <c r="FD19" s="301" t="str">
        <f t="shared" si="25"/>
        <v>Anak 14 sangat baik  dalam memahami Q.S. al- Falaq dan Q.S. al- Fil dengan baik dan benar</v>
      </c>
      <c r="FE19" s="307" t="str">
        <f t="shared" si="26"/>
        <v xml:space="preserve"> sangat baik  dalam memahami Q.S. al- Falaq dan Q.S. al- Fil dengan baik dan benar</v>
      </c>
      <c r="FF19" s="307" t="str">
        <f t="shared" si="27"/>
        <v xml:space="preserve"> sangat baik  dalam memahami Q.S. al- Falaq dan Q.S. al- Fil dengan baik dan benar</v>
      </c>
      <c r="FG19" s="307" t="str">
        <f t="shared" si="28"/>
        <v xml:space="preserve"> sangat baik  dalam memahami Q.S. al- Falaq dan Q.S. al- Fil dengan baik dan benar, dan  sangat baik  dalam memahami Q.S. al- Falaq dan Q.S. al- Fil dengan baik dan benar</v>
      </c>
      <c r="FH19" s="307" t="str">
        <f t="shared" si="29"/>
        <v xml:space="preserve"> sangat baik  dalam memahami Q.S. al- Falaq dan Q.S. al- Fil dengan baik dan benar</v>
      </c>
      <c r="FI19" s="308" t="str">
        <f t="shared" si="30"/>
        <v xml:space="preserve"> sangat baik  dalam memahami Q.S. al- Falaq dan Q.S. al- Fil dengan baik dan benar</v>
      </c>
      <c r="FJ19" s="301" t="str">
        <f t="shared" si="31"/>
        <v>Anak 14 sangat baik  dalam memahami Q.S. al- Falaq dan Q.S. al- Fil dengan baik dan benar</v>
      </c>
      <c r="FQ19" s="408"/>
    </row>
    <row r="20" spans="2:173" ht="63" customHeight="1">
      <c r="B20" s="109">
        <v>15</v>
      </c>
      <c r="C20" s="110">
        <f>SISWA!B20</f>
        <v>0</v>
      </c>
      <c r="D20" s="111" t="str">
        <f>SISWA!E20</f>
        <v>Anak 15</v>
      </c>
      <c r="E20" s="631">
        <v>99</v>
      </c>
      <c r="F20" s="631">
        <v>99</v>
      </c>
      <c r="G20" s="631">
        <v>99</v>
      </c>
      <c r="H20" s="605"/>
      <c r="I20" s="605"/>
      <c r="J20" s="605"/>
      <c r="K20" s="605"/>
      <c r="L20" s="605"/>
      <c r="M20" s="605"/>
      <c r="N20" s="605"/>
      <c r="O20" s="605"/>
      <c r="P20" s="605"/>
      <c r="Q20" s="605"/>
      <c r="R20" s="631">
        <v>99</v>
      </c>
      <c r="S20" s="631">
        <v>99</v>
      </c>
      <c r="T20" s="631">
        <v>99</v>
      </c>
      <c r="U20" s="606"/>
      <c r="V20" s="606"/>
      <c r="W20" s="606"/>
      <c r="X20" s="606"/>
      <c r="Y20" s="606"/>
      <c r="Z20" s="606"/>
      <c r="AA20" s="606"/>
      <c r="AB20" s="606"/>
      <c r="AC20" s="606"/>
      <c r="AD20" s="631">
        <v>99</v>
      </c>
      <c r="AE20" s="631">
        <v>99</v>
      </c>
      <c r="AF20" s="631">
        <v>99</v>
      </c>
      <c r="AG20" s="605"/>
      <c r="AH20" s="605"/>
      <c r="AI20" s="605"/>
      <c r="AJ20" s="605"/>
      <c r="AK20" s="605"/>
      <c r="AL20" s="605"/>
      <c r="AM20" s="605"/>
      <c r="AN20" s="605"/>
      <c r="AO20" s="605"/>
      <c r="AP20" s="605"/>
      <c r="AQ20" s="728">
        <f t="shared" si="9"/>
        <v>99</v>
      </c>
      <c r="AR20" s="728">
        <f t="shared" si="10"/>
        <v>99</v>
      </c>
      <c r="AS20" s="728">
        <f t="shared" si="11"/>
        <v>99</v>
      </c>
      <c r="AT20" s="728" t="str">
        <f t="shared" si="12"/>
        <v/>
      </c>
      <c r="AU20" s="728" t="str">
        <f t="shared" si="13"/>
        <v/>
      </c>
      <c r="AV20" s="728" t="str">
        <f t="shared" si="14"/>
        <v/>
      </c>
      <c r="AW20" s="728" t="str">
        <f t="shared" si="15"/>
        <v/>
      </c>
      <c r="AX20" s="728" t="str">
        <f t="shared" si="16"/>
        <v/>
      </c>
      <c r="AY20" s="615"/>
      <c r="AZ20" s="615"/>
      <c r="BA20" s="615"/>
      <c r="BB20" s="615"/>
      <c r="BC20" s="615"/>
      <c r="BD20" s="124"/>
      <c r="BE20" s="124"/>
      <c r="BF20" s="124"/>
      <c r="BG20" s="124"/>
      <c r="BH20" s="124"/>
      <c r="BI20" s="124"/>
      <c r="BJ20" s="124"/>
      <c r="BK20" s="124"/>
      <c r="BL20" s="332"/>
      <c r="BM20" s="332"/>
      <c r="BN20" s="332"/>
      <c r="BO20" s="332"/>
      <c r="BP20" s="332"/>
      <c r="BQ20" s="332"/>
      <c r="BR20" s="332"/>
      <c r="BS20" s="332"/>
      <c r="BT20" s="332"/>
      <c r="BU20" s="332"/>
      <c r="BV20" s="332"/>
      <c r="BW20" s="332"/>
      <c r="BX20" s="124"/>
      <c r="BY20" s="124"/>
      <c r="BZ20" s="124"/>
      <c r="CA20" s="124"/>
      <c r="CB20" s="124"/>
      <c r="CC20" s="124"/>
      <c r="CD20" s="124"/>
      <c r="CE20" s="124"/>
      <c r="CF20" s="124"/>
      <c r="CG20" s="124"/>
      <c r="CH20" s="124"/>
      <c r="CI20" s="124"/>
      <c r="CJ20" s="332"/>
      <c r="CK20" s="332"/>
      <c r="CL20" s="332"/>
      <c r="CM20" s="332"/>
      <c r="CN20" s="332"/>
      <c r="CO20" s="332"/>
      <c r="CP20" s="332"/>
      <c r="CQ20" s="332"/>
      <c r="CR20" s="332"/>
      <c r="CS20" s="332"/>
      <c r="CT20" s="332"/>
      <c r="CU20" s="332"/>
      <c r="CV20" s="124"/>
      <c r="CW20" s="124"/>
      <c r="CX20" s="124"/>
      <c r="CY20" s="124"/>
      <c r="CZ20" s="124"/>
      <c r="DA20" s="124"/>
      <c r="DB20" s="124"/>
      <c r="DC20" s="124"/>
      <c r="DD20" s="124"/>
      <c r="DE20" s="124"/>
      <c r="DF20" s="124"/>
      <c r="DG20" s="124"/>
      <c r="DH20" s="332"/>
      <c r="DI20" s="332"/>
      <c r="DJ20" s="332"/>
      <c r="DK20" s="332"/>
      <c r="DL20" s="332"/>
      <c r="DM20" s="332"/>
      <c r="DN20" s="604"/>
      <c r="DO20" s="604"/>
      <c r="DP20" s="604"/>
      <c r="DQ20" s="604"/>
      <c r="DR20" s="604"/>
      <c r="DS20" s="604"/>
      <c r="DT20" s="722"/>
      <c r="DU20" s="302">
        <f t="shared" si="4"/>
        <v>99</v>
      </c>
      <c r="DV20" s="303" t="str">
        <f>IF(DU20&gt;KKM!$G$10,"A",IF(DU20&gt;KKM!$H$10,"B",IF(DU20&gt;=KKM!$I$10,"C","D")))</f>
        <v>A</v>
      </c>
      <c r="DW20" s="304">
        <f t="shared" si="5"/>
        <v>99</v>
      </c>
      <c r="DX20" s="115" t="str">
        <f>IF(DW20&gt;KKM!$G$10," sangat baik ",IF(DW20&gt;KKM!$H$10," baik ",IF(DW20&gt;=KKM!$I$10," cukup baik "," perlu bimbingan ")))</f>
        <v xml:space="preserve"> sangat baik </v>
      </c>
      <c r="DY20" s="305">
        <f t="shared" si="6"/>
        <v>99</v>
      </c>
      <c r="DZ20" s="115" t="str">
        <f>IF(DY20&gt;KKM!$G$10," sangat baik ",IF(DY20&gt;KKM!$H$10," baik ",IF(DY20&gt;=KKM!$I$10," cukup baik "," perlu bimbingan ")))</f>
        <v xml:space="preserve"> sangat baik </v>
      </c>
      <c r="EA20" s="301" t="str">
        <f t="shared" si="32"/>
        <v>Anak 15 sangat baik  dalam memahami Q.S. al- Falaq dan Q.S. al- Fil dengan baik dan benar</v>
      </c>
      <c r="EB20" s="424"/>
      <c r="EC20" s="307" t="str">
        <f t="shared" si="17"/>
        <v xml:space="preserve"> sangat baik  dalam memahami Q.S. al- Falaq dan Q.S. al- Fil dengan baik dan benar</v>
      </c>
      <c r="ED20" s="307" t="str">
        <f t="shared" si="7"/>
        <v xml:space="preserve"> sangat baik  dalam memahami Q.S. al- Falaq dan Q.S. al- Fil dengan baik dan benar</v>
      </c>
      <c r="EE20" s="307" t="str">
        <f t="shared" si="18"/>
        <v xml:space="preserve"> sangat baik  dalam memahami Q.S. al- Falaq dan Q.S. al- Fil dengan baik dan benar, dan  sangat baik  dalam memahami Q.S. al- Falaq dan Q.S. al- Fil dengan baik dan benar</v>
      </c>
      <c r="EF20" s="307" t="str">
        <f t="shared" si="19"/>
        <v xml:space="preserve"> sangat baik  dalam memahami Q.S. al- Falaq dan Q.S. al- Fil dengan baik dan benar</v>
      </c>
      <c r="EG20" s="308" t="str">
        <f t="shared" si="20"/>
        <v xml:space="preserve"> sangat baik  dalam memahami Q.S. al- Falaq dan Q.S. al- Fil dengan baik dan benar</v>
      </c>
      <c r="EH20" s="301" t="str">
        <f t="shared" si="8"/>
        <v>Anak 15 sangat baik  dalam memahami Q.S. al- Falaq dan Q.S. al- Fil dengan baik dan benar</v>
      </c>
      <c r="EI20" s="106" t="e">
        <f>IF(#REF!=1,AS$4," ")</f>
        <v>#REF!</v>
      </c>
      <c r="EJ20" s="106" t="e">
        <f>IF(#REF!=1,AT$4," ")</f>
        <v>#REF!</v>
      </c>
      <c r="EK20" s="106" t="e">
        <f>IF(#REF!=1,AU$4," ")</f>
        <v>#REF!</v>
      </c>
      <c r="EL20" s="106" t="e">
        <f>IF(#REF!=1,AV$4," ")</f>
        <v>#REF!</v>
      </c>
      <c r="EM20" s="106" t="e">
        <f>IF(#REF!=1,AW$4," ")</f>
        <v>#REF!</v>
      </c>
      <c r="EN20" s="106" t="e">
        <f>IF(#REF!=1,AX$4," ")</f>
        <v>#REF!</v>
      </c>
      <c r="EO20" s="106" t="e">
        <f>IF(#REF!=1,AY$4," ")</f>
        <v>#REF!</v>
      </c>
      <c r="EP20" s="106" t="e">
        <f>IF(#REF!=1,#REF!," ")</f>
        <v>#REF!</v>
      </c>
      <c r="EQ20" s="106" t="e">
        <f>IF(#REF!=1,#REF!," ")</f>
        <v>#REF!</v>
      </c>
      <c r="ER20" s="106" t="e">
        <f>IF(#REF!=1,DT$4," ")</f>
        <v>#REF!</v>
      </c>
      <c r="ES20" s="408">
        <f t="shared" si="21"/>
        <v>99</v>
      </c>
      <c r="EX20" s="302">
        <f t="shared" si="22"/>
        <v>99</v>
      </c>
      <c r="EY20" s="303" t="str">
        <f>IF(EX20&gt;KKM!$G$10,"A",IF(EX20&gt;KKM!$H$10,"B",IF(EX20&gt;=KKM!$I$10,"C","D")))</f>
        <v>A</v>
      </c>
      <c r="EZ20" s="523">
        <f t="shared" si="23"/>
        <v>99</v>
      </c>
      <c r="FA20" s="115" t="str">
        <f>IF(EZ20&gt;KKM!$G$10," sangat baik ",IF(EZ20&gt;KKM!$H$10," baik ",IF(EZ20&gt;=KKM!$I$10," cukup baik "," perlu bimbingan ")))</f>
        <v xml:space="preserve"> sangat baik </v>
      </c>
      <c r="FB20" s="524">
        <f t="shared" si="24"/>
        <v>99</v>
      </c>
      <c r="FC20" s="115" t="str">
        <f>IF(FB20&gt;KKM!$G$10," sangat baik ",IF(FB20&gt;KKM!$H$10," baik ",IF(FB20&gt;=KKM!$I$10," cukup baik "," perlu bimbingan ")))</f>
        <v xml:space="preserve"> sangat baik </v>
      </c>
      <c r="FD20" s="301" t="str">
        <f t="shared" si="25"/>
        <v>Anak 15 sangat baik  dalam memahami Q.S. al- Falaq dan Q.S. al- Fil dengan baik dan benar</v>
      </c>
      <c r="FE20" s="307" t="str">
        <f t="shared" si="26"/>
        <v xml:space="preserve"> sangat baik  dalam memahami Q.S. al- Falaq dan Q.S. al- Fil dengan baik dan benar</v>
      </c>
      <c r="FF20" s="307" t="str">
        <f t="shared" si="27"/>
        <v xml:space="preserve"> sangat baik  dalam memahami Q.S. al- Falaq dan Q.S. al- Fil dengan baik dan benar</v>
      </c>
      <c r="FG20" s="307" t="str">
        <f t="shared" si="28"/>
        <v xml:space="preserve"> sangat baik  dalam memahami Q.S. al- Falaq dan Q.S. al- Fil dengan baik dan benar, dan  sangat baik  dalam memahami Q.S. al- Falaq dan Q.S. al- Fil dengan baik dan benar</v>
      </c>
      <c r="FH20" s="307" t="str">
        <f t="shared" si="29"/>
        <v xml:space="preserve"> sangat baik  dalam memahami Q.S. al- Falaq dan Q.S. al- Fil dengan baik dan benar</v>
      </c>
      <c r="FI20" s="308" t="str">
        <f t="shared" si="30"/>
        <v xml:space="preserve"> sangat baik  dalam memahami Q.S. al- Falaq dan Q.S. al- Fil dengan baik dan benar</v>
      </c>
      <c r="FJ20" s="301" t="str">
        <f t="shared" si="31"/>
        <v>Anak 15 sangat baik  dalam memahami Q.S. al- Falaq dan Q.S. al- Fil dengan baik dan benar</v>
      </c>
      <c r="FQ20" s="408"/>
    </row>
    <row r="21" spans="2:173" ht="63" customHeight="1">
      <c r="B21" s="109">
        <v>16</v>
      </c>
      <c r="C21" s="110">
        <f>SISWA!B21</f>
        <v>0</v>
      </c>
      <c r="D21" s="111" t="str">
        <f>SISWA!E21</f>
        <v>Anak 16</v>
      </c>
      <c r="E21" s="631">
        <v>99</v>
      </c>
      <c r="F21" s="631">
        <v>99</v>
      </c>
      <c r="G21" s="631">
        <v>99</v>
      </c>
      <c r="H21" s="605"/>
      <c r="I21" s="605"/>
      <c r="J21" s="605"/>
      <c r="K21" s="605"/>
      <c r="L21" s="605"/>
      <c r="M21" s="605"/>
      <c r="N21" s="605"/>
      <c r="O21" s="605"/>
      <c r="P21" s="605"/>
      <c r="Q21" s="605"/>
      <c r="R21" s="631">
        <v>99</v>
      </c>
      <c r="S21" s="631">
        <v>99</v>
      </c>
      <c r="T21" s="631">
        <v>99</v>
      </c>
      <c r="U21" s="606"/>
      <c r="V21" s="606"/>
      <c r="W21" s="606"/>
      <c r="X21" s="606"/>
      <c r="Y21" s="606"/>
      <c r="Z21" s="606"/>
      <c r="AA21" s="606"/>
      <c r="AB21" s="606"/>
      <c r="AC21" s="606"/>
      <c r="AD21" s="631">
        <v>99</v>
      </c>
      <c r="AE21" s="631">
        <v>99</v>
      </c>
      <c r="AF21" s="631">
        <v>99</v>
      </c>
      <c r="AG21" s="605"/>
      <c r="AH21" s="605"/>
      <c r="AI21" s="605"/>
      <c r="AJ21" s="605"/>
      <c r="AK21" s="605"/>
      <c r="AL21" s="605"/>
      <c r="AM21" s="605"/>
      <c r="AN21" s="605"/>
      <c r="AO21" s="605"/>
      <c r="AP21" s="605"/>
      <c r="AQ21" s="728">
        <f t="shared" si="9"/>
        <v>99</v>
      </c>
      <c r="AR21" s="728">
        <f t="shared" si="10"/>
        <v>99</v>
      </c>
      <c r="AS21" s="728">
        <f t="shared" si="11"/>
        <v>99</v>
      </c>
      <c r="AT21" s="728" t="str">
        <f t="shared" si="12"/>
        <v/>
      </c>
      <c r="AU21" s="728" t="str">
        <f t="shared" si="13"/>
        <v/>
      </c>
      <c r="AV21" s="728" t="str">
        <f t="shared" si="14"/>
        <v/>
      </c>
      <c r="AW21" s="728" t="str">
        <f t="shared" si="15"/>
        <v/>
      </c>
      <c r="AX21" s="728" t="str">
        <f t="shared" si="16"/>
        <v/>
      </c>
      <c r="AY21" s="615"/>
      <c r="AZ21" s="615"/>
      <c r="BA21" s="615"/>
      <c r="BB21" s="615"/>
      <c r="BC21" s="615"/>
      <c r="BD21" s="124"/>
      <c r="BE21" s="124"/>
      <c r="BF21" s="124"/>
      <c r="BG21" s="124"/>
      <c r="BH21" s="124"/>
      <c r="BI21" s="124"/>
      <c r="BJ21" s="124"/>
      <c r="BK21" s="124"/>
      <c r="BL21" s="332"/>
      <c r="BM21" s="332"/>
      <c r="BN21" s="332"/>
      <c r="BO21" s="332"/>
      <c r="BP21" s="332"/>
      <c r="BQ21" s="332"/>
      <c r="BR21" s="332"/>
      <c r="BS21" s="332"/>
      <c r="BT21" s="332"/>
      <c r="BU21" s="332"/>
      <c r="BV21" s="332"/>
      <c r="BW21" s="332"/>
      <c r="BX21" s="124"/>
      <c r="BY21" s="124"/>
      <c r="BZ21" s="124"/>
      <c r="CA21" s="124"/>
      <c r="CB21" s="124"/>
      <c r="CC21" s="124"/>
      <c r="CD21" s="124"/>
      <c r="CE21" s="124"/>
      <c r="CF21" s="124"/>
      <c r="CG21" s="124"/>
      <c r="CH21" s="124"/>
      <c r="CI21" s="124"/>
      <c r="CJ21" s="332"/>
      <c r="CK21" s="332"/>
      <c r="CL21" s="332"/>
      <c r="CM21" s="332"/>
      <c r="CN21" s="332"/>
      <c r="CO21" s="332"/>
      <c r="CP21" s="332"/>
      <c r="CQ21" s="332"/>
      <c r="CR21" s="332"/>
      <c r="CS21" s="332"/>
      <c r="CT21" s="332"/>
      <c r="CU21" s="332"/>
      <c r="CV21" s="124"/>
      <c r="CW21" s="124"/>
      <c r="CX21" s="124"/>
      <c r="CY21" s="124"/>
      <c r="CZ21" s="124"/>
      <c r="DA21" s="124"/>
      <c r="DB21" s="124"/>
      <c r="DC21" s="124"/>
      <c r="DD21" s="124"/>
      <c r="DE21" s="124"/>
      <c r="DF21" s="124"/>
      <c r="DG21" s="124"/>
      <c r="DH21" s="332"/>
      <c r="DI21" s="332"/>
      <c r="DJ21" s="332"/>
      <c r="DK21" s="332"/>
      <c r="DL21" s="332"/>
      <c r="DM21" s="332"/>
      <c r="DN21" s="604"/>
      <c r="DO21" s="604"/>
      <c r="DP21" s="604"/>
      <c r="DQ21" s="604"/>
      <c r="DR21" s="604"/>
      <c r="DS21" s="604"/>
      <c r="DT21" s="722"/>
      <c r="DU21" s="302">
        <f t="shared" si="4"/>
        <v>99</v>
      </c>
      <c r="DV21" s="303" t="str">
        <f>IF(DU21&gt;KKM!$G$10,"A",IF(DU21&gt;KKM!$H$10,"B",IF(DU21&gt;=KKM!$I$10,"C","D")))</f>
        <v>A</v>
      </c>
      <c r="DW21" s="304">
        <f t="shared" si="5"/>
        <v>99</v>
      </c>
      <c r="DX21" s="115" t="str">
        <f>IF(DW21&gt;KKM!$G$10," sangat baik ",IF(DW21&gt;KKM!$H$10," baik ",IF(DW21&gt;=KKM!$I$10," cukup baik "," perlu bimbingan ")))</f>
        <v xml:space="preserve"> sangat baik </v>
      </c>
      <c r="DY21" s="305">
        <f t="shared" si="6"/>
        <v>99</v>
      </c>
      <c r="DZ21" s="115" t="str">
        <f>IF(DY21&gt;KKM!$G$10," sangat baik ",IF(DY21&gt;KKM!$H$10," baik ",IF(DY21&gt;=KKM!$I$10," cukup baik "," perlu bimbingan ")))</f>
        <v xml:space="preserve"> sangat baik </v>
      </c>
      <c r="EA21" s="301" t="str">
        <f t="shared" si="32"/>
        <v>Anak 16 sangat baik  dalam memahami Q.S. al- Falaq dan Q.S. al- Fil dengan baik dan benar</v>
      </c>
      <c r="EB21" s="424"/>
      <c r="EC21" s="307" t="str">
        <f t="shared" si="17"/>
        <v xml:space="preserve"> sangat baik  dalam memahami Q.S. al- Falaq dan Q.S. al- Fil dengan baik dan benar</v>
      </c>
      <c r="ED21" s="307" t="str">
        <f t="shared" si="7"/>
        <v xml:space="preserve"> sangat baik  dalam memahami Q.S. al- Falaq dan Q.S. al- Fil dengan baik dan benar</v>
      </c>
      <c r="EE21" s="307" t="str">
        <f t="shared" si="18"/>
        <v xml:space="preserve"> sangat baik  dalam memahami Q.S. al- Falaq dan Q.S. al- Fil dengan baik dan benar, dan  sangat baik  dalam memahami Q.S. al- Falaq dan Q.S. al- Fil dengan baik dan benar</v>
      </c>
      <c r="EF21" s="307" t="str">
        <f t="shared" si="19"/>
        <v xml:space="preserve"> sangat baik  dalam memahami Q.S. al- Falaq dan Q.S. al- Fil dengan baik dan benar</v>
      </c>
      <c r="EG21" s="308" t="str">
        <f t="shared" si="20"/>
        <v xml:space="preserve"> sangat baik  dalam memahami Q.S. al- Falaq dan Q.S. al- Fil dengan baik dan benar</v>
      </c>
      <c r="EH21" s="301" t="str">
        <f t="shared" si="8"/>
        <v>Anak 16 sangat baik  dalam memahami Q.S. al- Falaq dan Q.S. al- Fil dengan baik dan benar</v>
      </c>
      <c r="EI21" s="106" t="e">
        <f>IF(#REF!=1,AS$4," ")</f>
        <v>#REF!</v>
      </c>
      <c r="EJ21" s="106" t="e">
        <f>IF(#REF!=1,AT$4," ")</f>
        <v>#REF!</v>
      </c>
      <c r="EK21" s="106" t="e">
        <f>IF(#REF!=1,AU$4," ")</f>
        <v>#REF!</v>
      </c>
      <c r="EL21" s="106" t="e">
        <f>IF(#REF!=1,AV$4," ")</f>
        <v>#REF!</v>
      </c>
      <c r="EM21" s="106" t="e">
        <f>IF(#REF!=1,AW$4," ")</f>
        <v>#REF!</v>
      </c>
      <c r="EN21" s="106" t="e">
        <f>IF(#REF!=1,AX$4," ")</f>
        <v>#REF!</v>
      </c>
      <c r="EO21" s="106" t="e">
        <f>IF(#REF!=1,AY$4," ")</f>
        <v>#REF!</v>
      </c>
      <c r="EP21" s="106" t="e">
        <f>IF(#REF!=1,#REF!," ")</f>
        <v>#REF!</v>
      </c>
      <c r="EQ21" s="106" t="e">
        <f>IF(#REF!=1,#REF!," ")</f>
        <v>#REF!</v>
      </c>
      <c r="ER21" s="106" t="e">
        <f>IF(#REF!=1,DT$4," ")</f>
        <v>#REF!</v>
      </c>
      <c r="ES21" s="408">
        <f t="shared" si="21"/>
        <v>99</v>
      </c>
      <c r="EX21" s="302">
        <f t="shared" si="22"/>
        <v>99</v>
      </c>
      <c r="EY21" s="303" t="str">
        <f>IF(EX21&gt;KKM!$G$10,"A",IF(EX21&gt;KKM!$H$10,"B",IF(EX21&gt;=KKM!$I$10,"C","D")))</f>
        <v>A</v>
      </c>
      <c r="EZ21" s="523">
        <f t="shared" si="23"/>
        <v>99</v>
      </c>
      <c r="FA21" s="115" t="str">
        <f>IF(EZ21&gt;KKM!$G$10," sangat baik ",IF(EZ21&gt;KKM!$H$10," baik ",IF(EZ21&gt;=KKM!$I$10," cukup baik "," perlu bimbingan ")))</f>
        <v xml:space="preserve"> sangat baik </v>
      </c>
      <c r="FB21" s="524">
        <f t="shared" si="24"/>
        <v>99</v>
      </c>
      <c r="FC21" s="115" t="str">
        <f>IF(FB21&gt;KKM!$G$10," sangat baik ",IF(FB21&gt;KKM!$H$10," baik ",IF(FB21&gt;=KKM!$I$10," cukup baik "," perlu bimbingan ")))</f>
        <v xml:space="preserve"> sangat baik </v>
      </c>
      <c r="FD21" s="301" t="str">
        <f t="shared" si="25"/>
        <v>Anak 16 sangat baik  dalam memahami Q.S. al- Falaq dan Q.S. al- Fil dengan baik dan benar</v>
      </c>
      <c r="FE21" s="307" t="str">
        <f t="shared" si="26"/>
        <v xml:space="preserve"> sangat baik  dalam memahami Q.S. al- Falaq dan Q.S. al- Fil dengan baik dan benar</v>
      </c>
      <c r="FF21" s="307" t="str">
        <f t="shared" si="27"/>
        <v xml:space="preserve"> sangat baik  dalam memahami Q.S. al- Falaq dan Q.S. al- Fil dengan baik dan benar</v>
      </c>
      <c r="FG21" s="307" t="str">
        <f t="shared" si="28"/>
        <v xml:space="preserve"> sangat baik  dalam memahami Q.S. al- Falaq dan Q.S. al- Fil dengan baik dan benar, dan  sangat baik  dalam memahami Q.S. al- Falaq dan Q.S. al- Fil dengan baik dan benar</v>
      </c>
      <c r="FH21" s="307" t="str">
        <f t="shared" si="29"/>
        <v xml:space="preserve"> sangat baik  dalam memahami Q.S. al- Falaq dan Q.S. al- Fil dengan baik dan benar</v>
      </c>
      <c r="FI21" s="308" t="str">
        <f t="shared" si="30"/>
        <v xml:space="preserve"> sangat baik  dalam memahami Q.S. al- Falaq dan Q.S. al- Fil dengan baik dan benar</v>
      </c>
      <c r="FJ21" s="301" t="str">
        <f t="shared" si="31"/>
        <v>Anak 16 sangat baik  dalam memahami Q.S. al- Falaq dan Q.S. al- Fil dengan baik dan benar</v>
      </c>
      <c r="FQ21" s="408"/>
    </row>
    <row r="22" spans="2:173" ht="63" customHeight="1">
      <c r="B22" s="109">
        <v>17</v>
      </c>
      <c r="C22" s="110">
        <f>SISWA!B22</f>
        <v>0</v>
      </c>
      <c r="D22" s="111" t="str">
        <f>SISWA!E22</f>
        <v>Anak 17</v>
      </c>
      <c r="E22" s="631">
        <v>99</v>
      </c>
      <c r="F22" s="631">
        <v>99</v>
      </c>
      <c r="G22" s="631">
        <v>99</v>
      </c>
      <c r="H22" s="605"/>
      <c r="I22" s="605"/>
      <c r="J22" s="605"/>
      <c r="K22" s="605"/>
      <c r="L22" s="605"/>
      <c r="M22" s="605"/>
      <c r="N22" s="605"/>
      <c r="O22" s="605"/>
      <c r="P22" s="605"/>
      <c r="Q22" s="605"/>
      <c r="R22" s="631">
        <v>99</v>
      </c>
      <c r="S22" s="631">
        <v>99</v>
      </c>
      <c r="T22" s="631">
        <v>99</v>
      </c>
      <c r="U22" s="606"/>
      <c r="V22" s="606"/>
      <c r="W22" s="606"/>
      <c r="X22" s="606"/>
      <c r="Y22" s="606"/>
      <c r="Z22" s="606"/>
      <c r="AA22" s="606"/>
      <c r="AB22" s="606"/>
      <c r="AC22" s="606"/>
      <c r="AD22" s="631">
        <v>99</v>
      </c>
      <c r="AE22" s="631">
        <v>99</v>
      </c>
      <c r="AF22" s="631">
        <v>99</v>
      </c>
      <c r="AG22" s="605"/>
      <c r="AH22" s="605"/>
      <c r="AI22" s="605"/>
      <c r="AJ22" s="605"/>
      <c r="AK22" s="605"/>
      <c r="AL22" s="605"/>
      <c r="AM22" s="605"/>
      <c r="AN22" s="605"/>
      <c r="AO22" s="605"/>
      <c r="AP22" s="605"/>
      <c r="AQ22" s="728">
        <f t="shared" si="9"/>
        <v>99</v>
      </c>
      <c r="AR22" s="728">
        <f t="shared" si="10"/>
        <v>99</v>
      </c>
      <c r="AS22" s="728">
        <f t="shared" si="11"/>
        <v>99</v>
      </c>
      <c r="AT22" s="728" t="str">
        <f t="shared" si="12"/>
        <v/>
      </c>
      <c r="AU22" s="728" t="str">
        <f t="shared" si="13"/>
        <v/>
      </c>
      <c r="AV22" s="728" t="str">
        <f t="shared" si="14"/>
        <v/>
      </c>
      <c r="AW22" s="728" t="str">
        <f t="shared" si="15"/>
        <v/>
      </c>
      <c r="AX22" s="728" t="str">
        <f t="shared" si="16"/>
        <v/>
      </c>
      <c r="AY22" s="615"/>
      <c r="AZ22" s="615"/>
      <c r="BA22" s="615"/>
      <c r="BB22" s="615"/>
      <c r="BC22" s="615"/>
      <c r="BD22" s="124"/>
      <c r="BE22" s="124"/>
      <c r="BF22" s="124"/>
      <c r="BG22" s="124"/>
      <c r="BH22" s="124"/>
      <c r="BI22" s="124"/>
      <c r="BJ22" s="124"/>
      <c r="BK22" s="124"/>
      <c r="BL22" s="332"/>
      <c r="BM22" s="332"/>
      <c r="BN22" s="332"/>
      <c r="BO22" s="332"/>
      <c r="BP22" s="332"/>
      <c r="BQ22" s="332"/>
      <c r="BR22" s="332"/>
      <c r="BS22" s="332"/>
      <c r="BT22" s="332"/>
      <c r="BU22" s="332"/>
      <c r="BV22" s="332"/>
      <c r="BW22" s="332"/>
      <c r="BX22" s="124"/>
      <c r="BY22" s="124"/>
      <c r="BZ22" s="124"/>
      <c r="CA22" s="124"/>
      <c r="CB22" s="124"/>
      <c r="CC22" s="124"/>
      <c r="CD22" s="124"/>
      <c r="CE22" s="124"/>
      <c r="CF22" s="124"/>
      <c r="CG22" s="124"/>
      <c r="CH22" s="124"/>
      <c r="CI22" s="124"/>
      <c r="CJ22" s="332"/>
      <c r="CK22" s="332"/>
      <c r="CL22" s="332"/>
      <c r="CM22" s="332"/>
      <c r="CN22" s="332"/>
      <c r="CO22" s="332"/>
      <c r="CP22" s="332"/>
      <c r="CQ22" s="332"/>
      <c r="CR22" s="332"/>
      <c r="CS22" s="332"/>
      <c r="CT22" s="332"/>
      <c r="CU22" s="332"/>
      <c r="CV22" s="124"/>
      <c r="CW22" s="124"/>
      <c r="CX22" s="124"/>
      <c r="CY22" s="124"/>
      <c r="CZ22" s="124"/>
      <c r="DA22" s="124"/>
      <c r="DB22" s="124"/>
      <c r="DC22" s="124"/>
      <c r="DD22" s="124"/>
      <c r="DE22" s="124"/>
      <c r="DF22" s="124"/>
      <c r="DG22" s="124"/>
      <c r="DH22" s="332"/>
      <c r="DI22" s="332"/>
      <c r="DJ22" s="332"/>
      <c r="DK22" s="332"/>
      <c r="DL22" s="332"/>
      <c r="DM22" s="332"/>
      <c r="DN22" s="604"/>
      <c r="DO22" s="604"/>
      <c r="DP22" s="604"/>
      <c r="DQ22" s="604"/>
      <c r="DR22" s="604"/>
      <c r="DS22" s="604"/>
      <c r="DT22" s="722"/>
      <c r="DU22" s="302">
        <f t="shared" si="4"/>
        <v>99</v>
      </c>
      <c r="DV22" s="303" t="str">
        <f>IF(DU22&gt;KKM!$G$10,"A",IF(DU22&gt;KKM!$H$10,"B",IF(DU22&gt;=KKM!$I$10,"C","D")))</f>
        <v>A</v>
      </c>
      <c r="DW22" s="304">
        <f t="shared" si="5"/>
        <v>99</v>
      </c>
      <c r="DX22" s="115" t="str">
        <f>IF(DW22&gt;KKM!$G$10," sangat baik ",IF(DW22&gt;KKM!$H$10," baik ",IF(DW22&gt;=KKM!$I$10," cukup baik "," perlu bimbingan ")))</f>
        <v xml:space="preserve"> sangat baik </v>
      </c>
      <c r="DY22" s="305">
        <f t="shared" si="6"/>
        <v>99</v>
      </c>
      <c r="DZ22" s="115" t="str">
        <f>IF(DY22&gt;KKM!$G$10," sangat baik ",IF(DY22&gt;KKM!$H$10," baik ",IF(DY22&gt;=KKM!$I$10," cukup baik "," perlu bimbingan ")))</f>
        <v xml:space="preserve"> sangat baik </v>
      </c>
      <c r="EA22" s="301" t="str">
        <f t="shared" si="32"/>
        <v>Anak 17 sangat baik  dalam memahami Q.S. al- Falaq dan Q.S. al- Fil dengan baik dan benar</v>
      </c>
      <c r="EB22" s="424"/>
      <c r="EC22" s="307" t="str">
        <f t="shared" si="17"/>
        <v xml:space="preserve"> sangat baik  dalam memahami Q.S. al- Falaq dan Q.S. al- Fil dengan baik dan benar</v>
      </c>
      <c r="ED22" s="307" t="str">
        <f t="shared" si="7"/>
        <v xml:space="preserve"> sangat baik  dalam memahami Q.S. al- Falaq dan Q.S. al- Fil dengan baik dan benar</v>
      </c>
      <c r="EE22" s="307" t="str">
        <f t="shared" si="18"/>
        <v xml:space="preserve"> sangat baik  dalam memahami Q.S. al- Falaq dan Q.S. al- Fil dengan baik dan benar, dan  sangat baik  dalam memahami Q.S. al- Falaq dan Q.S. al- Fil dengan baik dan benar</v>
      </c>
      <c r="EF22" s="307" t="str">
        <f t="shared" si="19"/>
        <v xml:space="preserve"> sangat baik  dalam memahami Q.S. al- Falaq dan Q.S. al- Fil dengan baik dan benar</v>
      </c>
      <c r="EG22" s="308" t="str">
        <f t="shared" si="20"/>
        <v xml:space="preserve"> sangat baik  dalam memahami Q.S. al- Falaq dan Q.S. al- Fil dengan baik dan benar</v>
      </c>
      <c r="EH22" s="301" t="str">
        <f t="shared" si="8"/>
        <v>Anak 17 sangat baik  dalam memahami Q.S. al- Falaq dan Q.S. al- Fil dengan baik dan benar</v>
      </c>
      <c r="EI22" s="106" t="e">
        <f>IF(#REF!=1,AS$4," ")</f>
        <v>#REF!</v>
      </c>
      <c r="EJ22" s="106" t="e">
        <f>IF(#REF!=1,AT$4," ")</f>
        <v>#REF!</v>
      </c>
      <c r="EK22" s="106" t="e">
        <f>IF(#REF!=1,AU$4," ")</f>
        <v>#REF!</v>
      </c>
      <c r="EL22" s="106" t="e">
        <f>IF(#REF!=1,AV$4," ")</f>
        <v>#REF!</v>
      </c>
      <c r="EM22" s="106" t="e">
        <f>IF(#REF!=1,AW$4," ")</f>
        <v>#REF!</v>
      </c>
      <c r="EN22" s="106" t="e">
        <f>IF(#REF!=1,AX$4," ")</f>
        <v>#REF!</v>
      </c>
      <c r="EO22" s="106" t="e">
        <f>IF(#REF!=1,AY$4," ")</f>
        <v>#REF!</v>
      </c>
      <c r="EP22" s="106" t="e">
        <f>IF(#REF!=1,#REF!," ")</f>
        <v>#REF!</v>
      </c>
      <c r="EQ22" s="106" t="e">
        <f>IF(#REF!=1,#REF!," ")</f>
        <v>#REF!</v>
      </c>
      <c r="ER22" s="106" t="e">
        <f>IF(#REF!=1,DT$4," ")</f>
        <v>#REF!</v>
      </c>
      <c r="ES22" s="408">
        <f t="shared" si="21"/>
        <v>99</v>
      </c>
      <c r="EX22" s="302">
        <f t="shared" si="22"/>
        <v>99</v>
      </c>
      <c r="EY22" s="303" t="str">
        <f>IF(EX22&gt;KKM!$G$10,"A",IF(EX22&gt;KKM!$H$10,"B",IF(EX22&gt;=KKM!$I$10,"C","D")))</f>
        <v>A</v>
      </c>
      <c r="EZ22" s="523">
        <f t="shared" si="23"/>
        <v>99</v>
      </c>
      <c r="FA22" s="115" t="str">
        <f>IF(EZ22&gt;KKM!$G$10," sangat baik ",IF(EZ22&gt;KKM!$H$10," baik ",IF(EZ22&gt;=KKM!$I$10," cukup baik "," perlu bimbingan ")))</f>
        <v xml:space="preserve"> sangat baik </v>
      </c>
      <c r="FB22" s="524">
        <f t="shared" si="24"/>
        <v>99</v>
      </c>
      <c r="FC22" s="115" t="str">
        <f>IF(FB22&gt;KKM!$G$10," sangat baik ",IF(FB22&gt;KKM!$H$10," baik ",IF(FB22&gt;=KKM!$I$10," cukup baik "," perlu bimbingan ")))</f>
        <v xml:space="preserve"> sangat baik </v>
      </c>
      <c r="FD22" s="301" t="str">
        <f t="shared" si="25"/>
        <v>Anak 17 sangat baik  dalam memahami Q.S. al- Falaq dan Q.S. al- Fil dengan baik dan benar</v>
      </c>
      <c r="FE22" s="307" t="str">
        <f t="shared" si="26"/>
        <v xml:space="preserve"> sangat baik  dalam memahami Q.S. al- Falaq dan Q.S. al- Fil dengan baik dan benar</v>
      </c>
      <c r="FF22" s="307" t="str">
        <f t="shared" si="27"/>
        <v xml:space="preserve"> sangat baik  dalam memahami Q.S. al- Falaq dan Q.S. al- Fil dengan baik dan benar</v>
      </c>
      <c r="FG22" s="307" t="str">
        <f t="shared" si="28"/>
        <v xml:space="preserve"> sangat baik  dalam memahami Q.S. al- Falaq dan Q.S. al- Fil dengan baik dan benar, dan  sangat baik  dalam memahami Q.S. al- Falaq dan Q.S. al- Fil dengan baik dan benar</v>
      </c>
      <c r="FH22" s="307" t="str">
        <f t="shared" si="29"/>
        <v xml:space="preserve"> sangat baik  dalam memahami Q.S. al- Falaq dan Q.S. al- Fil dengan baik dan benar</v>
      </c>
      <c r="FI22" s="308" t="str">
        <f t="shared" si="30"/>
        <v xml:space="preserve"> sangat baik  dalam memahami Q.S. al- Falaq dan Q.S. al- Fil dengan baik dan benar</v>
      </c>
      <c r="FJ22" s="301" t="str">
        <f t="shared" si="31"/>
        <v>Anak 17 sangat baik  dalam memahami Q.S. al- Falaq dan Q.S. al- Fil dengan baik dan benar</v>
      </c>
      <c r="FQ22" s="408"/>
    </row>
    <row r="23" spans="2:173" ht="63" customHeight="1">
      <c r="B23" s="109">
        <v>18</v>
      </c>
      <c r="C23" s="110">
        <f>SISWA!B23</f>
        <v>0</v>
      </c>
      <c r="D23" s="111" t="str">
        <f>SISWA!E23</f>
        <v>Anak 18</v>
      </c>
      <c r="E23" s="631">
        <v>99</v>
      </c>
      <c r="F23" s="631">
        <v>99</v>
      </c>
      <c r="G23" s="631">
        <v>99</v>
      </c>
      <c r="H23" s="605"/>
      <c r="I23" s="605"/>
      <c r="J23" s="605"/>
      <c r="K23" s="605"/>
      <c r="L23" s="605"/>
      <c r="M23" s="605"/>
      <c r="N23" s="605"/>
      <c r="O23" s="605"/>
      <c r="P23" s="605"/>
      <c r="Q23" s="605"/>
      <c r="R23" s="631">
        <v>99</v>
      </c>
      <c r="S23" s="631">
        <v>99</v>
      </c>
      <c r="T23" s="631">
        <v>99</v>
      </c>
      <c r="U23" s="606"/>
      <c r="V23" s="606"/>
      <c r="W23" s="606"/>
      <c r="X23" s="606"/>
      <c r="Y23" s="606"/>
      <c r="Z23" s="606"/>
      <c r="AA23" s="606"/>
      <c r="AB23" s="606"/>
      <c r="AC23" s="606"/>
      <c r="AD23" s="631">
        <v>99</v>
      </c>
      <c r="AE23" s="631">
        <v>99</v>
      </c>
      <c r="AF23" s="631">
        <v>99</v>
      </c>
      <c r="AG23" s="605"/>
      <c r="AH23" s="605"/>
      <c r="AI23" s="605"/>
      <c r="AJ23" s="605"/>
      <c r="AK23" s="605"/>
      <c r="AL23" s="605"/>
      <c r="AM23" s="605"/>
      <c r="AN23" s="605"/>
      <c r="AO23" s="605"/>
      <c r="AP23" s="605"/>
      <c r="AQ23" s="728">
        <f t="shared" si="9"/>
        <v>99</v>
      </c>
      <c r="AR23" s="728">
        <f t="shared" si="10"/>
        <v>99</v>
      </c>
      <c r="AS23" s="728">
        <f t="shared" si="11"/>
        <v>99</v>
      </c>
      <c r="AT23" s="728" t="str">
        <f t="shared" si="12"/>
        <v/>
      </c>
      <c r="AU23" s="728" t="str">
        <f t="shared" si="13"/>
        <v/>
      </c>
      <c r="AV23" s="728" t="str">
        <f t="shared" si="14"/>
        <v/>
      </c>
      <c r="AW23" s="728" t="str">
        <f t="shared" si="15"/>
        <v/>
      </c>
      <c r="AX23" s="728" t="str">
        <f t="shared" si="16"/>
        <v/>
      </c>
      <c r="AY23" s="615"/>
      <c r="AZ23" s="615"/>
      <c r="BA23" s="615"/>
      <c r="BB23" s="615"/>
      <c r="BC23" s="615"/>
      <c r="BD23" s="124"/>
      <c r="BE23" s="124"/>
      <c r="BF23" s="124"/>
      <c r="BG23" s="124"/>
      <c r="BH23" s="124"/>
      <c r="BI23" s="124"/>
      <c r="BJ23" s="124"/>
      <c r="BK23" s="124"/>
      <c r="BL23" s="332"/>
      <c r="BM23" s="332"/>
      <c r="BN23" s="332"/>
      <c r="BO23" s="332"/>
      <c r="BP23" s="332"/>
      <c r="BQ23" s="332"/>
      <c r="BR23" s="332"/>
      <c r="BS23" s="332"/>
      <c r="BT23" s="332"/>
      <c r="BU23" s="332"/>
      <c r="BV23" s="332"/>
      <c r="BW23" s="332"/>
      <c r="BX23" s="124"/>
      <c r="BY23" s="124"/>
      <c r="BZ23" s="124"/>
      <c r="CA23" s="124"/>
      <c r="CB23" s="124"/>
      <c r="CC23" s="124"/>
      <c r="CD23" s="124"/>
      <c r="CE23" s="124"/>
      <c r="CF23" s="124"/>
      <c r="CG23" s="124"/>
      <c r="CH23" s="124"/>
      <c r="CI23" s="124"/>
      <c r="CJ23" s="332"/>
      <c r="CK23" s="332"/>
      <c r="CL23" s="332"/>
      <c r="CM23" s="332"/>
      <c r="CN23" s="332"/>
      <c r="CO23" s="332"/>
      <c r="CP23" s="332"/>
      <c r="CQ23" s="332"/>
      <c r="CR23" s="332"/>
      <c r="CS23" s="332"/>
      <c r="CT23" s="332"/>
      <c r="CU23" s="332"/>
      <c r="CV23" s="124"/>
      <c r="CW23" s="124"/>
      <c r="CX23" s="124"/>
      <c r="CY23" s="124"/>
      <c r="CZ23" s="124"/>
      <c r="DA23" s="124"/>
      <c r="DB23" s="124"/>
      <c r="DC23" s="124"/>
      <c r="DD23" s="124"/>
      <c r="DE23" s="124"/>
      <c r="DF23" s="124"/>
      <c r="DG23" s="124"/>
      <c r="DH23" s="332"/>
      <c r="DI23" s="332"/>
      <c r="DJ23" s="332"/>
      <c r="DK23" s="332"/>
      <c r="DL23" s="332"/>
      <c r="DM23" s="332"/>
      <c r="DN23" s="604"/>
      <c r="DO23" s="604"/>
      <c r="DP23" s="604"/>
      <c r="DQ23" s="604"/>
      <c r="DR23" s="604"/>
      <c r="DS23" s="604"/>
      <c r="DT23" s="722"/>
      <c r="DU23" s="302">
        <f t="shared" si="4"/>
        <v>99</v>
      </c>
      <c r="DV23" s="303" t="str">
        <f>IF(DU23&gt;KKM!$G$10,"A",IF(DU23&gt;KKM!$H$10,"B",IF(DU23&gt;=KKM!$I$10,"C","D")))</f>
        <v>A</v>
      </c>
      <c r="DW23" s="304">
        <f t="shared" si="5"/>
        <v>99</v>
      </c>
      <c r="DX23" s="115" t="str">
        <f>IF(DW23&gt;KKM!$G$10," sangat baik ",IF(DW23&gt;KKM!$H$10," baik ",IF(DW23&gt;=KKM!$I$10," cukup baik "," perlu bimbingan ")))</f>
        <v xml:space="preserve"> sangat baik </v>
      </c>
      <c r="DY23" s="305">
        <f t="shared" si="6"/>
        <v>99</v>
      </c>
      <c r="DZ23" s="115" t="str">
        <f>IF(DY23&gt;KKM!$G$10," sangat baik ",IF(DY23&gt;KKM!$H$10," baik ",IF(DY23&gt;=KKM!$I$10," cukup baik "," perlu bimbingan ")))</f>
        <v xml:space="preserve"> sangat baik </v>
      </c>
      <c r="EA23" s="301" t="str">
        <f t="shared" si="32"/>
        <v>Anak 18 sangat baik  dalam memahami Q.S. al- Falaq dan Q.S. al- Fil dengan baik dan benar</v>
      </c>
      <c r="EB23" s="424"/>
      <c r="EC23" s="307" t="str">
        <f t="shared" si="17"/>
        <v xml:space="preserve"> sangat baik  dalam memahami Q.S. al- Falaq dan Q.S. al- Fil dengan baik dan benar</v>
      </c>
      <c r="ED23" s="307" t="str">
        <f t="shared" si="7"/>
        <v xml:space="preserve"> sangat baik  dalam memahami Q.S. al- Falaq dan Q.S. al- Fil dengan baik dan benar</v>
      </c>
      <c r="EE23" s="307" t="str">
        <f t="shared" si="18"/>
        <v xml:space="preserve"> sangat baik  dalam memahami Q.S. al- Falaq dan Q.S. al- Fil dengan baik dan benar, dan  sangat baik  dalam memahami Q.S. al- Falaq dan Q.S. al- Fil dengan baik dan benar</v>
      </c>
      <c r="EF23" s="307" t="str">
        <f t="shared" si="19"/>
        <v xml:space="preserve"> sangat baik  dalam memahami Q.S. al- Falaq dan Q.S. al- Fil dengan baik dan benar</v>
      </c>
      <c r="EG23" s="308" t="str">
        <f t="shared" si="20"/>
        <v xml:space="preserve"> sangat baik  dalam memahami Q.S. al- Falaq dan Q.S. al- Fil dengan baik dan benar</v>
      </c>
      <c r="EH23" s="301" t="str">
        <f t="shared" si="8"/>
        <v>Anak 18 sangat baik  dalam memahami Q.S. al- Falaq dan Q.S. al- Fil dengan baik dan benar</v>
      </c>
      <c r="EI23" s="106" t="e">
        <f>IF(#REF!=1,AS$4," ")</f>
        <v>#REF!</v>
      </c>
      <c r="EJ23" s="106" t="e">
        <f>IF(#REF!=1,AT$4," ")</f>
        <v>#REF!</v>
      </c>
      <c r="EK23" s="106" t="e">
        <f>IF(#REF!=1,AU$4," ")</f>
        <v>#REF!</v>
      </c>
      <c r="EL23" s="106" t="e">
        <f>IF(#REF!=1,AV$4," ")</f>
        <v>#REF!</v>
      </c>
      <c r="EM23" s="106" t="e">
        <f>IF(#REF!=1,AW$4," ")</f>
        <v>#REF!</v>
      </c>
      <c r="EN23" s="106" t="e">
        <f>IF(#REF!=1,AX$4," ")</f>
        <v>#REF!</v>
      </c>
      <c r="EO23" s="106" t="e">
        <f>IF(#REF!=1,AY$4," ")</f>
        <v>#REF!</v>
      </c>
      <c r="EP23" s="106" t="e">
        <f>IF(#REF!=1,#REF!," ")</f>
        <v>#REF!</v>
      </c>
      <c r="EQ23" s="106" t="e">
        <f>IF(#REF!=1,#REF!," ")</f>
        <v>#REF!</v>
      </c>
      <c r="ER23" s="106" t="e">
        <f>IF(#REF!=1,DT$4," ")</f>
        <v>#REF!</v>
      </c>
      <c r="ES23" s="408">
        <f t="shared" si="21"/>
        <v>99</v>
      </c>
      <c r="EX23" s="302">
        <f t="shared" si="22"/>
        <v>99</v>
      </c>
      <c r="EY23" s="303" t="str">
        <f>IF(EX23&gt;KKM!$G$10,"A",IF(EX23&gt;KKM!$H$10,"B",IF(EX23&gt;=KKM!$I$10,"C","D")))</f>
        <v>A</v>
      </c>
      <c r="EZ23" s="523">
        <f t="shared" si="23"/>
        <v>99</v>
      </c>
      <c r="FA23" s="115" t="str">
        <f>IF(EZ23&gt;KKM!$G$10," sangat baik ",IF(EZ23&gt;KKM!$H$10," baik ",IF(EZ23&gt;=KKM!$I$10," cukup baik "," perlu bimbingan ")))</f>
        <v xml:space="preserve"> sangat baik </v>
      </c>
      <c r="FB23" s="524">
        <f t="shared" si="24"/>
        <v>99</v>
      </c>
      <c r="FC23" s="115" t="str">
        <f>IF(FB23&gt;KKM!$G$10," sangat baik ",IF(FB23&gt;KKM!$H$10," baik ",IF(FB23&gt;=KKM!$I$10," cukup baik "," perlu bimbingan ")))</f>
        <v xml:space="preserve"> sangat baik </v>
      </c>
      <c r="FD23" s="301" t="str">
        <f t="shared" si="25"/>
        <v>Anak 18 sangat baik  dalam memahami Q.S. al- Falaq dan Q.S. al- Fil dengan baik dan benar</v>
      </c>
      <c r="FE23" s="307" t="str">
        <f t="shared" si="26"/>
        <v xml:space="preserve"> sangat baik  dalam memahami Q.S. al- Falaq dan Q.S. al- Fil dengan baik dan benar</v>
      </c>
      <c r="FF23" s="307" t="str">
        <f t="shared" si="27"/>
        <v xml:space="preserve"> sangat baik  dalam memahami Q.S. al- Falaq dan Q.S. al- Fil dengan baik dan benar</v>
      </c>
      <c r="FG23" s="307" t="str">
        <f t="shared" si="28"/>
        <v xml:space="preserve"> sangat baik  dalam memahami Q.S. al- Falaq dan Q.S. al- Fil dengan baik dan benar, dan  sangat baik  dalam memahami Q.S. al- Falaq dan Q.S. al- Fil dengan baik dan benar</v>
      </c>
      <c r="FH23" s="307" t="str">
        <f t="shared" si="29"/>
        <v xml:space="preserve"> sangat baik  dalam memahami Q.S. al- Falaq dan Q.S. al- Fil dengan baik dan benar</v>
      </c>
      <c r="FI23" s="308" t="str">
        <f t="shared" si="30"/>
        <v xml:space="preserve"> sangat baik  dalam memahami Q.S. al- Falaq dan Q.S. al- Fil dengan baik dan benar</v>
      </c>
      <c r="FJ23" s="301" t="str">
        <f t="shared" si="31"/>
        <v>Anak 18 sangat baik  dalam memahami Q.S. al- Falaq dan Q.S. al- Fil dengan baik dan benar</v>
      </c>
      <c r="FQ23" s="408"/>
    </row>
    <row r="24" spans="2:173" ht="63" customHeight="1">
      <c r="B24" s="109">
        <v>19</v>
      </c>
      <c r="C24" s="110">
        <f>SISWA!B24</f>
        <v>0</v>
      </c>
      <c r="D24" s="111" t="str">
        <f>SISWA!E24</f>
        <v>Anak 19</v>
      </c>
      <c r="E24" s="631">
        <v>99</v>
      </c>
      <c r="F24" s="631">
        <v>99</v>
      </c>
      <c r="G24" s="631">
        <v>99</v>
      </c>
      <c r="H24" s="605"/>
      <c r="I24" s="605"/>
      <c r="J24" s="605"/>
      <c r="K24" s="605"/>
      <c r="L24" s="605"/>
      <c r="M24" s="605"/>
      <c r="N24" s="605"/>
      <c r="O24" s="605"/>
      <c r="P24" s="605"/>
      <c r="Q24" s="605"/>
      <c r="R24" s="631">
        <v>99</v>
      </c>
      <c r="S24" s="631">
        <v>99</v>
      </c>
      <c r="T24" s="631">
        <v>99</v>
      </c>
      <c r="U24" s="606"/>
      <c r="V24" s="606"/>
      <c r="W24" s="606"/>
      <c r="X24" s="606"/>
      <c r="Y24" s="606"/>
      <c r="Z24" s="606"/>
      <c r="AA24" s="606"/>
      <c r="AB24" s="606"/>
      <c r="AC24" s="606"/>
      <c r="AD24" s="631">
        <v>99</v>
      </c>
      <c r="AE24" s="631">
        <v>99</v>
      </c>
      <c r="AF24" s="631">
        <v>99</v>
      </c>
      <c r="AG24" s="605"/>
      <c r="AH24" s="605"/>
      <c r="AI24" s="605"/>
      <c r="AJ24" s="605"/>
      <c r="AK24" s="605"/>
      <c r="AL24" s="605"/>
      <c r="AM24" s="605"/>
      <c r="AN24" s="605"/>
      <c r="AO24" s="605"/>
      <c r="AP24" s="605"/>
      <c r="AQ24" s="728">
        <f t="shared" si="9"/>
        <v>99</v>
      </c>
      <c r="AR24" s="728">
        <f t="shared" si="10"/>
        <v>99</v>
      </c>
      <c r="AS24" s="728">
        <f t="shared" si="11"/>
        <v>99</v>
      </c>
      <c r="AT24" s="728" t="str">
        <f t="shared" si="12"/>
        <v/>
      </c>
      <c r="AU24" s="728" t="str">
        <f t="shared" si="13"/>
        <v/>
      </c>
      <c r="AV24" s="728" t="str">
        <f t="shared" si="14"/>
        <v/>
      </c>
      <c r="AW24" s="728" t="str">
        <f t="shared" si="15"/>
        <v/>
      </c>
      <c r="AX24" s="728" t="str">
        <f t="shared" si="16"/>
        <v/>
      </c>
      <c r="AY24" s="615"/>
      <c r="AZ24" s="615"/>
      <c r="BA24" s="615"/>
      <c r="BB24" s="615"/>
      <c r="BC24" s="615"/>
      <c r="BD24" s="124"/>
      <c r="BE24" s="124"/>
      <c r="BF24" s="124"/>
      <c r="BG24" s="124"/>
      <c r="BH24" s="124"/>
      <c r="BI24" s="124"/>
      <c r="BJ24" s="124"/>
      <c r="BK24" s="124"/>
      <c r="BL24" s="332"/>
      <c r="BM24" s="332"/>
      <c r="BN24" s="332"/>
      <c r="BO24" s="332"/>
      <c r="BP24" s="332"/>
      <c r="BQ24" s="332"/>
      <c r="BR24" s="332"/>
      <c r="BS24" s="332"/>
      <c r="BT24" s="332"/>
      <c r="BU24" s="332"/>
      <c r="BV24" s="332"/>
      <c r="BW24" s="332"/>
      <c r="BX24" s="124"/>
      <c r="BY24" s="124"/>
      <c r="BZ24" s="124"/>
      <c r="CA24" s="124"/>
      <c r="CB24" s="124"/>
      <c r="CC24" s="124"/>
      <c r="CD24" s="124"/>
      <c r="CE24" s="124"/>
      <c r="CF24" s="124"/>
      <c r="CG24" s="124"/>
      <c r="CH24" s="124"/>
      <c r="CI24" s="124"/>
      <c r="CJ24" s="332"/>
      <c r="CK24" s="332"/>
      <c r="CL24" s="332"/>
      <c r="CM24" s="332"/>
      <c r="CN24" s="332"/>
      <c r="CO24" s="332"/>
      <c r="CP24" s="332"/>
      <c r="CQ24" s="332"/>
      <c r="CR24" s="332"/>
      <c r="CS24" s="332"/>
      <c r="CT24" s="332"/>
      <c r="CU24" s="332"/>
      <c r="CV24" s="124"/>
      <c r="CW24" s="124"/>
      <c r="CX24" s="124"/>
      <c r="CY24" s="124"/>
      <c r="CZ24" s="124"/>
      <c r="DA24" s="124"/>
      <c r="DB24" s="124"/>
      <c r="DC24" s="124"/>
      <c r="DD24" s="124"/>
      <c r="DE24" s="124"/>
      <c r="DF24" s="124"/>
      <c r="DG24" s="124"/>
      <c r="DH24" s="332"/>
      <c r="DI24" s="332"/>
      <c r="DJ24" s="332"/>
      <c r="DK24" s="332"/>
      <c r="DL24" s="332"/>
      <c r="DM24" s="332"/>
      <c r="DN24" s="604"/>
      <c r="DO24" s="604"/>
      <c r="DP24" s="604"/>
      <c r="DQ24" s="604"/>
      <c r="DR24" s="604"/>
      <c r="DS24" s="604"/>
      <c r="DT24" s="722"/>
      <c r="DU24" s="302">
        <f t="shared" si="4"/>
        <v>99</v>
      </c>
      <c r="DV24" s="303" t="str">
        <f>IF(DU24&gt;KKM!$G$10,"A",IF(DU24&gt;KKM!$H$10,"B",IF(DU24&gt;=KKM!$I$10,"C","D")))</f>
        <v>A</v>
      </c>
      <c r="DW24" s="304">
        <f t="shared" si="5"/>
        <v>99</v>
      </c>
      <c r="DX24" s="115" t="str">
        <f>IF(DW24&gt;KKM!$G$10," sangat baik ",IF(DW24&gt;KKM!$H$10," baik ",IF(DW24&gt;=KKM!$I$10," cukup baik "," perlu bimbingan ")))</f>
        <v xml:space="preserve"> sangat baik </v>
      </c>
      <c r="DY24" s="305">
        <f t="shared" si="6"/>
        <v>99</v>
      </c>
      <c r="DZ24" s="115" t="str">
        <f>IF(DY24&gt;KKM!$G$10," sangat baik ",IF(DY24&gt;KKM!$H$10," baik ",IF(DY24&gt;=KKM!$I$10," cukup baik "," perlu bimbingan ")))</f>
        <v xml:space="preserve"> sangat baik </v>
      </c>
      <c r="EA24" s="301" t="str">
        <f t="shared" si="32"/>
        <v>Anak 19 sangat baik  dalam memahami Q.S. al- Falaq dan Q.S. al- Fil dengan baik dan benar</v>
      </c>
      <c r="EB24" s="424"/>
      <c r="EC24" s="307" t="str">
        <f t="shared" si="17"/>
        <v xml:space="preserve"> sangat baik  dalam memahami Q.S. al- Falaq dan Q.S. al- Fil dengan baik dan benar</v>
      </c>
      <c r="ED24" s="307" t="str">
        <f t="shared" si="7"/>
        <v xml:space="preserve"> sangat baik  dalam memahami Q.S. al- Falaq dan Q.S. al- Fil dengan baik dan benar</v>
      </c>
      <c r="EE24" s="307" t="str">
        <f t="shared" si="18"/>
        <v xml:space="preserve"> sangat baik  dalam memahami Q.S. al- Falaq dan Q.S. al- Fil dengan baik dan benar, dan  sangat baik  dalam memahami Q.S. al- Falaq dan Q.S. al- Fil dengan baik dan benar</v>
      </c>
      <c r="EF24" s="307" t="str">
        <f t="shared" si="19"/>
        <v xml:space="preserve"> sangat baik  dalam memahami Q.S. al- Falaq dan Q.S. al- Fil dengan baik dan benar</v>
      </c>
      <c r="EG24" s="308" t="str">
        <f t="shared" si="20"/>
        <v xml:space="preserve"> sangat baik  dalam memahami Q.S. al- Falaq dan Q.S. al- Fil dengan baik dan benar</v>
      </c>
      <c r="EH24" s="301" t="str">
        <f t="shared" si="8"/>
        <v>Anak 19 sangat baik  dalam memahami Q.S. al- Falaq dan Q.S. al- Fil dengan baik dan benar</v>
      </c>
      <c r="EI24" s="106" t="e">
        <f>IF(#REF!=1,AS$4," ")</f>
        <v>#REF!</v>
      </c>
      <c r="EJ24" s="106" t="e">
        <f>IF(#REF!=1,AT$4," ")</f>
        <v>#REF!</v>
      </c>
      <c r="EK24" s="106" t="e">
        <f>IF(#REF!=1,AU$4," ")</f>
        <v>#REF!</v>
      </c>
      <c r="EL24" s="106" t="e">
        <f>IF(#REF!=1,AV$4," ")</f>
        <v>#REF!</v>
      </c>
      <c r="EM24" s="106" t="e">
        <f>IF(#REF!=1,AW$4," ")</f>
        <v>#REF!</v>
      </c>
      <c r="EN24" s="106" t="e">
        <f>IF(#REF!=1,AX$4," ")</f>
        <v>#REF!</v>
      </c>
      <c r="EO24" s="106" t="e">
        <f>IF(#REF!=1,AY$4," ")</f>
        <v>#REF!</v>
      </c>
      <c r="EP24" s="106" t="e">
        <f>IF(#REF!=1,#REF!," ")</f>
        <v>#REF!</v>
      </c>
      <c r="EQ24" s="106" t="e">
        <f>IF(#REF!=1,#REF!," ")</f>
        <v>#REF!</v>
      </c>
      <c r="ER24" s="106" t="e">
        <f>IF(#REF!=1,DT$4," ")</f>
        <v>#REF!</v>
      </c>
      <c r="ES24" s="408">
        <f t="shared" si="21"/>
        <v>99</v>
      </c>
      <c r="EX24" s="302">
        <f t="shared" si="22"/>
        <v>99</v>
      </c>
      <c r="EY24" s="303" t="str">
        <f>IF(EX24&gt;KKM!$G$10,"A",IF(EX24&gt;KKM!$H$10,"B",IF(EX24&gt;=KKM!$I$10,"C","D")))</f>
        <v>A</v>
      </c>
      <c r="EZ24" s="523">
        <f t="shared" si="23"/>
        <v>99</v>
      </c>
      <c r="FA24" s="115" t="str">
        <f>IF(EZ24&gt;KKM!$G$10," sangat baik ",IF(EZ24&gt;KKM!$H$10," baik ",IF(EZ24&gt;=KKM!$I$10," cukup baik "," perlu bimbingan ")))</f>
        <v xml:space="preserve"> sangat baik </v>
      </c>
      <c r="FB24" s="524">
        <f t="shared" si="24"/>
        <v>99</v>
      </c>
      <c r="FC24" s="115" t="str">
        <f>IF(FB24&gt;KKM!$G$10," sangat baik ",IF(FB24&gt;KKM!$H$10," baik ",IF(FB24&gt;=KKM!$I$10," cukup baik "," perlu bimbingan ")))</f>
        <v xml:space="preserve"> sangat baik </v>
      </c>
      <c r="FD24" s="301" t="str">
        <f t="shared" si="25"/>
        <v>Anak 19 sangat baik  dalam memahami Q.S. al- Falaq dan Q.S. al- Fil dengan baik dan benar</v>
      </c>
      <c r="FE24" s="307" t="str">
        <f t="shared" si="26"/>
        <v xml:space="preserve"> sangat baik  dalam memahami Q.S. al- Falaq dan Q.S. al- Fil dengan baik dan benar</v>
      </c>
      <c r="FF24" s="307" t="str">
        <f t="shared" si="27"/>
        <v xml:space="preserve"> sangat baik  dalam memahami Q.S. al- Falaq dan Q.S. al- Fil dengan baik dan benar</v>
      </c>
      <c r="FG24" s="307" t="str">
        <f t="shared" si="28"/>
        <v xml:space="preserve"> sangat baik  dalam memahami Q.S. al- Falaq dan Q.S. al- Fil dengan baik dan benar, dan  sangat baik  dalam memahami Q.S. al- Falaq dan Q.S. al- Fil dengan baik dan benar</v>
      </c>
      <c r="FH24" s="307" t="str">
        <f t="shared" si="29"/>
        <v xml:space="preserve"> sangat baik  dalam memahami Q.S. al- Falaq dan Q.S. al- Fil dengan baik dan benar</v>
      </c>
      <c r="FI24" s="308" t="str">
        <f t="shared" si="30"/>
        <v xml:space="preserve"> sangat baik  dalam memahami Q.S. al- Falaq dan Q.S. al- Fil dengan baik dan benar</v>
      </c>
      <c r="FJ24" s="301" t="str">
        <f t="shared" si="31"/>
        <v>Anak 19 sangat baik  dalam memahami Q.S. al- Falaq dan Q.S. al- Fil dengan baik dan benar</v>
      </c>
      <c r="FQ24" s="408"/>
    </row>
    <row r="25" spans="2:173" ht="63" customHeight="1">
      <c r="B25" s="109">
        <v>20</v>
      </c>
      <c r="C25" s="110">
        <f>SISWA!B25</f>
        <v>0</v>
      </c>
      <c r="D25" s="111" t="str">
        <f>SISWA!E25</f>
        <v>Anak 20</v>
      </c>
      <c r="E25" s="631">
        <v>99</v>
      </c>
      <c r="F25" s="631">
        <v>99</v>
      </c>
      <c r="G25" s="631">
        <v>99</v>
      </c>
      <c r="H25" s="605"/>
      <c r="I25" s="605"/>
      <c r="J25" s="605"/>
      <c r="K25" s="605"/>
      <c r="L25" s="605"/>
      <c r="M25" s="605"/>
      <c r="N25" s="605"/>
      <c r="O25" s="605"/>
      <c r="P25" s="605"/>
      <c r="Q25" s="605"/>
      <c r="R25" s="631">
        <v>99</v>
      </c>
      <c r="S25" s="631">
        <v>99</v>
      </c>
      <c r="T25" s="631">
        <v>99</v>
      </c>
      <c r="U25" s="606"/>
      <c r="V25" s="606"/>
      <c r="W25" s="606"/>
      <c r="X25" s="606"/>
      <c r="Y25" s="606"/>
      <c r="Z25" s="606"/>
      <c r="AA25" s="606"/>
      <c r="AB25" s="606"/>
      <c r="AC25" s="606"/>
      <c r="AD25" s="631">
        <v>99</v>
      </c>
      <c r="AE25" s="631">
        <v>99</v>
      </c>
      <c r="AF25" s="631">
        <v>99</v>
      </c>
      <c r="AG25" s="605"/>
      <c r="AH25" s="605"/>
      <c r="AI25" s="605"/>
      <c r="AJ25" s="605"/>
      <c r="AK25" s="605"/>
      <c r="AL25" s="605"/>
      <c r="AM25" s="605"/>
      <c r="AN25" s="605"/>
      <c r="AO25" s="605"/>
      <c r="AP25" s="605"/>
      <c r="AQ25" s="728">
        <f t="shared" si="9"/>
        <v>99</v>
      </c>
      <c r="AR25" s="728">
        <f t="shared" si="10"/>
        <v>99</v>
      </c>
      <c r="AS25" s="728">
        <f t="shared" si="11"/>
        <v>99</v>
      </c>
      <c r="AT25" s="728" t="str">
        <f t="shared" si="12"/>
        <v/>
      </c>
      <c r="AU25" s="728" t="str">
        <f t="shared" si="13"/>
        <v/>
      </c>
      <c r="AV25" s="728" t="str">
        <f t="shared" si="14"/>
        <v/>
      </c>
      <c r="AW25" s="728" t="str">
        <f t="shared" si="15"/>
        <v/>
      </c>
      <c r="AX25" s="728" t="str">
        <f t="shared" si="16"/>
        <v/>
      </c>
      <c r="AY25" s="615"/>
      <c r="AZ25" s="615"/>
      <c r="BA25" s="615"/>
      <c r="BB25" s="615"/>
      <c r="BC25" s="615"/>
      <c r="BD25" s="124"/>
      <c r="BE25" s="124"/>
      <c r="BF25" s="124"/>
      <c r="BG25" s="124"/>
      <c r="BH25" s="124"/>
      <c r="BI25" s="124"/>
      <c r="BJ25" s="124"/>
      <c r="BK25" s="124"/>
      <c r="BL25" s="332"/>
      <c r="BM25" s="332"/>
      <c r="BN25" s="332"/>
      <c r="BO25" s="332"/>
      <c r="BP25" s="332"/>
      <c r="BQ25" s="332"/>
      <c r="BR25" s="332"/>
      <c r="BS25" s="332"/>
      <c r="BT25" s="332"/>
      <c r="BU25" s="332"/>
      <c r="BV25" s="332"/>
      <c r="BW25" s="332"/>
      <c r="BX25" s="124"/>
      <c r="BY25" s="124"/>
      <c r="BZ25" s="124"/>
      <c r="CA25" s="124"/>
      <c r="CB25" s="124"/>
      <c r="CC25" s="124"/>
      <c r="CD25" s="124"/>
      <c r="CE25" s="124"/>
      <c r="CF25" s="124"/>
      <c r="CG25" s="124"/>
      <c r="CH25" s="124"/>
      <c r="CI25" s="124"/>
      <c r="CJ25" s="332"/>
      <c r="CK25" s="332"/>
      <c r="CL25" s="332"/>
      <c r="CM25" s="332"/>
      <c r="CN25" s="332"/>
      <c r="CO25" s="332"/>
      <c r="CP25" s="332"/>
      <c r="CQ25" s="332"/>
      <c r="CR25" s="332"/>
      <c r="CS25" s="332"/>
      <c r="CT25" s="332"/>
      <c r="CU25" s="332"/>
      <c r="CV25" s="124"/>
      <c r="CW25" s="124"/>
      <c r="CX25" s="124"/>
      <c r="CY25" s="124"/>
      <c r="CZ25" s="124"/>
      <c r="DA25" s="124"/>
      <c r="DB25" s="124"/>
      <c r="DC25" s="124"/>
      <c r="DD25" s="124"/>
      <c r="DE25" s="124"/>
      <c r="DF25" s="124"/>
      <c r="DG25" s="124"/>
      <c r="DH25" s="332"/>
      <c r="DI25" s="332"/>
      <c r="DJ25" s="332"/>
      <c r="DK25" s="332"/>
      <c r="DL25" s="332"/>
      <c r="DM25" s="332"/>
      <c r="DN25" s="604"/>
      <c r="DO25" s="604"/>
      <c r="DP25" s="604"/>
      <c r="DQ25" s="604"/>
      <c r="DR25" s="604"/>
      <c r="DS25" s="604"/>
      <c r="DT25" s="722"/>
      <c r="DU25" s="302">
        <f t="shared" si="4"/>
        <v>99</v>
      </c>
      <c r="DV25" s="303" t="str">
        <f>IF(DU25&gt;KKM!$G$10,"A",IF(DU25&gt;KKM!$H$10,"B",IF(DU25&gt;=KKM!$I$10,"C","D")))</f>
        <v>A</v>
      </c>
      <c r="DW25" s="304">
        <f t="shared" si="5"/>
        <v>99</v>
      </c>
      <c r="DX25" s="115" t="str">
        <f>IF(DW25&gt;KKM!$G$10," sangat baik ",IF(DW25&gt;KKM!$H$10," baik ",IF(DW25&gt;=KKM!$I$10," cukup baik "," perlu bimbingan ")))</f>
        <v xml:space="preserve"> sangat baik </v>
      </c>
      <c r="DY25" s="305">
        <f t="shared" si="6"/>
        <v>99</v>
      </c>
      <c r="DZ25" s="115" t="str">
        <f>IF(DY25&gt;KKM!$G$10," sangat baik ",IF(DY25&gt;KKM!$H$10," baik ",IF(DY25&gt;=KKM!$I$10," cukup baik "," perlu bimbingan ")))</f>
        <v xml:space="preserve"> sangat baik </v>
      </c>
      <c r="EA25" s="301" t="str">
        <f t="shared" si="32"/>
        <v>Anak 20 sangat baik  dalam memahami Q.S. al- Falaq dan Q.S. al- Fil dengan baik dan benar</v>
      </c>
      <c r="EB25" s="424"/>
      <c r="EC25" s="307" t="str">
        <f t="shared" si="17"/>
        <v xml:space="preserve"> sangat baik  dalam memahami Q.S. al- Falaq dan Q.S. al- Fil dengan baik dan benar</v>
      </c>
      <c r="ED25" s="307" t="str">
        <f t="shared" si="7"/>
        <v xml:space="preserve"> sangat baik  dalam memahami Q.S. al- Falaq dan Q.S. al- Fil dengan baik dan benar</v>
      </c>
      <c r="EE25" s="307" t="str">
        <f t="shared" si="18"/>
        <v xml:space="preserve"> sangat baik  dalam memahami Q.S. al- Falaq dan Q.S. al- Fil dengan baik dan benar, dan  sangat baik  dalam memahami Q.S. al- Falaq dan Q.S. al- Fil dengan baik dan benar</v>
      </c>
      <c r="EF25" s="307" t="str">
        <f t="shared" si="19"/>
        <v xml:space="preserve"> sangat baik  dalam memahami Q.S. al- Falaq dan Q.S. al- Fil dengan baik dan benar</v>
      </c>
      <c r="EG25" s="308" t="str">
        <f t="shared" si="20"/>
        <v xml:space="preserve"> sangat baik  dalam memahami Q.S. al- Falaq dan Q.S. al- Fil dengan baik dan benar</v>
      </c>
      <c r="EH25" s="301" t="str">
        <f t="shared" si="8"/>
        <v>Anak 20 sangat baik  dalam memahami Q.S. al- Falaq dan Q.S. al- Fil dengan baik dan benar</v>
      </c>
      <c r="EI25" s="106" t="e">
        <f>IF(#REF!=1,AS$4," ")</f>
        <v>#REF!</v>
      </c>
      <c r="EJ25" s="106" t="e">
        <f>IF(#REF!=1,AT$4," ")</f>
        <v>#REF!</v>
      </c>
      <c r="EK25" s="106" t="e">
        <f>IF(#REF!=1,AU$4," ")</f>
        <v>#REF!</v>
      </c>
      <c r="EL25" s="106" t="e">
        <f>IF(#REF!=1,AV$4," ")</f>
        <v>#REF!</v>
      </c>
      <c r="EM25" s="106" t="e">
        <f>IF(#REF!=1,AW$4," ")</f>
        <v>#REF!</v>
      </c>
      <c r="EN25" s="106" t="e">
        <f>IF(#REF!=1,AX$4," ")</f>
        <v>#REF!</v>
      </c>
      <c r="EO25" s="106" t="e">
        <f>IF(#REF!=1,AY$4," ")</f>
        <v>#REF!</v>
      </c>
      <c r="EP25" s="106" t="e">
        <f>IF(#REF!=1,#REF!," ")</f>
        <v>#REF!</v>
      </c>
      <c r="EQ25" s="106" t="e">
        <f>IF(#REF!=1,#REF!," ")</f>
        <v>#REF!</v>
      </c>
      <c r="ER25" s="106" t="e">
        <f>IF(#REF!=1,DT$4," ")</f>
        <v>#REF!</v>
      </c>
      <c r="ES25" s="408">
        <f t="shared" si="21"/>
        <v>99</v>
      </c>
      <c r="EX25" s="302">
        <f t="shared" si="22"/>
        <v>99</v>
      </c>
      <c r="EY25" s="303" t="str">
        <f>IF(EX25&gt;KKM!$G$10,"A",IF(EX25&gt;KKM!$H$10,"B",IF(EX25&gt;=KKM!$I$10,"C","D")))</f>
        <v>A</v>
      </c>
      <c r="EZ25" s="523">
        <f t="shared" si="23"/>
        <v>99</v>
      </c>
      <c r="FA25" s="115" t="str">
        <f>IF(EZ25&gt;KKM!$G$10," sangat baik ",IF(EZ25&gt;KKM!$H$10," baik ",IF(EZ25&gt;=KKM!$I$10," cukup baik "," perlu bimbingan ")))</f>
        <v xml:space="preserve"> sangat baik </v>
      </c>
      <c r="FB25" s="524">
        <f t="shared" si="24"/>
        <v>99</v>
      </c>
      <c r="FC25" s="115" t="str">
        <f>IF(FB25&gt;KKM!$G$10," sangat baik ",IF(FB25&gt;KKM!$H$10," baik ",IF(FB25&gt;=KKM!$I$10," cukup baik "," perlu bimbingan ")))</f>
        <v xml:space="preserve"> sangat baik </v>
      </c>
      <c r="FD25" s="301" t="str">
        <f t="shared" si="25"/>
        <v>Anak 20 sangat baik  dalam memahami Q.S. al- Falaq dan Q.S. al- Fil dengan baik dan benar</v>
      </c>
      <c r="FE25" s="307" t="str">
        <f t="shared" si="26"/>
        <v xml:space="preserve"> sangat baik  dalam memahami Q.S. al- Falaq dan Q.S. al- Fil dengan baik dan benar</v>
      </c>
      <c r="FF25" s="307" t="str">
        <f t="shared" si="27"/>
        <v xml:space="preserve"> sangat baik  dalam memahami Q.S. al- Falaq dan Q.S. al- Fil dengan baik dan benar</v>
      </c>
      <c r="FG25" s="307" t="str">
        <f t="shared" si="28"/>
        <v xml:space="preserve"> sangat baik  dalam memahami Q.S. al- Falaq dan Q.S. al- Fil dengan baik dan benar, dan  sangat baik  dalam memahami Q.S. al- Falaq dan Q.S. al- Fil dengan baik dan benar</v>
      </c>
      <c r="FH25" s="307" t="str">
        <f t="shared" si="29"/>
        <v xml:space="preserve"> sangat baik  dalam memahami Q.S. al- Falaq dan Q.S. al- Fil dengan baik dan benar</v>
      </c>
      <c r="FI25" s="308" t="str">
        <f t="shared" si="30"/>
        <v xml:space="preserve"> sangat baik  dalam memahami Q.S. al- Falaq dan Q.S. al- Fil dengan baik dan benar</v>
      </c>
      <c r="FJ25" s="301" t="str">
        <f t="shared" si="31"/>
        <v>Anak 20 sangat baik  dalam memahami Q.S. al- Falaq dan Q.S. al- Fil dengan baik dan benar</v>
      </c>
      <c r="FQ25" s="408"/>
    </row>
    <row r="26" spans="2:173" ht="63" customHeight="1">
      <c r="B26" s="109">
        <v>21</v>
      </c>
      <c r="C26" s="110">
        <f>SISWA!B26</f>
        <v>0</v>
      </c>
      <c r="D26" s="111" t="str">
        <f>SISWA!E26</f>
        <v>Anak 21</v>
      </c>
      <c r="E26" s="631">
        <v>99</v>
      </c>
      <c r="F26" s="631">
        <v>99</v>
      </c>
      <c r="G26" s="631">
        <v>99</v>
      </c>
      <c r="H26" s="605"/>
      <c r="I26" s="605"/>
      <c r="J26" s="605"/>
      <c r="K26" s="605"/>
      <c r="L26" s="605"/>
      <c r="M26" s="605"/>
      <c r="N26" s="605"/>
      <c r="O26" s="605"/>
      <c r="P26" s="605"/>
      <c r="Q26" s="605"/>
      <c r="R26" s="631">
        <v>99</v>
      </c>
      <c r="S26" s="631">
        <v>99</v>
      </c>
      <c r="T26" s="631">
        <v>99</v>
      </c>
      <c r="U26" s="606"/>
      <c r="V26" s="606"/>
      <c r="W26" s="606"/>
      <c r="X26" s="606"/>
      <c r="Y26" s="606"/>
      <c r="Z26" s="606"/>
      <c r="AA26" s="606"/>
      <c r="AB26" s="606"/>
      <c r="AC26" s="606"/>
      <c r="AD26" s="631">
        <v>99</v>
      </c>
      <c r="AE26" s="631">
        <v>99</v>
      </c>
      <c r="AF26" s="631">
        <v>99</v>
      </c>
      <c r="AG26" s="605"/>
      <c r="AH26" s="605"/>
      <c r="AI26" s="605"/>
      <c r="AJ26" s="605"/>
      <c r="AK26" s="605"/>
      <c r="AL26" s="605"/>
      <c r="AM26" s="605"/>
      <c r="AN26" s="605"/>
      <c r="AO26" s="605"/>
      <c r="AP26" s="605"/>
      <c r="AQ26" s="728">
        <f t="shared" si="9"/>
        <v>99</v>
      </c>
      <c r="AR26" s="728">
        <f t="shared" si="10"/>
        <v>99</v>
      </c>
      <c r="AS26" s="728">
        <f t="shared" si="11"/>
        <v>99</v>
      </c>
      <c r="AT26" s="728" t="str">
        <f t="shared" si="12"/>
        <v/>
      </c>
      <c r="AU26" s="728" t="str">
        <f t="shared" si="13"/>
        <v/>
      </c>
      <c r="AV26" s="728" t="str">
        <f t="shared" si="14"/>
        <v/>
      </c>
      <c r="AW26" s="728" t="str">
        <f t="shared" si="15"/>
        <v/>
      </c>
      <c r="AX26" s="728" t="str">
        <f t="shared" si="16"/>
        <v/>
      </c>
      <c r="AY26" s="615"/>
      <c r="AZ26" s="615"/>
      <c r="BA26" s="615"/>
      <c r="BB26" s="615"/>
      <c r="BC26" s="615"/>
      <c r="BD26" s="124"/>
      <c r="BE26" s="124"/>
      <c r="BF26" s="124"/>
      <c r="BG26" s="124"/>
      <c r="BH26" s="124"/>
      <c r="BI26" s="124"/>
      <c r="BJ26" s="124"/>
      <c r="BK26" s="124"/>
      <c r="BL26" s="332"/>
      <c r="BM26" s="332"/>
      <c r="BN26" s="332"/>
      <c r="BO26" s="332"/>
      <c r="BP26" s="332"/>
      <c r="BQ26" s="332"/>
      <c r="BR26" s="332"/>
      <c r="BS26" s="332"/>
      <c r="BT26" s="332"/>
      <c r="BU26" s="332"/>
      <c r="BV26" s="332"/>
      <c r="BW26" s="332"/>
      <c r="BX26" s="124"/>
      <c r="BY26" s="124"/>
      <c r="BZ26" s="124"/>
      <c r="CA26" s="124"/>
      <c r="CB26" s="124"/>
      <c r="CC26" s="124"/>
      <c r="CD26" s="124"/>
      <c r="CE26" s="124"/>
      <c r="CF26" s="124"/>
      <c r="CG26" s="124"/>
      <c r="CH26" s="124"/>
      <c r="CI26" s="124"/>
      <c r="CJ26" s="332"/>
      <c r="CK26" s="332"/>
      <c r="CL26" s="332"/>
      <c r="CM26" s="332"/>
      <c r="CN26" s="332"/>
      <c r="CO26" s="332"/>
      <c r="CP26" s="332"/>
      <c r="CQ26" s="332"/>
      <c r="CR26" s="332"/>
      <c r="CS26" s="332"/>
      <c r="CT26" s="332"/>
      <c r="CU26" s="332"/>
      <c r="CV26" s="124"/>
      <c r="CW26" s="124"/>
      <c r="CX26" s="124"/>
      <c r="CY26" s="124"/>
      <c r="CZ26" s="124"/>
      <c r="DA26" s="124"/>
      <c r="DB26" s="124"/>
      <c r="DC26" s="124"/>
      <c r="DD26" s="124"/>
      <c r="DE26" s="124"/>
      <c r="DF26" s="124"/>
      <c r="DG26" s="124"/>
      <c r="DH26" s="332"/>
      <c r="DI26" s="332"/>
      <c r="DJ26" s="332"/>
      <c r="DK26" s="332"/>
      <c r="DL26" s="332"/>
      <c r="DM26" s="332"/>
      <c r="DN26" s="604"/>
      <c r="DO26" s="604"/>
      <c r="DP26" s="604"/>
      <c r="DQ26" s="604"/>
      <c r="DR26" s="604"/>
      <c r="DS26" s="604"/>
      <c r="DT26" s="722"/>
      <c r="DU26" s="302">
        <f t="shared" si="4"/>
        <v>99</v>
      </c>
      <c r="DV26" s="303" t="str">
        <f>IF(DU26&gt;KKM!$G$10,"A",IF(DU26&gt;KKM!$H$10,"B",IF(DU26&gt;=KKM!$I$10,"C","D")))</f>
        <v>A</v>
      </c>
      <c r="DW26" s="304">
        <f t="shared" si="5"/>
        <v>99</v>
      </c>
      <c r="DX26" s="115" t="str">
        <f>IF(DW26&gt;KKM!$G$10," sangat baik ",IF(DW26&gt;KKM!$H$10," baik ",IF(DW26&gt;=KKM!$I$10," cukup baik "," perlu bimbingan ")))</f>
        <v xml:space="preserve"> sangat baik </v>
      </c>
      <c r="DY26" s="305">
        <f t="shared" si="6"/>
        <v>99</v>
      </c>
      <c r="DZ26" s="115" t="str">
        <f>IF(DY26&gt;KKM!$G$10," sangat baik ",IF(DY26&gt;KKM!$H$10," baik ",IF(DY26&gt;=KKM!$I$10," cukup baik "," perlu bimbingan ")))</f>
        <v xml:space="preserve"> sangat baik </v>
      </c>
      <c r="EA26" s="301" t="str">
        <f t="shared" si="32"/>
        <v>Anak 21 sangat baik  dalam memahami Q.S. al- Falaq dan Q.S. al- Fil dengan baik dan benar</v>
      </c>
      <c r="EB26" s="424"/>
      <c r="EC26" s="307" t="str">
        <f t="shared" si="17"/>
        <v xml:space="preserve"> sangat baik  dalam memahami Q.S. al- Falaq dan Q.S. al- Fil dengan baik dan benar</v>
      </c>
      <c r="ED26" s="307" t="str">
        <f t="shared" si="7"/>
        <v xml:space="preserve"> sangat baik  dalam memahami Q.S. al- Falaq dan Q.S. al- Fil dengan baik dan benar</v>
      </c>
      <c r="EE26" s="307" t="str">
        <f t="shared" si="18"/>
        <v xml:space="preserve"> sangat baik  dalam memahami Q.S. al- Falaq dan Q.S. al- Fil dengan baik dan benar, dan  sangat baik  dalam memahami Q.S. al- Falaq dan Q.S. al- Fil dengan baik dan benar</v>
      </c>
      <c r="EF26" s="307" t="str">
        <f t="shared" si="19"/>
        <v xml:space="preserve"> sangat baik  dalam memahami Q.S. al- Falaq dan Q.S. al- Fil dengan baik dan benar</v>
      </c>
      <c r="EG26" s="308" t="str">
        <f t="shared" si="20"/>
        <v xml:space="preserve"> sangat baik  dalam memahami Q.S. al- Falaq dan Q.S. al- Fil dengan baik dan benar</v>
      </c>
      <c r="EH26" s="301" t="str">
        <f t="shared" si="8"/>
        <v>Anak 21 sangat baik  dalam memahami Q.S. al- Falaq dan Q.S. al- Fil dengan baik dan benar</v>
      </c>
      <c r="EI26" s="106" t="e">
        <f>IF(#REF!=1,AS$4," ")</f>
        <v>#REF!</v>
      </c>
      <c r="EJ26" s="106" t="e">
        <f>IF(#REF!=1,AT$4," ")</f>
        <v>#REF!</v>
      </c>
      <c r="EK26" s="106" t="e">
        <f>IF(#REF!=1,AU$4," ")</f>
        <v>#REF!</v>
      </c>
      <c r="EL26" s="106" t="e">
        <f>IF(#REF!=1,AV$4," ")</f>
        <v>#REF!</v>
      </c>
      <c r="EM26" s="106" t="e">
        <f>IF(#REF!=1,AW$4," ")</f>
        <v>#REF!</v>
      </c>
      <c r="EN26" s="106" t="e">
        <f>IF(#REF!=1,AX$4," ")</f>
        <v>#REF!</v>
      </c>
      <c r="EO26" s="106" t="e">
        <f>IF(#REF!=1,AY$4," ")</f>
        <v>#REF!</v>
      </c>
      <c r="EP26" s="106" t="e">
        <f>IF(#REF!=1,#REF!," ")</f>
        <v>#REF!</v>
      </c>
      <c r="EQ26" s="106" t="e">
        <f>IF(#REF!=1,#REF!," ")</f>
        <v>#REF!</v>
      </c>
      <c r="ER26" s="106" t="e">
        <f>IF(#REF!=1,DT$4," ")</f>
        <v>#REF!</v>
      </c>
      <c r="ES26" s="408">
        <f t="shared" si="21"/>
        <v>99</v>
      </c>
      <c r="EX26" s="302">
        <f t="shared" si="22"/>
        <v>99</v>
      </c>
      <c r="EY26" s="303" t="str">
        <f>IF(EX26&gt;KKM!$G$10,"A",IF(EX26&gt;KKM!$H$10,"B",IF(EX26&gt;=KKM!$I$10,"C","D")))</f>
        <v>A</v>
      </c>
      <c r="EZ26" s="523">
        <f t="shared" si="23"/>
        <v>99</v>
      </c>
      <c r="FA26" s="115" t="str">
        <f>IF(EZ26&gt;KKM!$G$10," sangat baik ",IF(EZ26&gt;KKM!$H$10," baik ",IF(EZ26&gt;=KKM!$I$10," cukup baik "," perlu bimbingan ")))</f>
        <v xml:space="preserve"> sangat baik </v>
      </c>
      <c r="FB26" s="524">
        <f t="shared" si="24"/>
        <v>99</v>
      </c>
      <c r="FC26" s="115" t="str">
        <f>IF(FB26&gt;KKM!$G$10," sangat baik ",IF(FB26&gt;KKM!$H$10," baik ",IF(FB26&gt;=KKM!$I$10," cukup baik "," perlu bimbingan ")))</f>
        <v xml:space="preserve"> sangat baik </v>
      </c>
      <c r="FD26" s="301" t="str">
        <f t="shared" si="25"/>
        <v>Anak 21 sangat baik  dalam memahami Q.S. al- Falaq dan Q.S. al- Fil dengan baik dan benar</v>
      </c>
      <c r="FE26" s="307" t="str">
        <f t="shared" si="26"/>
        <v xml:space="preserve"> sangat baik  dalam memahami Q.S. al- Falaq dan Q.S. al- Fil dengan baik dan benar</v>
      </c>
      <c r="FF26" s="307" t="str">
        <f t="shared" si="27"/>
        <v xml:space="preserve"> sangat baik  dalam memahami Q.S. al- Falaq dan Q.S. al- Fil dengan baik dan benar</v>
      </c>
      <c r="FG26" s="307" t="str">
        <f t="shared" si="28"/>
        <v xml:space="preserve"> sangat baik  dalam memahami Q.S. al- Falaq dan Q.S. al- Fil dengan baik dan benar, dan  sangat baik  dalam memahami Q.S. al- Falaq dan Q.S. al- Fil dengan baik dan benar</v>
      </c>
      <c r="FH26" s="307" t="str">
        <f t="shared" si="29"/>
        <v xml:space="preserve"> sangat baik  dalam memahami Q.S. al- Falaq dan Q.S. al- Fil dengan baik dan benar</v>
      </c>
      <c r="FI26" s="308" t="str">
        <f t="shared" si="30"/>
        <v xml:space="preserve"> sangat baik  dalam memahami Q.S. al- Falaq dan Q.S. al- Fil dengan baik dan benar</v>
      </c>
      <c r="FJ26" s="301" t="str">
        <f t="shared" si="31"/>
        <v>Anak 21 sangat baik  dalam memahami Q.S. al- Falaq dan Q.S. al- Fil dengan baik dan benar</v>
      </c>
      <c r="FQ26" s="408"/>
    </row>
    <row r="27" spans="2:173" ht="63" customHeight="1">
      <c r="B27" s="109">
        <v>22</v>
      </c>
      <c r="C27" s="110">
        <f>SISWA!B27</f>
        <v>0</v>
      </c>
      <c r="D27" s="111" t="str">
        <f>SISWA!E27</f>
        <v>Anak 22</v>
      </c>
      <c r="E27" s="631">
        <v>99</v>
      </c>
      <c r="F27" s="631">
        <v>99</v>
      </c>
      <c r="G27" s="631">
        <v>99</v>
      </c>
      <c r="H27" s="605"/>
      <c r="I27" s="605"/>
      <c r="J27" s="605"/>
      <c r="K27" s="605"/>
      <c r="L27" s="605"/>
      <c r="M27" s="605"/>
      <c r="N27" s="605"/>
      <c r="O27" s="605"/>
      <c r="P27" s="605"/>
      <c r="Q27" s="605"/>
      <c r="R27" s="631">
        <v>99</v>
      </c>
      <c r="S27" s="631">
        <v>99</v>
      </c>
      <c r="T27" s="631">
        <v>99</v>
      </c>
      <c r="U27" s="606"/>
      <c r="V27" s="606"/>
      <c r="W27" s="606"/>
      <c r="X27" s="606"/>
      <c r="Y27" s="606"/>
      <c r="Z27" s="606"/>
      <c r="AA27" s="606"/>
      <c r="AB27" s="606"/>
      <c r="AC27" s="606"/>
      <c r="AD27" s="631">
        <v>99</v>
      </c>
      <c r="AE27" s="631">
        <v>99</v>
      </c>
      <c r="AF27" s="631">
        <v>99</v>
      </c>
      <c r="AG27" s="605"/>
      <c r="AH27" s="605"/>
      <c r="AI27" s="605"/>
      <c r="AJ27" s="605"/>
      <c r="AK27" s="605"/>
      <c r="AL27" s="605"/>
      <c r="AM27" s="605"/>
      <c r="AN27" s="605"/>
      <c r="AO27" s="605"/>
      <c r="AP27" s="605"/>
      <c r="AQ27" s="728">
        <f t="shared" si="9"/>
        <v>99</v>
      </c>
      <c r="AR27" s="728">
        <f t="shared" si="10"/>
        <v>99</v>
      </c>
      <c r="AS27" s="728">
        <f t="shared" si="11"/>
        <v>99</v>
      </c>
      <c r="AT27" s="728" t="str">
        <f t="shared" si="12"/>
        <v/>
      </c>
      <c r="AU27" s="728" t="str">
        <f t="shared" si="13"/>
        <v/>
      </c>
      <c r="AV27" s="728" t="str">
        <f t="shared" si="14"/>
        <v/>
      </c>
      <c r="AW27" s="728" t="str">
        <f t="shared" si="15"/>
        <v/>
      </c>
      <c r="AX27" s="728" t="str">
        <f t="shared" si="16"/>
        <v/>
      </c>
      <c r="AY27" s="615"/>
      <c r="AZ27" s="615"/>
      <c r="BA27" s="615"/>
      <c r="BB27" s="615"/>
      <c r="BC27" s="615"/>
      <c r="BD27" s="124"/>
      <c r="BE27" s="124"/>
      <c r="BF27" s="124"/>
      <c r="BG27" s="124"/>
      <c r="BH27" s="124"/>
      <c r="BI27" s="124"/>
      <c r="BJ27" s="124"/>
      <c r="BK27" s="124"/>
      <c r="BL27" s="332"/>
      <c r="BM27" s="332"/>
      <c r="BN27" s="332"/>
      <c r="BO27" s="332"/>
      <c r="BP27" s="332"/>
      <c r="BQ27" s="332"/>
      <c r="BR27" s="332"/>
      <c r="BS27" s="332"/>
      <c r="BT27" s="332"/>
      <c r="BU27" s="332"/>
      <c r="BV27" s="332"/>
      <c r="BW27" s="332"/>
      <c r="BX27" s="124"/>
      <c r="BY27" s="124"/>
      <c r="BZ27" s="124"/>
      <c r="CA27" s="124"/>
      <c r="CB27" s="124"/>
      <c r="CC27" s="124"/>
      <c r="CD27" s="124"/>
      <c r="CE27" s="124"/>
      <c r="CF27" s="124"/>
      <c r="CG27" s="124"/>
      <c r="CH27" s="124"/>
      <c r="CI27" s="124"/>
      <c r="CJ27" s="332"/>
      <c r="CK27" s="332"/>
      <c r="CL27" s="332"/>
      <c r="CM27" s="332"/>
      <c r="CN27" s="332"/>
      <c r="CO27" s="332"/>
      <c r="CP27" s="332"/>
      <c r="CQ27" s="332"/>
      <c r="CR27" s="332"/>
      <c r="CS27" s="332"/>
      <c r="CT27" s="332"/>
      <c r="CU27" s="332"/>
      <c r="CV27" s="124"/>
      <c r="CW27" s="124"/>
      <c r="CX27" s="124"/>
      <c r="CY27" s="124"/>
      <c r="CZ27" s="124"/>
      <c r="DA27" s="124"/>
      <c r="DB27" s="124"/>
      <c r="DC27" s="124"/>
      <c r="DD27" s="124"/>
      <c r="DE27" s="124"/>
      <c r="DF27" s="124"/>
      <c r="DG27" s="124"/>
      <c r="DH27" s="332"/>
      <c r="DI27" s="332"/>
      <c r="DJ27" s="332"/>
      <c r="DK27" s="332"/>
      <c r="DL27" s="332"/>
      <c r="DM27" s="332"/>
      <c r="DN27" s="604"/>
      <c r="DO27" s="604"/>
      <c r="DP27" s="604"/>
      <c r="DQ27" s="604"/>
      <c r="DR27" s="604"/>
      <c r="DS27" s="604"/>
      <c r="DT27" s="722"/>
      <c r="DU27" s="302">
        <f t="shared" si="4"/>
        <v>99</v>
      </c>
      <c r="DV27" s="303" t="str">
        <f>IF(DU27&gt;KKM!$G$10,"A",IF(DU27&gt;KKM!$H$10,"B",IF(DU27&gt;=KKM!$I$10,"C","D")))</f>
        <v>A</v>
      </c>
      <c r="DW27" s="304">
        <f t="shared" si="5"/>
        <v>99</v>
      </c>
      <c r="DX27" s="115" t="str">
        <f>IF(DW27&gt;KKM!$G$10," sangat baik ",IF(DW27&gt;KKM!$H$10," baik ",IF(DW27&gt;=KKM!$I$10," cukup baik "," perlu bimbingan ")))</f>
        <v xml:space="preserve"> sangat baik </v>
      </c>
      <c r="DY27" s="305">
        <f t="shared" si="6"/>
        <v>99</v>
      </c>
      <c r="DZ27" s="115" t="str">
        <f>IF(DY27&gt;KKM!$G$10," sangat baik ",IF(DY27&gt;KKM!$H$10," baik ",IF(DY27&gt;=KKM!$I$10," cukup baik "," perlu bimbingan ")))</f>
        <v xml:space="preserve"> sangat baik </v>
      </c>
      <c r="EA27" s="301" t="str">
        <f t="shared" si="32"/>
        <v>Anak 22 sangat baik  dalam memahami Q.S. al- Falaq dan Q.S. al- Fil dengan baik dan benar</v>
      </c>
      <c r="EB27" s="424"/>
      <c r="EC27" s="307" t="str">
        <f t="shared" si="17"/>
        <v xml:space="preserve"> sangat baik  dalam memahami Q.S. al- Falaq dan Q.S. al- Fil dengan baik dan benar</v>
      </c>
      <c r="ED27" s="307" t="str">
        <f t="shared" si="7"/>
        <v xml:space="preserve"> sangat baik  dalam memahami Q.S. al- Falaq dan Q.S. al- Fil dengan baik dan benar</v>
      </c>
      <c r="EE27" s="307" t="str">
        <f t="shared" si="18"/>
        <v xml:space="preserve"> sangat baik  dalam memahami Q.S. al- Falaq dan Q.S. al- Fil dengan baik dan benar, dan  sangat baik  dalam memahami Q.S. al- Falaq dan Q.S. al- Fil dengan baik dan benar</v>
      </c>
      <c r="EF27" s="307" t="str">
        <f t="shared" si="19"/>
        <v xml:space="preserve"> sangat baik  dalam memahami Q.S. al- Falaq dan Q.S. al- Fil dengan baik dan benar</v>
      </c>
      <c r="EG27" s="308" t="str">
        <f t="shared" si="20"/>
        <v xml:space="preserve"> sangat baik  dalam memahami Q.S. al- Falaq dan Q.S. al- Fil dengan baik dan benar</v>
      </c>
      <c r="EH27" s="301" t="str">
        <f t="shared" si="8"/>
        <v>Anak 22 sangat baik  dalam memahami Q.S. al- Falaq dan Q.S. al- Fil dengan baik dan benar</v>
      </c>
      <c r="EI27" s="106" t="e">
        <f>IF(#REF!=1,AS$4," ")</f>
        <v>#REF!</v>
      </c>
      <c r="EJ27" s="106" t="e">
        <f>IF(#REF!=1,AT$4," ")</f>
        <v>#REF!</v>
      </c>
      <c r="EK27" s="106" t="e">
        <f>IF(#REF!=1,AU$4," ")</f>
        <v>#REF!</v>
      </c>
      <c r="EL27" s="106" t="e">
        <f>IF(#REF!=1,AV$4," ")</f>
        <v>#REF!</v>
      </c>
      <c r="EM27" s="106" t="e">
        <f>IF(#REF!=1,AW$4," ")</f>
        <v>#REF!</v>
      </c>
      <c r="EN27" s="106" t="e">
        <f>IF(#REF!=1,AX$4," ")</f>
        <v>#REF!</v>
      </c>
      <c r="EO27" s="106" t="e">
        <f>IF(#REF!=1,AY$4," ")</f>
        <v>#REF!</v>
      </c>
      <c r="EP27" s="106" t="e">
        <f>IF(#REF!=1,#REF!," ")</f>
        <v>#REF!</v>
      </c>
      <c r="EQ27" s="106" t="e">
        <f>IF(#REF!=1,#REF!," ")</f>
        <v>#REF!</v>
      </c>
      <c r="ER27" s="106" t="e">
        <f>IF(#REF!=1,DT$4," ")</f>
        <v>#REF!</v>
      </c>
      <c r="ES27" s="408">
        <f t="shared" si="21"/>
        <v>99</v>
      </c>
      <c r="EX27" s="302">
        <f t="shared" si="22"/>
        <v>99</v>
      </c>
      <c r="EY27" s="303" t="str">
        <f>IF(EX27&gt;KKM!$G$10,"A",IF(EX27&gt;KKM!$H$10,"B",IF(EX27&gt;=KKM!$I$10,"C","D")))</f>
        <v>A</v>
      </c>
      <c r="EZ27" s="523">
        <f t="shared" si="23"/>
        <v>99</v>
      </c>
      <c r="FA27" s="115" t="str">
        <f>IF(EZ27&gt;KKM!$G$10," sangat baik ",IF(EZ27&gt;KKM!$H$10," baik ",IF(EZ27&gt;=KKM!$I$10," cukup baik "," perlu bimbingan ")))</f>
        <v xml:space="preserve"> sangat baik </v>
      </c>
      <c r="FB27" s="524">
        <f t="shared" si="24"/>
        <v>99</v>
      </c>
      <c r="FC27" s="115" t="str">
        <f>IF(FB27&gt;KKM!$G$10," sangat baik ",IF(FB27&gt;KKM!$H$10," baik ",IF(FB27&gt;=KKM!$I$10," cukup baik "," perlu bimbingan ")))</f>
        <v xml:space="preserve"> sangat baik </v>
      </c>
      <c r="FD27" s="301" t="str">
        <f t="shared" si="25"/>
        <v>Anak 22 sangat baik  dalam memahami Q.S. al- Falaq dan Q.S. al- Fil dengan baik dan benar</v>
      </c>
      <c r="FE27" s="307" t="str">
        <f t="shared" si="26"/>
        <v xml:space="preserve"> sangat baik  dalam memahami Q.S. al- Falaq dan Q.S. al- Fil dengan baik dan benar</v>
      </c>
      <c r="FF27" s="307" t="str">
        <f t="shared" si="27"/>
        <v xml:space="preserve"> sangat baik  dalam memahami Q.S. al- Falaq dan Q.S. al- Fil dengan baik dan benar</v>
      </c>
      <c r="FG27" s="307" t="str">
        <f t="shared" si="28"/>
        <v xml:space="preserve"> sangat baik  dalam memahami Q.S. al- Falaq dan Q.S. al- Fil dengan baik dan benar, dan  sangat baik  dalam memahami Q.S. al- Falaq dan Q.S. al- Fil dengan baik dan benar</v>
      </c>
      <c r="FH27" s="307" t="str">
        <f t="shared" si="29"/>
        <v xml:space="preserve"> sangat baik  dalam memahami Q.S. al- Falaq dan Q.S. al- Fil dengan baik dan benar</v>
      </c>
      <c r="FI27" s="308" t="str">
        <f t="shared" si="30"/>
        <v xml:space="preserve"> sangat baik  dalam memahami Q.S. al- Falaq dan Q.S. al- Fil dengan baik dan benar</v>
      </c>
      <c r="FJ27" s="301" t="str">
        <f t="shared" si="31"/>
        <v>Anak 22 sangat baik  dalam memahami Q.S. al- Falaq dan Q.S. al- Fil dengan baik dan benar</v>
      </c>
      <c r="FQ27" s="408"/>
    </row>
    <row r="28" spans="2:173" ht="63" customHeight="1">
      <c r="B28" s="109">
        <v>23</v>
      </c>
      <c r="C28" s="110">
        <f>SISWA!B28</f>
        <v>0</v>
      </c>
      <c r="D28" s="111" t="str">
        <f>SISWA!E28</f>
        <v>Anak 23</v>
      </c>
      <c r="E28" s="631">
        <v>99</v>
      </c>
      <c r="F28" s="631">
        <v>99</v>
      </c>
      <c r="G28" s="631">
        <v>99</v>
      </c>
      <c r="H28" s="605"/>
      <c r="I28" s="605"/>
      <c r="J28" s="605"/>
      <c r="K28" s="605"/>
      <c r="L28" s="605"/>
      <c r="M28" s="605"/>
      <c r="N28" s="605"/>
      <c r="O28" s="605"/>
      <c r="P28" s="605"/>
      <c r="Q28" s="605"/>
      <c r="R28" s="631">
        <v>99</v>
      </c>
      <c r="S28" s="631">
        <v>99</v>
      </c>
      <c r="T28" s="631">
        <v>99</v>
      </c>
      <c r="U28" s="606"/>
      <c r="V28" s="606"/>
      <c r="W28" s="606"/>
      <c r="X28" s="606"/>
      <c r="Y28" s="606"/>
      <c r="Z28" s="606"/>
      <c r="AA28" s="606"/>
      <c r="AB28" s="606"/>
      <c r="AC28" s="606"/>
      <c r="AD28" s="631">
        <v>99</v>
      </c>
      <c r="AE28" s="631">
        <v>99</v>
      </c>
      <c r="AF28" s="631">
        <v>99</v>
      </c>
      <c r="AG28" s="605"/>
      <c r="AH28" s="605"/>
      <c r="AI28" s="605"/>
      <c r="AJ28" s="605"/>
      <c r="AK28" s="605"/>
      <c r="AL28" s="605"/>
      <c r="AM28" s="605"/>
      <c r="AN28" s="605"/>
      <c r="AO28" s="605"/>
      <c r="AP28" s="605"/>
      <c r="AQ28" s="728">
        <f t="shared" si="9"/>
        <v>99</v>
      </c>
      <c r="AR28" s="728">
        <f t="shared" si="10"/>
        <v>99</v>
      </c>
      <c r="AS28" s="728">
        <f t="shared" si="11"/>
        <v>99</v>
      </c>
      <c r="AT28" s="728" t="str">
        <f t="shared" si="12"/>
        <v/>
      </c>
      <c r="AU28" s="728" t="str">
        <f t="shared" si="13"/>
        <v/>
      </c>
      <c r="AV28" s="728" t="str">
        <f t="shared" si="14"/>
        <v/>
      </c>
      <c r="AW28" s="728" t="str">
        <f t="shared" si="15"/>
        <v/>
      </c>
      <c r="AX28" s="728" t="str">
        <f t="shared" si="16"/>
        <v/>
      </c>
      <c r="AY28" s="615"/>
      <c r="AZ28" s="615"/>
      <c r="BA28" s="615"/>
      <c r="BB28" s="615"/>
      <c r="BC28" s="615"/>
      <c r="BD28" s="124"/>
      <c r="BE28" s="124"/>
      <c r="BF28" s="124"/>
      <c r="BG28" s="124"/>
      <c r="BH28" s="124"/>
      <c r="BI28" s="124"/>
      <c r="BJ28" s="124"/>
      <c r="BK28" s="124"/>
      <c r="BL28" s="332"/>
      <c r="BM28" s="332"/>
      <c r="BN28" s="332"/>
      <c r="BO28" s="332"/>
      <c r="BP28" s="332"/>
      <c r="BQ28" s="332"/>
      <c r="BR28" s="332"/>
      <c r="BS28" s="332"/>
      <c r="BT28" s="332"/>
      <c r="BU28" s="332"/>
      <c r="BV28" s="332"/>
      <c r="BW28" s="332"/>
      <c r="BX28" s="124"/>
      <c r="BY28" s="124"/>
      <c r="BZ28" s="124"/>
      <c r="CA28" s="124"/>
      <c r="CB28" s="124"/>
      <c r="CC28" s="124"/>
      <c r="CD28" s="124"/>
      <c r="CE28" s="124"/>
      <c r="CF28" s="124"/>
      <c r="CG28" s="124"/>
      <c r="CH28" s="124"/>
      <c r="CI28" s="124"/>
      <c r="CJ28" s="332"/>
      <c r="CK28" s="332"/>
      <c r="CL28" s="332"/>
      <c r="CM28" s="332"/>
      <c r="CN28" s="332"/>
      <c r="CO28" s="332"/>
      <c r="CP28" s="332"/>
      <c r="CQ28" s="332"/>
      <c r="CR28" s="332"/>
      <c r="CS28" s="332"/>
      <c r="CT28" s="332"/>
      <c r="CU28" s="332"/>
      <c r="CV28" s="124"/>
      <c r="CW28" s="124"/>
      <c r="CX28" s="124"/>
      <c r="CY28" s="124"/>
      <c r="CZ28" s="124"/>
      <c r="DA28" s="124"/>
      <c r="DB28" s="124"/>
      <c r="DC28" s="124"/>
      <c r="DD28" s="124"/>
      <c r="DE28" s="124"/>
      <c r="DF28" s="124"/>
      <c r="DG28" s="124"/>
      <c r="DH28" s="332"/>
      <c r="DI28" s="332"/>
      <c r="DJ28" s="332"/>
      <c r="DK28" s="332"/>
      <c r="DL28" s="332"/>
      <c r="DM28" s="332"/>
      <c r="DN28" s="604"/>
      <c r="DO28" s="604"/>
      <c r="DP28" s="604"/>
      <c r="DQ28" s="604"/>
      <c r="DR28" s="604"/>
      <c r="DS28" s="604"/>
      <c r="DT28" s="722"/>
      <c r="DU28" s="302">
        <f t="shared" si="4"/>
        <v>99</v>
      </c>
      <c r="DV28" s="303" t="str">
        <f>IF(DU28&gt;KKM!$G$10,"A",IF(DU28&gt;KKM!$H$10,"B",IF(DU28&gt;=KKM!$I$10,"C","D")))</f>
        <v>A</v>
      </c>
      <c r="DW28" s="304">
        <f t="shared" si="5"/>
        <v>99</v>
      </c>
      <c r="DX28" s="115" t="str">
        <f>IF(DW28&gt;KKM!$G$10," sangat baik ",IF(DW28&gt;KKM!$H$10," baik ",IF(DW28&gt;=KKM!$I$10," cukup baik "," perlu bimbingan ")))</f>
        <v xml:space="preserve"> sangat baik </v>
      </c>
      <c r="DY28" s="305">
        <f t="shared" si="6"/>
        <v>99</v>
      </c>
      <c r="DZ28" s="115" t="str">
        <f>IF(DY28&gt;KKM!$G$10," sangat baik ",IF(DY28&gt;KKM!$H$10," baik ",IF(DY28&gt;=KKM!$I$10," cukup baik "," perlu bimbingan ")))</f>
        <v xml:space="preserve"> sangat baik </v>
      </c>
      <c r="EA28" s="301" t="str">
        <f t="shared" si="32"/>
        <v>Anak 23 sangat baik  dalam memahami Q.S. al- Falaq dan Q.S. al- Fil dengan baik dan benar</v>
      </c>
      <c r="EB28" s="424"/>
      <c r="EC28" s="307" t="str">
        <f t="shared" si="17"/>
        <v xml:space="preserve"> sangat baik  dalam memahami Q.S. al- Falaq dan Q.S. al- Fil dengan baik dan benar</v>
      </c>
      <c r="ED28" s="307" t="str">
        <f t="shared" si="7"/>
        <v xml:space="preserve"> sangat baik  dalam memahami Q.S. al- Falaq dan Q.S. al- Fil dengan baik dan benar</v>
      </c>
      <c r="EE28" s="307" t="str">
        <f t="shared" si="18"/>
        <v xml:space="preserve"> sangat baik  dalam memahami Q.S. al- Falaq dan Q.S. al- Fil dengan baik dan benar, dan  sangat baik  dalam memahami Q.S. al- Falaq dan Q.S. al- Fil dengan baik dan benar</v>
      </c>
      <c r="EF28" s="307" t="str">
        <f t="shared" si="19"/>
        <v xml:space="preserve"> sangat baik  dalam memahami Q.S. al- Falaq dan Q.S. al- Fil dengan baik dan benar</v>
      </c>
      <c r="EG28" s="308" t="str">
        <f t="shared" si="20"/>
        <v xml:space="preserve"> sangat baik  dalam memahami Q.S. al- Falaq dan Q.S. al- Fil dengan baik dan benar</v>
      </c>
      <c r="EH28" s="301" t="str">
        <f t="shared" si="8"/>
        <v>Anak 23 sangat baik  dalam memahami Q.S. al- Falaq dan Q.S. al- Fil dengan baik dan benar</v>
      </c>
      <c r="EI28" s="106" t="e">
        <f>IF(#REF!=1,AS$4," ")</f>
        <v>#REF!</v>
      </c>
      <c r="EJ28" s="106" t="e">
        <f>IF(#REF!=1,AT$4," ")</f>
        <v>#REF!</v>
      </c>
      <c r="EK28" s="106" t="e">
        <f>IF(#REF!=1,AU$4," ")</f>
        <v>#REF!</v>
      </c>
      <c r="EL28" s="106" t="e">
        <f>IF(#REF!=1,AV$4," ")</f>
        <v>#REF!</v>
      </c>
      <c r="EM28" s="106" t="e">
        <f>IF(#REF!=1,AW$4," ")</f>
        <v>#REF!</v>
      </c>
      <c r="EN28" s="106" t="e">
        <f>IF(#REF!=1,AX$4," ")</f>
        <v>#REF!</v>
      </c>
      <c r="EO28" s="106" t="e">
        <f>IF(#REF!=1,AY$4," ")</f>
        <v>#REF!</v>
      </c>
      <c r="EP28" s="106" t="e">
        <f>IF(#REF!=1,#REF!," ")</f>
        <v>#REF!</v>
      </c>
      <c r="EQ28" s="106" t="e">
        <f>IF(#REF!=1,#REF!," ")</f>
        <v>#REF!</v>
      </c>
      <c r="ER28" s="106" t="e">
        <f>IF(#REF!=1,DT$4," ")</f>
        <v>#REF!</v>
      </c>
      <c r="ES28" s="408">
        <f t="shared" si="21"/>
        <v>99</v>
      </c>
      <c r="EX28" s="302">
        <f t="shared" si="22"/>
        <v>99</v>
      </c>
      <c r="EY28" s="303" t="str">
        <f>IF(EX28&gt;KKM!$G$10,"A",IF(EX28&gt;KKM!$H$10,"B",IF(EX28&gt;=KKM!$I$10,"C","D")))</f>
        <v>A</v>
      </c>
      <c r="EZ28" s="523">
        <f t="shared" si="23"/>
        <v>99</v>
      </c>
      <c r="FA28" s="115" t="str">
        <f>IF(EZ28&gt;KKM!$G$10," sangat baik ",IF(EZ28&gt;KKM!$H$10," baik ",IF(EZ28&gt;=KKM!$I$10," cukup baik "," perlu bimbingan ")))</f>
        <v xml:space="preserve"> sangat baik </v>
      </c>
      <c r="FB28" s="524">
        <f t="shared" si="24"/>
        <v>99</v>
      </c>
      <c r="FC28" s="115" t="str">
        <f>IF(FB28&gt;KKM!$G$10," sangat baik ",IF(FB28&gt;KKM!$H$10," baik ",IF(FB28&gt;=KKM!$I$10," cukup baik "," perlu bimbingan ")))</f>
        <v xml:space="preserve"> sangat baik </v>
      </c>
      <c r="FD28" s="301" t="str">
        <f t="shared" si="25"/>
        <v>Anak 23 sangat baik  dalam memahami Q.S. al- Falaq dan Q.S. al- Fil dengan baik dan benar</v>
      </c>
      <c r="FE28" s="307" t="str">
        <f t="shared" si="26"/>
        <v xml:space="preserve"> sangat baik  dalam memahami Q.S. al- Falaq dan Q.S. al- Fil dengan baik dan benar</v>
      </c>
      <c r="FF28" s="307" t="str">
        <f t="shared" si="27"/>
        <v xml:space="preserve"> sangat baik  dalam memahami Q.S. al- Falaq dan Q.S. al- Fil dengan baik dan benar</v>
      </c>
      <c r="FG28" s="307" t="str">
        <f t="shared" si="28"/>
        <v xml:space="preserve"> sangat baik  dalam memahami Q.S. al- Falaq dan Q.S. al- Fil dengan baik dan benar, dan  sangat baik  dalam memahami Q.S. al- Falaq dan Q.S. al- Fil dengan baik dan benar</v>
      </c>
      <c r="FH28" s="307" t="str">
        <f t="shared" si="29"/>
        <v xml:space="preserve"> sangat baik  dalam memahami Q.S. al- Falaq dan Q.S. al- Fil dengan baik dan benar</v>
      </c>
      <c r="FI28" s="308" t="str">
        <f t="shared" si="30"/>
        <v xml:space="preserve"> sangat baik  dalam memahami Q.S. al- Falaq dan Q.S. al- Fil dengan baik dan benar</v>
      </c>
      <c r="FJ28" s="301" t="str">
        <f t="shared" si="31"/>
        <v>Anak 23 sangat baik  dalam memahami Q.S. al- Falaq dan Q.S. al- Fil dengan baik dan benar</v>
      </c>
      <c r="FQ28" s="408"/>
    </row>
    <row r="29" spans="2:173" ht="63" customHeight="1">
      <c r="B29" s="109">
        <v>24</v>
      </c>
      <c r="C29" s="110">
        <f>SISWA!B29</f>
        <v>0</v>
      </c>
      <c r="D29" s="111" t="str">
        <f>SISWA!E29</f>
        <v>Anak 24</v>
      </c>
      <c r="E29" s="631">
        <v>99</v>
      </c>
      <c r="F29" s="631">
        <v>99</v>
      </c>
      <c r="G29" s="631">
        <v>99</v>
      </c>
      <c r="H29" s="605"/>
      <c r="I29" s="605"/>
      <c r="J29" s="605"/>
      <c r="K29" s="605">
        <v>88</v>
      </c>
      <c r="L29" s="605"/>
      <c r="M29" s="605"/>
      <c r="N29" s="605"/>
      <c r="O29" s="605"/>
      <c r="P29" s="605"/>
      <c r="Q29" s="605"/>
      <c r="R29" s="631">
        <v>99</v>
      </c>
      <c r="S29" s="631">
        <v>99</v>
      </c>
      <c r="T29" s="631">
        <v>99</v>
      </c>
      <c r="U29" s="606"/>
      <c r="V29" s="606"/>
      <c r="W29" s="606"/>
      <c r="X29" s="606"/>
      <c r="Y29" s="606"/>
      <c r="Z29" s="606"/>
      <c r="AA29" s="606"/>
      <c r="AB29" s="606"/>
      <c r="AC29" s="606"/>
      <c r="AD29" s="631">
        <v>99</v>
      </c>
      <c r="AE29" s="631">
        <v>99</v>
      </c>
      <c r="AF29" s="631">
        <v>99</v>
      </c>
      <c r="AG29" s="605"/>
      <c r="AH29" s="605"/>
      <c r="AI29" s="605"/>
      <c r="AJ29" s="605"/>
      <c r="AK29" s="605"/>
      <c r="AL29" s="605"/>
      <c r="AM29" s="605"/>
      <c r="AN29" s="605"/>
      <c r="AO29" s="605"/>
      <c r="AP29" s="605"/>
      <c r="AQ29" s="728">
        <f t="shared" si="9"/>
        <v>99</v>
      </c>
      <c r="AR29" s="728">
        <f t="shared" si="10"/>
        <v>99</v>
      </c>
      <c r="AS29" s="728">
        <f t="shared" si="11"/>
        <v>99</v>
      </c>
      <c r="AT29" s="728" t="str">
        <f t="shared" si="12"/>
        <v/>
      </c>
      <c r="AU29" s="728" t="str">
        <f t="shared" si="13"/>
        <v/>
      </c>
      <c r="AV29" s="728" t="str">
        <f t="shared" si="14"/>
        <v/>
      </c>
      <c r="AW29" s="728">
        <f t="shared" si="15"/>
        <v>88</v>
      </c>
      <c r="AX29" s="728" t="str">
        <f t="shared" si="16"/>
        <v/>
      </c>
      <c r="AY29" s="615"/>
      <c r="AZ29" s="615"/>
      <c r="BA29" s="615"/>
      <c r="BB29" s="615"/>
      <c r="BC29" s="615"/>
      <c r="BD29" s="124"/>
      <c r="BE29" s="124"/>
      <c r="BF29" s="124"/>
      <c r="BG29" s="124"/>
      <c r="BH29" s="124"/>
      <c r="BI29" s="124"/>
      <c r="BJ29" s="124"/>
      <c r="BK29" s="124"/>
      <c r="BL29" s="332"/>
      <c r="BM29" s="332"/>
      <c r="BN29" s="332"/>
      <c r="BO29" s="332"/>
      <c r="BP29" s="332"/>
      <c r="BQ29" s="332"/>
      <c r="BR29" s="332"/>
      <c r="BS29" s="332"/>
      <c r="BT29" s="332"/>
      <c r="BU29" s="332"/>
      <c r="BV29" s="332"/>
      <c r="BW29" s="332"/>
      <c r="BX29" s="124"/>
      <c r="BY29" s="124"/>
      <c r="BZ29" s="124"/>
      <c r="CA29" s="124"/>
      <c r="CB29" s="124"/>
      <c r="CC29" s="124"/>
      <c r="CD29" s="124"/>
      <c r="CE29" s="124"/>
      <c r="CF29" s="124"/>
      <c r="CG29" s="124"/>
      <c r="CH29" s="124"/>
      <c r="CI29" s="124"/>
      <c r="CJ29" s="332"/>
      <c r="CK29" s="332"/>
      <c r="CL29" s="332"/>
      <c r="CM29" s="332"/>
      <c r="CN29" s="332"/>
      <c r="CO29" s="332"/>
      <c r="CP29" s="332"/>
      <c r="CQ29" s="332"/>
      <c r="CR29" s="332"/>
      <c r="CS29" s="332"/>
      <c r="CT29" s="332"/>
      <c r="CU29" s="332"/>
      <c r="CV29" s="124"/>
      <c r="CW29" s="124"/>
      <c r="CX29" s="124"/>
      <c r="CY29" s="124"/>
      <c r="CZ29" s="124"/>
      <c r="DA29" s="124"/>
      <c r="DB29" s="124"/>
      <c r="DC29" s="124"/>
      <c r="DD29" s="124"/>
      <c r="DE29" s="124"/>
      <c r="DF29" s="124"/>
      <c r="DG29" s="124"/>
      <c r="DH29" s="332"/>
      <c r="DI29" s="332"/>
      <c r="DJ29" s="332"/>
      <c r="DK29" s="332"/>
      <c r="DL29" s="332"/>
      <c r="DM29" s="332"/>
      <c r="DN29" s="604"/>
      <c r="DO29" s="604"/>
      <c r="DP29" s="604"/>
      <c r="DQ29" s="604"/>
      <c r="DR29" s="604"/>
      <c r="DS29" s="604"/>
      <c r="DT29" s="722"/>
      <c r="DU29" s="302">
        <f t="shared" si="4"/>
        <v>96</v>
      </c>
      <c r="DV29" s="303" t="str">
        <f>IF(DU29&gt;KKM!$G$10,"A",IF(DU29&gt;KKM!$H$10,"B",IF(DU29&gt;=KKM!$I$10,"C","D")))</f>
        <v>A</v>
      </c>
      <c r="DW29" s="304">
        <f t="shared" si="5"/>
        <v>99</v>
      </c>
      <c r="DX29" s="115" t="str">
        <f>IF(DW29&gt;KKM!$G$10," sangat baik ",IF(DW29&gt;KKM!$H$10," baik ",IF(DW29&gt;=KKM!$I$10," cukup baik "," perlu bimbingan ")))</f>
        <v xml:space="preserve"> sangat baik </v>
      </c>
      <c r="DY29" s="305">
        <f t="shared" si="6"/>
        <v>88</v>
      </c>
      <c r="DZ29" s="115" t="str">
        <f>IF(DY29&gt;KKM!$G$10," sangat baik ",IF(DY29&gt;KKM!$H$10," baik ",IF(DY29&gt;=KKM!$I$10," cukup baik "," perlu bimbingan ")))</f>
        <v xml:space="preserve"> baik </v>
      </c>
      <c r="EA29" s="301" t="str">
        <f t="shared" si="32"/>
        <v>Anak 24 sangat baik  dalam memahami Q.S. al- Falaq dan Q.S. al- Fil dengan baik dan benar, dan  baik  dalam memahami makna ibadah salat</v>
      </c>
      <c r="EB29" s="424"/>
      <c r="EC29" s="307" t="str">
        <f t="shared" si="17"/>
        <v xml:space="preserve"> sangat baik  dalam memahami Q.S. al- Falaq dan Q.S. al- Fil dengan baik dan benar</v>
      </c>
      <c r="ED29" s="307" t="str">
        <f t="shared" si="7"/>
        <v xml:space="preserve"> baik  dalam memahami makna ibadah salat</v>
      </c>
      <c r="EE29" s="307" t="str">
        <f t="shared" si="18"/>
        <v xml:space="preserve"> sangat baik  dalam memahami Q.S. al- Falaq dan Q.S. al- Fil dengan baik dan benar, dan  baik  dalam memahami makna ibadah salat</v>
      </c>
      <c r="EF29" s="307" t="str">
        <f t="shared" si="19"/>
        <v xml:space="preserve"> </v>
      </c>
      <c r="EG29" s="308" t="str">
        <f t="shared" si="20"/>
        <v xml:space="preserve"> sangat baik  dalam memahami Q.S. al- Falaq dan Q.S. al- Fil dengan baik dan benar, dan  baik  dalam memahami makna ibadah salat</v>
      </c>
      <c r="EH29" s="301" t="str">
        <f t="shared" si="8"/>
        <v>Anak 24 sangat baik  dalam memahami Q.S. al- Falaq dan Q.S. al- Fil dengan baik dan benar, dan  baik  dalam memahami makna ibadah salat</v>
      </c>
      <c r="EI29" s="106" t="e">
        <f>IF(#REF!=1,AS$4," ")</f>
        <v>#REF!</v>
      </c>
      <c r="EJ29" s="106" t="e">
        <f>IF(#REF!=1,AT$4," ")</f>
        <v>#REF!</v>
      </c>
      <c r="EK29" s="106" t="e">
        <f>IF(#REF!=1,AU$4," ")</f>
        <v>#REF!</v>
      </c>
      <c r="EL29" s="106" t="e">
        <f>IF(#REF!=1,AV$4," ")</f>
        <v>#REF!</v>
      </c>
      <c r="EM29" s="106" t="e">
        <f>IF(#REF!=1,AW$4," ")</f>
        <v>#REF!</v>
      </c>
      <c r="EN29" s="106" t="e">
        <f>IF(#REF!=1,AX$4," ")</f>
        <v>#REF!</v>
      </c>
      <c r="EO29" s="106" t="e">
        <f>IF(#REF!=1,AY$4," ")</f>
        <v>#REF!</v>
      </c>
      <c r="EP29" s="106" t="e">
        <f>IF(#REF!=1,#REF!," ")</f>
        <v>#REF!</v>
      </c>
      <c r="EQ29" s="106" t="e">
        <f>IF(#REF!=1,#REF!," ")</f>
        <v>#REF!</v>
      </c>
      <c r="ER29" s="106" t="e">
        <f>IF(#REF!=1,DT$4," ")</f>
        <v>#REF!</v>
      </c>
      <c r="ES29" s="408">
        <f t="shared" si="21"/>
        <v>96</v>
      </c>
      <c r="EX29" s="302">
        <f t="shared" si="22"/>
        <v>99</v>
      </c>
      <c r="EY29" s="303" t="str">
        <f>IF(EX29&gt;KKM!$G$10,"A",IF(EX29&gt;KKM!$H$10,"B",IF(EX29&gt;=KKM!$I$10,"C","D")))</f>
        <v>A</v>
      </c>
      <c r="EZ29" s="523">
        <f t="shared" si="23"/>
        <v>99</v>
      </c>
      <c r="FA29" s="115" t="str">
        <f>IF(EZ29&gt;KKM!$G$10," sangat baik ",IF(EZ29&gt;KKM!$H$10," baik ",IF(EZ29&gt;=KKM!$I$10," cukup baik "," perlu bimbingan ")))</f>
        <v xml:space="preserve"> sangat baik </v>
      </c>
      <c r="FB29" s="524">
        <f t="shared" si="24"/>
        <v>99</v>
      </c>
      <c r="FC29" s="115" t="str">
        <f>IF(FB29&gt;KKM!$G$10," sangat baik ",IF(FB29&gt;KKM!$H$10," baik ",IF(FB29&gt;=KKM!$I$10," cukup baik "," perlu bimbingan ")))</f>
        <v xml:space="preserve"> sangat baik </v>
      </c>
      <c r="FD29" s="301" t="str">
        <f t="shared" si="25"/>
        <v>Anak 24 sangat baik  dalam memahami Q.S. al- Falaq dan Q.S. al- Fil dengan baik dan benar</v>
      </c>
      <c r="FE29" s="307" t="str">
        <f t="shared" si="26"/>
        <v xml:space="preserve"> sangat baik  dalam memahami Q.S. al- Falaq dan Q.S. al- Fil dengan baik dan benar</v>
      </c>
      <c r="FF29" s="307" t="str">
        <f t="shared" si="27"/>
        <v xml:space="preserve"> sangat baik  dalam memahami Q.S. al- Falaq dan Q.S. al- Fil dengan baik dan benar</v>
      </c>
      <c r="FG29" s="307" t="str">
        <f t="shared" si="28"/>
        <v xml:space="preserve"> sangat baik  dalam memahami Q.S. al- Falaq dan Q.S. al- Fil dengan baik dan benar, dan  sangat baik  dalam memahami Q.S. al- Falaq dan Q.S. al- Fil dengan baik dan benar</v>
      </c>
      <c r="FH29" s="307" t="str">
        <f t="shared" si="29"/>
        <v xml:space="preserve"> sangat baik  dalam memahami Q.S. al- Falaq dan Q.S. al- Fil dengan baik dan benar</v>
      </c>
      <c r="FI29" s="308" t="str">
        <f t="shared" si="30"/>
        <v xml:space="preserve"> sangat baik  dalam memahami Q.S. al- Falaq dan Q.S. al- Fil dengan baik dan benar</v>
      </c>
      <c r="FJ29" s="301" t="str">
        <f t="shared" si="31"/>
        <v>Anak 24 sangat baik  dalam memahami Q.S. al- Falaq dan Q.S. al- Fil dengan baik dan benar</v>
      </c>
      <c r="FQ29" s="408"/>
    </row>
    <row r="30" spans="2:173" ht="63" customHeight="1">
      <c r="B30" s="109">
        <v>25</v>
      </c>
      <c r="C30" s="110">
        <f>SISWA!B30</f>
        <v>0</v>
      </c>
      <c r="D30" s="111" t="str">
        <f>SISWA!E30</f>
        <v>Anak 25</v>
      </c>
      <c r="E30" s="631">
        <v>99</v>
      </c>
      <c r="F30" s="631">
        <v>99</v>
      </c>
      <c r="G30" s="631">
        <v>99</v>
      </c>
      <c r="H30" s="605"/>
      <c r="I30" s="605"/>
      <c r="J30" s="605">
        <v>78</v>
      </c>
      <c r="K30" s="605"/>
      <c r="L30" s="605"/>
      <c r="M30" s="605"/>
      <c r="N30" s="605"/>
      <c r="O30" s="605"/>
      <c r="P30" s="605"/>
      <c r="Q30" s="605"/>
      <c r="R30" s="631">
        <v>99</v>
      </c>
      <c r="S30" s="631">
        <v>99</v>
      </c>
      <c r="T30" s="631">
        <v>99</v>
      </c>
      <c r="U30" s="606"/>
      <c r="V30" s="606"/>
      <c r="W30" s="606"/>
      <c r="X30" s="606"/>
      <c r="Y30" s="606"/>
      <c r="Z30" s="606"/>
      <c r="AA30" s="606"/>
      <c r="AB30" s="606"/>
      <c r="AC30" s="606"/>
      <c r="AD30" s="631">
        <v>99</v>
      </c>
      <c r="AE30" s="631">
        <v>99</v>
      </c>
      <c r="AF30" s="631">
        <v>99</v>
      </c>
      <c r="AG30" s="605"/>
      <c r="AH30" s="605"/>
      <c r="AI30" s="605"/>
      <c r="AJ30" s="605"/>
      <c r="AK30" s="605"/>
      <c r="AL30" s="605"/>
      <c r="AM30" s="605"/>
      <c r="AN30" s="605"/>
      <c r="AO30" s="605"/>
      <c r="AP30" s="605"/>
      <c r="AQ30" s="728">
        <f t="shared" si="9"/>
        <v>99</v>
      </c>
      <c r="AR30" s="728">
        <f t="shared" si="10"/>
        <v>99</v>
      </c>
      <c r="AS30" s="728">
        <f t="shared" si="11"/>
        <v>99</v>
      </c>
      <c r="AT30" s="728" t="str">
        <f t="shared" si="12"/>
        <v/>
      </c>
      <c r="AU30" s="728" t="str">
        <f t="shared" si="13"/>
        <v/>
      </c>
      <c r="AV30" s="728">
        <f t="shared" si="14"/>
        <v>78</v>
      </c>
      <c r="AW30" s="728" t="str">
        <f t="shared" si="15"/>
        <v/>
      </c>
      <c r="AX30" s="728" t="str">
        <f t="shared" si="16"/>
        <v/>
      </c>
      <c r="AY30" s="615"/>
      <c r="AZ30" s="615"/>
      <c r="BA30" s="615"/>
      <c r="BB30" s="615"/>
      <c r="BC30" s="615"/>
      <c r="BD30" s="124"/>
      <c r="BE30" s="124"/>
      <c r="BF30" s="124"/>
      <c r="BG30" s="124"/>
      <c r="BH30" s="124"/>
      <c r="BI30" s="124"/>
      <c r="BJ30" s="124"/>
      <c r="BK30" s="124"/>
      <c r="BL30" s="332"/>
      <c r="BM30" s="332"/>
      <c r="BN30" s="332"/>
      <c r="BO30" s="332"/>
      <c r="BP30" s="332"/>
      <c r="BQ30" s="332"/>
      <c r="BR30" s="332"/>
      <c r="BS30" s="332"/>
      <c r="BT30" s="332"/>
      <c r="BU30" s="332"/>
      <c r="BV30" s="332"/>
      <c r="BW30" s="332"/>
      <c r="BX30" s="124"/>
      <c r="BY30" s="124"/>
      <c r="BZ30" s="124"/>
      <c r="CA30" s="124"/>
      <c r="CB30" s="124"/>
      <c r="CC30" s="124"/>
      <c r="CD30" s="124"/>
      <c r="CE30" s="124"/>
      <c r="CF30" s="124"/>
      <c r="CG30" s="124"/>
      <c r="CH30" s="124"/>
      <c r="CI30" s="124"/>
      <c r="CJ30" s="332"/>
      <c r="CK30" s="332"/>
      <c r="CL30" s="332"/>
      <c r="CM30" s="332"/>
      <c r="CN30" s="332"/>
      <c r="CO30" s="332"/>
      <c r="CP30" s="332"/>
      <c r="CQ30" s="332"/>
      <c r="CR30" s="332"/>
      <c r="CS30" s="332"/>
      <c r="CT30" s="332"/>
      <c r="CU30" s="332"/>
      <c r="CV30" s="124"/>
      <c r="CW30" s="124"/>
      <c r="CX30" s="124"/>
      <c r="CY30" s="124"/>
      <c r="CZ30" s="124"/>
      <c r="DA30" s="124"/>
      <c r="DB30" s="124"/>
      <c r="DC30" s="124"/>
      <c r="DD30" s="124"/>
      <c r="DE30" s="124"/>
      <c r="DF30" s="124"/>
      <c r="DG30" s="124"/>
      <c r="DH30" s="332"/>
      <c r="DI30" s="332"/>
      <c r="DJ30" s="332"/>
      <c r="DK30" s="332"/>
      <c r="DL30" s="332"/>
      <c r="DM30" s="332"/>
      <c r="DN30" s="604"/>
      <c r="DO30" s="604"/>
      <c r="DP30" s="604"/>
      <c r="DQ30" s="604"/>
      <c r="DR30" s="604"/>
      <c r="DS30" s="604"/>
      <c r="DT30" s="722"/>
      <c r="DU30" s="302">
        <f t="shared" si="4"/>
        <v>94</v>
      </c>
      <c r="DV30" s="303" t="str">
        <f>IF(DU30&gt;KKM!$G$10,"A",IF(DU30&gt;KKM!$H$10,"B",IF(DU30&gt;=KKM!$I$10,"C","D")))</f>
        <v>A</v>
      </c>
      <c r="DW30" s="304">
        <f t="shared" si="5"/>
        <v>99</v>
      </c>
      <c r="DX30" s="115" t="str">
        <f>IF(DW30&gt;KKM!$G$10," sangat baik ",IF(DW30&gt;KKM!$H$10," baik ",IF(DW30&gt;=KKM!$I$10," cukup baik "," perlu bimbingan ")))</f>
        <v xml:space="preserve"> sangat baik </v>
      </c>
      <c r="DY30" s="305">
        <f t="shared" si="6"/>
        <v>78</v>
      </c>
      <c r="DZ30" s="115" t="str">
        <f>IF(DY30&gt;KKM!$G$10," sangat baik ",IF(DY30&gt;KKM!$H$10," baik ",IF(DY30&gt;=KKM!$I$10," cukup baik "," perlu bimbingan ")))</f>
        <v xml:space="preserve"> cukup baik </v>
      </c>
      <c r="EA30" s="301" t="str">
        <f t="shared" si="32"/>
        <v>Anak 25 sangat baik  dalam memahami Q.S. al- Falaq dan Q.S. al- Fil dengan baik dan benar, dan  cukup baik  dalam memahami perilaku hemat</v>
      </c>
      <c r="EB30" s="424"/>
      <c r="EC30" s="307" t="str">
        <f t="shared" si="17"/>
        <v xml:space="preserve"> sangat baik  dalam memahami Q.S. al- Falaq dan Q.S. al- Fil dengan baik dan benar</v>
      </c>
      <c r="ED30" s="307" t="str">
        <f t="shared" si="7"/>
        <v xml:space="preserve"> cukup baik  dalam memahami perilaku hemat</v>
      </c>
      <c r="EE30" s="307" t="str">
        <f t="shared" si="18"/>
        <v xml:space="preserve"> sangat baik  dalam memahami Q.S. al- Falaq dan Q.S. al- Fil dengan baik dan benar, dan  cukup baik  dalam memahami perilaku hemat</v>
      </c>
      <c r="EF30" s="307" t="str">
        <f t="shared" si="19"/>
        <v xml:space="preserve"> </v>
      </c>
      <c r="EG30" s="308" t="str">
        <f t="shared" si="20"/>
        <v xml:space="preserve"> sangat baik  dalam memahami Q.S. al- Falaq dan Q.S. al- Fil dengan baik dan benar, dan  cukup baik  dalam memahami perilaku hemat</v>
      </c>
      <c r="EH30" s="301" t="str">
        <f t="shared" si="8"/>
        <v>Anak 25 sangat baik  dalam memahami Q.S. al- Falaq dan Q.S. al- Fil dengan baik dan benar, dan  cukup baik  dalam memahami perilaku hemat</v>
      </c>
      <c r="EI30" s="106" t="e">
        <f>IF(#REF!=1,AS$4," ")</f>
        <v>#REF!</v>
      </c>
      <c r="EJ30" s="106" t="e">
        <f>IF(#REF!=1,AT$4," ")</f>
        <v>#REF!</v>
      </c>
      <c r="EK30" s="106" t="e">
        <f>IF(#REF!=1,AU$4," ")</f>
        <v>#REF!</v>
      </c>
      <c r="EL30" s="106" t="e">
        <f>IF(#REF!=1,AV$4," ")</f>
        <v>#REF!</v>
      </c>
      <c r="EM30" s="106" t="e">
        <f>IF(#REF!=1,AW$4," ")</f>
        <v>#REF!</v>
      </c>
      <c r="EN30" s="106" t="e">
        <f>IF(#REF!=1,AX$4," ")</f>
        <v>#REF!</v>
      </c>
      <c r="EO30" s="106" t="e">
        <f>IF(#REF!=1,AY$4," ")</f>
        <v>#REF!</v>
      </c>
      <c r="EP30" s="106" t="e">
        <f>IF(#REF!=1,#REF!," ")</f>
        <v>#REF!</v>
      </c>
      <c r="EQ30" s="106" t="e">
        <f>IF(#REF!=1,#REF!," ")</f>
        <v>#REF!</v>
      </c>
      <c r="ER30" s="106" t="e">
        <f>IF(#REF!=1,DT$4," ")</f>
        <v>#REF!</v>
      </c>
      <c r="ES30" s="408">
        <f t="shared" si="21"/>
        <v>94</v>
      </c>
      <c r="EX30" s="302">
        <f t="shared" si="22"/>
        <v>99</v>
      </c>
      <c r="EY30" s="303" t="str">
        <f>IF(EX30&gt;KKM!$G$10,"A",IF(EX30&gt;KKM!$H$10,"B",IF(EX30&gt;=KKM!$I$10,"C","D")))</f>
        <v>A</v>
      </c>
      <c r="EZ30" s="523">
        <f t="shared" si="23"/>
        <v>99</v>
      </c>
      <c r="FA30" s="115" t="str">
        <f>IF(EZ30&gt;KKM!$G$10," sangat baik ",IF(EZ30&gt;KKM!$H$10," baik ",IF(EZ30&gt;=KKM!$I$10," cukup baik "," perlu bimbingan ")))</f>
        <v xml:space="preserve"> sangat baik </v>
      </c>
      <c r="FB30" s="524">
        <f t="shared" si="24"/>
        <v>99</v>
      </c>
      <c r="FC30" s="115" t="str">
        <f>IF(FB30&gt;KKM!$G$10," sangat baik ",IF(FB30&gt;KKM!$H$10," baik ",IF(FB30&gt;=KKM!$I$10," cukup baik "," perlu bimbingan ")))</f>
        <v xml:space="preserve"> sangat baik </v>
      </c>
      <c r="FD30" s="301" t="str">
        <f t="shared" si="25"/>
        <v>Anak 25 sangat baik  dalam memahami Q.S. al- Falaq dan Q.S. al- Fil dengan baik dan benar</v>
      </c>
      <c r="FE30" s="307" t="str">
        <f t="shared" si="26"/>
        <v xml:space="preserve"> sangat baik  dalam memahami Q.S. al- Falaq dan Q.S. al- Fil dengan baik dan benar</v>
      </c>
      <c r="FF30" s="307" t="str">
        <f t="shared" si="27"/>
        <v xml:space="preserve"> sangat baik  dalam memahami Q.S. al- Falaq dan Q.S. al- Fil dengan baik dan benar</v>
      </c>
      <c r="FG30" s="307" t="str">
        <f t="shared" si="28"/>
        <v xml:space="preserve"> sangat baik  dalam memahami Q.S. al- Falaq dan Q.S. al- Fil dengan baik dan benar, dan  sangat baik  dalam memahami Q.S. al- Falaq dan Q.S. al- Fil dengan baik dan benar</v>
      </c>
      <c r="FH30" s="307" t="str">
        <f t="shared" si="29"/>
        <v xml:space="preserve"> sangat baik  dalam memahami Q.S. al- Falaq dan Q.S. al- Fil dengan baik dan benar</v>
      </c>
      <c r="FI30" s="308" t="str">
        <f t="shared" si="30"/>
        <v xml:space="preserve"> sangat baik  dalam memahami Q.S. al- Falaq dan Q.S. al- Fil dengan baik dan benar</v>
      </c>
      <c r="FJ30" s="301" t="str">
        <f t="shared" si="31"/>
        <v>Anak 25 sangat baik  dalam memahami Q.S. al- Falaq dan Q.S. al- Fil dengan baik dan benar</v>
      </c>
      <c r="FQ30" s="408"/>
    </row>
    <row r="31" spans="2:173" ht="63" customHeight="1">
      <c r="B31" s="109">
        <v>26</v>
      </c>
      <c r="C31" s="110">
        <f>SISWA!B31</f>
        <v>0</v>
      </c>
      <c r="D31" s="111" t="str">
        <f>SISWA!E31</f>
        <v>Anak 26</v>
      </c>
      <c r="E31" s="631">
        <v>99</v>
      </c>
      <c r="F31" s="631">
        <v>99</v>
      </c>
      <c r="G31" s="631">
        <v>99</v>
      </c>
      <c r="H31" s="605"/>
      <c r="I31" s="605"/>
      <c r="J31" s="605"/>
      <c r="K31" s="605"/>
      <c r="L31" s="605"/>
      <c r="M31" s="605"/>
      <c r="N31" s="605"/>
      <c r="O31" s="605"/>
      <c r="P31" s="605"/>
      <c r="Q31" s="605"/>
      <c r="R31" s="631">
        <v>99</v>
      </c>
      <c r="S31" s="631">
        <v>99</v>
      </c>
      <c r="T31" s="631">
        <v>99</v>
      </c>
      <c r="U31" s="606"/>
      <c r="V31" s="606"/>
      <c r="W31" s="606"/>
      <c r="X31" s="606"/>
      <c r="Y31" s="606"/>
      <c r="Z31" s="606"/>
      <c r="AA31" s="606"/>
      <c r="AB31" s="606"/>
      <c r="AC31" s="606"/>
      <c r="AD31" s="631">
        <v>99</v>
      </c>
      <c r="AE31" s="631">
        <v>99</v>
      </c>
      <c r="AF31" s="631">
        <v>99</v>
      </c>
      <c r="AG31" s="605"/>
      <c r="AH31" s="605"/>
      <c r="AI31" s="605"/>
      <c r="AJ31" s="605"/>
      <c r="AK31" s="605"/>
      <c r="AL31" s="605"/>
      <c r="AM31" s="605"/>
      <c r="AN31" s="605"/>
      <c r="AO31" s="605"/>
      <c r="AP31" s="605"/>
      <c r="AQ31" s="728">
        <f t="shared" si="9"/>
        <v>99</v>
      </c>
      <c r="AR31" s="728">
        <f t="shared" si="10"/>
        <v>99</v>
      </c>
      <c r="AS31" s="728">
        <f t="shared" si="11"/>
        <v>99</v>
      </c>
      <c r="AT31" s="728" t="str">
        <f t="shared" si="12"/>
        <v/>
      </c>
      <c r="AU31" s="728" t="str">
        <f t="shared" si="13"/>
        <v/>
      </c>
      <c r="AV31" s="728" t="str">
        <f t="shared" si="14"/>
        <v/>
      </c>
      <c r="AW31" s="728" t="str">
        <f t="shared" si="15"/>
        <v/>
      </c>
      <c r="AX31" s="728" t="str">
        <f t="shared" si="16"/>
        <v/>
      </c>
      <c r="AY31" s="615"/>
      <c r="AZ31" s="615"/>
      <c r="BA31" s="615"/>
      <c r="BB31" s="615"/>
      <c r="BC31" s="615"/>
      <c r="BD31" s="124"/>
      <c r="BE31" s="124"/>
      <c r="BF31" s="124"/>
      <c r="BG31" s="124"/>
      <c r="BH31" s="124"/>
      <c r="BI31" s="124"/>
      <c r="BJ31" s="124"/>
      <c r="BK31" s="124"/>
      <c r="BL31" s="332"/>
      <c r="BM31" s="332"/>
      <c r="BN31" s="332"/>
      <c r="BO31" s="332"/>
      <c r="BP31" s="332"/>
      <c r="BQ31" s="332"/>
      <c r="BR31" s="332"/>
      <c r="BS31" s="332"/>
      <c r="BT31" s="332"/>
      <c r="BU31" s="332"/>
      <c r="BV31" s="332"/>
      <c r="BW31" s="332"/>
      <c r="BX31" s="124"/>
      <c r="BY31" s="124"/>
      <c r="BZ31" s="124"/>
      <c r="CA31" s="124"/>
      <c r="CB31" s="124"/>
      <c r="CC31" s="124"/>
      <c r="CD31" s="124"/>
      <c r="CE31" s="124"/>
      <c r="CF31" s="124"/>
      <c r="CG31" s="124"/>
      <c r="CH31" s="124"/>
      <c r="CI31" s="124"/>
      <c r="CJ31" s="332"/>
      <c r="CK31" s="332"/>
      <c r="CL31" s="332"/>
      <c r="CM31" s="332"/>
      <c r="CN31" s="332"/>
      <c r="CO31" s="332"/>
      <c r="CP31" s="332"/>
      <c r="CQ31" s="332"/>
      <c r="CR31" s="332"/>
      <c r="CS31" s="332"/>
      <c r="CT31" s="332"/>
      <c r="CU31" s="332"/>
      <c r="CV31" s="124"/>
      <c r="CW31" s="124"/>
      <c r="CX31" s="124"/>
      <c r="CY31" s="124"/>
      <c r="CZ31" s="124"/>
      <c r="DA31" s="124"/>
      <c r="DB31" s="124"/>
      <c r="DC31" s="124"/>
      <c r="DD31" s="124"/>
      <c r="DE31" s="124"/>
      <c r="DF31" s="124"/>
      <c r="DG31" s="124"/>
      <c r="DH31" s="332"/>
      <c r="DI31" s="332"/>
      <c r="DJ31" s="332"/>
      <c r="DK31" s="332"/>
      <c r="DL31" s="332"/>
      <c r="DM31" s="332"/>
      <c r="DN31" s="604"/>
      <c r="DO31" s="604"/>
      <c r="DP31" s="604"/>
      <c r="DQ31" s="604"/>
      <c r="DR31" s="604"/>
      <c r="DS31" s="604"/>
      <c r="DT31" s="722"/>
      <c r="DU31" s="302">
        <f t="shared" si="4"/>
        <v>99</v>
      </c>
      <c r="DV31" s="303" t="str">
        <f>IF(DU31&gt;KKM!$G$10,"A",IF(DU31&gt;KKM!$H$10,"B",IF(DU31&gt;=KKM!$I$10,"C","D")))</f>
        <v>A</v>
      </c>
      <c r="DW31" s="304">
        <f t="shared" si="5"/>
        <v>99</v>
      </c>
      <c r="DX31" s="115" t="str">
        <f>IF(DW31&gt;KKM!$G$10," sangat baik ",IF(DW31&gt;KKM!$H$10," baik ",IF(DW31&gt;=KKM!$I$10," cukup baik "," perlu bimbingan ")))</f>
        <v xml:space="preserve"> sangat baik </v>
      </c>
      <c r="DY31" s="305">
        <f t="shared" si="6"/>
        <v>99</v>
      </c>
      <c r="DZ31" s="115" t="str">
        <f>IF(DY31&gt;KKM!$G$10," sangat baik ",IF(DY31&gt;KKM!$H$10," baik ",IF(DY31&gt;=KKM!$I$10," cukup baik "," perlu bimbingan ")))</f>
        <v xml:space="preserve"> sangat baik </v>
      </c>
      <c r="EA31" s="301" t="str">
        <f t="shared" si="32"/>
        <v>Anak 26 sangat baik  dalam memahami Q.S. al- Falaq dan Q.S. al- Fil dengan baik dan benar</v>
      </c>
      <c r="EB31" s="424"/>
      <c r="EC31" s="307" t="str">
        <f t="shared" si="17"/>
        <v xml:space="preserve"> sangat baik  dalam memahami Q.S. al- Falaq dan Q.S. al- Fil dengan baik dan benar</v>
      </c>
      <c r="ED31" s="307" t="str">
        <f t="shared" si="7"/>
        <v xml:space="preserve"> sangat baik  dalam memahami Q.S. al- Falaq dan Q.S. al- Fil dengan baik dan benar</v>
      </c>
      <c r="EE31" s="307" t="str">
        <f t="shared" si="18"/>
        <v xml:space="preserve"> sangat baik  dalam memahami Q.S. al- Falaq dan Q.S. al- Fil dengan baik dan benar, dan  sangat baik  dalam memahami Q.S. al- Falaq dan Q.S. al- Fil dengan baik dan benar</v>
      </c>
      <c r="EF31" s="307" t="str">
        <f t="shared" si="19"/>
        <v xml:space="preserve"> sangat baik  dalam memahami Q.S. al- Falaq dan Q.S. al- Fil dengan baik dan benar</v>
      </c>
      <c r="EG31" s="308" t="str">
        <f t="shared" si="20"/>
        <v xml:space="preserve"> sangat baik  dalam memahami Q.S. al- Falaq dan Q.S. al- Fil dengan baik dan benar</v>
      </c>
      <c r="EH31" s="301" t="str">
        <f t="shared" si="8"/>
        <v>Anak 26 sangat baik  dalam memahami Q.S. al- Falaq dan Q.S. al- Fil dengan baik dan benar</v>
      </c>
      <c r="EI31" s="106" t="e">
        <f>IF(#REF!=1,AS$4," ")</f>
        <v>#REF!</v>
      </c>
      <c r="EJ31" s="106" t="e">
        <f>IF(#REF!=1,AT$4," ")</f>
        <v>#REF!</v>
      </c>
      <c r="EK31" s="106" t="e">
        <f>IF(#REF!=1,AU$4," ")</f>
        <v>#REF!</v>
      </c>
      <c r="EL31" s="106" t="e">
        <f>IF(#REF!=1,AV$4," ")</f>
        <v>#REF!</v>
      </c>
      <c r="EM31" s="106" t="e">
        <f>IF(#REF!=1,AW$4," ")</f>
        <v>#REF!</v>
      </c>
      <c r="EN31" s="106" t="e">
        <f>IF(#REF!=1,AX$4," ")</f>
        <v>#REF!</v>
      </c>
      <c r="EO31" s="106" t="e">
        <f>IF(#REF!=1,AY$4," ")</f>
        <v>#REF!</v>
      </c>
      <c r="EP31" s="106" t="e">
        <f>IF(#REF!=1,#REF!," ")</f>
        <v>#REF!</v>
      </c>
      <c r="EQ31" s="106" t="e">
        <f>IF(#REF!=1,#REF!," ")</f>
        <v>#REF!</v>
      </c>
      <c r="ER31" s="106" t="e">
        <f>IF(#REF!=1,DT$4," ")</f>
        <v>#REF!</v>
      </c>
      <c r="ES31" s="408">
        <f t="shared" si="21"/>
        <v>99</v>
      </c>
      <c r="EX31" s="302">
        <f t="shared" si="22"/>
        <v>99</v>
      </c>
      <c r="EY31" s="303" t="str">
        <f>IF(EX31&gt;KKM!$G$10,"A",IF(EX31&gt;KKM!$H$10,"B",IF(EX31&gt;=KKM!$I$10,"C","D")))</f>
        <v>A</v>
      </c>
      <c r="EZ31" s="523">
        <f t="shared" si="23"/>
        <v>99</v>
      </c>
      <c r="FA31" s="115" t="str">
        <f>IF(EZ31&gt;KKM!$G$10," sangat baik ",IF(EZ31&gt;KKM!$H$10," baik ",IF(EZ31&gt;=KKM!$I$10," cukup baik "," perlu bimbingan ")))</f>
        <v xml:space="preserve"> sangat baik </v>
      </c>
      <c r="FB31" s="524">
        <f t="shared" si="24"/>
        <v>99</v>
      </c>
      <c r="FC31" s="115" t="str">
        <f>IF(FB31&gt;KKM!$G$10," sangat baik ",IF(FB31&gt;KKM!$H$10," baik ",IF(FB31&gt;=KKM!$I$10," cukup baik "," perlu bimbingan ")))</f>
        <v xml:space="preserve"> sangat baik </v>
      </c>
      <c r="FD31" s="301" t="str">
        <f t="shared" si="25"/>
        <v>Anak 26 sangat baik  dalam memahami Q.S. al- Falaq dan Q.S. al- Fil dengan baik dan benar</v>
      </c>
      <c r="FE31" s="307" t="str">
        <f t="shared" si="26"/>
        <v xml:space="preserve"> sangat baik  dalam memahami Q.S. al- Falaq dan Q.S. al- Fil dengan baik dan benar</v>
      </c>
      <c r="FF31" s="307" t="str">
        <f t="shared" si="27"/>
        <v xml:space="preserve"> sangat baik  dalam memahami Q.S. al- Falaq dan Q.S. al- Fil dengan baik dan benar</v>
      </c>
      <c r="FG31" s="307" t="str">
        <f t="shared" si="28"/>
        <v xml:space="preserve"> sangat baik  dalam memahami Q.S. al- Falaq dan Q.S. al- Fil dengan baik dan benar, dan  sangat baik  dalam memahami Q.S. al- Falaq dan Q.S. al- Fil dengan baik dan benar</v>
      </c>
      <c r="FH31" s="307" t="str">
        <f t="shared" si="29"/>
        <v xml:space="preserve"> sangat baik  dalam memahami Q.S. al- Falaq dan Q.S. al- Fil dengan baik dan benar</v>
      </c>
      <c r="FI31" s="308" t="str">
        <f t="shared" si="30"/>
        <v xml:space="preserve"> sangat baik  dalam memahami Q.S. al- Falaq dan Q.S. al- Fil dengan baik dan benar</v>
      </c>
      <c r="FJ31" s="301" t="str">
        <f t="shared" si="31"/>
        <v>Anak 26 sangat baik  dalam memahami Q.S. al- Falaq dan Q.S. al- Fil dengan baik dan benar</v>
      </c>
      <c r="FQ31" s="408"/>
    </row>
    <row r="32" spans="2:173" ht="63" customHeight="1">
      <c r="B32" s="109">
        <v>27</v>
      </c>
      <c r="C32" s="110">
        <f>SISWA!B32</f>
        <v>0</v>
      </c>
      <c r="D32" s="111" t="str">
        <f>SISWA!E32</f>
        <v>Anak 27</v>
      </c>
      <c r="E32" s="631">
        <v>99</v>
      </c>
      <c r="F32" s="631">
        <v>99</v>
      </c>
      <c r="G32" s="631">
        <v>99</v>
      </c>
      <c r="H32" s="605"/>
      <c r="I32" s="605"/>
      <c r="J32" s="605"/>
      <c r="K32" s="605"/>
      <c r="L32" s="605"/>
      <c r="M32" s="605"/>
      <c r="N32" s="605"/>
      <c r="O32" s="605"/>
      <c r="P32" s="605"/>
      <c r="Q32" s="605"/>
      <c r="R32" s="631">
        <v>99</v>
      </c>
      <c r="S32" s="631">
        <v>99</v>
      </c>
      <c r="T32" s="631">
        <v>99</v>
      </c>
      <c r="U32" s="606"/>
      <c r="V32" s="606"/>
      <c r="W32" s="606"/>
      <c r="X32" s="606"/>
      <c r="Y32" s="606"/>
      <c r="Z32" s="606"/>
      <c r="AA32" s="606"/>
      <c r="AB32" s="606"/>
      <c r="AC32" s="606"/>
      <c r="AD32" s="631">
        <v>99</v>
      </c>
      <c r="AE32" s="631">
        <v>99</v>
      </c>
      <c r="AF32" s="631">
        <v>99</v>
      </c>
      <c r="AG32" s="605"/>
      <c r="AH32" s="605"/>
      <c r="AI32" s="605"/>
      <c r="AJ32" s="605"/>
      <c r="AK32" s="605"/>
      <c r="AL32" s="605"/>
      <c r="AM32" s="605"/>
      <c r="AN32" s="605"/>
      <c r="AO32" s="605"/>
      <c r="AP32" s="605"/>
      <c r="AQ32" s="728">
        <f t="shared" si="9"/>
        <v>99</v>
      </c>
      <c r="AR32" s="728">
        <f t="shared" si="10"/>
        <v>99</v>
      </c>
      <c r="AS32" s="728">
        <f t="shared" si="11"/>
        <v>99</v>
      </c>
      <c r="AT32" s="728" t="str">
        <f t="shared" si="12"/>
        <v/>
      </c>
      <c r="AU32" s="728" t="str">
        <f t="shared" si="13"/>
        <v/>
      </c>
      <c r="AV32" s="728" t="str">
        <f t="shared" si="14"/>
        <v/>
      </c>
      <c r="AW32" s="728" t="str">
        <f t="shared" si="15"/>
        <v/>
      </c>
      <c r="AX32" s="728" t="str">
        <f t="shared" si="16"/>
        <v/>
      </c>
      <c r="AY32" s="615"/>
      <c r="AZ32" s="615"/>
      <c r="BA32" s="615"/>
      <c r="BB32" s="615"/>
      <c r="BC32" s="615"/>
      <c r="BD32" s="124"/>
      <c r="BE32" s="124"/>
      <c r="BF32" s="124"/>
      <c r="BG32" s="124"/>
      <c r="BH32" s="124"/>
      <c r="BI32" s="124"/>
      <c r="BJ32" s="124"/>
      <c r="BK32" s="124"/>
      <c r="BL32" s="332"/>
      <c r="BM32" s="332"/>
      <c r="BN32" s="332"/>
      <c r="BO32" s="332"/>
      <c r="BP32" s="332"/>
      <c r="BQ32" s="332"/>
      <c r="BR32" s="332"/>
      <c r="BS32" s="332"/>
      <c r="BT32" s="332"/>
      <c r="BU32" s="332"/>
      <c r="BV32" s="332"/>
      <c r="BW32" s="332"/>
      <c r="BX32" s="124"/>
      <c r="BY32" s="124"/>
      <c r="BZ32" s="124"/>
      <c r="CA32" s="124"/>
      <c r="CB32" s="124"/>
      <c r="CC32" s="124"/>
      <c r="CD32" s="124"/>
      <c r="CE32" s="124"/>
      <c r="CF32" s="124"/>
      <c r="CG32" s="124"/>
      <c r="CH32" s="124"/>
      <c r="CI32" s="124"/>
      <c r="CJ32" s="332"/>
      <c r="CK32" s="332"/>
      <c r="CL32" s="332"/>
      <c r="CM32" s="332"/>
      <c r="CN32" s="332"/>
      <c r="CO32" s="332"/>
      <c r="CP32" s="332"/>
      <c r="CQ32" s="332"/>
      <c r="CR32" s="332"/>
      <c r="CS32" s="332"/>
      <c r="CT32" s="332"/>
      <c r="CU32" s="332"/>
      <c r="CV32" s="124"/>
      <c r="CW32" s="124"/>
      <c r="CX32" s="124"/>
      <c r="CY32" s="124"/>
      <c r="CZ32" s="124"/>
      <c r="DA32" s="124"/>
      <c r="DB32" s="124"/>
      <c r="DC32" s="124"/>
      <c r="DD32" s="124"/>
      <c r="DE32" s="124"/>
      <c r="DF32" s="124"/>
      <c r="DG32" s="124"/>
      <c r="DH32" s="332"/>
      <c r="DI32" s="332"/>
      <c r="DJ32" s="332"/>
      <c r="DK32" s="332"/>
      <c r="DL32" s="332"/>
      <c r="DM32" s="332"/>
      <c r="DN32" s="604"/>
      <c r="DO32" s="604"/>
      <c r="DP32" s="604"/>
      <c r="DQ32" s="604"/>
      <c r="DR32" s="604"/>
      <c r="DS32" s="604"/>
      <c r="DT32" s="722"/>
      <c r="DU32" s="302">
        <f t="shared" si="4"/>
        <v>99</v>
      </c>
      <c r="DV32" s="303" t="str">
        <f>IF(DU32&gt;KKM!$G$10,"A",IF(DU32&gt;KKM!$H$10,"B",IF(DU32&gt;=KKM!$I$10,"C","D")))</f>
        <v>A</v>
      </c>
      <c r="DW32" s="304">
        <f t="shared" si="5"/>
        <v>99</v>
      </c>
      <c r="DX32" s="115" t="str">
        <f>IF(DW32&gt;KKM!$G$10," sangat baik ",IF(DW32&gt;KKM!$H$10," baik ",IF(DW32&gt;=KKM!$I$10," cukup baik "," perlu bimbingan ")))</f>
        <v xml:space="preserve"> sangat baik </v>
      </c>
      <c r="DY32" s="305">
        <f t="shared" si="6"/>
        <v>99</v>
      </c>
      <c r="DZ32" s="115" t="str">
        <f>IF(DY32&gt;KKM!$G$10," sangat baik ",IF(DY32&gt;KKM!$H$10," baik ",IF(DY32&gt;=KKM!$I$10," cukup baik "," perlu bimbingan ")))</f>
        <v xml:space="preserve"> sangat baik </v>
      </c>
      <c r="EA32" s="301" t="str">
        <f t="shared" si="32"/>
        <v>Anak 27 sangat baik  dalam memahami Q.S. al- Falaq dan Q.S. al- Fil dengan baik dan benar</v>
      </c>
      <c r="EB32" s="424"/>
      <c r="EC32" s="307" t="str">
        <f t="shared" si="17"/>
        <v xml:space="preserve"> sangat baik  dalam memahami Q.S. al- Falaq dan Q.S. al- Fil dengan baik dan benar</v>
      </c>
      <c r="ED32" s="307" t="str">
        <f t="shared" si="7"/>
        <v xml:space="preserve"> sangat baik  dalam memahami Q.S. al- Falaq dan Q.S. al- Fil dengan baik dan benar</v>
      </c>
      <c r="EE32" s="307" t="str">
        <f t="shared" si="18"/>
        <v xml:space="preserve"> sangat baik  dalam memahami Q.S. al- Falaq dan Q.S. al- Fil dengan baik dan benar, dan  sangat baik  dalam memahami Q.S. al- Falaq dan Q.S. al- Fil dengan baik dan benar</v>
      </c>
      <c r="EF32" s="307" t="str">
        <f t="shared" si="19"/>
        <v xml:space="preserve"> sangat baik  dalam memahami Q.S. al- Falaq dan Q.S. al- Fil dengan baik dan benar</v>
      </c>
      <c r="EG32" s="308" t="str">
        <f t="shared" si="20"/>
        <v xml:space="preserve"> sangat baik  dalam memahami Q.S. al- Falaq dan Q.S. al- Fil dengan baik dan benar</v>
      </c>
      <c r="EH32" s="301" t="str">
        <f t="shared" si="8"/>
        <v>Anak 27 sangat baik  dalam memahami Q.S. al- Falaq dan Q.S. al- Fil dengan baik dan benar</v>
      </c>
      <c r="EI32" s="106" t="e">
        <f>IF(#REF!=1,AS$4," ")</f>
        <v>#REF!</v>
      </c>
      <c r="EJ32" s="106" t="e">
        <f>IF(#REF!=1,AT$4," ")</f>
        <v>#REF!</v>
      </c>
      <c r="EK32" s="106" t="e">
        <f>IF(#REF!=1,AU$4," ")</f>
        <v>#REF!</v>
      </c>
      <c r="EL32" s="106" t="e">
        <f>IF(#REF!=1,AV$4," ")</f>
        <v>#REF!</v>
      </c>
      <c r="EM32" s="106" t="e">
        <f>IF(#REF!=1,AW$4," ")</f>
        <v>#REF!</v>
      </c>
      <c r="EN32" s="106" t="e">
        <f>IF(#REF!=1,AX$4," ")</f>
        <v>#REF!</v>
      </c>
      <c r="EO32" s="106" t="e">
        <f>IF(#REF!=1,AY$4," ")</f>
        <v>#REF!</v>
      </c>
      <c r="EP32" s="106" t="e">
        <f>IF(#REF!=1,#REF!," ")</f>
        <v>#REF!</v>
      </c>
      <c r="EQ32" s="106" t="e">
        <f>IF(#REF!=1,#REF!," ")</f>
        <v>#REF!</v>
      </c>
      <c r="ER32" s="106" t="e">
        <f>IF(#REF!=1,DT$4," ")</f>
        <v>#REF!</v>
      </c>
      <c r="ES32" s="408">
        <f t="shared" si="21"/>
        <v>99</v>
      </c>
      <c r="EX32" s="302">
        <f t="shared" si="22"/>
        <v>99</v>
      </c>
      <c r="EY32" s="303" t="str">
        <f>IF(EX32&gt;KKM!$G$10,"A",IF(EX32&gt;KKM!$H$10,"B",IF(EX32&gt;=KKM!$I$10,"C","D")))</f>
        <v>A</v>
      </c>
      <c r="EZ32" s="523">
        <f t="shared" si="23"/>
        <v>99</v>
      </c>
      <c r="FA32" s="115" t="str">
        <f>IF(EZ32&gt;KKM!$G$10," sangat baik ",IF(EZ32&gt;KKM!$H$10," baik ",IF(EZ32&gt;=KKM!$I$10," cukup baik "," perlu bimbingan ")))</f>
        <v xml:space="preserve"> sangat baik </v>
      </c>
      <c r="FB32" s="524">
        <f t="shared" si="24"/>
        <v>99</v>
      </c>
      <c r="FC32" s="115" t="str">
        <f>IF(FB32&gt;KKM!$G$10," sangat baik ",IF(FB32&gt;KKM!$H$10," baik ",IF(FB32&gt;=KKM!$I$10," cukup baik "," perlu bimbingan ")))</f>
        <v xml:space="preserve"> sangat baik </v>
      </c>
      <c r="FD32" s="301" t="str">
        <f t="shared" si="25"/>
        <v>Anak 27 sangat baik  dalam memahami Q.S. al- Falaq dan Q.S. al- Fil dengan baik dan benar</v>
      </c>
      <c r="FE32" s="307" t="str">
        <f t="shared" si="26"/>
        <v xml:space="preserve"> sangat baik  dalam memahami Q.S. al- Falaq dan Q.S. al- Fil dengan baik dan benar</v>
      </c>
      <c r="FF32" s="307" t="str">
        <f t="shared" si="27"/>
        <v xml:space="preserve"> sangat baik  dalam memahami Q.S. al- Falaq dan Q.S. al- Fil dengan baik dan benar</v>
      </c>
      <c r="FG32" s="307" t="str">
        <f t="shared" si="28"/>
        <v xml:space="preserve"> sangat baik  dalam memahami Q.S. al- Falaq dan Q.S. al- Fil dengan baik dan benar, dan  sangat baik  dalam memahami Q.S. al- Falaq dan Q.S. al- Fil dengan baik dan benar</v>
      </c>
      <c r="FH32" s="307" t="str">
        <f t="shared" si="29"/>
        <v xml:space="preserve"> sangat baik  dalam memahami Q.S. al- Falaq dan Q.S. al- Fil dengan baik dan benar</v>
      </c>
      <c r="FI32" s="308" t="str">
        <f t="shared" si="30"/>
        <v xml:space="preserve"> sangat baik  dalam memahami Q.S. al- Falaq dan Q.S. al- Fil dengan baik dan benar</v>
      </c>
      <c r="FJ32" s="301" t="str">
        <f t="shared" si="31"/>
        <v>Anak 27 sangat baik  dalam memahami Q.S. al- Falaq dan Q.S. al- Fil dengan baik dan benar</v>
      </c>
      <c r="FQ32" s="408"/>
    </row>
    <row r="33" spans="2:173" ht="63" customHeight="1">
      <c r="B33" s="109">
        <v>28</v>
      </c>
      <c r="C33" s="110">
        <f>SISWA!B33</f>
        <v>0</v>
      </c>
      <c r="D33" s="111" t="str">
        <f>SISWA!E33</f>
        <v>Anak 28</v>
      </c>
      <c r="E33" s="631">
        <v>99</v>
      </c>
      <c r="F33" s="631">
        <v>99</v>
      </c>
      <c r="G33" s="631">
        <v>99</v>
      </c>
      <c r="H33" s="605"/>
      <c r="I33" s="605"/>
      <c r="J33" s="605"/>
      <c r="K33" s="605"/>
      <c r="L33" s="605"/>
      <c r="M33" s="605"/>
      <c r="N33" s="605"/>
      <c r="O33" s="605"/>
      <c r="P33" s="605"/>
      <c r="Q33" s="605"/>
      <c r="R33" s="631">
        <v>99</v>
      </c>
      <c r="S33" s="631">
        <v>99</v>
      </c>
      <c r="T33" s="631">
        <v>99</v>
      </c>
      <c r="U33" s="606"/>
      <c r="V33" s="606"/>
      <c r="W33" s="606"/>
      <c r="X33" s="606"/>
      <c r="Y33" s="606"/>
      <c r="Z33" s="606"/>
      <c r="AA33" s="606"/>
      <c r="AB33" s="606"/>
      <c r="AC33" s="606"/>
      <c r="AD33" s="631">
        <v>99</v>
      </c>
      <c r="AE33" s="631">
        <v>99</v>
      </c>
      <c r="AF33" s="631">
        <v>99</v>
      </c>
      <c r="AG33" s="605"/>
      <c r="AH33" s="605"/>
      <c r="AI33" s="605"/>
      <c r="AJ33" s="605"/>
      <c r="AK33" s="605"/>
      <c r="AL33" s="605"/>
      <c r="AM33" s="605"/>
      <c r="AN33" s="605"/>
      <c r="AO33" s="605"/>
      <c r="AP33" s="605"/>
      <c r="AQ33" s="728">
        <f t="shared" si="9"/>
        <v>99</v>
      </c>
      <c r="AR33" s="728">
        <f t="shared" si="10"/>
        <v>99</v>
      </c>
      <c r="AS33" s="728">
        <f t="shared" si="11"/>
        <v>99</v>
      </c>
      <c r="AT33" s="728" t="str">
        <f t="shared" si="12"/>
        <v/>
      </c>
      <c r="AU33" s="728" t="str">
        <f t="shared" si="13"/>
        <v/>
      </c>
      <c r="AV33" s="728" t="str">
        <f t="shared" si="14"/>
        <v/>
      </c>
      <c r="AW33" s="728" t="str">
        <f t="shared" si="15"/>
        <v/>
      </c>
      <c r="AX33" s="728" t="str">
        <f t="shared" si="16"/>
        <v/>
      </c>
      <c r="AY33" s="615"/>
      <c r="AZ33" s="615"/>
      <c r="BA33" s="615"/>
      <c r="BB33" s="615"/>
      <c r="BC33" s="615"/>
      <c r="BD33" s="124"/>
      <c r="BE33" s="124"/>
      <c r="BF33" s="124"/>
      <c r="BG33" s="124"/>
      <c r="BH33" s="124"/>
      <c r="BI33" s="124"/>
      <c r="BJ33" s="124"/>
      <c r="BK33" s="124"/>
      <c r="BL33" s="332"/>
      <c r="BM33" s="332"/>
      <c r="BN33" s="332"/>
      <c r="BO33" s="332"/>
      <c r="BP33" s="332"/>
      <c r="BQ33" s="332"/>
      <c r="BR33" s="332"/>
      <c r="BS33" s="332"/>
      <c r="BT33" s="332"/>
      <c r="BU33" s="332"/>
      <c r="BV33" s="332"/>
      <c r="BW33" s="332"/>
      <c r="BX33" s="124"/>
      <c r="BY33" s="124"/>
      <c r="BZ33" s="124"/>
      <c r="CA33" s="124"/>
      <c r="CB33" s="124"/>
      <c r="CC33" s="124"/>
      <c r="CD33" s="124"/>
      <c r="CE33" s="124"/>
      <c r="CF33" s="124"/>
      <c r="CG33" s="124"/>
      <c r="CH33" s="124"/>
      <c r="CI33" s="124"/>
      <c r="CJ33" s="332"/>
      <c r="CK33" s="332"/>
      <c r="CL33" s="332"/>
      <c r="CM33" s="332"/>
      <c r="CN33" s="332"/>
      <c r="CO33" s="332"/>
      <c r="CP33" s="332"/>
      <c r="CQ33" s="332"/>
      <c r="CR33" s="332"/>
      <c r="CS33" s="332"/>
      <c r="CT33" s="332"/>
      <c r="CU33" s="332"/>
      <c r="CV33" s="124"/>
      <c r="CW33" s="124"/>
      <c r="CX33" s="124"/>
      <c r="CY33" s="124"/>
      <c r="CZ33" s="124"/>
      <c r="DA33" s="124"/>
      <c r="DB33" s="124"/>
      <c r="DC33" s="124"/>
      <c r="DD33" s="124"/>
      <c r="DE33" s="124"/>
      <c r="DF33" s="124"/>
      <c r="DG33" s="124"/>
      <c r="DH33" s="332"/>
      <c r="DI33" s="332"/>
      <c r="DJ33" s="332"/>
      <c r="DK33" s="332"/>
      <c r="DL33" s="332"/>
      <c r="DM33" s="332"/>
      <c r="DN33" s="604"/>
      <c r="DO33" s="604"/>
      <c r="DP33" s="604"/>
      <c r="DQ33" s="604"/>
      <c r="DR33" s="604"/>
      <c r="DS33" s="604"/>
      <c r="DT33" s="722"/>
      <c r="DU33" s="302">
        <f t="shared" si="4"/>
        <v>99</v>
      </c>
      <c r="DV33" s="303" t="str">
        <f>IF(DU33&gt;KKM!$G$10,"A",IF(DU33&gt;KKM!$H$10,"B",IF(DU33&gt;=KKM!$I$10,"C","D")))</f>
        <v>A</v>
      </c>
      <c r="DW33" s="304">
        <f t="shared" si="5"/>
        <v>99</v>
      </c>
      <c r="DX33" s="115" t="str">
        <f>IF(DW33&gt;KKM!$G$10," sangat baik ",IF(DW33&gt;KKM!$H$10," baik ",IF(DW33&gt;=KKM!$I$10," cukup baik "," perlu bimbingan ")))</f>
        <v xml:space="preserve"> sangat baik </v>
      </c>
      <c r="DY33" s="305">
        <f t="shared" si="6"/>
        <v>99</v>
      </c>
      <c r="DZ33" s="115" t="str">
        <f>IF(DY33&gt;KKM!$G$10," sangat baik ",IF(DY33&gt;KKM!$H$10," baik ",IF(DY33&gt;=KKM!$I$10," cukup baik "," perlu bimbingan ")))</f>
        <v xml:space="preserve"> sangat baik </v>
      </c>
      <c r="EA33" s="301" t="str">
        <f t="shared" si="32"/>
        <v>Anak 28 sangat baik  dalam memahami Q.S. al- Falaq dan Q.S. al- Fil dengan baik dan benar</v>
      </c>
      <c r="EB33" s="424"/>
      <c r="EC33" s="307" t="str">
        <f t="shared" si="17"/>
        <v xml:space="preserve"> sangat baik  dalam memahami Q.S. al- Falaq dan Q.S. al- Fil dengan baik dan benar</v>
      </c>
      <c r="ED33" s="307" t="str">
        <f t="shared" si="7"/>
        <v xml:space="preserve"> sangat baik  dalam memahami Q.S. al- Falaq dan Q.S. al- Fil dengan baik dan benar</v>
      </c>
      <c r="EE33" s="307" t="str">
        <f t="shared" si="18"/>
        <v xml:space="preserve"> sangat baik  dalam memahami Q.S. al- Falaq dan Q.S. al- Fil dengan baik dan benar, dan  sangat baik  dalam memahami Q.S. al- Falaq dan Q.S. al- Fil dengan baik dan benar</v>
      </c>
      <c r="EF33" s="307" t="str">
        <f t="shared" si="19"/>
        <v xml:space="preserve"> sangat baik  dalam memahami Q.S. al- Falaq dan Q.S. al- Fil dengan baik dan benar</v>
      </c>
      <c r="EG33" s="308" t="str">
        <f t="shared" si="20"/>
        <v xml:space="preserve"> sangat baik  dalam memahami Q.S. al- Falaq dan Q.S. al- Fil dengan baik dan benar</v>
      </c>
      <c r="EH33" s="301" t="str">
        <f t="shared" si="8"/>
        <v>Anak 28 sangat baik  dalam memahami Q.S. al- Falaq dan Q.S. al- Fil dengan baik dan benar</v>
      </c>
      <c r="EI33" s="106" t="e">
        <f>IF(#REF!=1,AS$4," ")</f>
        <v>#REF!</v>
      </c>
      <c r="EJ33" s="106" t="e">
        <f>IF(#REF!=1,AT$4," ")</f>
        <v>#REF!</v>
      </c>
      <c r="EK33" s="106" t="e">
        <f>IF(#REF!=1,AU$4," ")</f>
        <v>#REF!</v>
      </c>
      <c r="EL33" s="106" t="e">
        <f>IF(#REF!=1,AV$4," ")</f>
        <v>#REF!</v>
      </c>
      <c r="EM33" s="106" t="e">
        <f>IF(#REF!=1,AW$4," ")</f>
        <v>#REF!</v>
      </c>
      <c r="EN33" s="106" t="e">
        <f>IF(#REF!=1,AX$4," ")</f>
        <v>#REF!</v>
      </c>
      <c r="EO33" s="106" t="e">
        <f>IF(#REF!=1,AY$4," ")</f>
        <v>#REF!</v>
      </c>
      <c r="EP33" s="106" t="e">
        <f>IF(#REF!=1,#REF!," ")</f>
        <v>#REF!</v>
      </c>
      <c r="EQ33" s="106" t="e">
        <f>IF(#REF!=1,#REF!," ")</f>
        <v>#REF!</v>
      </c>
      <c r="ER33" s="106" t="e">
        <f>IF(#REF!=1,DT$4," ")</f>
        <v>#REF!</v>
      </c>
      <c r="ES33" s="408">
        <f t="shared" si="21"/>
        <v>99</v>
      </c>
      <c r="EX33" s="302">
        <f t="shared" si="22"/>
        <v>99</v>
      </c>
      <c r="EY33" s="303" t="str">
        <f>IF(EX33&gt;KKM!$G$10,"A",IF(EX33&gt;KKM!$H$10,"B",IF(EX33&gt;=KKM!$I$10,"C","D")))</f>
        <v>A</v>
      </c>
      <c r="EZ33" s="523">
        <f t="shared" si="23"/>
        <v>99</v>
      </c>
      <c r="FA33" s="115" t="str">
        <f>IF(EZ33&gt;KKM!$G$10," sangat baik ",IF(EZ33&gt;KKM!$H$10," baik ",IF(EZ33&gt;=KKM!$I$10," cukup baik "," perlu bimbingan ")))</f>
        <v xml:space="preserve"> sangat baik </v>
      </c>
      <c r="FB33" s="524">
        <f t="shared" si="24"/>
        <v>99</v>
      </c>
      <c r="FC33" s="115" t="str">
        <f>IF(FB33&gt;KKM!$G$10," sangat baik ",IF(FB33&gt;KKM!$H$10," baik ",IF(FB33&gt;=KKM!$I$10," cukup baik "," perlu bimbingan ")))</f>
        <v xml:space="preserve"> sangat baik </v>
      </c>
      <c r="FD33" s="301" t="str">
        <f t="shared" si="25"/>
        <v>Anak 28 sangat baik  dalam memahami Q.S. al- Falaq dan Q.S. al- Fil dengan baik dan benar</v>
      </c>
      <c r="FE33" s="307" t="str">
        <f t="shared" si="26"/>
        <v xml:space="preserve"> sangat baik  dalam memahami Q.S. al- Falaq dan Q.S. al- Fil dengan baik dan benar</v>
      </c>
      <c r="FF33" s="307" t="str">
        <f t="shared" si="27"/>
        <v xml:space="preserve"> sangat baik  dalam memahami Q.S. al- Falaq dan Q.S. al- Fil dengan baik dan benar</v>
      </c>
      <c r="FG33" s="307" t="str">
        <f t="shared" si="28"/>
        <v xml:space="preserve"> sangat baik  dalam memahami Q.S. al- Falaq dan Q.S. al- Fil dengan baik dan benar, dan  sangat baik  dalam memahami Q.S. al- Falaq dan Q.S. al- Fil dengan baik dan benar</v>
      </c>
      <c r="FH33" s="307" t="str">
        <f t="shared" si="29"/>
        <v xml:space="preserve"> sangat baik  dalam memahami Q.S. al- Falaq dan Q.S. al- Fil dengan baik dan benar</v>
      </c>
      <c r="FI33" s="308" t="str">
        <f t="shared" si="30"/>
        <v xml:space="preserve"> sangat baik  dalam memahami Q.S. al- Falaq dan Q.S. al- Fil dengan baik dan benar</v>
      </c>
      <c r="FJ33" s="301" t="str">
        <f t="shared" si="31"/>
        <v>Anak 28 sangat baik  dalam memahami Q.S. al- Falaq dan Q.S. al- Fil dengan baik dan benar</v>
      </c>
      <c r="FQ33" s="408"/>
    </row>
    <row r="34" spans="2:173" ht="63" customHeight="1">
      <c r="B34" s="109">
        <v>29</v>
      </c>
      <c r="C34" s="110">
        <f>SISWA!B34</f>
        <v>0</v>
      </c>
      <c r="D34" s="111" t="str">
        <f>SISWA!E34</f>
        <v>Anak 29</v>
      </c>
      <c r="E34" s="631">
        <v>99</v>
      </c>
      <c r="F34" s="631">
        <v>99</v>
      </c>
      <c r="G34" s="631">
        <v>99</v>
      </c>
      <c r="H34" s="605"/>
      <c r="I34" s="605"/>
      <c r="J34" s="605"/>
      <c r="K34" s="605"/>
      <c r="L34" s="605"/>
      <c r="M34" s="605"/>
      <c r="N34" s="605"/>
      <c r="O34" s="605"/>
      <c r="P34" s="605"/>
      <c r="Q34" s="605"/>
      <c r="R34" s="631">
        <v>99</v>
      </c>
      <c r="S34" s="631">
        <v>99</v>
      </c>
      <c r="T34" s="631">
        <v>99</v>
      </c>
      <c r="U34" s="606"/>
      <c r="V34" s="606"/>
      <c r="W34" s="606"/>
      <c r="X34" s="606"/>
      <c r="Y34" s="606"/>
      <c r="Z34" s="606"/>
      <c r="AA34" s="606"/>
      <c r="AB34" s="606"/>
      <c r="AC34" s="606"/>
      <c r="AD34" s="631">
        <v>99</v>
      </c>
      <c r="AE34" s="631">
        <v>99</v>
      </c>
      <c r="AF34" s="631">
        <v>99</v>
      </c>
      <c r="AG34" s="605"/>
      <c r="AH34" s="605"/>
      <c r="AI34" s="605"/>
      <c r="AJ34" s="605"/>
      <c r="AK34" s="605"/>
      <c r="AL34" s="605"/>
      <c r="AM34" s="605"/>
      <c r="AN34" s="605"/>
      <c r="AO34" s="605"/>
      <c r="AP34" s="605"/>
      <c r="AQ34" s="728">
        <f t="shared" si="9"/>
        <v>99</v>
      </c>
      <c r="AR34" s="728">
        <f t="shared" si="10"/>
        <v>99</v>
      </c>
      <c r="AS34" s="728">
        <f t="shared" si="11"/>
        <v>99</v>
      </c>
      <c r="AT34" s="728" t="str">
        <f t="shared" si="12"/>
        <v/>
      </c>
      <c r="AU34" s="728" t="str">
        <f t="shared" si="13"/>
        <v/>
      </c>
      <c r="AV34" s="728" t="str">
        <f t="shared" si="14"/>
        <v/>
      </c>
      <c r="AW34" s="728" t="str">
        <f t="shared" si="15"/>
        <v/>
      </c>
      <c r="AX34" s="728" t="str">
        <f t="shared" si="16"/>
        <v/>
      </c>
      <c r="AY34" s="615"/>
      <c r="AZ34" s="615"/>
      <c r="BA34" s="615"/>
      <c r="BB34" s="615"/>
      <c r="BC34" s="615"/>
      <c r="BD34" s="124"/>
      <c r="BE34" s="124"/>
      <c r="BF34" s="124"/>
      <c r="BG34" s="124"/>
      <c r="BH34" s="124"/>
      <c r="BI34" s="124"/>
      <c r="BJ34" s="124"/>
      <c r="BK34" s="124"/>
      <c r="BL34" s="332"/>
      <c r="BM34" s="332"/>
      <c r="BN34" s="332"/>
      <c r="BO34" s="332"/>
      <c r="BP34" s="332"/>
      <c r="BQ34" s="332"/>
      <c r="BR34" s="332"/>
      <c r="BS34" s="332"/>
      <c r="BT34" s="332"/>
      <c r="BU34" s="332"/>
      <c r="BV34" s="332"/>
      <c r="BW34" s="332"/>
      <c r="BX34" s="124"/>
      <c r="BY34" s="124"/>
      <c r="BZ34" s="124"/>
      <c r="CA34" s="124"/>
      <c r="CB34" s="124"/>
      <c r="CC34" s="124"/>
      <c r="CD34" s="124"/>
      <c r="CE34" s="124"/>
      <c r="CF34" s="124"/>
      <c r="CG34" s="124"/>
      <c r="CH34" s="124"/>
      <c r="CI34" s="124"/>
      <c r="CJ34" s="332"/>
      <c r="CK34" s="332"/>
      <c r="CL34" s="332"/>
      <c r="CM34" s="332"/>
      <c r="CN34" s="332"/>
      <c r="CO34" s="332"/>
      <c r="CP34" s="332"/>
      <c r="CQ34" s="332"/>
      <c r="CR34" s="332"/>
      <c r="CS34" s="332"/>
      <c r="CT34" s="332"/>
      <c r="CU34" s="332"/>
      <c r="CV34" s="124"/>
      <c r="CW34" s="124"/>
      <c r="CX34" s="124"/>
      <c r="CY34" s="124"/>
      <c r="CZ34" s="124"/>
      <c r="DA34" s="124"/>
      <c r="DB34" s="124"/>
      <c r="DC34" s="124"/>
      <c r="DD34" s="124"/>
      <c r="DE34" s="124"/>
      <c r="DF34" s="124"/>
      <c r="DG34" s="124"/>
      <c r="DH34" s="332"/>
      <c r="DI34" s="332"/>
      <c r="DJ34" s="332"/>
      <c r="DK34" s="332"/>
      <c r="DL34" s="332"/>
      <c r="DM34" s="332"/>
      <c r="DN34" s="604"/>
      <c r="DO34" s="604"/>
      <c r="DP34" s="604"/>
      <c r="DQ34" s="604"/>
      <c r="DR34" s="604"/>
      <c r="DS34" s="604"/>
      <c r="DT34" s="722"/>
      <c r="DU34" s="302">
        <f t="shared" si="4"/>
        <v>99</v>
      </c>
      <c r="DV34" s="303" t="str">
        <f>IF(DU34&gt;KKM!$G$10,"A",IF(DU34&gt;KKM!$H$10,"B",IF(DU34&gt;=KKM!$I$10,"C","D")))</f>
        <v>A</v>
      </c>
      <c r="DW34" s="304">
        <f t="shared" si="5"/>
        <v>99</v>
      </c>
      <c r="DX34" s="115" t="str">
        <f>IF(DW34&gt;KKM!$G$10," sangat baik ",IF(DW34&gt;KKM!$H$10," baik ",IF(DW34&gt;=KKM!$I$10," cukup baik "," perlu bimbingan ")))</f>
        <v xml:space="preserve"> sangat baik </v>
      </c>
      <c r="DY34" s="305">
        <f t="shared" si="6"/>
        <v>99</v>
      </c>
      <c r="DZ34" s="115" t="str">
        <f>IF(DY34&gt;KKM!$G$10," sangat baik ",IF(DY34&gt;KKM!$H$10," baik ",IF(DY34&gt;=KKM!$I$10," cukup baik "," perlu bimbingan ")))</f>
        <v xml:space="preserve"> sangat baik </v>
      </c>
      <c r="EA34" s="301" t="str">
        <f t="shared" si="32"/>
        <v>Anak 29 sangat baik  dalam memahami Q.S. al- Falaq dan Q.S. al- Fil dengan baik dan benar</v>
      </c>
      <c r="EB34" s="424"/>
      <c r="EC34" s="307" t="str">
        <f t="shared" si="17"/>
        <v xml:space="preserve"> sangat baik  dalam memahami Q.S. al- Falaq dan Q.S. al- Fil dengan baik dan benar</v>
      </c>
      <c r="ED34" s="307" t="str">
        <f t="shared" si="7"/>
        <v xml:space="preserve"> sangat baik  dalam memahami Q.S. al- Falaq dan Q.S. al- Fil dengan baik dan benar</v>
      </c>
      <c r="EE34" s="307" t="str">
        <f t="shared" si="18"/>
        <v xml:space="preserve"> sangat baik  dalam memahami Q.S. al- Falaq dan Q.S. al- Fil dengan baik dan benar, dan  sangat baik  dalam memahami Q.S. al- Falaq dan Q.S. al- Fil dengan baik dan benar</v>
      </c>
      <c r="EF34" s="307" t="str">
        <f t="shared" si="19"/>
        <v xml:space="preserve"> sangat baik  dalam memahami Q.S. al- Falaq dan Q.S. al- Fil dengan baik dan benar</v>
      </c>
      <c r="EG34" s="308" t="str">
        <f t="shared" si="20"/>
        <v xml:space="preserve"> sangat baik  dalam memahami Q.S. al- Falaq dan Q.S. al- Fil dengan baik dan benar</v>
      </c>
      <c r="EH34" s="301" t="str">
        <f t="shared" si="8"/>
        <v>Anak 29 sangat baik  dalam memahami Q.S. al- Falaq dan Q.S. al- Fil dengan baik dan benar</v>
      </c>
      <c r="EI34" s="106" t="e">
        <f>IF(#REF!=1,AS$4," ")</f>
        <v>#REF!</v>
      </c>
      <c r="EJ34" s="106" t="e">
        <f>IF(#REF!=1,AT$4," ")</f>
        <v>#REF!</v>
      </c>
      <c r="EK34" s="106" t="e">
        <f>IF(#REF!=1,AU$4," ")</f>
        <v>#REF!</v>
      </c>
      <c r="EL34" s="106" t="e">
        <f>IF(#REF!=1,AV$4," ")</f>
        <v>#REF!</v>
      </c>
      <c r="EM34" s="106" t="e">
        <f>IF(#REF!=1,AW$4," ")</f>
        <v>#REF!</v>
      </c>
      <c r="EN34" s="106" t="e">
        <f>IF(#REF!=1,AX$4," ")</f>
        <v>#REF!</v>
      </c>
      <c r="EO34" s="106" t="e">
        <f>IF(#REF!=1,AY$4," ")</f>
        <v>#REF!</v>
      </c>
      <c r="EP34" s="106" t="e">
        <f>IF(#REF!=1,#REF!," ")</f>
        <v>#REF!</v>
      </c>
      <c r="EQ34" s="106" t="e">
        <f>IF(#REF!=1,#REF!," ")</f>
        <v>#REF!</v>
      </c>
      <c r="ER34" s="106" t="e">
        <f>IF(#REF!=1,DT$4," ")</f>
        <v>#REF!</v>
      </c>
      <c r="ES34" s="408">
        <f t="shared" si="21"/>
        <v>99</v>
      </c>
      <c r="EX34" s="302">
        <f t="shared" si="22"/>
        <v>99</v>
      </c>
      <c r="EY34" s="303" t="str">
        <f>IF(EX34&gt;KKM!$G$10,"A",IF(EX34&gt;KKM!$H$10,"B",IF(EX34&gt;=KKM!$I$10,"C","D")))</f>
        <v>A</v>
      </c>
      <c r="EZ34" s="523">
        <f t="shared" si="23"/>
        <v>99</v>
      </c>
      <c r="FA34" s="115" t="str">
        <f>IF(EZ34&gt;KKM!$G$10," sangat baik ",IF(EZ34&gt;KKM!$H$10," baik ",IF(EZ34&gt;=KKM!$I$10," cukup baik "," perlu bimbingan ")))</f>
        <v xml:space="preserve"> sangat baik </v>
      </c>
      <c r="FB34" s="524">
        <f t="shared" si="24"/>
        <v>99</v>
      </c>
      <c r="FC34" s="115" t="str">
        <f>IF(FB34&gt;KKM!$G$10," sangat baik ",IF(FB34&gt;KKM!$H$10," baik ",IF(FB34&gt;=KKM!$I$10," cukup baik "," perlu bimbingan ")))</f>
        <v xml:space="preserve"> sangat baik </v>
      </c>
      <c r="FD34" s="301" t="str">
        <f t="shared" si="25"/>
        <v>Anak 29 sangat baik  dalam memahami Q.S. al- Falaq dan Q.S. al- Fil dengan baik dan benar</v>
      </c>
      <c r="FE34" s="307" t="str">
        <f t="shared" si="26"/>
        <v xml:space="preserve"> sangat baik  dalam memahami Q.S. al- Falaq dan Q.S. al- Fil dengan baik dan benar</v>
      </c>
      <c r="FF34" s="307" t="str">
        <f t="shared" si="27"/>
        <v xml:space="preserve"> sangat baik  dalam memahami Q.S. al- Falaq dan Q.S. al- Fil dengan baik dan benar</v>
      </c>
      <c r="FG34" s="307" t="str">
        <f t="shared" si="28"/>
        <v xml:space="preserve"> sangat baik  dalam memahami Q.S. al- Falaq dan Q.S. al- Fil dengan baik dan benar, dan  sangat baik  dalam memahami Q.S. al- Falaq dan Q.S. al- Fil dengan baik dan benar</v>
      </c>
      <c r="FH34" s="307" t="str">
        <f t="shared" si="29"/>
        <v xml:space="preserve"> sangat baik  dalam memahami Q.S. al- Falaq dan Q.S. al- Fil dengan baik dan benar</v>
      </c>
      <c r="FI34" s="308" t="str">
        <f t="shared" si="30"/>
        <v xml:space="preserve"> sangat baik  dalam memahami Q.S. al- Falaq dan Q.S. al- Fil dengan baik dan benar</v>
      </c>
      <c r="FJ34" s="301" t="str">
        <f t="shared" si="31"/>
        <v>Anak 29 sangat baik  dalam memahami Q.S. al- Falaq dan Q.S. al- Fil dengan baik dan benar</v>
      </c>
      <c r="FQ34" s="408"/>
    </row>
    <row r="35" spans="2:173" ht="63" customHeight="1">
      <c r="B35" s="109">
        <v>30</v>
      </c>
      <c r="C35" s="110">
        <f>SISWA!B35</f>
        <v>0</v>
      </c>
      <c r="D35" s="111" t="str">
        <f>SISWA!E35</f>
        <v>Anak 30</v>
      </c>
      <c r="E35" s="631">
        <v>99</v>
      </c>
      <c r="F35" s="631">
        <v>99</v>
      </c>
      <c r="G35" s="631">
        <v>99</v>
      </c>
      <c r="H35" s="605"/>
      <c r="I35" s="605"/>
      <c r="J35" s="605"/>
      <c r="K35" s="605"/>
      <c r="L35" s="605"/>
      <c r="M35" s="605"/>
      <c r="N35" s="605"/>
      <c r="O35" s="605"/>
      <c r="P35" s="605"/>
      <c r="Q35" s="605"/>
      <c r="R35" s="631">
        <v>99</v>
      </c>
      <c r="S35" s="631">
        <v>99</v>
      </c>
      <c r="T35" s="631">
        <v>99</v>
      </c>
      <c r="U35" s="606"/>
      <c r="V35" s="606"/>
      <c r="W35" s="606"/>
      <c r="X35" s="606"/>
      <c r="Y35" s="606"/>
      <c r="Z35" s="606"/>
      <c r="AA35" s="606"/>
      <c r="AB35" s="606"/>
      <c r="AC35" s="606"/>
      <c r="AD35" s="631">
        <v>99</v>
      </c>
      <c r="AE35" s="631">
        <v>99</v>
      </c>
      <c r="AF35" s="631">
        <v>99</v>
      </c>
      <c r="AG35" s="605"/>
      <c r="AH35" s="605"/>
      <c r="AI35" s="605"/>
      <c r="AJ35" s="605"/>
      <c r="AK35" s="605"/>
      <c r="AL35" s="605"/>
      <c r="AM35" s="605"/>
      <c r="AN35" s="605"/>
      <c r="AO35" s="605"/>
      <c r="AP35" s="605"/>
      <c r="AQ35" s="728">
        <f t="shared" si="9"/>
        <v>99</v>
      </c>
      <c r="AR35" s="728">
        <f t="shared" si="10"/>
        <v>99</v>
      </c>
      <c r="AS35" s="728">
        <f t="shared" si="11"/>
        <v>99</v>
      </c>
      <c r="AT35" s="728" t="str">
        <f t="shared" si="12"/>
        <v/>
      </c>
      <c r="AU35" s="728" t="str">
        <f t="shared" si="13"/>
        <v/>
      </c>
      <c r="AV35" s="728" t="str">
        <f t="shared" si="14"/>
        <v/>
      </c>
      <c r="AW35" s="728" t="str">
        <f t="shared" si="15"/>
        <v/>
      </c>
      <c r="AX35" s="728" t="str">
        <f t="shared" si="16"/>
        <v/>
      </c>
      <c r="AY35" s="615"/>
      <c r="AZ35" s="615"/>
      <c r="BA35" s="615"/>
      <c r="BB35" s="615"/>
      <c r="BC35" s="615"/>
      <c r="BD35" s="124"/>
      <c r="BE35" s="124"/>
      <c r="BF35" s="124"/>
      <c r="BG35" s="124"/>
      <c r="BH35" s="124"/>
      <c r="BI35" s="124"/>
      <c r="BJ35" s="124"/>
      <c r="BK35" s="124"/>
      <c r="BL35" s="332"/>
      <c r="BM35" s="332"/>
      <c r="BN35" s="332"/>
      <c r="BO35" s="332"/>
      <c r="BP35" s="332"/>
      <c r="BQ35" s="332"/>
      <c r="BR35" s="332"/>
      <c r="BS35" s="332"/>
      <c r="BT35" s="332"/>
      <c r="BU35" s="332"/>
      <c r="BV35" s="332"/>
      <c r="BW35" s="332"/>
      <c r="BX35" s="124"/>
      <c r="BY35" s="124"/>
      <c r="BZ35" s="124"/>
      <c r="CA35" s="124"/>
      <c r="CB35" s="124"/>
      <c r="CC35" s="124"/>
      <c r="CD35" s="124"/>
      <c r="CE35" s="124"/>
      <c r="CF35" s="124"/>
      <c r="CG35" s="124"/>
      <c r="CH35" s="124"/>
      <c r="CI35" s="124"/>
      <c r="CJ35" s="332"/>
      <c r="CK35" s="332"/>
      <c r="CL35" s="332"/>
      <c r="CM35" s="332"/>
      <c r="CN35" s="332"/>
      <c r="CO35" s="332"/>
      <c r="CP35" s="332"/>
      <c r="CQ35" s="332"/>
      <c r="CR35" s="332"/>
      <c r="CS35" s="332"/>
      <c r="CT35" s="332"/>
      <c r="CU35" s="332"/>
      <c r="CV35" s="124"/>
      <c r="CW35" s="124"/>
      <c r="CX35" s="124"/>
      <c r="CY35" s="124"/>
      <c r="CZ35" s="124"/>
      <c r="DA35" s="124"/>
      <c r="DB35" s="124"/>
      <c r="DC35" s="124"/>
      <c r="DD35" s="124"/>
      <c r="DE35" s="124"/>
      <c r="DF35" s="124"/>
      <c r="DG35" s="124"/>
      <c r="DH35" s="332"/>
      <c r="DI35" s="332"/>
      <c r="DJ35" s="332"/>
      <c r="DK35" s="332"/>
      <c r="DL35" s="332"/>
      <c r="DM35" s="332"/>
      <c r="DN35" s="604"/>
      <c r="DO35" s="604"/>
      <c r="DP35" s="604"/>
      <c r="DQ35" s="604"/>
      <c r="DR35" s="604"/>
      <c r="DS35" s="604"/>
      <c r="DT35" s="722"/>
      <c r="DU35" s="302">
        <f t="shared" si="4"/>
        <v>99</v>
      </c>
      <c r="DV35" s="303" t="str">
        <f>IF(DU35&gt;KKM!$G$10,"A",IF(DU35&gt;KKM!$H$10,"B",IF(DU35&gt;=KKM!$I$10,"C","D")))</f>
        <v>A</v>
      </c>
      <c r="DW35" s="304">
        <f t="shared" si="5"/>
        <v>99</v>
      </c>
      <c r="DX35" s="115" t="str">
        <f>IF(DW35&gt;KKM!$G$10," sangat baik ",IF(DW35&gt;KKM!$H$10," baik ",IF(DW35&gt;=KKM!$I$10," cukup baik "," perlu bimbingan ")))</f>
        <v xml:space="preserve"> sangat baik </v>
      </c>
      <c r="DY35" s="305">
        <f t="shared" si="6"/>
        <v>99</v>
      </c>
      <c r="DZ35" s="115" t="str">
        <f>IF(DY35&gt;KKM!$G$10," sangat baik ",IF(DY35&gt;KKM!$H$10," baik ",IF(DY35&gt;=KKM!$I$10," cukup baik "," perlu bimbingan ")))</f>
        <v xml:space="preserve"> sangat baik </v>
      </c>
      <c r="EA35" s="301" t="str">
        <f t="shared" si="32"/>
        <v>Anak 30 sangat baik  dalam memahami Q.S. al- Falaq dan Q.S. al- Fil dengan baik dan benar</v>
      </c>
      <c r="EB35" s="424"/>
      <c r="EC35" s="307" t="str">
        <f t="shared" si="17"/>
        <v xml:space="preserve"> sangat baik  dalam memahami Q.S. al- Falaq dan Q.S. al- Fil dengan baik dan benar</v>
      </c>
      <c r="ED35" s="307" t="str">
        <f t="shared" si="7"/>
        <v xml:space="preserve"> sangat baik  dalam memahami Q.S. al- Falaq dan Q.S. al- Fil dengan baik dan benar</v>
      </c>
      <c r="EE35" s="307" t="str">
        <f t="shared" si="18"/>
        <v xml:space="preserve"> sangat baik  dalam memahami Q.S. al- Falaq dan Q.S. al- Fil dengan baik dan benar, dan  sangat baik  dalam memahami Q.S. al- Falaq dan Q.S. al- Fil dengan baik dan benar</v>
      </c>
      <c r="EF35" s="307" t="str">
        <f t="shared" si="19"/>
        <v xml:space="preserve"> sangat baik  dalam memahami Q.S. al- Falaq dan Q.S. al- Fil dengan baik dan benar</v>
      </c>
      <c r="EG35" s="308" t="str">
        <f t="shared" si="20"/>
        <v xml:space="preserve"> sangat baik  dalam memahami Q.S. al- Falaq dan Q.S. al- Fil dengan baik dan benar</v>
      </c>
      <c r="EH35" s="301" t="str">
        <f t="shared" si="8"/>
        <v>Anak 30 sangat baik  dalam memahami Q.S. al- Falaq dan Q.S. al- Fil dengan baik dan benar</v>
      </c>
      <c r="EI35" s="106" t="e">
        <f>IF(#REF!=1,AS$4," ")</f>
        <v>#REF!</v>
      </c>
      <c r="EJ35" s="106" t="e">
        <f>IF(#REF!=1,AT$4," ")</f>
        <v>#REF!</v>
      </c>
      <c r="EK35" s="106" t="e">
        <f>IF(#REF!=1,AU$4," ")</f>
        <v>#REF!</v>
      </c>
      <c r="EL35" s="106" t="e">
        <f>IF(#REF!=1,AV$4," ")</f>
        <v>#REF!</v>
      </c>
      <c r="EM35" s="106" t="e">
        <f>IF(#REF!=1,AW$4," ")</f>
        <v>#REF!</v>
      </c>
      <c r="EN35" s="106" t="e">
        <f>IF(#REF!=1,AX$4," ")</f>
        <v>#REF!</v>
      </c>
      <c r="EO35" s="106" t="e">
        <f>IF(#REF!=1,AY$4," ")</f>
        <v>#REF!</v>
      </c>
      <c r="EP35" s="106" t="e">
        <f>IF(#REF!=1,#REF!," ")</f>
        <v>#REF!</v>
      </c>
      <c r="EQ35" s="106" t="e">
        <f>IF(#REF!=1,#REF!," ")</f>
        <v>#REF!</v>
      </c>
      <c r="ER35" s="106" t="e">
        <f>IF(#REF!=1,DT$4," ")</f>
        <v>#REF!</v>
      </c>
      <c r="ES35" s="408">
        <f t="shared" si="21"/>
        <v>99</v>
      </c>
      <c r="EX35" s="302">
        <f t="shared" si="22"/>
        <v>99</v>
      </c>
      <c r="EY35" s="303" t="str">
        <f>IF(EX35&gt;KKM!$G$10,"A",IF(EX35&gt;KKM!$H$10,"B",IF(EX35&gt;=KKM!$I$10,"C","D")))</f>
        <v>A</v>
      </c>
      <c r="EZ35" s="523">
        <f t="shared" si="23"/>
        <v>99</v>
      </c>
      <c r="FA35" s="115" t="str">
        <f>IF(EZ35&gt;KKM!$G$10," sangat baik ",IF(EZ35&gt;KKM!$H$10," baik ",IF(EZ35&gt;=KKM!$I$10," cukup baik "," perlu bimbingan ")))</f>
        <v xml:space="preserve"> sangat baik </v>
      </c>
      <c r="FB35" s="524">
        <f t="shared" si="24"/>
        <v>99</v>
      </c>
      <c r="FC35" s="115" t="str">
        <f>IF(FB35&gt;KKM!$G$10," sangat baik ",IF(FB35&gt;KKM!$H$10," baik ",IF(FB35&gt;=KKM!$I$10," cukup baik "," perlu bimbingan ")))</f>
        <v xml:space="preserve"> sangat baik </v>
      </c>
      <c r="FD35" s="301" t="str">
        <f t="shared" si="25"/>
        <v>Anak 30 sangat baik  dalam memahami Q.S. al- Falaq dan Q.S. al- Fil dengan baik dan benar</v>
      </c>
      <c r="FE35" s="307" t="str">
        <f t="shared" si="26"/>
        <v xml:space="preserve"> sangat baik  dalam memahami Q.S. al- Falaq dan Q.S. al- Fil dengan baik dan benar</v>
      </c>
      <c r="FF35" s="307" t="str">
        <f t="shared" si="27"/>
        <v xml:space="preserve"> sangat baik  dalam memahami Q.S. al- Falaq dan Q.S. al- Fil dengan baik dan benar</v>
      </c>
      <c r="FG35" s="307" t="str">
        <f t="shared" si="28"/>
        <v xml:space="preserve"> sangat baik  dalam memahami Q.S. al- Falaq dan Q.S. al- Fil dengan baik dan benar, dan  sangat baik  dalam memahami Q.S. al- Falaq dan Q.S. al- Fil dengan baik dan benar</v>
      </c>
      <c r="FH35" s="307" t="str">
        <f t="shared" si="29"/>
        <v xml:space="preserve"> sangat baik  dalam memahami Q.S. al- Falaq dan Q.S. al- Fil dengan baik dan benar</v>
      </c>
      <c r="FI35" s="308" t="str">
        <f t="shared" si="30"/>
        <v xml:space="preserve"> sangat baik  dalam memahami Q.S. al- Falaq dan Q.S. al- Fil dengan baik dan benar</v>
      </c>
      <c r="FJ35" s="301" t="str">
        <f t="shared" si="31"/>
        <v>Anak 30 sangat baik  dalam memahami Q.S. al- Falaq dan Q.S. al- Fil dengan baik dan benar</v>
      </c>
      <c r="FQ35" s="408"/>
    </row>
    <row r="36" spans="2:173" ht="63" customHeight="1">
      <c r="B36" s="109">
        <v>31</v>
      </c>
      <c r="C36" s="110">
        <f>SISWA!B36</f>
        <v>0</v>
      </c>
      <c r="D36" s="111" t="str">
        <f>SISWA!E36</f>
        <v>Anak 31</v>
      </c>
      <c r="E36" s="631">
        <v>99</v>
      </c>
      <c r="F36" s="631">
        <v>99</v>
      </c>
      <c r="G36" s="631">
        <v>99</v>
      </c>
      <c r="H36" s="605"/>
      <c r="I36" s="605"/>
      <c r="J36" s="605"/>
      <c r="K36" s="605"/>
      <c r="L36" s="605"/>
      <c r="M36" s="605"/>
      <c r="N36" s="605"/>
      <c r="O36" s="605"/>
      <c r="P36" s="605"/>
      <c r="Q36" s="605"/>
      <c r="R36" s="631">
        <v>99</v>
      </c>
      <c r="S36" s="631">
        <v>99</v>
      </c>
      <c r="T36" s="631">
        <v>99</v>
      </c>
      <c r="U36" s="606"/>
      <c r="V36" s="606"/>
      <c r="W36" s="606"/>
      <c r="X36" s="606"/>
      <c r="Y36" s="606"/>
      <c r="Z36" s="606"/>
      <c r="AA36" s="606"/>
      <c r="AB36" s="606"/>
      <c r="AC36" s="606"/>
      <c r="AD36" s="631">
        <v>99</v>
      </c>
      <c r="AE36" s="631">
        <v>99</v>
      </c>
      <c r="AF36" s="631">
        <v>99</v>
      </c>
      <c r="AG36" s="605"/>
      <c r="AH36" s="605"/>
      <c r="AI36" s="605"/>
      <c r="AJ36" s="605"/>
      <c r="AK36" s="605"/>
      <c r="AL36" s="605"/>
      <c r="AM36" s="605"/>
      <c r="AN36" s="605"/>
      <c r="AO36" s="605"/>
      <c r="AP36" s="605"/>
      <c r="AQ36" s="728">
        <f t="shared" si="9"/>
        <v>99</v>
      </c>
      <c r="AR36" s="728">
        <f t="shared" si="10"/>
        <v>99</v>
      </c>
      <c r="AS36" s="728">
        <f t="shared" si="11"/>
        <v>99</v>
      </c>
      <c r="AT36" s="728" t="str">
        <f t="shared" si="12"/>
        <v/>
      </c>
      <c r="AU36" s="728" t="str">
        <f t="shared" si="13"/>
        <v/>
      </c>
      <c r="AV36" s="728" t="str">
        <f t="shared" si="14"/>
        <v/>
      </c>
      <c r="AW36" s="728" t="str">
        <f t="shared" si="15"/>
        <v/>
      </c>
      <c r="AX36" s="728" t="str">
        <f t="shared" si="16"/>
        <v/>
      </c>
      <c r="AY36" s="615"/>
      <c r="AZ36" s="615"/>
      <c r="BA36" s="615"/>
      <c r="BB36" s="615"/>
      <c r="BC36" s="615"/>
      <c r="BD36" s="124"/>
      <c r="BE36" s="124"/>
      <c r="BF36" s="124"/>
      <c r="BG36" s="124"/>
      <c r="BH36" s="124"/>
      <c r="BI36" s="124"/>
      <c r="BJ36" s="124"/>
      <c r="BK36" s="124"/>
      <c r="BL36" s="332"/>
      <c r="BM36" s="332"/>
      <c r="BN36" s="332"/>
      <c r="BO36" s="332"/>
      <c r="BP36" s="332"/>
      <c r="BQ36" s="332"/>
      <c r="BR36" s="332"/>
      <c r="BS36" s="332"/>
      <c r="BT36" s="332"/>
      <c r="BU36" s="332"/>
      <c r="BV36" s="332"/>
      <c r="BW36" s="332"/>
      <c r="BX36" s="124"/>
      <c r="BY36" s="124"/>
      <c r="BZ36" s="124"/>
      <c r="CA36" s="124"/>
      <c r="CB36" s="124"/>
      <c r="CC36" s="124"/>
      <c r="CD36" s="124"/>
      <c r="CE36" s="124"/>
      <c r="CF36" s="124"/>
      <c r="CG36" s="124"/>
      <c r="CH36" s="124"/>
      <c r="CI36" s="124"/>
      <c r="CJ36" s="332"/>
      <c r="CK36" s="332"/>
      <c r="CL36" s="332"/>
      <c r="CM36" s="332"/>
      <c r="CN36" s="332"/>
      <c r="CO36" s="332"/>
      <c r="CP36" s="332"/>
      <c r="CQ36" s="332"/>
      <c r="CR36" s="332"/>
      <c r="CS36" s="332"/>
      <c r="CT36" s="332"/>
      <c r="CU36" s="332"/>
      <c r="CV36" s="124"/>
      <c r="CW36" s="124"/>
      <c r="CX36" s="124"/>
      <c r="CY36" s="124"/>
      <c r="CZ36" s="124"/>
      <c r="DA36" s="124"/>
      <c r="DB36" s="124"/>
      <c r="DC36" s="124"/>
      <c r="DD36" s="124"/>
      <c r="DE36" s="124"/>
      <c r="DF36" s="124"/>
      <c r="DG36" s="124"/>
      <c r="DH36" s="332"/>
      <c r="DI36" s="332"/>
      <c r="DJ36" s="332"/>
      <c r="DK36" s="332"/>
      <c r="DL36" s="332"/>
      <c r="DM36" s="332"/>
      <c r="DN36" s="604"/>
      <c r="DO36" s="604"/>
      <c r="DP36" s="604"/>
      <c r="DQ36" s="604"/>
      <c r="DR36" s="604"/>
      <c r="DS36" s="604"/>
      <c r="DT36" s="722"/>
      <c r="DU36" s="302">
        <f t="shared" si="4"/>
        <v>99</v>
      </c>
      <c r="DV36" s="303" t="str">
        <f>IF(DU36&gt;KKM!$G$10,"A",IF(DU36&gt;KKM!$H$10,"B",IF(DU36&gt;=KKM!$I$10,"C","D")))</f>
        <v>A</v>
      </c>
      <c r="DW36" s="304">
        <f t="shared" si="5"/>
        <v>99</v>
      </c>
      <c r="DX36" s="115" t="str">
        <f>IF(DW36&gt;KKM!$G$10," sangat baik ",IF(DW36&gt;KKM!$H$10," baik ",IF(DW36&gt;=KKM!$I$10," cukup baik "," perlu bimbingan ")))</f>
        <v xml:space="preserve"> sangat baik </v>
      </c>
      <c r="DY36" s="305">
        <f t="shared" si="6"/>
        <v>99</v>
      </c>
      <c r="DZ36" s="115" t="str">
        <f>IF(DY36&gt;KKM!$G$10," sangat baik ",IF(DY36&gt;KKM!$H$10," baik ",IF(DY36&gt;=KKM!$I$10," cukup baik "," perlu bimbingan ")))</f>
        <v xml:space="preserve"> sangat baik </v>
      </c>
      <c r="EA36" s="301" t="str">
        <f t="shared" si="32"/>
        <v>Anak 31 sangat baik  dalam memahami Q.S. al- Falaq dan Q.S. al- Fil dengan baik dan benar</v>
      </c>
      <c r="EB36" s="424"/>
      <c r="EC36" s="307" t="str">
        <f t="shared" si="17"/>
        <v xml:space="preserve"> sangat baik  dalam memahami Q.S. al- Falaq dan Q.S. al- Fil dengan baik dan benar</v>
      </c>
      <c r="ED36" s="307" t="str">
        <f t="shared" si="7"/>
        <v xml:space="preserve"> sangat baik  dalam memahami Q.S. al- Falaq dan Q.S. al- Fil dengan baik dan benar</v>
      </c>
      <c r="EE36" s="307" t="str">
        <f t="shared" si="18"/>
        <v xml:space="preserve"> sangat baik  dalam memahami Q.S. al- Falaq dan Q.S. al- Fil dengan baik dan benar, dan  sangat baik  dalam memahami Q.S. al- Falaq dan Q.S. al- Fil dengan baik dan benar</v>
      </c>
      <c r="EF36" s="307" t="str">
        <f t="shared" si="19"/>
        <v xml:space="preserve"> sangat baik  dalam memahami Q.S. al- Falaq dan Q.S. al- Fil dengan baik dan benar</v>
      </c>
      <c r="EG36" s="308" t="str">
        <f t="shared" si="20"/>
        <v xml:space="preserve"> sangat baik  dalam memahami Q.S. al- Falaq dan Q.S. al- Fil dengan baik dan benar</v>
      </c>
      <c r="EH36" s="301" t="str">
        <f t="shared" si="8"/>
        <v>Anak 31 sangat baik  dalam memahami Q.S. al- Falaq dan Q.S. al- Fil dengan baik dan benar</v>
      </c>
      <c r="EI36" s="106" t="e">
        <f>IF(#REF!=1,AS$4," ")</f>
        <v>#REF!</v>
      </c>
      <c r="EJ36" s="106" t="e">
        <f>IF(#REF!=1,AT$4," ")</f>
        <v>#REF!</v>
      </c>
      <c r="EK36" s="106" t="e">
        <f>IF(#REF!=1,AU$4," ")</f>
        <v>#REF!</v>
      </c>
      <c r="EL36" s="106" t="e">
        <f>IF(#REF!=1,AV$4," ")</f>
        <v>#REF!</v>
      </c>
      <c r="EM36" s="106" t="e">
        <f>IF(#REF!=1,AW$4," ")</f>
        <v>#REF!</v>
      </c>
      <c r="EN36" s="106" t="e">
        <f>IF(#REF!=1,AX$4," ")</f>
        <v>#REF!</v>
      </c>
      <c r="EO36" s="106" t="e">
        <f>IF(#REF!=1,AY$4," ")</f>
        <v>#REF!</v>
      </c>
      <c r="EP36" s="106" t="e">
        <f>IF(#REF!=1,#REF!," ")</f>
        <v>#REF!</v>
      </c>
      <c r="EQ36" s="106" t="e">
        <f>IF(#REF!=1,#REF!," ")</f>
        <v>#REF!</v>
      </c>
      <c r="ER36" s="106" t="e">
        <f>IF(#REF!=1,DT$4," ")</f>
        <v>#REF!</v>
      </c>
      <c r="ES36" s="408">
        <f t="shared" si="21"/>
        <v>99</v>
      </c>
      <c r="EX36" s="302">
        <f t="shared" si="22"/>
        <v>99</v>
      </c>
      <c r="EY36" s="303" t="str">
        <f>IF(EX36&gt;KKM!$G$10,"A",IF(EX36&gt;KKM!$H$10,"B",IF(EX36&gt;=KKM!$I$10,"C","D")))</f>
        <v>A</v>
      </c>
      <c r="EZ36" s="523">
        <f t="shared" si="23"/>
        <v>99</v>
      </c>
      <c r="FA36" s="115" t="str">
        <f>IF(EZ36&gt;KKM!$G$10," sangat baik ",IF(EZ36&gt;KKM!$H$10," baik ",IF(EZ36&gt;=KKM!$I$10," cukup baik "," perlu bimbingan ")))</f>
        <v xml:space="preserve"> sangat baik </v>
      </c>
      <c r="FB36" s="524">
        <f t="shared" si="24"/>
        <v>99</v>
      </c>
      <c r="FC36" s="115" t="str">
        <f>IF(FB36&gt;KKM!$G$10," sangat baik ",IF(FB36&gt;KKM!$H$10," baik ",IF(FB36&gt;=KKM!$I$10," cukup baik "," perlu bimbingan ")))</f>
        <v xml:space="preserve"> sangat baik </v>
      </c>
      <c r="FD36" s="301" t="str">
        <f t="shared" si="25"/>
        <v>Anak 31 sangat baik  dalam memahami Q.S. al- Falaq dan Q.S. al- Fil dengan baik dan benar</v>
      </c>
      <c r="FE36" s="307" t="str">
        <f t="shared" si="26"/>
        <v xml:space="preserve"> sangat baik  dalam memahami Q.S. al- Falaq dan Q.S. al- Fil dengan baik dan benar</v>
      </c>
      <c r="FF36" s="307" t="str">
        <f t="shared" si="27"/>
        <v xml:space="preserve"> sangat baik  dalam memahami Q.S. al- Falaq dan Q.S. al- Fil dengan baik dan benar</v>
      </c>
      <c r="FG36" s="307" t="str">
        <f t="shared" si="28"/>
        <v xml:space="preserve"> sangat baik  dalam memahami Q.S. al- Falaq dan Q.S. al- Fil dengan baik dan benar, dan  sangat baik  dalam memahami Q.S. al- Falaq dan Q.S. al- Fil dengan baik dan benar</v>
      </c>
      <c r="FH36" s="307" t="str">
        <f t="shared" si="29"/>
        <v xml:space="preserve"> sangat baik  dalam memahami Q.S. al- Falaq dan Q.S. al- Fil dengan baik dan benar</v>
      </c>
      <c r="FI36" s="308" t="str">
        <f t="shared" si="30"/>
        <v xml:space="preserve"> sangat baik  dalam memahami Q.S. al- Falaq dan Q.S. al- Fil dengan baik dan benar</v>
      </c>
      <c r="FJ36" s="301" t="str">
        <f t="shared" si="31"/>
        <v>Anak 31 sangat baik  dalam memahami Q.S. al- Falaq dan Q.S. al- Fil dengan baik dan benar</v>
      </c>
      <c r="FQ36" s="408"/>
    </row>
    <row r="37" spans="2:173" ht="63" customHeight="1">
      <c r="B37" s="109">
        <v>32</v>
      </c>
      <c r="C37" s="110">
        <f>SISWA!B37</f>
        <v>0</v>
      </c>
      <c r="D37" s="111" t="str">
        <f>SISWA!E37</f>
        <v>Anak 32</v>
      </c>
      <c r="E37" s="631">
        <v>99</v>
      </c>
      <c r="F37" s="631">
        <v>99</v>
      </c>
      <c r="G37" s="631">
        <v>99</v>
      </c>
      <c r="H37" s="605"/>
      <c r="I37" s="605"/>
      <c r="J37" s="605"/>
      <c r="K37" s="605"/>
      <c r="L37" s="605"/>
      <c r="M37" s="605"/>
      <c r="N37" s="605"/>
      <c r="O37" s="605"/>
      <c r="P37" s="605"/>
      <c r="Q37" s="605"/>
      <c r="R37" s="631">
        <v>99</v>
      </c>
      <c r="S37" s="631">
        <v>99</v>
      </c>
      <c r="T37" s="631">
        <v>99</v>
      </c>
      <c r="U37" s="606"/>
      <c r="V37" s="606"/>
      <c r="W37" s="606"/>
      <c r="X37" s="606"/>
      <c r="Y37" s="606"/>
      <c r="Z37" s="606"/>
      <c r="AA37" s="606"/>
      <c r="AB37" s="606"/>
      <c r="AC37" s="606"/>
      <c r="AD37" s="631">
        <v>99</v>
      </c>
      <c r="AE37" s="631">
        <v>99</v>
      </c>
      <c r="AF37" s="631">
        <v>99</v>
      </c>
      <c r="AG37" s="605"/>
      <c r="AH37" s="605"/>
      <c r="AI37" s="605"/>
      <c r="AJ37" s="605"/>
      <c r="AK37" s="605"/>
      <c r="AL37" s="605"/>
      <c r="AM37" s="605"/>
      <c r="AN37" s="605"/>
      <c r="AO37" s="605"/>
      <c r="AP37" s="605"/>
      <c r="AQ37" s="728">
        <f t="shared" si="9"/>
        <v>99</v>
      </c>
      <c r="AR37" s="728">
        <f t="shared" si="10"/>
        <v>99</v>
      </c>
      <c r="AS37" s="728">
        <f t="shared" si="11"/>
        <v>99</v>
      </c>
      <c r="AT37" s="728" t="str">
        <f t="shared" si="12"/>
        <v/>
      </c>
      <c r="AU37" s="728" t="str">
        <f t="shared" si="13"/>
        <v/>
      </c>
      <c r="AV37" s="728" t="str">
        <f t="shared" si="14"/>
        <v/>
      </c>
      <c r="AW37" s="728" t="str">
        <f t="shared" si="15"/>
        <v/>
      </c>
      <c r="AX37" s="728" t="str">
        <f t="shared" si="16"/>
        <v/>
      </c>
      <c r="AY37" s="615"/>
      <c r="AZ37" s="615"/>
      <c r="BA37" s="615"/>
      <c r="BB37" s="615"/>
      <c r="BC37" s="615"/>
      <c r="BD37" s="124"/>
      <c r="BE37" s="124"/>
      <c r="BF37" s="124"/>
      <c r="BG37" s="124"/>
      <c r="BH37" s="124"/>
      <c r="BI37" s="124"/>
      <c r="BJ37" s="124"/>
      <c r="BK37" s="124"/>
      <c r="BL37" s="332"/>
      <c r="BM37" s="332"/>
      <c r="BN37" s="332"/>
      <c r="BO37" s="332"/>
      <c r="BP37" s="332"/>
      <c r="BQ37" s="332"/>
      <c r="BR37" s="332"/>
      <c r="BS37" s="332"/>
      <c r="BT37" s="332"/>
      <c r="BU37" s="332"/>
      <c r="BV37" s="332"/>
      <c r="BW37" s="332"/>
      <c r="BX37" s="124"/>
      <c r="BY37" s="124"/>
      <c r="BZ37" s="124"/>
      <c r="CA37" s="124"/>
      <c r="CB37" s="124"/>
      <c r="CC37" s="124"/>
      <c r="CD37" s="124"/>
      <c r="CE37" s="124"/>
      <c r="CF37" s="124"/>
      <c r="CG37" s="124"/>
      <c r="CH37" s="124"/>
      <c r="CI37" s="124"/>
      <c r="CJ37" s="332"/>
      <c r="CK37" s="332"/>
      <c r="CL37" s="332"/>
      <c r="CM37" s="332"/>
      <c r="CN37" s="332"/>
      <c r="CO37" s="332"/>
      <c r="CP37" s="332"/>
      <c r="CQ37" s="332"/>
      <c r="CR37" s="332"/>
      <c r="CS37" s="332"/>
      <c r="CT37" s="332"/>
      <c r="CU37" s="332"/>
      <c r="CV37" s="124"/>
      <c r="CW37" s="124"/>
      <c r="CX37" s="124"/>
      <c r="CY37" s="124"/>
      <c r="CZ37" s="124"/>
      <c r="DA37" s="124"/>
      <c r="DB37" s="124"/>
      <c r="DC37" s="124"/>
      <c r="DD37" s="124"/>
      <c r="DE37" s="124"/>
      <c r="DF37" s="124"/>
      <c r="DG37" s="124"/>
      <c r="DH37" s="332"/>
      <c r="DI37" s="332"/>
      <c r="DJ37" s="332"/>
      <c r="DK37" s="332"/>
      <c r="DL37" s="332"/>
      <c r="DM37" s="332"/>
      <c r="DN37" s="604"/>
      <c r="DO37" s="604"/>
      <c r="DP37" s="604"/>
      <c r="DQ37" s="604"/>
      <c r="DR37" s="604"/>
      <c r="DS37" s="604"/>
      <c r="DT37" s="722"/>
      <c r="DU37" s="302">
        <f t="shared" si="4"/>
        <v>99</v>
      </c>
      <c r="DV37" s="303" t="str">
        <f>IF(DU37&gt;KKM!$G$10,"A",IF(DU37&gt;KKM!$H$10,"B",IF(DU37&gt;=KKM!$I$10,"C","D")))</f>
        <v>A</v>
      </c>
      <c r="DW37" s="304">
        <f t="shared" si="5"/>
        <v>99</v>
      </c>
      <c r="DX37" s="115" t="str">
        <f>IF(DW37&gt;KKM!$G$10," sangat baik ",IF(DW37&gt;KKM!$H$10," baik ",IF(DW37&gt;=KKM!$I$10," cukup baik "," perlu bimbingan ")))</f>
        <v xml:space="preserve"> sangat baik </v>
      </c>
      <c r="DY37" s="305">
        <f t="shared" si="6"/>
        <v>99</v>
      </c>
      <c r="DZ37" s="115" t="str">
        <f>IF(DY37&gt;KKM!$G$10," sangat baik ",IF(DY37&gt;KKM!$H$10," baik ",IF(DY37&gt;=KKM!$I$10," cukup baik "," perlu bimbingan ")))</f>
        <v xml:space="preserve"> sangat baik </v>
      </c>
      <c r="EA37" s="301" t="str">
        <f t="shared" si="32"/>
        <v>Anak 32 sangat baik  dalam memahami Q.S. al- Falaq dan Q.S. al- Fil dengan baik dan benar</v>
      </c>
      <c r="EB37" s="424"/>
      <c r="EC37" s="307" t="str">
        <f t="shared" si="17"/>
        <v xml:space="preserve"> sangat baik  dalam memahami Q.S. al- Falaq dan Q.S. al- Fil dengan baik dan benar</v>
      </c>
      <c r="ED37" s="307" t="str">
        <f t="shared" si="7"/>
        <v xml:space="preserve"> sangat baik  dalam memahami Q.S. al- Falaq dan Q.S. al- Fil dengan baik dan benar</v>
      </c>
      <c r="EE37" s="307" t="str">
        <f t="shared" si="18"/>
        <v xml:space="preserve"> sangat baik  dalam memahami Q.S. al- Falaq dan Q.S. al- Fil dengan baik dan benar, dan  sangat baik  dalam memahami Q.S. al- Falaq dan Q.S. al- Fil dengan baik dan benar</v>
      </c>
      <c r="EF37" s="307" t="str">
        <f t="shared" si="19"/>
        <v xml:space="preserve"> sangat baik  dalam memahami Q.S. al- Falaq dan Q.S. al- Fil dengan baik dan benar</v>
      </c>
      <c r="EG37" s="308" t="str">
        <f t="shared" si="20"/>
        <v xml:space="preserve"> sangat baik  dalam memahami Q.S. al- Falaq dan Q.S. al- Fil dengan baik dan benar</v>
      </c>
      <c r="EH37" s="301" t="str">
        <f t="shared" si="8"/>
        <v>Anak 32 sangat baik  dalam memahami Q.S. al- Falaq dan Q.S. al- Fil dengan baik dan benar</v>
      </c>
      <c r="EI37" s="106" t="e">
        <f>IF(#REF!=1,AS$4," ")</f>
        <v>#REF!</v>
      </c>
      <c r="EJ37" s="106" t="e">
        <f>IF(#REF!=1,AT$4," ")</f>
        <v>#REF!</v>
      </c>
      <c r="EK37" s="106" t="e">
        <f>IF(#REF!=1,AU$4," ")</f>
        <v>#REF!</v>
      </c>
      <c r="EL37" s="106" t="e">
        <f>IF(#REF!=1,AV$4," ")</f>
        <v>#REF!</v>
      </c>
      <c r="EM37" s="106" t="e">
        <f>IF(#REF!=1,AW$4," ")</f>
        <v>#REF!</v>
      </c>
      <c r="EN37" s="106" t="e">
        <f>IF(#REF!=1,AX$4," ")</f>
        <v>#REF!</v>
      </c>
      <c r="EO37" s="106" t="e">
        <f>IF(#REF!=1,AY$4," ")</f>
        <v>#REF!</v>
      </c>
      <c r="EP37" s="106" t="e">
        <f>IF(#REF!=1,#REF!," ")</f>
        <v>#REF!</v>
      </c>
      <c r="EQ37" s="106" t="e">
        <f>IF(#REF!=1,#REF!," ")</f>
        <v>#REF!</v>
      </c>
      <c r="ER37" s="106" t="e">
        <f>IF(#REF!=1,DT$4," ")</f>
        <v>#REF!</v>
      </c>
      <c r="ES37" s="408">
        <f t="shared" si="21"/>
        <v>99</v>
      </c>
      <c r="EX37" s="302">
        <f t="shared" si="22"/>
        <v>99</v>
      </c>
      <c r="EY37" s="303" t="str">
        <f>IF(EX37&gt;KKM!$G$10,"A",IF(EX37&gt;KKM!$H$10,"B",IF(EX37&gt;=KKM!$I$10,"C","D")))</f>
        <v>A</v>
      </c>
      <c r="EZ37" s="523">
        <f t="shared" si="23"/>
        <v>99</v>
      </c>
      <c r="FA37" s="115" t="str">
        <f>IF(EZ37&gt;KKM!$G$10," sangat baik ",IF(EZ37&gt;KKM!$H$10," baik ",IF(EZ37&gt;=KKM!$I$10," cukup baik "," perlu bimbingan ")))</f>
        <v xml:space="preserve"> sangat baik </v>
      </c>
      <c r="FB37" s="524">
        <f t="shared" si="24"/>
        <v>99</v>
      </c>
      <c r="FC37" s="115" t="str">
        <f>IF(FB37&gt;KKM!$G$10," sangat baik ",IF(FB37&gt;KKM!$H$10," baik ",IF(FB37&gt;=KKM!$I$10," cukup baik "," perlu bimbingan ")))</f>
        <v xml:space="preserve"> sangat baik </v>
      </c>
      <c r="FD37" s="301" t="str">
        <f t="shared" si="25"/>
        <v>Anak 32 sangat baik  dalam memahami Q.S. al- Falaq dan Q.S. al- Fil dengan baik dan benar</v>
      </c>
      <c r="FE37" s="307" t="str">
        <f t="shared" si="26"/>
        <v xml:space="preserve"> sangat baik  dalam memahami Q.S. al- Falaq dan Q.S. al- Fil dengan baik dan benar</v>
      </c>
      <c r="FF37" s="307" t="str">
        <f t="shared" si="27"/>
        <v xml:space="preserve"> sangat baik  dalam memahami Q.S. al- Falaq dan Q.S. al- Fil dengan baik dan benar</v>
      </c>
      <c r="FG37" s="307" t="str">
        <f t="shared" si="28"/>
        <v xml:space="preserve"> sangat baik  dalam memahami Q.S. al- Falaq dan Q.S. al- Fil dengan baik dan benar, dan  sangat baik  dalam memahami Q.S. al- Falaq dan Q.S. al- Fil dengan baik dan benar</v>
      </c>
      <c r="FH37" s="307" t="str">
        <f t="shared" si="29"/>
        <v xml:space="preserve"> sangat baik  dalam memahami Q.S. al- Falaq dan Q.S. al- Fil dengan baik dan benar</v>
      </c>
      <c r="FI37" s="308" t="str">
        <f t="shared" si="30"/>
        <v xml:space="preserve"> sangat baik  dalam memahami Q.S. al- Falaq dan Q.S. al- Fil dengan baik dan benar</v>
      </c>
      <c r="FJ37" s="301" t="str">
        <f t="shared" si="31"/>
        <v>Anak 32 sangat baik  dalam memahami Q.S. al- Falaq dan Q.S. al- Fil dengan baik dan benar</v>
      </c>
      <c r="FQ37" s="408"/>
    </row>
    <row r="38" spans="2:173" ht="63" customHeight="1">
      <c r="B38" s="109">
        <v>33</v>
      </c>
      <c r="C38" s="110">
        <f>SISWA!B38</f>
        <v>0</v>
      </c>
      <c r="D38" s="111" t="str">
        <f>SISWA!E38</f>
        <v>Anak 33</v>
      </c>
      <c r="E38" s="631">
        <v>99</v>
      </c>
      <c r="F38" s="631">
        <v>99</v>
      </c>
      <c r="G38" s="631">
        <v>99</v>
      </c>
      <c r="H38" s="605"/>
      <c r="I38" s="605"/>
      <c r="J38" s="605"/>
      <c r="K38" s="605"/>
      <c r="L38" s="605"/>
      <c r="M38" s="605"/>
      <c r="N38" s="605"/>
      <c r="O38" s="605"/>
      <c r="P38" s="605"/>
      <c r="Q38" s="605"/>
      <c r="R38" s="631">
        <v>99</v>
      </c>
      <c r="S38" s="631">
        <v>76</v>
      </c>
      <c r="T38" s="631">
        <v>88</v>
      </c>
      <c r="U38" s="606"/>
      <c r="V38" s="606"/>
      <c r="W38" s="606"/>
      <c r="X38" s="606"/>
      <c r="Y38" s="606"/>
      <c r="Z38" s="606"/>
      <c r="AA38" s="606"/>
      <c r="AB38" s="606"/>
      <c r="AC38" s="606"/>
      <c r="AD38" s="631">
        <v>99</v>
      </c>
      <c r="AE38" s="631">
        <v>99</v>
      </c>
      <c r="AF38" s="631">
        <v>99</v>
      </c>
      <c r="AG38" s="605"/>
      <c r="AH38" s="605"/>
      <c r="AI38" s="605"/>
      <c r="AJ38" s="605"/>
      <c r="AK38" s="605"/>
      <c r="AL38" s="605"/>
      <c r="AM38" s="605"/>
      <c r="AN38" s="605"/>
      <c r="AO38" s="605"/>
      <c r="AP38" s="605"/>
      <c r="AQ38" s="728">
        <f t="shared" si="9"/>
        <v>99</v>
      </c>
      <c r="AR38" s="728">
        <f t="shared" si="10"/>
        <v>93.25</v>
      </c>
      <c r="AS38" s="728">
        <f t="shared" si="11"/>
        <v>96.25</v>
      </c>
      <c r="AT38" s="728" t="str">
        <f t="shared" si="12"/>
        <v/>
      </c>
      <c r="AU38" s="728" t="str">
        <f t="shared" si="13"/>
        <v/>
      </c>
      <c r="AV38" s="728" t="str">
        <f t="shared" si="14"/>
        <v/>
      </c>
      <c r="AW38" s="728" t="str">
        <f t="shared" si="15"/>
        <v/>
      </c>
      <c r="AX38" s="728" t="str">
        <f t="shared" si="16"/>
        <v/>
      </c>
      <c r="AY38" s="615"/>
      <c r="AZ38" s="615"/>
      <c r="BA38" s="615"/>
      <c r="BB38" s="615"/>
      <c r="BC38" s="615"/>
      <c r="BD38" s="124"/>
      <c r="BE38" s="124"/>
      <c r="BF38" s="124"/>
      <c r="BG38" s="124"/>
      <c r="BH38" s="124"/>
      <c r="BI38" s="124"/>
      <c r="BJ38" s="124"/>
      <c r="BK38" s="124"/>
      <c r="BL38" s="332"/>
      <c r="BM38" s="332"/>
      <c r="BN38" s="332"/>
      <c r="BO38" s="332"/>
      <c r="BP38" s="332"/>
      <c r="BQ38" s="332"/>
      <c r="BR38" s="332"/>
      <c r="BS38" s="332"/>
      <c r="BT38" s="332"/>
      <c r="BU38" s="332"/>
      <c r="BV38" s="332"/>
      <c r="BW38" s="332"/>
      <c r="BX38" s="124"/>
      <c r="BY38" s="124"/>
      <c r="BZ38" s="124"/>
      <c r="CA38" s="124"/>
      <c r="CB38" s="124"/>
      <c r="CC38" s="124"/>
      <c r="CD38" s="124"/>
      <c r="CE38" s="124"/>
      <c r="CF38" s="124"/>
      <c r="CG38" s="124"/>
      <c r="CH38" s="124"/>
      <c r="CI38" s="124"/>
      <c r="CJ38" s="332"/>
      <c r="CK38" s="332"/>
      <c r="CL38" s="332"/>
      <c r="CM38" s="332"/>
      <c r="CN38" s="332"/>
      <c r="CO38" s="332"/>
      <c r="CP38" s="332"/>
      <c r="CQ38" s="332"/>
      <c r="CR38" s="332"/>
      <c r="CS38" s="332"/>
      <c r="CT38" s="332"/>
      <c r="CU38" s="332"/>
      <c r="CV38" s="124"/>
      <c r="CW38" s="124"/>
      <c r="CX38" s="124"/>
      <c r="CY38" s="124"/>
      <c r="CZ38" s="124"/>
      <c r="DA38" s="124"/>
      <c r="DB38" s="124"/>
      <c r="DC38" s="124"/>
      <c r="DD38" s="124"/>
      <c r="DE38" s="124"/>
      <c r="DF38" s="124"/>
      <c r="DG38" s="124"/>
      <c r="DH38" s="332"/>
      <c r="DI38" s="332"/>
      <c r="DJ38" s="332"/>
      <c r="DK38" s="332"/>
      <c r="DL38" s="332"/>
      <c r="DM38" s="332"/>
      <c r="DN38" s="604"/>
      <c r="DO38" s="604"/>
      <c r="DP38" s="604"/>
      <c r="DQ38" s="604"/>
      <c r="DR38" s="604"/>
      <c r="DS38" s="604"/>
      <c r="DT38" s="722"/>
      <c r="DU38" s="302">
        <f t="shared" ref="DU38:DU55" si="33">ROUND((AVERAGE(AQ38:DT38)),0)</f>
        <v>96</v>
      </c>
      <c r="DV38" s="303" t="str">
        <f>IF(DU38&gt;KKM!$G$10,"A",IF(DU38&gt;KKM!$H$10,"B",IF(DU38&gt;=KKM!$I$10,"C","D")))</f>
        <v>A</v>
      </c>
      <c r="DW38" s="304">
        <f t="shared" ref="DW38:DW55" si="34">MAX(AQ38:DT38)</f>
        <v>99</v>
      </c>
      <c r="DX38" s="115" t="str">
        <f>IF(DW38&gt;KKM!$G$10," sangat baik ",IF(DW38&gt;KKM!$H$10," baik ",IF(DW38&gt;=KKM!$I$10," cukup baik "," perlu bimbingan ")))</f>
        <v xml:space="preserve"> sangat baik </v>
      </c>
      <c r="DY38" s="305">
        <f t="shared" ref="DY38:DY55" si="35">MIN(AQ38:DT38)</f>
        <v>93.25</v>
      </c>
      <c r="DZ38" s="115" t="str">
        <f>IF(DY38&gt;KKM!$G$10," sangat baik ",IF(DY38&gt;KKM!$H$10," baik ",IF(DY38&gt;=KKM!$I$10," cukup baik "," perlu bimbingan ")))</f>
        <v xml:space="preserve"> sangat baik </v>
      </c>
      <c r="EA38" s="301" t="str">
        <f t="shared" si="32"/>
        <v>Anak 33 sangat baik  dalam memahami Q.S. al- Falaq dan Q.S. al- Fil dengan baik dan benar, dan  sangat baik  dalam memahami makna iman kepada malaikat-malaikat Allah berdasar kan pengamatan terha dap dirinya dan alam sekitar</v>
      </c>
      <c r="EB38" s="424"/>
      <c r="EC38" s="307" t="str">
        <f t="shared" ref="EC38:EC55" si="36">DX38&amp;" dalam "&amp;INDEX($AQ$4:$DT$4,MATCH(DW38,$AQ38:$DT38,0))</f>
        <v xml:space="preserve"> sangat baik  dalam memahami Q.S. al- Falaq dan Q.S. al- Fil dengan baik dan benar</v>
      </c>
      <c r="ED38" s="307" t="str">
        <f t="shared" ref="ED38:ED55" si="37">DZ38&amp;" dalam "&amp;INDEX($AQ$4:$DT$4,MATCH(DY38,$AQ38:$DT38,0))</f>
        <v xml:space="preserve"> sangat baik  dalam memahami makna iman kepada malaikat-malaikat Allah berdasar kan pengamatan terha dap dirinya dan alam sekitar</v>
      </c>
      <c r="EE38" s="307" t="str">
        <f t="shared" si="18"/>
        <v xml:space="preserve"> sangat baik  dalam memahami Q.S. al- Falaq dan Q.S. al- Fil dengan baik dan benar, dan  sangat baik  dalam memahami makna iman kepada malaikat-malaikat Allah berdasar kan pengamatan terha dap dirinya dan alam sekitar</v>
      </c>
      <c r="EF38" s="307" t="str">
        <f t="shared" si="19"/>
        <v xml:space="preserve"> </v>
      </c>
      <c r="EG38" s="308" t="str">
        <f t="shared" si="20"/>
        <v xml:space="preserve"> sangat baik  dalam memahami Q.S. al- Falaq dan Q.S. al- Fil dengan baik dan benar, dan  sangat baik  dalam memahami makna iman kepada malaikat-malaikat Allah berdasar kan pengamatan terha dap dirinya dan alam sekitar</v>
      </c>
      <c r="EH38" s="301" t="str">
        <f t="shared" ref="EH38:EH55" si="38">CONCATENATE(D38,EG38)</f>
        <v>Anak 33 sangat baik  dalam memahami Q.S. al- Falaq dan Q.S. al- Fil dengan baik dan benar, dan  sangat baik  dalam memahami makna iman kepada malaikat-malaikat Allah berdasar kan pengamatan terha dap dirinya dan alam sekitar</v>
      </c>
      <c r="EI38" s="106" t="e">
        <f>IF(#REF!=1,AS$4," ")</f>
        <v>#REF!</v>
      </c>
      <c r="EJ38" s="106" t="e">
        <f>IF(#REF!=1,AT$4," ")</f>
        <v>#REF!</v>
      </c>
      <c r="EK38" s="106" t="e">
        <f>IF(#REF!=1,AU$4," ")</f>
        <v>#REF!</v>
      </c>
      <c r="EL38" s="106" t="e">
        <f>IF(#REF!=1,AV$4," ")</f>
        <v>#REF!</v>
      </c>
      <c r="EM38" s="106" t="e">
        <f>IF(#REF!=1,AW$4," ")</f>
        <v>#REF!</v>
      </c>
      <c r="EN38" s="106" t="e">
        <f>IF(#REF!=1,AX$4," ")</f>
        <v>#REF!</v>
      </c>
      <c r="EO38" s="106" t="e">
        <f>IF(#REF!=1,AY$4," ")</f>
        <v>#REF!</v>
      </c>
      <c r="EP38" s="106" t="e">
        <f>IF(#REF!=1,#REF!," ")</f>
        <v>#REF!</v>
      </c>
      <c r="EQ38" s="106" t="e">
        <f>IF(#REF!=1,#REF!," ")</f>
        <v>#REF!</v>
      </c>
      <c r="ER38" s="106" t="e">
        <f>IF(#REF!=1,DT$4," ")</f>
        <v>#REF!</v>
      </c>
      <c r="ES38" s="408">
        <f t="shared" si="21"/>
        <v>96</v>
      </c>
      <c r="EX38" s="302">
        <f t="shared" si="22"/>
        <v>88</v>
      </c>
      <c r="EY38" s="303" t="str">
        <f>IF(EX38&gt;KKM!$G$10,"A",IF(EX38&gt;KKM!$H$10,"B",IF(EX38&gt;=KKM!$I$10,"C","D")))</f>
        <v>B</v>
      </c>
      <c r="EZ38" s="523">
        <f t="shared" si="23"/>
        <v>99</v>
      </c>
      <c r="FA38" s="115" t="str">
        <f>IF(EZ38&gt;KKM!$G$10," sangat baik ",IF(EZ38&gt;KKM!$H$10," baik ",IF(EZ38&gt;=KKM!$I$10," cukup baik "," perlu bimbingan ")))</f>
        <v xml:space="preserve"> sangat baik </v>
      </c>
      <c r="FB38" s="524">
        <f t="shared" si="24"/>
        <v>76</v>
      </c>
      <c r="FC38" s="115" t="str">
        <f>IF(FB38&gt;KKM!$G$10," sangat baik ",IF(FB38&gt;KKM!$H$10," baik ",IF(FB38&gt;=KKM!$I$10," cukup baik "," perlu bimbingan ")))</f>
        <v xml:space="preserve"> cukup baik </v>
      </c>
      <c r="FD38" s="301" t="str">
        <f t="shared" si="25"/>
        <v>Anak 33 sangat baik  dalam memahami Q.S. al- Falaq dan Q.S. al- Fil dengan baik dan benar, dan  cukup baik  dalam memahami makna iman kepada malaikat-malaikat Allah berdasar kan pengamatan terha dap dirinya dan alam sekitar</v>
      </c>
      <c r="FE38" s="307" t="str">
        <f t="shared" si="26"/>
        <v xml:space="preserve"> sangat baik  dalam memahami Q.S. al- Falaq dan Q.S. al- Fil dengan baik dan benar</v>
      </c>
      <c r="FF38" s="307" t="str">
        <f t="shared" si="27"/>
        <v xml:space="preserve"> cukup baik  dalam memahami makna iman kepada malaikat-malaikat Allah berdasar kan pengamatan terha dap dirinya dan alam sekitar</v>
      </c>
      <c r="FG38" s="307" t="str">
        <f t="shared" si="28"/>
        <v xml:space="preserve"> sangat baik  dalam memahami Q.S. al- Falaq dan Q.S. al- Fil dengan baik dan benar, dan  cukup baik  dalam memahami makna iman kepada malaikat-malaikat Allah berdasar kan pengamatan terha dap dirinya dan alam sekitar</v>
      </c>
      <c r="FH38" s="307" t="str">
        <f t="shared" si="29"/>
        <v xml:space="preserve"> </v>
      </c>
      <c r="FI38" s="308" t="str">
        <f t="shared" si="30"/>
        <v xml:space="preserve"> sangat baik  dalam memahami Q.S. al- Falaq dan Q.S. al- Fil dengan baik dan benar, dan  cukup baik  dalam memahami makna iman kepada malaikat-malaikat Allah berdasar kan pengamatan terha dap dirinya dan alam sekitar</v>
      </c>
      <c r="FJ38" s="301" t="str">
        <f t="shared" si="31"/>
        <v>Anak 33 sangat baik  dalam memahami Q.S. al- Falaq dan Q.S. al- Fil dengan baik dan benar, dan  cukup baik  dalam memahami makna iman kepada malaikat-malaikat Allah berdasar kan pengamatan terha dap dirinya dan alam sekitar</v>
      </c>
      <c r="FQ38" s="408"/>
    </row>
    <row r="39" spans="2:173" ht="63" customHeight="1">
      <c r="B39" s="109">
        <v>34</v>
      </c>
      <c r="C39" s="110">
        <f>SISWA!B39</f>
        <v>0</v>
      </c>
      <c r="D39" s="111" t="str">
        <f>SISWA!E39</f>
        <v>Anak 34</v>
      </c>
      <c r="E39" s="631">
        <v>99</v>
      </c>
      <c r="F39" s="631">
        <v>99</v>
      </c>
      <c r="G39" s="631">
        <v>99</v>
      </c>
      <c r="H39" s="605"/>
      <c r="I39" s="605"/>
      <c r="J39" s="605"/>
      <c r="K39" s="605"/>
      <c r="L39" s="605"/>
      <c r="M39" s="605"/>
      <c r="N39" s="605"/>
      <c r="O39" s="605"/>
      <c r="P39" s="605"/>
      <c r="Q39" s="605"/>
      <c r="R39" s="631">
        <v>99</v>
      </c>
      <c r="S39" s="631">
        <v>99</v>
      </c>
      <c r="T39" s="631">
        <v>99</v>
      </c>
      <c r="U39" s="606"/>
      <c r="V39" s="606"/>
      <c r="W39" s="606"/>
      <c r="X39" s="606"/>
      <c r="Y39" s="606"/>
      <c r="Z39" s="606"/>
      <c r="AA39" s="606"/>
      <c r="AB39" s="606"/>
      <c r="AC39" s="606"/>
      <c r="AD39" s="631">
        <v>99</v>
      </c>
      <c r="AE39" s="631">
        <v>99</v>
      </c>
      <c r="AF39" s="631">
        <v>99</v>
      </c>
      <c r="AG39" s="605"/>
      <c r="AH39" s="605"/>
      <c r="AI39" s="605"/>
      <c r="AJ39" s="605"/>
      <c r="AK39" s="605"/>
      <c r="AL39" s="605"/>
      <c r="AM39" s="605"/>
      <c r="AN39" s="605"/>
      <c r="AO39" s="605"/>
      <c r="AP39" s="605"/>
      <c r="AQ39" s="728">
        <f t="shared" si="9"/>
        <v>99</v>
      </c>
      <c r="AR39" s="728">
        <f t="shared" si="10"/>
        <v>99</v>
      </c>
      <c r="AS39" s="728">
        <f t="shared" si="11"/>
        <v>99</v>
      </c>
      <c r="AT39" s="728" t="str">
        <f t="shared" si="12"/>
        <v/>
      </c>
      <c r="AU39" s="728" t="str">
        <f t="shared" si="13"/>
        <v/>
      </c>
      <c r="AV39" s="728" t="str">
        <f t="shared" si="14"/>
        <v/>
      </c>
      <c r="AW39" s="728" t="str">
        <f t="shared" si="15"/>
        <v/>
      </c>
      <c r="AX39" s="728" t="str">
        <f t="shared" si="16"/>
        <v/>
      </c>
      <c r="AY39" s="615"/>
      <c r="AZ39" s="615"/>
      <c r="BA39" s="615"/>
      <c r="BB39" s="615"/>
      <c r="BC39" s="615"/>
      <c r="BD39" s="124"/>
      <c r="BE39" s="124"/>
      <c r="BF39" s="124"/>
      <c r="BG39" s="124"/>
      <c r="BH39" s="124"/>
      <c r="BI39" s="124"/>
      <c r="BJ39" s="124"/>
      <c r="BK39" s="124"/>
      <c r="BL39" s="332"/>
      <c r="BM39" s="332"/>
      <c r="BN39" s="332"/>
      <c r="BO39" s="332"/>
      <c r="BP39" s="332"/>
      <c r="BQ39" s="332"/>
      <c r="BR39" s="332"/>
      <c r="BS39" s="332"/>
      <c r="BT39" s="332"/>
      <c r="BU39" s="332"/>
      <c r="BV39" s="332"/>
      <c r="BW39" s="332"/>
      <c r="BX39" s="124"/>
      <c r="BY39" s="124"/>
      <c r="BZ39" s="124"/>
      <c r="CA39" s="124"/>
      <c r="CB39" s="124"/>
      <c r="CC39" s="124"/>
      <c r="CD39" s="124"/>
      <c r="CE39" s="124"/>
      <c r="CF39" s="124"/>
      <c r="CG39" s="124"/>
      <c r="CH39" s="124"/>
      <c r="CI39" s="124"/>
      <c r="CJ39" s="332"/>
      <c r="CK39" s="332"/>
      <c r="CL39" s="332"/>
      <c r="CM39" s="332"/>
      <c r="CN39" s="332"/>
      <c r="CO39" s="332"/>
      <c r="CP39" s="332"/>
      <c r="CQ39" s="332"/>
      <c r="CR39" s="332"/>
      <c r="CS39" s="332"/>
      <c r="CT39" s="332"/>
      <c r="CU39" s="332"/>
      <c r="CV39" s="124"/>
      <c r="CW39" s="124"/>
      <c r="CX39" s="124"/>
      <c r="CY39" s="124"/>
      <c r="CZ39" s="124"/>
      <c r="DA39" s="124"/>
      <c r="DB39" s="124"/>
      <c r="DC39" s="124"/>
      <c r="DD39" s="124"/>
      <c r="DE39" s="124"/>
      <c r="DF39" s="124"/>
      <c r="DG39" s="124"/>
      <c r="DH39" s="332"/>
      <c r="DI39" s="332"/>
      <c r="DJ39" s="332"/>
      <c r="DK39" s="332"/>
      <c r="DL39" s="332"/>
      <c r="DM39" s="332"/>
      <c r="DN39" s="604"/>
      <c r="DO39" s="604"/>
      <c r="DP39" s="604"/>
      <c r="DQ39" s="604"/>
      <c r="DR39" s="604"/>
      <c r="DS39" s="604"/>
      <c r="DT39" s="722"/>
      <c r="DU39" s="302">
        <f t="shared" si="33"/>
        <v>99</v>
      </c>
      <c r="DV39" s="303" t="str">
        <f>IF(DU39&gt;KKM!$G$10,"A",IF(DU39&gt;KKM!$H$10,"B",IF(DU39&gt;=KKM!$I$10,"C","D")))</f>
        <v>A</v>
      </c>
      <c r="DW39" s="304">
        <f t="shared" si="34"/>
        <v>99</v>
      </c>
      <c r="DX39" s="115" t="str">
        <f>IF(DW39&gt;KKM!$G$10," sangat baik ",IF(DW39&gt;KKM!$H$10," baik ",IF(DW39&gt;=KKM!$I$10," cukup baik "," perlu bimbingan ")))</f>
        <v xml:space="preserve"> sangat baik </v>
      </c>
      <c r="DY39" s="305">
        <f t="shared" si="35"/>
        <v>99</v>
      </c>
      <c r="DZ39" s="115" t="str">
        <f>IF(DY39&gt;KKM!$G$10," sangat baik ",IF(DY39&gt;KKM!$H$10," baik ",IF(DY39&gt;=KKM!$I$10," cukup baik "," perlu bimbingan ")))</f>
        <v xml:space="preserve"> sangat baik </v>
      </c>
      <c r="EA39" s="301" t="str">
        <f t="shared" si="32"/>
        <v>Anak 34 sangat baik  dalam memahami Q.S. al- Falaq dan Q.S. al- Fil dengan baik dan benar</v>
      </c>
      <c r="EB39" s="424"/>
      <c r="EC39" s="307" t="str">
        <f t="shared" si="36"/>
        <v xml:space="preserve"> sangat baik  dalam memahami Q.S. al- Falaq dan Q.S. al- Fil dengan baik dan benar</v>
      </c>
      <c r="ED39" s="307" t="str">
        <f t="shared" si="37"/>
        <v xml:space="preserve"> sangat baik  dalam memahami Q.S. al- Falaq dan Q.S. al- Fil dengan baik dan benar</v>
      </c>
      <c r="EE39" s="307" t="str">
        <f t="shared" si="18"/>
        <v xml:space="preserve"> sangat baik  dalam memahami Q.S. al- Falaq dan Q.S. al- Fil dengan baik dan benar, dan  sangat baik  dalam memahami Q.S. al- Falaq dan Q.S. al- Fil dengan baik dan benar</v>
      </c>
      <c r="EF39" s="307" t="str">
        <f t="shared" si="19"/>
        <v xml:space="preserve"> sangat baik  dalam memahami Q.S. al- Falaq dan Q.S. al- Fil dengan baik dan benar</v>
      </c>
      <c r="EG39" s="308" t="str">
        <f t="shared" si="20"/>
        <v xml:space="preserve"> sangat baik  dalam memahami Q.S. al- Falaq dan Q.S. al- Fil dengan baik dan benar</v>
      </c>
      <c r="EH39" s="301" t="str">
        <f t="shared" si="38"/>
        <v>Anak 34 sangat baik  dalam memahami Q.S. al- Falaq dan Q.S. al- Fil dengan baik dan benar</v>
      </c>
      <c r="EI39" s="106" t="e">
        <f>IF(#REF!=1,AS$4," ")</f>
        <v>#REF!</v>
      </c>
      <c r="EJ39" s="106" t="e">
        <f>IF(#REF!=1,AT$4," ")</f>
        <v>#REF!</v>
      </c>
      <c r="EK39" s="106" t="e">
        <f>IF(#REF!=1,AU$4," ")</f>
        <v>#REF!</v>
      </c>
      <c r="EL39" s="106" t="e">
        <f>IF(#REF!=1,AV$4," ")</f>
        <v>#REF!</v>
      </c>
      <c r="EM39" s="106" t="e">
        <f>IF(#REF!=1,AW$4," ")</f>
        <v>#REF!</v>
      </c>
      <c r="EN39" s="106" t="e">
        <f>IF(#REF!=1,AX$4," ")</f>
        <v>#REF!</v>
      </c>
      <c r="EO39" s="106" t="e">
        <f>IF(#REF!=1,AY$4," ")</f>
        <v>#REF!</v>
      </c>
      <c r="EP39" s="106" t="e">
        <f>IF(#REF!=1,#REF!," ")</f>
        <v>#REF!</v>
      </c>
      <c r="EQ39" s="106" t="e">
        <f>IF(#REF!=1,#REF!," ")</f>
        <v>#REF!</v>
      </c>
      <c r="ER39" s="106" t="e">
        <f>IF(#REF!=1,DT$4," ")</f>
        <v>#REF!</v>
      </c>
      <c r="ES39" s="408">
        <f t="shared" si="21"/>
        <v>99</v>
      </c>
      <c r="EX39" s="302">
        <f t="shared" si="22"/>
        <v>99</v>
      </c>
      <c r="EY39" s="303" t="str">
        <f>IF(EX39&gt;KKM!$G$10,"A",IF(EX39&gt;KKM!$H$10,"B",IF(EX39&gt;=KKM!$I$10,"C","D")))</f>
        <v>A</v>
      </c>
      <c r="EZ39" s="523">
        <f t="shared" si="23"/>
        <v>99</v>
      </c>
      <c r="FA39" s="115" t="str">
        <f>IF(EZ39&gt;KKM!$G$10," sangat baik ",IF(EZ39&gt;KKM!$H$10," baik ",IF(EZ39&gt;=KKM!$I$10," cukup baik "," perlu bimbingan ")))</f>
        <v xml:space="preserve"> sangat baik </v>
      </c>
      <c r="FB39" s="524">
        <f t="shared" si="24"/>
        <v>99</v>
      </c>
      <c r="FC39" s="115" t="str">
        <f>IF(FB39&gt;KKM!$G$10," sangat baik ",IF(FB39&gt;KKM!$H$10," baik ",IF(FB39&gt;=KKM!$I$10," cukup baik "," perlu bimbingan ")))</f>
        <v xml:space="preserve"> sangat baik </v>
      </c>
      <c r="FD39" s="301" t="str">
        <f t="shared" si="25"/>
        <v>Anak 34 sangat baik  dalam memahami Q.S. al- Falaq dan Q.S. al- Fil dengan baik dan benar</v>
      </c>
      <c r="FE39" s="307" t="str">
        <f t="shared" si="26"/>
        <v xml:space="preserve"> sangat baik  dalam memahami Q.S. al- Falaq dan Q.S. al- Fil dengan baik dan benar</v>
      </c>
      <c r="FF39" s="307" t="str">
        <f t="shared" si="27"/>
        <v xml:space="preserve"> sangat baik  dalam memahami Q.S. al- Falaq dan Q.S. al- Fil dengan baik dan benar</v>
      </c>
      <c r="FG39" s="307" t="str">
        <f t="shared" si="28"/>
        <v xml:space="preserve"> sangat baik  dalam memahami Q.S. al- Falaq dan Q.S. al- Fil dengan baik dan benar, dan  sangat baik  dalam memahami Q.S. al- Falaq dan Q.S. al- Fil dengan baik dan benar</v>
      </c>
      <c r="FH39" s="307" t="str">
        <f t="shared" si="29"/>
        <v xml:space="preserve"> sangat baik  dalam memahami Q.S. al- Falaq dan Q.S. al- Fil dengan baik dan benar</v>
      </c>
      <c r="FI39" s="308" t="str">
        <f t="shared" si="30"/>
        <v xml:space="preserve"> sangat baik  dalam memahami Q.S. al- Falaq dan Q.S. al- Fil dengan baik dan benar</v>
      </c>
      <c r="FJ39" s="301" t="str">
        <f t="shared" si="31"/>
        <v>Anak 34 sangat baik  dalam memahami Q.S. al- Falaq dan Q.S. al- Fil dengan baik dan benar</v>
      </c>
      <c r="FQ39" s="408"/>
    </row>
    <row r="40" spans="2:173" ht="63" customHeight="1">
      <c r="B40" s="109">
        <v>35</v>
      </c>
      <c r="C40" s="110">
        <f>SISWA!B40</f>
        <v>0</v>
      </c>
      <c r="D40" s="111" t="str">
        <f>SISWA!E40</f>
        <v>Anak 35</v>
      </c>
      <c r="E40" s="631">
        <v>99</v>
      </c>
      <c r="F40" s="631">
        <v>99</v>
      </c>
      <c r="G40" s="631">
        <v>99</v>
      </c>
      <c r="H40" s="605"/>
      <c r="I40" s="605"/>
      <c r="J40" s="605"/>
      <c r="K40" s="605"/>
      <c r="L40" s="605"/>
      <c r="M40" s="605"/>
      <c r="N40" s="605"/>
      <c r="O40" s="605"/>
      <c r="P40" s="605"/>
      <c r="Q40" s="605"/>
      <c r="R40" s="631">
        <v>99</v>
      </c>
      <c r="S40" s="631">
        <v>99</v>
      </c>
      <c r="T40" s="631">
        <v>99</v>
      </c>
      <c r="U40" s="606"/>
      <c r="V40" s="606"/>
      <c r="W40" s="606"/>
      <c r="X40" s="606"/>
      <c r="Y40" s="606"/>
      <c r="Z40" s="606"/>
      <c r="AA40" s="606"/>
      <c r="AB40" s="606"/>
      <c r="AC40" s="606"/>
      <c r="AD40" s="631">
        <v>99</v>
      </c>
      <c r="AE40" s="631">
        <v>99</v>
      </c>
      <c r="AF40" s="631">
        <v>99</v>
      </c>
      <c r="AG40" s="605"/>
      <c r="AH40" s="605"/>
      <c r="AI40" s="605"/>
      <c r="AJ40" s="605"/>
      <c r="AK40" s="605"/>
      <c r="AL40" s="605"/>
      <c r="AM40" s="605"/>
      <c r="AN40" s="605"/>
      <c r="AO40" s="605"/>
      <c r="AP40" s="605"/>
      <c r="AQ40" s="728">
        <f t="shared" si="9"/>
        <v>99</v>
      </c>
      <c r="AR40" s="728">
        <f t="shared" si="10"/>
        <v>99</v>
      </c>
      <c r="AS40" s="728">
        <f t="shared" si="11"/>
        <v>99</v>
      </c>
      <c r="AT40" s="728" t="str">
        <f t="shared" si="12"/>
        <v/>
      </c>
      <c r="AU40" s="728" t="str">
        <f t="shared" si="13"/>
        <v/>
      </c>
      <c r="AV40" s="728" t="str">
        <f t="shared" si="14"/>
        <v/>
      </c>
      <c r="AW40" s="728" t="str">
        <f t="shared" si="15"/>
        <v/>
      </c>
      <c r="AX40" s="728" t="str">
        <f t="shared" si="16"/>
        <v/>
      </c>
      <c r="AY40" s="615"/>
      <c r="AZ40" s="615"/>
      <c r="BA40" s="615"/>
      <c r="BB40" s="615"/>
      <c r="BC40" s="615"/>
      <c r="BD40" s="124"/>
      <c r="BE40" s="124"/>
      <c r="BF40" s="124"/>
      <c r="BG40" s="124"/>
      <c r="BH40" s="124"/>
      <c r="BI40" s="124"/>
      <c r="BJ40" s="124"/>
      <c r="BK40" s="124"/>
      <c r="BL40" s="332"/>
      <c r="BM40" s="332"/>
      <c r="BN40" s="332"/>
      <c r="BO40" s="332"/>
      <c r="BP40" s="332"/>
      <c r="BQ40" s="332"/>
      <c r="BR40" s="332"/>
      <c r="BS40" s="332"/>
      <c r="BT40" s="332"/>
      <c r="BU40" s="332"/>
      <c r="BV40" s="332"/>
      <c r="BW40" s="332"/>
      <c r="BX40" s="124"/>
      <c r="BY40" s="124"/>
      <c r="BZ40" s="124"/>
      <c r="CA40" s="124"/>
      <c r="CB40" s="124"/>
      <c r="CC40" s="124"/>
      <c r="CD40" s="124"/>
      <c r="CE40" s="124"/>
      <c r="CF40" s="124"/>
      <c r="CG40" s="124"/>
      <c r="CH40" s="124"/>
      <c r="CI40" s="124"/>
      <c r="CJ40" s="332"/>
      <c r="CK40" s="332"/>
      <c r="CL40" s="332"/>
      <c r="CM40" s="332"/>
      <c r="CN40" s="332"/>
      <c r="CO40" s="332"/>
      <c r="CP40" s="332"/>
      <c r="CQ40" s="332"/>
      <c r="CR40" s="332"/>
      <c r="CS40" s="332"/>
      <c r="CT40" s="332"/>
      <c r="CU40" s="332"/>
      <c r="CV40" s="124"/>
      <c r="CW40" s="124"/>
      <c r="CX40" s="124"/>
      <c r="CY40" s="124"/>
      <c r="CZ40" s="124"/>
      <c r="DA40" s="124"/>
      <c r="DB40" s="124"/>
      <c r="DC40" s="124"/>
      <c r="DD40" s="124"/>
      <c r="DE40" s="124"/>
      <c r="DF40" s="124"/>
      <c r="DG40" s="124"/>
      <c r="DH40" s="332"/>
      <c r="DI40" s="332"/>
      <c r="DJ40" s="332"/>
      <c r="DK40" s="332"/>
      <c r="DL40" s="332"/>
      <c r="DM40" s="332"/>
      <c r="DN40" s="604"/>
      <c r="DO40" s="604"/>
      <c r="DP40" s="604"/>
      <c r="DQ40" s="604"/>
      <c r="DR40" s="604"/>
      <c r="DS40" s="604"/>
      <c r="DT40" s="722"/>
      <c r="DU40" s="302">
        <f t="shared" si="33"/>
        <v>99</v>
      </c>
      <c r="DV40" s="303" t="str">
        <f>IF(DU40&gt;KKM!$G$10,"A",IF(DU40&gt;KKM!$H$10,"B",IF(DU40&gt;=KKM!$I$10,"C","D")))</f>
        <v>A</v>
      </c>
      <c r="DW40" s="304">
        <f t="shared" si="34"/>
        <v>99</v>
      </c>
      <c r="DX40" s="115" t="str">
        <f>IF(DW40&gt;KKM!$G$10," sangat baik ",IF(DW40&gt;KKM!$H$10," baik ",IF(DW40&gt;=KKM!$I$10," cukup baik "," perlu bimbingan ")))</f>
        <v xml:space="preserve"> sangat baik </v>
      </c>
      <c r="DY40" s="305">
        <f t="shared" si="35"/>
        <v>99</v>
      </c>
      <c r="DZ40" s="115" t="str">
        <f>IF(DY40&gt;KKM!$G$10," sangat baik ",IF(DY40&gt;KKM!$H$10," baik ",IF(DY40&gt;=KKM!$I$10," cukup baik "," perlu bimbingan ")))</f>
        <v xml:space="preserve"> sangat baik </v>
      </c>
      <c r="EA40" s="301" t="str">
        <f t="shared" si="32"/>
        <v>Anak 35 sangat baik  dalam memahami Q.S. al- Falaq dan Q.S. al- Fil dengan baik dan benar</v>
      </c>
      <c r="EB40" s="424"/>
      <c r="EC40" s="307" t="str">
        <f t="shared" si="36"/>
        <v xml:space="preserve"> sangat baik  dalam memahami Q.S. al- Falaq dan Q.S. al- Fil dengan baik dan benar</v>
      </c>
      <c r="ED40" s="307" t="str">
        <f t="shared" si="37"/>
        <v xml:space="preserve"> sangat baik  dalam memahami Q.S. al- Falaq dan Q.S. al- Fil dengan baik dan benar</v>
      </c>
      <c r="EE40" s="307" t="str">
        <f t="shared" si="18"/>
        <v xml:space="preserve"> sangat baik  dalam memahami Q.S. al- Falaq dan Q.S. al- Fil dengan baik dan benar, dan  sangat baik  dalam memahami Q.S. al- Falaq dan Q.S. al- Fil dengan baik dan benar</v>
      </c>
      <c r="EF40" s="307" t="str">
        <f t="shared" si="19"/>
        <v xml:space="preserve"> sangat baik  dalam memahami Q.S. al- Falaq dan Q.S. al- Fil dengan baik dan benar</v>
      </c>
      <c r="EG40" s="308" t="str">
        <f t="shared" si="20"/>
        <v xml:space="preserve"> sangat baik  dalam memahami Q.S. al- Falaq dan Q.S. al- Fil dengan baik dan benar</v>
      </c>
      <c r="EH40" s="301" t="str">
        <f t="shared" si="38"/>
        <v>Anak 35 sangat baik  dalam memahami Q.S. al- Falaq dan Q.S. al- Fil dengan baik dan benar</v>
      </c>
      <c r="EI40" s="106" t="e">
        <f>IF(#REF!=1,AS$4," ")</f>
        <v>#REF!</v>
      </c>
      <c r="EJ40" s="106" t="e">
        <f>IF(#REF!=1,AT$4," ")</f>
        <v>#REF!</v>
      </c>
      <c r="EK40" s="106" t="e">
        <f>IF(#REF!=1,AU$4," ")</f>
        <v>#REF!</v>
      </c>
      <c r="EL40" s="106" t="e">
        <f>IF(#REF!=1,AV$4," ")</f>
        <v>#REF!</v>
      </c>
      <c r="EM40" s="106" t="e">
        <f>IF(#REF!=1,AW$4," ")</f>
        <v>#REF!</v>
      </c>
      <c r="EN40" s="106" t="e">
        <f>IF(#REF!=1,AX$4," ")</f>
        <v>#REF!</v>
      </c>
      <c r="EO40" s="106" t="e">
        <f>IF(#REF!=1,AY$4," ")</f>
        <v>#REF!</v>
      </c>
      <c r="EP40" s="106" t="e">
        <f>IF(#REF!=1,#REF!," ")</f>
        <v>#REF!</v>
      </c>
      <c r="EQ40" s="106" t="e">
        <f>IF(#REF!=1,#REF!," ")</f>
        <v>#REF!</v>
      </c>
      <c r="ER40" s="106" t="e">
        <f>IF(#REF!=1,DT$4," ")</f>
        <v>#REF!</v>
      </c>
      <c r="ES40" s="408">
        <f t="shared" si="21"/>
        <v>99</v>
      </c>
      <c r="EX40" s="302">
        <f t="shared" si="22"/>
        <v>99</v>
      </c>
      <c r="EY40" s="303" t="str">
        <f>IF(EX40&gt;KKM!$G$10,"A",IF(EX40&gt;KKM!$H$10,"B",IF(EX40&gt;=KKM!$I$10,"C","D")))</f>
        <v>A</v>
      </c>
      <c r="EZ40" s="523">
        <f t="shared" si="23"/>
        <v>99</v>
      </c>
      <c r="FA40" s="115" t="str">
        <f>IF(EZ40&gt;KKM!$G$10," sangat baik ",IF(EZ40&gt;KKM!$H$10," baik ",IF(EZ40&gt;=KKM!$I$10," cukup baik "," perlu bimbingan ")))</f>
        <v xml:space="preserve"> sangat baik </v>
      </c>
      <c r="FB40" s="524">
        <f t="shared" si="24"/>
        <v>99</v>
      </c>
      <c r="FC40" s="115" t="str">
        <f>IF(FB40&gt;KKM!$G$10," sangat baik ",IF(FB40&gt;KKM!$H$10," baik ",IF(FB40&gt;=KKM!$I$10," cukup baik "," perlu bimbingan ")))</f>
        <v xml:space="preserve"> sangat baik </v>
      </c>
      <c r="FD40" s="301" t="str">
        <f t="shared" si="25"/>
        <v>Anak 35 sangat baik  dalam memahami Q.S. al- Falaq dan Q.S. al- Fil dengan baik dan benar</v>
      </c>
      <c r="FE40" s="307" t="str">
        <f t="shared" si="26"/>
        <v xml:space="preserve"> sangat baik  dalam memahami Q.S. al- Falaq dan Q.S. al- Fil dengan baik dan benar</v>
      </c>
      <c r="FF40" s="307" t="str">
        <f t="shared" si="27"/>
        <v xml:space="preserve"> sangat baik  dalam memahami Q.S. al- Falaq dan Q.S. al- Fil dengan baik dan benar</v>
      </c>
      <c r="FG40" s="307" t="str">
        <f t="shared" si="28"/>
        <v xml:space="preserve"> sangat baik  dalam memahami Q.S. al- Falaq dan Q.S. al- Fil dengan baik dan benar, dan  sangat baik  dalam memahami Q.S. al- Falaq dan Q.S. al- Fil dengan baik dan benar</v>
      </c>
      <c r="FH40" s="307" t="str">
        <f t="shared" si="29"/>
        <v xml:space="preserve"> sangat baik  dalam memahami Q.S. al- Falaq dan Q.S. al- Fil dengan baik dan benar</v>
      </c>
      <c r="FI40" s="308" t="str">
        <f t="shared" si="30"/>
        <v xml:space="preserve"> sangat baik  dalam memahami Q.S. al- Falaq dan Q.S. al- Fil dengan baik dan benar</v>
      </c>
      <c r="FJ40" s="301" t="str">
        <f t="shared" si="31"/>
        <v>Anak 35 sangat baik  dalam memahami Q.S. al- Falaq dan Q.S. al- Fil dengan baik dan benar</v>
      </c>
      <c r="FQ40" s="408"/>
    </row>
    <row r="41" spans="2:173" ht="63" customHeight="1">
      <c r="B41" s="109">
        <v>36</v>
      </c>
      <c r="C41" s="110">
        <f>SISWA!B41</f>
        <v>0</v>
      </c>
      <c r="D41" s="111" t="str">
        <f>SISWA!E41</f>
        <v>Anak 36</v>
      </c>
      <c r="E41" s="631">
        <v>99</v>
      </c>
      <c r="F41" s="631">
        <v>99</v>
      </c>
      <c r="G41" s="631">
        <v>99</v>
      </c>
      <c r="H41" s="605"/>
      <c r="I41" s="605"/>
      <c r="J41" s="605"/>
      <c r="K41" s="605"/>
      <c r="L41" s="605"/>
      <c r="M41" s="605"/>
      <c r="N41" s="605"/>
      <c r="O41" s="605"/>
      <c r="P41" s="605"/>
      <c r="Q41" s="605"/>
      <c r="R41" s="631">
        <v>99</v>
      </c>
      <c r="S41" s="631">
        <v>99</v>
      </c>
      <c r="T41" s="631">
        <v>99</v>
      </c>
      <c r="U41" s="606"/>
      <c r="V41" s="606"/>
      <c r="W41" s="606"/>
      <c r="X41" s="606"/>
      <c r="Y41" s="606"/>
      <c r="Z41" s="606"/>
      <c r="AA41" s="606"/>
      <c r="AB41" s="606"/>
      <c r="AC41" s="606"/>
      <c r="AD41" s="631">
        <v>99</v>
      </c>
      <c r="AE41" s="631">
        <v>99</v>
      </c>
      <c r="AF41" s="631">
        <v>99</v>
      </c>
      <c r="AG41" s="605"/>
      <c r="AH41" s="605"/>
      <c r="AI41" s="605"/>
      <c r="AJ41" s="605"/>
      <c r="AK41" s="605"/>
      <c r="AL41" s="605"/>
      <c r="AM41" s="605"/>
      <c r="AN41" s="605"/>
      <c r="AO41" s="605"/>
      <c r="AP41" s="605"/>
      <c r="AQ41" s="728">
        <f t="shared" si="9"/>
        <v>99</v>
      </c>
      <c r="AR41" s="728">
        <f t="shared" si="10"/>
        <v>99</v>
      </c>
      <c r="AS41" s="728">
        <f t="shared" si="11"/>
        <v>99</v>
      </c>
      <c r="AT41" s="728" t="str">
        <f t="shared" si="12"/>
        <v/>
      </c>
      <c r="AU41" s="728" t="str">
        <f t="shared" si="13"/>
        <v/>
      </c>
      <c r="AV41" s="728" t="str">
        <f t="shared" si="14"/>
        <v/>
      </c>
      <c r="AW41" s="728" t="str">
        <f t="shared" si="15"/>
        <v/>
      </c>
      <c r="AX41" s="728" t="str">
        <f t="shared" si="16"/>
        <v/>
      </c>
      <c r="AY41" s="615"/>
      <c r="AZ41" s="615"/>
      <c r="BA41" s="615"/>
      <c r="BB41" s="615"/>
      <c r="BC41" s="615"/>
      <c r="BD41" s="124"/>
      <c r="BE41" s="124"/>
      <c r="BF41" s="124"/>
      <c r="BG41" s="124"/>
      <c r="BH41" s="124"/>
      <c r="BI41" s="124"/>
      <c r="BJ41" s="124"/>
      <c r="BK41" s="124"/>
      <c r="BL41" s="332"/>
      <c r="BM41" s="332"/>
      <c r="BN41" s="332"/>
      <c r="BO41" s="332"/>
      <c r="BP41" s="332"/>
      <c r="BQ41" s="332"/>
      <c r="BR41" s="332"/>
      <c r="BS41" s="332"/>
      <c r="BT41" s="332"/>
      <c r="BU41" s="332"/>
      <c r="BV41" s="332"/>
      <c r="BW41" s="332"/>
      <c r="BX41" s="124"/>
      <c r="BY41" s="124"/>
      <c r="BZ41" s="124"/>
      <c r="CA41" s="124"/>
      <c r="CB41" s="124"/>
      <c r="CC41" s="124"/>
      <c r="CD41" s="124"/>
      <c r="CE41" s="124"/>
      <c r="CF41" s="124"/>
      <c r="CG41" s="124"/>
      <c r="CH41" s="124"/>
      <c r="CI41" s="124"/>
      <c r="CJ41" s="332"/>
      <c r="CK41" s="332"/>
      <c r="CL41" s="332"/>
      <c r="CM41" s="332"/>
      <c r="CN41" s="332"/>
      <c r="CO41" s="332"/>
      <c r="CP41" s="332"/>
      <c r="CQ41" s="332"/>
      <c r="CR41" s="332"/>
      <c r="CS41" s="332"/>
      <c r="CT41" s="332"/>
      <c r="CU41" s="332"/>
      <c r="CV41" s="124"/>
      <c r="CW41" s="124"/>
      <c r="CX41" s="124"/>
      <c r="CY41" s="124"/>
      <c r="CZ41" s="124"/>
      <c r="DA41" s="124"/>
      <c r="DB41" s="124"/>
      <c r="DC41" s="124"/>
      <c r="DD41" s="124"/>
      <c r="DE41" s="124"/>
      <c r="DF41" s="124"/>
      <c r="DG41" s="124"/>
      <c r="DH41" s="332"/>
      <c r="DI41" s="332"/>
      <c r="DJ41" s="332"/>
      <c r="DK41" s="332"/>
      <c r="DL41" s="332"/>
      <c r="DM41" s="332"/>
      <c r="DN41" s="604"/>
      <c r="DO41" s="604"/>
      <c r="DP41" s="604"/>
      <c r="DQ41" s="604"/>
      <c r="DR41" s="604"/>
      <c r="DS41" s="604"/>
      <c r="DT41" s="722"/>
      <c r="DU41" s="302">
        <f t="shared" si="33"/>
        <v>99</v>
      </c>
      <c r="DV41" s="303" t="str">
        <f>IF(DU41&gt;KKM!$G$10,"A",IF(DU41&gt;KKM!$H$10,"B",IF(DU41&gt;=KKM!$I$10,"C","D")))</f>
        <v>A</v>
      </c>
      <c r="DW41" s="304">
        <f t="shared" si="34"/>
        <v>99</v>
      </c>
      <c r="DX41" s="115" t="str">
        <f>IF(DW41&gt;KKM!$G$10," sangat baik ",IF(DW41&gt;KKM!$H$10," baik ",IF(DW41&gt;=KKM!$I$10," cukup baik "," perlu bimbingan ")))</f>
        <v xml:space="preserve"> sangat baik </v>
      </c>
      <c r="DY41" s="305">
        <f t="shared" si="35"/>
        <v>99</v>
      </c>
      <c r="DZ41" s="115" t="str">
        <f>IF(DY41&gt;KKM!$G$10," sangat baik ",IF(DY41&gt;KKM!$H$10," baik ",IF(DY41&gt;=KKM!$I$10," cukup baik "," perlu bimbingan ")))</f>
        <v xml:space="preserve"> sangat baik </v>
      </c>
      <c r="EA41" s="301" t="str">
        <f t="shared" si="32"/>
        <v>Anak 36 sangat baik  dalam memahami Q.S. al- Falaq dan Q.S. al- Fil dengan baik dan benar</v>
      </c>
      <c r="EB41" s="424"/>
      <c r="EC41" s="307" t="str">
        <f t="shared" si="36"/>
        <v xml:space="preserve"> sangat baik  dalam memahami Q.S. al- Falaq dan Q.S. al- Fil dengan baik dan benar</v>
      </c>
      <c r="ED41" s="307" t="str">
        <f t="shared" si="37"/>
        <v xml:space="preserve"> sangat baik  dalam memahami Q.S. al- Falaq dan Q.S. al- Fil dengan baik dan benar</v>
      </c>
      <c r="EE41" s="307" t="str">
        <f t="shared" si="18"/>
        <v xml:space="preserve"> sangat baik  dalam memahami Q.S. al- Falaq dan Q.S. al- Fil dengan baik dan benar, dan  sangat baik  dalam memahami Q.S. al- Falaq dan Q.S. al- Fil dengan baik dan benar</v>
      </c>
      <c r="EF41" s="307" t="str">
        <f t="shared" si="19"/>
        <v xml:space="preserve"> sangat baik  dalam memahami Q.S. al- Falaq dan Q.S. al- Fil dengan baik dan benar</v>
      </c>
      <c r="EG41" s="308" t="str">
        <f t="shared" si="20"/>
        <v xml:space="preserve"> sangat baik  dalam memahami Q.S. al- Falaq dan Q.S. al- Fil dengan baik dan benar</v>
      </c>
      <c r="EH41" s="301" t="str">
        <f t="shared" si="38"/>
        <v>Anak 36 sangat baik  dalam memahami Q.S. al- Falaq dan Q.S. al- Fil dengan baik dan benar</v>
      </c>
      <c r="EI41" s="106" t="e">
        <f>IF(#REF!=1,AS$4," ")</f>
        <v>#REF!</v>
      </c>
      <c r="EJ41" s="106" t="e">
        <f>IF(#REF!=1,AT$4," ")</f>
        <v>#REF!</v>
      </c>
      <c r="EK41" s="106" t="e">
        <f>IF(#REF!=1,AU$4," ")</f>
        <v>#REF!</v>
      </c>
      <c r="EL41" s="106" t="e">
        <f>IF(#REF!=1,AV$4," ")</f>
        <v>#REF!</v>
      </c>
      <c r="EM41" s="106" t="e">
        <f>IF(#REF!=1,AW$4," ")</f>
        <v>#REF!</v>
      </c>
      <c r="EN41" s="106" t="e">
        <f>IF(#REF!=1,AX$4," ")</f>
        <v>#REF!</v>
      </c>
      <c r="EO41" s="106" t="e">
        <f>IF(#REF!=1,AY$4," ")</f>
        <v>#REF!</v>
      </c>
      <c r="EP41" s="106" t="e">
        <f>IF(#REF!=1,#REF!," ")</f>
        <v>#REF!</v>
      </c>
      <c r="EQ41" s="106" t="e">
        <f>IF(#REF!=1,#REF!," ")</f>
        <v>#REF!</v>
      </c>
      <c r="ER41" s="106" t="e">
        <f>IF(#REF!=1,DT$4," ")</f>
        <v>#REF!</v>
      </c>
      <c r="ES41" s="408">
        <f t="shared" si="21"/>
        <v>99</v>
      </c>
      <c r="EX41" s="302">
        <f t="shared" si="22"/>
        <v>99</v>
      </c>
      <c r="EY41" s="303" t="str">
        <f>IF(EX41&gt;KKM!$G$10,"A",IF(EX41&gt;KKM!$H$10,"B",IF(EX41&gt;=KKM!$I$10,"C","D")))</f>
        <v>A</v>
      </c>
      <c r="EZ41" s="523">
        <f t="shared" si="23"/>
        <v>99</v>
      </c>
      <c r="FA41" s="115" t="str">
        <f>IF(EZ41&gt;KKM!$G$10," sangat baik ",IF(EZ41&gt;KKM!$H$10," baik ",IF(EZ41&gt;=KKM!$I$10," cukup baik "," perlu bimbingan ")))</f>
        <v xml:space="preserve"> sangat baik </v>
      </c>
      <c r="FB41" s="524">
        <f t="shared" si="24"/>
        <v>99</v>
      </c>
      <c r="FC41" s="115" t="str">
        <f>IF(FB41&gt;KKM!$G$10," sangat baik ",IF(FB41&gt;KKM!$H$10," baik ",IF(FB41&gt;=KKM!$I$10," cukup baik "," perlu bimbingan ")))</f>
        <v xml:space="preserve"> sangat baik </v>
      </c>
      <c r="FD41" s="301" t="str">
        <f t="shared" si="25"/>
        <v>Anak 36 sangat baik  dalam memahami Q.S. al- Falaq dan Q.S. al- Fil dengan baik dan benar</v>
      </c>
      <c r="FE41" s="307" t="str">
        <f t="shared" si="26"/>
        <v xml:space="preserve"> sangat baik  dalam memahami Q.S. al- Falaq dan Q.S. al- Fil dengan baik dan benar</v>
      </c>
      <c r="FF41" s="307" t="str">
        <f t="shared" si="27"/>
        <v xml:space="preserve"> sangat baik  dalam memahami Q.S. al- Falaq dan Q.S. al- Fil dengan baik dan benar</v>
      </c>
      <c r="FG41" s="307" t="str">
        <f t="shared" si="28"/>
        <v xml:space="preserve"> sangat baik  dalam memahami Q.S. al- Falaq dan Q.S. al- Fil dengan baik dan benar, dan  sangat baik  dalam memahami Q.S. al- Falaq dan Q.S. al- Fil dengan baik dan benar</v>
      </c>
      <c r="FH41" s="307" t="str">
        <f t="shared" si="29"/>
        <v xml:space="preserve"> sangat baik  dalam memahami Q.S. al- Falaq dan Q.S. al- Fil dengan baik dan benar</v>
      </c>
      <c r="FI41" s="308" t="str">
        <f t="shared" si="30"/>
        <v xml:space="preserve"> sangat baik  dalam memahami Q.S. al- Falaq dan Q.S. al- Fil dengan baik dan benar</v>
      </c>
      <c r="FJ41" s="301" t="str">
        <f t="shared" si="31"/>
        <v>Anak 36 sangat baik  dalam memahami Q.S. al- Falaq dan Q.S. al- Fil dengan baik dan benar</v>
      </c>
      <c r="FQ41" s="408"/>
    </row>
    <row r="42" spans="2:173" ht="63" customHeight="1">
      <c r="B42" s="109">
        <v>37</v>
      </c>
      <c r="C42" s="110">
        <f>SISWA!B42</f>
        <v>0</v>
      </c>
      <c r="D42" s="111" t="str">
        <f>SISWA!E42</f>
        <v>Anak 37</v>
      </c>
      <c r="E42" s="631">
        <v>99</v>
      </c>
      <c r="F42" s="631">
        <v>99</v>
      </c>
      <c r="G42" s="631">
        <v>99</v>
      </c>
      <c r="H42" s="605"/>
      <c r="I42" s="605"/>
      <c r="J42" s="605"/>
      <c r="K42" s="605"/>
      <c r="L42" s="605"/>
      <c r="M42" s="605"/>
      <c r="N42" s="605"/>
      <c r="O42" s="605"/>
      <c r="P42" s="605"/>
      <c r="Q42" s="605"/>
      <c r="R42" s="631">
        <v>99</v>
      </c>
      <c r="S42" s="631">
        <v>99</v>
      </c>
      <c r="T42" s="631">
        <v>99</v>
      </c>
      <c r="U42" s="606"/>
      <c r="V42" s="606"/>
      <c r="W42" s="606"/>
      <c r="X42" s="606"/>
      <c r="Y42" s="606"/>
      <c r="Z42" s="606"/>
      <c r="AA42" s="606"/>
      <c r="AB42" s="606"/>
      <c r="AC42" s="606"/>
      <c r="AD42" s="631">
        <v>99</v>
      </c>
      <c r="AE42" s="631">
        <v>99</v>
      </c>
      <c r="AF42" s="631">
        <v>99</v>
      </c>
      <c r="AG42" s="605"/>
      <c r="AH42" s="605"/>
      <c r="AI42" s="605"/>
      <c r="AJ42" s="605"/>
      <c r="AK42" s="605"/>
      <c r="AL42" s="605"/>
      <c r="AM42" s="605"/>
      <c r="AN42" s="605"/>
      <c r="AO42" s="605"/>
      <c r="AP42" s="605"/>
      <c r="AQ42" s="728">
        <f t="shared" si="9"/>
        <v>99</v>
      </c>
      <c r="AR42" s="728">
        <f t="shared" si="10"/>
        <v>99</v>
      </c>
      <c r="AS42" s="728">
        <f t="shared" si="11"/>
        <v>99</v>
      </c>
      <c r="AT42" s="728" t="str">
        <f t="shared" si="12"/>
        <v/>
      </c>
      <c r="AU42" s="728" t="str">
        <f t="shared" si="13"/>
        <v/>
      </c>
      <c r="AV42" s="728" t="str">
        <f t="shared" si="14"/>
        <v/>
      </c>
      <c r="AW42" s="728" t="str">
        <f t="shared" si="15"/>
        <v/>
      </c>
      <c r="AX42" s="728" t="str">
        <f t="shared" si="16"/>
        <v/>
      </c>
      <c r="AY42" s="615"/>
      <c r="AZ42" s="615"/>
      <c r="BA42" s="615"/>
      <c r="BB42" s="615"/>
      <c r="BC42" s="615"/>
      <c r="BD42" s="124"/>
      <c r="BE42" s="124"/>
      <c r="BF42" s="124"/>
      <c r="BG42" s="124"/>
      <c r="BH42" s="124"/>
      <c r="BI42" s="124"/>
      <c r="BJ42" s="124"/>
      <c r="BK42" s="124"/>
      <c r="BL42" s="332"/>
      <c r="BM42" s="332"/>
      <c r="BN42" s="332"/>
      <c r="BO42" s="332"/>
      <c r="BP42" s="332"/>
      <c r="BQ42" s="332"/>
      <c r="BR42" s="332"/>
      <c r="BS42" s="332"/>
      <c r="BT42" s="332"/>
      <c r="BU42" s="332"/>
      <c r="BV42" s="332"/>
      <c r="BW42" s="332"/>
      <c r="BX42" s="124"/>
      <c r="BY42" s="124"/>
      <c r="BZ42" s="124"/>
      <c r="CA42" s="124"/>
      <c r="CB42" s="124"/>
      <c r="CC42" s="124"/>
      <c r="CD42" s="124"/>
      <c r="CE42" s="124"/>
      <c r="CF42" s="124"/>
      <c r="CG42" s="124"/>
      <c r="CH42" s="124"/>
      <c r="CI42" s="124"/>
      <c r="CJ42" s="332"/>
      <c r="CK42" s="332"/>
      <c r="CL42" s="332"/>
      <c r="CM42" s="332"/>
      <c r="CN42" s="332"/>
      <c r="CO42" s="332"/>
      <c r="CP42" s="332"/>
      <c r="CQ42" s="332"/>
      <c r="CR42" s="332"/>
      <c r="CS42" s="332"/>
      <c r="CT42" s="332"/>
      <c r="CU42" s="332"/>
      <c r="CV42" s="124"/>
      <c r="CW42" s="124"/>
      <c r="CX42" s="124"/>
      <c r="CY42" s="124"/>
      <c r="CZ42" s="124"/>
      <c r="DA42" s="124"/>
      <c r="DB42" s="124"/>
      <c r="DC42" s="124"/>
      <c r="DD42" s="124"/>
      <c r="DE42" s="124"/>
      <c r="DF42" s="124"/>
      <c r="DG42" s="124"/>
      <c r="DH42" s="332"/>
      <c r="DI42" s="332"/>
      <c r="DJ42" s="332"/>
      <c r="DK42" s="332"/>
      <c r="DL42" s="332"/>
      <c r="DM42" s="332"/>
      <c r="DN42" s="604"/>
      <c r="DO42" s="604"/>
      <c r="DP42" s="604"/>
      <c r="DQ42" s="604"/>
      <c r="DR42" s="604"/>
      <c r="DS42" s="604"/>
      <c r="DT42" s="722"/>
      <c r="DU42" s="302">
        <f t="shared" si="33"/>
        <v>99</v>
      </c>
      <c r="DV42" s="303" t="str">
        <f>IF(DU42&gt;KKM!$G$10,"A",IF(DU42&gt;KKM!$H$10,"B",IF(DU42&gt;=KKM!$I$10,"C","D")))</f>
        <v>A</v>
      </c>
      <c r="DW42" s="304">
        <f t="shared" si="34"/>
        <v>99</v>
      </c>
      <c r="DX42" s="115" t="str">
        <f>IF(DW42&gt;KKM!$G$10," sangat baik ",IF(DW42&gt;KKM!$H$10," baik ",IF(DW42&gt;=KKM!$I$10," cukup baik "," perlu bimbingan ")))</f>
        <v xml:space="preserve"> sangat baik </v>
      </c>
      <c r="DY42" s="305">
        <f t="shared" si="35"/>
        <v>99</v>
      </c>
      <c r="DZ42" s="115" t="str">
        <f>IF(DY42&gt;KKM!$G$10," sangat baik ",IF(DY42&gt;KKM!$H$10," baik ",IF(DY42&gt;=KKM!$I$10," cukup baik "," perlu bimbingan ")))</f>
        <v xml:space="preserve"> sangat baik </v>
      </c>
      <c r="EA42" s="301" t="str">
        <f t="shared" si="32"/>
        <v>Anak 37 sangat baik  dalam memahami Q.S. al- Falaq dan Q.S. al- Fil dengan baik dan benar</v>
      </c>
      <c r="EB42" s="424"/>
      <c r="EC42" s="307" t="str">
        <f t="shared" si="36"/>
        <v xml:space="preserve"> sangat baik  dalam memahami Q.S. al- Falaq dan Q.S. al- Fil dengan baik dan benar</v>
      </c>
      <c r="ED42" s="307" t="str">
        <f t="shared" si="37"/>
        <v xml:space="preserve"> sangat baik  dalam memahami Q.S. al- Falaq dan Q.S. al- Fil dengan baik dan benar</v>
      </c>
      <c r="EE42" s="307" t="str">
        <f t="shared" si="18"/>
        <v xml:space="preserve"> sangat baik  dalam memahami Q.S. al- Falaq dan Q.S. al- Fil dengan baik dan benar, dan  sangat baik  dalam memahami Q.S. al- Falaq dan Q.S. al- Fil dengan baik dan benar</v>
      </c>
      <c r="EF42" s="307" t="str">
        <f t="shared" si="19"/>
        <v xml:space="preserve"> sangat baik  dalam memahami Q.S. al- Falaq dan Q.S. al- Fil dengan baik dan benar</v>
      </c>
      <c r="EG42" s="308" t="str">
        <f t="shared" si="20"/>
        <v xml:space="preserve"> sangat baik  dalam memahami Q.S. al- Falaq dan Q.S. al- Fil dengan baik dan benar</v>
      </c>
      <c r="EH42" s="301" t="str">
        <f t="shared" si="38"/>
        <v>Anak 37 sangat baik  dalam memahami Q.S. al- Falaq dan Q.S. al- Fil dengan baik dan benar</v>
      </c>
      <c r="EI42" s="106" t="e">
        <f>IF(#REF!=1,AS$4," ")</f>
        <v>#REF!</v>
      </c>
      <c r="EJ42" s="106" t="e">
        <f>IF(#REF!=1,AT$4," ")</f>
        <v>#REF!</v>
      </c>
      <c r="EK42" s="106" t="e">
        <f>IF(#REF!=1,AU$4," ")</f>
        <v>#REF!</v>
      </c>
      <c r="EL42" s="106" t="e">
        <f>IF(#REF!=1,AV$4," ")</f>
        <v>#REF!</v>
      </c>
      <c r="EM42" s="106" t="e">
        <f>IF(#REF!=1,AW$4," ")</f>
        <v>#REF!</v>
      </c>
      <c r="EN42" s="106" t="e">
        <f>IF(#REF!=1,AX$4," ")</f>
        <v>#REF!</v>
      </c>
      <c r="EO42" s="106" t="e">
        <f>IF(#REF!=1,AY$4," ")</f>
        <v>#REF!</v>
      </c>
      <c r="EP42" s="106" t="e">
        <f>IF(#REF!=1,#REF!," ")</f>
        <v>#REF!</v>
      </c>
      <c r="EQ42" s="106" t="e">
        <f>IF(#REF!=1,#REF!," ")</f>
        <v>#REF!</v>
      </c>
      <c r="ER42" s="106" t="e">
        <f>IF(#REF!=1,DT$4," ")</f>
        <v>#REF!</v>
      </c>
      <c r="ES42" s="408">
        <f t="shared" si="21"/>
        <v>99</v>
      </c>
      <c r="EX42" s="302">
        <f t="shared" si="22"/>
        <v>99</v>
      </c>
      <c r="EY42" s="303" t="str">
        <f>IF(EX42&gt;KKM!$G$10,"A",IF(EX42&gt;KKM!$H$10,"B",IF(EX42&gt;=KKM!$I$10,"C","D")))</f>
        <v>A</v>
      </c>
      <c r="EZ42" s="523">
        <f t="shared" si="23"/>
        <v>99</v>
      </c>
      <c r="FA42" s="115" t="str">
        <f>IF(EZ42&gt;KKM!$G$10," sangat baik ",IF(EZ42&gt;KKM!$H$10," baik ",IF(EZ42&gt;=KKM!$I$10," cukup baik "," perlu bimbingan ")))</f>
        <v xml:space="preserve"> sangat baik </v>
      </c>
      <c r="FB42" s="524">
        <f t="shared" si="24"/>
        <v>99</v>
      </c>
      <c r="FC42" s="115" t="str">
        <f>IF(FB42&gt;KKM!$G$10," sangat baik ",IF(FB42&gt;KKM!$H$10," baik ",IF(FB42&gt;=KKM!$I$10," cukup baik "," perlu bimbingan ")))</f>
        <v xml:space="preserve"> sangat baik </v>
      </c>
      <c r="FD42" s="301" t="str">
        <f t="shared" si="25"/>
        <v>Anak 37 sangat baik  dalam memahami Q.S. al- Falaq dan Q.S. al- Fil dengan baik dan benar</v>
      </c>
      <c r="FE42" s="307" t="str">
        <f t="shared" si="26"/>
        <v xml:space="preserve"> sangat baik  dalam memahami Q.S. al- Falaq dan Q.S. al- Fil dengan baik dan benar</v>
      </c>
      <c r="FF42" s="307" t="str">
        <f t="shared" si="27"/>
        <v xml:space="preserve"> sangat baik  dalam memahami Q.S. al- Falaq dan Q.S. al- Fil dengan baik dan benar</v>
      </c>
      <c r="FG42" s="307" t="str">
        <f t="shared" si="28"/>
        <v xml:space="preserve"> sangat baik  dalam memahami Q.S. al- Falaq dan Q.S. al- Fil dengan baik dan benar, dan  sangat baik  dalam memahami Q.S. al- Falaq dan Q.S. al- Fil dengan baik dan benar</v>
      </c>
      <c r="FH42" s="307" t="str">
        <f t="shared" si="29"/>
        <v xml:space="preserve"> sangat baik  dalam memahami Q.S. al- Falaq dan Q.S. al- Fil dengan baik dan benar</v>
      </c>
      <c r="FI42" s="308" t="str">
        <f t="shared" si="30"/>
        <v xml:space="preserve"> sangat baik  dalam memahami Q.S. al- Falaq dan Q.S. al- Fil dengan baik dan benar</v>
      </c>
      <c r="FJ42" s="301" t="str">
        <f t="shared" si="31"/>
        <v>Anak 37 sangat baik  dalam memahami Q.S. al- Falaq dan Q.S. al- Fil dengan baik dan benar</v>
      </c>
      <c r="FQ42" s="408"/>
    </row>
    <row r="43" spans="2:173" ht="63" customHeight="1">
      <c r="B43" s="109">
        <v>38</v>
      </c>
      <c r="C43" s="110">
        <f>SISWA!B43</f>
        <v>0</v>
      </c>
      <c r="D43" s="111" t="str">
        <f>SISWA!E43</f>
        <v>Anak 38</v>
      </c>
      <c r="E43" s="631">
        <v>99</v>
      </c>
      <c r="F43" s="631">
        <v>99</v>
      </c>
      <c r="G43" s="631">
        <v>99</v>
      </c>
      <c r="H43" s="605"/>
      <c r="I43" s="605"/>
      <c r="J43" s="605"/>
      <c r="K43" s="605"/>
      <c r="L43" s="605"/>
      <c r="M43" s="605"/>
      <c r="N43" s="605"/>
      <c r="O43" s="605"/>
      <c r="P43" s="605"/>
      <c r="Q43" s="605"/>
      <c r="R43" s="631">
        <v>99</v>
      </c>
      <c r="S43" s="631">
        <v>99</v>
      </c>
      <c r="T43" s="631">
        <v>99</v>
      </c>
      <c r="U43" s="606"/>
      <c r="V43" s="606"/>
      <c r="W43" s="606"/>
      <c r="X43" s="606"/>
      <c r="Y43" s="606"/>
      <c r="Z43" s="606"/>
      <c r="AA43" s="606"/>
      <c r="AB43" s="606"/>
      <c r="AC43" s="606"/>
      <c r="AD43" s="631">
        <v>99</v>
      </c>
      <c r="AE43" s="631">
        <v>99</v>
      </c>
      <c r="AF43" s="631">
        <v>99</v>
      </c>
      <c r="AG43" s="605"/>
      <c r="AH43" s="605"/>
      <c r="AI43" s="605"/>
      <c r="AJ43" s="605"/>
      <c r="AK43" s="605"/>
      <c r="AL43" s="605"/>
      <c r="AM43" s="605"/>
      <c r="AN43" s="605"/>
      <c r="AO43" s="605"/>
      <c r="AP43" s="605"/>
      <c r="AQ43" s="728">
        <f t="shared" si="9"/>
        <v>99</v>
      </c>
      <c r="AR43" s="728">
        <f t="shared" si="10"/>
        <v>99</v>
      </c>
      <c r="AS43" s="728">
        <f t="shared" si="11"/>
        <v>99</v>
      </c>
      <c r="AT43" s="728" t="str">
        <f t="shared" si="12"/>
        <v/>
      </c>
      <c r="AU43" s="728" t="str">
        <f t="shared" si="13"/>
        <v/>
      </c>
      <c r="AV43" s="728" t="str">
        <f t="shared" si="14"/>
        <v/>
      </c>
      <c r="AW43" s="728" t="str">
        <f t="shared" si="15"/>
        <v/>
      </c>
      <c r="AX43" s="728" t="str">
        <f t="shared" si="16"/>
        <v/>
      </c>
      <c r="AY43" s="615"/>
      <c r="AZ43" s="615"/>
      <c r="BA43" s="615"/>
      <c r="BB43" s="615"/>
      <c r="BC43" s="615"/>
      <c r="BD43" s="124"/>
      <c r="BE43" s="124"/>
      <c r="BF43" s="124"/>
      <c r="BG43" s="124"/>
      <c r="BH43" s="124"/>
      <c r="BI43" s="124"/>
      <c r="BJ43" s="124"/>
      <c r="BK43" s="124"/>
      <c r="BL43" s="332"/>
      <c r="BM43" s="332"/>
      <c r="BN43" s="332"/>
      <c r="BO43" s="332"/>
      <c r="BP43" s="332"/>
      <c r="BQ43" s="332"/>
      <c r="BR43" s="332"/>
      <c r="BS43" s="332"/>
      <c r="BT43" s="332"/>
      <c r="BU43" s="332"/>
      <c r="BV43" s="332"/>
      <c r="BW43" s="332"/>
      <c r="BX43" s="124"/>
      <c r="BY43" s="124"/>
      <c r="BZ43" s="124"/>
      <c r="CA43" s="124"/>
      <c r="CB43" s="124"/>
      <c r="CC43" s="124"/>
      <c r="CD43" s="124"/>
      <c r="CE43" s="124"/>
      <c r="CF43" s="124"/>
      <c r="CG43" s="124"/>
      <c r="CH43" s="124"/>
      <c r="CI43" s="124"/>
      <c r="CJ43" s="332"/>
      <c r="CK43" s="332"/>
      <c r="CL43" s="332"/>
      <c r="CM43" s="332"/>
      <c r="CN43" s="332"/>
      <c r="CO43" s="332"/>
      <c r="CP43" s="332"/>
      <c r="CQ43" s="332"/>
      <c r="CR43" s="332"/>
      <c r="CS43" s="332"/>
      <c r="CT43" s="332"/>
      <c r="CU43" s="332"/>
      <c r="CV43" s="124"/>
      <c r="CW43" s="124"/>
      <c r="CX43" s="124"/>
      <c r="CY43" s="124"/>
      <c r="CZ43" s="124"/>
      <c r="DA43" s="124"/>
      <c r="DB43" s="124"/>
      <c r="DC43" s="124"/>
      <c r="DD43" s="124"/>
      <c r="DE43" s="124"/>
      <c r="DF43" s="124"/>
      <c r="DG43" s="124"/>
      <c r="DH43" s="332"/>
      <c r="DI43" s="332"/>
      <c r="DJ43" s="332"/>
      <c r="DK43" s="332"/>
      <c r="DL43" s="332"/>
      <c r="DM43" s="332"/>
      <c r="DN43" s="604"/>
      <c r="DO43" s="604"/>
      <c r="DP43" s="604"/>
      <c r="DQ43" s="604"/>
      <c r="DR43" s="604"/>
      <c r="DS43" s="604"/>
      <c r="DT43" s="722"/>
      <c r="DU43" s="302">
        <f t="shared" si="33"/>
        <v>99</v>
      </c>
      <c r="DV43" s="303" t="str">
        <f>IF(DU43&gt;KKM!$G$10,"A",IF(DU43&gt;KKM!$H$10,"B",IF(DU43&gt;=KKM!$I$10,"C","D")))</f>
        <v>A</v>
      </c>
      <c r="DW43" s="304">
        <f t="shared" si="34"/>
        <v>99</v>
      </c>
      <c r="DX43" s="115" t="str">
        <f>IF(DW43&gt;KKM!$G$10," sangat baik ",IF(DW43&gt;KKM!$H$10," baik ",IF(DW43&gt;=KKM!$I$10," cukup baik "," perlu bimbingan ")))</f>
        <v xml:space="preserve"> sangat baik </v>
      </c>
      <c r="DY43" s="305">
        <f t="shared" si="35"/>
        <v>99</v>
      </c>
      <c r="DZ43" s="115" t="str">
        <f>IF(DY43&gt;KKM!$G$10," sangat baik ",IF(DY43&gt;KKM!$H$10," baik ",IF(DY43&gt;=KKM!$I$10," cukup baik "," perlu bimbingan ")))</f>
        <v xml:space="preserve"> sangat baik </v>
      </c>
      <c r="EA43" s="301" t="str">
        <f t="shared" si="32"/>
        <v>Anak 38 sangat baik  dalam memahami Q.S. al- Falaq dan Q.S. al- Fil dengan baik dan benar</v>
      </c>
      <c r="EB43" s="424"/>
      <c r="EC43" s="307" t="str">
        <f t="shared" si="36"/>
        <v xml:space="preserve"> sangat baik  dalam memahami Q.S. al- Falaq dan Q.S. al- Fil dengan baik dan benar</v>
      </c>
      <c r="ED43" s="307" t="str">
        <f t="shared" si="37"/>
        <v xml:space="preserve"> sangat baik  dalam memahami Q.S. al- Falaq dan Q.S. al- Fil dengan baik dan benar</v>
      </c>
      <c r="EE43" s="307" t="str">
        <f t="shared" si="18"/>
        <v xml:space="preserve"> sangat baik  dalam memahami Q.S. al- Falaq dan Q.S. al- Fil dengan baik dan benar, dan  sangat baik  dalam memahami Q.S. al- Falaq dan Q.S. al- Fil dengan baik dan benar</v>
      </c>
      <c r="EF43" s="307" t="str">
        <f t="shared" si="19"/>
        <v xml:space="preserve"> sangat baik  dalam memahami Q.S. al- Falaq dan Q.S. al- Fil dengan baik dan benar</v>
      </c>
      <c r="EG43" s="308" t="str">
        <f t="shared" si="20"/>
        <v xml:space="preserve"> sangat baik  dalam memahami Q.S. al- Falaq dan Q.S. al- Fil dengan baik dan benar</v>
      </c>
      <c r="EH43" s="301" t="str">
        <f t="shared" si="38"/>
        <v>Anak 38 sangat baik  dalam memahami Q.S. al- Falaq dan Q.S. al- Fil dengan baik dan benar</v>
      </c>
      <c r="EI43" s="106" t="e">
        <f>IF(#REF!=1,AS$4," ")</f>
        <v>#REF!</v>
      </c>
      <c r="EJ43" s="106" t="e">
        <f>IF(#REF!=1,AT$4," ")</f>
        <v>#REF!</v>
      </c>
      <c r="EK43" s="106" t="e">
        <f>IF(#REF!=1,AU$4," ")</f>
        <v>#REF!</v>
      </c>
      <c r="EL43" s="106" t="e">
        <f>IF(#REF!=1,AV$4," ")</f>
        <v>#REF!</v>
      </c>
      <c r="EM43" s="106" t="e">
        <f>IF(#REF!=1,AW$4," ")</f>
        <v>#REF!</v>
      </c>
      <c r="EN43" s="106" t="e">
        <f>IF(#REF!=1,AX$4," ")</f>
        <v>#REF!</v>
      </c>
      <c r="EO43" s="106" t="e">
        <f>IF(#REF!=1,AY$4," ")</f>
        <v>#REF!</v>
      </c>
      <c r="EP43" s="106" t="e">
        <f>IF(#REF!=1,#REF!," ")</f>
        <v>#REF!</v>
      </c>
      <c r="EQ43" s="106" t="e">
        <f>IF(#REF!=1,#REF!," ")</f>
        <v>#REF!</v>
      </c>
      <c r="ER43" s="106" t="e">
        <f>IF(#REF!=1,DT$4," ")</f>
        <v>#REF!</v>
      </c>
      <c r="ES43" s="408">
        <f t="shared" si="21"/>
        <v>99</v>
      </c>
      <c r="EX43" s="302">
        <f t="shared" si="22"/>
        <v>99</v>
      </c>
      <c r="EY43" s="303" t="str">
        <f>IF(EX43&gt;KKM!$G$10,"A",IF(EX43&gt;KKM!$H$10,"B",IF(EX43&gt;=KKM!$I$10,"C","D")))</f>
        <v>A</v>
      </c>
      <c r="EZ43" s="523">
        <f t="shared" si="23"/>
        <v>99</v>
      </c>
      <c r="FA43" s="115" t="str">
        <f>IF(EZ43&gt;KKM!$G$10," sangat baik ",IF(EZ43&gt;KKM!$H$10," baik ",IF(EZ43&gt;=KKM!$I$10," cukup baik "," perlu bimbingan ")))</f>
        <v xml:space="preserve"> sangat baik </v>
      </c>
      <c r="FB43" s="524">
        <f t="shared" si="24"/>
        <v>99</v>
      </c>
      <c r="FC43" s="115" t="str">
        <f>IF(FB43&gt;KKM!$G$10," sangat baik ",IF(FB43&gt;KKM!$H$10," baik ",IF(FB43&gt;=KKM!$I$10," cukup baik "," perlu bimbingan ")))</f>
        <v xml:space="preserve"> sangat baik </v>
      </c>
      <c r="FD43" s="301" t="str">
        <f t="shared" si="25"/>
        <v>Anak 38 sangat baik  dalam memahami Q.S. al- Falaq dan Q.S. al- Fil dengan baik dan benar</v>
      </c>
      <c r="FE43" s="307" t="str">
        <f t="shared" si="26"/>
        <v xml:space="preserve"> sangat baik  dalam memahami Q.S. al- Falaq dan Q.S. al- Fil dengan baik dan benar</v>
      </c>
      <c r="FF43" s="307" t="str">
        <f t="shared" si="27"/>
        <v xml:space="preserve"> sangat baik  dalam memahami Q.S. al- Falaq dan Q.S. al- Fil dengan baik dan benar</v>
      </c>
      <c r="FG43" s="307" t="str">
        <f t="shared" si="28"/>
        <v xml:space="preserve"> sangat baik  dalam memahami Q.S. al- Falaq dan Q.S. al- Fil dengan baik dan benar, dan  sangat baik  dalam memahami Q.S. al- Falaq dan Q.S. al- Fil dengan baik dan benar</v>
      </c>
      <c r="FH43" s="307" t="str">
        <f t="shared" si="29"/>
        <v xml:space="preserve"> sangat baik  dalam memahami Q.S. al- Falaq dan Q.S. al- Fil dengan baik dan benar</v>
      </c>
      <c r="FI43" s="308" t="str">
        <f t="shared" si="30"/>
        <v xml:space="preserve"> sangat baik  dalam memahami Q.S. al- Falaq dan Q.S. al- Fil dengan baik dan benar</v>
      </c>
      <c r="FJ43" s="301" t="str">
        <f t="shared" si="31"/>
        <v>Anak 38 sangat baik  dalam memahami Q.S. al- Falaq dan Q.S. al- Fil dengan baik dan benar</v>
      </c>
      <c r="FQ43" s="408"/>
    </row>
    <row r="44" spans="2:173" ht="63" customHeight="1">
      <c r="B44" s="109">
        <v>39</v>
      </c>
      <c r="C44" s="110">
        <f>SISWA!B44</f>
        <v>0</v>
      </c>
      <c r="D44" s="111" t="str">
        <f>SISWA!E44</f>
        <v>Anak 39</v>
      </c>
      <c r="E44" s="631">
        <v>99</v>
      </c>
      <c r="F44" s="631">
        <v>99</v>
      </c>
      <c r="G44" s="631">
        <v>99</v>
      </c>
      <c r="H44" s="605"/>
      <c r="I44" s="605"/>
      <c r="J44" s="605"/>
      <c r="K44" s="605"/>
      <c r="L44" s="605"/>
      <c r="M44" s="605"/>
      <c r="N44" s="605"/>
      <c r="O44" s="605"/>
      <c r="P44" s="605"/>
      <c r="Q44" s="605"/>
      <c r="R44" s="631">
        <v>99</v>
      </c>
      <c r="S44" s="631">
        <v>99</v>
      </c>
      <c r="T44" s="631">
        <v>99</v>
      </c>
      <c r="U44" s="606"/>
      <c r="V44" s="606"/>
      <c r="W44" s="606"/>
      <c r="X44" s="606"/>
      <c r="Y44" s="606"/>
      <c r="Z44" s="606"/>
      <c r="AA44" s="606"/>
      <c r="AB44" s="606"/>
      <c r="AC44" s="606"/>
      <c r="AD44" s="631">
        <v>99</v>
      </c>
      <c r="AE44" s="631">
        <v>99</v>
      </c>
      <c r="AF44" s="631">
        <v>99</v>
      </c>
      <c r="AG44" s="605"/>
      <c r="AH44" s="605"/>
      <c r="AI44" s="605"/>
      <c r="AJ44" s="605"/>
      <c r="AK44" s="605"/>
      <c r="AL44" s="605"/>
      <c r="AM44" s="605"/>
      <c r="AN44" s="605"/>
      <c r="AO44" s="605"/>
      <c r="AP44" s="605"/>
      <c r="AQ44" s="728">
        <f t="shared" si="9"/>
        <v>99</v>
      </c>
      <c r="AR44" s="728">
        <f t="shared" si="10"/>
        <v>99</v>
      </c>
      <c r="AS44" s="728">
        <f t="shared" si="11"/>
        <v>99</v>
      </c>
      <c r="AT44" s="728" t="str">
        <f t="shared" si="12"/>
        <v/>
      </c>
      <c r="AU44" s="728" t="str">
        <f t="shared" si="13"/>
        <v/>
      </c>
      <c r="AV44" s="728" t="str">
        <f t="shared" si="14"/>
        <v/>
      </c>
      <c r="AW44" s="728" t="str">
        <f t="shared" si="15"/>
        <v/>
      </c>
      <c r="AX44" s="728" t="str">
        <f t="shared" si="16"/>
        <v/>
      </c>
      <c r="AY44" s="615"/>
      <c r="AZ44" s="615"/>
      <c r="BA44" s="615"/>
      <c r="BB44" s="615"/>
      <c r="BC44" s="615"/>
      <c r="BD44" s="124"/>
      <c r="BE44" s="124"/>
      <c r="BF44" s="124"/>
      <c r="BG44" s="124"/>
      <c r="BH44" s="124"/>
      <c r="BI44" s="124"/>
      <c r="BJ44" s="124"/>
      <c r="BK44" s="124"/>
      <c r="BL44" s="332"/>
      <c r="BM44" s="332"/>
      <c r="BN44" s="332"/>
      <c r="BO44" s="332"/>
      <c r="BP44" s="332"/>
      <c r="BQ44" s="332"/>
      <c r="BR44" s="332"/>
      <c r="BS44" s="332"/>
      <c r="BT44" s="332"/>
      <c r="BU44" s="332"/>
      <c r="BV44" s="332"/>
      <c r="BW44" s="332"/>
      <c r="BX44" s="124"/>
      <c r="BY44" s="124"/>
      <c r="BZ44" s="124"/>
      <c r="CA44" s="124"/>
      <c r="CB44" s="124"/>
      <c r="CC44" s="124"/>
      <c r="CD44" s="124"/>
      <c r="CE44" s="124"/>
      <c r="CF44" s="124"/>
      <c r="CG44" s="124"/>
      <c r="CH44" s="124"/>
      <c r="CI44" s="124"/>
      <c r="CJ44" s="332"/>
      <c r="CK44" s="332"/>
      <c r="CL44" s="332"/>
      <c r="CM44" s="332"/>
      <c r="CN44" s="332"/>
      <c r="CO44" s="332"/>
      <c r="CP44" s="332"/>
      <c r="CQ44" s="332"/>
      <c r="CR44" s="332"/>
      <c r="CS44" s="332"/>
      <c r="CT44" s="332"/>
      <c r="CU44" s="332"/>
      <c r="CV44" s="124"/>
      <c r="CW44" s="124"/>
      <c r="CX44" s="124"/>
      <c r="CY44" s="124"/>
      <c r="CZ44" s="124"/>
      <c r="DA44" s="124"/>
      <c r="DB44" s="124"/>
      <c r="DC44" s="124"/>
      <c r="DD44" s="124"/>
      <c r="DE44" s="124"/>
      <c r="DF44" s="124"/>
      <c r="DG44" s="124"/>
      <c r="DH44" s="332"/>
      <c r="DI44" s="332"/>
      <c r="DJ44" s="332"/>
      <c r="DK44" s="332"/>
      <c r="DL44" s="332"/>
      <c r="DM44" s="332"/>
      <c r="DN44" s="604"/>
      <c r="DO44" s="604"/>
      <c r="DP44" s="604"/>
      <c r="DQ44" s="604"/>
      <c r="DR44" s="604"/>
      <c r="DS44" s="604"/>
      <c r="DT44" s="722"/>
      <c r="DU44" s="302">
        <f t="shared" si="33"/>
        <v>99</v>
      </c>
      <c r="DV44" s="303" t="str">
        <f>IF(DU44&gt;KKM!$G$10,"A",IF(DU44&gt;KKM!$H$10,"B",IF(DU44&gt;=KKM!$I$10,"C","D")))</f>
        <v>A</v>
      </c>
      <c r="DW44" s="304">
        <f t="shared" si="34"/>
        <v>99</v>
      </c>
      <c r="DX44" s="115" t="str">
        <f>IF(DW44&gt;KKM!$G$10," sangat baik ",IF(DW44&gt;KKM!$H$10," baik ",IF(DW44&gt;=KKM!$I$10," cukup baik "," perlu bimbingan ")))</f>
        <v xml:space="preserve"> sangat baik </v>
      </c>
      <c r="DY44" s="305">
        <f t="shared" si="35"/>
        <v>99</v>
      </c>
      <c r="DZ44" s="115" t="str">
        <f>IF(DY44&gt;KKM!$G$10," sangat baik ",IF(DY44&gt;KKM!$H$10," baik ",IF(DY44&gt;=KKM!$I$10," cukup baik "," perlu bimbingan ")))</f>
        <v xml:space="preserve"> sangat baik </v>
      </c>
      <c r="EA44" s="301" t="str">
        <f t="shared" si="32"/>
        <v>Anak 39 sangat baik  dalam memahami Q.S. al- Falaq dan Q.S. al- Fil dengan baik dan benar</v>
      </c>
      <c r="EB44" s="424"/>
      <c r="EC44" s="307" t="str">
        <f t="shared" si="36"/>
        <v xml:space="preserve"> sangat baik  dalam memahami Q.S. al- Falaq dan Q.S. al- Fil dengan baik dan benar</v>
      </c>
      <c r="ED44" s="307" t="str">
        <f t="shared" si="37"/>
        <v xml:space="preserve"> sangat baik  dalam memahami Q.S. al- Falaq dan Q.S. al- Fil dengan baik dan benar</v>
      </c>
      <c r="EE44" s="307" t="str">
        <f t="shared" si="18"/>
        <v xml:space="preserve"> sangat baik  dalam memahami Q.S. al- Falaq dan Q.S. al- Fil dengan baik dan benar, dan  sangat baik  dalam memahami Q.S. al- Falaq dan Q.S. al- Fil dengan baik dan benar</v>
      </c>
      <c r="EF44" s="307" t="str">
        <f t="shared" si="19"/>
        <v xml:space="preserve"> sangat baik  dalam memahami Q.S. al- Falaq dan Q.S. al- Fil dengan baik dan benar</v>
      </c>
      <c r="EG44" s="308" t="str">
        <f t="shared" si="20"/>
        <v xml:space="preserve"> sangat baik  dalam memahami Q.S. al- Falaq dan Q.S. al- Fil dengan baik dan benar</v>
      </c>
      <c r="EH44" s="301" t="str">
        <f t="shared" si="38"/>
        <v>Anak 39 sangat baik  dalam memahami Q.S. al- Falaq dan Q.S. al- Fil dengan baik dan benar</v>
      </c>
      <c r="EI44" s="106" t="e">
        <f>IF(#REF!=1,AS$4," ")</f>
        <v>#REF!</v>
      </c>
      <c r="EJ44" s="106" t="e">
        <f>IF(#REF!=1,AT$4," ")</f>
        <v>#REF!</v>
      </c>
      <c r="EK44" s="106" t="e">
        <f>IF(#REF!=1,AU$4," ")</f>
        <v>#REF!</v>
      </c>
      <c r="EL44" s="106" t="e">
        <f>IF(#REF!=1,AV$4," ")</f>
        <v>#REF!</v>
      </c>
      <c r="EM44" s="106" t="e">
        <f>IF(#REF!=1,AW$4," ")</f>
        <v>#REF!</v>
      </c>
      <c r="EN44" s="106" t="e">
        <f>IF(#REF!=1,AX$4," ")</f>
        <v>#REF!</v>
      </c>
      <c r="EO44" s="106" t="e">
        <f>IF(#REF!=1,AY$4," ")</f>
        <v>#REF!</v>
      </c>
      <c r="EP44" s="106" t="e">
        <f>IF(#REF!=1,#REF!," ")</f>
        <v>#REF!</v>
      </c>
      <c r="EQ44" s="106" t="e">
        <f>IF(#REF!=1,#REF!," ")</f>
        <v>#REF!</v>
      </c>
      <c r="ER44" s="106" t="e">
        <f>IF(#REF!=1,DT$4," ")</f>
        <v>#REF!</v>
      </c>
      <c r="ES44" s="408">
        <f t="shared" si="21"/>
        <v>99</v>
      </c>
      <c r="EX44" s="302">
        <f t="shared" si="22"/>
        <v>99</v>
      </c>
      <c r="EY44" s="303" t="str">
        <f>IF(EX44&gt;KKM!$G$10,"A",IF(EX44&gt;KKM!$H$10,"B",IF(EX44&gt;=KKM!$I$10,"C","D")))</f>
        <v>A</v>
      </c>
      <c r="EZ44" s="523">
        <f t="shared" si="23"/>
        <v>99</v>
      </c>
      <c r="FA44" s="115" t="str">
        <f>IF(EZ44&gt;KKM!$G$10," sangat baik ",IF(EZ44&gt;KKM!$H$10," baik ",IF(EZ44&gt;=KKM!$I$10," cukup baik "," perlu bimbingan ")))</f>
        <v xml:space="preserve"> sangat baik </v>
      </c>
      <c r="FB44" s="524">
        <f t="shared" si="24"/>
        <v>99</v>
      </c>
      <c r="FC44" s="115" t="str">
        <f>IF(FB44&gt;KKM!$G$10," sangat baik ",IF(FB44&gt;KKM!$H$10," baik ",IF(FB44&gt;=KKM!$I$10," cukup baik "," perlu bimbingan ")))</f>
        <v xml:space="preserve"> sangat baik </v>
      </c>
      <c r="FD44" s="301" t="str">
        <f t="shared" si="25"/>
        <v>Anak 39 sangat baik  dalam memahami Q.S. al- Falaq dan Q.S. al- Fil dengan baik dan benar</v>
      </c>
      <c r="FE44" s="307" t="str">
        <f t="shared" si="26"/>
        <v xml:space="preserve"> sangat baik  dalam memahami Q.S. al- Falaq dan Q.S. al- Fil dengan baik dan benar</v>
      </c>
      <c r="FF44" s="307" t="str">
        <f t="shared" si="27"/>
        <v xml:space="preserve"> sangat baik  dalam memahami Q.S. al- Falaq dan Q.S. al- Fil dengan baik dan benar</v>
      </c>
      <c r="FG44" s="307" t="str">
        <f t="shared" si="28"/>
        <v xml:space="preserve"> sangat baik  dalam memahami Q.S. al- Falaq dan Q.S. al- Fil dengan baik dan benar, dan  sangat baik  dalam memahami Q.S. al- Falaq dan Q.S. al- Fil dengan baik dan benar</v>
      </c>
      <c r="FH44" s="307" t="str">
        <f t="shared" si="29"/>
        <v xml:space="preserve"> sangat baik  dalam memahami Q.S. al- Falaq dan Q.S. al- Fil dengan baik dan benar</v>
      </c>
      <c r="FI44" s="308" t="str">
        <f t="shared" si="30"/>
        <v xml:space="preserve"> sangat baik  dalam memahami Q.S. al- Falaq dan Q.S. al- Fil dengan baik dan benar</v>
      </c>
      <c r="FJ44" s="301" t="str">
        <f t="shared" si="31"/>
        <v>Anak 39 sangat baik  dalam memahami Q.S. al- Falaq dan Q.S. al- Fil dengan baik dan benar</v>
      </c>
      <c r="FQ44" s="408"/>
    </row>
    <row r="45" spans="2:173" ht="63" customHeight="1">
      <c r="B45" s="109">
        <v>40</v>
      </c>
      <c r="C45" s="110">
        <f>SISWA!B45</f>
        <v>0</v>
      </c>
      <c r="D45" s="111" t="str">
        <f>SISWA!E45</f>
        <v>Anak 40</v>
      </c>
      <c r="E45" s="631">
        <v>99</v>
      </c>
      <c r="F45" s="631">
        <v>99</v>
      </c>
      <c r="G45" s="631">
        <v>99</v>
      </c>
      <c r="H45" s="605"/>
      <c r="I45" s="605"/>
      <c r="J45" s="605"/>
      <c r="K45" s="605"/>
      <c r="L45" s="605"/>
      <c r="M45" s="605"/>
      <c r="N45" s="605"/>
      <c r="O45" s="605"/>
      <c r="P45" s="605"/>
      <c r="Q45" s="605"/>
      <c r="R45" s="631">
        <v>99</v>
      </c>
      <c r="S45" s="631">
        <v>99</v>
      </c>
      <c r="T45" s="631">
        <v>99</v>
      </c>
      <c r="U45" s="606"/>
      <c r="V45" s="606"/>
      <c r="W45" s="606"/>
      <c r="X45" s="606"/>
      <c r="Y45" s="606"/>
      <c r="Z45" s="606"/>
      <c r="AA45" s="606"/>
      <c r="AB45" s="606"/>
      <c r="AC45" s="606"/>
      <c r="AD45" s="631">
        <v>99</v>
      </c>
      <c r="AE45" s="631">
        <v>99</v>
      </c>
      <c r="AF45" s="631">
        <v>99</v>
      </c>
      <c r="AG45" s="605"/>
      <c r="AH45" s="605"/>
      <c r="AI45" s="605"/>
      <c r="AJ45" s="605"/>
      <c r="AK45" s="605"/>
      <c r="AL45" s="605"/>
      <c r="AM45" s="605"/>
      <c r="AN45" s="605"/>
      <c r="AO45" s="605"/>
      <c r="AP45" s="605"/>
      <c r="AQ45" s="728">
        <f t="shared" si="9"/>
        <v>99</v>
      </c>
      <c r="AR45" s="728">
        <f t="shared" si="10"/>
        <v>99</v>
      </c>
      <c r="AS45" s="728">
        <f t="shared" si="11"/>
        <v>99</v>
      </c>
      <c r="AT45" s="728" t="str">
        <f t="shared" si="12"/>
        <v/>
      </c>
      <c r="AU45" s="728" t="str">
        <f t="shared" si="13"/>
        <v/>
      </c>
      <c r="AV45" s="728" t="str">
        <f t="shared" si="14"/>
        <v/>
      </c>
      <c r="AW45" s="728" t="str">
        <f t="shared" si="15"/>
        <v/>
      </c>
      <c r="AX45" s="728" t="str">
        <f t="shared" si="16"/>
        <v/>
      </c>
      <c r="AY45" s="615"/>
      <c r="AZ45" s="615"/>
      <c r="BA45" s="615"/>
      <c r="BB45" s="615"/>
      <c r="BC45" s="615"/>
      <c r="BD45" s="124"/>
      <c r="BE45" s="124"/>
      <c r="BF45" s="124"/>
      <c r="BG45" s="124"/>
      <c r="BH45" s="124"/>
      <c r="BI45" s="124"/>
      <c r="BJ45" s="124"/>
      <c r="BK45" s="124"/>
      <c r="BL45" s="332"/>
      <c r="BM45" s="332"/>
      <c r="BN45" s="332"/>
      <c r="BO45" s="332"/>
      <c r="BP45" s="332"/>
      <c r="BQ45" s="332"/>
      <c r="BR45" s="332"/>
      <c r="BS45" s="332"/>
      <c r="BT45" s="332"/>
      <c r="BU45" s="332"/>
      <c r="BV45" s="332"/>
      <c r="BW45" s="332"/>
      <c r="BX45" s="124"/>
      <c r="BY45" s="124"/>
      <c r="BZ45" s="124"/>
      <c r="CA45" s="124"/>
      <c r="CB45" s="124"/>
      <c r="CC45" s="124"/>
      <c r="CD45" s="124"/>
      <c r="CE45" s="124"/>
      <c r="CF45" s="124"/>
      <c r="CG45" s="124"/>
      <c r="CH45" s="124"/>
      <c r="CI45" s="124"/>
      <c r="CJ45" s="332"/>
      <c r="CK45" s="332"/>
      <c r="CL45" s="332"/>
      <c r="CM45" s="332"/>
      <c r="CN45" s="332"/>
      <c r="CO45" s="332"/>
      <c r="CP45" s="332"/>
      <c r="CQ45" s="332"/>
      <c r="CR45" s="332"/>
      <c r="CS45" s="332"/>
      <c r="CT45" s="332"/>
      <c r="CU45" s="332"/>
      <c r="CV45" s="124"/>
      <c r="CW45" s="124"/>
      <c r="CX45" s="124"/>
      <c r="CY45" s="124"/>
      <c r="CZ45" s="124"/>
      <c r="DA45" s="124"/>
      <c r="DB45" s="124"/>
      <c r="DC45" s="124"/>
      <c r="DD45" s="124"/>
      <c r="DE45" s="124"/>
      <c r="DF45" s="124"/>
      <c r="DG45" s="124"/>
      <c r="DH45" s="332"/>
      <c r="DI45" s="332"/>
      <c r="DJ45" s="332"/>
      <c r="DK45" s="332"/>
      <c r="DL45" s="332"/>
      <c r="DM45" s="332"/>
      <c r="DN45" s="604"/>
      <c r="DO45" s="604"/>
      <c r="DP45" s="604"/>
      <c r="DQ45" s="604"/>
      <c r="DR45" s="604"/>
      <c r="DS45" s="604"/>
      <c r="DT45" s="722"/>
      <c r="DU45" s="302">
        <f t="shared" si="33"/>
        <v>99</v>
      </c>
      <c r="DV45" s="303" t="str">
        <f>IF(DU45&gt;KKM!$G$10,"A",IF(DU45&gt;KKM!$H$10,"B",IF(DU45&gt;=KKM!$I$10,"C","D")))</f>
        <v>A</v>
      </c>
      <c r="DW45" s="304">
        <f t="shared" si="34"/>
        <v>99</v>
      </c>
      <c r="DX45" s="115" t="str">
        <f>IF(DW45&gt;KKM!$G$10," sangat baik ",IF(DW45&gt;KKM!$H$10," baik ",IF(DW45&gt;=KKM!$I$10," cukup baik "," perlu bimbingan ")))</f>
        <v xml:space="preserve"> sangat baik </v>
      </c>
      <c r="DY45" s="305">
        <f t="shared" si="35"/>
        <v>99</v>
      </c>
      <c r="DZ45" s="115" t="str">
        <f>IF(DY45&gt;KKM!$G$10," sangat baik ",IF(DY45&gt;KKM!$H$10," baik ",IF(DY45&gt;=KKM!$I$10," cukup baik "," perlu bimbingan ")))</f>
        <v xml:space="preserve"> sangat baik </v>
      </c>
      <c r="EA45" s="301" t="str">
        <f t="shared" si="32"/>
        <v>Anak 40 sangat baik  dalam memahami Q.S. al- Falaq dan Q.S. al- Fil dengan baik dan benar</v>
      </c>
      <c r="EB45" s="424"/>
      <c r="EC45" s="307" t="str">
        <f t="shared" si="36"/>
        <v xml:space="preserve"> sangat baik  dalam memahami Q.S. al- Falaq dan Q.S. al- Fil dengan baik dan benar</v>
      </c>
      <c r="ED45" s="307" t="str">
        <f t="shared" si="37"/>
        <v xml:space="preserve"> sangat baik  dalam memahami Q.S. al- Falaq dan Q.S. al- Fil dengan baik dan benar</v>
      </c>
      <c r="EE45" s="307" t="str">
        <f t="shared" si="18"/>
        <v xml:space="preserve"> sangat baik  dalam memahami Q.S. al- Falaq dan Q.S. al- Fil dengan baik dan benar, dan  sangat baik  dalam memahami Q.S. al- Falaq dan Q.S. al- Fil dengan baik dan benar</v>
      </c>
      <c r="EF45" s="307" t="str">
        <f t="shared" si="19"/>
        <v xml:space="preserve"> sangat baik  dalam memahami Q.S. al- Falaq dan Q.S. al- Fil dengan baik dan benar</v>
      </c>
      <c r="EG45" s="308" t="str">
        <f t="shared" si="20"/>
        <v xml:space="preserve"> sangat baik  dalam memahami Q.S. al- Falaq dan Q.S. al- Fil dengan baik dan benar</v>
      </c>
      <c r="EH45" s="301" t="str">
        <f t="shared" si="38"/>
        <v>Anak 40 sangat baik  dalam memahami Q.S. al- Falaq dan Q.S. al- Fil dengan baik dan benar</v>
      </c>
      <c r="EI45" s="106" t="e">
        <f>IF(#REF!=1,AS$4," ")</f>
        <v>#REF!</v>
      </c>
      <c r="EJ45" s="106" t="e">
        <f>IF(#REF!=1,AT$4," ")</f>
        <v>#REF!</v>
      </c>
      <c r="EK45" s="106" t="e">
        <f>IF(#REF!=1,AU$4," ")</f>
        <v>#REF!</v>
      </c>
      <c r="EL45" s="106" t="e">
        <f>IF(#REF!=1,AV$4," ")</f>
        <v>#REF!</v>
      </c>
      <c r="EM45" s="106" t="e">
        <f>IF(#REF!=1,AW$4," ")</f>
        <v>#REF!</v>
      </c>
      <c r="EN45" s="106" t="e">
        <f>IF(#REF!=1,AX$4," ")</f>
        <v>#REF!</v>
      </c>
      <c r="EO45" s="106" t="e">
        <f>IF(#REF!=1,AY$4," ")</f>
        <v>#REF!</v>
      </c>
      <c r="EP45" s="106" t="e">
        <f>IF(#REF!=1,#REF!," ")</f>
        <v>#REF!</v>
      </c>
      <c r="EQ45" s="106" t="e">
        <f>IF(#REF!=1,#REF!," ")</f>
        <v>#REF!</v>
      </c>
      <c r="ER45" s="106" t="e">
        <f>IF(#REF!=1,DT$4," ")</f>
        <v>#REF!</v>
      </c>
      <c r="ES45" s="408">
        <f t="shared" si="21"/>
        <v>99</v>
      </c>
      <c r="EX45" s="302">
        <f t="shared" si="22"/>
        <v>99</v>
      </c>
      <c r="EY45" s="303" t="str">
        <f>IF(EX45&gt;KKM!$G$10,"A",IF(EX45&gt;KKM!$H$10,"B",IF(EX45&gt;=KKM!$I$10,"C","D")))</f>
        <v>A</v>
      </c>
      <c r="EZ45" s="523">
        <f t="shared" si="23"/>
        <v>99</v>
      </c>
      <c r="FA45" s="115" t="str">
        <f>IF(EZ45&gt;KKM!$G$10," sangat baik ",IF(EZ45&gt;KKM!$H$10," baik ",IF(EZ45&gt;=KKM!$I$10," cukup baik "," perlu bimbingan ")))</f>
        <v xml:space="preserve"> sangat baik </v>
      </c>
      <c r="FB45" s="524">
        <f t="shared" si="24"/>
        <v>99</v>
      </c>
      <c r="FC45" s="115" t="str">
        <f>IF(FB45&gt;KKM!$G$10," sangat baik ",IF(FB45&gt;KKM!$H$10," baik ",IF(FB45&gt;=KKM!$I$10," cukup baik "," perlu bimbingan ")))</f>
        <v xml:space="preserve"> sangat baik </v>
      </c>
      <c r="FD45" s="301" t="str">
        <f t="shared" si="25"/>
        <v>Anak 40 sangat baik  dalam memahami Q.S. al- Falaq dan Q.S. al- Fil dengan baik dan benar</v>
      </c>
      <c r="FE45" s="307" t="str">
        <f t="shared" si="26"/>
        <v xml:space="preserve"> sangat baik  dalam memahami Q.S. al- Falaq dan Q.S. al- Fil dengan baik dan benar</v>
      </c>
      <c r="FF45" s="307" t="str">
        <f t="shared" si="27"/>
        <v xml:space="preserve"> sangat baik  dalam memahami Q.S. al- Falaq dan Q.S. al- Fil dengan baik dan benar</v>
      </c>
      <c r="FG45" s="307" t="str">
        <f t="shared" si="28"/>
        <v xml:space="preserve"> sangat baik  dalam memahami Q.S. al- Falaq dan Q.S. al- Fil dengan baik dan benar, dan  sangat baik  dalam memahami Q.S. al- Falaq dan Q.S. al- Fil dengan baik dan benar</v>
      </c>
      <c r="FH45" s="307" t="str">
        <f t="shared" si="29"/>
        <v xml:space="preserve"> sangat baik  dalam memahami Q.S. al- Falaq dan Q.S. al- Fil dengan baik dan benar</v>
      </c>
      <c r="FI45" s="308" t="str">
        <f t="shared" si="30"/>
        <v xml:space="preserve"> sangat baik  dalam memahami Q.S. al- Falaq dan Q.S. al- Fil dengan baik dan benar</v>
      </c>
      <c r="FJ45" s="301" t="str">
        <f t="shared" si="31"/>
        <v>Anak 40 sangat baik  dalam memahami Q.S. al- Falaq dan Q.S. al- Fil dengan baik dan benar</v>
      </c>
      <c r="FQ45" s="408"/>
    </row>
    <row r="46" spans="2:173" ht="63" customHeight="1">
      <c r="B46" s="109">
        <v>41</v>
      </c>
      <c r="C46" s="110">
        <f>SISWA!B46</f>
        <v>0</v>
      </c>
      <c r="D46" s="111" t="str">
        <f>SISWA!E46</f>
        <v>Anak 41</v>
      </c>
      <c r="E46" s="631">
        <v>99</v>
      </c>
      <c r="F46" s="631">
        <v>99</v>
      </c>
      <c r="G46" s="631">
        <v>99</v>
      </c>
      <c r="H46" s="605"/>
      <c r="I46" s="605"/>
      <c r="J46" s="605"/>
      <c r="K46" s="605"/>
      <c r="L46" s="605"/>
      <c r="M46" s="605"/>
      <c r="N46" s="605"/>
      <c r="O46" s="605"/>
      <c r="P46" s="605"/>
      <c r="Q46" s="605"/>
      <c r="R46" s="631">
        <v>99</v>
      </c>
      <c r="S46" s="631">
        <v>99</v>
      </c>
      <c r="T46" s="631">
        <v>99</v>
      </c>
      <c r="U46" s="606"/>
      <c r="V46" s="606"/>
      <c r="W46" s="606"/>
      <c r="X46" s="606"/>
      <c r="Y46" s="606"/>
      <c r="Z46" s="606"/>
      <c r="AA46" s="606"/>
      <c r="AB46" s="606"/>
      <c r="AC46" s="606"/>
      <c r="AD46" s="631">
        <v>99</v>
      </c>
      <c r="AE46" s="631">
        <v>99</v>
      </c>
      <c r="AF46" s="631">
        <v>99</v>
      </c>
      <c r="AG46" s="605"/>
      <c r="AH46" s="605"/>
      <c r="AI46" s="605"/>
      <c r="AJ46" s="605"/>
      <c r="AK46" s="605"/>
      <c r="AL46" s="605"/>
      <c r="AM46" s="605"/>
      <c r="AN46" s="605"/>
      <c r="AO46" s="605"/>
      <c r="AP46" s="605"/>
      <c r="AQ46" s="728">
        <f t="shared" si="9"/>
        <v>99</v>
      </c>
      <c r="AR46" s="728">
        <f t="shared" si="10"/>
        <v>99</v>
      </c>
      <c r="AS46" s="728">
        <f t="shared" si="11"/>
        <v>99</v>
      </c>
      <c r="AT46" s="728" t="str">
        <f t="shared" si="12"/>
        <v/>
      </c>
      <c r="AU46" s="728" t="str">
        <f t="shared" si="13"/>
        <v/>
      </c>
      <c r="AV46" s="728" t="str">
        <f t="shared" si="14"/>
        <v/>
      </c>
      <c r="AW46" s="728" t="str">
        <f t="shared" si="15"/>
        <v/>
      </c>
      <c r="AX46" s="728" t="str">
        <f t="shared" si="16"/>
        <v/>
      </c>
      <c r="AY46" s="615"/>
      <c r="AZ46" s="615"/>
      <c r="BA46" s="615"/>
      <c r="BB46" s="615"/>
      <c r="BC46" s="615"/>
      <c r="BD46" s="124"/>
      <c r="BE46" s="124"/>
      <c r="BF46" s="124"/>
      <c r="BG46" s="124"/>
      <c r="BH46" s="124"/>
      <c r="BI46" s="124"/>
      <c r="BJ46" s="124"/>
      <c r="BK46" s="124"/>
      <c r="BL46" s="332"/>
      <c r="BM46" s="332"/>
      <c r="BN46" s="332"/>
      <c r="BO46" s="332"/>
      <c r="BP46" s="332"/>
      <c r="BQ46" s="332"/>
      <c r="BR46" s="332"/>
      <c r="BS46" s="332"/>
      <c r="BT46" s="332"/>
      <c r="BU46" s="332"/>
      <c r="BV46" s="332"/>
      <c r="BW46" s="332"/>
      <c r="BX46" s="124"/>
      <c r="BY46" s="124"/>
      <c r="BZ46" s="124"/>
      <c r="CA46" s="124"/>
      <c r="CB46" s="124"/>
      <c r="CC46" s="124"/>
      <c r="CD46" s="124"/>
      <c r="CE46" s="124"/>
      <c r="CF46" s="124"/>
      <c r="CG46" s="124"/>
      <c r="CH46" s="124"/>
      <c r="CI46" s="124"/>
      <c r="CJ46" s="332"/>
      <c r="CK46" s="332"/>
      <c r="CL46" s="332"/>
      <c r="CM46" s="332"/>
      <c r="CN46" s="332"/>
      <c r="CO46" s="332"/>
      <c r="CP46" s="332"/>
      <c r="CQ46" s="332"/>
      <c r="CR46" s="332"/>
      <c r="CS46" s="332"/>
      <c r="CT46" s="332"/>
      <c r="CU46" s="332"/>
      <c r="CV46" s="124"/>
      <c r="CW46" s="124"/>
      <c r="CX46" s="124"/>
      <c r="CY46" s="124"/>
      <c r="CZ46" s="124"/>
      <c r="DA46" s="124"/>
      <c r="DB46" s="124"/>
      <c r="DC46" s="124"/>
      <c r="DD46" s="124"/>
      <c r="DE46" s="124"/>
      <c r="DF46" s="124"/>
      <c r="DG46" s="124"/>
      <c r="DH46" s="332"/>
      <c r="DI46" s="332"/>
      <c r="DJ46" s="332"/>
      <c r="DK46" s="332"/>
      <c r="DL46" s="332"/>
      <c r="DM46" s="332"/>
      <c r="DN46" s="604"/>
      <c r="DO46" s="604"/>
      <c r="DP46" s="604"/>
      <c r="DQ46" s="604"/>
      <c r="DR46" s="604"/>
      <c r="DS46" s="604"/>
      <c r="DT46" s="722"/>
      <c r="DU46" s="302">
        <f t="shared" si="33"/>
        <v>99</v>
      </c>
      <c r="DV46" s="303" t="str">
        <f>IF(DU46&gt;KKM!$G$10,"A",IF(DU46&gt;KKM!$H$10,"B",IF(DU46&gt;=KKM!$I$10,"C","D")))</f>
        <v>A</v>
      </c>
      <c r="DW46" s="304">
        <f t="shared" si="34"/>
        <v>99</v>
      </c>
      <c r="DX46" s="115" t="str">
        <f>IF(DW46&gt;KKM!$G$10," sangat baik ",IF(DW46&gt;KKM!$H$10," baik ",IF(DW46&gt;=KKM!$I$10," cukup baik "," perlu bimbingan ")))</f>
        <v xml:space="preserve"> sangat baik </v>
      </c>
      <c r="DY46" s="305">
        <f t="shared" si="35"/>
        <v>99</v>
      </c>
      <c r="DZ46" s="115" t="str">
        <f>IF(DY46&gt;KKM!$G$10," sangat baik ",IF(DY46&gt;KKM!$H$10," baik ",IF(DY46&gt;=KKM!$I$10," cukup baik "," perlu bimbingan ")))</f>
        <v xml:space="preserve"> sangat baik </v>
      </c>
      <c r="EA46" s="301" t="str">
        <f t="shared" si="32"/>
        <v>Anak 41 sangat baik  dalam memahami Q.S. al- Falaq dan Q.S. al- Fil dengan baik dan benar</v>
      </c>
      <c r="EB46" s="424"/>
      <c r="EC46" s="307" t="str">
        <f t="shared" si="36"/>
        <v xml:space="preserve"> sangat baik  dalam memahami Q.S. al- Falaq dan Q.S. al- Fil dengan baik dan benar</v>
      </c>
      <c r="ED46" s="307" t="str">
        <f t="shared" si="37"/>
        <v xml:space="preserve"> sangat baik  dalam memahami Q.S. al- Falaq dan Q.S. al- Fil dengan baik dan benar</v>
      </c>
      <c r="EE46" s="307" t="str">
        <f t="shared" si="18"/>
        <v xml:space="preserve"> sangat baik  dalam memahami Q.S. al- Falaq dan Q.S. al- Fil dengan baik dan benar, dan  sangat baik  dalam memahami Q.S. al- Falaq dan Q.S. al- Fil dengan baik dan benar</v>
      </c>
      <c r="EF46" s="307" t="str">
        <f t="shared" si="19"/>
        <v xml:space="preserve"> sangat baik  dalam memahami Q.S. al- Falaq dan Q.S. al- Fil dengan baik dan benar</v>
      </c>
      <c r="EG46" s="308" t="str">
        <f t="shared" si="20"/>
        <v xml:space="preserve"> sangat baik  dalam memahami Q.S. al- Falaq dan Q.S. al- Fil dengan baik dan benar</v>
      </c>
      <c r="EH46" s="301" t="str">
        <f t="shared" si="38"/>
        <v>Anak 41 sangat baik  dalam memahami Q.S. al- Falaq dan Q.S. al- Fil dengan baik dan benar</v>
      </c>
      <c r="EI46" s="106" t="e">
        <f>IF(#REF!=1,AS$4," ")</f>
        <v>#REF!</v>
      </c>
      <c r="EJ46" s="106" t="e">
        <f>IF(#REF!=1,AT$4," ")</f>
        <v>#REF!</v>
      </c>
      <c r="EK46" s="106" t="e">
        <f>IF(#REF!=1,AU$4," ")</f>
        <v>#REF!</v>
      </c>
      <c r="EL46" s="106" t="e">
        <f>IF(#REF!=1,AV$4," ")</f>
        <v>#REF!</v>
      </c>
      <c r="EM46" s="106" t="e">
        <f>IF(#REF!=1,AW$4," ")</f>
        <v>#REF!</v>
      </c>
      <c r="EN46" s="106" t="e">
        <f>IF(#REF!=1,AX$4," ")</f>
        <v>#REF!</v>
      </c>
      <c r="EO46" s="106" t="e">
        <f>IF(#REF!=1,AY$4," ")</f>
        <v>#REF!</v>
      </c>
      <c r="EP46" s="106" t="e">
        <f>IF(#REF!=1,#REF!," ")</f>
        <v>#REF!</v>
      </c>
      <c r="EQ46" s="106" t="e">
        <f>IF(#REF!=1,#REF!," ")</f>
        <v>#REF!</v>
      </c>
      <c r="ER46" s="106" t="e">
        <f>IF(#REF!=1,DT$4," ")</f>
        <v>#REF!</v>
      </c>
      <c r="ES46" s="408">
        <f t="shared" si="21"/>
        <v>99</v>
      </c>
      <c r="EX46" s="302">
        <f t="shared" si="22"/>
        <v>99</v>
      </c>
      <c r="EY46" s="303" t="str">
        <f>IF(EX46&gt;KKM!$G$10,"A",IF(EX46&gt;KKM!$H$10,"B",IF(EX46&gt;=KKM!$I$10,"C","D")))</f>
        <v>A</v>
      </c>
      <c r="EZ46" s="523">
        <f t="shared" si="23"/>
        <v>99</v>
      </c>
      <c r="FA46" s="115" t="str">
        <f>IF(EZ46&gt;KKM!$G$10," sangat baik ",IF(EZ46&gt;KKM!$H$10," baik ",IF(EZ46&gt;=KKM!$I$10," cukup baik "," perlu bimbingan ")))</f>
        <v xml:space="preserve"> sangat baik </v>
      </c>
      <c r="FB46" s="524">
        <f t="shared" si="24"/>
        <v>99</v>
      </c>
      <c r="FC46" s="115" t="str">
        <f>IF(FB46&gt;KKM!$G$10," sangat baik ",IF(FB46&gt;KKM!$H$10," baik ",IF(FB46&gt;=KKM!$I$10," cukup baik "," perlu bimbingan ")))</f>
        <v xml:space="preserve"> sangat baik </v>
      </c>
      <c r="FD46" s="301" t="str">
        <f t="shared" si="25"/>
        <v>Anak 41 sangat baik  dalam memahami Q.S. al- Falaq dan Q.S. al- Fil dengan baik dan benar</v>
      </c>
      <c r="FE46" s="307" t="str">
        <f t="shared" si="26"/>
        <v xml:space="preserve"> sangat baik  dalam memahami Q.S. al- Falaq dan Q.S. al- Fil dengan baik dan benar</v>
      </c>
      <c r="FF46" s="307" t="str">
        <f t="shared" si="27"/>
        <v xml:space="preserve"> sangat baik  dalam memahami Q.S. al- Falaq dan Q.S. al- Fil dengan baik dan benar</v>
      </c>
      <c r="FG46" s="307" t="str">
        <f t="shared" si="28"/>
        <v xml:space="preserve"> sangat baik  dalam memahami Q.S. al- Falaq dan Q.S. al- Fil dengan baik dan benar, dan  sangat baik  dalam memahami Q.S. al- Falaq dan Q.S. al- Fil dengan baik dan benar</v>
      </c>
      <c r="FH46" s="307" t="str">
        <f t="shared" si="29"/>
        <v xml:space="preserve"> sangat baik  dalam memahami Q.S. al- Falaq dan Q.S. al- Fil dengan baik dan benar</v>
      </c>
      <c r="FI46" s="308" t="str">
        <f t="shared" si="30"/>
        <v xml:space="preserve"> sangat baik  dalam memahami Q.S. al- Falaq dan Q.S. al- Fil dengan baik dan benar</v>
      </c>
      <c r="FJ46" s="301" t="str">
        <f t="shared" si="31"/>
        <v>Anak 41 sangat baik  dalam memahami Q.S. al- Falaq dan Q.S. al- Fil dengan baik dan benar</v>
      </c>
      <c r="FQ46" s="408"/>
    </row>
    <row r="47" spans="2:173" ht="63" customHeight="1">
      <c r="B47" s="109">
        <v>42</v>
      </c>
      <c r="C47" s="110">
        <f>SISWA!B47</f>
        <v>0</v>
      </c>
      <c r="D47" s="111" t="str">
        <f>SISWA!E47</f>
        <v>Anak 42</v>
      </c>
      <c r="E47" s="631">
        <v>99</v>
      </c>
      <c r="F47" s="631">
        <v>99</v>
      </c>
      <c r="G47" s="631">
        <v>99</v>
      </c>
      <c r="H47" s="605"/>
      <c r="I47" s="605"/>
      <c r="J47" s="605"/>
      <c r="K47" s="605"/>
      <c r="L47" s="605"/>
      <c r="M47" s="605"/>
      <c r="N47" s="605"/>
      <c r="O47" s="605"/>
      <c r="P47" s="605"/>
      <c r="Q47" s="605"/>
      <c r="R47" s="631">
        <v>99</v>
      </c>
      <c r="S47" s="631">
        <v>99</v>
      </c>
      <c r="T47" s="631">
        <v>99</v>
      </c>
      <c r="U47" s="606"/>
      <c r="V47" s="606"/>
      <c r="W47" s="606"/>
      <c r="X47" s="606"/>
      <c r="Y47" s="606"/>
      <c r="Z47" s="606"/>
      <c r="AA47" s="606"/>
      <c r="AB47" s="606"/>
      <c r="AC47" s="606"/>
      <c r="AD47" s="631">
        <v>99</v>
      </c>
      <c r="AE47" s="631">
        <v>99</v>
      </c>
      <c r="AF47" s="631">
        <v>99</v>
      </c>
      <c r="AG47" s="605"/>
      <c r="AH47" s="605"/>
      <c r="AI47" s="605"/>
      <c r="AJ47" s="605"/>
      <c r="AK47" s="605"/>
      <c r="AL47" s="605"/>
      <c r="AM47" s="605"/>
      <c r="AN47" s="605"/>
      <c r="AO47" s="605"/>
      <c r="AP47" s="605"/>
      <c r="AQ47" s="728">
        <f t="shared" si="9"/>
        <v>99</v>
      </c>
      <c r="AR47" s="728">
        <f t="shared" si="10"/>
        <v>99</v>
      </c>
      <c r="AS47" s="728">
        <f t="shared" si="11"/>
        <v>99</v>
      </c>
      <c r="AT47" s="728" t="str">
        <f t="shared" si="12"/>
        <v/>
      </c>
      <c r="AU47" s="728" t="str">
        <f t="shared" si="13"/>
        <v/>
      </c>
      <c r="AV47" s="728" t="str">
        <f t="shared" si="14"/>
        <v/>
      </c>
      <c r="AW47" s="728" t="str">
        <f t="shared" si="15"/>
        <v/>
      </c>
      <c r="AX47" s="728" t="str">
        <f t="shared" si="16"/>
        <v/>
      </c>
      <c r="AY47" s="615"/>
      <c r="AZ47" s="615"/>
      <c r="BA47" s="615"/>
      <c r="BB47" s="615"/>
      <c r="BC47" s="615"/>
      <c r="BD47" s="124"/>
      <c r="BE47" s="124"/>
      <c r="BF47" s="124"/>
      <c r="BG47" s="124"/>
      <c r="BH47" s="124"/>
      <c r="BI47" s="124"/>
      <c r="BJ47" s="124"/>
      <c r="BK47" s="124"/>
      <c r="BL47" s="332"/>
      <c r="BM47" s="332"/>
      <c r="BN47" s="332"/>
      <c r="BO47" s="332"/>
      <c r="BP47" s="332"/>
      <c r="BQ47" s="332"/>
      <c r="BR47" s="332"/>
      <c r="BS47" s="332"/>
      <c r="BT47" s="332"/>
      <c r="BU47" s="332"/>
      <c r="BV47" s="332"/>
      <c r="BW47" s="332"/>
      <c r="BX47" s="124"/>
      <c r="BY47" s="124"/>
      <c r="BZ47" s="124"/>
      <c r="CA47" s="124"/>
      <c r="CB47" s="124"/>
      <c r="CC47" s="124"/>
      <c r="CD47" s="124"/>
      <c r="CE47" s="124"/>
      <c r="CF47" s="124"/>
      <c r="CG47" s="124"/>
      <c r="CH47" s="124"/>
      <c r="CI47" s="124"/>
      <c r="CJ47" s="332"/>
      <c r="CK47" s="332"/>
      <c r="CL47" s="332"/>
      <c r="CM47" s="332"/>
      <c r="CN47" s="332"/>
      <c r="CO47" s="332"/>
      <c r="CP47" s="332"/>
      <c r="CQ47" s="332"/>
      <c r="CR47" s="332"/>
      <c r="CS47" s="332"/>
      <c r="CT47" s="332"/>
      <c r="CU47" s="332"/>
      <c r="CV47" s="124"/>
      <c r="CW47" s="124"/>
      <c r="CX47" s="124"/>
      <c r="CY47" s="124"/>
      <c r="CZ47" s="124"/>
      <c r="DA47" s="124"/>
      <c r="DB47" s="124"/>
      <c r="DC47" s="124"/>
      <c r="DD47" s="124"/>
      <c r="DE47" s="124"/>
      <c r="DF47" s="124"/>
      <c r="DG47" s="124"/>
      <c r="DH47" s="332"/>
      <c r="DI47" s="332"/>
      <c r="DJ47" s="332"/>
      <c r="DK47" s="332"/>
      <c r="DL47" s="332"/>
      <c r="DM47" s="332"/>
      <c r="DN47" s="604"/>
      <c r="DO47" s="604"/>
      <c r="DP47" s="604"/>
      <c r="DQ47" s="604"/>
      <c r="DR47" s="604"/>
      <c r="DS47" s="604"/>
      <c r="DT47" s="722"/>
      <c r="DU47" s="302">
        <f t="shared" si="33"/>
        <v>99</v>
      </c>
      <c r="DV47" s="303" t="str">
        <f>IF(DU47&gt;KKM!$G$10,"A",IF(DU47&gt;KKM!$H$10,"B",IF(DU47&gt;=KKM!$I$10,"C","D")))</f>
        <v>A</v>
      </c>
      <c r="DW47" s="304">
        <f t="shared" si="34"/>
        <v>99</v>
      </c>
      <c r="DX47" s="115" t="str">
        <f>IF(DW47&gt;KKM!$G$10," sangat baik ",IF(DW47&gt;KKM!$H$10," baik ",IF(DW47&gt;=KKM!$I$10," cukup baik "," perlu bimbingan ")))</f>
        <v xml:space="preserve"> sangat baik </v>
      </c>
      <c r="DY47" s="305">
        <f t="shared" si="35"/>
        <v>99</v>
      </c>
      <c r="DZ47" s="115" t="str">
        <f>IF(DY47&gt;KKM!$G$10," sangat baik ",IF(DY47&gt;KKM!$H$10," baik ",IF(DY47&gt;=KKM!$I$10," cukup baik "," perlu bimbingan ")))</f>
        <v xml:space="preserve"> sangat baik </v>
      </c>
      <c r="EA47" s="301" t="str">
        <f t="shared" si="32"/>
        <v>Anak 42 sangat baik  dalam memahami Q.S. al- Falaq dan Q.S. al- Fil dengan baik dan benar</v>
      </c>
      <c r="EB47" s="424"/>
      <c r="EC47" s="307" t="str">
        <f t="shared" si="36"/>
        <v xml:space="preserve"> sangat baik  dalam memahami Q.S. al- Falaq dan Q.S. al- Fil dengan baik dan benar</v>
      </c>
      <c r="ED47" s="307" t="str">
        <f t="shared" si="37"/>
        <v xml:space="preserve"> sangat baik  dalam memahami Q.S. al- Falaq dan Q.S. al- Fil dengan baik dan benar</v>
      </c>
      <c r="EE47" s="307" t="str">
        <f t="shared" si="18"/>
        <v xml:space="preserve"> sangat baik  dalam memahami Q.S. al- Falaq dan Q.S. al- Fil dengan baik dan benar, dan  sangat baik  dalam memahami Q.S. al- Falaq dan Q.S. al- Fil dengan baik dan benar</v>
      </c>
      <c r="EF47" s="307" t="str">
        <f t="shared" si="19"/>
        <v xml:space="preserve"> sangat baik  dalam memahami Q.S. al- Falaq dan Q.S. al- Fil dengan baik dan benar</v>
      </c>
      <c r="EG47" s="308" t="str">
        <f t="shared" si="20"/>
        <v xml:space="preserve"> sangat baik  dalam memahami Q.S. al- Falaq dan Q.S. al- Fil dengan baik dan benar</v>
      </c>
      <c r="EH47" s="301" t="str">
        <f t="shared" si="38"/>
        <v>Anak 42 sangat baik  dalam memahami Q.S. al- Falaq dan Q.S. al- Fil dengan baik dan benar</v>
      </c>
      <c r="EI47" s="106" t="e">
        <f>IF(#REF!=1,AS$4," ")</f>
        <v>#REF!</v>
      </c>
      <c r="EJ47" s="106" t="e">
        <f>IF(#REF!=1,AT$4," ")</f>
        <v>#REF!</v>
      </c>
      <c r="EK47" s="106" t="e">
        <f>IF(#REF!=1,AU$4," ")</f>
        <v>#REF!</v>
      </c>
      <c r="EL47" s="106" t="e">
        <f>IF(#REF!=1,AV$4," ")</f>
        <v>#REF!</v>
      </c>
      <c r="EM47" s="106" t="e">
        <f>IF(#REF!=1,AW$4," ")</f>
        <v>#REF!</v>
      </c>
      <c r="EN47" s="106" t="e">
        <f>IF(#REF!=1,AX$4," ")</f>
        <v>#REF!</v>
      </c>
      <c r="EO47" s="106" t="e">
        <f>IF(#REF!=1,AY$4," ")</f>
        <v>#REF!</v>
      </c>
      <c r="EP47" s="106" t="e">
        <f>IF(#REF!=1,#REF!," ")</f>
        <v>#REF!</v>
      </c>
      <c r="EQ47" s="106" t="e">
        <f>IF(#REF!=1,#REF!," ")</f>
        <v>#REF!</v>
      </c>
      <c r="ER47" s="106" t="e">
        <f>IF(#REF!=1,DT$4," ")</f>
        <v>#REF!</v>
      </c>
      <c r="ES47" s="408">
        <f t="shared" si="21"/>
        <v>99</v>
      </c>
      <c r="EX47" s="302">
        <f t="shared" si="22"/>
        <v>99</v>
      </c>
      <c r="EY47" s="303" t="str">
        <f>IF(EX47&gt;KKM!$G$10,"A",IF(EX47&gt;KKM!$H$10,"B",IF(EX47&gt;=KKM!$I$10,"C","D")))</f>
        <v>A</v>
      </c>
      <c r="EZ47" s="523">
        <f t="shared" si="23"/>
        <v>99</v>
      </c>
      <c r="FA47" s="115" t="str">
        <f>IF(EZ47&gt;KKM!$G$10," sangat baik ",IF(EZ47&gt;KKM!$H$10," baik ",IF(EZ47&gt;=KKM!$I$10," cukup baik "," perlu bimbingan ")))</f>
        <v xml:space="preserve"> sangat baik </v>
      </c>
      <c r="FB47" s="524">
        <f t="shared" si="24"/>
        <v>99</v>
      </c>
      <c r="FC47" s="115" t="str">
        <f>IF(FB47&gt;KKM!$G$10," sangat baik ",IF(FB47&gt;KKM!$H$10," baik ",IF(FB47&gt;=KKM!$I$10," cukup baik "," perlu bimbingan ")))</f>
        <v xml:space="preserve"> sangat baik </v>
      </c>
      <c r="FD47" s="301" t="str">
        <f t="shared" si="25"/>
        <v>Anak 42 sangat baik  dalam memahami Q.S. al- Falaq dan Q.S. al- Fil dengan baik dan benar</v>
      </c>
      <c r="FE47" s="307" t="str">
        <f t="shared" si="26"/>
        <v xml:space="preserve"> sangat baik  dalam memahami Q.S. al- Falaq dan Q.S. al- Fil dengan baik dan benar</v>
      </c>
      <c r="FF47" s="307" t="str">
        <f t="shared" si="27"/>
        <v xml:space="preserve"> sangat baik  dalam memahami Q.S. al- Falaq dan Q.S. al- Fil dengan baik dan benar</v>
      </c>
      <c r="FG47" s="307" t="str">
        <f t="shared" si="28"/>
        <v xml:space="preserve"> sangat baik  dalam memahami Q.S. al- Falaq dan Q.S. al- Fil dengan baik dan benar, dan  sangat baik  dalam memahami Q.S. al- Falaq dan Q.S. al- Fil dengan baik dan benar</v>
      </c>
      <c r="FH47" s="307" t="str">
        <f t="shared" si="29"/>
        <v xml:space="preserve"> sangat baik  dalam memahami Q.S. al- Falaq dan Q.S. al- Fil dengan baik dan benar</v>
      </c>
      <c r="FI47" s="308" t="str">
        <f t="shared" si="30"/>
        <v xml:space="preserve"> sangat baik  dalam memahami Q.S. al- Falaq dan Q.S. al- Fil dengan baik dan benar</v>
      </c>
      <c r="FJ47" s="301" t="str">
        <f t="shared" si="31"/>
        <v>Anak 42 sangat baik  dalam memahami Q.S. al- Falaq dan Q.S. al- Fil dengan baik dan benar</v>
      </c>
      <c r="FQ47" s="408"/>
    </row>
    <row r="48" spans="2:173" ht="63" customHeight="1">
      <c r="B48" s="109">
        <v>43</v>
      </c>
      <c r="C48" s="110">
        <f>SISWA!B48</f>
        <v>0</v>
      </c>
      <c r="D48" s="111" t="str">
        <f>SISWA!E48</f>
        <v>Anak 43</v>
      </c>
      <c r="E48" s="631">
        <v>99</v>
      </c>
      <c r="F48" s="631">
        <v>99</v>
      </c>
      <c r="G48" s="631">
        <v>99</v>
      </c>
      <c r="H48" s="605"/>
      <c r="I48" s="605"/>
      <c r="J48" s="605"/>
      <c r="K48" s="605"/>
      <c r="L48" s="605"/>
      <c r="M48" s="605"/>
      <c r="N48" s="605"/>
      <c r="O48" s="605"/>
      <c r="P48" s="605"/>
      <c r="Q48" s="605"/>
      <c r="R48" s="631">
        <v>99</v>
      </c>
      <c r="S48" s="631">
        <v>99</v>
      </c>
      <c r="T48" s="631">
        <v>99</v>
      </c>
      <c r="U48" s="606"/>
      <c r="V48" s="606"/>
      <c r="W48" s="606"/>
      <c r="X48" s="606"/>
      <c r="Y48" s="606"/>
      <c r="Z48" s="606"/>
      <c r="AA48" s="606"/>
      <c r="AB48" s="606"/>
      <c r="AC48" s="606"/>
      <c r="AD48" s="631">
        <v>99</v>
      </c>
      <c r="AE48" s="631">
        <v>99</v>
      </c>
      <c r="AF48" s="631">
        <v>99</v>
      </c>
      <c r="AG48" s="605"/>
      <c r="AH48" s="605"/>
      <c r="AI48" s="605"/>
      <c r="AJ48" s="605"/>
      <c r="AK48" s="605"/>
      <c r="AL48" s="605"/>
      <c r="AM48" s="605"/>
      <c r="AN48" s="605"/>
      <c r="AO48" s="605"/>
      <c r="AP48" s="605"/>
      <c r="AQ48" s="728">
        <f t="shared" si="9"/>
        <v>99</v>
      </c>
      <c r="AR48" s="728">
        <f t="shared" si="10"/>
        <v>99</v>
      </c>
      <c r="AS48" s="728">
        <f t="shared" si="11"/>
        <v>99</v>
      </c>
      <c r="AT48" s="728" t="str">
        <f t="shared" si="12"/>
        <v/>
      </c>
      <c r="AU48" s="728" t="str">
        <f t="shared" si="13"/>
        <v/>
      </c>
      <c r="AV48" s="728" t="str">
        <f t="shared" si="14"/>
        <v/>
      </c>
      <c r="AW48" s="728" t="str">
        <f t="shared" si="15"/>
        <v/>
      </c>
      <c r="AX48" s="728" t="str">
        <f t="shared" si="16"/>
        <v/>
      </c>
      <c r="AY48" s="615"/>
      <c r="AZ48" s="615"/>
      <c r="BA48" s="615"/>
      <c r="BB48" s="615"/>
      <c r="BC48" s="615"/>
      <c r="BD48" s="124"/>
      <c r="BE48" s="124"/>
      <c r="BF48" s="124"/>
      <c r="BG48" s="124"/>
      <c r="BH48" s="124"/>
      <c r="BI48" s="124"/>
      <c r="BJ48" s="124"/>
      <c r="BK48" s="124"/>
      <c r="BL48" s="332"/>
      <c r="BM48" s="332"/>
      <c r="BN48" s="332"/>
      <c r="BO48" s="332"/>
      <c r="BP48" s="332"/>
      <c r="BQ48" s="332"/>
      <c r="BR48" s="332"/>
      <c r="BS48" s="332"/>
      <c r="BT48" s="332"/>
      <c r="BU48" s="332"/>
      <c r="BV48" s="332"/>
      <c r="BW48" s="332"/>
      <c r="BX48" s="124"/>
      <c r="BY48" s="124"/>
      <c r="BZ48" s="124"/>
      <c r="CA48" s="124"/>
      <c r="CB48" s="124"/>
      <c r="CC48" s="124"/>
      <c r="CD48" s="124"/>
      <c r="CE48" s="124"/>
      <c r="CF48" s="124"/>
      <c r="CG48" s="124"/>
      <c r="CH48" s="124"/>
      <c r="CI48" s="124"/>
      <c r="CJ48" s="332"/>
      <c r="CK48" s="332"/>
      <c r="CL48" s="332"/>
      <c r="CM48" s="332"/>
      <c r="CN48" s="332"/>
      <c r="CO48" s="332"/>
      <c r="CP48" s="332"/>
      <c r="CQ48" s="332"/>
      <c r="CR48" s="332"/>
      <c r="CS48" s="332"/>
      <c r="CT48" s="332"/>
      <c r="CU48" s="332"/>
      <c r="CV48" s="124"/>
      <c r="CW48" s="124"/>
      <c r="CX48" s="124"/>
      <c r="CY48" s="124"/>
      <c r="CZ48" s="124"/>
      <c r="DA48" s="124"/>
      <c r="DB48" s="124"/>
      <c r="DC48" s="124"/>
      <c r="DD48" s="124"/>
      <c r="DE48" s="124"/>
      <c r="DF48" s="124"/>
      <c r="DG48" s="124"/>
      <c r="DH48" s="332"/>
      <c r="DI48" s="332"/>
      <c r="DJ48" s="332"/>
      <c r="DK48" s="332"/>
      <c r="DL48" s="332"/>
      <c r="DM48" s="332"/>
      <c r="DN48" s="604"/>
      <c r="DO48" s="604"/>
      <c r="DP48" s="604"/>
      <c r="DQ48" s="604"/>
      <c r="DR48" s="604"/>
      <c r="DS48" s="604"/>
      <c r="DT48" s="722"/>
      <c r="DU48" s="302">
        <f t="shared" si="33"/>
        <v>99</v>
      </c>
      <c r="DV48" s="303" t="str">
        <f>IF(DU48&gt;KKM!$G$10,"A",IF(DU48&gt;KKM!$H$10,"B",IF(DU48&gt;=KKM!$I$10,"C","D")))</f>
        <v>A</v>
      </c>
      <c r="DW48" s="304">
        <f t="shared" si="34"/>
        <v>99</v>
      </c>
      <c r="DX48" s="115" t="str">
        <f>IF(DW48&gt;KKM!$G$10," sangat baik ",IF(DW48&gt;KKM!$H$10," baik ",IF(DW48&gt;=KKM!$I$10," cukup baik "," perlu bimbingan ")))</f>
        <v xml:space="preserve"> sangat baik </v>
      </c>
      <c r="DY48" s="305">
        <f t="shared" si="35"/>
        <v>99</v>
      </c>
      <c r="DZ48" s="115" t="str">
        <f>IF(DY48&gt;KKM!$G$10," sangat baik ",IF(DY48&gt;KKM!$H$10," baik ",IF(DY48&gt;=KKM!$I$10," cukup baik "," perlu bimbingan ")))</f>
        <v xml:space="preserve"> sangat baik </v>
      </c>
      <c r="EA48" s="301" t="str">
        <f t="shared" si="32"/>
        <v>Anak 43 sangat baik  dalam memahami Q.S. al- Falaq dan Q.S. al- Fil dengan baik dan benar</v>
      </c>
      <c r="EB48" s="424"/>
      <c r="EC48" s="307" t="str">
        <f t="shared" si="36"/>
        <v xml:space="preserve"> sangat baik  dalam memahami Q.S. al- Falaq dan Q.S. al- Fil dengan baik dan benar</v>
      </c>
      <c r="ED48" s="307" t="str">
        <f t="shared" si="37"/>
        <v xml:space="preserve"> sangat baik  dalam memahami Q.S. al- Falaq dan Q.S. al- Fil dengan baik dan benar</v>
      </c>
      <c r="EE48" s="307" t="str">
        <f t="shared" si="18"/>
        <v xml:space="preserve"> sangat baik  dalam memahami Q.S. al- Falaq dan Q.S. al- Fil dengan baik dan benar, dan  sangat baik  dalam memahami Q.S. al- Falaq dan Q.S. al- Fil dengan baik dan benar</v>
      </c>
      <c r="EF48" s="307" t="str">
        <f t="shared" si="19"/>
        <v xml:space="preserve"> sangat baik  dalam memahami Q.S. al- Falaq dan Q.S. al- Fil dengan baik dan benar</v>
      </c>
      <c r="EG48" s="308" t="str">
        <f t="shared" si="20"/>
        <v xml:space="preserve"> sangat baik  dalam memahami Q.S. al- Falaq dan Q.S. al- Fil dengan baik dan benar</v>
      </c>
      <c r="EH48" s="301" t="str">
        <f t="shared" si="38"/>
        <v>Anak 43 sangat baik  dalam memahami Q.S. al- Falaq dan Q.S. al- Fil dengan baik dan benar</v>
      </c>
      <c r="EI48" s="106" t="e">
        <f>IF(#REF!=1,AS$4," ")</f>
        <v>#REF!</v>
      </c>
      <c r="EJ48" s="106" t="e">
        <f>IF(#REF!=1,AT$4," ")</f>
        <v>#REF!</v>
      </c>
      <c r="EK48" s="106" t="e">
        <f>IF(#REF!=1,AU$4," ")</f>
        <v>#REF!</v>
      </c>
      <c r="EL48" s="106" t="e">
        <f>IF(#REF!=1,AV$4," ")</f>
        <v>#REF!</v>
      </c>
      <c r="EM48" s="106" t="e">
        <f>IF(#REF!=1,AW$4," ")</f>
        <v>#REF!</v>
      </c>
      <c r="EN48" s="106" t="e">
        <f>IF(#REF!=1,AX$4," ")</f>
        <v>#REF!</v>
      </c>
      <c r="EO48" s="106" t="e">
        <f>IF(#REF!=1,AY$4," ")</f>
        <v>#REF!</v>
      </c>
      <c r="EP48" s="106" t="e">
        <f>IF(#REF!=1,#REF!," ")</f>
        <v>#REF!</v>
      </c>
      <c r="EQ48" s="106" t="e">
        <f>IF(#REF!=1,#REF!," ")</f>
        <v>#REF!</v>
      </c>
      <c r="ER48" s="106" t="e">
        <f>IF(#REF!=1,DT$4," ")</f>
        <v>#REF!</v>
      </c>
      <c r="ES48" s="408">
        <f t="shared" si="21"/>
        <v>99</v>
      </c>
      <c r="EX48" s="302">
        <f t="shared" si="22"/>
        <v>99</v>
      </c>
      <c r="EY48" s="303" t="str">
        <f>IF(EX48&gt;KKM!$G$10,"A",IF(EX48&gt;KKM!$H$10,"B",IF(EX48&gt;=KKM!$I$10,"C","D")))</f>
        <v>A</v>
      </c>
      <c r="EZ48" s="523">
        <f t="shared" si="23"/>
        <v>99</v>
      </c>
      <c r="FA48" s="115" t="str">
        <f>IF(EZ48&gt;KKM!$G$10," sangat baik ",IF(EZ48&gt;KKM!$H$10," baik ",IF(EZ48&gt;=KKM!$I$10," cukup baik "," perlu bimbingan ")))</f>
        <v xml:space="preserve"> sangat baik </v>
      </c>
      <c r="FB48" s="524">
        <f t="shared" si="24"/>
        <v>99</v>
      </c>
      <c r="FC48" s="115" t="str">
        <f>IF(FB48&gt;KKM!$G$10," sangat baik ",IF(FB48&gt;KKM!$H$10," baik ",IF(FB48&gt;=KKM!$I$10," cukup baik "," perlu bimbingan ")))</f>
        <v xml:space="preserve"> sangat baik </v>
      </c>
      <c r="FD48" s="301" t="str">
        <f t="shared" si="25"/>
        <v>Anak 43 sangat baik  dalam memahami Q.S. al- Falaq dan Q.S. al- Fil dengan baik dan benar</v>
      </c>
      <c r="FE48" s="307" t="str">
        <f t="shared" si="26"/>
        <v xml:space="preserve"> sangat baik  dalam memahami Q.S. al- Falaq dan Q.S. al- Fil dengan baik dan benar</v>
      </c>
      <c r="FF48" s="307" t="str">
        <f t="shared" si="27"/>
        <v xml:space="preserve"> sangat baik  dalam memahami Q.S. al- Falaq dan Q.S. al- Fil dengan baik dan benar</v>
      </c>
      <c r="FG48" s="307" t="str">
        <f t="shared" si="28"/>
        <v xml:space="preserve"> sangat baik  dalam memahami Q.S. al- Falaq dan Q.S. al- Fil dengan baik dan benar, dan  sangat baik  dalam memahami Q.S. al- Falaq dan Q.S. al- Fil dengan baik dan benar</v>
      </c>
      <c r="FH48" s="307" t="str">
        <f t="shared" si="29"/>
        <v xml:space="preserve"> sangat baik  dalam memahami Q.S. al- Falaq dan Q.S. al- Fil dengan baik dan benar</v>
      </c>
      <c r="FI48" s="308" t="str">
        <f t="shared" si="30"/>
        <v xml:space="preserve"> sangat baik  dalam memahami Q.S. al- Falaq dan Q.S. al- Fil dengan baik dan benar</v>
      </c>
      <c r="FJ48" s="301" t="str">
        <f t="shared" si="31"/>
        <v>Anak 43 sangat baik  dalam memahami Q.S. al- Falaq dan Q.S. al- Fil dengan baik dan benar</v>
      </c>
      <c r="FQ48" s="408"/>
    </row>
    <row r="49" spans="2:173" ht="63" customHeight="1">
      <c r="B49" s="109">
        <v>44</v>
      </c>
      <c r="C49" s="110">
        <f>SISWA!B49</f>
        <v>0</v>
      </c>
      <c r="D49" s="111" t="str">
        <f>SISWA!E49</f>
        <v>Anak 44</v>
      </c>
      <c r="E49" s="631">
        <v>99</v>
      </c>
      <c r="F49" s="631">
        <v>99</v>
      </c>
      <c r="G49" s="631">
        <v>99</v>
      </c>
      <c r="H49" s="605"/>
      <c r="I49" s="605"/>
      <c r="J49" s="605"/>
      <c r="K49" s="605"/>
      <c r="L49" s="605"/>
      <c r="M49" s="605"/>
      <c r="N49" s="605"/>
      <c r="O49" s="605"/>
      <c r="P49" s="605"/>
      <c r="Q49" s="605"/>
      <c r="R49" s="631">
        <v>99</v>
      </c>
      <c r="S49" s="631">
        <v>99</v>
      </c>
      <c r="T49" s="631">
        <v>99</v>
      </c>
      <c r="U49" s="606"/>
      <c r="V49" s="606"/>
      <c r="W49" s="606"/>
      <c r="X49" s="606"/>
      <c r="Y49" s="606"/>
      <c r="Z49" s="606"/>
      <c r="AA49" s="606"/>
      <c r="AB49" s="606"/>
      <c r="AC49" s="606"/>
      <c r="AD49" s="631">
        <v>99</v>
      </c>
      <c r="AE49" s="631">
        <v>99</v>
      </c>
      <c r="AF49" s="631">
        <v>99</v>
      </c>
      <c r="AG49" s="605"/>
      <c r="AH49" s="605"/>
      <c r="AI49" s="605"/>
      <c r="AJ49" s="605"/>
      <c r="AK49" s="605"/>
      <c r="AL49" s="605"/>
      <c r="AM49" s="605"/>
      <c r="AN49" s="605"/>
      <c r="AO49" s="605"/>
      <c r="AP49" s="605"/>
      <c r="AQ49" s="728">
        <f t="shared" si="9"/>
        <v>99</v>
      </c>
      <c r="AR49" s="728">
        <f t="shared" si="10"/>
        <v>99</v>
      </c>
      <c r="AS49" s="728">
        <f t="shared" si="11"/>
        <v>99</v>
      </c>
      <c r="AT49" s="728" t="str">
        <f t="shared" si="12"/>
        <v/>
      </c>
      <c r="AU49" s="728" t="str">
        <f t="shared" si="13"/>
        <v/>
      </c>
      <c r="AV49" s="728" t="str">
        <f t="shared" si="14"/>
        <v/>
      </c>
      <c r="AW49" s="728" t="str">
        <f t="shared" si="15"/>
        <v/>
      </c>
      <c r="AX49" s="728" t="str">
        <f t="shared" si="16"/>
        <v/>
      </c>
      <c r="AY49" s="615"/>
      <c r="AZ49" s="615"/>
      <c r="BA49" s="615"/>
      <c r="BB49" s="615"/>
      <c r="BC49" s="615"/>
      <c r="BD49" s="124"/>
      <c r="BE49" s="124"/>
      <c r="BF49" s="124"/>
      <c r="BG49" s="124"/>
      <c r="BH49" s="124"/>
      <c r="BI49" s="124"/>
      <c r="BJ49" s="124"/>
      <c r="BK49" s="124"/>
      <c r="BL49" s="332"/>
      <c r="BM49" s="332"/>
      <c r="BN49" s="332"/>
      <c r="BO49" s="332"/>
      <c r="BP49" s="332"/>
      <c r="BQ49" s="332"/>
      <c r="BR49" s="332"/>
      <c r="BS49" s="332"/>
      <c r="BT49" s="332"/>
      <c r="BU49" s="332"/>
      <c r="BV49" s="332"/>
      <c r="BW49" s="332"/>
      <c r="BX49" s="124"/>
      <c r="BY49" s="124"/>
      <c r="BZ49" s="124"/>
      <c r="CA49" s="124"/>
      <c r="CB49" s="124"/>
      <c r="CC49" s="124"/>
      <c r="CD49" s="124"/>
      <c r="CE49" s="124"/>
      <c r="CF49" s="124"/>
      <c r="CG49" s="124"/>
      <c r="CH49" s="124"/>
      <c r="CI49" s="124"/>
      <c r="CJ49" s="332"/>
      <c r="CK49" s="332"/>
      <c r="CL49" s="332"/>
      <c r="CM49" s="332"/>
      <c r="CN49" s="332"/>
      <c r="CO49" s="332"/>
      <c r="CP49" s="332"/>
      <c r="CQ49" s="332"/>
      <c r="CR49" s="332"/>
      <c r="CS49" s="332"/>
      <c r="CT49" s="332"/>
      <c r="CU49" s="332"/>
      <c r="CV49" s="124"/>
      <c r="CW49" s="124"/>
      <c r="CX49" s="124"/>
      <c r="CY49" s="124"/>
      <c r="CZ49" s="124"/>
      <c r="DA49" s="124"/>
      <c r="DB49" s="124"/>
      <c r="DC49" s="124"/>
      <c r="DD49" s="124"/>
      <c r="DE49" s="124"/>
      <c r="DF49" s="124"/>
      <c r="DG49" s="124"/>
      <c r="DH49" s="332"/>
      <c r="DI49" s="332"/>
      <c r="DJ49" s="332"/>
      <c r="DK49" s="332"/>
      <c r="DL49" s="332"/>
      <c r="DM49" s="332"/>
      <c r="DN49" s="604"/>
      <c r="DO49" s="604"/>
      <c r="DP49" s="604"/>
      <c r="DQ49" s="604"/>
      <c r="DR49" s="604"/>
      <c r="DS49" s="604"/>
      <c r="DT49" s="722"/>
      <c r="DU49" s="302">
        <f t="shared" si="33"/>
        <v>99</v>
      </c>
      <c r="DV49" s="303" t="str">
        <f>IF(DU49&gt;KKM!$G$10,"A",IF(DU49&gt;KKM!$H$10,"B",IF(DU49&gt;=KKM!$I$10,"C","D")))</f>
        <v>A</v>
      </c>
      <c r="DW49" s="304">
        <f t="shared" si="34"/>
        <v>99</v>
      </c>
      <c r="DX49" s="115" t="str">
        <f>IF(DW49&gt;KKM!$G$10," sangat baik ",IF(DW49&gt;KKM!$H$10," baik ",IF(DW49&gt;=KKM!$I$10," cukup baik "," perlu bimbingan ")))</f>
        <v xml:space="preserve"> sangat baik </v>
      </c>
      <c r="DY49" s="305">
        <f t="shared" si="35"/>
        <v>99</v>
      </c>
      <c r="DZ49" s="115" t="str">
        <f>IF(DY49&gt;KKM!$G$10," sangat baik ",IF(DY49&gt;KKM!$H$10," baik ",IF(DY49&gt;=KKM!$I$10," cukup baik "," perlu bimbingan ")))</f>
        <v xml:space="preserve"> sangat baik </v>
      </c>
      <c r="EA49" s="301" t="str">
        <f t="shared" si="32"/>
        <v>Anak 44 sangat baik  dalam memahami Q.S. al- Falaq dan Q.S. al- Fil dengan baik dan benar</v>
      </c>
      <c r="EB49" s="424"/>
      <c r="EC49" s="307" t="str">
        <f t="shared" si="36"/>
        <v xml:space="preserve"> sangat baik  dalam memahami Q.S. al- Falaq dan Q.S. al- Fil dengan baik dan benar</v>
      </c>
      <c r="ED49" s="307" t="str">
        <f t="shared" si="37"/>
        <v xml:space="preserve"> sangat baik  dalam memahami Q.S. al- Falaq dan Q.S. al- Fil dengan baik dan benar</v>
      </c>
      <c r="EE49" s="307" t="str">
        <f t="shared" si="18"/>
        <v xml:space="preserve"> sangat baik  dalam memahami Q.S. al- Falaq dan Q.S. al- Fil dengan baik dan benar, dan  sangat baik  dalam memahami Q.S. al- Falaq dan Q.S. al- Fil dengan baik dan benar</v>
      </c>
      <c r="EF49" s="307" t="str">
        <f t="shared" si="19"/>
        <v xml:space="preserve"> sangat baik  dalam memahami Q.S. al- Falaq dan Q.S. al- Fil dengan baik dan benar</v>
      </c>
      <c r="EG49" s="308" t="str">
        <f t="shared" si="20"/>
        <v xml:space="preserve"> sangat baik  dalam memahami Q.S. al- Falaq dan Q.S. al- Fil dengan baik dan benar</v>
      </c>
      <c r="EH49" s="301" t="str">
        <f t="shared" si="38"/>
        <v>Anak 44 sangat baik  dalam memahami Q.S. al- Falaq dan Q.S. al- Fil dengan baik dan benar</v>
      </c>
      <c r="EI49" s="106" t="e">
        <f>IF(#REF!=1,AS$4," ")</f>
        <v>#REF!</v>
      </c>
      <c r="EJ49" s="106" t="e">
        <f>IF(#REF!=1,AT$4," ")</f>
        <v>#REF!</v>
      </c>
      <c r="EK49" s="106" t="e">
        <f>IF(#REF!=1,AU$4," ")</f>
        <v>#REF!</v>
      </c>
      <c r="EL49" s="106" t="e">
        <f>IF(#REF!=1,AV$4," ")</f>
        <v>#REF!</v>
      </c>
      <c r="EM49" s="106" t="e">
        <f>IF(#REF!=1,AW$4," ")</f>
        <v>#REF!</v>
      </c>
      <c r="EN49" s="106" t="e">
        <f>IF(#REF!=1,AX$4," ")</f>
        <v>#REF!</v>
      </c>
      <c r="EO49" s="106" t="e">
        <f>IF(#REF!=1,AY$4," ")</f>
        <v>#REF!</v>
      </c>
      <c r="EP49" s="106" t="e">
        <f>IF(#REF!=1,#REF!," ")</f>
        <v>#REF!</v>
      </c>
      <c r="EQ49" s="106" t="e">
        <f>IF(#REF!=1,#REF!," ")</f>
        <v>#REF!</v>
      </c>
      <c r="ER49" s="106" t="e">
        <f>IF(#REF!=1,DT$4," ")</f>
        <v>#REF!</v>
      </c>
      <c r="ES49" s="408">
        <f t="shared" si="21"/>
        <v>99</v>
      </c>
      <c r="EX49" s="302">
        <f t="shared" si="22"/>
        <v>99</v>
      </c>
      <c r="EY49" s="303" t="str">
        <f>IF(EX49&gt;KKM!$G$10,"A",IF(EX49&gt;KKM!$H$10,"B",IF(EX49&gt;=KKM!$I$10,"C","D")))</f>
        <v>A</v>
      </c>
      <c r="EZ49" s="523">
        <f t="shared" si="23"/>
        <v>99</v>
      </c>
      <c r="FA49" s="115" t="str">
        <f>IF(EZ49&gt;KKM!$G$10," sangat baik ",IF(EZ49&gt;KKM!$H$10," baik ",IF(EZ49&gt;=KKM!$I$10," cukup baik "," perlu bimbingan ")))</f>
        <v xml:space="preserve"> sangat baik </v>
      </c>
      <c r="FB49" s="524">
        <f t="shared" si="24"/>
        <v>99</v>
      </c>
      <c r="FC49" s="115" t="str">
        <f>IF(FB49&gt;KKM!$G$10," sangat baik ",IF(FB49&gt;KKM!$H$10," baik ",IF(FB49&gt;=KKM!$I$10," cukup baik "," perlu bimbingan ")))</f>
        <v xml:space="preserve"> sangat baik </v>
      </c>
      <c r="FD49" s="301" t="str">
        <f t="shared" si="25"/>
        <v>Anak 44 sangat baik  dalam memahami Q.S. al- Falaq dan Q.S. al- Fil dengan baik dan benar</v>
      </c>
      <c r="FE49" s="307" t="str">
        <f t="shared" si="26"/>
        <v xml:space="preserve"> sangat baik  dalam memahami Q.S. al- Falaq dan Q.S. al- Fil dengan baik dan benar</v>
      </c>
      <c r="FF49" s="307" t="str">
        <f t="shared" si="27"/>
        <v xml:space="preserve"> sangat baik  dalam memahami Q.S. al- Falaq dan Q.S. al- Fil dengan baik dan benar</v>
      </c>
      <c r="FG49" s="307" t="str">
        <f t="shared" si="28"/>
        <v xml:space="preserve"> sangat baik  dalam memahami Q.S. al- Falaq dan Q.S. al- Fil dengan baik dan benar, dan  sangat baik  dalam memahami Q.S. al- Falaq dan Q.S. al- Fil dengan baik dan benar</v>
      </c>
      <c r="FH49" s="307" t="str">
        <f t="shared" si="29"/>
        <v xml:space="preserve"> sangat baik  dalam memahami Q.S. al- Falaq dan Q.S. al- Fil dengan baik dan benar</v>
      </c>
      <c r="FI49" s="308" t="str">
        <f t="shared" si="30"/>
        <v xml:space="preserve"> sangat baik  dalam memahami Q.S. al- Falaq dan Q.S. al- Fil dengan baik dan benar</v>
      </c>
      <c r="FJ49" s="301" t="str">
        <f t="shared" si="31"/>
        <v>Anak 44 sangat baik  dalam memahami Q.S. al- Falaq dan Q.S. al- Fil dengan baik dan benar</v>
      </c>
      <c r="FQ49" s="408"/>
    </row>
    <row r="50" spans="2:173" ht="63" customHeight="1">
      <c r="B50" s="109">
        <v>45</v>
      </c>
      <c r="C50" s="110">
        <f>SISWA!B50</f>
        <v>0</v>
      </c>
      <c r="D50" s="111" t="str">
        <f>SISWA!E50</f>
        <v>Anak 45</v>
      </c>
      <c r="E50" s="631">
        <v>99</v>
      </c>
      <c r="F50" s="631">
        <v>99</v>
      </c>
      <c r="G50" s="631">
        <v>99</v>
      </c>
      <c r="H50" s="605"/>
      <c r="I50" s="605"/>
      <c r="J50" s="605"/>
      <c r="K50" s="605"/>
      <c r="L50" s="605"/>
      <c r="M50" s="605"/>
      <c r="N50" s="605"/>
      <c r="O50" s="605"/>
      <c r="P50" s="605"/>
      <c r="Q50" s="605"/>
      <c r="R50" s="631">
        <v>99</v>
      </c>
      <c r="S50" s="631">
        <v>99</v>
      </c>
      <c r="T50" s="631">
        <v>99</v>
      </c>
      <c r="U50" s="606"/>
      <c r="V50" s="606"/>
      <c r="W50" s="606"/>
      <c r="X50" s="606"/>
      <c r="Y50" s="606"/>
      <c r="Z50" s="606"/>
      <c r="AA50" s="606"/>
      <c r="AB50" s="606"/>
      <c r="AC50" s="606"/>
      <c r="AD50" s="631">
        <v>99</v>
      </c>
      <c r="AE50" s="631">
        <v>99</v>
      </c>
      <c r="AF50" s="631">
        <v>99</v>
      </c>
      <c r="AG50" s="605"/>
      <c r="AH50" s="605"/>
      <c r="AI50" s="605"/>
      <c r="AJ50" s="605"/>
      <c r="AK50" s="605"/>
      <c r="AL50" s="605"/>
      <c r="AM50" s="605"/>
      <c r="AN50" s="605"/>
      <c r="AO50" s="605"/>
      <c r="AP50" s="605"/>
      <c r="AQ50" s="728">
        <f t="shared" si="9"/>
        <v>99</v>
      </c>
      <c r="AR50" s="728">
        <f t="shared" si="10"/>
        <v>99</v>
      </c>
      <c r="AS50" s="728">
        <f t="shared" si="11"/>
        <v>99</v>
      </c>
      <c r="AT50" s="728" t="str">
        <f t="shared" si="12"/>
        <v/>
      </c>
      <c r="AU50" s="728" t="str">
        <f t="shared" si="13"/>
        <v/>
      </c>
      <c r="AV50" s="728" t="str">
        <f t="shared" si="14"/>
        <v/>
      </c>
      <c r="AW50" s="728" t="str">
        <f t="shared" si="15"/>
        <v/>
      </c>
      <c r="AX50" s="728" t="str">
        <f t="shared" si="16"/>
        <v/>
      </c>
      <c r="AY50" s="615"/>
      <c r="AZ50" s="615"/>
      <c r="BA50" s="615"/>
      <c r="BB50" s="615"/>
      <c r="BC50" s="615"/>
      <c r="BD50" s="124"/>
      <c r="BE50" s="124"/>
      <c r="BF50" s="124"/>
      <c r="BG50" s="124"/>
      <c r="BH50" s="124"/>
      <c r="BI50" s="124"/>
      <c r="BJ50" s="124"/>
      <c r="BK50" s="124"/>
      <c r="BL50" s="332"/>
      <c r="BM50" s="332"/>
      <c r="BN50" s="332"/>
      <c r="BO50" s="332"/>
      <c r="BP50" s="332"/>
      <c r="BQ50" s="332"/>
      <c r="BR50" s="332"/>
      <c r="BS50" s="332"/>
      <c r="BT50" s="332"/>
      <c r="BU50" s="332"/>
      <c r="BV50" s="332"/>
      <c r="BW50" s="332"/>
      <c r="BX50" s="124"/>
      <c r="BY50" s="124"/>
      <c r="BZ50" s="124"/>
      <c r="CA50" s="124"/>
      <c r="CB50" s="124"/>
      <c r="CC50" s="124"/>
      <c r="CD50" s="124"/>
      <c r="CE50" s="124"/>
      <c r="CF50" s="124"/>
      <c r="CG50" s="124"/>
      <c r="CH50" s="124"/>
      <c r="CI50" s="124"/>
      <c r="CJ50" s="332"/>
      <c r="CK50" s="332"/>
      <c r="CL50" s="332"/>
      <c r="CM50" s="332"/>
      <c r="CN50" s="332"/>
      <c r="CO50" s="332"/>
      <c r="CP50" s="332"/>
      <c r="CQ50" s="332"/>
      <c r="CR50" s="332"/>
      <c r="CS50" s="332"/>
      <c r="CT50" s="332"/>
      <c r="CU50" s="332"/>
      <c r="CV50" s="124"/>
      <c r="CW50" s="124"/>
      <c r="CX50" s="124"/>
      <c r="CY50" s="124"/>
      <c r="CZ50" s="124"/>
      <c r="DA50" s="124"/>
      <c r="DB50" s="124"/>
      <c r="DC50" s="124"/>
      <c r="DD50" s="124"/>
      <c r="DE50" s="124"/>
      <c r="DF50" s="124"/>
      <c r="DG50" s="124"/>
      <c r="DH50" s="332"/>
      <c r="DI50" s="332"/>
      <c r="DJ50" s="332"/>
      <c r="DK50" s="332"/>
      <c r="DL50" s="332"/>
      <c r="DM50" s="332"/>
      <c r="DN50" s="604"/>
      <c r="DO50" s="604"/>
      <c r="DP50" s="604"/>
      <c r="DQ50" s="604"/>
      <c r="DR50" s="604"/>
      <c r="DS50" s="604"/>
      <c r="DT50" s="722"/>
      <c r="DU50" s="302">
        <f t="shared" si="33"/>
        <v>99</v>
      </c>
      <c r="DV50" s="303" t="str">
        <f>IF(DU50&gt;KKM!$G$10,"A",IF(DU50&gt;KKM!$H$10,"B",IF(DU50&gt;=KKM!$I$10,"C","D")))</f>
        <v>A</v>
      </c>
      <c r="DW50" s="304">
        <f t="shared" si="34"/>
        <v>99</v>
      </c>
      <c r="DX50" s="115" t="str">
        <f>IF(DW50&gt;KKM!$G$10," sangat baik ",IF(DW50&gt;KKM!$H$10," baik ",IF(DW50&gt;=KKM!$I$10," cukup baik "," perlu bimbingan ")))</f>
        <v xml:space="preserve"> sangat baik </v>
      </c>
      <c r="DY50" s="305">
        <f t="shared" si="35"/>
        <v>99</v>
      </c>
      <c r="DZ50" s="115" t="str">
        <f>IF(DY50&gt;KKM!$G$10," sangat baik ",IF(DY50&gt;KKM!$H$10," baik ",IF(DY50&gt;=KKM!$I$10," cukup baik "," perlu bimbingan ")))</f>
        <v xml:space="preserve"> sangat baik </v>
      </c>
      <c r="EA50" s="301" t="str">
        <f t="shared" si="32"/>
        <v>Anak 45 sangat baik  dalam memahami Q.S. al- Falaq dan Q.S. al- Fil dengan baik dan benar</v>
      </c>
      <c r="EB50" s="424"/>
      <c r="EC50" s="307" t="str">
        <f t="shared" si="36"/>
        <v xml:space="preserve"> sangat baik  dalam memahami Q.S. al- Falaq dan Q.S. al- Fil dengan baik dan benar</v>
      </c>
      <c r="ED50" s="307" t="str">
        <f t="shared" si="37"/>
        <v xml:space="preserve"> sangat baik  dalam memahami Q.S. al- Falaq dan Q.S. al- Fil dengan baik dan benar</v>
      </c>
      <c r="EE50" s="307" t="str">
        <f t="shared" si="18"/>
        <v xml:space="preserve"> sangat baik  dalam memahami Q.S. al- Falaq dan Q.S. al- Fil dengan baik dan benar, dan  sangat baik  dalam memahami Q.S. al- Falaq dan Q.S. al- Fil dengan baik dan benar</v>
      </c>
      <c r="EF50" s="307" t="str">
        <f t="shared" si="19"/>
        <v xml:space="preserve"> sangat baik  dalam memahami Q.S. al- Falaq dan Q.S. al- Fil dengan baik dan benar</v>
      </c>
      <c r="EG50" s="308" t="str">
        <f t="shared" si="20"/>
        <v xml:space="preserve"> sangat baik  dalam memahami Q.S. al- Falaq dan Q.S. al- Fil dengan baik dan benar</v>
      </c>
      <c r="EH50" s="301" t="str">
        <f t="shared" si="38"/>
        <v>Anak 45 sangat baik  dalam memahami Q.S. al- Falaq dan Q.S. al- Fil dengan baik dan benar</v>
      </c>
      <c r="EI50" s="106" t="e">
        <f>IF(#REF!=1,AS$4," ")</f>
        <v>#REF!</v>
      </c>
      <c r="EJ50" s="106" t="e">
        <f>IF(#REF!=1,AT$4," ")</f>
        <v>#REF!</v>
      </c>
      <c r="EK50" s="106" t="e">
        <f>IF(#REF!=1,AU$4," ")</f>
        <v>#REF!</v>
      </c>
      <c r="EL50" s="106" t="e">
        <f>IF(#REF!=1,AV$4," ")</f>
        <v>#REF!</v>
      </c>
      <c r="EM50" s="106" t="e">
        <f>IF(#REF!=1,AW$4," ")</f>
        <v>#REF!</v>
      </c>
      <c r="EN50" s="106" t="e">
        <f>IF(#REF!=1,AX$4," ")</f>
        <v>#REF!</v>
      </c>
      <c r="EO50" s="106" t="e">
        <f>IF(#REF!=1,AY$4," ")</f>
        <v>#REF!</v>
      </c>
      <c r="EP50" s="106" t="e">
        <f>IF(#REF!=1,#REF!," ")</f>
        <v>#REF!</v>
      </c>
      <c r="EQ50" s="106" t="e">
        <f>IF(#REF!=1,#REF!," ")</f>
        <v>#REF!</v>
      </c>
      <c r="ER50" s="106" t="e">
        <f>IF(#REF!=1,DT$4," ")</f>
        <v>#REF!</v>
      </c>
      <c r="ES50" s="408">
        <f t="shared" si="21"/>
        <v>99</v>
      </c>
      <c r="EX50" s="302">
        <f t="shared" si="22"/>
        <v>99</v>
      </c>
      <c r="EY50" s="303" t="str">
        <f>IF(EX50&gt;KKM!$G$10,"A",IF(EX50&gt;KKM!$H$10,"B",IF(EX50&gt;=KKM!$I$10,"C","D")))</f>
        <v>A</v>
      </c>
      <c r="EZ50" s="523">
        <f t="shared" si="23"/>
        <v>99</v>
      </c>
      <c r="FA50" s="115" t="str">
        <f>IF(EZ50&gt;KKM!$G$10," sangat baik ",IF(EZ50&gt;KKM!$H$10," baik ",IF(EZ50&gt;=KKM!$I$10," cukup baik "," perlu bimbingan ")))</f>
        <v xml:space="preserve"> sangat baik </v>
      </c>
      <c r="FB50" s="524">
        <f t="shared" si="24"/>
        <v>99</v>
      </c>
      <c r="FC50" s="115" t="str">
        <f>IF(FB50&gt;KKM!$G$10," sangat baik ",IF(FB50&gt;KKM!$H$10," baik ",IF(FB50&gt;=KKM!$I$10," cukup baik "," perlu bimbingan ")))</f>
        <v xml:space="preserve"> sangat baik </v>
      </c>
      <c r="FD50" s="301" t="str">
        <f t="shared" si="25"/>
        <v>Anak 45 sangat baik  dalam memahami Q.S. al- Falaq dan Q.S. al- Fil dengan baik dan benar</v>
      </c>
      <c r="FE50" s="307" t="str">
        <f t="shared" si="26"/>
        <v xml:space="preserve"> sangat baik  dalam memahami Q.S. al- Falaq dan Q.S. al- Fil dengan baik dan benar</v>
      </c>
      <c r="FF50" s="307" t="str">
        <f t="shared" si="27"/>
        <v xml:space="preserve"> sangat baik  dalam memahami Q.S. al- Falaq dan Q.S. al- Fil dengan baik dan benar</v>
      </c>
      <c r="FG50" s="307" t="str">
        <f t="shared" si="28"/>
        <v xml:space="preserve"> sangat baik  dalam memahami Q.S. al- Falaq dan Q.S. al- Fil dengan baik dan benar, dan  sangat baik  dalam memahami Q.S. al- Falaq dan Q.S. al- Fil dengan baik dan benar</v>
      </c>
      <c r="FH50" s="307" t="str">
        <f t="shared" si="29"/>
        <v xml:space="preserve"> sangat baik  dalam memahami Q.S. al- Falaq dan Q.S. al- Fil dengan baik dan benar</v>
      </c>
      <c r="FI50" s="308" t="str">
        <f t="shared" si="30"/>
        <v xml:space="preserve"> sangat baik  dalam memahami Q.S. al- Falaq dan Q.S. al- Fil dengan baik dan benar</v>
      </c>
      <c r="FJ50" s="301" t="str">
        <f t="shared" si="31"/>
        <v>Anak 45 sangat baik  dalam memahami Q.S. al- Falaq dan Q.S. al- Fil dengan baik dan benar</v>
      </c>
      <c r="FQ50" s="408"/>
    </row>
    <row r="51" spans="2:173" ht="63" customHeight="1">
      <c r="B51" s="109">
        <v>46</v>
      </c>
      <c r="C51" s="110">
        <f>SISWA!B51</f>
        <v>0</v>
      </c>
      <c r="D51" s="111" t="str">
        <f>SISWA!E51</f>
        <v>Anak 46</v>
      </c>
      <c r="E51" s="631">
        <v>99</v>
      </c>
      <c r="F51" s="631">
        <v>99</v>
      </c>
      <c r="G51" s="631">
        <v>99</v>
      </c>
      <c r="H51" s="605"/>
      <c r="I51" s="605"/>
      <c r="J51" s="605"/>
      <c r="K51" s="605"/>
      <c r="L51" s="605"/>
      <c r="M51" s="605"/>
      <c r="N51" s="605"/>
      <c r="O51" s="605"/>
      <c r="P51" s="605"/>
      <c r="Q51" s="605"/>
      <c r="R51" s="631">
        <v>99</v>
      </c>
      <c r="S51" s="631">
        <v>99</v>
      </c>
      <c r="T51" s="631">
        <v>99</v>
      </c>
      <c r="U51" s="606"/>
      <c r="V51" s="606"/>
      <c r="W51" s="606"/>
      <c r="X51" s="606"/>
      <c r="Y51" s="606"/>
      <c r="Z51" s="606"/>
      <c r="AA51" s="606"/>
      <c r="AB51" s="606"/>
      <c r="AC51" s="606"/>
      <c r="AD51" s="631">
        <v>99</v>
      </c>
      <c r="AE51" s="631">
        <v>99</v>
      </c>
      <c r="AF51" s="631">
        <v>99</v>
      </c>
      <c r="AG51" s="605"/>
      <c r="AH51" s="605"/>
      <c r="AI51" s="605"/>
      <c r="AJ51" s="605"/>
      <c r="AK51" s="605"/>
      <c r="AL51" s="605"/>
      <c r="AM51" s="605"/>
      <c r="AN51" s="605"/>
      <c r="AO51" s="605"/>
      <c r="AP51" s="605"/>
      <c r="AQ51" s="728">
        <f t="shared" si="9"/>
        <v>99</v>
      </c>
      <c r="AR51" s="728">
        <f t="shared" si="10"/>
        <v>99</v>
      </c>
      <c r="AS51" s="728">
        <f t="shared" si="11"/>
        <v>99</v>
      </c>
      <c r="AT51" s="728" t="str">
        <f t="shared" si="12"/>
        <v/>
      </c>
      <c r="AU51" s="728" t="str">
        <f t="shared" si="13"/>
        <v/>
      </c>
      <c r="AV51" s="728" t="str">
        <f t="shared" si="14"/>
        <v/>
      </c>
      <c r="AW51" s="728" t="str">
        <f t="shared" si="15"/>
        <v/>
      </c>
      <c r="AX51" s="728" t="str">
        <f t="shared" si="16"/>
        <v/>
      </c>
      <c r="AY51" s="615"/>
      <c r="AZ51" s="615"/>
      <c r="BA51" s="615"/>
      <c r="BB51" s="615"/>
      <c r="BC51" s="615"/>
      <c r="BD51" s="124"/>
      <c r="BE51" s="124"/>
      <c r="BF51" s="124"/>
      <c r="BG51" s="124"/>
      <c r="BH51" s="124"/>
      <c r="BI51" s="124"/>
      <c r="BJ51" s="124"/>
      <c r="BK51" s="124"/>
      <c r="BL51" s="332"/>
      <c r="BM51" s="332"/>
      <c r="BN51" s="332"/>
      <c r="BO51" s="332"/>
      <c r="BP51" s="332"/>
      <c r="BQ51" s="332"/>
      <c r="BR51" s="332"/>
      <c r="BS51" s="332"/>
      <c r="BT51" s="332"/>
      <c r="BU51" s="332"/>
      <c r="BV51" s="332"/>
      <c r="BW51" s="332"/>
      <c r="BX51" s="124"/>
      <c r="BY51" s="124"/>
      <c r="BZ51" s="124"/>
      <c r="CA51" s="124"/>
      <c r="CB51" s="124"/>
      <c r="CC51" s="124"/>
      <c r="CD51" s="124"/>
      <c r="CE51" s="124"/>
      <c r="CF51" s="124"/>
      <c r="CG51" s="124"/>
      <c r="CH51" s="124"/>
      <c r="CI51" s="124"/>
      <c r="CJ51" s="332"/>
      <c r="CK51" s="332"/>
      <c r="CL51" s="332"/>
      <c r="CM51" s="332"/>
      <c r="CN51" s="332"/>
      <c r="CO51" s="332"/>
      <c r="CP51" s="332"/>
      <c r="CQ51" s="332"/>
      <c r="CR51" s="332"/>
      <c r="CS51" s="332"/>
      <c r="CT51" s="332"/>
      <c r="CU51" s="332"/>
      <c r="CV51" s="124"/>
      <c r="CW51" s="124"/>
      <c r="CX51" s="124"/>
      <c r="CY51" s="124"/>
      <c r="CZ51" s="124"/>
      <c r="DA51" s="124"/>
      <c r="DB51" s="124"/>
      <c r="DC51" s="124"/>
      <c r="DD51" s="124"/>
      <c r="DE51" s="124"/>
      <c r="DF51" s="124"/>
      <c r="DG51" s="124"/>
      <c r="DH51" s="332"/>
      <c r="DI51" s="332"/>
      <c r="DJ51" s="332"/>
      <c r="DK51" s="332"/>
      <c r="DL51" s="332"/>
      <c r="DM51" s="332"/>
      <c r="DN51" s="604"/>
      <c r="DO51" s="604"/>
      <c r="DP51" s="604"/>
      <c r="DQ51" s="604"/>
      <c r="DR51" s="604"/>
      <c r="DS51" s="604"/>
      <c r="DT51" s="722"/>
      <c r="DU51" s="302">
        <f t="shared" si="33"/>
        <v>99</v>
      </c>
      <c r="DV51" s="303" t="str">
        <f>IF(DU51&gt;KKM!$G$10,"A",IF(DU51&gt;KKM!$H$10,"B",IF(DU51&gt;=KKM!$I$10,"C","D")))</f>
        <v>A</v>
      </c>
      <c r="DW51" s="304">
        <f t="shared" si="34"/>
        <v>99</v>
      </c>
      <c r="DX51" s="115" t="str">
        <f>IF(DW51&gt;KKM!$G$10," sangat baik ",IF(DW51&gt;KKM!$H$10," baik ",IF(DW51&gt;=KKM!$I$10," cukup baik "," perlu bimbingan ")))</f>
        <v xml:space="preserve"> sangat baik </v>
      </c>
      <c r="DY51" s="305">
        <f t="shared" si="35"/>
        <v>99</v>
      </c>
      <c r="DZ51" s="115" t="str">
        <f>IF(DY51&gt;KKM!$G$10," sangat baik ",IF(DY51&gt;KKM!$H$10," baik ",IF(DY51&gt;=KKM!$I$10," cukup baik "," perlu bimbingan ")))</f>
        <v xml:space="preserve"> sangat baik </v>
      </c>
      <c r="EA51" s="301" t="str">
        <f t="shared" si="32"/>
        <v>Anak 46 sangat baik  dalam memahami Q.S. al- Falaq dan Q.S. al- Fil dengan baik dan benar</v>
      </c>
      <c r="EB51" s="424"/>
      <c r="EC51" s="307" t="str">
        <f t="shared" si="36"/>
        <v xml:space="preserve"> sangat baik  dalam memahami Q.S. al- Falaq dan Q.S. al- Fil dengan baik dan benar</v>
      </c>
      <c r="ED51" s="307" t="str">
        <f t="shared" si="37"/>
        <v xml:space="preserve"> sangat baik  dalam memahami Q.S. al- Falaq dan Q.S. al- Fil dengan baik dan benar</v>
      </c>
      <c r="EE51" s="307" t="str">
        <f t="shared" si="18"/>
        <v xml:space="preserve"> sangat baik  dalam memahami Q.S. al- Falaq dan Q.S. al- Fil dengan baik dan benar, dan  sangat baik  dalam memahami Q.S. al- Falaq dan Q.S. al- Fil dengan baik dan benar</v>
      </c>
      <c r="EF51" s="307" t="str">
        <f t="shared" si="19"/>
        <v xml:space="preserve"> sangat baik  dalam memahami Q.S. al- Falaq dan Q.S. al- Fil dengan baik dan benar</v>
      </c>
      <c r="EG51" s="308" t="str">
        <f t="shared" si="20"/>
        <v xml:space="preserve"> sangat baik  dalam memahami Q.S. al- Falaq dan Q.S. al- Fil dengan baik dan benar</v>
      </c>
      <c r="EH51" s="301" t="str">
        <f t="shared" si="38"/>
        <v>Anak 46 sangat baik  dalam memahami Q.S. al- Falaq dan Q.S. al- Fil dengan baik dan benar</v>
      </c>
      <c r="EI51" s="106" t="e">
        <f>IF(#REF!=1,AS$4," ")</f>
        <v>#REF!</v>
      </c>
      <c r="EJ51" s="106" t="e">
        <f>IF(#REF!=1,AT$4," ")</f>
        <v>#REF!</v>
      </c>
      <c r="EK51" s="106" t="e">
        <f>IF(#REF!=1,AU$4," ")</f>
        <v>#REF!</v>
      </c>
      <c r="EL51" s="106" t="e">
        <f>IF(#REF!=1,AV$4," ")</f>
        <v>#REF!</v>
      </c>
      <c r="EM51" s="106" t="e">
        <f>IF(#REF!=1,AW$4," ")</f>
        <v>#REF!</v>
      </c>
      <c r="EN51" s="106" t="e">
        <f>IF(#REF!=1,AX$4," ")</f>
        <v>#REF!</v>
      </c>
      <c r="EO51" s="106" t="e">
        <f>IF(#REF!=1,AY$4," ")</f>
        <v>#REF!</v>
      </c>
      <c r="EP51" s="106" t="e">
        <f>IF(#REF!=1,#REF!," ")</f>
        <v>#REF!</v>
      </c>
      <c r="EQ51" s="106" t="e">
        <f>IF(#REF!=1,#REF!," ")</f>
        <v>#REF!</v>
      </c>
      <c r="ER51" s="106" t="e">
        <f>IF(#REF!=1,DT$4," ")</f>
        <v>#REF!</v>
      </c>
      <c r="ES51" s="408">
        <f t="shared" si="21"/>
        <v>99</v>
      </c>
      <c r="EX51" s="302">
        <f t="shared" si="22"/>
        <v>99</v>
      </c>
      <c r="EY51" s="303" t="str">
        <f>IF(EX51&gt;KKM!$G$10,"A",IF(EX51&gt;KKM!$H$10,"B",IF(EX51&gt;=KKM!$I$10,"C","D")))</f>
        <v>A</v>
      </c>
      <c r="EZ51" s="523">
        <f t="shared" si="23"/>
        <v>99</v>
      </c>
      <c r="FA51" s="115" t="str">
        <f>IF(EZ51&gt;KKM!$G$10," sangat baik ",IF(EZ51&gt;KKM!$H$10," baik ",IF(EZ51&gt;=KKM!$I$10," cukup baik "," perlu bimbingan ")))</f>
        <v xml:space="preserve"> sangat baik </v>
      </c>
      <c r="FB51" s="524">
        <f t="shared" si="24"/>
        <v>99</v>
      </c>
      <c r="FC51" s="115" t="str">
        <f>IF(FB51&gt;KKM!$G$10," sangat baik ",IF(FB51&gt;KKM!$H$10," baik ",IF(FB51&gt;=KKM!$I$10," cukup baik "," perlu bimbingan ")))</f>
        <v xml:space="preserve"> sangat baik </v>
      </c>
      <c r="FD51" s="301" t="str">
        <f t="shared" si="25"/>
        <v>Anak 46 sangat baik  dalam memahami Q.S. al- Falaq dan Q.S. al- Fil dengan baik dan benar</v>
      </c>
      <c r="FE51" s="307" t="str">
        <f t="shared" si="26"/>
        <v xml:space="preserve"> sangat baik  dalam memahami Q.S. al- Falaq dan Q.S. al- Fil dengan baik dan benar</v>
      </c>
      <c r="FF51" s="307" t="str">
        <f t="shared" si="27"/>
        <v xml:space="preserve"> sangat baik  dalam memahami Q.S. al- Falaq dan Q.S. al- Fil dengan baik dan benar</v>
      </c>
      <c r="FG51" s="307" t="str">
        <f t="shared" si="28"/>
        <v xml:space="preserve"> sangat baik  dalam memahami Q.S. al- Falaq dan Q.S. al- Fil dengan baik dan benar, dan  sangat baik  dalam memahami Q.S. al- Falaq dan Q.S. al- Fil dengan baik dan benar</v>
      </c>
      <c r="FH51" s="307" t="str">
        <f t="shared" si="29"/>
        <v xml:space="preserve"> sangat baik  dalam memahami Q.S. al- Falaq dan Q.S. al- Fil dengan baik dan benar</v>
      </c>
      <c r="FI51" s="308" t="str">
        <f t="shared" si="30"/>
        <v xml:space="preserve"> sangat baik  dalam memahami Q.S. al- Falaq dan Q.S. al- Fil dengan baik dan benar</v>
      </c>
      <c r="FJ51" s="301" t="str">
        <f t="shared" si="31"/>
        <v>Anak 46 sangat baik  dalam memahami Q.S. al- Falaq dan Q.S. al- Fil dengan baik dan benar</v>
      </c>
      <c r="FQ51" s="408"/>
    </row>
    <row r="52" spans="2:173" ht="63" customHeight="1">
      <c r="B52" s="109">
        <v>47</v>
      </c>
      <c r="C52" s="110">
        <f>SISWA!B52</f>
        <v>0</v>
      </c>
      <c r="D52" s="111" t="str">
        <f>SISWA!E52</f>
        <v>Anak 47</v>
      </c>
      <c r="E52" s="631">
        <v>99</v>
      </c>
      <c r="F52" s="631">
        <v>99</v>
      </c>
      <c r="G52" s="631">
        <v>99</v>
      </c>
      <c r="H52" s="605"/>
      <c r="I52" s="605"/>
      <c r="J52" s="605"/>
      <c r="K52" s="605"/>
      <c r="L52" s="605"/>
      <c r="M52" s="605"/>
      <c r="N52" s="605"/>
      <c r="O52" s="605"/>
      <c r="P52" s="605"/>
      <c r="Q52" s="605"/>
      <c r="R52" s="631">
        <v>99</v>
      </c>
      <c r="S52" s="631">
        <v>99</v>
      </c>
      <c r="T52" s="631">
        <v>99</v>
      </c>
      <c r="U52" s="606"/>
      <c r="V52" s="606"/>
      <c r="W52" s="606"/>
      <c r="X52" s="606"/>
      <c r="Y52" s="606"/>
      <c r="Z52" s="606"/>
      <c r="AA52" s="606"/>
      <c r="AB52" s="606"/>
      <c r="AC52" s="606"/>
      <c r="AD52" s="631">
        <v>99</v>
      </c>
      <c r="AE52" s="631">
        <v>99</v>
      </c>
      <c r="AF52" s="631">
        <v>99</v>
      </c>
      <c r="AG52" s="605"/>
      <c r="AH52" s="605"/>
      <c r="AI52" s="605"/>
      <c r="AJ52" s="605"/>
      <c r="AK52" s="605"/>
      <c r="AL52" s="605"/>
      <c r="AM52" s="605"/>
      <c r="AN52" s="605"/>
      <c r="AO52" s="605"/>
      <c r="AP52" s="605"/>
      <c r="AQ52" s="728">
        <f t="shared" si="9"/>
        <v>99</v>
      </c>
      <c r="AR52" s="728">
        <f t="shared" si="10"/>
        <v>99</v>
      </c>
      <c r="AS52" s="728">
        <f t="shared" si="11"/>
        <v>99</v>
      </c>
      <c r="AT52" s="728" t="str">
        <f t="shared" si="12"/>
        <v/>
      </c>
      <c r="AU52" s="728" t="str">
        <f t="shared" si="13"/>
        <v/>
      </c>
      <c r="AV52" s="728" t="str">
        <f t="shared" si="14"/>
        <v/>
      </c>
      <c r="AW52" s="728" t="str">
        <f t="shared" si="15"/>
        <v/>
      </c>
      <c r="AX52" s="728" t="str">
        <f t="shared" si="16"/>
        <v/>
      </c>
      <c r="AY52" s="615"/>
      <c r="AZ52" s="615"/>
      <c r="BA52" s="615"/>
      <c r="BB52" s="615"/>
      <c r="BC52" s="615"/>
      <c r="BD52" s="124"/>
      <c r="BE52" s="124"/>
      <c r="BF52" s="124"/>
      <c r="BG52" s="124"/>
      <c r="BH52" s="124"/>
      <c r="BI52" s="124"/>
      <c r="BJ52" s="124"/>
      <c r="BK52" s="124"/>
      <c r="BL52" s="332"/>
      <c r="BM52" s="332"/>
      <c r="BN52" s="332"/>
      <c r="BO52" s="332"/>
      <c r="BP52" s="332"/>
      <c r="BQ52" s="332"/>
      <c r="BR52" s="332"/>
      <c r="BS52" s="332"/>
      <c r="BT52" s="332"/>
      <c r="BU52" s="332"/>
      <c r="BV52" s="332"/>
      <c r="BW52" s="332"/>
      <c r="BX52" s="124"/>
      <c r="BY52" s="124"/>
      <c r="BZ52" s="124"/>
      <c r="CA52" s="124"/>
      <c r="CB52" s="124"/>
      <c r="CC52" s="124"/>
      <c r="CD52" s="124"/>
      <c r="CE52" s="124"/>
      <c r="CF52" s="124"/>
      <c r="CG52" s="124"/>
      <c r="CH52" s="124"/>
      <c r="CI52" s="124"/>
      <c r="CJ52" s="332"/>
      <c r="CK52" s="332"/>
      <c r="CL52" s="332"/>
      <c r="CM52" s="332"/>
      <c r="CN52" s="332"/>
      <c r="CO52" s="332"/>
      <c r="CP52" s="332"/>
      <c r="CQ52" s="332"/>
      <c r="CR52" s="332"/>
      <c r="CS52" s="332"/>
      <c r="CT52" s="332"/>
      <c r="CU52" s="332"/>
      <c r="CV52" s="124"/>
      <c r="CW52" s="124"/>
      <c r="CX52" s="124"/>
      <c r="CY52" s="124"/>
      <c r="CZ52" s="124"/>
      <c r="DA52" s="124"/>
      <c r="DB52" s="124"/>
      <c r="DC52" s="124"/>
      <c r="DD52" s="124"/>
      <c r="DE52" s="124"/>
      <c r="DF52" s="124"/>
      <c r="DG52" s="124"/>
      <c r="DH52" s="332"/>
      <c r="DI52" s="332"/>
      <c r="DJ52" s="332"/>
      <c r="DK52" s="332"/>
      <c r="DL52" s="332"/>
      <c r="DM52" s="332"/>
      <c r="DN52" s="604"/>
      <c r="DO52" s="604"/>
      <c r="DP52" s="604"/>
      <c r="DQ52" s="604"/>
      <c r="DR52" s="604"/>
      <c r="DS52" s="604"/>
      <c r="DT52" s="722"/>
      <c r="DU52" s="302">
        <f t="shared" si="33"/>
        <v>99</v>
      </c>
      <c r="DV52" s="303" t="str">
        <f>IF(DU52&gt;KKM!$G$10,"A",IF(DU52&gt;KKM!$H$10,"B",IF(DU52&gt;=KKM!$I$10,"C","D")))</f>
        <v>A</v>
      </c>
      <c r="DW52" s="304">
        <f t="shared" si="34"/>
        <v>99</v>
      </c>
      <c r="DX52" s="115" t="str">
        <f>IF(DW52&gt;KKM!$G$10," sangat baik ",IF(DW52&gt;KKM!$H$10," baik ",IF(DW52&gt;=KKM!$I$10," cukup baik "," perlu bimbingan ")))</f>
        <v xml:space="preserve"> sangat baik </v>
      </c>
      <c r="DY52" s="305">
        <f t="shared" si="35"/>
        <v>99</v>
      </c>
      <c r="DZ52" s="115" t="str">
        <f>IF(DY52&gt;KKM!$G$10," sangat baik ",IF(DY52&gt;KKM!$H$10," baik ",IF(DY52&gt;=KKM!$I$10," cukup baik "," perlu bimbingan ")))</f>
        <v xml:space="preserve"> sangat baik </v>
      </c>
      <c r="EA52" s="301" t="str">
        <f t="shared" si="32"/>
        <v>Anak 47 sangat baik  dalam memahami Q.S. al- Falaq dan Q.S. al- Fil dengan baik dan benar</v>
      </c>
      <c r="EB52" s="424"/>
      <c r="EC52" s="307" t="str">
        <f t="shared" si="36"/>
        <v xml:space="preserve"> sangat baik  dalam memahami Q.S. al- Falaq dan Q.S. al- Fil dengan baik dan benar</v>
      </c>
      <c r="ED52" s="307" t="str">
        <f t="shared" si="37"/>
        <v xml:space="preserve"> sangat baik  dalam memahami Q.S. al- Falaq dan Q.S. al- Fil dengan baik dan benar</v>
      </c>
      <c r="EE52" s="307" t="str">
        <f t="shared" si="18"/>
        <v xml:space="preserve"> sangat baik  dalam memahami Q.S. al- Falaq dan Q.S. al- Fil dengan baik dan benar, dan  sangat baik  dalam memahami Q.S. al- Falaq dan Q.S. al- Fil dengan baik dan benar</v>
      </c>
      <c r="EF52" s="307" t="str">
        <f t="shared" si="19"/>
        <v xml:space="preserve"> sangat baik  dalam memahami Q.S. al- Falaq dan Q.S. al- Fil dengan baik dan benar</v>
      </c>
      <c r="EG52" s="308" t="str">
        <f t="shared" si="20"/>
        <v xml:space="preserve"> sangat baik  dalam memahami Q.S. al- Falaq dan Q.S. al- Fil dengan baik dan benar</v>
      </c>
      <c r="EH52" s="301" t="str">
        <f t="shared" si="38"/>
        <v>Anak 47 sangat baik  dalam memahami Q.S. al- Falaq dan Q.S. al- Fil dengan baik dan benar</v>
      </c>
      <c r="EI52" s="106" t="e">
        <f>IF(#REF!=1,AS$4," ")</f>
        <v>#REF!</v>
      </c>
      <c r="EJ52" s="106" t="e">
        <f>IF(#REF!=1,AT$4," ")</f>
        <v>#REF!</v>
      </c>
      <c r="EK52" s="106" t="e">
        <f>IF(#REF!=1,AU$4," ")</f>
        <v>#REF!</v>
      </c>
      <c r="EL52" s="106" t="e">
        <f>IF(#REF!=1,AV$4," ")</f>
        <v>#REF!</v>
      </c>
      <c r="EM52" s="106" t="e">
        <f>IF(#REF!=1,AW$4," ")</f>
        <v>#REF!</v>
      </c>
      <c r="EN52" s="106" t="e">
        <f>IF(#REF!=1,AX$4," ")</f>
        <v>#REF!</v>
      </c>
      <c r="EO52" s="106" t="e">
        <f>IF(#REF!=1,AY$4," ")</f>
        <v>#REF!</v>
      </c>
      <c r="EP52" s="106" t="e">
        <f>IF(#REF!=1,#REF!," ")</f>
        <v>#REF!</v>
      </c>
      <c r="EQ52" s="106" t="e">
        <f>IF(#REF!=1,#REF!," ")</f>
        <v>#REF!</v>
      </c>
      <c r="ER52" s="106" t="e">
        <f>IF(#REF!=1,DT$4," ")</f>
        <v>#REF!</v>
      </c>
      <c r="ES52" s="408">
        <f t="shared" si="21"/>
        <v>99</v>
      </c>
      <c r="EX52" s="302">
        <f t="shared" si="22"/>
        <v>99</v>
      </c>
      <c r="EY52" s="303" t="str">
        <f>IF(EX52&gt;KKM!$G$10,"A",IF(EX52&gt;KKM!$H$10,"B",IF(EX52&gt;=KKM!$I$10,"C","D")))</f>
        <v>A</v>
      </c>
      <c r="EZ52" s="523">
        <f t="shared" si="23"/>
        <v>99</v>
      </c>
      <c r="FA52" s="115" t="str">
        <f>IF(EZ52&gt;KKM!$G$10," sangat baik ",IF(EZ52&gt;KKM!$H$10," baik ",IF(EZ52&gt;=KKM!$I$10," cukup baik "," perlu bimbingan ")))</f>
        <v xml:space="preserve"> sangat baik </v>
      </c>
      <c r="FB52" s="524">
        <f t="shared" si="24"/>
        <v>99</v>
      </c>
      <c r="FC52" s="115" t="str">
        <f>IF(FB52&gt;KKM!$G$10," sangat baik ",IF(FB52&gt;KKM!$H$10," baik ",IF(FB52&gt;=KKM!$I$10," cukup baik "," perlu bimbingan ")))</f>
        <v xml:space="preserve"> sangat baik </v>
      </c>
      <c r="FD52" s="301" t="str">
        <f t="shared" si="25"/>
        <v>Anak 47 sangat baik  dalam memahami Q.S. al- Falaq dan Q.S. al- Fil dengan baik dan benar</v>
      </c>
      <c r="FE52" s="307" t="str">
        <f t="shared" si="26"/>
        <v xml:space="preserve"> sangat baik  dalam memahami Q.S. al- Falaq dan Q.S. al- Fil dengan baik dan benar</v>
      </c>
      <c r="FF52" s="307" t="str">
        <f t="shared" si="27"/>
        <v xml:space="preserve"> sangat baik  dalam memahami Q.S. al- Falaq dan Q.S. al- Fil dengan baik dan benar</v>
      </c>
      <c r="FG52" s="307" t="str">
        <f t="shared" si="28"/>
        <v xml:space="preserve"> sangat baik  dalam memahami Q.S. al- Falaq dan Q.S. al- Fil dengan baik dan benar, dan  sangat baik  dalam memahami Q.S. al- Falaq dan Q.S. al- Fil dengan baik dan benar</v>
      </c>
      <c r="FH52" s="307" t="str">
        <f t="shared" si="29"/>
        <v xml:space="preserve"> sangat baik  dalam memahami Q.S. al- Falaq dan Q.S. al- Fil dengan baik dan benar</v>
      </c>
      <c r="FI52" s="308" t="str">
        <f t="shared" si="30"/>
        <v xml:space="preserve"> sangat baik  dalam memahami Q.S. al- Falaq dan Q.S. al- Fil dengan baik dan benar</v>
      </c>
      <c r="FJ52" s="301" t="str">
        <f t="shared" si="31"/>
        <v>Anak 47 sangat baik  dalam memahami Q.S. al- Falaq dan Q.S. al- Fil dengan baik dan benar</v>
      </c>
      <c r="FQ52" s="408"/>
    </row>
    <row r="53" spans="2:173" ht="63" customHeight="1">
      <c r="B53" s="109">
        <v>48</v>
      </c>
      <c r="C53" s="110">
        <f>SISWA!B53</f>
        <v>0</v>
      </c>
      <c r="D53" s="111" t="str">
        <f>SISWA!E53</f>
        <v>Anak 48</v>
      </c>
      <c r="E53" s="631">
        <v>99</v>
      </c>
      <c r="F53" s="631">
        <v>99</v>
      </c>
      <c r="G53" s="631">
        <v>99</v>
      </c>
      <c r="H53" s="605"/>
      <c r="I53" s="605"/>
      <c r="J53" s="605"/>
      <c r="K53" s="605"/>
      <c r="L53" s="605"/>
      <c r="M53" s="605"/>
      <c r="N53" s="605"/>
      <c r="O53" s="605"/>
      <c r="P53" s="605"/>
      <c r="Q53" s="605"/>
      <c r="R53" s="631">
        <v>99</v>
      </c>
      <c r="S53" s="631">
        <v>99</v>
      </c>
      <c r="T53" s="631">
        <v>99</v>
      </c>
      <c r="U53" s="606"/>
      <c r="V53" s="606"/>
      <c r="W53" s="606"/>
      <c r="X53" s="606"/>
      <c r="Y53" s="606"/>
      <c r="Z53" s="606"/>
      <c r="AA53" s="606"/>
      <c r="AB53" s="606"/>
      <c r="AC53" s="606"/>
      <c r="AD53" s="631">
        <v>99</v>
      </c>
      <c r="AE53" s="631">
        <v>99</v>
      </c>
      <c r="AF53" s="631">
        <v>99</v>
      </c>
      <c r="AG53" s="605"/>
      <c r="AH53" s="605"/>
      <c r="AI53" s="605"/>
      <c r="AJ53" s="605"/>
      <c r="AK53" s="605"/>
      <c r="AL53" s="605"/>
      <c r="AM53" s="605"/>
      <c r="AN53" s="605"/>
      <c r="AO53" s="605"/>
      <c r="AP53" s="605"/>
      <c r="AQ53" s="728">
        <f t="shared" si="9"/>
        <v>99</v>
      </c>
      <c r="AR53" s="728">
        <f t="shared" si="10"/>
        <v>99</v>
      </c>
      <c r="AS53" s="728">
        <f t="shared" si="11"/>
        <v>99</v>
      </c>
      <c r="AT53" s="728" t="str">
        <f t="shared" si="12"/>
        <v/>
      </c>
      <c r="AU53" s="728" t="str">
        <f t="shared" si="13"/>
        <v/>
      </c>
      <c r="AV53" s="728" t="str">
        <f t="shared" si="14"/>
        <v/>
      </c>
      <c r="AW53" s="728" t="str">
        <f t="shared" si="15"/>
        <v/>
      </c>
      <c r="AX53" s="728" t="str">
        <f t="shared" si="16"/>
        <v/>
      </c>
      <c r="AY53" s="615"/>
      <c r="AZ53" s="615"/>
      <c r="BA53" s="615"/>
      <c r="BB53" s="615"/>
      <c r="BC53" s="615"/>
      <c r="BD53" s="124"/>
      <c r="BE53" s="124"/>
      <c r="BF53" s="124"/>
      <c r="BG53" s="124"/>
      <c r="BH53" s="124"/>
      <c r="BI53" s="124"/>
      <c r="BJ53" s="124"/>
      <c r="BK53" s="124"/>
      <c r="BL53" s="332"/>
      <c r="BM53" s="332"/>
      <c r="BN53" s="332"/>
      <c r="BO53" s="332"/>
      <c r="BP53" s="332"/>
      <c r="BQ53" s="332"/>
      <c r="BR53" s="332"/>
      <c r="BS53" s="332"/>
      <c r="BT53" s="332"/>
      <c r="BU53" s="332"/>
      <c r="BV53" s="332"/>
      <c r="BW53" s="332"/>
      <c r="BX53" s="124"/>
      <c r="BY53" s="124"/>
      <c r="BZ53" s="124"/>
      <c r="CA53" s="124"/>
      <c r="CB53" s="124"/>
      <c r="CC53" s="124"/>
      <c r="CD53" s="124"/>
      <c r="CE53" s="124"/>
      <c r="CF53" s="124"/>
      <c r="CG53" s="124"/>
      <c r="CH53" s="124"/>
      <c r="CI53" s="124"/>
      <c r="CJ53" s="332"/>
      <c r="CK53" s="332"/>
      <c r="CL53" s="332"/>
      <c r="CM53" s="332"/>
      <c r="CN53" s="332"/>
      <c r="CO53" s="332"/>
      <c r="CP53" s="332"/>
      <c r="CQ53" s="332"/>
      <c r="CR53" s="332"/>
      <c r="CS53" s="332"/>
      <c r="CT53" s="332"/>
      <c r="CU53" s="332"/>
      <c r="CV53" s="124"/>
      <c r="CW53" s="124"/>
      <c r="CX53" s="124"/>
      <c r="CY53" s="124"/>
      <c r="CZ53" s="124"/>
      <c r="DA53" s="124"/>
      <c r="DB53" s="124"/>
      <c r="DC53" s="124"/>
      <c r="DD53" s="124"/>
      <c r="DE53" s="124"/>
      <c r="DF53" s="124"/>
      <c r="DG53" s="124"/>
      <c r="DH53" s="332"/>
      <c r="DI53" s="332"/>
      <c r="DJ53" s="332"/>
      <c r="DK53" s="332"/>
      <c r="DL53" s="332"/>
      <c r="DM53" s="332"/>
      <c r="DN53" s="604"/>
      <c r="DO53" s="604"/>
      <c r="DP53" s="604"/>
      <c r="DQ53" s="604"/>
      <c r="DR53" s="604"/>
      <c r="DS53" s="604"/>
      <c r="DT53" s="722"/>
      <c r="DU53" s="302">
        <f t="shared" si="33"/>
        <v>99</v>
      </c>
      <c r="DV53" s="303" t="str">
        <f>IF(DU53&gt;KKM!$G$10,"A",IF(DU53&gt;KKM!$H$10,"B",IF(DU53&gt;=KKM!$I$10,"C","D")))</f>
        <v>A</v>
      </c>
      <c r="DW53" s="304">
        <f t="shared" si="34"/>
        <v>99</v>
      </c>
      <c r="DX53" s="115" t="str">
        <f>IF(DW53&gt;KKM!$G$10," sangat baik ",IF(DW53&gt;KKM!$H$10," baik ",IF(DW53&gt;=KKM!$I$10," cukup baik "," perlu bimbingan ")))</f>
        <v xml:space="preserve"> sangat baik </v>
      </c>
      <c r="DY53" s="305">
        <f t="shared" si="35"/>
        <v>99</v>
      </c>
      <c r="DZ53" s="115" t="str">
        <f>IF(DY53&gt;KKM!$G$10," sangat baik ",IF(DY53&gt;KKM!$H$10," baik ",IF(DY53&gt;=KKM!$I$10," cukup baik "," perlu bimbingan ")))</f>
        <v xml:space="preserve"> sangat baik </v>
      </c>
      <c r="EA53" s="301" t="str">
        <f t="shared" si="32"/>
        <v>Anak 48 sangat baik  dalam memahami Q.S. al- Falaq dan Q.S. al- Fil dengan baik dan benar</v>
      </c>
      <c r="EB53" s="424"/>
      <c r="EC53" s="307" t="str">
        <f t="shared" si="36"/>
        <v xml:space="preserve"> sangat baik  dalam memahami Q.S. al- Falaq dan Q.S. al- Fil dengan baik dan benar</v>
      </c>
      <c r="ED53" s="307" t="str">
        <f t="shared" si="37"/>
        <v xml:space="preserve"> sangat baik  dalam memahami Q.S. al- Falaq dan Q.S. al- Fil dengan baik dan benar</v>
      </c>
      <c r="EE53" s="307" t="str">
        <f t="shared" si="18"/>
        <v xml:space="preserve"> sangat baik  dalam memahami Q.S. al- Falaq dan Q.S. al- Fil dengan baik dan benar, dan  sangat baik  dalam memahami Q.S. al- Falaq dan Q.S. al- Fil dengan baik dan benar</v>
      </c>
      <c r="EF53" s="307" t="str">
        <f t="shared" si="19"/>
        <v xml:space="preserve"> sangat baik  dalam memahami Q.S. al- Falaq dan Q.S. al- Fil dengan baik dan benar</v>
      </c>
      <c r="EG53" s="308" t="str">
        <f t="shared" si="20"/>
        <v xml:space="preserve"> sangat baik  dalam memahami Q.S. al- Falaq dan Q.S. al- Fil dengan baik dan benar</v>
      </c>
      <c r="EH53" s="301" t="str">
        <f t="shared" si="38"/>
        <v>Anak 48 sangat baik  dalam memahami Q.S. al- Falaq dan Q.S. al- Fil dengan baik dan benar</v>
      </c>
      <c r="EI53" s="106" t="e">
        <f>IF(#REF!=1,AS$4," ")</f>
        <v>#REF!</v>
      </c>
      <c r="EJ53" s="106" t="e">
        <f>IF(#REF!=1,AT$4," ")</f>
        <v>#REF!</v>
      </c>
      <c r="EK53" s="106" t="e">
        <f>IF(#REF!=1,AU$4," ")</f>
        <v>#REF!</v>
      </c>
      <c r="EL53" s="106" t="e">
        <f>IF(#REF!=1,AV$4," ")</f>
        <v>#REF!</v>
      </c>
      <c r="EM53" s="106" t="e">
        <f>IF(#REF!=1,AW$4," ")</f>
        <v>#REF!</v>
      </c>
      <c r="EN53" s="106" t="e">
        <f>IF(#REF!=1,AX$4," ")</f>
        <v>#REF!</v>
      </c>
      <c r="EO53" s="106" t="e">
        <f>IF(#REF!=1,AY$4," ")</f>
        <v>#REF!</v>
      </c>
      <c r="EP53" s="106" t="e">
        <f>IF(#REF!=1,#REF!," ")</f>
        <v>#REF!</v>
      </c>
      <c r="EQ53" s="106" t="e">
        <f>IF(#REF!=1,#REF!," ")</f>
        <v>#REF!</v>
      </c>
      <c r="ER53" s="106" t="e">
        <f>IF(#REF!=1,DT$4," ")</f>
        <v>#REF!</v>
      </c>
      <c r="ES53" s="408">
        <f t="shared" si="21"/>
        <v>99</v>
      </c>
      <c r="EX53" s="302">
        <f t="shared" si="22"/>
        <v>99</v>
      </c>
      <c r="EY53" s="303" t="str">
        <f>IF(EX53&gt;KKM!$G$10,"A",IF(EX53&gt;KKM!$H$10,"B",IF(EX53&gt;=KKM!$I$10,"C","D")))</f>
        <v>A</v>
      </c>
      <c r="EZ53" s="523">
        <f t="shared" si="23"/>
        <v>99</v>
      </c>
      <c r="FA53" s="115" t="str">
        <f>IF(EZ53&gt;KKM!$G$10," sangat baik ",IF(EZ53&gt;KKM!$H$10," baik ",IF(EZ53&gt;=KKM!$I$10," cukup baik "," perlu bimbingan ")))</f>
        <v xml:space="preserve"> sangat baik </v>
      </c>
      <c r="FB53" s="524">
        <f t="shared" si="24"/>
        <v>99</v>
      </c>
      <c r="FC53" s="115" t="str">
        <f>IF(FB53&gt;KKM!$G$10," sangat baik ",IF(FB53&gt;KKM!$H$10," baik ",IF(FB53&gt;=KKM!$I$10," cukup baik "," perlu bimbingan ")))</f>
        <v xml:space="preserve"> sangat baik </v>
      </c>
      <c r="FD53" s="301" t="str">
        <f t="shared" si="25"/>
        <v>Anak 48 sangat baik  dalam memahami Q.S. al- Falaq dan Q.S. al- Fil dengan baik dan benar</v>
      </c>
      <c r="FE53" s="307" t="str">
        <f t="shared" si="26"/>
        <v xml:space="preserve"> sangat baik  dalam memahami Q.S. al- Falaq dan Q.S. al- Fil dengan baik dan benar</v>
      </c>
      <c r="FF53" s="307" t="str">
        <f t="shared" si="27"/>
        <v xml:space="preserve"> sangat baik  dalam memahami Q.S. al- Falaq dan Q.S. al- Fil dengan baik dan benar</v>
      </c>
      <c r="FG53" s="307" t="str">
        <f t="shared" si="28"/>
        <v xml:space="preserve"> sangat baik  dalam memahami Q.S. al- Falaq dan Q.S. al- Fil dengan baik dan benar, dan  sangat baik  dalam memahami Q.S. al- Falaq dan Q.S. al- Fil dengan baik dan benar</v>
      </c>
      <c r="FH53" s="307" t="str">
        <f t="shared" si="29"/>
        <v xml:space="preserve"> sangat baik  dalam memahami Q.S. al- Falaq dan Q.S. al- Fil dengan baik dan benar</v>
      </c>
      <c r="FI53" s="308" t="str">
        <f t="shared" si="30"/>
        <v xml:space="preserve"> sangat baik  dalam memahami Q.S. al- Falaq dan Q.S. al- Fil dengan baik dan benar</v>
      </c>
      <c r="FJ53" s="301" t="str">
        <f t="shared" si="31"/>
        <v>Anak 48 sangat baik  dalam memahami Q.S. al- Falaq dan Q.S. al- Fil dengan baik dan benar</v>
      </c>
      <c r="FQ53" s="408"/>
    </row>
    <row r="54" spans="2:173" ht="63" customHeight="1">
      <c r="B54" s="109">
        <v>49</v>
      </c>
      <c r="C54" s="110">
        <f>SISWA!B54</f>
        <v>0</v>
      </c>
      <c r="D54" s="111" t="str">
        <f>SISWA!E54</f>
        <v>Anak 49</v>
      </c>
      <c r="E54" s="631">
        <v>99</v>
      </c>
      <c r="F54" s="631">
        <v>99</v>
      </c>
      <c r="G54" s="631">
        <v>99</v>
      </c>
      <c r="H54" s="605"/>
      <c r="I54" s="605"/>
      <c r="J54" s="605"/>
      <c r="K54" s="605"/>
      <c r="L54" s="605"/>
      <c r="M54" s="605"/>
      <c r="N54" s="605"/>
      <c r="O54" s="605"/>
      <c r="P54" s="605"/>
      <c r="Q54" s="605"/>
      <c r="R54" s="631">
        <v>99</v>
      </c>
      <c r="S54" s="631">
        <v>99</v>
      </c>
      <c r="T54" s="631">
        <v>99</v>
      </c>
      <c r="U54" s="606"/>
      <c r="V54" s="606"/>
      <c r="W54" s="606"/>
      <c r="X54" s="606"/>
      <c r="Y54" s="606"/>
      <c r="Z54" s="606"/>
      <c r="AA54" s="606"/>
      <c r="AB54" s="606"/>
      <c r="AC54" s="606"/>
      <c r="AD54" s="631">
        <v>99</v>
      </c>
      <c r="AE54" s="631">
        <v>99</v>
      </c>
      <c r="AF54" s="631">
        <v>99</v>
      </c>
      <c r="AG54" s="605"/>
      <c r="AH54" s="605"/>
      <c r="AI54" s="605"/>
      <c r="AJ54" s="605"/>
      <c r="AK54" s="605"/>
      <c r="AL54" s="605"/>
      <c r="AM54" s="605"/>
      <c r="AN54" s="605"/>
      <c r="AO54" s="605"/>
      <c r="AP54" s="605"/>
      <c r="AQ54" s="728">
        <f t="shared" si="9"/>
        <v>99</v>
      </c>
      <c r="AR54" s="728">
        <f t="shared" si="10"/>
        <v>99</v>
      </c>
      <c r="AS54" s="728">
        <f t="shared" si="11"/>
        <v>99</v>
      </c>
      <c r="AT54" s="728" t="str">
        <f t="shared" si="12"/>
        <v/>
      </c>
      <c r="AU54" s="728" t="str">
        <f t="shared" si="13"/>
        <v/>
      </c>
      <c r="AV54" s="728" t="str">
        <f t="shared" si="14"/>
        <v/>
      </c>
      <c r="AW54" s="728" t="str">
        <f t="shared" si="15"/>
        <v/>
      </c>
      <c r="AX54" s="728" t="str">
        <f t="shared" si="16"/>
        <v/>
      </c>
      <c r="AY54" s="615"/>
      <c r="AZ54" s="615"/>
      <c r="BA54" s="615"/>
      <c r="BB54" s="615"/>
      <c r="BC54" s="615"/>
      <c r="BD54" s="124"/>
      <c r="BE54" s="124"/>
      <c r="BF54" s="124"/>
      <c r="BG54" s="124"/>
      <c r="BH54" s="124"/>
      <c r="BI54" s="124"/>
      <c r="BJ54" s="124"/>
      <c r="BK54" s="124"/>
      <c r="BL54" s="332"/>
      <c r="BM54" s="332"/>
      <c r="BN54" s="332"/>
      <c r="BO54" s="332"/>
      <c r="BP54" s="332"/>
      <c r="BQ54" s="332"/>
      <c r="BR54" s="332"/>
      <c r="BS54" s="332"/>
      <c r="BT54" s="332"/>
      <c r="BU54" s="332"/>
      <c r="BV54" s="332"/>
      <c r="BW54" s="332"/>
      <c r="BX54" s="124"/>
      <c r="BY54" s="124"/>
      <c r="BZ54" s="124"/>
      <c r="CA54" s="124"/>
      <c r="CB54" s="124"/>
      <c r="CC54" s="124"/>
      <c r="CD54" s="124"/>
      <c r="CE54" s="124"/>
      <c r="CF54" s="124"/>
      <c r="CG54" s="124"/>
      <c r="CH54" s="124"/>
      <c r="CI54" s="124"/>
      <c r="CJ54" s="332"/>
      <c r="CK54" s="332"/>
      <c r="CL54" s="332"/>
      <c r="CM54" s="332"/>
      <c r="CN54" s="332"/>
      <c r="CO54" s="332"/>
      <c r="CP54" s="332"/>
      <c r="CQ54" s="332"/>
      <c r="CR54" s="332"/>
      <c r="CS54" s="332"/>
      <c r="CT54" s="332"/>
      <c r="CU54" s="332"/>
      <c r="CV54" s="124"/>
      <c r="CW54" s="124"/>
      <c r="CX54" s="124"/>
      <c r="CY54" s="124"/>
      <c r="CZ54" s="124"/>
      <c r="DA54" s="124"/>
      <c r="DB54" s="124"/>
      <c r="DC54" s="124"/>
      <c r="DD54" s="124"/>
      <c r="DE54" s="124"/>
      <c r="DF54" s="124"/>
      <c r="DG54" s="124"/>
      <c r="DH54" s="332"/>
      <c r="DI54" s="332"/>
      <c r="DJ54" s="332"/>
      <c r="DK54" s="332"/>
      <c r="DL54" s="332"/>
      <c r="DM54" s="332"/>
      <c r="DN54" s="604"/>
      <c r="DO54" s="604"/>
      <c r="DP54" s="604"/>
      <c r="DQ54" s="604"/>
      <c r="DR54" s="604"/>
      <c r="DS54" s="604"/>
      <c r="DT54" s="722"/>
      <c r="DU54" s="302">
        <f t="shared" si="33"/>
        <v>99</v>
      </c>
      <c r="DV54" s="303" t="str">
        <f>IF(DU54&gt;KKM!$G$10,"A",IF(DU54&gt;KKM!$H$10,"B",IF(DU54&gt;=KKM!$I$10,"C","D")))</f>
        <v>A</v>
      </c>
      <c r="DW54" s="304">
        <f t="shared" si="34"/>
        <v>99</v>
      </c>
      <c r="DX54" s="115" t="str">
        <f>IF(DW54&gt;KKM!$G$10," sangat baik ",IF(DW54&gt;KKM!$H$10," baik ",IF(DW54&gt;=KKM!$I$10," cukup baik "," perlu bimbingan ")))</f>
        <v xml:space="preserve"> sangat baik </v>
      </c>
      <c r="DY54" s="305">
        <f t="shared" si="35"/>
        <v>99</v>
      </c>
      <c r="DZ54" s="115" t="str">
        <f>IF(DY54&gt;KKM!$G$10," sangat baik ",IF(DY54&gt;KKM!$H$10," baik ",IF(DY54&gt;=KKM!$I$10," cukup baik "," perlu bimbingan ")))</f>
        <v xml:space="preserve"> sangat baik </v>
      </c>
      <c r="EA54" s="301" t="str">
        <f t="shared" si="32"/>
        <v>Anak 49 sangat baik  dalam memahami Q.S. al- Falaq dan Q.S. al- Fil dengan baik dan benar</v>
      </c>
      <c r="EB54" s="424"/>
      <c r="EC54" s="307" t="str">
        <f t="shared" si="36"/>
        <v xml:space="preserve"> sangat baik  dalam memahami Q.S. al- Falaq dan Q.S. al- Fil dengan baik dan benar</v>
      </c>
      <c r="ED54" s="307" t="str">
        <f t="shared" si="37"/>
        <v xml:space="preserve"> sangat baik  dalam memahami Q.S. al- Falaq dan Q.S. al- Fil dengan baik dan benar</v>
      </c>
      <c r="EE54" s="307" t="str">
        <f t="shared" si="18"/>
        <v xml:space="preserve"> sangat baik  dalam memahami Q.S. al- Falaq dan Q.S. al- Fil dengan baik dan benar, dan  sangat baik  dalam memahami Q.S. al- Falaq dan Q.S. al- Fil dengan baik dan benar</v>
      </c>
      <c r="EF54" s="307" t="str">
        <f t="shared" si="19"/>
        <v xml:space="preserve"> sangat baik  dalam memahami Q.S. al- Falaq dan Q.S. al- Fil dengan baik dan benar</v>
      </c>
      <c r="EG54" s="308" t="str">
        <f t="shared" si="20"/>
        <v xml:space="preserve"> sangat baik  dalam memahami Q.S. al- Falaq dan Q.S. al- Fil dengan baik dan benar</v>
      </c>
      <c r="EH54" s="301" t="str">
        <f t="shared" si="38"/>
        <v>Anak 49 sangat baik  dalam memahami Q.S. al- Falaq dan Q.S. al- Fil dengan baik dan benar</v>
      </c>
      <c r="EI54" s="106" t="e">
        <f>IF(#REF!=1,AS$4," ")</f>
        <v>#REF!</v>
      </c>
      <c r="EJ54" s="106" t="e">
        <f>IF(#REF!=1,AT$4," ")</f>
        <v>#REF!</v>
      </c>
      <c r="EK54" s="106" t="e">
        <f>IF(#REF!=1,AU$4," ")</f>
        <v>#REF!</v>
      </c>
      <c r="EL54" s="106" t="e">
        <f>IF(#REF!=1,AV$4," ")</f>
        <v>#REF!</v>
      </c>
      <c r="EM54" s="106" t="e">
        <f>IF(#REF!=1,AW$4," ")</f>
        <v>#REF!</v>
      </c>
      <c r="EN54" s="106" t="e">
        <f>IF(#REF!=1,AX$4," ")</f>
        <v>#REF!</v>
      </c>
      <c r="EO54" s="106" t="e">
        <f>IF(#REF!=1,AY$4," ")</f>
        <v>#REF!</v>
      </c>
      <c r="EP54" s="106" t="e">
        <f>IF(#REF!=1,#REF!," ")</f>
        <v>#REF!</v>
      </c>
      <c r="EQ54" s="106" t="e">
        <f>IF(#REF!=1,#REF!," ")</f>
        <v>#REF!</v>
      </c>
      <c r="ER54" s="106" t="e">
        <f>IF(#REF!=1,DT$4," ")</f>
        <v>#REF!</v>
      </c>
      <c r="ES54" s="408">
        <f t="shared" si="21"/>
        <v>99</v>
      </c>
      <c r="EX54" s="302">
        <f t="shared" si="22"/>
        <v>99</v>
      </c>
      <c r="EY54" s="303" t="str">
        <f>IF(EX54&gt;KKM!$G$10,"A",IF(EX54&gt;KKM!$H$10,"B",IF(EX54&gt;=KKM!$I$10,"C","D")))</f>
        <v>A</v>
      </c>
      <c r="EZ54" s="523">
        <f t="shared" si="23"/>
        <v>99</v>
      </c>
      <c r="FA54" s="115" t="str">
        <f>IF(EZ54&gt;KKM!$G$10," sangat baik ",IF(EZ54&gt;KKM!$H$10," baik ",IF(EZ54&gt;=KKM!$I$10," cukup baik "," perlu bimbingan ")))</f>
        <v xml:space="preserve"> sangat baik </v>
      </c>
      <c r="FB54" s="524">
        <f t="shared" si="24"/>
        <v>99</v>
      </c>
      <c r="FC54" s="115" t="str">
        <f>IF(FB54&gt;KKM!$G$10," sangat baik ",IF(FB54&gt;KKM!$H$10," baik ",IF(FB54&gt;=KKM!$I$10," cukup baik "," perlu bimbingan ")))</f>
        <v xml:space="preserve"> sangat baik </v>
      </c>
      <c r="FD54" s="301" t="str">
        <f t="shared" si="25"/>
        <v>Anak 49 sangat baik  dalam memahami Q.S. al- Falaq dan Q.S. al- Fil dengan baik dan benar</v>
      </c>
      <c r="FE54" s="307" t="str">
        <f t="shared" si="26"/>
        <v xml:space="preserve"> sangat baik  dalam memahami Q.S. al- Falaq dan Q.S. al- Fil dengan baik dan benar</v>
      </c>
      <c r="FF54" s="307" t="str">
        <f t="shared" si="27"/>
        <v xml:space="preserve"> sangat baik  dalam memahami Q.S. al- Falaq dan Q.S. al- Fil dengan baik dan benar</v>
      </c>
      <c r="FG54" s="307" t="str">
        <f t="shared" si="28"/>
        <v xml:space="preserve"> sangat baik  dalam memahami Q.S. al- Falaq dan Q.S. al- Fil dengan baik dan benar, dan  sangat baik  dalam memahami Q.S. al- Falaq dan Q.S. al- Fil dengan baik dan benar</v>
      </c>
      <c r="FH54" s="307" t="str">
        <f t="shared" si="29"/>
        <v xml:space="preserve"> sangat baik  dalam memahami Q.S. al- Falaq dan Q.S. al- Fil dengan baik dan benar</v>
      </c>
      <c r="FI54" s="308" t="str">
        <f t="shared" si="30"/>
        <v xml:space="preserve"> sangat baik  dalam memahami Q.S. al- Falaq dan Q.S. al- Fil dengan baik dan benar</v>
      </c>
      <c r="FJ54" s="301" t="str">
        <f t="shared" si="31"/>
        <v>Anak 49 sangat baik  dalam memahami Q.S. al- Falaq dan Q.S. al- Fil dengan baik dan benar</v>
      </c>
      <c r="FQ54" s="408"/>
    </row>
    <row r="55" spans="2:173" ht="63" customHeight="1">
      <c r="B55" s="109">
        <v>50</v>
      </c>
      <c r="C55" s="110">
        <f>SISWA!B55</f>
        <v>0</v>
      </c>
      <c r="D55" s="111" t="str">
        <f>SISWA!E55</f>
        <v>Anak 50</v>
      </c>
      <c r="E55" s="631">
        <v>99</v>
      </c>
      <c r="F55" s="631">
        <v>99</v>
      </c>
      <c r="G55" s="631">
        <v>99</v>
      </c>
      <c r="H55" s="605"/>
      <c r="I55" s="605"/>
      <c r="J55" s="605"/>
      <c r="K55" s="605"/>
      <c r="L55" s="605"/>
      <c r="M55" s="605"/>
      <c r="N55" s="605"/>
      <c r="O55" s="605"/>
      <c r="P55" s="605"/>
      <c r="Q55" s="605"/>
      <c r="R55" s="631">
        <v>99</v>
      </c>
      <c r="S55" s="631">
        <v>99</v>
      </c>
      <c r="T55" s="631">
        <v>99</v>
      </c>
      <c r="U55" s="606"/>
      <c r="V55" s="606"/>
      <c r="W55" s="606"/>
      <c r="X55" s="606"/>
      <c r="Y55" s="606"/>
      <c r="Z55" s="606"/>
      <c r="AA55" s="606"/>
      <c r="AB55" s="606"/>
      <c r="AC55" s="606"/>
      <c r="AD55" s="631">
        <v>99</v>
      </c>
      <c r="AE55" s="631">
        <v>99</v>
      </c>
      <c r="AF55" s="631">
        <v>99</v>
      </c>
      <c r="AG55" s="605"/>
      <c r="AH55" s="605"/>
      <c r="AI55" s="605"/>
      <c r="AJ55" s="605"/>
      <c r="AK55" s="605"/>
      <c r="AL55" s="605"/>
      <c r="AM55" s="605"/>
      <c r="AN55" s="605"/>
      <c r="AO55" s="605"/>
      <c r="AP55" s="605"/>
      <c r="AQ55" s="728">
        <f t="shared" si="9"/>
        <v>99</v>
      </c>
      <c r="AR55" s="728">
        <f t="shared" si="10"/>
        <v>99</v>
      </c>
      <c r="AS55" s="728">
        <f t="shared" si="11"/>
        <v>99</v>
      </c>
      <c r="AT55" s="728" t="str">
        <f t="shared" si="12"/>
        <v/>
      </c>
      <c r="AU55" s="728" t="str">
        <f t="shared" si="13"/>
        <v/>
      </c>
      <c r="AV55" s="728" t="str">
        <f t="shared" si="14"/>
        <v/>
      </c>
      <c r="AW55" s="728" t="str">
        <f t="shared" si="15"/>
        <v/>
      </c>
      <c r="AX55" s="728" t="str">
        <f t="shared" si="16"/>
        <v/>
      </c>
      <c r="AY55" s="615"/>
      <c r="AZ55" s="615"/>
      <c r="BA55" s="615"/>
      <c r="BB55" s="615"/>
      <c r="BC55" s="615"/>
      <c r="BD55" s="124"/>
      <c r="BE55" s="124"/>
      <c r="BF55" s="124"/>
      <c r="BG55" s="124"/>
      <c r="BH55" s="124"/>
      <c r="BI55" s="124"/>
      <c r="BJ55" s="124"/>
      <c r="BK55" s="124"/>
      <c r="BL55" s="332"/>
      <c r="BM55" s="332"/>
      <c r="BN55" s="332"/>
      <c r="BO55" s="332"/>
      <c r="BP55" s="332"/>
      <c r="BQ55" s="332"/>
      <c r="BR55" s="332"/>
      <c r="BS55" s="332"/>
      <c r="BT55" s="332"/>
      <c r="BU55" s="332"/>
      <c r="BV55" s="332"/>
      <c r="BW55" s="332"/>
      <c r="BX55" s="124"/>
      <c r="BY55" s="124"/>
      <c r="BZ55" s="124"/>
      <c r="CA55" s="124"/>
      <c r="CB55" s="124"/>
      <c r="CC55" s="124"/>
      <c r="CD55" s="124"/>
      <c r="CE55" s="124"/>
      <c r="CF55" s="124"/>
      <c r="CG55" s="124"/>
      <c r="CH55" s="124"/>
      <c r="CI55" s="124"/>
      <c r="CJ55" s="332"/>
      <c r="CK55" s="332"/>
      <c r="CL55" s="332"/>
      <c r="CM55" s="332"/>
      <c r="CN55" s="332"/>
      <c r="CO55" s="332"/>
      <c r="CP55" s="332"/>
      <c r="CQ55" s="332"/>
      <c r="CR55" s="332"/>
      <c r="CS55" s="332"/>
      <c r="CT55" s="332"/>
      <c r="CU55" s="332"/>
      <c r="CV55" s="124"/>
      <c r="CW55" s="124"/>
      <c r="CX55" s="124"/>
      <c r="CY55" s="124"/>
      <c r="CZ55" s="124"/>
      <c r="DA55" s="124"/>
      <c r="DB55" s="124"/>
      <c r="DC55" s="124"/>
      <c r="DD55" s="124"/>
      <c r="DE55" s="124"/>
      <c r="DF55" s="124"/>
      <c r="DG55" s="124"/>
      <c r="DH55" s="332"/>
      <c r="DI55" s="332"/>
      <c r="DJ55" s="332"/>
      <c r="DK55" s="332"/>
      <c r="DL55" s="332"/>
      <c r="DM55" s="332"/>
      <c r="DN55" s="604"/>
      <c r="DO55" s="604"/>
      <c r="DP55" s="604"/>
      <c r="DQ55" s="604"/>
      <c r="DR55" s="604"/>
      <c r="DS55" s="604"/>
      <c r="DT55" s="722"/>
      <c r="DU55" s="302">
        <f t="shared" si="33"/>
        <v>99</v>
      </c>
      <c r="DV55" s="303" t="str">
        <f>IF(DU55&gt;KKM!$G$10,"A",IF(DU55&gt;KKM!$H$10,"B",IF(DU55&gt;=KKM!$I$10,"C","D")))</f>
        <v>A</v>
      </c>
      <c r="DW55" s="304">
        <f t="shared" si="34"/>
        <v>99</v>
      </c>
      <c r="DX55" s="115" t="str">
        <f>IF(DW55&gt;KKM!$G$10," sangat baik ",IF(DW55&gt;KKM!$H$10," baik ",IF(DW55&gt;=KKM!$I$10," cukup baik "," perlu bimbingan ")))</f>
        <v xml:space="preserve"> sangat baik </v>
      </c>
      <c r="DY55" s="305">
        <f t="shared" si="35"/>
        <v>99</v>
      </c>
      <c r="DZ55" s="115" t="str">
        <f>IF(DY55&gt;KKM!$G$10," sangat baik ",IF(DY55&gt;KKM!$H$10," baik ",IF(DY55&gt;=KKM!$I$10," cukup baik "," perlu bimbingan ")))</f>
        <v xml:space="preserve"> sangat baik </v>
      </c>
      <c r="EA55" s="301" t="str">
        <f t="shared" si="32"/>
        <v>Anak 50 sangat baik  dalam memahami Q.S. al- Falaq dan Q.S. al- Fil dengan baik dan benar</v>
      </c>
      <c r="EB55" s="424"/>
      <c r="EC55" s="307" t="str">
        <f t="shared" si="36"/>
        <v xml:space="preserve"> sangat baik  dalam memahami Q.S. al- Falaq dan Q.S. al- Fil dengan baik dan benar</v>
      </c>
      <c r="ED55" s="307" t="str">
        <f t="shared" si="37"/>
        <v xml:space="preserve"> sangat baik  dalam memahami Q.S. al- Falaq dan Q.S. al- Fil dengan baik dan benar</v>
      </c>
      <c r="EE55" s="307" t="str">
        <f t="shared" si="18"/>
        <v xml:space="preserve"> sangat baik  dalam memahami Q.S. al- Falaq dan Q.S. al- Fil dengan baik dan benar, dan  sangat baik  dalam memahami Q.S. al- Falaq dan Q.S. al- Fil dengan baik dan benar</v>
      </c>
      <c r="EF55" s="307" t="str">
        <f t="shared" si="19"/>
        <v xml:space="preserve"> sangat baik  dalam memahami Q.S. al- Falaq dan Q.S. al- Fil dengan baik dan benar</v>
      </c>
      <c r="EG55" s="308" t="str">
        <f t="shared" si="20"/>
        <v xml:space="preserve"> sangat baik  dalam memahami Q.S. al- Falaq dan Q.S. al- Fil dengan baik dan benar</v>
      </c>
      <c r="EH55" s="301" t="str">
        <f t="shared" si="38"/>
        <v>Anak 50 sangat baik  dalam memahami Q.S. al- Falaq dan Q.S. al- Fil dengan baik dan benar</v>
      </c>
      <c r="EI55" s="106" t="e">
        <f>IF(#REF!=1,AS$4," ")</f>
        <v>#REF!</v>
      </c>
      <c r="EJ55" s="106" t="e">
        <f>IF(#REF!=1,AT$4," ")</f>
        <v>#REF!</v>
      </c>
      <c r="EK55" s="106" t="e">
        <f>IF(#REF!=1,AU$4," ")</f>
        <v>#REF!</v>
      </c>
      <c r="EL55" s="106" t="e">
        <f>IF(#REF!=1,AV$4," ")</f>
        <v>#REF!</v>
      </c>
      <c r="EM55" s="106" t="e">
        <f>IF(#REF!=1,AW$4," ")</f>
        <v>#REF!</v>
      </c>
      <c r="EN55" s="106" t="e">
        <f>IF(#REF!=1,AX$4," ")</f>
        <v>#REF!</v>
      </c>
      <c r="EO55" s="106" t="e">
        <f>IF(#REF!=1,AY$4," ")</f>
        <v>#REF!</v>
      </c>
      <c r="EP55" s="106" t="e">
        <f>IF(#REF!=1,#REF!," ")</f>
        <v>#REF!</v>
      </c>
      <c r="EQ55" s="106" t="e">
        <f>IF(#REF!=1,#REF!," ")</f>
        <v>#REF!</v>
      </c>
      <c r="ER55" s="106" t="e">
        <f>IF(#REF!=1,DT$4," ")</f>
        <v>#REF!</v>
      </c>
      <c r="ES55" s="408">
        <f t="shared" si="21"/>
        <v>99</v>
      </c>
      <c r="EX55" s="302">
        <f t="shared" si="22"/>
        <v>99</v>
      </c>
      <c r="EY55" s="303" t="str">
        <f>IF(EX55&gt;KKM!$G$10,"A",IF(EX55&gt;KKM!$H$10,"B",IF(EX55&gt;=KKM!$I$10,"C","D")))</f>
        <v>A</v>
      </c>
      <c r="EZ55" s="523">
        <f t="shared" si="23"/>
        <v>99</v>
      </c>
      <c r="FA55" s="115" t="str">
        <f>IF(EZ55&gt;KKM!$G$10," sangat baik ",IF(EZ55&gt;KKM!$H$10," baik ",IF(EZ55&gt;=KKM!$I$10," cukup baik "," perlu bimbingan ")))</f>
        <v xml:space="preserve"> sangat baik </v>
      </c>
      <c r="FB55" s="524">
        <f t="shared" si="24"/>
        <v>99</v>
      </c>
      <c r="FC55" s="115" t="str">
        <f>IF(FB55&gt;KKM!$G$10," sangat baik ",IF(FB55&gt;KKM!$H$10," baik ",IF(FB55&gt;=KKM!$I$10," cukup baik "," perlu bimbingan ")))</f>
        <v xml:space="preserve"> sangat baik </v>
      </c>
      <c r="FD55" s="301" t="str">
        <f t="shared" si="25"/>
        <v>Anak 50 sangat baik  dalam memahami Q.S. al- Falaq dan Q.S. al- Fil dengan baik dan benar</v>
      </c>
      <c r="FE55" s="307" t="str">
        <f t="shared" si="26"/>
        <v xml:space="preserve"> sangat baik  dalam memahami Q.S. al- Falaq dan Q.S. al- Fil dengan baik dan benar</v>
      </c>
      <c r="FF55" s="307" t="str">
        <f t="shared" si="27"/>
        <v xml:space="preserve"> sangat baik  dalam memahami Q.S. al- Falaq dan Q.S. al- Fil dengan baik dan benar</v>
      </c>
      <c r="FG55" s="307" t="str">
        <f t="shared" si="28"/>
        <v xml:space="preserve"> sangat baik  dalam memahami Q.S. al- Falaq dan Q.S. al- Fil dengan baik dan benar, dan  sangat baik  dalam memahami Q.S. al- Falaq dan Q.S. al- Fil dengan baik dan benar</v>
      </c>
      <c r="FH55" s="307" t="str">
        <f t="shared" si="29"/>
        <v xml:space="preserve"> sangat baik  dalam memahami Q.S. al- Falaq dan Q.S. al- Fil dengan baik dan benar</v>
      </c>
      <c r="FI55" s="308" t="str">
        <f t="shared" si="30"/>
        <v xml:space="preserve"> sangat baik  dalam memahami Q.S. al- Falaq dan Q.S. al- Fil dengan baik dan benar</v>
      </c>
      <c r="FJ55" s="301" t="str">
        <f t="shared" si="31"/>
        <v>Anak 50 sangat baik  dalam memahami Q.S. al- Falaq dan Q.S. al- Fil dengan baik dan benar</v>
      </c>
      <c r="FQ55" s="408"/>
    </row>
    <row r="56" spans="2:173" ht="15.75">
      <c r="B56" s="121"/>
      <c r="C56" s="121"/>
      <c r="D56" s="121"/>
      <c r="E56" s="727"/>
      <c r="F56" s="727"/>
      <c r="G56" s="727"/>
      <c r="H56" s="727"/>
      <c r="I56" s="727"/>
      <c r="J56" s="727"/>
      <c r="K56" s="727"/>
      <c r="L56" s="727"/>
      <c r="M56" s="727"/>
      <c r="N56" s="727"/>
      <c r="O56" s="727"/>
      <c r="P56" s="727"/>
      <c r="Q56" s="727"/>
      <c r="R56" s="727"/>
      <c r="S56" s="727"/>
      <c r="T56" s="727"/>
      <c r="U56" s="727"/>
      <c r="V56" s="727"/>
      <c r="W56" s="727"/>
      <c r="X56" s="727"/>
      <c r="Y56" s="727"/>
      <c r="Z56" s="727"/>
      <c r="AA56" s="727"/>
      <c r="AB56" s="727"/>
      <c r="AC56" s="727"/>
      <c r="AD56" s="727"/>
      <c r="AE56" s="727"/>
      <c r="AF56" s="727"/>
      <c r="AG56" s="727"/>
      <c r="AH56" s="727"/>
      <c r="AI56" s="727"/>
      <c r="AJ56" s="727"/>
      <c r="AK56" s="727"/>
      <c r="AL56" s="727"/>
      <c r="AM56" s="727"/>
      <c r="AN56" s="727"/>
      <c r="AO56" s="727"/>
      <c r="AP56" s="727"/>
      <c r="AQ56" s="722"/>
      <c r="AR56" s="113"/>
      <c r="AS56" s="113"/>
      <c r="AT56" s="113"/>
      <c r="AU56" s="113"/>
      <c r="AV56" s="722"/>
      <c r="AW56" s="722"/>
      <c r="AX56" s="722"/>
      <c r="AY56" s="722"/>
      <c r="AZ56" s="722"/>
      <c r="BA56" s="722"/>
      <c r="BB56" s="722"/>
      <c r="BC56" s="722"/>
      <c r="BD56" s="722"/>
      <c r="BE56" s="722"/>
      <c r="BF56" s="722"/>
      <c r="BG56" s="722"/>
      <c r="BH56" s="722"/>
      <c r="BI56" s="722"/>
      <c r="BJ56" s="722"/>
      <c r="BK56" s="722"/>
      <c r="BL56" s="722"/>
      <c r="BM56" s="722"/>
      <c r="BN56" s="722"/>
      <c r="BO56" s="722"/>
      <c r="BP56" s="722"/>
      <c r="BQ56" s="722"/>
      <c r="BR56" s="722"/>
      <c r="BS56" s="722"/>
      <c r="BT56" s="722"/>
      <c r="BU56" s="722"/>
      <c r="BV56" s="722"/>
      <c r="BW56" s="722"/>
      <c r="BX56" s="722"/>
      <c r="BY56" s="722"/>
      <c r="BZ56" s="722"/>
      <c r="CA56" s="722"/>
      <c r="CB56" s="722"/>
      <c r="CC56" s="722"/>
      <c r="CD56" s="722"/>
      <c r="CE56" s="722"/>
      <c r="CF56" s="722"/>
      <c r="CG56" s="722"/>
      <c r="CH56" s="722"/>
      <c r="CI56" s="722"/>
      <c r="CJ56" s="722"/>
      <c r="CK56" s="722"/>
      <c r="CL56" s="722"/>
      <c r="CM56" s="722"/>
      <c r="CN56" s="722"/>
      <c r="CO56" s="722"/>
      <c r="CP56" s="722"/>
      <c r="CQ56" s="722"/>
      <c r="CR56" s="722"/>
      <c r="CS56" s="722"/>
      <c r="CT56" s="722"/>
      <c r="CU56" s="722"/>
      <c r="CV56" s="722"/>
      <c r="CW56" s="722"/>
      <c r="CX56" s="722"/>
      <c r="CY56" s="722"/>
      <c r="CZ56" s="722"/>
      <c r="DA56" s="722"/>
      <c r="DB56" s="722"/>
      <c r="DC56" s="722"/>
      <c r="DD56" s="722"/>
      <c r="DE56" s="722"/>
      <c r="DF56" s="722"/>
      <c r="DG56" s="722"/>
      <c r="DH56" s="722"/>
      <c r="DI56" s="722"/>
      <c r="DJ56" s="722"/>
      <c r="DK56" s="722"/>
      <c r="DL56" s="722"/>
      <c r="DM56" s="722"/>
      <c r="DN56" s="722"/>
      <c r="DO56" s="722"/>
      <c r="DP56" s="722"/>
      <c r="DQ56" s="722"/>
      <c r="DR56" s="722"/>
      <c r="DS56" s="722"/>
      <c r="DT56" s="722"/>
      <c r="DU56" s="114"/>
      <c r="DV56" s="115"/>
      <c r="DW56" s="116"/>
      <c r="DX56" s="116"/>
      <c r="DY56" s="116"/>
      <c r="DZ56" s="116"/>
      <c r="EA56" s="117"/>
      <c r="EB56" s="118"/>
      <c r="EC56" s="119"/>
      <c r="ED56" s="122"/>
      <c r="EE56" s="122"/>
      <c r="EF56" s="122"/>
      <c r="EG56" s="122"/>
      <c r="EH56" s="122"/>
      <c r="EI56" s="123"/>
      <c r="EJ56" s="123"/>
      <c r="EK56" s="123"/>
      <c r="EL56" s="123"/>
      <c r="EM56" s="123"/>
      <c r="EN56" s="123"/>
      <c r="EO56" s="123"/>
      <c r="EP56" s="123"/>
      <c r="EQ56" s="123"/>
      <c r="ER56" s="123"/>
      <c r="ES56" s="120"/>
      <c r="EX56" s="302"/>
      <c r="FE56" s="119"/>
      <c r="FF56" s="122"/>
      <c r="FG56" s="122"/>
      <c r="FH56" s="122"/>
      <c r="FI56" s="122"/>
      <c r="FJ56" s="122"/>
      <c r="FQ56" s="405"/>
    </row>
    <row r="57" spans="2:173">
      <c r="FQ57" s="405"/>
    </row>
  </sheetData>
  <sheetProtection sheet="1" objects="1" scenarios="1"/>
  <mergeCells count="64">
    <mergeCell ref="FD2:FD5"/>
    <mergeCell ref="EX2:EX5"/>
    <mergeCell ref="EY2:EY5"/>
    <mergeCell ref="EZ2:FC2"/>
    <mergeCell ref="EZ4:FA4"/>
    <mergeCell ref="FB4:FC4"/>
    <mergeCell ref="B1:DZ1"/>
    <mergeCell ref="B2:B5"/>
    <mergeCell ref="C2:C5"/>
    <mergeCell ref="D2:D5"/>
    <mergeCell ref="AQ2:DT2"/>
    <mergeCell ref="DU2:DU5"/>
    <mergeCell ref="DV2:DV5"/>
    <mergeCell ref="DW2:DZ2"/>
    <mergeCell ref="AQ3:BK3"/>
    <mergeCell ref="BL3:BW3"/>
    <mergeCell ref="BX3:CI3"/>
    <mergeCell ref="CJ3:CU3"/>
    <mergeCell ref="CV3:DG3"/>
    <mergeCell ref="DH3:DS3"/>
    <mergeCell ref="E3:E5"/>
    <mergeCell ref="G3:G5"/>
    <mergeCell ref="U3:U5"/>
    <mergeCell ref="AC3:AC5"/>
    <mergeCell ref="AG3:AG5"/>
    <mergeCell ref="H3:H5"/>
    <mergeCell ref="I3:I5"/>
    <mergeCell ref="K3:K5"/>
    <mergeCell ref="J3:J5"/>
    <mergeCell ref="L3:L5"/>
    <mergeCell ref="V3:V5"/>
    <mergeCell ref="W3:W5"/>
    <mergeCell ref="X3:X5"/>
    <mergeCell ref="Y3:Y5"/>
    <mergeCell ref="Z3:Z5"/>
    <mergeCell ref="AA3:AA5"/>
    <mergeCell ref="AB3:AB5"/>
    <mergeCell ref="E2:Q2"/>
    <mergeCell ref="AL3:AL5"/>
    <mergeCell ref="AM3:AM5"/>
    <mergeCell ref="R3:R5"/>
    <mergeCell ref="M3:M5"/>
    <mergeCell ref="N3:N5"/>
    <mergeCell ref="O3:O5"/>
    <mergeCell ref="P3:P5"/>
    <mergeCell ref="Q3:Q5"/>
    <mergeCell ref="F3:F5"/>
    <mergeCell ref="AF3:AF5"/>
    <mergeCell ref="AI3:AI5"/>
    <mergeCell ref="AJ3:AJ5"/>
    <mergeCell ref="R2:AC2"/>
    <mergeCell ref="S3:S5"/>
    <mergeCell ref="T3:T5"/>
    <mergeCell ref="AO3:AO5"/>
    <mergeCell ref="AP3:AP5"/>
    <mergeCell ref="AD3:AD5"/>
    <mergeCell ref="EA2:EA5"/>
    <mergeCell ref="DW4:DX4"/>
    <mergeCell ref="DY4:DZ4"/>
    <mergeCell ref="AN3:AN5"/>
    <mergeCell ref="AH3:AH5"/>
    <mergeCell ref="AK3:AK5"/>
    <mergeCell ref="AE3:AE5"/>
    <mergeCell ref="AD2:AP2"/>
  </mergeCell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Y56"/>
  <sheetViews>
    <sheetView zoomScale="70" zoomScaleNormal="7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446" customWidth="1"/>
    <col min="2" max="2" width="4.42578125" style="104" customWidth="1"/>
    <col min="3" max="3" width="6.42578125" style="104" customWidth="1"/>
    <col min="4" max="4" width="28.7109375" style="104" customWidth="1"/>
    <col min="5" max="10" width="7.140625" style="509" customWidth="1"/>
    <col min="11" max="11" width="2" style="509" customWidth="1"/>
    <col min="12" max="17" width="7.140625" style="509" customWidth="1"/>
    <col min="18" max="18" width="2" style="509" customWidth="1"/>
    <col min="19" max="24" width="7.140625" style="509" customWidth="1"/>
    <col min="25" max="25" width="2" style="509" customWidth="1"/>
    <col min="26" max="34" width="6.7109375" style="104" customWidth="1"/>
    <col min="35" max="36" width="4.7109375" style="104" customWidth="1"/>
    <col min="37" max="37" width="5.140625" style="104" customWidth="1"/>
    <col min="38" max="38" width="10.140625" style="104" customWidth="1"/>
    <col min="39" max="39" width="5.140625" style="104" customWidth="1"/>
    <col min="40" max="40" width="10.7109375" style="104" customWidth="1"/>
    <col min="41" max="41" width="84.42578125" style="104" customWidth="1"/>
    <col min="42" max="42" width="29.85546875" style="104" hidden="1" customWidth="1"/>
    <col min="43" max="48" width="10.7109375" style="104" hidden="1" customWidth="1"/>
    <col min="49" max="60" width="9.140625" style="104" hidden="1" customWidth="1"/>
    <col min="61" max="63" width="6.5703125" style="104" hidden="1" customWidth="1"/>
    <col min="64" max="64" width="12.42578125" style="104" hidden="1" customWidth="1"/>
    <col min="65" max="65" width="6.5703125" style="104" hidden="1" customWidth="1"/>
    <col min="66" max="66" width="13.5703125" style="104" hidden="1" customWidth="1"/>
    <col min="67" max="67" width="65.85546875" style="104" hidden="1" customWidth="1"/>
    <col min="68" max="68" width="18.7109375" style="104" hidden="1" customWidth="1"/>
    <col min="69" max="73" width="9.140625" style="104" hidden="1" customWidth="1"/>
    <col min="74" max="80" width="9.140625" style="104" customWidth="1"/>
    <col min="81" max="81" width="5" style="104" hidden="1" customWidth="1"/>
    <col min="82" max="83" width="0" style="104" hidden="1" customWidth="1"/>
    <col min="84" max="97" width="10.7109375" style="104" hidden="1" customWidth="1"/>
    <col min="98" max="207" width="0" style="104" hidden="1" customWidth="1"/>
    <col min="208" max="16384" width="9.140625" style="104" hidden="1"/>
  </cols>
  <sheetData>
    <row r="1" spans="1:73" s="449" customFormat="1" ht="45.75" customHeight="1">
      <c r="B1" s="1040" t="s">
        <v>50</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row>
    <row r="2" spans="1:73" ht="23.25" customHeight="1">
      <c r="B2" s="1071" t="s">
        <v>2</v>
      </c>
      <c r="C2" s="1072" t="s">
        <v>3</v>
      </c>
      <c r="D2" s="1073" t="s">
        <v>48</v>
      </c>
      <c r="E2" s="1083" t="s">
        <v>699</v>
      </c>
      <c r="F2" s="1083"/>
      <c r="G2" s="1083"/>
      <c r="H2" s="1083"/>
      <c r="I2" s="1083"/>
      <c r="J2" s="1083"/>
      <c r="K2" s="515"/>
      <c r="L2" s="1084" t="s">
        <v>692</v>
      </c>
      <c r="M2" s="1084"/>
      <c r="N2" s="1084"/>
      <c r="O2" s="1084"/>
      <c r="P2" s="1084"/>
      <c r="Q2" s="1084"/>
      <c r="R2" s="515"/>
      <c r="S2" s="1085" t="s">
        <v>693</v>
      </c>
      <c r="T2" s="1086"/>
      <c r="U2" s="1086"/>
      <c r="V2" s="1086"/>
      <c r="W2" s="1086"/>
      <c r="X2" s="1087"/>
      <c r="Y2" s="515"/>
      <c r="Z2" s="1074" t="s">
        <v>694</v>
      </c>
      <c r="AA2" s="1075"/>
      <c r="AB2" s="1075"/>
      <c r="AC2" s="1075"/>
      <c r="AD2" s="1075"/>
      <c r="AE2" s="1075"/>
      <c r="AF2" s="1075"/>
      <c r="AG2" s="1075"/>
      <c r="AH2" s="1076"/>
      <c r="AI2" s="1045" t="s">
        <v>5</v>
      </c>
      <c r="AJ2" s="1046" t="s">
        <v>6</v>
      </c>
      <c r="AK2" s="1047" t="s">
        <v>314</v>
      </c>
      <c r="AL2" s="1048"/>
      <c r="AM2" s="1048"/>
      <c r="AN2" s="1048"/>
      <c r="AO2" s="1027" t="s">
        <v>1</v>
      </c>
      <c r="AV2" s="294"/>
      <c r="BG2" s="441">
        <f>DEPAN!$E$23</f>
        <v>50</v>
      </c>
      <c r="BI2" s="1091" t="s">
        <v>5</v>
      </c>
      <c r="BJ2" s="1093" t="s">
        <v>6</v>
      </c>
      <c r="BK2" s="1047" t="s">
        <v>314</v>
      </c>
      <c r="BL2" s="1048"/>
      <c r="BM2" s="1048"/>
      <c r="BN2" s="1048"/>
      <c r="BO2" s="1027" t="s">
        <v>1</v>
      </c>
    </row>
    <row r="3" spans="1:73" ht="94.5" customHeight="1">
      <c r="B3" s="1071"/>
      <c r="C3" s="1072"/>
      <c r="D3" s="1073"/>
      <c r="E3" s="1079" t="str">
        <f>""&amp;'KI-KD'!$B29</f>
        <v>3.2</v>
      </c>
      <c r="F3" s="1079" t="str">
        <f>""&amp;'KI-KD'!$B30</f>
        <v>3.3</v>
      </c>
      <c r="G3" s="1079" t="str">
        <f>""&amp;'KI-KD'!$B31</f>
        <v>3.4</v>
      </c>
      <c r="H3" s="1079" t="str">
        <f>""&amp;'KI-KD'!$B32</f>
        <v/>
      </c>
      <c r="I3" s="1079" t="str">
        <f>""&amp;'KI-KD'!$B33</f>
        <v/>
      </c>
      <c r="J3" s="1079" t="str">
        <f>""&amp;'KI-KD'!$B34</f>
        <v/>
      </c>
      <c r="K3" s="516"/>
      <c r="L3" s="1081" t="str">
        <f t="shared" ref="L3:Q3" si="0">E3</f>
        <v>3.2</v>
      </c>
      <c r="M3" s="1077" t="str">
        <f t="shared" si="0"/>
        <v>3.3</v>
      </c>
      <c r="N3" s="1077" t="str">
        <f t="shared" si="0"/>
        <v>3.4</v>
      </c>
      <c r="O3" s="1081" t="str">
        <f t="shared" si="0"/>
        <v/>
      </c>
      <c r="P3" s="1081" t="str">
        <f t="shared" si="0"/>
        <v/>
      </c>
      <c r="Q3" s="1081" t="str">
        <f t="shared" si="0"/>
        <v/>
      </c>
      <c r="R3" s="516"/>
      <c r="S3" s="1088" t="str">
        <f t="shared" ref="S3:X3" si="1">E3</f>
        <v>3.2</v>
      </c>
      <c r="T3" s="1088" t="str">
        <f t="shared" si="1"/>
        <v>3.3</v>
      </c>
      <c r="U3" s="1088" t="str">
        <f t="shared" si="1"/>
        <v>3.4</v>
      </c>
      <c r="V3" s="1088" t="str">
        <f t="shared" si="1"/>
        <v/>
      </c>
      <c r="W3" s="1088" t="str">
        <f t="shared" si="1"/>
        <v/>
      </c>
      <c r="X3" s="1088" t="str">
        <f t="shared" si="1"/>
        <v/>
      </c>
      <c r="Y3" s="516"/>
      <c r="Z3" s="510" t="str">
        <f>'KI-KD'!$C29</f>
        <v>mengidentifikasi pelaksanaan kewajiban dan hak sebagai warga masyarakat dalam kehidupan sehari-hari.</v>
      </c>
      <c r="AA3" s="510" t="str">
        <f>'KI-KD'!$C30</f>
        <v>menjelaskan manfaat keberagaman karakteristik individu dalam kehidupan sehari-hari.</v>
      </c>
      <c r="AB3" s="510" t="str">
        <f>'KI-KD'!$C31</f>
        <v>mengidentifikasi berbagai bentuk keragaman suku bangsa, sosial, dan budaya di Indonesia yang terikat persatuan dan kesatuan.</v>
      </c>
      <c r="AC3" s="510">
        <f>'KI-KD'!$C32</f>
        <v>0</v>
      </c>
      <c r="AD3" s="510">
        <f>'KI-KD'!$C33</f>
        <v>0</v>
      </c>
      <c r="AE3" s="510">
        <f>'KI-KD'!$C34</f>
        <v>0</v>
      </c>
      <c r="AF3" s="510">
        <f>'KI-KD'!$C36</f>
        <v>0</v>
      </c>
      <c r="AG3" s="510">
        <f>'KI-KD'!$C35</f>
        <v>0</v>
      </c>
      <c r="AH3" s="511"/>
      <c r="AI3" s="1045"/>
      <c r="AJ3" s="1046"/>
      <c r="AK3" s="1030" t="s">
        <v>315</v>
      </c>
      <c r="AL3" s="1031"/>
      <c r="AM3" s="1032" t="s">
        <v>316</v>
      </c>
      <c r="AN3" s="1033"/>
      <c r="AO3" s="1028"/>
      <c r="AV3" s="294"/>
      <c r="BG3" s="408">
        <f>BG4-BG5</f>
        <v>50</v>
      </c>
      <c r="BI3" s="1092"/>
      <c r="BJ3" s="1094"/>
      <c r="BK3" s="1067" t="s">
        <v>315</v>
      </c>
      <c r="BL3" s="1068"/>
      <c r="BM3" s="1069" t="s">
        <v>316</v>
      </c>
      <c r="BN3" s="1070"/>
      <c r="BO3" s="1028"/>
      <c r="BP3" s="1090" t="s">
        <v>730</v>
      </c>
      <c r="BQ3" s="1090"/>
      <c r="BR3" s="1090"/>
      <c r="BS3" s="1090"/>
      <c r="BT3" s="1090"/>
      <c r="BU3" s="1090"/>
    </row>
    <row r="4" spans="1:73" s="108" customFormat="1" ht="25.5" customHeight="1">
      <c r="A4" s="448"/>
      <c r="B4" s="1071"/>
      <c r="C4" s="1072"/>
      <c r="D4" s="1073"/>
      <c r="E4" s="1080"/>
      <c r="F4" s="1080"/>
      <c r="G4" s="1080"/>
      <c r="H4" s="1080"/>
      <c r="I4" s="1080"/>
      <c r="J4" s="1080"/>
      <c r="K4" s="522"/>
      <c r="L4" s="1082"/>
      <c r="M4" s="1078"/>
      <c r="N4" s="1078"/>
      <c r="O4" s="1082"/>
      <c r="P4" s="1082"/>
      <c r="Q4" s="1082"/>
      <c r="R4" s="517"/>
      <c r="S4" s="1089"/>
      <c r="T4" s="1089"/>
      <c r="U4" s="1089"/>
      <c r="V4" s="1089"/>
      <c r="W4" s="1089"/>
      <c r="X4" s="1089"/>
      <c r="Y4" s="517"/>
      <c r="Z4" s="512" t="str">
        <f>'KI-KD'!$B29</f>
        <v>3.2</v>
      </c>
      <c r="AA4" s="512" t="str">
        <f>'KI-KD'!$B30</f>
        <v>3.3</v>
      </c>
      <c r="AB4" s="512" t="str">
        <f>'KI-KD'!$B31</f>
        <v>3.4</v>
      </c>
      <c r="AC4" s="512">
        <f>'KI-KD'!$B32</f>
        <v>0</v>
      </c>
      <c r="AD4" s="512">
        <f>'KI-KD'!$B33</f>
        <v>0</v>
      </c>
      <c r="AE4" s="512">
        <f>'KI-KD'!$B34</f>
        <v>0</v>
      </c>
      <c r="AF4" s="512">
        <f>'KI-KD'!$B35</f>
        <v>0</v>
      </c>
      <c r="AG4" s="512">
        <f>'KI-KD'!$B36</f>
        <v>0</v>
      </c>
      <c r="AH4" s="512"/>
      <c r="AI4" s="1045"/>
      <c r="AJ4" s="1046"/>
      <c r="AK4" s="295" t="s">
        <v>317</v>
      </c>
      <c r="AL4" s="296" t="s">
        <v>1</v>
      </c>
      <c r="AM4" s="297" t="s">
        <v>317</v>
      </c>
      <c r="AN4" s="298" t="s">
        <v>1</v>
      </c>
      <c r="AO4" s="1029"/>
      <c r="AP4" s="104"/>
      <c r="AQ4" s="299" t="s">
        <v>318</v>
      </c>
      <c r="AR4" s="299" t="s">
        <v>319</v>
      </c>
      <c r="AS4" s="299" t="s">
        <v>320</v>
      </c>
      <c r="AT4" s="299" t="s">
        <v>321</v>
      </c>
      <c r="AU4" s="300" t="s">
        <v>314</v>
      </c>
      <c r="AV4" s="301"/>
      <c r="BG4" s="108">
        <v>50</v>
      </c>
      <c r="BI4" s="1092"/>
      <c r="BJ4" s="1094"/>
      <c r="BK4" s="295" t="s">
        <v>317</v>
      </c>
      <c r="BL4" s="296" t="s">
        <v>1</v>
      </c>
      <c r="BM4" s="297" t="s">
        <v>317</v>
      </c>
      <c r="BN4" s="298" t="s">
        <v>1</v>
      </c>
      <c r="BO4" s="1028"/>
      <c r="BP4" s="299" t="s">
        <v>318</v>
      </c>
      <c r="BQ4" s="299" t="s">
        <v>319</v>
      </c>
      <c r="BR4" s="299" t="s">
        <v>320</v>
      </c>
      <c r="BS4" s="299" t="s">
        <v>321</v>
      </c>
      <c r="BT4" s="300" t="s">
        <v>314</v>
      </c>
      <c r="BU4" s="301"/>
    </row>
    <row r="5" spans="1:73" ht="59.25" customHeight="1">
      <c r="B5" s="109">
        <v>1</v>
      </c>
      <c r="C5" s="110">
        <f>SISWA!B6</f>
        <v>4822</v>
      </c>
      <c r="D5" s="111" t="str">
        <f>SISWA!E6</f>
        <v>Anak 1</v>
      </c>
      <c r="E5" s="631">
        <v>89</v>
      </c>
      <c r="F5" s="631">
        <v>99</v>
      </c>
      <c r="G5" s="631">
        <v>100</v>
      </c>
      <c r="H5" s="631"/>
      <c r="I5" s="631"/>
      <c r="J5" s="631"/>
      <c r="K5" s="610"/>
      <c r="L5" s="631"/>
      <c r="M5" s="631">
        <v>61</v>
      </c>
      <c r="N5" s="631">
        <v>100</v>
      </c>
      <c r="O5" s="631"/>
      <c r="P5" s="631"/>
      <c r="Q5" s="631"/>
      <c r="R5" s="610"/>
      <c r="S5" s="729">
        <v>89</v>
      </c>
      <c r="T5" s="729">
        <v>99</v>
      </c>
      <c r="U5" s="729">
        <v>99</v>
      </c>
      <c r="V5" s="729"/>
      <c r="W5" s="729"/>
      <c r="X5" s="729"/>
      <c r="Y5" s="518"/>
      <c r="Z5" s="607">
        <f t="shared" ref="Z5:Z36" si="2">IFERROR(AVERAGE(E5,E5,L5,S5),"")</f>
        <v>89</v>
      </c>
      <c r="AA5" s="607">
        <f t="shared" ref="AA5:AA36" si="3">IFERROR(AVERAGE(F5,F5,M5,T5),"")</f>
        <v>89.5</v>
      </c>
      <c r="AB5" s="607">
        <f t="shared" ref="AB5:AB17" si="4">IFERROR(AVERAGE(G5,G5,N5,U5),"")</f>
        <v>99.75</v>
      </c>
      <c r="AC5" s="607" t="str">
        <f>IFERROR(AVERAGE(H5,#REF!,O5,V5),"")</f>
        <v/>
      </c>
      <c r="AD5" s="607" t="str">
        <f>IFERROR(AVERAGE(I5,#REF!,P5,W5),"")</f>
        <v/>
      </c>
      <c r="AE5" s="607" t="str">
        <f>IFERROR(AVERAGE(J5,#REF!,Q5,X5),"")</f>
        <v/>
      </c>
      <c r="AF5" s="607"/>
      <c r="AG5" s="528"/>
      <c r="AH5" s="528"/>
      <c r="AI5" s="302">
        <f t="shared" ref="AI5:AI36" si="5">ROUND((AVERAGE(Z5:AH5)),0)</f>
        <v>93</v>
      </c>
      <c r="AJ5" s="303" t="str">
        <f>IF(AI5&gt;KKM!$G$10,"A",IF(AI5&gt;KKM!$H$10,"B",IF(AI5&gt;=KKM!$I$10,"C","D")))</f>
        <v>A</v>
      </c>
      <c r="AK5" s="523">
        <f t="shared" ref="AK5:AK36" si="6">MAX(Z5:AH5)</f>
        <v>99.75</v>
      </c>
      <c r="AL5" s="115" t="str">
        <f>IF(AK5&gt;KKM!$G$10," sangat baik ",IF(AK5&gt;KKM!$H$10," baik ",IF(AK5&gt;=KKM!$I$10," cukup baik "," perlu bimbingan ")))</f>
        <v xml:space="preserve"> sangat baik </v>
      </c>
      <c r="AM5" s="524">
        <f t="shared" ref="AM5:AM36" si="7">MIN(Z5:AH5)</f>
        <v>89</v>
      </c>
      <c r="AN5" s="115" t="str">
        <f>IF(AM5&gt;KKM!$G$10," sangat baik ",IF(AM5&gt;KKM!$H$10," baik ",IF(AM5&gt;=KKM!$I$10," cukup baik "," perlu bimbingan ")))</f>
        <v xml:space="preserve"> baik </v>
      </c>
      <c r="AO5" s="301" t="str">
        <f>IFERROR(AV5," ")</f>
        <v>Anak 1 sangat baik  dalam mengidentifikasi berbagai bentuk keragaman suku bangsa, sosial, dan budaya di Indonesia yang terikat persatuan dan kesatuan., dan  baik  dalam mengidentifikasi pelaksanaan kewajiban dan hak sebagai warga masyarakat dalam kehidupan sehari-hari.</v>
      </c>
      <c r="AP5" s="306"/>
      <c r="AQ5" s="307" t="str">
        <f t="shared" ref="AQ5:AQ36" si="8">AL5&amp;" dalam "&amp;INDEX($Z$3:$AH$3,MATCH(AK5,$Z5:$AH5,0))</f>
        <v xml:space="preserve"> sangat baik  dalam mengidentifikasi berbagai bentuk keragaman suku bangsa, sosial, dan budaya di Indonesia yang terikat persatuan dan kesatuan.</v>
      </c>
      <c r="AR5" s="307" t="str">
        <f t="shared" ref="AR5:AR36" si="9">AN5&amp;" dalam "&amp;INDEX($Z$3:$AH$3,MATCH(AM5,$Z5:$AH5,0))</f>
        <v xml:space="preserve"> baik  dalam mengidentifikasi pelaksanaan kewajiban dan hak sebagai warga masyarakat dalam kehidupan sehari-hari.</v>
      </c>
      <c r="AS5" s="307" t="str">
        <f>AQ5&amp;", dan "&amp;AR5</f>
        <v xml:space="preserve"> sangat baik  dalam mengidentifikasi berbagai bentuk keragaman suku bangsa, sosial, dan budaya di Indonesia yang terikat persatuan dan kesatuan., dan  baik  dalam mengidentifikasi pelaksanaan kewajiban dan hak sebagai warga masyarakat dalam kehidupan sehari-hari.</v>
      </c>
      <c r="AT5" s="307" t="str">
        <f>IF(AQ5=AR5,AQ5," ")</f>
        <v xml:space="preserve"> </v>
      </c>
      <c r="AU5" s="308" t="str">
        <f>IF(AT5=" ",AS5,AT5)</f>
        <v xml:space="preserve"> sangat baik  dalam mengidentifikasi berbagai bentuk keragaman suku bangsa, sosial, dan budaya di Indonesia yang terikat persatuan dan kesatuan., dan  baik  dalam mengidentifikasi pelaksanaan kewajiban dan hak sebagai warga masyarakat dalam kehidupan sehari-hari.</v>
      </c>
      <c r="AV5" s="301" t="str">
        <f t="shared" ref="AV5:AV36" si="10">CONCATENATE(D5,AU5)</f>
        <v>Anak 1 sangat baik  dalam mengidentifikasi berbagai bentuk keragaman suku bangsa, sosial, dan budaya di Indonesia yang terikat persatuan dan kesatuan., dan  baik  dalam mengidentifikasi pelaksanaan kewajiban dan hak sebagai warga masyarakat dalam kehidupan sehari-hari.</v>
      </c>
      <c r="AW5" s="120"/>
      <c r="BF5" s="408">
        <f>IFERROR(AI5,"")</f>
        <v>93</v>
      </c>
      <c r="BG5" s="408">
        <f>COUNTBLANK(BF5:BF54)</f>
        <v>0</v>
      </c>
      <c r="BI5" s="302">
        <f t="shared" ref="BI5:BI36" si="11">ROUND((AVERAGE(L5:Q5)),0)</f>
        <v>81</v>
      </c>
      <c r="BJ5" s="303" t="str">
        <f>IF(BI5&gt;KKM!$G$10,"A",IF(BI5&gt;KKM!$H$10,"B",IF(BI5&gt;=KKM!$I$10,"C","D")))</f>
        <v>B</v>
      </c>
      <c r="BK5" s="523">
        <f>MAX(L5:Q5)</f>
        <v>100</v>
      </c>
      <c r="BL5" s="115" t="str">
        <f>IF(BK5&gt;KKM!$G$10," sangat baik ",IF(BK5&gt;KKM!$H$10," baik ",IF(BK5&gt;=KKM!$I$10," cukup baik "," perlu bimbingan ")))</f>
        <v xml:space="preserve"> sangat baik </v>
      </c>
      <c r="BM5" s="524">
        <f>MIN(L5:Q5)</f>
        <v>61</v>
      </c>
      <c r="BN5" s="115" t="str">
        <f>IF(BM5&gt;KKM!$G$10," sangat baik ",IF(BM5&gt;KKM!$H$10," baik ",IF(BM5&gt;=KKM!$I$10," cukup baik "," perlu bimbingan ")))</f>
        <v xml:space="preserve"> perlu bimbingan </v>
      </c>
      <c r="BO5" s="301" t="str">
        <f>IFERROR(BU5," ")</f>
        <v>Anak 1 sangat baik  dalam mengidentifikasi berbagai bentuk keragaman suku bangsa, sosial, dan budaya di Indonesia yang terikat persatuan dan kesatuan., dan  perlu bimbingan  dalam menjelaskan manfaat keberagaman karakteristik individu dalam kehidupan sehari-hari.</v>
      </c>
      <c r="BP5" s="307" t="str">
        <f>BL5&amp;" dalam "&amp;INDEX($Z$3:$AH$3,MATCH(BK5,$L5:$Q5,0))</f>
        <v xml:space="preserve"> sangat baik  dalam mengidentifikasi berbagai bentuk keragaman suku bangsa, sosial, dan budaya di Indonesia yang terikat persatuan dan kesatuan.</v>
      </c>
      <c r="BQ5" s="307" t="str">
        <f>BN5&amp;" dalam "&amp;INDEX($Z$3:$AH$3,MATCH(BM5,$L5:$Q5,0))</f>
        <v xml:space="preserve"> perlu bimbingan  dalam menjelaskan manfaat keberagaman karakteristik individu dalam kehidupan sehari-hari.</v>
      </c>
      <c r="BR5" s="307" t="str">
        <f>BP5&amp;", dan "&amp;BQ5</f>
        <v xml:space="preserve"> sangat baik  dalam mengidentifikasi berbagai bentuk keragaman suku bangsa, sosial, dan budaya di Indonesia yang terikat persatuan dan kesatuan., dan  perlu bimbingan  dalam menjelaskan manfaat keberagaman karakteristik individu dalam kehidupan sehari-hari.</v>
      </c>
      <c r="BS5" s="307" t="str">
        <f>IF(BP5=BQ5,BP5," ")</f>
        <v xml:space="preserve"> </v>
      </c>
      <c r="BT5" s="308" t="str">
        <f>IF(BS5=" ",BR5,BS5)</f>
        <v xml:space="preserve"> sangat baik  dalam mengidentifikasi berbagai bentuk keragaman suku bangsa, sosial, dan budaya di Indonesia yang terikat persatuan dan kesatuan., dan  perlu bimbingan  dalam menjelaskan manfaat keberagaman karakteristik individu dalam kehidupan sehari-hari.</v>
      </c>
      <c r="BU5" s="301" t="str">
        <f t="shared" ref="BU5:BU36" si="12">CONCATENATE(D5,BT5)</f>
        <v>Anak 1 sangat baik  dalam mengidentifikasi berbagai bentuk keragaman suku bangsa, sosial, dan budaya di Indonesia yang terikat persatuan dan kesatuan., dan  perlu bimbingan  dalam menjelaskan manfaat keberagaman karakteristik individu dalam kehidupan sehari-hari.</v>
      </c>
    </row>
    <row r="6" spans="1:73" ht="59.25" customHeight="1">
      <c r="B6" s="109">
        <v>2</v>
      </c>
      <c r="C6" s="110">
        <f>SISWA!B7</f>
        <v>0</v>
      </c>
      <c r="D6" s="111" t="str">
        <f>SISWA!E7</f>
        <v>Anak 2</v>
      </c>
      <c r="E6" s="631">
        <v>99</v>
      </c>
      <c r="F6" s="631">
        <v>99</v>
      </c>
      <c r="G6" s="631">
        <v>99</v>
      </c>
      <c r="H6" s="631"/>
      <c r="I6" s="631"/>
      <c r="J6" s="631"/>
      <c r="K6" s="610"/>
      <c r="L6" s="631"/>
      <c r="M6" s="631">
        <v>95.5</v>
      </c>
      <c r="N6" s="631">
        <v>94.5</v>
      </c>
      <c r="O6" s="631"/>
      <c r="P6" s="631"/>
      <c r="Q6" s="631"/>
      <c r="R6" s="610"/>
      <c r="S6" s="729">
        <v>99</v>
      </c>
      <c r="T6" s="729">
        <v>99</v>
      </c>
      <c r="U6" s="729">
        <v>88</v>
      </c>
      <c r="V6" s="729"/>
      <c r="W6" s="729"/>
      <c r="X6" s="729"/>
      <c r="Y6" s="518"/>
      <c r="Z6" s="607">
        <f t="shared" si="2"/>
        <v>99</v>
      </c>
      <c r="AA6" s="607">
        <f t="shared" si="3"/>
        <v>98.125</v>
      </c>
      <c r="AB6" s="607">
        <f t="shared" si="4"/>
        <v>95.125</v>
      </c>
      <c r="AC6" s="528"/>
      <c r="AD6" s="528"/>
      <c r="AE6" s="528"/>
      <c r="AF6" s="528"/>
      <c r="AG6" s="528"/>
      <c r="AH6" s="528"/>
      <c r="AI6" s="302">
        <f t="shared" si="5"/>
        <v>97</v>
      </c>
      <c r="AJ6" s="303" t="str">
        <f>IF(AI6&gt;KKM!$G$10,"A",IF(AI6&gt;KKM!$H$10,"B",IF(AI6&gt;=KKM!$I$10,"C","D")))</f>
        <v>A</v>
      </c>
      <c r="AK6" s="523">
        <f t="shared" si="6"/>
        <v>99</v>
      </c>
      <c r="AL6" s="115" t="str">
        <f>IF(AK6&gt;KKM!$G$10," sangat baik ",IF(AK6&gt;KKM!$H$10," baik ",IF(AK6&gt;=KKM!$I$10," cukup baik "," perlu bimbingan ")))</f>
        <v xml:space="preserve"> sangat baik </v>
      </c>
      <c r="AM6" s="524">
        <f t="shared" si="7"/>
        <v>95.125</v>
      </c>
      <c r="AN6" s="115" t="str">
        <f>IF(AM6&gt;KKM!$G$10," sangat baik ",IF(AM6&gt;KKM!$H$10," baik ",IF(AM6&gt;=KKM!$I$10," cukup baik "," perlu bimbingan ")))</f>
        <v xml:space="preserve"> sangat baik </v>
      </c>
      <c r="AO6" s="301" t="str">
        <f t="shared" ref="AO6:AO54" si="13">IFERROR(AV6," ")</f>
        <v>Anak 2 sangat baik  dalam mengidentifikasi pelaksanaan kewajiban dan hak sebagai warga masyarakat dalam kehidupan sehari-hari., dan  sangat baik  dalam mengidentifikasi berbagai bentuk keragaman suku bangsa, sosial, dan budaya di Indonesia yang terikat persatuan dan kesatuan.</v>
      </c>
      <c r="AP6" s="306"/>
      <c r="AQ6" s="307" t="str">
        <f t="shared" si="8"/>
        <v xml:space="preserve"> sangat baik  dalam mengidentifikasi pelaksanaan kewajiban dan hak sebagai warga masyarakat dalam kehidupan sehari-hari.</v>
      </c>
      <c r="AR6" s="307" t="str">
        <f t="shared" si="9"/>
        <v xml:space="preserve"> sangat baik  dalam mengidentifikasi berbagai bentuk keragaman suku bangsa, sosial, dan budaya di Indonesia yang terikat persatuan dan kesatuan.</v>
      </c>
      <c r="AS6" s="307" t="str">
        <f t="shared" ref="AS6:AS54" si="14">AQ6&amp;", dan "&amp;AR6</f>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6" s="307" t="str">
        <f t="shared" ref="AT6:AT54" si="15">IF(AQ6=AR6,AQ6," ")</f>
        <v xml:space="preserve"> </v>
      </c>
      <c r="AU6" s="308" t="str">
        <f t="shared" ref="AU6:AU54" si="16">IF(AT6=" ",AS6,AT6)</f>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6" s="301" t="str">
        <f t="shared" si="10"/>
        <v>Anak 2 sangat baik  dalam mengidentifikasi pelaksanaan kewajiban dan hak sebagai warga masyarakat dalam kehidupan sehari-hari., dan  sangat baik  dalam mengidentifikasi berbagai bentuk keragaman suku bangsa, sosial, dan budaya di Indonesia yang terikat persatuan dan kesatuan.</v>
      </c>
      <c r="AW6" s="120"/>
      <c r="BF6" s="408">
        <f t="shared" ref="BF6:BF54" si="17">IFERROR(AI6,"")</f>
        <v>97</v>
      </c>
      <c r="BG6" s="442">
        <f>IFERROR(BG3/BG2,"0%")</f>
        <v>1</v>
      </c>
      <c r="BI6" s="302">
        <f t="shared" si="11"/>
        <v>95</v>
      </c>
      <c r="BJ6" s="303" t="str">
        <f>IF(BI6&gt;KKM!$G$10,"A",IF(BI6&gt;KKM!$H$10,"B",IF(BI6&gt;=KKM!$I$10,"C","D")))</f>
        <v>A</v>
      </c>
      <c r="BK6" s="523">
        <f t="shared" ref="BK6:BK54" si="18">MAX(L6:Q6)</f>
        <v>95.5</v>
      </c>
      <c r="BL6" s="115" t="str">
        <f>IF(BK6&gt;KKM!$G$10," sangat baik ",IF(BK6&gt;KKM!$H$10," baik ",IF(BK6&gt;=KKM!$I$10," cukup baik "," perlu bimbingan ")))</f>
        <v xml:space="preserve"> sangat baik </v>
      </c>
      <c r="BM6" s="524">
        <f t="shared" ref="BM6:BM54" si="19">MIN(L6:Q6)</f>
        <v>94.5</v>
      </c>
      <c r="BN6" s="115" t="str">
        <f>IF(BM6&gt;KKM!$G$10," sangat baik ",IF(BM6&gt;KKM!$H$10," baik ",IF(BM6&gt;=KKM!$I$10," cukup baik "," perlu bimbingan ")))</f>
        <v xml:space="preserve"> sangat baik </v>
      </c>
      <c r="BO6" s="301" t="str">
        <f>IFERROR(BU6," ")</f>
        <v>Anak 2 sangat baik  dalam menjelaskan manfaat keberagaman karakteristik individu dalam kehidupan sehari-hari., dan  sangat baik  dalam mengidentifikasi berbagai bentuk keragaman suku bangsa, sosial, dan budaya di Indonesia yang terikat persatuan dan kesatuan.</v>
      </c>
      <c r="BP6" s="307" t="str">
        <f t="shared" ref="BP6:BP54" si="20">BL6&amp;" dalam "&amp;INDEX($Z$3:$AH$3,MATCH(BK6,$L6:$Q6,0))</f>
        <v xml:space="preserve"> sangat baik  dalam menjelaskan manfaat keberagaman karakteristik individu dalam kehidupan sehari-hari.</v>
      </c>
      <c r="BQ6" s="307" t="str">
        <f t="shared" ref="BQ6:BQ54" si="21">BN6&amp;" dalam "&amp;INDEX($Z$3:$AH$3,MATCH(BM6,$L6:$Q6,0))</f>
        <v xml:space="preserve"> sangat baik  dalam mengidentifikasi berbagai bentuk keragaman suku bangsa, sosial, dan budaya di Indonesia yang terikat persatuan dan kesatuan.</v>
      </c>
      <c r="BR6" s="307" t="str">
        <f t="shared" ref="BR6:BR54" si="22">BP6&amp;", dan "&amp;BQ6</f>
        <v xml:space="preserve"> sangat baik  dalam menjelaskan manfaat keberagaman karakteristik individu dalam kehidupan sehari-hari., dan  sangat baik  dalam mengidentifikasi berbagai bentuk keragaman suku bangsa, sosial, dan budaya di Indonesia yang terikat persatuan dan kesatuan.</v>
      </c>
      <c r="BS6" s="307" t="str">
        <f t="shared" ref="BS6:BS54" si="23">IF(BP6=BQ6,BP6," ")</f>
        <v xml:space="preserve"> </v>
      </c>
      <c r="BT6" s="308" t="str">
        <f t="shared" ref="BT6:BT54" si="24">IF(BS6=" ",BR6,BS6)</f>
        <v xml:space="preserve"> sangat baik  dalam menjelaskan manfaat keberagaman karakteristik individu dalam kehidupan sehari-hari., dan  sangat baik  dalam mengidentifikasi berbagai bentuk keragaman suku bangsa, sosial, dan budaya di Indonesia yang terikat persatuan dan kesatuan.</v>
      </c>
      <c r="BU6" s="301" t="str">
        <f t="shared" si="12"/>
        <v>Anak 2 sangat baik  dalam menjelaskan manfaat keberagaman karakteristik individu dalam kehidupan sehari-hari., dan  sangat baik  dalam mengidentifikasi berbagai bentuk keragaman suku bangsa, sosial, dan budaya di Indonesia yang terikat persatuan dan kesatuan.</v>
      </c>
    </row>
    <row r="7" spans="1:73" ht="59.25" customHeight="1">
      <c r="B7" s="109">
        <v>3</v>
      </c>
      <c r="C7" s="110">
        <f>SISWA!B8</f>
        <v>0</v>
      </c>
      <c r="D7" s="111" t="str">
        <f>SISWA!E8</f>
        <v>Anak 3</v>
      </c>
      <c r="E7" s="631">
        <v>99</v>
      </c>
      <c r="F7" s="631">
        <v>99</v>
      </c>
      <c r="G7" s="631">
        <v>99</v>
      </c>
      <c r="H7" s="631"/>
      <c r="I7" s="631"/>
      <c r="J7" s="631"/>
      <c r="K7" s="610"/>
      <c r="L7" s="631"/>
      <c r="M7" s="631">
        <v>94.5</v>
      </c>
      <c r="N7" s="631">
        <v>79</v>
      </c>
      <c r="O7" s="631"/>
      <c r="P7" s="631"/>
      <c r="Q7" s="631"/>
      <c r="R7" s="610"/>
      <c r="S7" s="729">
        <v>99</v>
      </c>
      <c r="T7" s="729">
        <v>99</v>
      </c>
      <c r="U7" s="729">
        <v>99</v>
      </c>
      <c r="V7" s="729"/>
      <c r="W7" s="729"/>
      <c r="X7" s="729"/>
      <c r="Y7" s="518"/>
      <c r="Z7" s="607">
        <f t="shared" si="2"/>
        <v>99</v>
      </c>
      <c r="AA7" s="607">
        <f t="shared" si="3"/>
        <v>97.875</v>
      </c>
      <c r="AB7" s="607">
        <f t="shared" si="4"/>
        <v>94</v>
      </c>
      <c r="AC7" s="529"/>
      <c r="AD7" s="529"/>
      <c r="AE7" s="528"/>
      <c r="AF7" s="528"/>
      <c r="AG7" s="528"/>
      <c r="AH7" s="528"/>
      <c r="AI7" s="302">
        <f t="shared" si="5"/>
        <v>97</v>
      </c>
      <c r="AJ7" s="303" t="str">
        <f>IF(AI7&gt;KKM!$G$10,"A",IF(AI7&gt;KKM!$H$10,"B",IF(AI7&gt;=KKM!$I$10,"C","D")))</f>
        <v>A</v>
      </c>
      <c r="AK7" s="523">
        <f t="shared" si="6"/>
        <v>99</v>
      </c>
      <c r="AL7" s="115" t="str">
        <f>IF(AK7&gt;KKM!$G$10," sangat baik ",IF(AK7&gt;KKM!$H$10," baik ",IF(AK7&gt;=KKM!$I$10," cukup baik "," perlu bimbingan ")))</f>
        <v xml:space="preserve"> sangat baik </v>
      </c>
      <c r="AM7" s="524">
        <f t="shared" si="7"/>
        <v>94</v>
      </c>
      <c r="AN7" s="115" t="str">
        <f>IF(AM7&gt;KKM!$G$10," sangat baik ",IF(AM7&gt;KKM!$H$10," baik ",IF(AM7&gt;=KKM!$I$10," cukup baik "," perlu bimbingan ")))</f>
        <v xml:space="preserve"> sangat baik </v>
      </c>
      <c r="AO7" s="301" t="str">
        <f t="shared" si="13"/>
        <v>Anak 3 sangat baik  dalam mengidentifikasi pelaksanaan kewajiban dan hak sebagai warga masyarakat dalam kehidupan sehari-hari., dan  sangat baik  dalam mengidentifikasi berbagai bentuk keragaman suku bangsa, sosial, dan budaya di Indonesia yang terikat persatuan dan kesatuan.</v>
      </c>
      <c r="AP7" s="306"/>
      <c r="AQ7" s="307" t="str">
        <f t="shared" si="8"/>
        <v xml:space="preserve"> sangat baik  dalam mengidentifikasi pelaksanaan kewajiban dan hak sebagai warga masyarakat dalam kehidupan sehari-hari.</v>
      </c>
      <c r="AR7" s="307" t="str">
        <f t="shared" si="9"/>
        <v xml:space="preserve"> sangat baik  dalam mengidentifikasi berbagai bentuk keragaman suku bangsa, sosial, dan budaya di Indonesia yang terikat persatuan dan kesatuan.</v>
      </c>
      <c r="AS7"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7" s="307" t="str">
        <f t="shared" si="15"/>
        <v xml:space="preserve"> </v>
      </c>
      <c r="AU7"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7" s="301" t="str">
        <f t="shared" si="10"/>
        <v>Anak 3 sangat baik  dalam mengidentifikasi pelaksanaan kewajiban dan hak sebagai warga masyarakat dalam kehidupan sehari-hari., dan  sangat baik  dalam mengidentifikasi berbagai bentuk keragaman suku bangsa, sosial, dan budaya di Indonesia yang terikat persatuan dan kesatuan.</v>
      </c>
      <c r="AW7" s="120"/>
      <c r="BF7" s="408">
        <f t="shared" si="17"/>
        <v>97</v>
      </c>
      <c r="BI7" s="302">
        <f t="shared" si="11"/>
        <v>87</v>
      </c>
      <c r="BJ7" s="303" t="str">
        <f>IF(BI7&gt;KKM!$G$10,"A",IF(BI7&gt;KKM!$H$10,"B",IF(BI7&gt;=KKM!$I$10,"C","D")))</f>
        <v>B</v>
      </c>
      <c r="BK7" s="523">
        <f t="shared" si="18"/>
        <v>94.5</v>
      </c>
      <c r="BL7" s="115" t="str">
        <f>IF(BK7&gt;KKM!$G$10," sangat baik ",IF(BK7&gt;KKM!$H$10," baik ",IF(BK7&gt;=KKM!$I$10," cukup baik "," perlu bimbingan ")))</f>
        <v xml:space="preserve"> sangat baik </v>
      </c>
      <c r="BM7" s="524">
        <f t="shared" si="19"/>
        <v>79</v>
      </c>
      <c r="BN7" s="115" t="str">
        <f>IF(BM7&gt;KKM!$G$10," sangat baik ",IF(BM7&gt;KKM!$H$10," baik ",IF(BM7&gt;=KKM!$I$10," cukup baik "," perlu bimbingan ")))</f>
        <v xml:space="preserve"> cukup baik </v>
      </c>
      <c r="BO7" s="301" t="str">
        <f t="shared" ref="BO7:BO54" si="25">IFERROR(BU7," ")</f>
        <v>Anak 3 sangat baik  dalam menjelaskan manfaat keberagaman karakteristik individu dalam kehidupan sehari-hari., dan  cukup baik  dalam mengidentifikasi berbagai bentuk keragaman suku bangsa, sosial, dan budaya di Indonesia yang terikat persatuan dan kesatuan.</v>
      </c>
      <c r="BP7" s="307" t="str">
        <f t="shared" si="20"/>
        <v xml:space="preserve"> sangat baik  dalam menjelaskan manfaat keberagaman karakteristik individu dalam kehidupan sehari-hari.</v>
      </c>
      <c r="BQ7" s="307" t="str">
        <f t="shared" si="21"/>
        <v xml:space="preserve"> cukup baik  dalam mengidentifikasi berbagai bentuk keragaman suku bangsa, sosial, dan budaya di Indonesia yang terikat persatuan dan kesatuan.</v>
      </c>
      <c r="BR7" s="307" t="str">
        <f t="shared" si="22"/>
        <v xml:space="preserve"> sangat baik  dalam menjelaskan manfaat keberagaman karakteristik individu dalam kehidupan sehari-hari., dan  cukup baik  dalam mengidentifikasi berbagai bentuk keragaman suku bangsa, sosial, dan budaya di Indonesia yang terikat persatuan dan kesatuan.</v>
      </c>
      <c r="BS7" s="307" t="str">
        <f t="shared" si="23"/>
        <v xml:space="preserve"> </v>
      </c>
      <c r="BT7" s="308" t="str">
        <f t="shared" si="24"/>
        <v xml:space="preserve"> sangat baik  dalam menjelaskan manfaat keberagaman karakteristik individu dalam kehidupan sehari-hari., dan  cukup baik  dalam mengidentifikasi berbagai bentuk keragaman suku bangsa, sosial, dan budaya di Indonesia yang terikat persatuan dan kesatuan.</v>
      </c>
      <c r="BU7" s="301" t="str">
        <f t="shared" si="12"/>
        <v>Anak 3 sangat baik  dalam menjelaskan manfaat keberagaman karakteristik individu dalam kehidupan sehari-hari., dan  cukup baik  dalam mengidentifikasi berbagai bentuk keragaman suku bangsa, sosial, dan budaya di Indonesia yang terikat persatuan dan kesatuan.</v>
      </c>
    </row>
    <row r="8" spans="1:73" ht="59.25" customHeight="1">
      <c r="B8" s="109">
        <v>4</v>
      </c>
      <c r="C8" s="110">
        <f>SISWA!B9</f>
        <v>0</v>
      </c>
      <c r="D8" s="111" t="str">
        <f>SISWA!E9</f>
        <v>Anak 4</v>
      </c>
      <c r="E8" s="631">
        <v>99</v>
      </c>
      <c r="F8" s="631">
        <v>99</v>
      </c>
      <c r="G8" s="631">
        <v>99</v>
      </c>
      <c r="H8" s="631"/>
      <c r="I8" s="631"/>
      <c r="J8" s="631"/>
      <c r="K8" s="610"/>
      <c r="L8" s="631"/>
      <c r="M8" s="631">
        <v>79</v>
      </c>
      <c r="N8" s="631">
        <v>79</v>
      </c>
      <c r="O8" s="631"/>
      <c r="P8" s="631"/>
      <c r="Q8" s="631"/>
      <c r="R8" s="610"/>
      <c r="S8" s="729">
        <v>99</v>
      </c>
      <c r="T8" s="729">
        <v>99</v>
      </c>
      <c r="U8" s="729">
        <v>99</v>
      </c>
      <c r="V8" s="729"/>
      <c r="W8" s="729"/>
      <c r="X8" s="729"/>
      <c r="Y8" s="518"/>
      <c r="Z8" s="607">
        <f t="shared" si="2"/>
        <v>99</v>
      </c>
      <c r="AA8" s="607">
        <f t="shared" si="3"/>
        <v>94</v>
      </c>
      <c r="AB8" s="607">
        <f t="shared" si="4"/>
        <v>94</v>
      </c>
      <c r="AC8" s="529"/>
      <c r="AD8" s="529"/>
      <c r="AE8" s="528"/>
      <c r="AF8" s="528"/>
      <c r="AG8" s="528"/>
      <c r="AH8" s="528"/>
      <c r="AI8" s="302">
        <f t="shared" si="5"/>
        <v>96</v>
      </c>
      <c r="AJ8" s="303" t="str">
        <f>IF(AI8&gt;KKM!$G$10,"A",IF(AI8&gt;KKM!$H$10,"B",IF(AI8&gt;=KKM!$I$10,"C","D")))</f>
        <v>A</v>
      </c>
      <c r="AK8" s="523">
        <f t="shared" si="6"/>
        <v>99</v>
      </c>
      <c r="AL8" s="115" t="str">
        <f>IF(AK8&gt;KKM!$G$10," sangat baik ",IF(AK8&gt;KKM!$H$10," baik ",IF(AK8&gt;=KKM!$I$10," cukup baik "," perlu bimbingan ")))</f>
        <v xml:space="preserve"> sangat baik </v>
      </c>
      <c r="AM8" s="524">
        <f t="shared" si="7"/>
        <v>94</v>
      </c>
      <c r="AN8" s="115" t="str">
        <f>IF(AM8&gt;KKM!$G$10," sangat baik ",IF(AM8&gt;KKM!$H$10," baik ",IF(AM8&gt;=KKM!$I$10," cukup baik "," perlu bimbingan ")))</f>
        <v xml:space="preserve"> sangat baik </v>
      </c>
      <c r="AO8" s="301" t="str">
        <f t="shared" si="13"/>
        <v>Anak 4 sangat baik  dalam mengidentifikasi pelaksanaan kewajiban dan hak sebagai warga masyarakat dalam kehidupan sehari-hari., dan  sangat baik  dalam menjelaskan manfaat keberagaman karakteristik individu dalam kehidupan sehari-hari.</v>
      </c>
      <c r="AP8" s="306"/>
      <c r="AQ8" s="307" t="str">
        <f t="shared" si="8"/>
        <v xml:space="preserve"> sangat baik  dalam mengidentifikasi pelaksanaan kewajiban dan hak sebagai warga masyarakat dalam kehidupan sehari-hari.</v>
      </c>
      <c r="AR8" s="307" t="str">
        <f t="shared" si="9"/>
        <v xml:space="preserve"> sangat baik  dalam menjelaskan manfaat keberagaman karakteristik individu dalam kehidupan sehari-hari.</v>
      </c>
      <c r="AS8" s="307" t="str">
        <f t="shared" si="14"/>
        <v xml:space="preserve"> sangat baik  dalam mengidentifikasi pelaksanaan kewajiban dan hak sebagai warga masyarakat dalam kehidupan sehari-hari., dan  sangat baik  dalam menjelaskan manfaat keberagaman karakteristik individu dalam kehidupan sehari-hari.</v>
      </c>
      <c r="AT8" s="307" t="str">
        <f t="shared" si="15"/>
        <v xml:space="preserve"> </v>
      </c>
      <c r="AU8" s="308" t="str">
        <f t="shared" si="16"/>
        <v xml:space="preserve"> sangat baik  dalam mengidentifikasi pelaksanaan kewajiban dan hak sebagai warga masyarakat dalam kehidupan sehari-hari., dan  sangat baik  dalam menjelaskan manfaat keberagaman karakteristik individu dalam kehidupan sehari-hari.</v>
      </c>
      <c r="AV8" s="301" t="str">
        <f t="shared" si="10"/>
        <v>Anak 4 sangat baik  dalam mengidentifikasi pelaksanaan kewajiban dan hak sebagai warga masyarakat dalam kehidupan sehari-hari., dan  sangat baik  dalam menjelaskan manfaat keberagaman karakteristik individu dalam kehidupan sehari-hari.</v>
      </c>
      <c r="AW8" s="120"/>
      <c r="BF8" s="408">
        <f t="shared" si="17"/>
        <v>96</v>
      </c>
      <c r="BI8" s="302">
        <f t="shared" si="11"/>
        <v>79</v>
      </c>
      <c r="BJ8" s="303" t="str">
        <f>IF(BI8&gt;KKM!$G$10,"A",IF(BI8&gt;KKM!$H$10,"B",IF(BI8&gt;=KKM!$I$10,"C","D")))</f>
        <v>C</v>
      </c>
      <c r="BK8" s="523">
        <f t="shared" si="18"/>
        <v>79</v>
      </c>
      <c r="BL8" s="115" t="str">
        <f>IF(BK8&gt;KKM!$G$10," sangat baik ",IF(BK8&gt;KKM!$H$10," baik ",IF(BK8&gt;=KKM!$I$10," cukup baik "," perlu bimbingan ")))</f>
        <v xml:space="preserve"> cukup baik </v>
      </c>
      <c r="BM8" s="524">
        <f t="shared" si="19"/>
        <v>79</v>
      </c>
      <c r="BN8" s="115" t="str">
        <f>IF(BM8&gt;KKM!$G$10," sangat baik ",IF(BM8&gt;KKM!$H$10," baik ",IF(BM8&gt;=KKM!$I$10," cukup baik "," perlu bimbingan ")))</f>
        <v xml:space="preserve"> cukup baik </v>
      </c>
      <c r="BO8" s="301" t="str">
        <f t="shared" si="25"/>
        <v>Anak 4 cukup baik  dalam menjelaskan manfaat keberagaman karakteristik individu dalam kehidupan sehari-hari.</v>
      </c>
      <c r="BP8" s="307" t="str">
        <f t="shared" si="20"/>
        <v xml:space="preserve"> cukup baik  dalam menjelaskan manfaat keberagaman karakteristik individu dalam kehidupan sehari-hari.</v>
      </c>
      <c r="BQ8" s="307" t="str">
        <f t="shared" si="21"/>
        <v xml:space="preserve"> cukup baik  dalam menjelaskan manfaat keberagaman karakteristik individu dalam kehidupan sehari-hari.</v>
      </c>
      <c r="BR8" s="307" t="str">
        <f t="shared" si="22"/>
        <v xml:space="preserve"> cukup baik  dalam menjelaskan manfaat keberagaman karakteristik individu dalam kehidupan sehari-hari., dan  cukup baik  dalam menjelaskan manfaat keberagaman karakteristik individu dalam kehidupan sehari-hari.</v>
      </c>
      <c r="BS8" s="307" t="str">
        <f t="shared" si="23"/>
        <v xml:space="preserve"> cukup baik  dalam menjelaskan manfaat keberagaman karakteristik individu dalam kehidupan sehari-hari.</v>
      </c>
      <c r="BT8" s="308" t="str">
        <f t="shared" si="24"/>
        <v xml:space="preserve"> cukup baik  dalam menjelaskan manfaat keberagaman karakteristik individu dalam kehidupan sehari-hari.</v>
      </c>
      <c r="BU8" s="301" t="str">
        <f t="shared" si="12"/>
        <v>Anak 4 cukup baik  dalam menjelaskan manfaat keberagaman karakteristik individu dalam kehidupan sehari-hari.</v>
      </c>
    </row>
    <row r="9" spans="1:73" ht="59.25" customHeight="1">
      <c r="B9" s="109">
        <v>5</v>
      </c>
      <c r="C9" s="110">
        <f>SISWA!B10</f>
        <v>0</v>
      </c>
      <c r="D9" s="111" t="str">
        <f>SISWA!E10</f>
        <v>Anak 5</v>
      </c>
      <c r="E9" s="631">
        <v>99</v>
      </c>
      <c r="F9" s="631">
        <v>99</v>
      </c>
      <c r="G9" s="631">
        <v>99</v>
      </c>
      <c r="H9" s="631"/>
      <c r="I9" s="631"/>
      <c r="J9" s="631"/>
      <c r="K9" s="610"/>
      <c r="L9" s="631"/>
      <c r="M9" s="631">
        <v>79</v>
      </c>
      <c r="N9" s="631">
        <v>79</v>
      </c>
      <c r="O9" s="631"/>
      <c r="P9" s="631"/>
      <c r="Q9" s="631"/>
      <c r="R9" s="610"/>
      <c r="S9" s="729">
        <v>99</v>
      </c>
      <c r="T9" s="729">
        <v>99</v>
      </c>
      <c r="U9" s="729">
        <v>99</v>
      </c>
      <c r="V9" s="729"/>
      <c r="W9" s="729"/>
      <c r="X9" s="729"/>
      <c r="Y9" s="518"/>
      <c r="Z9" s="607">
        <f t="shared" si="2"/>
        <v>99</v>
      </c>
      <c r="AA9" s="607">
        <f t="shared" si="3"/>
        <v>94</v>
      </c>
      <c r="AB9" s="607">
        <f t="shared" si="4"/>
        <v>94</v>
      </c>
      <c r="AC9" s="529"/>
      <c r="AD9" s="529"/>
      <c r="AE9" s="528"/>
      <c r="AF9" s="528"/>
      <c r="AG9" s="528"/>
      <c r="AH9" s="528"/>
      <c r="AI9" s="302">
        <f t="shared" si="5"/>
        <v>96</v>
      </c>
      <c r="AJ9" s="303" t="str">
        <f>IF(AI9&gt;KKM!$G$10,"A",IF(AI9&gt;KKM!$H$10,"B",IF(AI9&gt;=KKM!$I$10,"C","D")))</f>
        <v>A</v>
      </c>
      <c r="AK9" s="523">
        <f t="shared" si="6"/>
        <v>99</v>
      </c>
      <c r="AL9" s="115" t="str">
        <f>IF(AK9&gt;KKM!$G$10," sangat baik ",IF(AK9&gt;KKM!$H$10," baik ",IF(AK9&gt;=KKM!$I$10," cukup baik "," perlu bimbingan ")))</f>
        <v xml:space="preserve"> sangat baik </v>
      </c>
      <c r="AM9" s="524">
        <f t="shared" si="7"/>
        <v>94</v>
      </c>
      <c r="AN9" s="115" t="str">
        <f>IF(AM9&gt;KKM!$G$10," sangat baik ",IF(AM9&gt;KKM!$H$10," baik ",IF(AM9&gt;=KKM!$I$10," cukup baik "," perlu bimbingan ")))</f>
        <v xml:space="preserve"> sangat baik </v>
      </c>
      <c r="AO9" s="301" t="str">
        <f t="shared" si="13"/>
        <v>Anak 5 sangat baik  dalam mengidentifikasi pelaksanaan kewajiban dan hak sebagai warga masyarakat dalam kehidupan sehari-hari., dan  sangat baik  dalam menjelaskan manfaat keberagaman karakteristik individu dalam kehidupan sehari-hari.</v>
      </c>
      <c r="AP9" s="306"/>
      <c r="AQ9" s="307" t="str">
        <f t="shared" si="8"/>
        <v xml:space="preserve"> sangat baik  dalam mengidentifikasi pelaksanaan kewajiban dan hak sebagai warga masyarakat dalam kehidupan sehari-hari.</v>
      </c>
      <c r="AR9" s="307" t="str">
        <f t="shared" si="9"/>
        <v xml:space="preserve"> sangat baik  dalam menjelaskan manfaat keberagaman karakteristik individu dalam kehidupan sehari-hari.</v>
      </c>
      <c r="AS9" s="307" t="str">
        <f t="shared" si="14"/>
        <v xml:space="preserve"> sangat baik  dalam mengidentifikasi pelaksanaan kewajiban dan hak sebagai warga masyarakat dalam kehidupan sehari-hari., dan  sangat baik  dalam menjelaskan manfaat keberagaman karakteristik individu dalam kehidupan sehari-hari.</v>
      </c>
      <c r="AT9" s="307" t="str">
        <f t="shared" si="15"/>
        <v xml:space="preserve"> </v>
      </c>
      <c r="AU9" s="308" t="str">
        <f t="shared" si="16"/>
        <v xml:space="preserve"> sangat baik  dalam mengidentifikasi pelaksanaan kewajiban dan hak sebagai warga masyarakat dalam kehidupan sehari-hari., dan  sangat baik  dalam menjelaskan manfaat keberagaman karakteristik individu dalam kehidupan sehari-hari.</v>
      </c>
      <c r="AV9" s="301" t="str">
        <f t="shared" si="10"/>
        <v>Anak 5 sangat baik  dalam mengidentifikasi pelaksanaan kewajiban dan hak sebagai warga masyarakat dalam kehidupan sehari-hari., dan  sangat baik  dalam menjelaskan manfaat keberagaman karakteristik individu dalam kehidupan sehari-hari.</v>
      </c>
      <c r="AW9" s="120"/>
      <c r="BF9" s="408">
        <f t="shared" si="17"/>
        <v>96</v>
      </c>
      <c r="BI9" s="302">
        <f t="shared" si="11"/>
        <v>79</v>
      </c>
      <c r="BJ9" s="303" t="str">
        <f>IF(BI9&gt;KKM!$G$10,"A",IF(BI9&gt;KKM!$H$10,"B",IF(BI9&gt;=KKM!$I$10,"C","D")))</f>
        <v>C</v>
      </c>
      <c r="BK9" s="523">
        <f t="shared" si="18"/>
        <v>79</v>
      </c>
      <c r="BL9" s="115" t="str">
        <f>IF(BK9&gt;KKM!$G$10," sangat baik ",IF(BK9&gt;KKM!$H$10," baik ",IF(BK9&gt;=KKM!$I$10," cukup baik "," perlu bimbingan ")))</f>
        <v xml:space="preserve"> cukup baik </v>
      </c>
      <c r="BM9" s="524">
        <f t="shared" si="19"/>
        <v>79</v>
      </c>
      <c r="BN9" s="115" t="str">
        <f>IF(BM9&gt;KKM!$G$10," sangat baik ",IF(BM9&gt;KKM!$H$10," baik ",IF(BM9&gt;=KKM!$I$10," cukup baik "," perlu bimbingan ")))</f>
        <v xml:space="preserve"> cukup baik </v>
      </c>
      <c r="BO9" s="301" t="str">
        <f t="shared" si="25"/>
        <v>Anak 5 cukup baik  dalam menjelaskan manfaat keberagaman karakteristik individu dalam kehidupan sehari-hari.</v>
      </c>
      <c r="BP9" s="307" t="str">
        <f t="shared" si="20"/>
        <v xml:space="preserve"> cukup baik  dalam menjelaskan manfaat keberagaman karakteristik individu dalam kehidupan sehari-hari.</v>
      </c>
      <c r="BQ9" s="307" t="str">
        <f t="shared" si="21"/>
        <v xml:space="preserve"> cukup baik  dalam menjelaskan manfaat keberagaman karakteristik individu dalam kehidupan sehari-hari.</v>
      </c>
      <c r="BR9" s="307" t="str">
        <f t="shared" si="22"/>
        <v xml:space="preserve"> cukup baik  dalam menjelaskan manfaat keberagaman karakteristik individu dalam kehidupan sehari-hari., dan  cukup baik  dalam menjelaskan manfaat keberagaman karakteristik individu dalam kehidupan sehari-hari.</v>
      </c>
      <c r="BS9" s="307" t="str">
        <f t="shared" si="23"/>
        <v xml:space="preserve"> cukup baik  dalam menjelaskan manfaat keberagaman karakteristik individu dalam kehidupan sehari-hari.</v>
      </c>
      <c r="BT9" s="308" t="str">
        <f t="shared" si="24"/>
        <v xml:space="preserve"> cukup baik  dalam menjelaskan manfaat keberagaman karakteristik individu dalam kehidupan sehari-hari.</v>
      </c>
      <c r="BU9" s="301" t="str">
        <f t="shared" si="12"/>
        <v>Anak 5 cukup baik  dalam menjelaskan manfaat keberagaman karakteristik individu dalam kehidupan sehari-hari.</v>
      </c>
    </row>
    <row r="10" spans="1:73" ht="59.25" customHeight="1">
      <c r="B10" s="109">
        <v>6</v>
      </c>
      <c r="C10" s="110">
        <f>SISWA!B11</f>
        <v>0</v>
      </c>
      <c r="D10" s="111" t="str">
        <f>SISWA!E11</f>
        <v>Anak 6</v>
      </c>
      <c r="E10" s="631">
        <v>99</v>
      </c>
      <c r="F10" s="631">
        <v>99</v>
      </c>
      <c r="G10" s="631">
        <v>99</v>
      </c>
      <c r="H10" s="631"/>
      <c r="I10" s="631"/>
      <c r="J10" s="631"/>
      <c r="K10" s="610"/>
      <c r="L10" s="631"/>
      <c r="M10" s="631">
        <v>79</v>
      </c>
      <c r="N10" s="631">
        <v>68.5</v>
      </c>
      <c r="O10" s="631"/>
      <c r="P10" s="631"/>
      <c r="Q10" s="631"/>
      <c r="R10" s="610"/>
      <c r="S10" s="729">
        <v>99</v>
      </c>
      <c r="T10" s="729">
        <v>99</v>
      </c>
      <c r="U10" s="729">
        <v>99</v>
      </c>
      <c r="V10" s="729"/>
      <c r="W10" s="729"/>
      <c r="X10" s="729"/>
      <c r="Y10" s="518"/>
      <c r="Z10" s="607">
        <f t="shared" si="2"/>
        <v>99</v>
      </c>
      <c r="AA10" s="607">
        <f t="shared" si="3"/>
        <v>94</v>
      </c>
      <c r="AB10" s="607">
        <f t="shared" si="4"/>
        <v>91.375</v>
      </c>
      <c r="AC10" s="529"/>
      <c r="AD10" s="529"/>
      <c r="AE10" s="528"/>
      <c r="AF10" s="528"/>
      <c r="AG10" s="528"/>
      <c r="AH10" s="528"/>
      <c r="AI10" s="302">
        <f t="shared" si="5"/>
        <v>95</v>
      </c>
      <c r="AJ10" s="303" t="str">
        <f>IF(AI10&gt;KKM!$G$10,"A",IF(AI10&gt;KKM!$H$10,"B",IF(AI10&gt;=KKM!$I$10,"C","D")))</f>
        <v>A</v>
      </c>
      <c r="AK10" s="523">
        <f t="shared" si="6"/>
        <v>99</v>
      </c>
      <c r="AL10" s="115" t="str">
        <f>IF(AK10&gt;KKM!$G$10," sangat baik ",IF(AK10&gt;KKM!$H$10," baik ",IF(AK10&gt;=KKM!$I$10," cukup baik "," perlu bimbingan ")))</f>
        <v xml:space="preserve"> sangat baik </v>
      </c>
      <c r="AM10" s="524">
        <f t="shared" si="7"/>
        <v>91.375</v>
      </c>
      <c r="AN10" s="115" t="str">
        <f>IF(AM10&gt;KKM!$G$10," sangat baik ",IF(AM10&gt;KKM!$H$10," baik ",IF(AM10&gt;=KKM!$I$10," cukup baik "," perlu bimbingan ")))</f>
        <v xml:space="preserve"> sangat baik </v>
      </c>
      <c r="AO10" s="301" t="str">
        <f t="shared" si="13"/>
        <v>Anak 6 sangat baik  dalam mengidentifikasi pelaksanaan kewajiban dan hak sebagai warga masyarakat dalam kehidupan sehari-hari., dan  sangat baik  dalam mengidentifikasi berbagai bentuk keragaman suku bangsa, sosial, dan budaya di Indonesia yang terikat persatuan dan kesatuan.</v>
      </c>
      <c r="AP10" s="306"/>
      <c r="AQ10" s="307" t="str">
        <f t="shared" si="8"/>
        <v xml:space="preserve"> sangat baik  dalam mengidentifikasi pelaksanaan kewajiban dan hak sebagai warga masyarakat dalam kehidupan sehari-hari.</v>
      </c>
      <c r="AR10" s="307" t="str">
        <f t="shared" si="9"/>
        <v xml:space="preserve"> sangat baik  dalam mengidentifikasi berbagai bentuk keragaman suku bangsa, sosial, dan budaya di Indonesia yang terikat persatuan dan kesatuan.</v>
      </c>
      <c r="AS10"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10" s="307" t="str">
        <f t="shared" si="15"/>
        <v xml:space="preserve"> </v>
      </c>
      <c r="AU10"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10" s="301" t="str">
        <f t="shared" si="10"/>
        <v>Anak 6 sangat baik  dalam mengidentifikasi pelaksanaan kewajiban dan hak sebagai warga masyarakat dalam kehidupan sehari-hari., dan  sangat baik  dalam mengidentifikasi berbagai bentuk keragaman suku bangsa, sosial, dan budaya di Indonesia yang terikat persatuan dan kesatuan.</v>
      </c>
      <c r="AW10" s="120"/>
      <c r="BF10" s="408">
        <f t="shared" si="17"/>
        <v>95</v>
      </c>
      <c r="BI10" s="302">
        <f t="shared" si="11"/>
        <v>74</v>
      </c>
      <c r="BJ10" s="303" t="str">
        <f>IF(BI10&gt;KKM!$G$10,"A",IF(BI10&gt;KKM!$H$10,"B",IF(BI10&gt;=KKM!$I$10,"C","D")))</f>
        <v>C</v>
      </c>
      <c r="BK10" s="523">
        <f t="shared" si="18"/>
        <v>79</v>
      </c>
      <c r="BL10" s="115" t="str">
        <f>IF(BK10&gt;KKM!$G$10," sangat baik ",IF(BK10&gt;KKM!$H$10," baik ",IF(BK10&gt;=KKM!$I$10," cukup baik "," perlu bimbingan ")))</f>
        <v xml:space="preserve"> cukup baik </v>
      </c>
      <c r="BM10" s="524">
        <f t="shared" si="19"/>
        <v>68.5</v>
      </c>
      <c r="BN10" s="115" t="str">
        <f>IF(BM10&gt;KKM!$G$10," sangat baik ",IF(BM10&gt;KKM!$H$10," baik ",IF(BM10&gt;=KKM!$I$10," cukup baik "," perlu bimbingan ")))</f>
        <v xml:space="preserve"> perlu bimbingan </v>
      </c>
      <c r="BO10" s="301" t="str">
        <f t="shared" si="25"/>
        <v>Anak 6 cukup baik  dalam menjelaskan manfaat keberagaman karakteristik individu dalam kehidupan sehari-hari., dan  perlu bimbingan  dalam mengidentifikasi berbagai bentuk keragaman suku bangsa, sosial, dan budaya di Indonesia yang terikat persatuan dan kesatuan.</v>
      </c>
      <c r="BP10" s="307" t="str">
        <f t="shared" si="20"/>
        <v xml:space="preserve"> cukup baik  dalam menjelaskan manfaat keberagaman karakteristik individu dalam kehidupan sehari-hari.</v>
      </c>
      <c r="BQ10" s="307" t="str">
        <f t="shared" si="21"/>
        <v xml:space="preserve"> perlu bimbingan  dalam mengidentifikasi berbagai bentuk keragaman suku bangsa, sosial, dan budaya di Indonesia yang terikat persatuan dan kesatuan.</v>
      </c>
      <c r="BR10" s="307" t="str">
        <f t="shared" si="22"/>
        <v xml:space="preserve"> cukup baik  dalam menjelaskan manfaat keberagaman karakteristik individu dalam kehidupan sehari-hari., dan  perlu bimbingan  dalam mengidentifikasi berbagai bentuk keragaman suku bangsa, sosial, dan budaya di Indonesia yang terikat persatuan dan kesatuan.</v>
      </c>
      <c r="BS10" s="307" t="str">
        <f t="shared" si="23"/>
        <v xml:space="preserve"> </v>
      </c>
      <c r="BT10" s="308" t="str">
        <f t="shared" si="24"/>
        <v xml:space="preserve"> cukup baik  dalam menjelaskan manfaat keberagaman karakteristik individu dalam kehidupan sehari-hari., dan  perlu bimbingan  dalam mengidentifikasi berbagai bentuk keragaman suku bangsa, sosial, dan budaya di Indonesia yang terikat persatuan dan kesatuan.</v>
      </c>
      <c r="BU10" s="301" t="str">
        <f t="shared" si="12"/>
        <v>Anak 6 cukup baik  dalam menjelaskan manfaat keberagaman karakteristik individu dalam kehidupan sehari-hari., dan  perlu bimbingan  dalam mengidentifikasi berbagai bentuk keragaman suku bangsa, sosial, dan budaya di Indonesia yang terikat persatuan dan kesatuan.</v>
      </c>
    </row>
    <row r="11" spans="1:73" ht="59.25" customHeight="1">
      <c r="B11" s="109">
        <v>7</v>
      </c>
      <c r="C11" s="110">
        <f>SISWA!B12</f>
        <v>0</v>
      </c>
      <c r="D11" s="111" t="str">
        <f>SISWA!E12</f>
        <v>Anak 7</v>
      </c>
      <c r="E11" s="631">
        <v>99</v>
      </c>
      <c r="F11" s="631">
        <v>99</v>
      </c>
      <c r="G11" s="631">
        <v>99</v>
      </c>
      <c r="H11" s="631"/>
      <c r="I11" s="631"/>
      <c r="J11" s="631"/>
      <c r="K11" s="610"/>
      <c r="L11" s="631"/>
      <c r="M11" s="631">
        <v>68.5</v>
      </c>
      <c r="N11" s="631">
        <v>69.5</v>
      </c>
      <c r="O11" s="631"/>
      <c r="P11" s="631"/>
      <c r="Q11" s="631"/>
      <c r="R11" s="610"/>
      <c r="S11" s="729">
        <v>99</v>
      </c>
      <c r="T11" s="729">
        <v>99</v>
      </c>
      <c r="U11" s="729">
        <v>99</v>
      </c>
      <c r="V11" s="729"/>
      <c r="W11" s="729"/>
      <c r="X11" s="729"/>
      <c r="Y11" s="518"/>
      <c r="Z11" s="607">
        <f t="shared" si="2"/>
        <v>99</v>
      </c>
      <c r="AA11" s="607">
        <f t="shared" si="3"/>
        <v>91.375</v>
      </c>
      <c r="AB11" s="607">
        <f t="shared" si="4"/>
        <v>91.625</v>
      </c>
      <c r="AC11" s="529"/>
      <c r="AD11" s="529"/>
      <c r="AE11" s="528"/>
      <c r="AF11" s="528"/>
      <c r="AG11" s="528"/>
      <c r="AH11" s="528"/>
      <c r="AI11" s="302">
        <f t="shared" si="5"/>
        <v>94</v>
      </c>
      <c r="AJ11" s="303" t="str">
        <f>IF(AI11&gt;KKM!$G$10,"A",IF(AI11&gt;KKM!$H$10,"B",IF(AI11&gt;=KKM!$I$10,"C","D")))</f>
        <v>A</v>
      </c>
      <c r="AK11" s="523">
        <f t="shared" si="6"/>
        <v>99</v>
      </c>
      <c r="AL11" s="115" t="str">
        <f>IF(AK11&gt;KKM!$G$10," sangat baik ",IF(AK11&gt;KKM!$H$10," baik ",IF(AK11&gt;=KKM!$I$10," cukup baik "," perlu bimbingan ")))</f>
        <v xml:space="preserve"> sangat baik </v>
      </c>
      <c r="AM11" s="524">
        <f t="shared" si="7"/>
        <v>91.375</v>
      </c>
      <c r="AN11" s="115" t="str">
        <f>IF(AM11&gt;KKM!$G$10," sangat baik ",IF(AM11&gt;KKM!$H$10," baik ",IF(AM11&gt;=KKM!$I$10," cukup baik "," perlu bimbingan ")))</f>
        <v xml:space="preserve"> sangat baik </v>
      </c>
      <c r="AO11" s="301" t="str">
        <f t="shared" si="13"/>
        <v>Anak 7 sangat baik  dalam mengidentifikasi pelaksanaan kewajiban dan hak sebagai warga masyarakat dalam kehidupan sehari-hari., dan  sangat baik  dalam menjelaskan manfaat keberagaman karakteristik individu dalam kehidupan sehari-hari.</v>
      </c>
      <c r="AP11" s="306"/>
      <c r="AQ11" s="307" t="str">
        <f t="shared" si="8"/>
        <v xml:space="preserve"> sangat baik  dalam mengidentifikasi pelaksanaan kewajiban dan hak sebagai warga masyarakat dalam kehidupan sehari-hari.</v>
      </c>
      <c r="AR11" s="307" t="str">
        <f t="shared" si="9"/>
        <v xml:space="preserve"> sangat baik  dalam menjelaskan manfaat keberagaman karakteristik individu dalam kehidupan sehari-hari.</v>
      </c>
      <c r="AS11" s="307" t="str">
        <f t="shared" si="14"/>
        <v xml:space="preserve"> sangat baik  dalam mengidentifikasi pelaksanaan kewajiban dan hak sebagai warga masyarakat dalam kehidupan sehari-hari., dan  sangat baik  dalam menjelaskan manfaat keberagaman karakteristik individu dalam kehidupan sehari-hari.</v>
      </c>
      <c r="AT11" s="307" t="str">
        <f t="shared" si="15"/>
        <v xml:space="preserve"> </v>
      </c>
      <c r="AU11" s="308" t="str">
        <f t="shared" si="16"/>
        <v xml:space="preserve"> sangat baik  dalam mengidentifikasi pelaksanaan kewajiban dan hak sebagai warga masyarakat dalam kehidupan sehari-hari., dan  sangat baik  dalam menjelaskan manfaat keberagaman karakteristik individu dalam kehidupan sehari-hari.</v>
      </c>
      <c r="AV11" s="301" t="str">
        <f t="shared" si="10"/>
        <v>Anak 7 sangat baik  dalam mengidentifikasi pelaksanaan kewajiban dan hak sebagai warga masyarakat dalam kehidupan sehari-hari., dan  sangat baik  dalam menjelaskan manfaat keberagaman karakteristik individu dalam kehidupan sehari-hari.</v>
      </c>
      <c r="AW11" s="120"/>
      <c r="BF11" s="408">
        <f t="shared" si="17"/>
        <v>94</v>
      </c>
      <c r="BI11" s="302">
        <f t="shared" si="11"/>
        <v>69</v>
      </c>
      <c r="BJ11" s="303" t="str">
        <f>IF(BI11&gt;KKM!$G$10,"A",IF(BI11&gt;KKM!$H$10,"B",IF(BI11&gt;=KKM!$I$10,"C","D")))</f>
        <v>D</v>
      </c>
      <c r="BK11" s="523">
        <f t="shared" si="18"/>
        <v>69.5</v>
      </c>
      <c r="BL11" s="115" t="str">
        <f>IF(BK11&gt;KKM!$G$10," sangat baik ",IF(BK11&gt;KKM!$H$10," baik ",IF(BK11&gt;=KKM!$I$10," cukup baik "," perlu bimbingan ")))</f>
        <v xml:space="preserve"> perlu bimbingan </v>
      </c>
      <c r="BM11" s="524">
        <f t="shared" si="19"/>
        <v>68.5</v>
      </c>
      <c r="BN11" s="115" t="str">
        <f>IF(BM11&gt;KKM!$G$10," sangat baik ",IF(BM11&gt;KKM!$H$10," baik ",IF(BM11&gt;=KKM!$I$10," cukup baik "," perlu bimbingan ")))</f>
        <v xml:space="preserve"> perlu bimbingan </v>
      </c>
      <c r="BO11" s="301" t="str">
        <f t="shared" si="25"/>
        <v>Anak 7 perlu bimbingan  dalam mengidentifikasi berbagai bentuk keragaman suku bangsa, sosial, dan budaya di Indonesia yang terikat persatuan dan kesatuan., dan  perlu bimbingan  dalam menjelaskan manfaat keberagaman karakteristik individu dalam kehidupan sehari-hari.</v>
      </c>
      <c r="BP11" s="307" t="str">
        <f t="shared" si="20"/>
        <v xml:space="preserve"> perlu bimbingan  dalam mengidentifikasi berbagai bentuk keragaman suku bangsa, sosial, dan budaya di Indonesia yang terikat persatuan dan kesatuan.</v>
      </c>
      <c r="BQ11" s="307" t="str">
        <f t="shared" si="21"/>
        <v xml:space="preserve"> perlu bimbingan  dalam menjelaskan manfaat keberagaman karakteristik individu dalam kehidupan sehari-hari.</v>
      </c>
      <c r="BR11" s="307" t="str">
        <f t="shared" si="22"/>
        <v xml:space="preserve"> perlu bimbingan  dalam mengidentifikasi berbagai bentuk keragaman suku bangsa, sosial, dan budaya di Indonesia yang terikat persatuan dan kesatuan., dan  perlu bimbingan  dalam menjelaskan manfaat keberagaman karakteristik individu dalam kehidupan sehari-hari.</v>
      </c>
      <c r="BS11" s="307" t="str">
        <f t="shared" si="23"/>
        <v xml:space="preserve"> </v>
      </c>
      <c r="BT11" s="308" t="str">
        <f t="shared" si="24"/>
        <v xml:space="preserve"> perlu bimbingan  dalam mengidentifikasi berbagai bentuk keragaman suku bangsa, sosial, dan budaya di Indonesia yang terikat persatuan dan kesatuan., dan  perlu bimbingan  dalam menjelaskan manfaat keberagaman karakteristik individu dalam kehidupan sehari-hari.</v>
      </c>
      <c r="BU11" s="301" t="str">
        <f t="shared" si="12"/>
        <v>Anak 7 perlu bimbingan  dalam mengidentifikasi berbagai bentuk keragaman suku bangsa, sosial, dan budaya di Indonesia yang terikat persatuan dan kesatuan., dan  perlu bimbingan  dalam menjelaskan manfaat keberagaman karakteristik individu dalam kehidupan sehari-hari.</v>
      </c>
    </row>
    <row r="12" spans="1:73" ht="59.25" customHeight="1">
      <c r="B12" s="109">
        <v>8</v>
      </c>
      <c r="C12" s="110">
        <f>SISWA!B13</f>
        <v>0</v>
      </c>
      <c r="D12" s="111" t="str">
        <f>SISWA!E13</f>
        <v>Anak 8</v>
      </c>
      <c r="E12" s="631">
        <v>99</v>
      </c>
      <c r="F12" s="631">
        <v>99</v>
      </c>
      <c r="G12" s="631">
        <v>99</v>
      </c>
      <c r="H12" s="631"/>
      <c r="I12" s="631"/>
      <c r="J12" s="631"/>
      <c r="K12" s="610"/>
      <c r="L12" s="631"/>
      <c r="M12" s="631">
        <v>69.5</v>
      </c>
      <c r="N12" s="631">
        <v>80</v>
      </c>
      <c r="O12" s="631"/>
      <c r="P12" s="631"/>
      <c r="Q12" s="631"/>
      <c r="R12" s="610"/>
      <c r="S12" s="729">
        <v>99</v>
      </c>
      <c r="T12" s="729">
        <v>99</v>
      </c>
      <c r="U12" s="729">
        <v>99</v>
      </c>
      <c r="V12" s="729"/>
      <c r="W12" s="729"/>
      <c r="X12" s="729"/>
      <c r="Y12" s="518"/>
      <c r="Z12" s="607">
        <f t="shared" si="2"/>
        <v>99</v>
      </c>
      <c r="AA12" s="607">
        <f t="shared" si="3"/>
        <v>91.625</v>
      </c>
      <c r="AB12" s="607">
        <f t="shared" si="4"/>
        <v>94.25</v>
      </c>
      <c r="AC12" s="529"/>
      <c r="AD12" s="529"/>
      <c r="AE12" s="528"/>
      <c r="AF12" s="528"/>
      <c r="AG12" s="528"/>
      <c r="AH12" s="528"/>
      <c r="AI12" s="302">
        <f t="shared" si="5"/>
        <v>95</v>
      </c>
      <c r="AJ12" s="303" t="str">
        <f>IF(AI12&gt;KKM!$G$10,"A",IF(AI12&gt;KKM!$H$10,"B",IF(AI12&gt;=KKM!$I$10,"C","D")))</f>
        <v>A</v>
      </c>
      <c r="AK12" s="523">
        <f t="shared" si="6"/>
        <v>99</v>
      </c>
      <c r="AL12" s="115" t="str">
        <f>IF(AK12&gt;KKM!$G$10," sangat baik ",IF(AK12&gt;KKM!$H$10," baik ",IF(AK12&gt;=KKM!$I$10," cukup baik "," perlu bimbingan ")))</f>
        <v xml:space="preserve"> sangat baik </v>
      </c>
      <c r="AM12" s="524">
        <f t="shared" si="7"/>
        <v>91.625</v>
      </c>
      <c r="AN12" s="115" t="str">
        <f>IF(AM12&gt;KKM!$G$10," sangat baik ",IF(AM12&gt;KKM!$H$10," baik ",IF(AM12&gt;=KKM!$I$10," cukup baik "," perlu bimbingan ")))</f>
        <v xml:space="preserve"> sangat baik </v>
      </c>
      <c r="AO12" s="301" t="str">
        <f t="shared" si="13"/>
        <v>Anak 8 sangat baik  dalam mengidentifikasi pelaksanaan kewajiban dan hak sebagai warga masyarakat dalam kehidupan sehari-hari., dan  sangat baik  dalam menjelaskan manfaat keberagaman karakteristik individu dalam kehidupan sehari-hari.</v>
      </c>
      <c r="AP12" s="306"/>
      <c r="AQ12" s="307" t="str">
        <f t="shared" si="8"/>
        <v xml:space="preserve"> sangat baik  dalam mengidentifikasi pelaksanaan kewajiban dan hak sebagai warga masyarakat dalam kehidupan sehari-hari.</v>
      </c>
      <c r="AR12" s="307" t="str">
        <f t="shared" si="9"/>
        <v xml:space="preserve"> sangat baik  dalam menjelaskan manfaat keberagaman karakteristik individu dalam kehidupan sehari-hari.</v>
      </c>
      <c r="AS12" s="307" t="str">
        <f t="shared" si="14"/>
        <v xml:space="preserve"> sangat baik  dalam mengidentifikasi pelaksanaan kewajiban dan hak sebagai warga masyarakat dalam kehidupan sehari-hari., dan  sangat baik  dalam menjelaskan manfaat keberagaman karakteristik individu dalam kehidupan sehari-hari.</v>
      </c>
      <c r="AT12" s="307" t="str">
        <f t="shared" si="15"/>
        <v xml:space="preserve"> </v>
      </c>
      <c r="AU12" s="308" t="str">
        <f t="shared" si="16"/>
        <v xml:space="preserve"> sangat baik  dalam mengidentifikasi pelaksanaan kewajiban dan hak sebagai warga masyarakat dalam kehidupan sehari-hari., dan  sangat baik  dalam menjelaskan manfaat keberagaman karakteristik individu dalam kehidupan sehari-hari.</v>
      </c>
      <c r="AV12" s="301" t="str">
        <f t="shared" si="10"/>
        <v>Anak 8 sangat baik  dalam mengidentifikasi pelaksanaan kewajiban dan hak sebagai warga masyarakat dalam kehidupan sehari-hari., dan  sangat baik  dalam menjelaskan manfaat keberagaman karakteristik individu dalam kehidupan sehari-hari.</v>
      </c>
      <c r="AW12" s="120"/>
      <c r="BF12" s="408">
        <f t="shared" si="17"/>
        <v>95</v>
      </c>
      <c r="BI12" s="302">
        <f t="shared" si="11"/>
        <v>75</v>
      </c>
      <c r="BJ12" s="303" t="str">
        <f>IF(BI12&gt;KKM!$G$10,"A",IF(BI12&gt;KKM!$H$10,"B",IF(BI12&gt;=KKM!$I$10,"C","D")))</f>
        <v>C</v>
      </c>
      <c r="BK12" s="523">
        <f t="shared" si="18"/>
        <v>80</v>
      </c>
      <c r="BL12" s="115" t="str">
        <f>IF(BK12&gt;KKM!$G$10," sangat baik ",IF(BK12&gt;KKM!$H$10," baik ",IF(BK12&gt;=KKM!$I$10," cukup baik "," perlu bimbingan ")))</f>
        <v xml:space="preserve"> cukup baik </v>
      </c>
      <c r="BM12" s="524">
        <f t="shared" si="19"/>
        <v>69.5</v>
      </c>
      <c r="BN12" s="115" t="str">
        <f>IF(BM12&gt;KKM!$G$10," sangat baik ",IF(BM12&gt;KKM!$H$10," baik ",IF(BM12&gt;=KKM!$I$10," cukup baik "," perlu bimbingan ")))</f>
        <v xml:space="preserve"> perlu bimbingan </v>
      </c>
      <c r="BO12" s="301" t="str">
        <f t="shared" si="25"/>
        <v>Anak 8 cukup baik  dalam mengidentifikasi berbagai bentuk keragaman suku bangsa, sosial, dan budaya di Indonesia yang terikat persatuan dan kesatuan., dan  perlu bimbingan  dalam menjelaskan manfaat keberagaman karakteristik individu dalam kehidupan sehari-hari.</v>
      </c>
      <c r="BP12" s="307" t="str">
        <f t="shared" si="20"/>
        <v xml:space="preserve"> cukup baik  dalam mengidentifikasi berbagai bentuk keragaman suku bangsa, sosial, dan budaya di Indonesia yang terikat persatuan dan kesatuan.</v>
      </c>
      <c r="BQ12" s="307" t="str">
        <f t="shared" si="21"/>
        <v xml:space="preserve"> perlu bimbingan  dalam menjelaskan manfaat keberagaman karakteristik individu dalam kehidupan sehari-hari.</v>
      </c>
      <c r="BR12" s="307" t="str">
        <f t="shared" si="22"/>
        <v xml:space="preserve"> cukup baik  dalam mengidentifikasi berbagai bentuk keragaman suku bangsa, sosial, dan budaya di Indonesia yang terikat persatuan dan kesatuan., dan  perlu bimbingan  dalam menjelaskan manfaat keberagaman karakteristik individu dalam kehidupan sehari-hari.</v>
      </c>
      <c r="BS12" s="307" t="str">
        <f t="shared" si="23"/>
        <v xml:space="preserve"> </v>
      </c>
      <c r="BT12" s="308" t="str">
        <f t="shared" si="24"/>
        <v xml:space="preserve"> cukup baik  dalam mengidentifikasi berbagai bentuk keragaman suku bangsa, sosial, dan budaya di Indonesia yang terikat persatuan dan kesatuan., dan  perlu bimbingan  dalam menjelaskan manfaat keberagaman karakteristik individu dalam kehidupan sehari-hari.</v>
      </c>
      <c r="BU12" s="301" t="str">
        <f t="shared" si="12"/>
        <v>Anak 8 cukup baik  dalam mengidentifikasi berbagai bentuk keragaman suku bangsa, sosial, dan budaya di Indonesia yang terikat persatuan dan kesatuan., dan  perlu bimbingan  dalam menjelaskan manfaat keberagaman karakteristik individu dalam kehidupan sehari-hari.</v>
      </c>
    </row>
    <row r="13" spans="1:73" ht="59.25" customHeight="1">
      <c r="B13" s="109">
        <v>9</v>
      </c>
      <c r="C13" s="110">
        <f>SISWA!B14</f>
        <v>0</v>
      </c>
      <c r="D13" s="111" t="str">
        <f>SISWA!E14</f>
        <v>Anak 9</v>
      </c>
      <c r="E13" s="631">
        <v>99</v>
      </c>
      <c r="F13" s="631">
        <v>99</v>
      </c>
      <c r="G13" s="631">
        <v>99</v>
      </c>
      <c r="H13" s="631"/>
      <c r="I13" s="631"/>
      <c r="J13" s="631"/>
      <c r="K13" s="610"/>
      <c r="L13" s="631"/>
      <c r="M13" s="631">
        <v>80</v>
      </c>
      <c r="N13" s="631">
        <v>68.5</v>
      </c>
      <c r="O13" s="631"/>
      <c r="P13" s="631"/>
      <c r="Q13" s="631"/>
      <c r="R13" s="610"/>
      <c r="S13" s="729">
        <v>99</v>
      </c>
      <c r="T13" s="729">
        <v>99</v>
      </c>
      <c r="U13" s="729">
        <v>99</v>
      </c>
      <c r="V13" s="729"/>
      <c r="W13" s="729"/>
      <c r="X13" s="729"/>
      <c r="Y13" s="518"/>
      <c r="Z13" s="607">
        <f t="shared" si="2"/>
        <v>99</v>
      </c>
      <c r="AA13" s="607">
        <f t="shared" si="3"/>
        <v>94.25</v>
      </c>
      <c r="AB13" s="607">
        <f t="shared" si="4"/>
        <v>91.375</v>
      </c>
      <c r="AC13" s="529"/>
      <c r="AD13" s="529"/>
      <c r="AE13" s="528"/>
      <c r="AF13" s="528"/>
      <c r="AG13" s="528"/>
      <c r="AH13" s="528"/>
      <c r="AI13" s="302">
        <f t="shared" si="5"/>
        <v>95</v>
      </c>
      <c r="AJ13" s="303" t="str">
        <f>IF(AI13&gt;KKM!$G$10,"A",IF(AI13&gt;KKM!$H$10,"B",IF(AI13&gt;=KKM!$I$10,"C","D")))</f>
        <v>A</v>
      </c>
      <c r="AK13" s="523">
        <f t="shared" si="6"/>
        <v>99</v>
      </c>
      <c r="AL13" s="115" t="str">
        <f>IF(AK13&gt;KKM!$G$10," sangat baik ",IF(AK13&gt;KKM!$H$10," baik ",IF(AK13&gt;=KKM!$I$10," cukup baik "," perlu bimbingan ")))</f>
        <v xml:space="preserve"> sangat baik </v>
      </c>
      <c r="AM13" s="524">
        <f t="shared" si="7"/>
        <v>91.375</v>
      </c>
      <c r="AN13" s="115" t="str">
        <f>IF(AM13&gt;KKM!$G$10," sangat baik ",IF(AM13&gt;KKM!$H$10," baik ",IF(AM13&gt;=KKM!$I$10," cukup baik "," perlu bimbingan ")))</f>
        <v xml:space="preserve"> sangat baik </v>
      </c>
      <c r="AO13" s="301" t="str">
        <f t="shared" si="13"/>
        <v>Anak 9 sangat baik  dalam mengidentifikasi pelaksanaan kewajiban dan hak sebagai warga masyarakat dalam kehidupan sehari-hari., dan  sangat baik  dalam mengidentifikasi berbagai bentuk keragaman suku bangsa, sosial, dan budaya di Indonesia yang terikat persatuan dan kesatuan.</v>
      </c>
      <c r="AP13" s="306"/>
      <c r="AQ13" s="307" t="str">
        <f t="shared" si="8"/>
        <v xml:space="preserve"> sangat baik  dalam mengidentifikasi pelaksanaan kewajiban dan hak sebagai warga masyarakat dalam kehidupan sehari-hari.</v>
      </c>
      <c r="AR13" s="307" t="str">
        <f t="shared" si="9"/>
        <v xml:space="preserve"> sangat baik  dalam mengidentifikasi berbagai bentuk keragaman suku bangsa, sosial, dan budaya di Indonesia yang terikat persatuan dan kesatuan.</v>
      </c>
      <c r="AS13"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13" s="307" t="str">
        <f t="shared" si="15"/>
        <v xml:space="preserve"> </v>
      </c>
      <c r="AU13"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13" s="301" t="str">
        <f t="shared" si="10"/>
        <v>Anak 9 sangat baik  dalam mengidentifikasi pelaksanaan kewajiban dan hak sebagai warga masyarakat dalam kehidupan sehari-hari., dan  sangat baik  dalam mengidentifikasi berbagai bentuk keragaman suku bangsa, sosial, dan budaya di Indonesia yang terikat persatuan dan kesatuan.</v>
      </c>
      <c r="AW13" s="120"/>
      <c r="BF13" s="408">
        <f t="shared" si="17"/>
        <v>95</v>
      </c>
      <c r="BI13" s="302">
        <f t="shared" si="11"/>
        <v>74</v>
      </c>
      <c r="BJ13" s="303" t="str">
        <f>IF(BI13&gt;KKM!$G$10,"A",IF(BI13&gt;KKM!$H$10,"B",IF(BI13&gt;=KKM!$I$10,"C","D")))</f>
        <v>C</v>
      </c>
      <c r="BK13" s="523">
        <f t="shared" si="18"/>
        <v>80</v>
      </c>
      <c r="BL13" s="115" t="str">
        <f>IF(BK13&gt;KKM!$G$10," sangat baik ",IF(BK13&gt;KKM!$H$10," baik ",IF(BK13&gt;=KKM!$I$10," cukup baik "," perlu bimbingan ")))</f>
        <v xml:space="preserve"> cukup baik </v>
      </c>
      <c r="BM13" s="524">
        <f t="shared" si="19"/>
        <v>68.5</v>
      </c>
      <c r="BN13" s="115" t="str">
        <f>IF(BM13&gt;KKM!$G$10," sangat baik ",IF(BM13&gt;KKM!$H$10," baik ",IF(BM13&gt;=KKM!$I$10," cukup baik "," perlu bimbingan ")))</f>
        <v xml:space="preserve"> perlu bimbingan </v>
      </c>
      <c r="BO13" s="301" t="str">
        <f t="shared" si="25"/>
        <v>Anak 9 cukup baik  dalam menjelaskan manfaat keberagaman karakteristik individu dalam kehidupan sehari-hari., dan  perlu bimbingan  dalam mengidentifikasi berbagai bentuk keragaman suku bangsa, sosial, dan budaya di Indonesia yang terikat persatuan dan kesatuan.</v>
      </c>
      <c r="BP13" s="307" t="str">
        <f t="shared" si="20"/>
        <v xml:space="preserve"> cukup baik  dalam menjelaskan manfaat keberagaman karakteristik individu dalam kehidupan sehari-hari.</v>
      </c>
      <c r="BQ13" s="307" t="str">
        <f t="shared" si="21"/>
        <v xml:space="preserve"> perlu bimbingan  dalam mengidentifikasi berbagai bentuk keragaman suku bangsa, sosial, dan budaya di Indonesia yang terikat persatuan dan kesatuan.</v>
      </c>
      <c r="BR13" s="307" t="str">
        <f t="shared" si="22"/>
        <v xml:space="preserve"> cukup baik  dalam menjelaskan manfaat keberagaman karakteristik individu dalam kehidupan sehari-hari., dan  perlu bimbingan  dalam mengidentifikasi berbagai bentuk keragaman suku bangsa, sosial, dan budaya di Indonesia yang terikat persatuan dan kesatuan.</v>
      </c>
      <c r="BS13" s="307" t="str">
        <f t="shared" si="23"/>
        <v xml:space="preserve"> </v>
      </c>
      <c r="BT13" s="308" t="str">
        <f t="shared" si="24"/>
        <v xml:space="preserve"> cukup baik  dalam menjelaskan manfaat keberagaman karakteristik individu dalam kehidupan sehari-hari., dan  perlu bimbingan  dalam mengidentifikasi berbagai bentuk keragaman suku bangsa, sosial, dan budaya di Indonesia yang terikat persatuan dan kesatuan.</v>
      </c>
      <c r="BU13" s="301" t="str">
        <f t="shared" si="12"/>
        <v>Anak 9 cukup baik  dalam menjelaskan manfaat keberagaman karakteristik individu dalam kehidupan sehari-hari., dan  perlu bimbingan  dalam mengidentifikasi berbagai bentuk keragaman suku bangsa, sosial, dan budaya di Indonesia yang terikat persatuan dan kesatuan.</v>
      </c>
    </row>
    <row r="14" spans="1:73" ht="59.25" customHeight="1">
      <c r="B14" s="109">
        <v>10</v>
      </c>
      <c r="C14" s="110">
        <f>SISWA!B15</f>
        <v>0</v>
      </c>
      <c r="D14" s="111" t="str">
        <f>SISWA!E15</f>
        <v>Anak 10</v>
      </c>
      <c r="E14" s="631">
        <v>99</v>
      </c>
      <c r="F14" s="631">
        <v>99</v>
      </c>
      <c r="G14" s="631">
        <v>99</v>
      </c>
      <c r="H14" s="631"/>
      <c r="I14" s="631"/>
      <c r="J14" s="631"/>
      <c r="K14" s="610"/>
      <c r="L14" s="631"/>
      <c r="M14" s="631">
        <v>68.5</v>
      </c>
      <c r="N14" s="631">
        <v>69.5</v>
      </c>
      <c r="O14" s="631"/>
      <c r="P14" s="631"/>
      <c r="Q14" s="631"/>
      <c r="R14" s="610"/>
      <c r="S14" s="729">
        <v>99</v>
      </c>
      <c r="T14" s="729">
        <v>99</v>
      </c>
      <c r="U14" s="729">
        <v>99</v>
      </c>
      <c r="V14" s="729"/>
      <c r="W14" s="729"/>
      <c r="X14" s="729"/>
      <c r="Y14" s="518"/>
      <c r="Z14" s="607">
        <f t="shared" si="2"/>
        <v>99</v>
      </c>
      <c r="AA14" s="607">
        <f t="shared" si="3"/>
        <v>91.375</v>
      </c>
      <c r="AB14" s="607">
        <f t="shared" si="4"/>
        <v>91.625</v>
      </c>
      <c r="AC14" s="529"/>
      <c r="AD14" s="529"/>
      <c r="AE14" s="528"/>
      <c r="AF14" s="528"/>
      <c r="AG14" s="528"/>
      <c r="AH14" s="528"/>
      <c r="AI14" s="302">
        <f t="shared" si="5"/>
        <v>94</v>
      </c>
      <c r="AJ14" s="303" t="str">
        <f>IF(AI14&gt;KKM!$G$10,"A",IF(AI14&gt;KKM!$H$10,"B",IF(AI14&gt;=KKM!$I$10,"C","D")))</f>
        <v>A</v>
      </c>
      <c r="AK14" s="523">
        <f t="shared" si="6"/>
        <v>99</v>
      </c>
      <c r="AL14" s="115" t="str">
        <f>IF(AK14&gt;KKM!$G$10," sangat baik ",IF(AK14&gt;KKM!$H$10," baik ",IF(AK14&gt;=KKM!$I$10," cukup baik "," perlu bimbingan ")))</f>
        <v xml:space="preserve"> sangat baik </v>
      </c>
      <c r="AM14" s="524">
        <f t="shared" si="7"/>
        <v>91.375</v>
      </c>
      <c r="AN14" s="115" t="str">
        <f>IF(AM14&gt;KKM!$G$10," sangat baik ",IF(AM14&gt;KKM!$H$10," baik ",IF(AM14&gt;=KKM!$I$10," cukup baik "," perlu bimbingan ")))</f>
        <v xml:space="preserve"> sangat baik </v>
      </c>
      <c r="AO14" s="301" t="str">
        <f t="shared" si="13"/>
        <v>Anak 10 sangat baik  dalam mengidentifikasi pelaksanaan kewajiban dan hak sebagai warga masyarakat dalam kehidupan sehari-hari., dan  sangat baik  dalam menjelaskan manfaat keberagaman karakteristik individu dalam kehidupan sehari-hari.</v>
      </c>
      <c r="AP14" s="306"/>
      <c r="AQ14" s="307" t="str">
        <f t="shared" si="8"/>
        <v xml:space="preserve"> sangat baik  dalam mengidentifikasi pelaksanaan kewajiban dan hak sebagai warga masyarakat dalam kehidupan sehari-hari.</v>
      </c>
      <c r="AR14" s="307" t="str">
        <f t="shared" si="9"/>
        <v xml:space="preserve"> sangat baik  dalam menjelaskan manfaat keberagaman karakteristik individu dalam kehidupan sehari-hari.</v>
      </c>
      <c r="AS14" s="307" t="str">
        <f t="shared" si="14"/>
        <v xml:space="preserve"> sangat baik  dalam mengidentifikasi pelaksanaan kewajiban dan hak sebagai warga masyarakat dalam kehidupan sehari-hari., dan  sangat baik  dalam menjelaskan manfaat keberagaman karakteristik individu dalam kehidupan sehari-hari.</v>
      </c>
      <c r="AT14" s="307" t="str">
        <f t="shared" si="15"/>
        <v xml:space="preserve"> </v>
      </c>
      <c r="AU14" s="308" t="str">
        <f t="shared" si="16"/>
        <v xml:space="preserve"> sangat baik  dalam mengidentifikasi pelaksanaan kewajiban dan hak sebagai warga masyarakat dalam kehidupan sehari-hari., dan  sangat baik  dalam menjelaskan manfaat keberagaman karakteristik individu dalam kehidupan sehari-hari.</v>
      </c>
      <c r="AV14" s="301" t="str">
        <f t="shared" si="10"/>
        <v>Anak 10 sangat baik  dalam mengidentifikasi pelaksanaan kewajiban dan hak sebagai warga masyarakat dalam kehidupan sehari-hari., dan  sangat baik  dalam menjelaskan manfaat keberagaman karakteristik individu dalam kehidupan sehari-hari.</v>
      </c>
      <c r="AW14" s="120"/>
      <c r="BF14" s="408">
        <f t="shared" si="17"/>
        <v>94</v>
      </c>
      <c r="BI14" s="302">
        <f t="shared" si="11"/>
        <v>69</v>
      </c>
      <c r="BJ14" s="303" t="str">
        <f>IF(BI14&gt;KKM!$G$10,"A",IF(BI14&gt;KKM!$H$10,"B",IF(BI14&gt;=KKM!$I$10,"C","D")))</f>
        <v>D</v>
      </c>
      <c r="BK14" s="523">
        <f t="shared" si="18"/>
        <v>69.5</v>
      </c>
      <c r="BL14" s="115" t="str">
        <f>IF(BK14&gt;KKM!$G$10," sangat baik ",IF(BK14&gt;KKM!$H$10," baik ",IF(BK14&gt;=KKM!$I$10," cukup baik "," perlu bimbingan ")))</f>
        <v xml:space="preserve"> perlu bimbingan </v>
      </c>
      <c r="BM14" s="524">
        <f t="shared" si="19"/>
        <v>68.5</v>
      </c>
      <c r="BN14" s="115" t="str">
        <f>IF(BM14&gt;KKM!$G$10," sangat baik ",IF(BM14&gt;KKM!$H$10," baik ",IF(BM14&gt;=KKM!$I$10," cukup baik "," perlu bimbingan ")))</f>
        <v xml:space="preserve"> perlu bimbingan </v>
      </c>
      <c r="BO14" s="301" t="str">
        <f t="shared" si="25"/>
        <v>Anak 10 perlu bimbingan  dalam mengidentifikasi berbagai bentuk keragaman suku bangsa, sosial, dan budaya di Indonesia yang terikat persatuan dan kesatuan., dan  perlu bimbingan  dalam menjelaskan manfaat keberagaman karakteristik individu dalam kehidupan sehari-hari.</v>
      </c>
      <c r="BP14" s="307" t="str">
        <f t="shared" si="20"/>
        <v xml:space="preserve"> perlu bimbingan  dalam mengidentifikasi berbagai bentuk keragaman suku bangsa, sosial, dan budaya di Indonesia yang terikat persatuan dan kesatuan.</v>
      </c>
      <c r="BQ14" s="307" t="str">
        <f t="shared" si="21"/>
        <v xml:space="preserve"> perlu bimbingan  dalam menjelaskan manfaat keberagaman karakteristik individu dalam kehidupan sehari-hari.</v>
      </c>
      <c r="BR14" s="307" t="str">
        <f t="shared" si="22"/>
        <v xml:space="preserve"> perlu bimbingan  dalam mengidentifikasi berbagai bentuk keragaman suku bangsa, sosial, dan budaya di Indonesia yang terikat persatuan dan kesatuan., dan  perlu bimbingan  dalam menjelaskan manfaat keberagaman karakteristik individu dalam kehidupan sehari-hari.</v>
      </c>
      <c r="BS14" s="307" t="str">
        <f t="shared" si="23"/>
        <v xml:space="preserve"> </v>
      </c>
      <c r="BT14" s="308" t="str">
        <f t="shared" si="24"/>
        <v xml:space="preserve"> perlu bimbingan  dalam mengidentifikasi berbagai bentuk keragaman suku bangsa, sosial, dan budaya di Indonesia yang terikat persatuan dan kesatuan., dan  perlu bimbingan  dalam menjelaskan manfaat keberagaman karakteristik individu dalam kehidupan sehari-hari.</v>
      </c>
      <c r="BU14" s="301" t="str">
        <f t="shared" si="12"/>
        <v>Anak 10 perlu bimbingan  dalam mengidentifikasi berbagai bentuk keragaman suku bangsa, sosial, dan budaya di Indonesia yang terikat persatuan dan kesatuan., dan  perlu bimbingan  dalam menjelaskan manfaat keberagaman karakteristik individu dalam kehidupan sehari-hari.</v>
      </c>
    </row>
    <row r="15" spans="1:73" ht="59.25" customHeight="1">
      <c r="B15" s="109">
        <v>11</v>
      </c>
      <c r="C15" s="110">
        <f>SISWA!B16</f>
        <v>0</v>
      </c>
      <c r="D15" s="111" t="str">
        <f>SISWA!E16</f>
        <v>Anak 11</v>
      </c>
      <c r="E15" s="631">
        <v>99</v>
      </c>
      <c r="F15" s="631">
        <v>99</v>
      </c>
      <c r="G15" s="631">
        <v>99</v>
      </c>
      <c r="H15" s="631"/>
      <c r="I15" s="631"/>
      <c r="J15" s="631"/>
      <c r="K15" s="610"/>
      <c r="L15" s="631"/>
      <c r="M15" s="631">
        <v>69.5</v>
      </c>
      <c r="N15" s="631">
        <v>70.5</v>
      </c>
      <c r="O15" s="631"/>
      <c r="P15" s="631"/>
      <c r="Q15" s="631"/>
      <c r="R15" s="610"/>
      <c r="S15" s="729">
        <v>99</v>
      </c>
      <c r="T15" s="729">
        <v>99</v>
      </c>
      <c r="U15" s="729">
        <v>99</v>
      </c>
      <c r="V15" s="729"/>
      <c r="W15" s="729"/>
      <c r="X15" s="729"/>
      <c r="Y15" s="518"/>
      <c r="Z15" s="607">
        <f t="shared" si="2"/>
        <v>99</v>
      </c>
      <c r="AA15" s="607">
        <f t="shared" si="3"/>
        <v>91.625</v>
      </c>
      <c r="AB15" s="607">
        <f t="shared" si="4"/>
        <v>91.875</v>
      </c>
      <c r="AC15" s="529"/>
      <c r="AD15" s="529"/>
      <c r="AE15" s="528"/>
      <c r="AF15" s="528"/>
      <c r="AG15" s="528"/>
      <c r="AH15" s="528"/>
      <c r="AI15" s="302">
        <f t="shared" si="5"/>
        <v>94</v>
      </c>
      <c r="AJ15" s="303" t="str">
        <f>IF(AI15&gt;KKM!$G$10,"A",IF(AI15&gt;KKM!$H$10,"B",IF(AI15&gt;=KKM!$I$10,"C","D")))</f>
        <v>A</v>
      </c>
      <c r="AK15" s="523">
        <f t="shared" si="6"/>
        <v>99</v>
      </c>
      <c r="AL15" s="115" t="str">
        <f>IF(AK15&gt;KKM!$G$10," sangat baik ",IF(AK15&gt;KKM!$H$10," baik ",IF(AK15&gt;=KKM!$I$10," cukup baik "," perlu bimbingan ")))</f>
        <v xml:space="preserve"> sangat baik </v>
      </c>
      <c r="AM15" s="524">
        <f t="shared" si="7"/>
        <v>91.625</v>
      </c>
      <c r="AN15" s="115" t="str">
        <f>IF(AM15&gt;KKM!$G$10," sangat baik ",IF(AM15&gt;KKM!$H$10," baik ",IF(AM15&gt;=KKM!$I$10," cukup baik "," perlu bimbingan ")))</f>
        <v xml:space="preserve"> sangat baik </v>
      </c>
      <c r="AO15" s="301" t="str">
        <f t="shared" si="13"/>
        <v>Anak 11 sangat baik  dalam mengidentifikasi pelaksanaan kewajiban dan hak sebagai warga masyarakat dalam kehidupan sehari-hari., dan  sangat baik  dalam menjelaskan manfaat keberagaman karakteristik individu dalam kehidupan sehari-hari.</v>
      </c>
      <c r="AP15" s="306"/>
      <c r="AQ15" s="307" t="str">
        <f t="shared" si="8"/>
        <v xml:space="preserve"> sangat baik  dalam mengidentifikasi pelaksanaan kewajiban dan hak sebagai warga masyarakat dalam kehidupan sehari-hari.</v>
      </c>
      <c r="AR15" s="307" t="str">
        <f t="shared" si="9"/>
        <v xml:space="preserve"> sangat baik  dalam menjelaskan manfaat keberagaman karakteristik individu dalam kehidupan sehari-hari.</v>
      </c>
      <c r="AS15" s="307" t="str">
        <f t="shared" si="14"/>
        <v xml:space="preserve"> sangat baik  dalam mengidentifikasi pelaksanaan kewajiban dan hak sebagai warga masyarakat dalam kehidupan sehari-hari., dan  sangat baik  dalam menjelaskan manfaat keberagaman karakteristik individu dalam kehidupan sehari-hari.</v>
      </c>
      <c r="AT15" s="307" t="str">
        <f t="shared" si="15"/>
        <v xml:space="preserve"> </v>
      </c>
      <c r="AU15" s="308" t="str">
        <f t="shared" si="16"/>
        <v xml:space="preserve"> sangat baik  dalam mengidentifikasi pelaksanaan kewajiban dan hak sebagai warga masyarakat dalam kehidupan sehari-hari., dan  sangat baik  dalam menjelaskan manfaat keberagaman karakteristik individu dalam kehidupan sehari-hari.</v>
      </c>
      <c r="AV15" s="301" t="str">
        <f t="shared" si="10"/>
        <v>Anak 11 sangat baik  dalam mengidentifikasi pelaksanaan kewajiban dan hak sebagai warga masyarakat dalam kehidupan sehari-hari., dan  sangat baik  dalam menjelaskan manfaat keberagaman karakteristik individu dalam kehidupan sehari-hari.</v>
      </c>
      <c r="AW15" s="120"/>
      <c r="BF15" s="408">
        <f t="shared" si="17"/>
        <v>94</v>
      </c>
      <c r="BI15" s="302">
        <f t="shared" si="11"/>
        <v>70</v>
      </c>
      <c r="BJ15" s="303" t="str">
        <f>IF(BI15&gt;KKM!$G$10,"A",IF(BI15&gt;KKM!$H$10,"B",IF(BI15&gt;=KKM!$I$10,"C","D")))</f>
        <v>C</v>
      </c>
      <c r="BK15" s="523">
        <f t="shared" si="18"/>
        <v>70.5</v>
      </c>
      <c r="BL15" s="115" t="str">
        <f>IF(BK15&gt;KKM!$G$10," sangat baik ",IF(BK15&gt;KKM!$H$10," baik ",IF(BK15&gt;=KKM!$I$10," cukup baik "," perlu bimbingan ")))</f>
        <v xml:space="preserve"> cukup baik </v>
      </c>
      <c r="BM15" s="524">
        <f t="shared" si="19"/>
        <v>69.5</v>
      </c>
      <c r="BN15" s="115" t="str">
        <f>IF(BM15&gt;KKM!$G$10," sangat baik ",IF(BM15&gt;KKM!$H$10," baik ",IF(BM15&gt;=KKM!$I$10," cukup baik "," perlu bimbingan ")))</f>
        <v xml:space="preserve"> perlu bimbingan </v>
      </c>
      <c r="BO15" s="301" t="str">
        <f t="shared" si="25"/>
        <v>Anak 11 cukup baik  dalam mengidentifikasi berbagai bentuk keragaman suku bangsa, sosial, dan budaya di Indonesia yang terikat persatuan dan kesatuan., dan  perlu bimbingan  dalam menjelaskan manfaat keberagaman karakteristik individu dalam kehidupan sehari-hari.</v>
      </c>
      <c r="BP15" s="307" t="str">
        <f t="shared" si="20"/>
        <v xml:space="preserve"> cukup baik  dalam mengidentifikasi berbagai bentuk keragaman suku bangsa, sosial, dan budaya di Indonesia yang terikat persatuan dan kesatuan.</v>
      </c>
      <c r="BQ15" s="307" t="str">
        <f t="shared" si="21"/>
        <v xml:space="preserve"> perlu bimbingan  dalam menjelaskan manfaat keberagaman karakteristik individu dalam kehidupan sehari-hari.</v>
      </c>
      <c r="BR15" s="307" t="str">
        <f t="shared" si="22"/>
        <v xml:space="preserve"> cukup baik  dalam mengidentifikasi berbagai bentuk keragaman suku bangsa, sosial, dan budaya di Indonesia yang terikat persatuan dan kesatuan., dan  perlu bimbingan  dalam menjelaskan manfaat keberagaman karakteristik individu dalam kehidupan sehari-hari.</v>
      </c>
      <c r="BS15" s="307" t="str">
        <f t="shared" si="23"/>
        <v xml:space="preserve"> </v>
      </c>
      <c r="BT15" s="308" t="str">
        <f t="shared" si="24"/>
        <v xml:space="preserve"> cukup baik  dalam mengidentifikasi berbagai bentuk keragaman suku bangsa, sosial, dan budaya di Indonesia yang terikat persatuan dan kesatuan., dan  perlu bimbingan  dalam menjelaskan manfaat keberagaman karakteristik individu dalam kehidupan sehari-hari.</v>
      </c>
      <c r="BU15" s="301" t="str">
        <f t="shared" si="12"/>
        <v>Anak 11 cukup baik  dalam mengidentifikasi berbagai bentuk keragaman suku bangsa, sosial, dan budaya di Indonesia yang terikat persatuan dan kesatuan., dan  perlu bimbingan  dalam menjelaskan manfaat keberagaman karakteristik individu dalam kehidupan sehari-hari.</v>
      </c>
    </row>
    <row r="16" spans="1:73" ht="59.25" customHeight="1">
      <c r="B16" s="109">
        <v>12</v>
      </c>
      <c r="C16" s="110">
        <f>SISWA!B17</f>
        <v>0</v>
      </c>
      <c r="D16" s="111" t="str">
        <f>SISWA!E17</f>
        <v>Anak 12</v>
      </c>
      <c r="E16" s="631">
        <v>99</v>
      </c>
      <c r="F16" s="631">
        <v>99</v>
      </c>
      <c r="G16" s="631">
        <v>99</v>
      </c>
      <c r="H16" s="631"/>
      <c r="I16" s="631"/>
      <c r="J16" s="631"/>
      <c r="K16" s="610"/>
      <c r="L16" s="631"/>
      <c r="M16" s="631">
        <v>70.5</v>
      </c>
      <c r="N16" s="631">
        <v>84.5</v>
      </c>
      <c r="O16" s="631"/>
      <c r="P16" s="631"/>
      <c r="Q16" s="631"/>
      <c r="R16" s="610"/>
      <c r="S16" s="729">
        <v>99</v>
      </c>
      <c r="T16" s="729">
        <v>99</v>
      </c>
      <c r="U16" s="729">
        <v>99</v>
      </c>
      <c r="V16" s="729"/>
      <c r="W16" s="729"/>
      <c r="X16" s="729"/>
      <c r="Y16" s="518"/>
      <c r="Z16" s="607">
        <f t="shared" si="2"/>
        <v>99</v>
      </c>
      <c r="AA16" s="607">
        <f t="shared" si="3"/>
        <v>91.875</v>
      </c>
      <c r="AB16" s="607">
        <f t="shared" si="4"/>
        <v>95.375</v>
      </c>
      <c r="AC16" s="529"/>
      <c r="AD16" s="529"/>
      <c r="AE16" s="528"/>
      <c r="AF16" s="528"/>
      <c r="AG16" s="528"/>
      <c r="AH16" s="528"/>
      <c r="AI16" s="302">
        <f t="shared" si="5"/>
        <v>95</v>
      </c>
      <c r="AJ16" s="303" t="str">
        <f>IF(AI16&gt;KKM!$G$10,"A",IF(AI16&gt;KKM!$H$10,"B",IF(AI16&gt;=KKM!$I$10,"C","D")))</f>
        <v>A</v>
      </c>
      <c r="AK16" s="523">
        <f t="shared" si="6"/>
        <v>99</v>
      </c>
      <c r="AL16" s="115" t="str">
        <f>IF(AK16&gt;KKM!$G$10," sangat baik ",IF(AK16&gt;KKM!$H$10," baik ",IF(AK16&gt;=KKM!$I$10," cukup baik "," perlu bimbingan ")))</f>
        <v xml:space="preserve"> sangat baik </v>
      </c>
      <c r="AM16" s="524">
        <f t="shared" si="7"/>
        <v>91.875</v>
      </c>
      <c r="AN16" s="115" t="str">
        <f>IF(AM16&gt;KKM!$G$10," sangat baik ",IF(AM16&gt;KKM!$H$10," baik ",IF(AM16&gt;=KKM!$I$10," cukup baik "," perlu bimbingan ")))</f>
        <v xml:space="preserve"> sangat baik </v>
      </c>
      <c r="AO16" s="301" t="str">
        <f t="shared" si="13"/>
        <v>Anak 12 sangat baik  dalam mengidentifikasi pelaksanaan kewajiban dan hak sebagai warga masyarakat dalam kehidupan sehari-hari., dan  sangat baik  dalam menjelaskan manfaat keberagaman karakteristik individu dalam kehidupan sehari-hari.</v>
      </c>
      <c r="AP16" s="306"/>
      <c r="AQ16" s="307" t="str">
        <f t="shared" si="8"/>
        <v xml:space="preserve"> sangat baik  dalam mengidentifikasi pelaksanaan kewajiban dan hak sebagai warga masyarakat dalam kehidupan sehari-hari.</v>
      </c>
      <c r="AR16" s="307" t="str">
        <f t="shared" si="9"/>
        <v xml:space="preserve"> sangat baik  dalam menjelaskan manfaat keberagaman karakteristik individu dalam kehidupan sehari-hari.</v>
      </c>
      <c r="AS16" s="307" t="str">
        <f t="shared" si="14"/>
        <v xml:space="preserve"> sangat baik  dalam mengidentifikasi pelaksanaan kewajiban dan hak sebagai warga masyarakat dalam kehidupan sehari-hari., dan  sangat baik  dalam menjelaskan manfaat keberagaman karakteristik individu dalam kehidupan sehari-hari.</v>
      </c>
      <c r="AT16" s="307" t="str">
        <f t="shared" si="15"/>
        <v xml:space="preserve"> </v>
      </c>
      <c r="AU16" s="308" t="str">
        <f t="shared" si="16"/>
        <v xml:space="preserve"> sangat baik  dalam mengidentifikasi pelaksanaan kewajiban dan hak sebagai warga masyarakat dalam kehidupan sehari-hari., dan  sangat baik  dalam menjelaskan manfaat keberagaman karakteristik individu dalam kehidupan sehari-hari.</v>
      </c>
      <c r="AV16" s="301" t="str">
        <f t="shared" si="10"/>
        <v>Anak 12 sangat baik  dalam mengidentifikasi pelaksanaan kewajiban dan hak sebagai warga masyarakat dalam kehidupan sehari-hari., dan  sangat baik  dalam menjelaskan manfaat keberagaman karakteristik individu dalam kehidupan sehari-hari.</v>
      </c>
      <c r="AW16" s="120"/>
      <c r="BF16" s="408">
        <f t="shared" si="17"/>
        <v>95</v>
      </c>
      <c r="BI16" s="302">
        <f t="shared" si="11"/>
        <v>78</v>
      </c>
      <c r="BJ16" s="303" t="str">
        <f>IF(BI16&gt;KKM!$G$10,"A",IF(BI16&gt;KKM!$H$10,"B",IF(BI16&gt;=KKM!$I$10,"C","D")))</f>
        <v>C</v>
      </c>
      <c r="BK16" s="523">
        <f t="shared" si="18"/>
        <v>84.5</v>
      </c>
      <c r="BL16" s="115" t="str">
        <f>IF(BK16&gt;KKM!$G$10," sangat baik ",IF(BK16&gt;KKM!$H$10," baik ",IF(BK16&gt;=KKM!$I$10," cukup baik "," perlu bimbingan ")))</f>
        <v xml:space="preserve"> baik </v>
      </c>
      <c r="BM16" s="524">
        <f t="shared" si="19"/>
        <v>70.5</v>
      </c>
      <c r="BN16" s="115" t="str">
        <f>IF(BM16&gt;KKM!$G$10," sangat baik ",IF(BM16&gt;KKM!$H$10," baik ",IF(BM16&gt;=KKM!$I$10," cukup baik "," perlu bimbingan ")))</f>
        <v xml:space="preserve"> cukup baik </v>
      </c>
      <c r="BO16" s="301" t="str">
        <f t="shared" si="25"/>
        <v>Anak 12 baik  dalam mengidentifikasi berbagai bentuk keragaman suku bangsa, sosial, dan budaya di Indonesia yang terikat persatuan dan kesatuan., dan  cukup baik  dalam menjelaskan manfaat keberagaman karakteristik individu dalam kehidupan sehari-hari.</v>
      </c>
      <c r="BP16" s="307" t="str">
        <f t="shared" si="20"/>
        <v xml:space="preserve"> baik  dalam mengidentifikasi berbagai bentuk keragaman suku bangsa, sosial, dan budaya di Indonesia yang terikat persatuan dan kesatuan.</v>
      </c>
      <c r="BQ16" s="307" t="str">
        <f t="shared" si="21"/>
        <v xml:space="preserve"> cukup baik  dalam menjelaskan manfaat keberagaman karakteristik individu dalam kehidupan sehari-hari.</v>
      </c>
      <c r="BR16"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16" s="307" t="str">
        <f t="shared" si="23"/>
        <v xml:space="preserve"> </v>
      </c>
      <c r="BT16"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16" s="301" t="str">
        <f t="shared" si="12"/>
        <v>Anak 12 baik  dalam mengidentifikasi berbagai bentuk keragaman suku bangsa, sosial, dan budaya di Indonesia yang terikat persatuan dan kesatuan., dan  cukup baik  dalam menjelaskan manfaat keberagaman karakteristik individu dalam kehidupan sehari-hari.</v>
      </c>
    </row>
    <row r="17" spans="2:73" ht="59.25" customHeight="1">
      <c r="B17" s="109">
        <v>13</v>
      </c>
      <c r="C17" s="110">
        <f>SISWA!B18</f>
        <v>0</v>
      </c>
      <c r="D17" s="111" t="str">
        <f>SISWA!E18</f>
        <v>Anak 13</v>
      </c>
      <c r="E17" s="631">
        <v>99</v>
      </c>
      <c r="F17" s="631">
        <v>99</v>
      </c>
      <c r="G17" s="631">
        <v>99</v>
      </c>
      <c r="H17" s="631"/>
      <c r="I17" s="631"/>
      <c r="J17" s="631"/>
      <c r="K17" s="610"/>
      <c r="L17" s="631"/>
      <c r="M17" s="631">
        <v>84.5</v>
      </c>
      <c r="N17" s="631">
        <v>72.5</v>
      </c>
      <c r="O17" s="631"/>
      <c r="P17" s="631"/>
      <c r="Q17" s="631"/>
      <c r="R17" s="610"/>
      <c r="S17" s="729">
        <v>99</v>
      </c>
      <c r="T17" s="729">
        <v>99</v>
      </c>
      <c r="U17" s="729">
        <v>99</v>
      </c>
      <c r="V17" s="729"/>
      <c r="W17" s="729"/>
      <c r="X17" s="729"/>
      <c r="Y17" s="518"/>
      <c r="Z17" s="607">
        <f t="shared" si="2"/>
        <v>99</v>
      </c>
      <c r="AA17" s="607">
        <f t="shared" si="3"/>
        <v>95.375</v>
      </c>
      <c r="AB17" s="607">
        <f t="shared" si="4"/>
        <v>92.375</v>
      </c>
      <c r="AC17" s="607" t="str">
        <f t="shared" ref="AC17" si="26">IFERROR(AVERAGE(H17,H17,O17,V17),"")</f>
        <v/>
      </c>
      <c r="AD17" s="607" t="str">
        <f t="shared" ref="AD17" si="27">IFERROR(AVERAGE(I17,I17,P17,W17),"")</f>
        <v/>
      </c>
      <c r="AE17" s="607" t="str">
        <f t="shared" ref="AE17" si="28">IFERROR(AVERAGE(J17,J17,Q17,X17),"")</f>
        <v/>
      </c>
      <c r="AF17" s="528"/>
      <c r="AG17" s="528"/>
      <c r="AH17" s="528"/>
      <c r="AI17" s="302">
        <f t="shared" si="5"/>
        <v>96</v>
      </c>
      <c r="AJ17" s="303" t="str">
        <f>IF(AI17&gt;KKM!$G$10,"A",IF(AI17&gt;KKM!$H$10,"B",IF(AI17&gt;=KKM!$I$10,"C","D")))</f>
        <v>A</v>
      </c>
      <c r="AK17" s="523">
        <f t="shared" si="6"/>
        <v>99</v>
      </c>
      <c r="AL17" s="115" t="str">
        <f>IF(AK17&gt;KKM!$G$10," sangat baik ",IF(AK17&gt;KKM!$H$10," baik ",IF(AK17&gt;=KKM!$I$10," cukup baik "," perlu bimbingan ")))</f>
        <v xml:space="preserve"> sangat baik </v>
      </c>
      <c r="AM17" s="524">
        <f t="shared" si="7"/>
        <v>92.375</v>
      </c>
      <c r="AN17" s="115" t="str">
        <f>IF(AM17&gt;KKM!$G$10," sangat baik ",IF(AM17&gt;KKM!$H$10," baik ",IF(AM17&gt;=KKM!$I$10," cukup baik "," perlu bimbingan ")))</f>
        <v xml:space="preserve"> sangat baik </v>
      </c>
      <c r="AO17" s="301" t="str">
        <f t="shared" si="13"/>
        <v>Anak 13 sangat baik  dalam mengidentifikasi pelaksanaan kewajiban dan hak sebagai warga masyarakat dalam kehidupan sehari-hari., dan  sangat baik  dalam mengidentifikasi berbagai bentuk keragaman suku bangsa, sosial, dan budaya di Indonesia yang terikat persatuan dan kesatuan.</v>
      </c>
      <c r="AP17" s="306"/>
      <c r="AQ17" s="307" t="str">
        <f t="shared" si="8"/>
        <v xml:space="preserve"> sangat baik  dalam mengidentifikasi pelaksanaan kewajiban dan hak sebagai warga masyarakat dalam kehidupan sehari-hari.</v>
      </c>
      <c r="AR17" s="307" t="str">
        <f t="shared" si="9"/>
        <v xml:space="preserve"> sangat baik  dalam mengidentifikasi berbagai bentuk keragaman suku bangsa, sosial, dan budaya di Indonesia yang terikat persatuan dan kesatuan.</v>
      </c>
      <c r="AS17"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17" s="307" t="str">
        <f t="shared" si="15"/>
        <v xml:space="preserve"> </v>
      </c>
      <c r="AU17"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17" s="301" t="str">
        <f t="shared" si="10"/>
        <v>Anak 13 sangat baik  dalam mengidentifikasi pelaksanaan kewajiban dan hak sebagai warga masyarakat dalam kehidupan sehari-hari., dan  sangat baik  dalam mengidentifikasi berbagai bentuk keragaman suku bangsa, sosial, dan budaya di Indonesia yang terikat persatuan dan kesatuan.</v>
      </c>
      <c r="AW17" s="120"/>
      <c r="BF17" s="408">
        <f t="shared" si="17"/>
        <v>96</v>
      </c>
      <c r="BI17" s="302">
        <f t="shared" si="11"/>
        <v>79</v>
      </c>
      <c r="BJ17" s="303" t="str">
        <f>IF(BI17&gt;KKM!$G$10,"A",IF(BI17&gt;KKM!$H$10,"B",IF(BI17&gt;=KKM!$I$10,"C","D")))</f>
        <v>C</v>
      </c>
      <c r="BK17" s="523">
        <f t="shared" si="18"/>
        <v>84.5</v>
      </c>
      <c r="BL17" s="115" t="str">
        <f>IF(BK17&gt;KKM!$G$10," sangat baik ",IF(BK17&gt;KKM!$H$10," baik ",IF(BK17&gt;=KKM!$I$10," cukup baik "," perlu bimbingan ")))</f>
        <v xml:space="preserve"> baik </v>
      </c>
      <c r="BM17" s="524">
        <f t="shared" si="19"/>
        <v>72.5</v>
      </c>
      <c r="BN17" s="115" t="str">
        <f>IF(BM17&gt;KKM!$G$10," sangat baik ",IF(BM17&gt;KKM!$H$10," baik ",IF(BM17&gt;=KKM!$I$10," cukup baik "," perlu bimbingan ")))</f>
        <v xml:space="preserve"> cukup baik </v>
      </c>
      <c r="BO17" s="301" t="str">
        <f t="shared" si="25"/>
        <v>Anak 13 baik  dalam menjelaskan manfaat keberagaman karakteristik individu dalam kehidupan sehari-hari., dan  cukup baik  dalam mengidentifikasi berbagai bentuk keragaman suku bangsa, sosial, dan budaya di Indonesia yang terikat persatuan dan kesatuan.</v>
      </c>
      <c r="BP17" s="307" t="str">
        <f t="shared" si="20"/>
        <v xml:space="preserve"> baik  dalam menjelaskan manfaat keberagaman karakteristik individu dalam kehidupan sehari-hari.</v>
      </c>
      <c r="BQ17" s="307" t="str">
        <f t="shared" si="21"/>
        <v xml:space="preserve"> cukup baik  dalam mengidentifikasi berbagai bentuk keragaman suku bangsa, sosial, dan budaya di Indonesia yang terikat persatuan dan kesatuan.</v>
      </c>
      <c r="BR17"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17" s="307" t="str">
        <f t="shared" si="23"/>
        <v xml:space="preserve"> </v>
      </c>
      <c r="BT17"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17" s="301" t="str">
        <f t="shared" si="12"/>
        <v>Anak 13 baik  dalam menjelaskan manfaat keberagaman karakteristik individu dalam kehidupan sehari-hari., dan  cukup baik  dalam mengidentifikasi berbagai bentuk keragaman suku bangsa, sosial, dan budaya di Indonesia yang terikat persatuan dan kesatuan.</v>
      </c>
    </row>
    <row r="18" spans="2:73" ht="59.25" customHeight="1">
      <c r="B18" s="109">
        <v>14</v>
      </c>
      <c r="C18" s="110">
        <f>SISWA!B19</f>
        <v>0</v>
      </c>
      <c r="D18" s="111" t="str">
        <f>SISWA!E19</f>
        <v>Anak 14</v>
      </c>
      <c r="E18" s="631">
        <v>99</v>
      </c>
      <c r="F18" s="631">
        <v>99</v>
      </c>
      <c r="G18" s="631">
        <v>99</v>
      </c>
      <c r="H18" s="631"/>
      <c r="I18" s="631"/>
      <c r="J18" s="631"/>
      <c r="K18" s="610"/>
      <c r="L18" s="631"/>
      <c r="M18" s="631">
        <v>72.5</v>
      </c>
      <c r="N18" s="631">
        <v>80</v>
      </c>
      <c r="O18" s="631"/>
      <c r="P18" s="631"/>
      <c r="Q18" s="631"/>
      <c r="R18" s="610"/>
      <c r="S18" s="729">
        <v>99</v>
      </c>
      <c r="T18" s="729">
        <v>99</v>
      </c>
      <c r="U18" s="729">
        <v>99</v>
      </c>
      <c r="V18" s="729"/>
      <c r="W18" s="729"/>
      <c r="X18" s="729"/>
      <c r="Y18" s="518"/>
      <c r="Z18" s="607">
        <f t="shared" si="2"/>
        <v>99</v>
      </c>
      <c r="AA18" s="607">
        <f t="shared" si="3"/>
        <v>92.375</v>
      </c>
      <c r="AB18" s="607">
        <f t="shared" ref="AB18:AB54" si="29">IFERROR(AVERAGE(G18,G18,N18,U18),"")</f>
        <v>94.25</v>
      </c>
      <c r="AC18" s="607" t="str">
        <f t="shared" ref="AC18:AC54" si="30">IFERROR(AVERAGE(H18,H18,O18,V18),"")</f>
        <v/>
      </c>
      <c r="AD18" s="607" t="str">
        <f t="shared" ref="AD18:AD54" si="31">IFERROR(AVERAGE(I18,I18,P18,W18),"")</f>
        <v/>
      </c>
      <c r="AE18" s="607" t="str">
        <f t="shared" ref="AE18:AE54" si="32">IFERROR(AVERAGE(J18,J18,Q18,X18),"")</f>
        <v/>
      </c>
      <c r="AF18" s="528"/>
      <c r="AG18" s="528"/>
      <c r="AH18" s="528"/>
      <c r="AI18" s="302">
        <f t="shared" si="5"/>
        <v>95</v>
      </c>
      <c r="AJ18" s="303" t="str">
        <f>IF(AI18&gt;KKM!$G$10,"A",IF(AI18&gt;KKM!$H$10,"B",IF(AI18&gt;=KKM!$I$10,"C","D")))</f>
        <v>A</v>
      </c>
      <c r="AK18" s="523">
        <f t="shared" si="6"/>
        <v>99</v>
      </c>
      <c r="AL18" s="115" t="str">
        <f>IF(AK18&gt;KKM!$G$10," sangat baik ",IF(AK18&gt;KKM!$H$10," baik ",IF(AK18&gt;=KKM!$I$10," cukup baik "," perlu bimbingan ")))</f>
        <v xml:space="preserve"> sangat baik </v>
      </c>
      <c r="AM18" s="524">
        <f t="shared" si="7"/>
        <v>92.375</v>
      </c>
      <c r="AN18" s="115" t="str">
        <f>IF(AM18&gt;KKM!$G$10," sangat baik ",IF(AM18&gt;KKM!$H$10," baik ",IF(AM18&gt;=KKM!$I$10," cukup baik "," perlu bimbingan ")))</f>
        <v xml:space="preserve"> sangat baik </v>
      </c>
      <c r="AO18" s="301" t="str">
        <f t="shared" si="13"/>
        <v>Anak 14 sangat baik  dalam mengidentifikasi pelaksanaan kewajiban dan hak sebagai warga masyarakat dalam kehidupan sehari-hari., dan  sangat baik  dalam menjelaskan manfaat keberagaman karakteristik individu dalam kehidupan sehari-hari.</v>
      </c>
      <c r="AP18" s="306"/>
      <c r="AQ18" s="307" t="str">
        <f t="shared" si="8"/>
        <v xml:space="preserve"> sangat baik  dalam mengidentifikasi pelaksanaan kewajiban dan hak sebagai warga masyarakat dalam kehidupan sehari-hari.</v>
      </c>
      <c r="AR18" s="307" t="str">
        <f t="shared" si="9"/>
        <v xml:space="preserve"> sangat baik  dalam menjelaskan manfaat keberagaman karakteristik individu dalam kehidupan sehari-hari.</v>
      </c>
      <c r="AS18" s="307" t="str">
        <f t="shared" si="14"/>
        <v xml:space="preserve"> sangat baik  dalam mengidentifikasi pelaksanaan kewajiban dan hak sebagai warga masyarakat dalam kehidupan sehari-hari., dan  sangat baik  dalam menjelaskan manfaat keberagaman karakteristik individu dalam kehidupan sehari-hari.</v>
      </c>
      <c r="AT18" s="307" t="str">
        <f t="shared" si="15"/>
        <v xml:space="preserve"> </v>
      </c>
      <c r="AU18" s="308" t="str">
        <f t="shared" si="16"/>
        <v xml:space="preserve"> sangat baik  dalam mengidentifikasi pelaksanaan kewajiban dan hak sebagai warga masyarakat dalam kehidupan sehari-hari., dan  sangat baik  dalam menjelaskan manfaat keberagaman karakteristik individu dalam kehidupan sehari-hari.</v>
      </c>
      <c r="AV18" s="301" t="str">
        <f t="shared" si="10"/>
        <v>Anak 14 sangat baik  dalam mengidentifikasi pelaksanaan kewajiban dan hak sebagai warga masyarakat dalam kehidupan sehari-hari., dan  sangat baik  dalam menjelaskan manfaat keberagaman karakteristik individu dalam kehidupan sehari-hari.</v>
      </c>
      <c r="AW18" s="120"/>
      <c r="BF18" s="408">
        <f t="shared" si="17"/>
        <v>95</v>
      </c>
      <c r="BI18" s="302">
        <f t="shared" si="11"/>
        <v>76</v>
      </c>
      <c r="BJ18" s="303" t="str">
        <f>IF(BI18&gt;KKM!$G$10,"A",IF(BI18&gt;KKM!$H$10,"B",IF(BI18&gt;=KKM!$I$10,"C","D")))</f>
        <v>C</v>
      </c>
      <c r="BK18" s="523">
        <f t="shared" si="18"/>
        <v>80</v>
      </c>
      <c r="BL18" s="115" t="str">
        <f>IF(BK18&gt;KKM!$G$10," sangat baik ",IF(BK18&gt;KKM!$H$10," baik ",IF(BK18&gt;=KKM!$I$10," cukup baik "," perlu bimbingan ")))</f>
        <v xml:space="preserve"> cukup baik </v>
      </c>
      <c r="BM18" s="524">
        <f t="shared" si="19"/>
        <v>72.5</v>
      </c>
      <c r="BN18" s="115" t="str">
        <f>IF(BM18&gt;KKM!$G$10," sangat baik ",IF(BM18&gt;KKM!$H$10," baik ",IF(BM18&gt;=KKM!$I$10," cukup baik "," perlu bimbingan ")))</f>
        <v xml:space="preserve"> cukup baik </v>
      </c>
      <c r="BO18" s="301" t="str">
        <f t="shared" si="25"/>
        <v>Anak 14 cukup baik  dalam mengidentifikasi berbagai bentuk keragaman suku bangsa, sosial, dan budaya di Indonesia yang terikat persatuan dan kesatuan., dan  cukup baik  dalam menjelaskan manfaat keberagaman karakteristik individu dalam kehidupan sehari-hari.</v>
      </c>
      <c r="BP18" s="307" t="str">
        <f t="shared" si="20"/>
        <v xml:space="preserve"> cukup baik  dalam mengidentifikasi berbagai bentuk keragaman suku bangsa, sosial, dan budaya di Indonesia yang terikat persatuan dan kesatuan.</v>
      </c>
      <c r="BQ18" s="307" t="str">
        <f t="shared" si="21"/>
        <v xml:space="preserve"> cukup baik  dalam menjelaskan manfaat keberagaman karakteristik individu dalam kehidupan sehari-hari.</v>
      </c>
      <c r="BR18" s="307" t="str">
        <f t="shared" si="22"/>
        <v xml:space="preserve"> cukup baik  dalam mengidentifikasi berbagai bentuk keragaman suku bangsa, sosial, dan budaya di Indonesia yang terikat persatuan dan kesatuan., dan  cukup baik  dalam menjelaskan manfaat keberagaman karakteristik individu dalam kehidupan sehari-hari.</v>
      </c>
      <c r="BS18" s="307" t="str">
        <f t="shared" si="23"/>
        <v xml:space="preserve"> </v>
      </c>
      <c r="BT18" s="308" t="str">
        <f t="shared" si="24"/>
        <v xml:space="preserve"> cukup baik  dalam mengidentifikasi berbagai bentuk keragaman suku bangsa, sosial, dan budaya di Indonesia yang terikat persatuan dan kesatuan., dan  cukup baik  dalam menjelaskan manfaat keberagaman karakteristik individu dalam kehidupan sehari-hari.</v>
      </c>
      <c r="BU18" s="301" t="str">
        <f t="shared" si="12"/>
        <v>Anak 14 cukup baik  dalam mengidentifikasi berbagai bentuk keragaman suku bangsa, sosial, dan budaya di Indonesia yang terikat persatuan dan kesatuan., dan  cukup baik  dalam menjelaskan manfaat keberagaman karakteristik individu dalam kehidupan sehari-hari.</v>
      </c>
    </row>
    <row r="19" spans="2:73" ht="59.25" customHeight="1">
      <c r="B19" s="109">
        <v>15</v>
      </c>
      <c r="C19" s="110">
        <f>SISWA!B20</f>
        <v>0</v>
      </c>
      <c r="D19" s="111" t="str">
        <f>SISWA!E20</f>
        <v>Anak 15</v>
      </c>
      <c r="E19" s="631">
        <v>99</v>
      </c>
      <c r="F19" s="631">
        <v>99</v>
      </c>
      <c r="G19" s="631">
        <v>99</v>
      </c>
      <c r="H19" s="631"/>
      <c r="I19" s="631"/>
      <c r="J19" s="631"/>
      <c r="K19" s="610"/>
      <c r="L19" s="631"/>
      <c r="M19" s="631">
        <v>80</v>
      </c>
      <c r="N19" s="631">
        <v>79.5</v>
      </c>
      <c r="O19" s="631"/>
      <c r="P19" s="631"/>
      <c r="Q19" s="631"/>
      <c r="R19" s="610"/>
      <c r="S19" s="729">
        <v>99</v>
      </c>
      <c r="T19" s="729">
        <v>99</v>
      </c>
      <c r="U19" s="729">
        <v>99</v>
      </c>
      <c r="V19" s="729"/>
      <c r="W19" s="729"/>
      <c r="X19" s="729"/>
      <c r="Y19" s="518"/>
      <c r="Z19" s="607">
        <f t="shared" si="2"/>
        <v>99</v>
      </c>
      <c r="AA19" s="607">
        <f t="shared" si="3"/>
        <v>94.25</v>
      </c>
      <c r="AB19" s="607">
        <f t="shared" si="29"/>
        <v>94.125</v>
      </c>
      <c r="AC19" s="607" t="str">
        <f t="shared" si="30"/>
        <v/>
      </c>
      <c r="AD19" s="607" t="str">
        <f t="shared" si="31"/>
        <v/>
      </c>
      <c r="AE19" s="607" t="str">
        <f t="shared" si="32"/>
        <v/>
      </c>
      <c r="AF19" s="528"/>
      <c r="AG19" s="528"/>
      <c r="AH19" s="528"/>
      <c r="AI19" s="302">
        <f t="shared" si="5"/>
        <v>96</v>
      </c>
      <c r="AJ19" s="303" t="str">
        <f>IF(AI19&gt;KKM!$G$10,"A",IF(AI19&gt;KKM!$H$10,"B",IF(AI19&gt;=KKM!$I$10,"C","D")))</f>
        <v>A</v>
      </c>
      <c r="AK19" s="523">
        <f t="shared" si="6"/>
        <v>99</v>
      </c>
      <c r="AL19" s="115" t="str">
        <f>IF(AK19&gt;KKM!$G$10," sangat baik ",IF(AK19&gt;KKM!$H$10," baik ",IF(AK19&gt;=KKM!$I$10," cukup baik "," perlu bimbingan ")))</f>
        <v xml:space="preserve"> sangat baik </v>
      </c>
      <c r="AM19" s="524">
        <f t="shared" si="7"/>
        <v>94.125</v>
      </c>
      <c r="AN19" s="115" t="str">
        <f>IF(AM19&gt;KKM!$G$10," sangat baik ",IF(AM19&gt;KKM!$H$10," baik ",IF(AM19&gt;=KKM!$I$10," cukup baik "," perlu bimbingan ")))</f>
        <v xml:space="preserve"> sangat baik </v>
      </c>
      <c r="AO19" s="301" t="str">
        <f t="shared" si="13"/>
        <v>Anak 15 sangat baik  dalam mengidentifikasi pelaksanaan kewajiban dan hak sebagai warga masyarakat dalam kehidupan sehari-hari., dan  sangat baik  dalam mengidentifikasi berbagai bentuk keragaman suku bangsa, sosial, dan budaya di Indonesia yang terikat persatuan dan kesatuan.</v>
      </c>
      <c r="AP19" s="306"/>
      <c r="AQ19" s="307" t="str">
        <f t="shared" si="8"/>
        <v xml:space="preserve"> sangat baik  dalam mengidentifikasi pelaksanaan kewajiban dan hak sebagai warga masyarakat dalam kehidupan sehari-hari.</v>
      </c>
      <c r="AR19" s="307" t="str">
        <f t="shared" si="9"/>
        <v xml:space="preserve"> sangat baik  dalam mengidentifikasi berbagai bentuk keragaman suku bangsa, sosial, dan budaya di Indonesia yang terikat persatuan dan kesatuan.</v>
      </c>
      <c r="AS19"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19" s="307" t="str">
        <f t="shared" si="15"/>
        <v xml:space="preserve"> </v>
      </c>
      <c r="AU19"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19" s="301" t="str">
        <f t="shared" si="10"/>
        <v>Anak 15 sangat baik  dalam mengidentifikasi pelaksanaan kewajiban dan hak sebagai warga masyarakat dalam kehidupan sehari-hari., dan  sangat baik  dalam mengidentifikasi berbagai bentuk keragaman suku bangsa, sosial, dan budaya di Indonesia yang terikat persatuan dan kesatuan.</v>
      </c>
      <c r="AW19" s="120"/>
      <c r="BF19" s="408">
        <f t="shared" si="17"/>
        <v>96</v>
      </c>
      <c r="BI19" s="302">
        <f t="shared" si="11"/>
        <v>80</v>
      </c>
      <c r="BJ19" s="303" t="str">
        <f>IF(BI19&gt;KKM!$G$10,"A",IF(BI19&gt;KKM!$H$10,"B",IF(BI19&gt;=KKM!$I$10,"C","D")))</f>
        <v>C</v>
      </c>
      <c r="BK19" s="523">
        <f t="shared" si="18"/>
        <v>80</v>
      </c>
      <c r="BL19" s="115" t="str">
        <f>IF(BK19&gt;KKM!$G$10," sangat baik ",IF(BK19&gt;KKM!$H$10," baik ",IF(BK19&gt;=KKM!$I$10," cukup baik "," perlu bimbingan ")))</f>
        <v xml:space="preserve"> cukup baik </v>
      </c>
      <c r="BM19" s="524">
        <f t="shared" si="19"/>
        <v>79.5</v>
      </c>
      <c r="BN19" s="115" t="str">
        <f>IF(BM19&gt;KKM!$G$10," sangat baik ",IF(BM19&gt;KKM!$H$10," baik ",IF(BM19&gt;=KKM!$I$10," cukup baik "," perlu bimbingan ")))</f>
        <v xml:space="preserve"> cukup baik </v>
      </c>
      <c r="BO19" s="301" t="str">
        <f t="shared" si="25"/>
        <v>Anak 15 cukup baik  dalam menjelaskan manfaat keberagaman karakteristik individu dalam kehidupan sehari-hari., dan  cukup baik  dalam mengidentifikasi berbagai bentuk keragaman suku bangsa, sosial, dan budaya di Indonesia yang terikat persatuan dan kesatuan.</v>
      </c>
      <c r="BP19" s="307" t="str">
        <f t="shared" si="20"/>
        <v xml:space="preserve"> cukup baik  dalam menjelaskan manfaat keberagaman karakteristik individu dalam kehidupan sehari-hari.</v>
      </c>
      <c r="BQ19" s="307" t="str">
        <f t="shared" si="21"/>
        <v xml:space="preserve"> cukup baik  dalam mengidentifikasi berbagai bentuk keragaman suku bangsa, sosial, dan budaya di Indonesia yang terikat persatuan dan kesatuan.</v>
      </c>
      <c r="BR19" s="307" t="str">
        <f t="shared" si="22"/>
        <v xml:space="preserve"> cukup baik  dalam menjelaskan manfaat keberagaman karakteristik individu dalam kehidupan sehari-hari., dan  cukup baik  dalam mengidentifikasi berbagai bentuk keragaman suku bangsa, sosial, dan budaya di Indonesia yang terikat persatuan dan kesatuan.</v>
      </c>
      <c r="BS19" s="307" t="str">
        <f t="shared" si="23"/>
        <v xml:space="preserve"> </v>
      </c>
      <c r="BT19" s="308" t="str">
        <f t="shared" si="24"/>
        <v xml:space="preserve"> cukup baik  dalam menjelaskan manfaat keberagaman karakteristik individu dalam kehidupan sehari-hari., dan  cukup baik  dalam mengidentifikasi berbagai bentuk keragaman suku bangsa, sosial, dan budaya di Indonesia yang terikat persatuan dan kesatuan.</v>
      </c>
      <c r="BU19" s="301" t="str">
        <f t="shared" si="12"/>
        <v>Anak 15 cukup baik  dalam menjelaskan manfaat keberagaman karakteristik individu dalam kehidupan sehari-hari., dan  cukup baik  dalam mengidentifikasi berbagai bentuk keragaman suku bangsa, sosial, dan budaya di Indonesia yang terikat persatuan dan kesatuan.</v>
      </c>
    </row>
    <row r="20" spans="2:73" ht="59.25" customHeight="1">
      <c r="B20" s="109">
        <v>16</v>
      </c>
      <c r="C20" s="110">
        <f>SISWA!B21</f>
        <v>0</v>
      </c>
      <c r="D20" s="111" t="str">
        <f>SISWA!E21</f>
        <v>Anak 16</v>
      </c>
      <c r="E20" s="631">
        <v>99</v>
      </c>
      <c r="F20" s="631">
        <v>99</v>
      </c>
      <c r="G20" s="631">
        <v>99</v>
      </c>
      <c r="H20" s="631"/>
      <c r="I20" s="631"/>
      <c r="J20" s="631"/>
      <c r="K20" s="610"/>
      <c r="L20" s="631"/>
      <c r="M20" s="631">
        <v>79.5</v>
      </c>
      <c r="N20" s="631">
        <v>79.5</v>
      </c>
      <c r="O20" s="631"/>
      <c r="P20" s="631"/>
      <c r="Q20" s="631"/>
      <c r="R20" s="610"/>
      <c r="S20" s="729">
        <v>99</v>
      </c>
      <c r="T20" s="729">
        <v>99</v>
      </c>
      <c r="U20" s="729">
        <v>99</v>
      </c>
      <c r="V20" s="729"/>
      <c r="W20" s="729"/>
      <c r="X20" s="729"/>
      <c r="Y20" s="518"/>
      <c r="Z20" s="607">
        <f t="shared" si="2"/>
        <v>99</v>
      </c>
      <c r="AA20" s="607">
        <f t="shared" si="3"/>
        <v>94.125</v>
      </c>
      <c r="AB20" s="607">
        <f t="shared" si="29"/>
        <v>94.125</v>
      </c>
      <c r="AC20" s="607" t="str">
        <f t="shared" si="30"/>
        <v/>
      </c>
      <c r="AD20" s="607" t="str">
        <f t="shared" si="31"/>
        <v/>
      </c>
      <c r="AE20" s="607" t="str">
        <f t="shared" si="32"/>
        <v/>
      </c>
      <c r="AF20" s="528"/>
      <c r="AG20" s="528"/>
      <c r="AH20" s="528"/>
      <c r="AI20" s="302">
        <f t="shared" si="5"/>
        <v>96</v>
      </c>
      <c r="AJ20" s="303" t="str">
        <f>IF(AI20&gt;KKM!$G$10,"A",IF(AI20&gt;KKM!$H$10,"B",IF(AI20&gt;=KKM!$I$10,"C","D")))</f>
        <v>A</v>
      </c>
      <c r="AK20" s="523">
        <f t="shared" si="6"/>
        <v>99</v>
      </c>
      <c r="AL20" s="115" t="str">
        <f>IF(AK20&gt;KKM!$G$10," sangat baik ",IF(AK20&gt;KKM!$H$10," baik ",IF(AK20&gt;=KKM!$I$10," cukup baik "," perlu bimbingan ")))</f>
        <v xml:space="preserve"> sangat baik </v>
      </c>
      <c r="AM20" s="524">
        <f t="shared" si="7"/>
        <v>94.125</v>
      </c>
      <c r="AN20" s="115" t="str">
        <f>IF(AM20&gt;KKM!$G$10," sangat baik ",IF(AM20&gt;KKM!$H$10," baik ",IF(AM20&gt;=KKM!$I$10," cukup baik "," perlu bimbingan ")))</f>
        <v xml:space="preserve"> sangat baik </v>
      </c>
      <c r="AO20" s="301" t="str">
        <f t="shared" si="13"/>
        <v>Anak 16 sangat baik  dalam mengidentifikasi pelaksanaan kewajiban dan hak sebagai warga masyarakat dalam kehidupan sehari-hari., dan  sangat baik  dalam menjelaskan manfaat keberagaman karakteristik individu dalam kehidupan sehari-hari.</v>
      </c>
      <c r="AP20" s="306"/>
      <c r="AQ20" s="307" t="str">
        <f t="shared" si="8"/>
        <v xml:space="preserve"> sangat baik  dalam mengidentifikasi pelaksanaan kewajiban dan hak sebagai warga masyarakat dalam kehidupan sehari-hari.</v>
      </c>
      <c r="AR20" s="307" t="str">
        <f t="shared" si="9"/>
        <v xml:space="preserve"> sangat baik  dalam menjelaskan manfaat keberagaman karakteristik individu dalam kehidupan sehari-hari.</v>
      </c>
      <c r="AS20" s="307" t="str">
        <f t="shared" si="14"/>
        <v xml:space="preserve"> sangat baik  dalam mengidentifikasi pelaksanaan kewajiban dan hak sebagai warga masyarakat dalam kehidupan sehari-hari., dan  sangat baik  dalam menjelaskan manfaat keberagaman karakteristik individu dalam kehidupan sehari-hari.</v>
      </c>
      <c r="AT20" s="307" t="str">
        <f t="shared" si="15"/>
        <v xml:space="preserve"> </v>
      </c>
      <c r="AU20" s="308" t="str">
        <f t="shared" si="16"/>
        <v xml:space="preserve"> sangat baik  dalam mengidentifikasi pelaksanaan kewajiban dan hak sebagai warga masyarakat dalam kehidupan sehari-hari., dan  sangat baik  dalam menjelaskan manfaat keberagaman karakteristik individu dalam kehidupan sehari-hari.</v>
      </c>
      <c r="AV20" s="301" t="str">
        <f t="shared" si="10"/>
        <v>Anak 16 sangat baik  dalam mengidentifikasi pelaksanaan kewajiban dan hak sebagai warga masyarakat dalam kehidupan sehari-hari., dan  sangat baik  dalam menjelaskan manfaat keberagaman karakteristik individu dalam kehidupan sehari-hari.</v>
      </c>
      <c r="AW20" s="120"/>
      <c r="BF20" s="408">
        <f t="shared" si="17"/>
        <v>96</v>
      </c>
      <c r="BI20" s="302">
        <f t="shared" si="11"/>
        <v>80</v>
      </c>
      <c r="BJ20" s="303" t="str">
        <f>IF(BI20&gt;KKM!$G$10,"A",IF(BI20&gt;KKM!$H$10,"B",IF(BI20&gt;=KKM!$I$10,"C","D")))</f>
        <v>C</v>
      </c>
      <c r="BK20" s="523">
        <f t="shared" si="18"/>
        <v>79.5</v>
      </c>
      <c r="BL20" s="115" t="str">
        <f>IF(BK20&gt;KKM!$G$10," sangat baik ",IF(BK20&gt;KKM!$H$10," baik ",IF(BK20&gt;=KKM!$I$10," cukup baik "," perlu bimbingan ")))</f>
        <v xml:space="preserve"> cukup baik </v>
      </c>
      <c r="BM20" s="524">
        <f t="shared" si="19"/>
        <v>79.5</v>
      </c>
      <c r="BN20" s="115" t="str">
        <f>IF(BM20&gt;KKM!$G$10," sangat baik ",IF(BM20&gt;KKM!$H$10," baik ",IF(BM20&gt;=KKM!$I$10," cukup baik "," perlu bimbingan ")))</f>
        <v xml:space="preserve"> cukup baik </v>
      </c>
      <c r="BO20" s="301" t="str">
        <f t="shared" si="25"/>
        <v>Anak 16 cukup baik  dalam menjelaskan manfaat keberagaman karakteristik individu dalam kehidupan sehari-hari.</v>
      </c>
      <c r="BP20" s="307" t="str">
        <f t="shared" si="20"/>
        <v xml:space="preserve"> cukup baik  dalam menjelaskan manfaat keberagaman karakteristik individu dalam kehidupan sehari-hari.</v>
      </c>
      <c r="BQ20" s="307" t="str">
        <f t="shared" si="21"/>
        <v xml:space="preserve"> cukup baik  dalam menjelaskan manfaat keberagaman karakteristik individu dalam kehidupan sehari-hari.</v>
      </c>
      <c r="BR20" s="307" t="str">
        <f t="shared" si="22"/>
        <v xml:space="preserve"> cukup baik  dalam menjelaskan manfaat keberagaman karakteristik individu dalam kehidupan sehari-hari., dan  cukup baik  dalam menjelaskan manfaat keberagaman karakteristik individu dalam kehidupan sehari-hari.</v>
      </c>
      <c r="BS20" s="307" t="str">
        <f t="shared" si="23"/>
        <v xml:space="preserve"> cukup baik  dalam menjelaskan manfaat keberagaman karakteristik individu dalam kehidupan sehari-hari.</v>
      </c>
      <c r="BT20" s="308" t="str">
        <f t="shared" si="24"/>
        <v xml:space="preserve"> cukup baik  dalam menjelaskan manfaat keberagaman karakteristik individu dalam kehidupan sehari-hari.</v>
      </c>
      <c r="BU20" s="301" t="str">
        <f t="shared" si="12"/>
        <v>Anak 16 cukup baik  dalam menjelaskan manfaat keberagaman karakteristik individu dalam kehidupan sehari-hari.</v>
      </c>
    </row>
    <row r="21" spans="2:73" ht="59.25" customHeight="1">
      <c r="B21" s="109">
        <v>17</v>
      </c>
      <c r="C21" s="110">
        <f>SISWA!B22</f>
        <v>0</v>
      </c>
      <c r="D21" s="111" t="str">
        <f>SISWA!E22</f>
        <v>Anak 17</v>
      </c>
      <c r="E21" s="631">
        <v>99</v>
      </c>
      <c r="F21" s="631">
        <v>99</v>
      </c>
      <c r="G21" s="631">
        <v>99</v>
      </c>
      <c r="H21" s="631"/>
      <c r="I21" s="631"/>
      <c r="J21" s="631"/>
      <c r="K21" s="610"/>
      <c r="L21" s="631"/>
      <c r="M21" s="631">
        <v>79.5</v>
      </c>
      <c r="N21" s="631">
        <v>79.5</v>
      </c>
      <c r="O21" s="631"/>
      <c r="P21" s="631"/>
      <c r="Q21" s="631"/>
      <c r="R21" s="610"/>
      <c r="S21" s="729">
        <v>99</v>
      </c>
      <c r="T21" s="729">
        <v>99</v>
      </c>
      <c r="U21" s="729">
        <v>99</v>
      </c>
      <c r="V21" s="729"/>
      <c r="W21" s="729"/>
      <c r="X21" s="729"/>
      <c r="Y21" s="518"/>
      <c r="Z21" s="607">
        <f t="shared" si="2"/>
        <v>99</v>
      </c>
      <c r="AA21" s="607">
        <f t="shared" si="3"/>
        <v>94.125</v>
      </c>
      <c r="AB21" s="607">
        <f t="shared" si="29"/>
        <v>94.125</v>
      </c>
      <c r="AC21" s="607" t="str">
        <f t="shared" si="30"/>
        <v/>
      </c>
      <c r="AD21" s="607" t="str">
        <f t="shared" si="31"/>
        <v/>
      </c>
      <c r="AE21" s="607" t="str">
        <f t="shared" si="32"/>
        <v/>
      </c>
      <c r="AF21" s="528"/>
      <c r="AG21" s="528"/>
      <c r="AH21" s="528"/>
      <c r="AI21" s="302">
        <f t="shared" si="5"/>
        <v>96</v>
      </c>
      <c r="AJ21" s="303" t="str">
        <f>IF(AI21&gt;KKM!$G$10,"A",IF(AI21&gt;KKM!$H$10,"B",IF(AI21&gt;=KKM!$I$10,"C","D")))</f>
        <v>A</v>
      </c>
      <c r="AK21" s="523">
        <f t="shared" si="6"/>
        <v>99</v>
      </c>
      <c r="AL21" s="115" t="str">
        <f>IF(AK21&gt;KKM!$G$10," sangat baik ",IF(AK21&gt;KKM!$H$10," baik ",IF(AK21&gt;=KKM!$I$10," cukup baik "," perlu bimbingan ")))</f>
        <v xml:space="preserve"> sangat baik </v>
      </c>
      <c r="AM21" s="524">
        <f t="shared" si="7"/>
        <v>94.125</v>
      </c>
      <c r="AN21" s="115" t="str">
        <f>IF(AM21&gt;KKM!$G$10," sangat baik ",IF(AM21&gt;KKM!$H$10," baik ",IF(AM21&gt;=KKM!$I$10," cukup baik "," perlu bimbingan ")))</f>
        <v xml:space="preserve"> sangat baik </v>
      </c>
      <c r="AO21" s="301" t="str">
        <f t="shared" si="13"/>
        <v>Anak 17 sangat baik  dalam mengidentifikasi pelaksanaan kewajiban dan hak sebagai warga masyarakat dalam kehidupan sehari-hari., dan  sangat baik  dalam menjelaskan manfaat keberagaman karakteristik individu dalam kehidupan sehari-hari.</v>
      </c>
      <c r="AP21" s="306"/>
      <c r="AQ21" s="307" t="str">
        <f t="shared" si="8"/>
        <v xml:space="preserve"> sangat baik  dalam mengidentifikasi pelaksanaan kewajiban dan hak sebagai warga masyarakat dalam kehidupan sehari-hari.</v>
      </c>
      <c r="AR21" s="307" t="str">
        <f t="shared" si="9"/>
        <v xml:space="preserve"> sangat baik  dalam menjelaskan manfaat keberagaman karakteristik individu dalam kehidupan sehari-hari.</v>
      </c>
      <c r="AS21" s="307" t="str">
        <f t="shared" si="14"/>
        <v xml:space="preserve"> sangat baik  dalam mengidentifikasi pelaksanaan kewajiban dan hak sebagai warga masyarakat dalam kehidupan sehari-hari., dan  sangat baik  dalam menjelaskan manfaat keberagaman karakteristik individu dalam kehidupan sehari-hari.</v>
      </c>
      <c r="AT21" s="307" t="str">
        <f t="shared" si="15"/>
        <v xml:space="preserve"> </v>
      </c>
      <c r="AU21" s="308" t="str">
        <f t="shared" si="16"/>
        <v xml:space="preserve"> sangat baik  dalam mengidentifikasi pelaksanaan kewajiban dan hak sebagai warga masyarakat dalam kehidupan sehari-hari., dan  sangat baik  dalam menjelaskan manfaat keberagaman karakteristik individu dalam kehidupan sehari-hari.</v>
      </c>
      <c r="AV21" s="301" t="str">
        <f t="shared" si="10"/>
        <v>Anak 17 sangat baik  dalam mengidentifikasi pelaksanaan kewajiban dan hak sebagai warga masyarakat dalam kehidupan sehari-hari., dan  sangat baik  dalam menjelaskan manfaat keberagaman karakteristik individu dalam kehidupan sehari-hari.</v>
      </c>
      <c r="AW21" s="120"/>
      <c r="BF21" s="408">
        <f t="shared" si="17"/>
        <v>96</v>
      </c>
      <c r="BI21" s="302">
        <f t="shared" si="11"/>
        <v>80</v>
      </c>
      <c r="BJ21" s="303" t="str">
        <f>IF(BI21&gt;KKM!$G$10,"A",IF(BI21&gt;KKM!$H$10,"B",IF(BI21&gt;=KKM!$I$10,"C","D")))</f>
        <v>C</v>
      </c>
      <c r="BK21" s="523">
        <f t="shared" si="18"/>
        <v>79.5</v>
      </c>
      <c r="BL21" s="115" t="str">
        <f>IF(BK21&gt;KKM!$G$10," sangat baik ",IF(BK21&gt;KKM!$H$10," baik ",IF(BK21&gt;=KKM!$I$10," cukup baik "," perlu bimbingan ")))</f>
        <v xml:space="preserve"> cukup baik </v>
      </c>
      <c r="BM21" s="524">
        <f t="shared" si="19"/>
        <v>79.5</v>
      </c>
      <c r="BN21" s="115" t="str">
        <f>IF(BM21&gt;KKM!$G$10," sangat baik ",IF(BM21&gt;KKM!$H$10," baik ",IF(BM21&gt;=KKM!$I$10," cukup baik "," perlu bimbingan ")))</f>
        <v xml:space="preserve"> cukup baik </v>
      </c>
      <c r="BO21" s="301" t="str">
        <f t="shared" si="25"/>
        <v>Anak 17 cukup baik  dalam menjelaskan manfaat keberagaman karakteristik individu dalam kehidupan sehari-hari.</v>
      </c>
      <c r="BP21" s="307" t="str">
        <f t="shared" si="20"/>
        <v xml:space="preserve"> cukup baik  dalam menjelaskan manfaat keberagaman karakteristik individu dalam kehidupan sehari-hari.</v>
      </c>
      <c r="BQ21" s="307" t="str">
        <f t="shared" si="21"/>
        <v xml:space="preserve"> cukup baik  dalam menjelaskan manfaat keberagaman karakteristik individu dalam kehidupan sehari-hari.</v>
      </c>
      <c r="BR21" s="307" t="str">
        <f t="shared" si="22"/>
        <v xml:space="preserve"> cukup baik  dalam menjelaskan manfaat keberagaman karakteristik individu dalam kehidupan sehari-hari., dan  cukup baik  dalam menjelaskan manfaat keberagaman karakteristik individu dalam kehidupan sehari-hari.</v>
      </c>
      <c r="BS21" s="307" t="str">
        <f t="shared" si="23"/>
        <v xml:space="preserve"> cukup baik  dalam menjelaskan manfaat keberagaman karakteristik individu dalam kehidupan sehari-hari.</v>
      </c>
      <c r="BT21" s="308" t="str">
        <f t="shared" si="24"/>
        <v xml:space="preserve"> cukup baik  dalam menjelaskan manfaat keberagaman karakteristik individu dalam kehidupan sehari-hari.</v>
      </c>
      <c r="BU21" s="301" t="str">
        <f t="shared" si="12"/>
        <v>Anak 17 cukup baik  dalam menjelaskan manfaat keberagaman karakteristik individu dalam kehidupan sehari-hari.</v>
      </c>
    </row>
    <row r="22" spans="2:73" ht="59.25" customHeight="1">
      <c r="B22" s="109">
        <v>18</v>
      </c>
      <c r="C22" s="110">
        <f>SISWA!B23</f>
        <v>0</v>
      </c>
      <c r="D22" s="111" t="str">
        <f>SISWA!E23</f>
        <v>Anak 18</v>
      </c>
      <c r="E22" s="631">
        <v>99</v>
      </c>
      <c r="F22" s="631">
        <v>99</v>
      </c>
      <c r="G22" s="631">
        <v>99</v>
      </c>
      <c r="H22" s="631"/>
      <c r="I22" s="631"/>
      <c r="J22" s="631"/>
      <c r="K22" s="610"/>
      <c r="L22" s="631"/>
      <c r="M22" s="631">
        <v>79.5</v>
      </c>
      <c r="N22" s="631">
        <v>89</v>
      </c>
      <c r="O22" s="631"/>
      <c r="P22" s="631"/>
      <c r="Q22" s="631"/>
      <c r="R22" s="610"/>
      <c r="S22" s="729">
        <v>99</v>
      </c>
      <c r="T22" s="729">
        <v>99</v>
      </c>
      <c r="U22" s="729">
        <v>99</v>
      </c>
      <c r="V22" s="729"/>
      <c r="W22" s="729"/>
      <c r="X22" s="729"/>
      <c r="Y22" s="518"/>
      <c r="Z22" s="607">
        <f t="shared" si="2"/>
        <v>99</v>
      </c>
      <c r="AA22" s="607">
        <f t="shared" si="3"/>
        <v>94.125</v>
      </c>
      <c r="AB22" s="607">
        <f t="shared" si="29"/>
        <v>96.5</v>
      </c>
      <c r="AC22" s="607" t="str">
        <f t="shared" si="30"/>
        <v/>
      </c>
      <c r="AD22" s="607" t="str">
        <f t="shared" si="31"/>
        <v/>
      </c>
      <c r="AE22" s="607" t="str">
        <f t="shared" si="32"/>
        <v/>
      </c>
      <c r="AF22" s="528"/>
      <c r="AG22" s="528"/>
      <c r="AH22" s="528"/>
      <c r="AI22" s="302">
        <f t="shared" si="5"/>
        <v>97</v>
      </c>
      <c r="AJ22" s="303" t="str">
        <f>IF(AI22&gt;KKM!$G$10,"A",IF(AI22&gt;KKM!$H$10,"B",IF(AI22&gt;=KKM!$I$10,"C","D")))</f>
        <v>A</v>
      </c>
      <c r="AK22" s="523">
        <f t="shared" si="6"/>
        <v>99</v>
      </c>
      <c r="AL22" s="115" t="str">
        <f>IF(AK22&gt;KKM!$G$10," sangat baik ",IF(AK22&gt;KKM!$H$10," baik ",IF(AK22&gt;=KKM!$I$10," cukup baik "," perlu bimbingan ")))</f>
        <v xml:space="preserve"> sangat baik </v>
      </c>
      <c r="AM22" s="524">
        <f t="shared" si="7"/>
        <v>94.125</v>
      </c>
      <c r="AN22" s="115" t="str">
        <f>IF(AM22&gt;KKM!$G$10," sangat baik ",IF(AM22&gt;KKM!$H$10," baik ",IF(AM22&gt;=KKM!$I$10," cukup baik "," perlu bimbingan ")))</f>
        <v xml:space="preserve"> sangat baik </v>
      </c>
      <c r="AO22" s="301" t="str">
        <f t="shared" si="13"/>
        <v>Anak 18 sangat baik  dalam mengidentifikasi pelaksanaan kewajiban dan hak sebagai warga masyarakat dalam kehidupan sehari-hari., dan  sangat baik  dalam menjelaskan manfaat keberagaman karakteristik individu dalam kehidupan sehari-hari.</v>
      </c>
      <c r="AP22" s="306"/>
      <c r="AQ22" s="307" t="str">
        <f t="shared" si="8"/>
        <v xml:space="preserve"> sangat baik  dalam mengidentifikasi pelaksanaan kewajiban dan hak sebagai warga masyarakat dalam kehidupan sehari-hari.</v>
      </c>
      <c r="AR22" s="307" t="str">
        <f t="shared" si="9"/>
        <v xml:space="preserve"> sangat baik  dalam menjelaskan manfaat keberagaman karakteristik individu dalam kehidupan sehari-hari.</v>
      </c>
      <c r="AS22" s="307" t="str">
        <f t="shared" si="14"/>
        <v xml:space="preserve"> sangat baik  dalam mengidentifikasi pelaksanaan kewajiban dan hak sebagai warga masyarakat dalam kehidupan sehari-hari., dan  sangat baik  dalam menjelaskan manfaat keberagaman karakteristik individu dalam kehidupan sehari-hari.</v>
      </c>
      <c r="AT22" s="307" t="str">
        <f t="shared" si="15"/>
        <v xml:space="preserve"> </v>
      </c>
      <c r="AU22" s="308" t="str">
        <f t="shared" si="16"/>
        <v xml:space="preserve"> sangat baik  dalam mengidentifikasi pelaksanaan kewajiban dan hak sebagai warga masyarakat dalam kehidupan sehari-hari., dan  sangat baik  dalam menjelaskan manfaat keberagaman karakteristik individu dalam kehidupan sehari-hari.</v>
      </c>
      <c r="AV22" s="301" t="str">
        <f t="shared" si="10"/>
        <v>Anak 18 sangat baik  dalam mengidentifikasi pelaksanaan kewajiban dan hak sebagai warga masyarakat dalam kehidupan sehari-hari., dan  sangat baik  dalam menjelaskan manfaat keberagaman karakteristik individu dalam kehidupan sehari-hari.</v>
      </c>
      <c r="AW22" s="120"/>
      <c r="BF22" s="408">
        <f t="shared" si="17"/>
        <v>97</v>
      </c>
      <c r="BI22" s="302">
        <f t="shared" si="11"/>
        <v>84</v>
      </c>
      <c r="BJ22" s="303" t="str">
        <f>IF(BI22&gt;KKM!$G$10,"A",IF(BI22&gt;KKM!$H$10,"B",IF(BI22&gt;=KKM!$I$10,"C","D")))</f>
        <v>B</v>
      </c>
      <c r="BK22" s="523">
        <f t="shared" si="18"/>
        <v>89</v>
      </c>
      <c r="BL22" s="115" t="str">
        <f>IF(BK22&gt;KKM!$G$10," sangat baik ",IF(BK22&gt;KKM!$H$10," baik ",IF(BK22&gt;=KKM!$I$10," cukup baik "," perlu bimbingan ")))</f>
        <v xml:space="preserve"> baik </v>
      </c>
      <c r="BM22" s="524">
        <f t="shared" si="19"/>
        <v>79.5</v>
      </c>
      <c r="BN22" s="115" t="str">
        <f>IF(BM22&gt;KKM!$G$10," sangat baik ",IF(BM22&gt;KKM!$H$10," baik ",IF(BM22&gt;=KKM!$I$10," cukup baik "," perlu bimbingan ")))</f>
        <v xml:space="preserve"> cukup baik </v>
      </c>
      <c r="BO22" s="301" t="str">
        <f t="shared" si="25"/>
        <v>Anak 18 baik  dalam mengidentifikasi berbagai bentuk keragaman suku bangsa, sosial, dan budaya di Indonesia yang terikat persatuan dan kesatuan., dan  cukup baik  dalam menjelaskan manfaat keberagaman karakteristik individu dalam kehidupan sehari-hari.</v>
      </c>
      <c r="BP22" s="307" t="str">
        <f t="shared" si="20"/>
        <v xml:space="preserve"> baik  dalam mengidentifikasi berbagai bentuk keragaman suku bangsa, sosial, dan budaya di Indonesia yang terikat persatuan dan kesatuan.</v>
      </c>
      <c r="BQ22" s="307" t="str">
        <f t="shared" si="21"/>
        <v xml:space="preserve"> cukup baik  dalam menjelaskan manfaat keberagaman karakteristik individu dalam kehidupan sehari-hari.</v>
      </c>
      <c r="BR22"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22" s="307" t="str">
        <f t="shared" si="23"/>
        <v xml:space="preserve"> </v>
      </c>
      <c r="BT22"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22" s="301" t="str">
        <f t="shared" si="12"/>
        <v>Anak 18 baik  dalam mengidentifikasi berbagai bentuk keragaman suku bangsa, sosial, dan budaya di Indonesia yang terikat persatuan dan kesatuan., dan  cukup baik  dalam menjelaskan manfaat keberagaman karakteristik individu dalam kehidupan sehari-hari.</v>
      </c>
    </row>
    <row r="23" spans="2:73" ht="59.25" customHeight="1">
      <c r="B23" s="109">
        <v>19</v>
      </c>
      <c r="C23" s="110">
        <f>SISWA!B24</f>
        <v>0</v>
      </c>
      <c r="D23" s="111" t="str">
        <f>SISWA!E24</f>
        <v>Anak 19</v>
      </c>
      <c r="E23" s="631">
        <v>99</v>
      </c>
      <c r="F23" s="631">
        <v>99</v>
      </c>
      <c r="G23" s="631">
        <v>99</v>
      </c>
      <c r="H23" s="631"/>
      <c r="I23" s="631"/>
      <c r="J23" s="631"/>
      <c r="K23" s="610"/>
      <c r="L23" s="631"/>
      <c r="M23" s="631">
        <v>89</v>
      </c>
      <c r="N23" s="631">
        <v>81</v>
      </c>
      <c r="O23" s="631"/>
      <c r="P23" s="631"/>
      <c r="Q23" s="631"/>
      <c r="R23" s="610"/>
      <c r="S23" s="729">
        <v>99</v>
      </c>
      <c r="T23" s="729">
        <v>99</v>
      </c>
      <c r="U23" s="729">
        <v>99</v>
      </c>
      <c r="V23" s="729"/>
      <c r="W23" s="729"/>
      <c r="X23" s="729"/>
      <c r="Y23" s="518"/>
      <c r="Z23" s="607">
        <f t="shared" si="2"/>
        <v>99</v>
      </c>
      <c r="AA23" s="607">
        <f t="shared" si="3"/>
        <v>96.5</v>
      </c>
      <c r="AB23" s="607">
        <f t="shared" si="29"/>
        <v>94.5</v>
      </c>
      <c r="AC23" s="607" t="str">
        <f t="shared" si="30"/>
        <v/>
      </c>
      <c r="AD23" s="607" t="str">
        <f t="shared" si="31"/>
        <v/>
      </c>
      <c r="AE23" s="607" t="str">
        <f t="shared" si="32"/>
        <v/>
      </c>
      <c r="AF23" s="528"/>
      <c r="AG23" s="528"/>
      <c r="AH23" s="528"/>
      <c r="AI23" s="302">
        <f t="shared" si="5"/>
        <v>97</v>
      </c>
      <c r="AJ23" s="303" t="str">
        <f>IF(AI23&gt;KKM!$G$10,"A",IF(AI23&gt;KKM!$H$10,"B",IF(AI23&gt;=KKM!$I$10,"C","D")))</f>
        <v>A</v>
      </c>
      <c r="AK23" s="523">
        <f t="shared" si="6"/>
        <v>99</v>
      </c>
      <c r="AL23" s="115" t="str">
        <f>IF(AK23&gt;KKM!$G$10," sangat baik ",IF(AK23&gt;KKM!$H$10," baik ",IF(AK23&gt;=KKM!$I$10," cukup baik "," perlu bimbingan ")))</f>
        <v xml:space="preserve"> sangat baik </v>
      </c>
      <c r="AM23" s="524">
        <f t="shared" si="7"/>
        <v>94.5</v>
      </c>
      <c r="AN23" s="115" t="str">
        <f>IF(AM23&gt;KKM!$G$10," sangat baik ",IF(AM23&gt;KKM!$H$10," baik ",IF(AM23&gt;=KKM!$I$10," cukup baik "," perlu bimbingan ")))</f>
        <v xml:space="preserve"> sangat baik </v>
      </c>
      <c r="AO23" s="301" t="str">
        <f t="shared" si="13"/>
        <v>Anak 19 sangat baik  dalam mengidentifikasi pelaksanaan kewajiban dan hak sebagai warga masyarakat dalam kehidupan sehari-hari., dan  sangat baik  dalam mengidentifikasi berbagai bentuk keragaman suku bangsa, sosial, dan budaya di Indonesia yang terikat persatuan dan kesatuan.</v>
      </c>
      <c r="AP23" s="306"/>
      <c r="AQ23" s="307" t="str">
        <f t="shared" si="8"/>
        <v xml:space="preserve"> sangat baik  dalam mengidentifikasi pelaksanaan kewajiban dan hak sebagai warga masyarakat dalam kehidupan sehari-hari.</v>
      </c>
      <c r="AR23" s="307" t="str">
        <f t="shared" si="9"/>
        <v xml:space="preserve"> sangat baik  dalam mengidentifikasi berbagai bentuk keragaman suku bangsa, sosial, dan budaya di Indonesia yang terikat persatuan dan kesatuan.</v>
      </c>
      <c r="AS23"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23" s="307" t="str">
        <f t="shared" si="15"/>
        <v xml:space="preserve"> </v>
      </c>
      <c r="AU23"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23" s="301" t="str">
        <f t="shared" si="10"/>
        <v>Anak 19 sangat baik  dalam mengidentifikasi pelaksanaan kewajiban dan hak sebagai warga masyarakat dalam kehidupan sehari-hari., dan  sangat baik  dalam mengidentifikasi berbagai bentuk keragaman suku bangsa, sosial, dan budaya di Indonesia yang terikat persatuan dan kesatuan.</v>
      </c>
      <c r="AW23" s="120"/>
      <c r="BF23" s="408">
        <f t="shared" si="17"/>
        <v>97</v>
      </c>
      <c r="BI23" s="302">
        <f t="shared" si="11"/>
        <v>85</v>
      </c>
      <c r="BJ23" s="303" t="str">
        <f>IF(BI23&gt;KKM!$G$10,"A",IF(BI23&gt;KKM!$H$10,"B",IF(BI23&gt;=KKM!$I$10,"C","D")))</f>
        <v>B</v>
      </c>
      <c r="BK23" s="523">
        <f t="shared" si="18"/>
        <v>89</v>
      </c>
      <c r="BL23" s="115" t="str">
        <f>IF(BK23&gt;KKM!$G$10," sangat baik ",IF(BK23&gt;KKM!$H$10," baik ",IF(BK23&gt;=KKM!$I$10," cukup baik "," perlu bimbingan ")))</f>
        <v xml:space="preserve"> baik </v>
      </c>
      <c r="BM23" s="524">
        <f t="shared" si="19"/>
        <v>81</v>
      </c>
      <c r="BN23" s="115" t="str">
        <f>IF(BM23&gt;KKM!$G$10," sangat baik ",IF(BM23&gt;KKM!$H$10," baik ",IF(BM23&gt;=KKM!$I$10," cukup baik "," perlu bimbingan ")))</f>
        <v xml:space="preserve"> baik </v>
      </c>
      <c r="BO23" s="301" t="str">
        <f t="shared" si="25"/>
        <v>Anak 19 baik  dalam menjelaskan manfaat keberagaman karakteristik individu dalam kehidupan sehari-hari., dan  baik  dalam mengidentifikasi berbagai bentuk keragaman suku bangsa, sosial, dan budaya di Indonesia yang terikat persatuan dan kesatuan.</v>
      </c>
      <c r="BP23" s="307" t="str">
        <f t="shared" si="20"/>
        <v xml:space="preserve"> baik  dalam menjelaskan manfaat keberagaman karakteristik individu dalam kehidupan sehari-hari.</v>
      </c>
      <c r="BQ23" s="307" t="str">
        <f t="shared" si="21"/>
        <v xml:space="preserve"> baik  dalam mengidentifikasi berbagai bentuk keragaman suku bangsa, sosial, dan budaya di Indonesia yang terikat persatuan dan kesatuan.</v>
      </c>
      <c r="BR23" s="307" t="str">
        <f t="shared" si="22"/>
        <v xml:space="preserve"> baik  dalam menjelaskan manfaat keberagaman karakteristik individu dalam kehidupan sehari-hari., dan  baik  dalam mengidentifikasi berbagai bentuk keragaman suku bangsa, sosial, dan budaya di Indonesia yang terikat persatuan dan kesatuan.</v>
      </c>
      <c r="BS23" s="307" t="str">
        <f t="shared" si="23"/>
        <v xml:space="preserve"> </v>
      </c>
      <c r="BT23" s="308" t="str">
        <f t="shared" si="24"/>
        <v xml:space="preserve"> baik  dalam menjelaskan manfaat keberagaman karakteristik individu dalam kehidupan sehari-hari., dan  baik  dalam mengidentifikasi berbagai bentuk keragaman suku bangsa, sosial, dan budaya di Indonesia yang terikat persatuan dan kesatuan.</v>
      </c>
      <c r="BU23" s="301" t="str">
        <f t="shared" si="12"/>
        <v>Anak 19 baik  dalam menjelaskan manfaat keberagaman karakteristik individu dalam kehidupan sehari-hari., dan  baik  dalam mengidentifikasi berbagai bentuk keragaman suku bangsa, sosial, dan budaya di Indonesia yang terikat persatuan dan kesatuan.</v>
      </c>
    </row>
    <row r="24" spans="2:73" ht="59.25" customHeight="1">
      <c r="B24" s="109">
        <v>20</v>
      </c>
      <c r="C24" s="110">
        <f>SISWA!B25</f>
        <v>0</v>
      </c>
      <c r="D24" s="111" t="str">
        <f>SISWA!E25</f>
        <v>Anak 20</v>
      </c>
      <c r="E24" s="631">
        <v>99</v>
      </c>
      <c r="F24" s="631">
        <v>99</v>
      </c>
      <c r="G24" s="631">
        <v>99</v>
      </c>
      <c r="H24" s="631"/>
      <c r="I24" s="631"/>
      <c r="J24" s="631"/>
      <c r="K24" s="610"/>
      <c r="L24" s="631"/>
      <c r="M24" s="631">
        <v>81</v>
      </c>
      <c r="N24" s="631">
        <v>76.5</v>
      </c>
      <c r="O24" s="631"/>
      <c r="P24" s="631"/>
      <c r="Q24" s="631"/>
      <c r="R24" s="610"/>
      <c r="S24" s="729">
        <v>99</v>
      </c>
      <c r="T24" s="729">
        <v>99</v>
      </c>
      <c r="U24" s="729">
        <v>99</v>
      </c>
      <c r="V24" s="729"/>
      <c r="W24" s="729"/>
      <c r="X24" s="729"/>
      <c r="Y24" s="518"/>
      <c r="Z24" s="607">
        <f t="shared" si="2"/>
        <v>99</v>
      </c>
      <c r="AA24" s="607">
        <f t="shared" si="3"/>
        <v>94.5</v>
      </c>
      <c r="AB24" s="607">
        <f t="shared" si="29"/>
        <v>93.375</v>
      </c>
      <c r="AC24" s="607" t="str">
        <f t="shared" si="30"/>
        <v/>
      </c>
      <c r="AD24" s="607" t="str">
        <f t="shared" si="31"/>
        <v/>
      </c>
      <c r="AE24" s="607" t="str">
        <f t="shared" si="32"/>
        <v/>
      </c>
      <c r="AF24" s="528"/>
      <c r="AG24" s="528"/>
      <c r="AH24" s="528"/>
      <c r="AI24" s="302">
        <f t="shared" si="5"/>
        <v>96</v>
      </c>
      <c r="AJ24" s="303" t="str">
        <f>IF(AI24&gt;KKM!$G$10,"A",IF(AI24&gt;KKM!$H$10,"B",IF(AI24&gt;=KKM!$I$10,"C","D")))</f>
        <v>A</v>
      </c>
      <c r="AK24" s="523">
        <f t="shared" si="6"/>
        <v>99</v>
      </c>
      <c r="AL24" s="115" t="str">
        <f>IF(AK24&gt;KKM!$G$10," sangat baik ",IF(AK24&gt;KKM!$H$10," baik ",IF(AK24&gt;=KKM!$I$10," cukup baik "," perlu bimbingan ")))</f>
        <v xml:space="preserve"> sangat baik </v>
      </c>
      <c r="AM24" s="524">
        <f t="shared" si="7"/>
        <v>93.375</v>
      </c>
      <c r="AN24" s="115" t="str">
        <f>IF(AM24&gt;KKM!$G$10," sangat baik ",IF(AM24&gt;KKM!$H$10," baik ",IF(AM24&gt;=KKM!$I$10," cukup baik "," perlu bimbingan ")))</f>
        <v xml:space="preserve"> sangat baik </v>
      </c>
      <c r="AO24" s="301" t="str">
        <f t="shared" si="13"/>
        <v>Anak 20 sangat baik  dalam mengidentifikasi pelaksanaan kewajiban dan hak sebagai warga masyarakat dalam kehidupan sehari-hari., dan  sangat baik  dalam mengidentifikasi berbagai bentuk keragaman suku bangsa, sosial, dan budaya di Indonesia yang terikat persatuan dan kesatuan.</v>
      </c>
      <c r="AP24" s="306"/>
      <c r="AQ24" s="307" t="str">
        <f t="shared" si="8"/>
        <v xml:space="preserve"> sangat baik  dalam mengidentifikasi pelaksanaan kewajiban dan hak sebagai warga masyarakat dalam kehidupan sehari-hari.</v>
      </c>
      <c r="AR24" s="307" t="str">
        <f t="shared" si="9"/>
        <v xml:space="preserve"> sangat baik  dalam mengidentifikasi berbagai bentuk keragaman suku bangsa, sosial, dan budaya di Indonesia yang terikat persatuan dan kesatuan.</v>
      </c>
      <c r="AS24"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24" s="307" t="str">
        <f t="shared" si="15"/>
        <v xml:space="preserve"> </v>
      </c>
      <c r="AU24"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24" s="301" t="str">
        <f t="shared" si="10"/>
        <v>Anak 20 sangat baik  dalam mengidentifikasi pelaksanaan kewajiban dan hak sebagai warga masyarakat dalam kehidupan sehari-hari., dan  sangat baik  dalam mengidentifikasi berbagai bentuk keragaman suku bangsa, sosial, dan budaya di Indonesia yang terikat persatuan dan kesatuan.</v>
      </c>
      <c r="AW24" s="120"/>
      <c r="BF24" s="408">
        <f t="shared" si="17"/>
        <v>96</v>
      </c>
      <c r="BI24" s="302">
        <f t="shared" si="11"/>
        <v>79</v>
      </c>
      <c r="BJ24" s="303" t="str">
        <f>IF(BI24&gt;KKM!$G$10,"A",IF(BI24&gt;KKM!$H$10,"B",IF(BI24&gt;=KKM!$I$10,"C","D")))</f>
        <v>C</v>
      </c>
      <c r="BK24" s="523">
        <f t="shared" si="18"/>
        <v>81</v>
      </c>
      <c r="BL24" s="115" t="str">
        <f>IF(BK24&gt;KKM!$G$10," sangat baik ",IF(BK24&gt;KKM!$H$10," baik ",IF(BK24&gt;=KKM!$I$10," cukup baik "," perlu bimbingan ")))</f>
        <v xml:space="preserve"> baik </v>
      </c>
      <c r="BM24" s="524">
        <f t="shared" si="19"/>
        <v>76.5</v>
      </c>
      <c r="BN24" s="115" t="str">
        <f>IF(BM24&gt;KKM!$G$10," sangat baik ",IF(BM24&gt;KKM!$H$10," baik ",IF(BM24&gt;=KKM!$I$10," cukup baik "," perlu bimbingan ")))</f>
        <v xml:space="preserve"> cukup baik </v>
      </c>
      <c r="BO24" s="301" t="str">
        <f t="shared" si="25"/>
        <v>Anak 20 baik  dalam menjelaskan manfaat keberagaman karakteristik individu dalam kehidupan sehari-hari., dan  cukup baik  dalam mengidentifikasi berbagai bentuk keragaman suku bangsa, sosial, dan budaya di Indonesia yang terikat persatuan dan kesatuan.</v>
      </c>
      <c r="BP24" s="307" t="str">
        <f t="shared" si="20"/>
        <v xml:space="preserve"> baik  dalam menjelaskan manfaat keberagaman karakteristik individu dalam kehidupan sehari-hari.</v>
      </c>
      <c r="BQ24" s="307" t="str">
        <f t="shared" si="21"/>
        <v xml:space="preserve"> cukup baik  dalam mengidentifikasi berbagai bentuk keragaman suku bangsa, sosial, dan budaya di Indonesia yang terikat persatuan dan kesatuan.</v>
      </c>
      <c r="BR24"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24" s="307" t="str">
        <f t="shared" si="23"/>
        <v xml:space="preserve"> </v>
      </c>
      <c r="BT24"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24" s="301" t="str">
        <f t="shared" si="12"/>
        <v>Anak 20 baik  dalam menjelaskan manfaat keberagaman karakteristik individu dalam kehidupan sehari-hari., dan  cukup baik  dalam mengidentifikasi berbagai bentuk keragaman suku bangsa, sosial, dan budaya di Indonesia yang terikat persatuan dan kesatuan.</v>
      </c>
    </row>
    <row r="25" spans="2:73" ht="59.25" customHeight="1">
      <c r="B25" s="109">
        <v>21</v>
      </c>
      <c r="C25" s="110">
        <f>SISWA!B26</f>
        <v>0</v>
      </c>
      <c r="D25" s="111" t="str">
        <f>SISWA!E26</f>
        <v>Anak 21</v>
      </c>
      <c r="E25" s="631">
        <v>99</v>
      </c>
      <c r="F25" s="631">
        <v>99</v>
      </c>
      <c r="G25" s="631">
        <v>99</v>
      </c>
      <c r="H25" s="631"/>
      <c r="I25" s="631"/>
      <c r="J25" s="631"/>
      <c r="K25" s="610"/>
      <c r="L25" s="631"/>
      <c r="M25" s="631">
        <v>76.5</v>
      </c>
      <c r="N25" s="631">
        <v>86.5</v>
      </c>
      <c r="O25" s="631"/>
      <c r="P25" s="631"/>
      <c r="Q25" s="631"/>
      <c r="R25" s="610"/>
      <c r="S25" s="729">
        <v>99</v>
      </c>
      <c r="T25" s="729">
        <v>99</v>
      </c>
      <c r="U25" s="729">
        <v>99</v>
      </c>
      <c r="V25" s="729"/>
      <c r="W25" s="729"/>
      <c r="X25" s="729"/>
      <c r="Y25" s="518"/>
      <c r="Z25" s="607">
        <f t="shared" si="2"/>
        <v>99</v>
      </c>
      <c r="AA25" s="607">
        <f t="shared" si="3"/>
        <v>93.375</v>
      </c>
      <c r="AB25" s="607">
        <f t="shared" si="29"/>
        <v>95.875</v>
      </c>
      <c r="AC25" s="607" t="str">
        <f t="shared" si="30"/>
        <v/>
      </c>
      <c r="AD25" s="607" t="str">
        <f t="shared" si="31"/>
        <v/>
      </c>
      <c r="AE25" s="607" t="str">
        <f t="shared" si="32"/>
        <v/>
      </c>
      <c r="AF25" s="528"/>
      <c r="AG25" s="528"/>
      <c r="AH25" s="528"/>
      <c r="AI25" s="302">
        <f t="shared" si="5"/>
        <v>96</v>
      </c>
      <c r="AJ25" s="303" t="str">
        <f>IF(AI25&gt;KKM!$G$10,"A",IF(AI25&gt;KKM!$H$10,"B",IF(AI25&gt;=KKM!$I$10,"C","D")))</f>
        <v>A</v>
      </c>
      <c r="AK25" s="523">
        <f t="shared" si="6"/>
        <v>99</v>
      </c>
      <c r="AL25" s="115" t="str">
        <f>IF(AK25&gt;KKM!$G$10," sangat baik ",IF(AK25&gt;KKM!$H$10," baik ",IF(AK25&gt;=KKM!$I$10," cukup baik "," perlu bimbingan ")))</f>
        <v xml:space="preserve"> sangat baik </v>
      </c>
      <c r="AM25" s="524">
        <f t="shared" si="7"/>
        <v>93.375</v>
      </c>
      <c r="AN25" s="115" t="str">
        <f>IF(AM25&gt;KKM!$G$10," sangat baik ",IF(AM25&gt;KKM!$H$10," baik ",IF(AM25&gt;=KKM!$I$10," cukup baik "," perlu bimbingan ")))</f>
        <v xml:space="preserve"> sangat baik </v>
      </c>
      <c r="AO25" s="301" t="str">
        <f t="shared" si="13"/>
        <v>Anak 21 sangat baik  dalam mengidentifikasi pelaksanaan kewajiban dan hak sebagai warga masyarakat dalam kehidupan sehari-hari., dan  sangat baik  dalam menjelaskan manfaat keberagaman karakteristik individu dalam kehidupan sehari-hari.</v>
      </c>
      <c r="AP25" s="306"/>
      <c r="AQ25" s="307" t="str">
        <f t="shared" si="8"/>
        <v xml:space="preserve"> sangat baik  dalam mengidentifikasi pelaksanaan kewajiban dan hak sebagai warga masyarakat dalam kehidupan sehari-hari.</v>
      </c>
      <c r="AR25" s="307" t="str">
        <f t="shared" si="9"/>
        <v xml:space="preserve"> sangat baik  dalam menjelaskan manfaat keberagaman karakteristik individu dalam kehidupan sehari-hari.</v>
      </c>
      <c r="AS25" s="307" t="str">
        <f t="shared" si="14"/>
        <v xml:space="preserve"> sangat baik  dalam mengidentifikasi pelaksanaan kewajiban dan hak sebagai warga masyarakat dalam kehidupan sehari-hari., dan  sangat baik  dalam menjelaskan manfaat keberagaman karakteristik individu dalam kehidupan sehari-hari.</v>
      </c>
      <c r="AT25" s="307" t="str">
        <f t="shared" si="15"/>
        <v xml:space="preserve"> </v>
      </c>
      <c r="AU25" s="308" t="str">
        <f t="shared" si="16"/>
        <v xml:space="preserve"> sangat baik  dalam mengidentifikasi pelaksanaan kewajiban dan hak sebagai warga masyarakat dalam kehidupan sehari-hari., dan  sangat baik  dalam menjelaskan manfaat keberagaman karakteristik individu dalam kehidupan sehari-hari.</v>
      </c>
      <c r="AV25" s="301" t="str">
        <f t="shared" si="10"/>
        <v>Anak 21 sangat baik  dalam mengidentifikasi pelaksanaan kewajiban dan hak sebagai warga masyarakat dalam kehidupan sehari-hari., dan  sangat baik  dalam menjelaskan manfaat keberagaman karakteristik individu dalam kehidupan sehari-hari.</v>
      </c>
      <c r="AW25" s="120"/>
      <c r="BF25" s="408">
        <f t="shared" si="17"/>
        <v>96</v>
      </c>
      <c r="BI25" s="302">
        <f t="shared" si="11"/>
        <v>82</v>
      </c>
      <c r="BJ25" s="303" t="str">
        <f>IF(BI25&gt;KKM!$G$10,"A",IF(BI25&gt;KKM!$H$10,"B",IF(BI25&gt;=KKM!$I$10,"C","D")))</f>
        <v>B</v>
      </c>
      <c r="BK25" s="523">
        <f t="shared" si="18"/>
        <v>86.5</v>
      </c>
      <c r="BL25" s="115" t="str">
        <f>IF(BK25&gt;KKM!$G$10," sangat baik ",IF(BK25&gt;KKM!$H$10," baik ",IF(BK25&gt;=KKM!$I$10," cukup baik "," perlu bimbingan ")))</f>
        <v xml:space="preserve"> baik </v>
      </c>
      <c r="BM25" s="524">
        <f t="shared" si="19"/>
        <v>76.5</v>
      </c>
      <c r="BN25" s="115" t="str">
        <f>IF(BM25&gt;KKM!$G$10," sangat baik ",IF(BM25&gt;KKM!$H$10," baik ",IF(BM25&gt;=KKM!$I$10," cukup baik "," perlu bimbingan ")))</f>
        <v xml:space="preserve"> cukup baik </v>
      </c>
      <c r="BO25" s="301" t="str">
        <f t="shared" si="25"/>
        <v>Anak 21 baik  dalam mengidentifikasi berbagai bentuk keragaman suku bangsa, sosial, dan budaya di Indonesia yang terikat persatuan dan kesatuan., dan  cukup baik  dalam menjelaskan manfaat keberagaman karakteristik individu dalam kehidupan sehari-hari.</v>
      </c>
      <c r="BP25" s="307" t="str">
        <f t="shared" si="20"/>
        <v xml:space="preserve"> baik  dalam mengidentifikasi berbagai bentuk keragaman suku bangsa, sosial, dan budaya di Indonesia yang terikat persatuan dan kesatuan.</v>
      </c>
      <c r="BQ25" s="307" t="str">
        <f t="shared" si="21"/>
        <v xml:space="preserve"> cukup baik  dalam menjelaskan manfaat keberagaman karakteristik individu dalam kehidupan sehari-hari.</v>
      </c>
      <c r="BR25"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25" s="307" t="str">
        <f t="shared" si="23"/>
        <v xml:space="preserve"> </v>
      </c>
      <c r="BT25"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25" s="301" t="str">
        <f t="shared" si="12"/>
        <v>Anak 21 baik  dalam mengidentifikasi berbagai bentuk keragaman suku bangsa, sosial, dan budaya di Indonesia yang terikat persatuan dan kesatuan., dan  cukup baik  dalam menjelaskan manfaat keberagaman karakteristik individu dalam kehidupan sehari-hari.</v>
      </c>
    </row>
    <row r="26" spans="2:73" ht="59.25" customHeight="1">
      <c r="B26" s="109">
        <v>22</v>
      </c>
      <c r="C26" s="110">
        <f>SISWA!B27</f>
        <v>0</v>
      </c>
      <c r="D26" s="111" t="str">
        <f>SISWA!E27</f>
        <v>Anak 22</v>
      </c>
      <c r="E26" s="631">
        <v>99</v>
      </c>
      <c r="F26" s="631">
        <v>99</v>
      </c>
      <c r="G26" s="631">
        <v>99</v>
      </c>
      <c r="H26" s="631"/>
      <c r="I26" s="631"/>
      <c r="J26" s="631"/>
      <c r="K26" s="610"/>
      <c r="L26" s="631"/>
      <c r="M26" s="631">
        <v>86.5</v>
      </c>
      <c r="N26" s="631">
        <v>90</v>
      </c>
      <c r="O26" s="631"/>
      <c r="P26" s="631"/>
      <c r="Q26" s="631"/>
      <c r="R26" s="610"/>
      <c r="S26" s="729">
        <v>99</v>
      </c>
      <c r="T26" s="729">
        <v>99</v>
      </c>
      <c r="U26" s="729">
        <v>99</v>
      </c>
      <c r="V26" s="729"/>
      <c r="W26" s="729"/>
      <c r="X26" s="729"/>
      <c r="Y26" s="518"/>
      <c r="Z26" s="607">
        <f t="shared" si="2"/>
        <v>99</v>
      </c>
      <c r="AA26" s="607">
        <f t="shared" si="3"/>
        <v>95.875</v>
      </c>
      <c r="AB26" s="607">
        <f t="shared" si="29"/>
        <v>96.75</v>
      </c>
      <c r="AC26" s="607" t="str">
        <f t="shared" si="30"/>
        <v/>
      </c>
      <c r="AD26" s="607" t="str">
        <f t="shared" si="31"/>
        <v/>
      </c>
      <c r="AE26" s="607" t="str">
        <f t="shared" si="32"/>
        <v/>
      </c>
      <c r="AF26" s="528"/>
      <c r="AG26" s="528"/>
      <c r="AH26" s="528"/>
      <c r="AI26" s="302">
        <f t="shared" si="5"/>
        <v>97</v>
      </c>
      <c r="AJ26" s="303" t="str">
        <f>IF(AI26&gt;KKM!$G$10,"A",IF(AI26&gt;KKM!$H$10,"B",IF(AI26&gt;=KKM!$I$10,"C","D")))</f>
        <v>A</v>
      </c>
      <c r="AK26" s="523">
        <f t="shared" si="6"/>
        <v>99</v>
      </c>
      <c r="AL26" s="115" t="str">
        <f>IF(AK26&gt;KKM!$G$10," sangat baik ",IF(AK26&gt;KKM!$H$10," baik ",IF(AK26&gt;=KKM!$I$10," cukup baik "," perlu bimbingan ")))</f>
        <v xml:space="preserve"> sangat baik </v>
      </c>
      <c r="AM26" s="524">
        <f t="shared" si="7"/>
        <v>95.875</v>
      </c>
      <c r="AN26" s="115" t="str">
        <f>IF(AM26&gt;KKM!$G$10," sangat baik ",IF(AM26&gt;KKM!$H$10," baik ",IF(AM26&gt;=KKM!$I$10," cukup baik "," perlu bimbingan ")))</f>
        <v xml:space="preserve"> sangat baik </v>
      </c>
      <c r="AO26" s="301" t="str">
        <f t="shared" si="13"/>
        <v>Anak 22 sangat baik  dalam mengidentifikasi pelaksanaan kewajiban dan hak sebagai warga masyarakat dalam kehidupan sehari-hari., dan  sangat baik  dalam menjelaskan manfaat keberagaman karakteristik individu dalam kehidupan sehari-hari.</v>
      </c>
      <c r="AP26" s="306"/>
      <c r="AQ26" s="307" t="str">
        <f t="shared" si="8"/>
        <v xml:space="preserve"> sangat baik  dalam mengidentifikasi pelaksanaan kewajiban dan hak sebagai warga masyarakat dalam kehidupan sehari-hari.</v>
      </c>
      <c r="AR26" s="307" t="str">
        <f t="shared" si="9"/>
        <v xml:space="preserve"> sangat baik  dalam menjelaskan manfaat keberagaman karakteristik individu dalam kehidupan sehari-hari.</v>
      </c>
      <c r="AS26" s="307" t="str">
        <f t="shared" si="14"/>
        <v xml:space="preserve"> sangat baik  dalam mengidentifikasi pelaksanaan kewajiban dan hak sebagai warga masyarakat dalam kehidupan sehari-hari., dan  sangat baik  dalam menjelaskan manfaat keberagaman karakteristik individu dalam kehidupan sehari-hari.</v>
      </c>
      <c r="AT26" s="307" t="str">
        <f t="shared" si="15"/>
        <v xml:space="preserve"> </v>
      </c>
      <c r="AU26" s="308" t="str">
        <f t="shared" si="16"/>
        <v xml:space="preserve"> sangat baik  dalam mengidentifikasi pelaksanaan kewajiban dan hak sebagai warga masyarakat dalam kehidupan sehari-hari., dan  sangat baik  dalam menjelaskan manfaat keberagaman karakteristik individu dalam kehidupan sehari-hari.</v>
      </c>
      <c r="AV26" s="301" t="str">
        <f t="shared" si="10"/>
        <v>Anak 22 sangat baik  dalam mengidentifikasi pelaksanaan kewajiban dan hak sebagai warga masyarakat dalam kehidupan sehari-hari., dan  sangat baik  dalam menjelaskan manfaat keberagaman karakteristik individu dalam kehidupan sehari-hari.</v>
      </c>
      <c r="AW26" s="120"/>
      <c r="BF26" s="408">
        <f t="shared" si="17"/>
        <v>97</v>
      </c>
      <c r="BI26" s="302">
        <f t="shared" si="11"/>
        <v>88</v>
      </c>
      <c r="BJ26" s="303" t="str">
        <f>IF(BI26&gt;KKM!$G$10,"A",IF(BI26&gt;KKM!$H$10,"B",IF(BI26&gt;=KKM!$I$10,"C","D")))</f>
        <v>B</v>
      </c>
      <c r="BK26" s="523">
        <f t="shared" si="18"/>
        <v>90</v>
      </c>
      <c r="BL26" s="115" t="str">
        <f>IF(BK26&gt;KKM!$G$10," sangat baik ",IF(BK26&gt;KKM!$H$10," baik ",IF(BK26&gt;=KKM!$I$10," cukup baik "," perlu bimbingan ")))</f>
        <v xml:space="preserve"> baik </v>
      </c>
      <c r="BM26" s="524">
        <f t="shared" si="19"/>
        <v>86.5</v>
      </c>
      <c r="BN26" s="115" t="str">
        <f>IF(BM26&gt;KKM!$G$10," sangat baik ",IF(BM26&gt;KKM!$H$10," baik ",IF(BM26&gt;=KKM!$I$10," cukup baik "," perlu bimbingan ")))</f>
        <v xml:space="preserve"> baik </v>
      </c>
      <c r="BO26" s="301" t="str">
        <f t="shared" si="25"/>
        <v>Anak 22 baik  dalam mengidentifikasi berbagai bentuk keragaman suku bangsa, sosial, dan budaya di Indonesia yang terikat persatuan dan kesatuan., dan  baik  dalam menjelaskan manfaat keberagaman karakteristik individu dalam kehidupan sehari-hari.</v>
      </c>
      <c r="BP26" s="307" t="str">
        <f t="shared" si="20"/>
        <v xml:space="preserve"> baik  dalam mengidentifikasi berbagai bentuk keragaman suku bangsa, sosial, dan budaya di Indonesia yang terikat persatuan dan kesatuan.</v>
      </c>
      <c r="BQ26" s="307" t="str">
        <f t="shared" si="21"/>
        <v xml:space="preserve"> baik  dalam menjelaskan manfaat keberagaman karakteristik individu dalam kehidupan sehari-hari.</v>
      </c>
      <c r="BR26" s="307" t="str">
        <f t="shared" si="22"/>
        <v xml:space="preserve"> baik  dalam mengidentifikasi berbagai bentuk keragaman suku bangsa, sosial, dan budaya di Indonesia yang terikat persatuan dan kesatuan., dan  baik  dalam menjelaskan manfaat keberagaman karakteristik individu dalam kehidupan sehari-hari.</v>
      </c>
      <c r="BS26" s="307" t="str">
        <f t="shared" si="23"/>
        <v xml:space="preserve"> </v>
      </c>
      <c r="BT26" s="308" t="str">
        <f t="shared" si="24"/>
        <v xml:space="preserve"> baik  dalam mengidentifikasi berbagai bentuk keragaman suku bangsa, sosial, dan budaya di Indonesia yang terikat persatuan dan kesatuan., dan  baik  dalam menjelaskan manfaat keberagaman karakteristik individu dalam kehidupan sehari-hari.</v>
      </c>
      <c r="BU26" s="301" t="str">
        <f t="shared" si="12"/>
        <v>Anak 22 baik  dalam mengidentifikasi berbagai bentuk keragaman suku bangsa, sosial, dan budaya di Indonesia yang terikat persatuan dan kesatuan., dan  baik  dalam menjelaskan manfaat keberagaman karakteristik individu dalam kehidupan sehari-hari.</v>
      </c>
    </row>
    <row r="27" spans="2:73" ht="59.25" customHeight="1">
      <c r="B27" s="109">
        <v>23</v>
      </c>
      <c r="C27" s="110">
        <f>SISWA!B28</f>
        <v>0</v>
      </c>
      <c r="D27" s="111" t="str">
        <f>SISWA!E28</f>
        <v>Anak 23</v>
      </c>
      <c r="E27" s="631">
        <v>99</v>
      </c>
      <c r="F27" s="631">
        <v>99</v>
      </c>
      <c r="G27" s="631">
        <v>99</v>
      </c>
      <c r="H27" s="631"/>
      <c r="I27" s="631"/>
      <c r="J27" s="631"/>
      <c r="K27" s="610"/>
      <c r="L27" s="631"/>
      <c r="M27" s="631">
        <v>90</v>
      </c>
      <c r="N27" s="631">
        <v>76.5</v>
      </c>
      <c r="O27" s="631"/>
      <c r="P27" s="631"/>
      <c r="Q27" s="631"/>
      <c r="R27" s="610"/>
      <c r="S27" s="729">
        <v>99</v>
      </c>
      <c r="T27" s="729">
        <v>99</v>
      </c>
      <c r="U27" s="729">
        <v>99</v>
      </c>
      <c r="V27" s="729"/>
      <c r="W27" s="729"/>
      <c r="X27" s="729"/>
      <c r="Y27" s="518"/>
      <c r="Z27" s="607">
        <f t="shared" si="2"/>
        <v>99</v>
      </c>
      <c r="AA27" s="607">
        <f t="shared" si="3"/>
        <v>96.75</v>
      </c>
      <c r="AB27" s="607">
        <f t="shared" si="29"/>
        <v>93.375</v>
      </c>
      <c r="AC27" s="607" t="str">
        <f t="shared" si="30"/>
        <v/>
      </c>
      <c r="AD27" s="607" t="str">
        <f t="shared" si="31"/>
        <v/>
      </c>
      <c r="AE27" s="607" t="str">
        <f t="shared" si="32"/>
        <v/>
      </c>
      <c r="AF27" s="528"/>
      <c r="AG27" s="528"/>
      <c r="AH27" s="528"/>
      <c r="AI27" s="302">
        <f t="shared" si="5"/>
        <v>96</v>
      </c>
      <c r="AJ27" s="303" t="str">
        <f>IF(AI27&gt;KKM!$G$10,"A",IF(AI27&gt;KKM!$H$10,"B",IF(AI27&gt;=KKM!$I$10,"C","D")))</f>
        <v>A</v>
      </c>
      <c r="AK27" s="523">
        <f t="shared" si="6"/>
        <v>99</v>
      </c>
      <c r="AL27" s="115" t="str">
        <f>IF(AK27&gt;KKM!$G$10," sangat baik ",IF(AK27&gt;KKM!$H$10," baik ",IF(AK27&gt;=KKM!$I$10," cukup baik "," perlu bimbingan ")))</f>
        <v xml:space="preserve"> sangat baik </v>
      </c>
      <c r="AM27" s="524">
        <f t="shared" si="7"/>
        <v>93.375</v>
      </c>
      <c r="AN27" s="115" t="str">
        <f>IF(AM27&gt;KKM!$G$10," sangat baik ",IF(AM27&gt;KKM!$H$10," baik ",IF(AM27&gt;=KKM!$I$10," cukup baik "," perlu bimbingan ")))</f>
        <v xml:space="preserve"> sangat baik </v>
      </c>
      <c r="AO27" s="301" t="str">
        <f t="shared" si="13"/>
        <v>Anak 23 sangat baik  dalam mengidentifikasi pelaksanaan kewajiban dan hak sebagai warga masyarakat dalam kehidupan sehari-hari., dan  sangat baik  dalam mengidentifikasi berbagai bentuk keragaman suku bangsa, sosial, dan budaya di Indonesia yang terikat persatuan dan kesatuan.</v>
      </c>
      <c r="AP27" s="306"/>
      <c r="AQ27" s="307" t="str">
        <f t="shared" si="8"/>
        <v xml:space="preserve"> sangat baik  dalam mengidentifikasi pelaksanaan kewajiban dan hak sebagai warga masyarakat dalam kehidupan sehari-hari.</v>
      </c>
      <c r="AR27" s="307" t="str">
        <f t="shared" si="9"/>
        <v xml:space="preserve"> sangat baik  dalam mengidentifikasi berbagai bentuk keragaman suku bangsa, sosial, dan budaya di Indonesia yang terikat persatuan dan kesatuan.</v>
      </c>
      <c r="AS27"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27" s="307" t="str">
        <f t="shared" si="15"/>
        <v xml:space="preserve"> </v>
      </c>
      <c r="AU27"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27" s="301" t="str">
        <f t="shared" si="10"/>
        <v>Anak 23 sangat baik  dalam mengidentifikasi pelaksanaan kewajiban dan hak sebagai warga masyarakat dalam kehidupan sehari-hari., dan  sangat baik  dalam mengidentifikasi berbagai bentuk keragaman suku bangsa, sosial, dan budaya di Indonesia yang terikat persatuan dan kesatuan.</v>
      </c>
      <c r="AW27" s="120"/>
      <c r="BF27" s="408">
        <f t="shared" si="17"/>
        <v>96</v>
      </c>
      <c r="BI27" s="302">
        <f t="shared" si="11"/>
        <v>83</v>
      </c>
      <c r="BJ27" s="303" t="str">
        <f>IF(BI27&gt;KKM!$G$10,"A",IF(BI27&gt;KKM!$H$10,"B",IF(BI27&gt;=KKM!$I$10,"C","D")))</f>
        <v>B</v>
      </c>
      <c r="BK27" s="523">
        <f t="shared" si="18"/>
        <v>90</v>
      </c>
      <c r="BL27" s="115" t="str">
        <f>IF(BK27&gt;KKM!$G$10," sangat baik ",IF(BK27&gt;KKM!$H$10," baik ",IF(BK27&gt;=KKM!$I$10," cukup baik "," perlu bimbingan ")))</f>
        <v xml:space="preserve"> baik </v>
      </c>
      <c r="BM27" s="524">
        <f t="shared" si="19"/>
        <v>76.5</v>
      </c>
      <c r="BN27" s="115" t="str">
        <f>IF(BM27&gt;KKM!$G$10," sangat baik ",IF(BM27&gt;KKM!$H$10," baik ",IF(BM27&gt;=KKM!$I$10," cukup baik "," perlu bimbingan ")))</f>
        <v xml:space="preserve"> cukup baik </v>
      </c>
      <c r="BO27" s="301" t="str">
        <f t="shared" si="25"/>
        <v>Anak 23 baik  dalam menjelaskan manfaat keberagaman karakteristik individu dalam kehidupan sehari-hari., dan  cukup baik  dalam mengidentifikasi berbagai bentuk keragaman suku bangsa, sosial, dan budaya di Indonesia yang terikat persatuan dan kesatuan.</v>
      </c>
      <c r="BP27" s="307" t="str">
        <f t="shared" si="20"/>
        <v xml:space="preserve"> baik  dalam menjelaskan manfaat keberagaman karakteristik individu dalam kehidupan sehari-hari.</v>
      </c>
      <c r="BQ27" s="307" t="str">
        <f t="shared" si="21"/>
        <v xml:space="preserve"> cukup baik  dalam mengidentifikasi berbagai bentuk keragaman suku bangsa, sosial, dan budaya di Indonesia yang terikat persatuan dan kesatuan.</v>
      </c>
      <c r="BR27"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27" s="307" t="str">
        <f t="shared" si="23"/>
        <v xml:space="preserve"> </v>
      </c>
      <c r="BT27"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27" s="301" t="str">
        <f t="shared" si="12"/>
        <v>Anak 23 baik  dalam menjelaskan manfaat keberagaman karakteristik individu dalam kehidupan sehari-hari., dan  cukup baik  dalam mengidentifikasi berbagai bentuk keragaman suku bangsa, sosial, dan budaya di Indonesia yang terikat persatuan dan kesatuan.</v>
      </c>
    </row>
    <row r="28" spans="2:73" ht="59.25" customHeight="1">
      <c r="B28" s="109">
        <v>24</v>
      </c>
      <c r="C28" s="110">
        <f>SISWA!B29</f>
        <v>0</v>
      </c>
      <c r="D28" s="111" t="str">
        <f>SISWA!E29</f>
        <v>Anak 24</v>
      </c>
      <c r="E28" s="631">
        <v>99</v>
      </c>
      <c r="F28" s="631">
        <v>99</v>
      </c>
      <c r="G28" s="631">
        <v>99</v>
      </c>
      <c r="H28" s="631"/>
      <c r="I28" s="631"/>
      <c r="J28" s="631"/>
      <c r="K28" s="610"/>
      <c r="L28" s="631"/>
      <c r="M28" s="631">
        <v>76.5</v>
      </c>
      <c r="N28" s="631">
        <v>83</v>
      </c>
      <c r="O28" s="631"/>
      <c r="P28" s="631"/>
      <c r="Q28" s="631"/>
      <c r="R28" s="610"/>
      <c r="S28" s="729">
        <v>99</v>
      </c>
      <c r="T28" s="729">
        <v>99</v>
      </c>
      <c r="U28" s="729">
        <v>99</v>
      </c>
      <c r="V28" s="729"/>
      <c r="W28" s="729"/>
      <c r="X28" s="729"/>
      <c r="Y28" s="518"/>
      <c r="Z28" s="607">
        <f t="shared" si="2"/>
        <v>99</v>
      </c>
      <c r="AA28" s="607">
        <f t="shared" si="3"/>
        <v>93.375</v>
      </c>
      <c r="AB28" s="607">
        <f t="shared" si="29"/>
        <v>95</v>
      </c>
      <c r="AC28" s="607" t="str">
        <f t="shared" si="30"/>
        <v/>
      </c>
      <c r="AD28" s="607" t="str">
        <f t="shared" si="31"/>
        <v/>
      </c>
      <c r="AE28" s="607" t="str">
        <f t="shared" si="32"/>
        <v/>
      </c>
      <c r="AF28" s="528"/>
      <c r="AG28" s="528"/>
      <c r="AH28" s="528"/>
      <c r="AI28" s="302">
        <f t="shared" si="5"/>
        <v>96</v>
      </c>
      <c r="AJ28" s="303" t="str">
        <f>IF(AI28&gt;KKM!$G$10,"A",IF(AI28&gt;KKM!$H$10,"B",IF(AI28&gt;=KKM!$I$10,"C","D")))</f>
        <v>A</v>
      </c>
      <c r="AK28" s="523">
        <f t="shared" si="6"/>
        <v>99</v>
      </c>
      <c r="AL28" s="115" t="str">
        <f>IF(AK28&gt;KKM!$G$10," sangat baik ",IF(AK28&gt;KKM!$H$10," baik ",IF(AK28&gt;=KKM!$I$10," cukup baik "," perlu bimbingan ")))</f>
        <v xml:space="preserve"> sangat baik </v>
      </c>
      <c r="AM28" s="524">
        <f t="shared" si="7"/>
        <v>93.375</v>
      </c>
      <c r="AN28" s="115" t="str">
        <f>IF(AM28&gt;KKM!$G$10," sangat baik ",IF(AM28&gt;KKM!$H$10," baik ",IF(AM28&gt;=KKM!$I$10," cukup baik "," perlu bimbingan ")))</f>
        <v xml:space="preserve"> sangat baik </v>
      </c>
      <c r="AO28" s="301" t="str">
        <f t="shared" si="13"/>
        <v>Anak 24 sangat baik  dalam mengidentifikasi pelaksanaan kewajiban dan hak sebagai warga masyarakat dalam kehidupan sehari-hari., dan  sangat baik  dalam menjelaskan manfaat keberagaman karakteristik individu dalam kehidupan sehari-hari.</v>
      </c>
      <c r="AP28" s="306"/>
      <c r="AQ28" s="307" t="str">
        <f t="shared" si="8"/>
        <v xml:space="preserve"> sangat baik  dalam mengidentifikasi pelaksanaan kewajiban dan hak sebagai warga masyarakat dalam kehidupan sehari-hari.</v>
      </c>
      <c r="AR28" s="307" t="str">
        <f t="shared" si="9"/>
        <v xml:space="preserve"> sangat baik  dalam menjelaskan manfaat keberagaman karakteristik individu dalam kehidupan sehari-hari.</v>
      </c>
      <c r="AS28" s="307" t="str">
        <f t="shared" si="14"/>
        <v xml:space="preserve"> sangat baik  dalam mengidentifikasi pelaksanaan kewajiban dan hak sebagai warga masyarakat dalam kehidupan sehari-hari., dan  sangat baik  dalam menjelaskan manfaat keberagaman karakteristik individu dalam kehidupan sehari-hari.</v>
      </c>
      <c r="AT28" s="307" t="str">
        <f t="shared" si="15"/>
        <v xml:space="preserve"> </v>
      </c>
      <c r="AU28" s="308" t="str">
        <f t="shared" si="16"/>
        <v xml:space="preserve"> sangat baik  dalam mengidentifikasi pelaksanaan kewajiban dan hak sebagai warga masyarakat dalam kehidupan sehari-hari., dan  sangat baik  dalam menjelaskan manfaat keberagaman karakteristik individu dalam kehidupan sehari-hari.</v>
      </c>
      <c r="AV28" s="301" t="str">
        <f t="shared" si="10"/>
        <v>Anak 24 sangat baik  dalam mengidentifikasi pelaksanaan kewajiban dan hak sebagai warga masyarakat dalam kehidupan sehari-hari., dan  sangat baik  dalam menjelaskan manfaat keberagaman karakteristik individu dalam kehidupan sehari-hari.</v>
      </c>
      <c r="AW28" s="120"/>
      <c r="BF28" s="408">
        <f t="shared" si="17"/>
        <v>96</v>
      </c>
      <c r="BI28" s="302">
        <f t="shared" si="11"/>
        <v>80</v>
      </c>
      <c r="BJ28" s="303" t="str">
        <f>IF(BI28&gt;KKM!$G$10,"A",IF(BI28&gt;KKM!$H$10,"B",IF(BI28&gt;=KKM!$I$10,"C","D")))</f>
        <v>C</v>
      </c>
      <c r="BK28" s="523">
        <f t="shared" si="18"/>
        <v>83</v>
      </c>
      <c r="BL28" s="115" t="str">
        <f>IF(BK28&gt;KKM!$G$10," sangat baik ",IF(BK28&gt;KKM!$H$10," baik ",IF(BK28&gt;=KKM!$I$10," cukup baik "," perlu bimbingan ")))</f>
        <v xml:space="preserve"> baik </v>
      </c>
      <c r="BM28" s="524">
        <f t="shared" si="19"/>
        <v>76.5</v>
      </c>
      <c r="BN28" s="115" t="str">
        <f>IF(BM28&gt;KKM!$G$10," sangat baik ",IF(BM28&gt;KKM!$H$10," baik ",IF(BM28&gt;=KKM!$I$10," cukup baik "," perlu bimbingan ")))</f>
        <v xml:space="preserve"> cukup baik </v>
      </c>
      <c r="BO28" s="301" t="str">
        <f t="shared" si="25"/>
        <v>Anak 24 baik  dalam mengidentifikasi berbagai bentuk keragaman suku bangsa, sosial, dan budaya di Indonesia yang terikat persatuan dan kesatuan., dan  cukup baik  dalam menjelaskan manfaat keberagaman karakteristik individu dalam kehidupan sehari-hari.</v>
      </c>
      <c r="BP28" s="307" t="str">
        <f t="shared" si="20"/>
        <v xml:space="preserve"> baik  dalam mengidentifikasi berbagai bentuk keragaman suku bangsa, sosial, dan budaya di Indonesia yang terikat persatuan dan kesatuan.</v>
      </c>
      <c r="BQ28" s="307" t="str">
        <f t="shared" si="21"/>
        <v xml:space="preserve"> cukup baik  dalam menjelaskan manfaat keberagaman karakteristik individu dalam kehidupan sehari-hari.</v>
      </c>
      <c r="BR28"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28" s="307" t="str">
        <f t="shared" si="23"/>
        <v xml:space="preserve"> </v>
      </c>
      <c r="BT28"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28" s="301" t="str">
        <f t="shared" si="12"/>
        <v>Anak 24 baik  dalam mengidentifikasi berbagai bentuk keragaman suku bangsa, sosial, dan budaya di Indonesia yang terikat persatuan dan kesatuan., dan  cukup baik  dalam menjelaskan manfaat keberagaman karakteristik individu dalam kehidupan sehari-hari.</v>
      </c>
    </row>
    <row r="29" spans="2:73" ht="59.25" customHeight="1">
      <c r="B29" s="109">
        <v>25</v>
      </c>
      <c r="C29" s="110">
        <f>SISWA!B30</f>
        <v>0</v>
      </c>
      <c r="D29" s="111" t="str">
        <f>SISWA!E30</f>
        <v>Anak 25</v>
      </c>
      <c r="E29" s="631">
        <v>99</v>
      </c>
      <c r="F29" s="631">
        <v>99</v>
      </c>
      <c r="G29" s="631">
        <v>99</v>
      </c>
      <c r="H29" s="631"/>
      <c r="I29" s="631"/>
      <c r="J29" s="631"/>
      <c r="K29" s="610"/>
      <c r="L29" s="631"/>
      <c r="M29" s="631">
        <v>83</v>
      </c>
      <c r="N29" s="631">
        <v>74.5</v>
      </c>
      <c r="O29" s="631"/>
      <c r="P29" s="631"/>
      <c r="Q29" s="631"/>
      <c r="R29" s="610"/>
      <c r="S29" s="729">
        <v>99</v>
      </c>
      <c r="T29" s="729">
        <v>99</v>
      </c>
      <c r="U29" s="729">
        <v>99</v>
      </c>
      <c r="V29" s="729"/>
      <c r="W29" s="729"/>
      <c r="X29" s="729"/>
      <c r="Y29" s="518"/>
      <c r="Z29" s="607">
        <f t="shared" si="2"/>
        <v>99</v>
      </c>
      <c r="AA29" s="607">
        <f t="shared" si="3"/>
        <v>95</v>
      </c>
      <c r="AB29" s="607">
        <f t="shared" si="29"/>
        <v>92.875</v>
      </c>
      <c r="AC29" s="607" t="str">
        <f t="shared" si="30"/>
        <v/>
      </c>
      <c r="AD29" s="607" t="str">
        <f t="shared" si="31"/>
        <v/>
      </c>
      <c r="AE29" s="607" t="str">
        <f t="shared" si="32"/>
        <v/>
      </c>
      <c r="AF29" s="528"/>
      <c r="AG29" s="528"/>
      <c r="AH29" s="528"/>
      <c r="AI29" s="302">
        <f t="shared" si="5"/>
        <v>96</v>
      </c>
      <c r="AJ29" s="303" t="str">
        <f>IF(AI29&gt;KKM!$G$10,"A",IF(AI29&gt;KKM!$H$10,"B",IF(AI29&gt;=KKM!$I$10,"C","D")))</f>
        <v>A</v>
      </c>
      <c r="AK29" s="523">
        <f t="shared" si="6"/>
        <v>99</v>
      </c>
      <c r="AL29" s="115" t="str">
        <f>IF(AK29&gt;KKM!$G$10," sangat baik ",IF(AK29&gt;KKM!$H$10," baik ",IF(AK29&gt;=KKM!$I$10," cukup baik "," perlu bimbingan ")))</f>
        <v xml:space="preserve"> sangat baik </v>
      </c>
      <c r="AM29" s="524">
        <f t="shared" si="7"/>
        <v>92.875</v>
      </c>
      <c r="AN29" s="115" t="str">
        <f>IF(AM29&gt;KKM!$G$10," sangat baik ",IF(AM29&gt;KKM!$H$10," baik ",IF(AM29&gt;=KKM!$I$10," cukup baik "," perlu bimbingan ")))</f>
        <v xml:space="preserve"> sangat baik </v>
      </c>
      <c r="AO29" s="301" t="str">
        <f t="shared" si="13"/>
        <v>Anak 25 sangat baik  dalam mengidentifikasi pelaksanaan kewajiban dan hak sebagai warga masyarakat dalam kehidupan sehari-hari., dan  sangat baik  dalam mengidentifikasi berbagai bentuk keragaman suku bangsa, sosial, dan budaya di Indonesia yang terikat persatuan dan kesatuan.</v>
      </c>
      <c r="AP29" s="306"/>
      <c r="AQ29" s="307" t="str">
        <f t="shared" si="8"/>
        <v xml:space="preserve"> sangat baik  dalam mengidentifikasi pelaksanaan kewajiban dan hak sebagai warga masyarakat dalam kehidupan sehari-hari.</v>
      </c>
      <c r="AR29" s="307" t="str">
        <f t="shared" si="9"/>
        <v xml:space="preserve"> sangat baik  dalam mengidentifikasi berbagai bentuk keragaman suku bangsa, sosial, dan budaya di Indonesia yang terikat persatuan dan kesatuan.</v>
      </c>
      <c r="AS29"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29" s="307" t="str">
        <f t="shared" si="15"/>
        <v xml:space="preserve"> </v>
      </c>
      <c r="AU29"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29" s="301" t="str">
        <f t="shared" si="10"/>
        <v>Anak 25 sangat baik  dalam mengidentifikasi pelaksanaan kewajiban dan hak sebagai warga masyarakat dalam kehidupan sehari-hari., dan  sangat baik  dalam mengidentifikasi berbagai bentuk keragaman suku bangsa, sosial, dan budaya di Indonesia yang terikat persatuan dan kesatuan.</v>
      </c>
      <c r="AW29" s="120"/>
      <c r="BF29" s="408">
        <f t="shared" si="17"/>
        <v>96</v>
      </c>
      <c r="BI29" s="302">
        <f t="shared" si="11"/>
        <v>79</v>
      </c>
      <c r="BJ29" s="303" t="str">
        <f>IF(BI29&gt;KKM!$G$10,"A",IF(BI29&gt;KKM!$H$10,"B",IF(BI29&gt;=KKM!$I$10,"C","D")))</f>
        <v>C</v>
      </c>
      <c r="BK29" s="523">
        <f t="shared" si="18"/>
        <v>83</v>
      </c>
      <c r="BL29" s="115" t="str">
        <f>IF(BK29&gt;KKM!$G$10," sangat baik ",IF(BK29&gt;KKM!$H$10," baik ",IF(BK29&gt;=KKM!$I$10," cukup baik "," perlu bimbingan ")))</f>
        <v xml:space="preserve"> baik </v>
      </c>
      <c r="BM29" s="524">
        <f t="shared" si="19"/>
        <v>74.5</v>
      </c>
      <c r="BN29" s="115" t="str">
        <f>IF(BM29&gt;KKM!$G$10," sangat baik ",IF(BM29&gt;KKM!$H$10," baik ",IF(BM29&gt;=KKM!$I$10," cukup baik "," perlu bimbingan ")))</f>
        <v xml:space="preserve"> cukup baik </v>
      </c>
      <c r="BO29" s="301" t="str">
        <f t="shared" si="25"/>
        <v>Anak 25 baik  dalam menjelaskan manfaat keberagaman karakteristik individu dalam kehidupan sehari-hari., dan  cukup baik  dalam mengidentifikasi berbagai bentuk keragaman suku bangsa, sosial, dan budaya di Indonesia yang terikat persatuan dan kesatuan.</v>
      </c>
      <c r="BP29" s="307" t="str">
        <f t="shared" si="20"/>
        <v xml:space="preserve"> baik  dalam menjelaskan manfaat keberagaman karakteristik individu dalam kehidupan sehari-hari.</v>
      </c>
      <c r="BQ29" s="307" t="str">
        <f t="shared" si="21"/>
        <v xml:space="preserve"> cukup baik  dalam mengidentifikasi berbagai bentuk keragaman suku bangsa, sosial, dan budaya di Indonesia yang terikat persatuan dan kesatuan.</v>
      </c>
      <c r="BR29"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29" s="307" t="str">
        <f t="shared" si="23"/>
        <v xml:space="preserve"> </v>
      </c>
      <c r="BT29"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29" s="301" t="str">
        <f t="shared" si="12"/>
        <v>Anak 25 baik  dalam menjelaskan manfaat keberagaman karakteristik individu dalam kehidupan sehari-hari., dan  cukup baik  dalam mengidentifikasi berbagai bentuk keragaman suku bangsa, sosial, dan budaya di Indonesia yang terikat persatuan dan kesatuan.</v>
      </c>
    </row>
    <row r="30" spans="2:73" ht="59.25" customHeight="1">
      <c r="B30" s="109">
        <v>26</v>
      </c>
      <c r="C30" s="110">
        <f>SISWA!B31</f>
        <v>0</v>
      </c>
      <c r="D30" s="111" t="str">
        <f>SISWA!E31</f>
        <v>Anak 26</v>
      </c>
      <c r="E30" s="631">
        <v>99</v>
      </c>
      <c r="F30" s="631">
        <v>99</v>
      </c>
      <c r="G30" s="631">
        <v>99</v>
      </c>
      <c r="H30" s="631"/>
      <c r="I30" s="631"/>
      <c r="J30" s="631"/>
      <c r="K30" s="610"/>
      <c r="L30" s="631"/>
      <c r="M30" s="631">
        <v>74.5</v>
      </c>
      <c r="N30" s="631">
        <v>74.5</v>
      </c>
      <c r="O30" s="631"/>
      <c r="P30" s="631"/>
      <c r="Q30" s="631"/>
      <c r="R30" s="610"/>
      <c r="S30" s="729">
        <v>99</v>
      </c>
      <c r="T30" s="729">
        <v>99</v>
      </c>
      <c r="U30" s="729">
        <v>99</v>
      </c>
      <c r="V30" s="729"/>
      <c r="W30" s="729"/>
      <c r="X30" s="729"/>
      <c r="Y30" s="518"/>
      <c r="Z30" s="607">
        <f t="shared" si="2"/>
        <v>99</v>
      </c>
      <c r="AA30" s="607">
        <f t="shared" si="3"/>
        <v>92.875</v>
      </c>
      <c r="AB30" s="607">
        <f t="shared" si="29"/>
        <v>92.875</v>
      </c>
      <c r="AC30" s="607" t="str">
        <f t="shared" si="30"/>
        <v/>
      </c>
      <c r="AD30" s="607" t="str">
        <f t="shared" si="31"/>
        <v/>
      </c>
      <c r="AE30" s="607" t="str">
        <f t="shared" si="32"/>
        <v/>
      </c>
      <c r="AF30" s="528"/>
      <c r="AG30" s="528"/>
      <c r="AH30" s="528"/>
      <c r="AI30" s="302">
        <f t="shared" si="5"/>
        <v>95</v>
      </c>
      <c r="AJ30" s="303" t="str">
        <f>IF(AI30&gt;KKM!$G$10,"A",IF(AI30&gt;KKM!$H$10,"B",IF(AI30&gt;=KKM!$I$10,"C","D")))</f>
        <v>A</v>
      </c>
      <c r="AK30" s="523">
        <f t="shared" si="6"/>
        <v>99</v>
      </c>
      <c r="AL30" s="115" t="str">
        <f>IF(AK30&gt;KKM!$G$10," sangat baik ",IF(AK30&gt;KKM!$H$10," baik ",IF(AK30&gt;=KKM!$I$10," cukup baik "," perlu bimbingan ")))</f>
        <v xml:space="preserve"> sangat baik </v>
      </c>
      <c r="AM30" s="524">
        <f t="shared" si="7"/>
        <v>92.875</v>
      </c>
      <c r="AN30" s="115" t="str">
        <f>IF(AM30&gt;KKM!$G$10," sangat baik ",IF(AM30&gt;KKM!$H$10," baik ",IF(AM30&gt;=KKM!$I$10," cukup baik "," perlu bimbingan ")))</f>
        <v xml:space="preserve"> sangat baik </v>
      </c>
      <c r="AO30" s="301" t="str">
        <f t="shared" si="13"/>
        <v>Anak 26 sangat baik  dalam mengidentifikasi pelaksanaan kewajiban dan hak sebagai warga masyarakat dalam kehidupan sehari-hari., dan  sangat baik  dalam menjelaskan manfaat keberagaman karakteristik individu dalam kehidupan sehari-hari.</v>
      </c>
      <c r="AP30" s="306"/>
      <c r="AQ30" s="307" t="str">
        <f t="shared" si="8"/>
        <v xml:space="preserve"> sangat baik  dalam mengidentifikasi pelaksanaan kewajiban dan hak sebagai warga masyarakat dalam kehidupan sehari-hari.</v>
      </c>
      <c r="AR30" s="307" t="str">
        <f t="shared" si="9"/>
        <v xml:space="preserve"> sangat baik  dalam menjelaskan manfaat keberagaman karakteristik individu dalam kehidupan sehari-hari.</v>
      </c>
      <c r="AS30" s="307" t="str">
        <f t="shared" si="14"/>
        <v xml:space="preserve"> sangat baik  dalam mengidentifikasi pelaksanaan kewajiban dan hak sebagai warga masyarakat dalam kehidupan sehari-hari., dan  sangat baik  dalam menjelaskan manfaat keberagaman karakteristik individu dalam kehidupan sehari-hari.</v>
      </c>
      <c r="AT30" s="307" t="str">
        <f t="shared" si="15"/>
        <v xml:space="preserve"> </v>
      </c>
      <c r="AU30" s="308" t="str">
        <f t="shared" si="16"/>
        <v xml:space="preserve"> sangat baik  dalam mengidentifikasi pelaksanaan kewajiban dan hak sebagai warga masyarakat dalam kehidupan sehari-hari., dan  sangat baik  dalam menjelaskan manfaat keberagaman karakteristik individu dalam kehidupan sehari-hari.</v>
      </c>
      <c r="AV30" s="301" t="str">
        <f t="shared" si="10"/>
        <v>Anak 26 sangat baik  dalam mengidentifikasi pelaksanaan kewajiban dan hak sebagai warga masyarakat dalam kehidupan sehari-hari., dan  sangat baik  dalam menjelaskan manfaat keberagaman karakteristik individu dalam kehidupan sehari-hari.</v>
      </c>
      <c r="AW30" s="120"/>
      <c r="BF30" s="408">
        <f t="shared" si="17"/>
        <v>95</v>
      </c>
      <c r="BI30" s="302">
        <f t="shared" si="11"/>
        <v>75</v>
      </c>
      <c r="BJ30" s="303" t="str">
        <f>IF(BI30&gt;KKM!$G$10,"A",IF(BI30&gt;KKM!$H$10,"B",IF(BI30&gt;=KKM!$I$10,"C","D")))</f>
        <v>C</v>
      </c>
      <c r="BK30" s="523">
        <f t="shared" si="18"/>
        <v>74.5</v>
      </c>
      <c r="BL30" s="115" t="str">
        <f>IF(BK30&gt;KKM!$G$10," sangat baik ",IF(BK30&gt;KKM!$H$10," baik ",IF(BK30&gt;=KKM!$I$10," cukup baik "," perlu bimbingan ")))</f>
        <v xml:space="preserve"> cukup baik </v>
      </c>
      <c r="BM30" s="524">
        <f t="shared" si="19"/>
        <v>74.5</v>
      </c>
      <c r="BN30" s="115" t="str">
        <f>IF(BM30&gt;KKM!$G$10," sangat baik ",IF(BM30&gt;KKM!$H$10," baik ",IF(BM30&gt;=KKM!$I$10," cukup baik "," perlu bimbingan ")))</f>
        <v xml:space="preserve"> cukup baik </v>
      </c>
      <c r="BO30" s="301" t="str">
        <f t="shared" si="25"/>
        <v>Anak 26 cukup baik  dalam menjelaskan manfaat keberagaman karakteristik individu dalam kehidupan sehari-hari.</v>
      </c>
      <c r="BP30" s="307" t="str">
        <f t="shared" si="20"/>
        <v xml:space="preserve"> cukup baik  dalam menjelaskan manfaat keberagaman karakteristik individu dalam kehidupan sehari-hari.</v>
      </c>
      <c r="BQ30" s="307" t="str">
        <f t="shared" si="21"/>
        <v xml:space="preserve"> cukup baik  dalam menjelaskan manfaat keberagaman karakteristik individu dalam kehidupan sehari-hari.</v>
      </c>
      <c r="BR30" s="307" t="str">
        <f t="shared" si="22"/>
        <v xml:space="preserve"> cukup baik  dalam menjelaskan manfaat keberagaman karakteristik individu dalam kehidupan sehari-hari., dan  cukup baik  dalam menjelaskan manfaat keberagaman karakteristik individu dalam kehidupan sehari-hari.</v>
      </c>
      <c r="BS30" s="307" t="str">
        <f t="shared" si="23"/>
        <v xml:space="preserve"> cukup baik  dalam menjelaskan manfaat keberagaman karakteristik individu dalam kehidupan sehari-hari.</v>
      </c>
      <c r="BT30" s="308" t="str">
        <f t="shared" si="24"/>
        <v xml:space="preserve"> cukup baik  dalam menjelaskan manfaat keberagaman karakteristik individu dalam kehidupan sehari-hari.</v>
      </c>
      <c r="BU30" s="301" t="str">
        <f t="shared" si="12"/>
        <v>Anak 26 cukup baik  dalam menjelaskan manfaat keberagaman karakteristik individu dalam kehidupan sehari-hari.</v>
      </c>
    </row>
    <row r="31" spans="2:73" ht="59.25" customHeight="1">
      <c r="B31" s="109">
        <v>27</v>
      </c>
      <c r="C31" s="110">
        <f>SISWA!B32</f>
        <v>0</v>
      </c>
      <c r="D31" s="111" t="str">
        <f>SISWA!E32</f>
        <v>Anak 27</v>
      </c>
      <c r="E31" s="631">
        <v>99</v>
      </c>
      <c r="F31" s="631">
        <v>99</v>
      </c>
      <c r="G31" s="631">
        <v>99</v>
      </c>
      <c r="H31" s="631"/>
      <c r="I31" s="631"/>
      <c r="J31" s="631"/>
      <c r="K31" s="610"/>
      <c r="L31" s="631"/>
      <c r="M31" s="631">
        <v>74.5</v>
      </c>
      <c r="N31" s="631">
        <v>74.5</v>
      </c>
      <c r="O31" s="631"/>
      <c r="P31" s="631"/>
      <c r="Q31" s="631"/>
      <c r="R31" s="610"/>
      <c r="S31" s="729">
        <v>99</v>
      </c>
      <c r="T31" s="729">
        <v>99</v>
      </c>
      <c r="U31" s="729">
        <v>99</v>
      </c>
      <c r="V31" s="729"/>
      <c r="W31" s="729"/>
      <c r="X31" s="729"/>
      <c r="Y31" s="518"/>
      <c r="Z31" s="607">
        <f t="shared" si="2"/>
        <v>99</v>
      </c>
      <c r="AA31" s="607">
        <f t="shared" si="3"/>
        <v>92.875</v>
      </c>
      <c r="AB31" s="607">
        <f t="shared" si="29"/>
        <v>92.875</v>
      </c>
      <c r="AC31" s="607" t="str">
        <f t="shared" si="30"/>
        <v/>
      </c>
      <c r="AD31" s="607" t="str">
        <f t="shared" si="31"/>
        <v/>
      </c>
      <c r="AE31" s="607" t="str">
        <f t="shared" si="32"/>
        <v/>
      </c>
      <c r="AF31" s="528"/>
      <c r="AG31" s="528"/>
      <c r="AH31" s="528"/>
      <c r="AI31" s="302">
        <f t="shared" si="5"/>
        <v>95</v>
      </c>
      <c r="AJ31" s="303" t="str">
        <f>IF(AI31&gt;KKM!$G$10,"A",IF(AI31&gt;KKM!$H$10,"B",IF(AI31&gt;=KKM!$I$10,"C","D")))</f>
        <v>A</v>
      </c>
      <c r="AK31" s="523">
        <f t="shared" si="6"/>
        <v>99</v>
      </c>
      <c r="AL31" s="115" t="str">
        <f>IF(AK31&gt;KKM!$G$10," sangat baik ",IF(AK31&gt;KKM!$H$10," baik ",IF(AK31&gt;=KKM!$I$10," cukup baik "," perlu bimbingan ")))</f>
        <v xml:space="preserve"> sangat baik </v>
      </c>
      <c r="AM31" s="524">
        <f t="shared" si="7"/>
        <v>92.875</v>
      </c>
      <c r="AN31" s="115" t="str">
        <f>IF(AM31&gt;KKM!$G$10," sangat baik ",IF(AM31&gt;KKM!$H$10," baik ",IF(AM31&gt;=KKM!$I$10," cukup baik "," perlu bimbingan ")))</f>
        <v xml:space="preserve"> sangat baik </v>
      </c>
      <c r="AO31" s="301" t="str">
        <f t="shared" si="13"/>
        <v>Anak 27 sangat baik  dalam mengidentifikasi pelaksanaan kewajiban dan hak sebagai warga masyarakat dalam kehidupan sehari-hari., dan  sangat baik  dalam menjelaskan manfaat keberagaman karakteristik individu dalam kehidupan sehari-hari.</v>
      </c>
      <c r="AP31" s="306"/>
      <c r="AQ31" s="307" t="str">
        <f t="shared" si="8"/>
        <v xml:space="preserve"> sangat baik  dalam mengidentifikasi pelaksanaan kewajiban dan hak sebagai warga masyarakat dalam kehidupan sehari-hari.</v>
      </c>
      <c r="AR31" s="307" t="str">
        <f t="shared" si="9"/>
        <v xml:space="preserve"> sangat baik  dalam menjelaskan manfaat keberagaman karakteristik individu dalam kehidupan sehari-hari.</v>
      </c>
      <c r="AS31" s="307" t="str">
        <f t="shared" si="14"/>
        <v xml:space="preserve"> sangat baik  dalam mengidentifikasi pelaksanaan kewajiban dan hak sebagai warga masyarakat dalam kehidupan sehari-hari., dan  sangat baik  dalam menjelaskan manfaat keberagaman karakteristik individu dalam kehidupan sehari-hari.</v>
      </c>
      <c r="AT31" s="307" t="str">
        <f t="shared" si="15"/>
        <v xml:space="preserve"> </v>
      </c>
      <c r="AU31" s="308" t="str">
        <f t="shared" si="16"/>
        <v xml:space="preserve"> sangat baik  dalam mengidentifikasi pelaksanaan kewajiban dan hak sebagai warga masyarakat dalam kehidupan sehari-hari., dan  sangat baik  dalam menjelaskan manfaat keberagaman karakteristik individu dalam kehidupan sehari-hari.</v>
      </c>
      <c r="AV31" s="301" t="str">
        <f t="shared" si="10"/>
        <v>Anak 27 sangat baik  dalam mengidentifikasi pelaksanaan kewajiban dan hak sebagai warga masyarakat dalam kehidupan sehari-hari., dan  sangat baik  dalam menjelaskan manfaat keberagaman karakteristik individu dalam kehidupan sehari-hari.</v>
      </c>
      <c r="AW31" s="120"/>
      <c r="BF31" s="408">
        <f t="shared" si="17"/>
        <v>95</v>
      </c>
      <c r="BI31" s="302">
        <f t="shared" si="11"/>
        <v>75</v>
      </c>
      <c r="BJ31" s="303" t="str">
        <f>IF(BI31&gt;KKM!$G$10,"A",IF(BI31&gt;KKM!$H$10,"B",IF(BI31&gt;=KKM!$I$10,"C","D")))</f>
        <v>C</v>
      </c>
      <c r="BK31" s="523">
        <f t="shared" si="18"/>
        <v>74.5</v>
      </c>
      <c r="BL31" s="115" t="str">
        <f>IF(BK31&gt;KKM!$G$10," sangat baik ",IF(BK31&gt;KKM!$H$10," baik ",IF(BK31&gt;=KKM!$I$10," cukup baik "," perlu bimbingan ")))</f>
        <v xml:space="preserve"> cukup baik </v>
      </c>
      <c r="BM31" s="524">
        <f t="shared" si="19"/>
        <v>74.5</v>
      </c>
      <c r="BN31" s="115" t="str">
        <f>IF(BM31&gt;KKM!$G$10," sangat baik ",IF(BM31&gt;KKM!$H$10," baik ",IF(BM31&gt;=KKM!$I$10," cukup baik "," perlu bimbingan ")))</f>
        <v xml:space="preserve"> cukup baik </v>
      </c>
      <c r="BO31" s="301" t="str">
        <f t="shared" si="25"/>
        <v>Anak 27 cukup baik  dalam menjelaskan manfaat keberagaman karakteristik individu dalam kehidupan sehari-hari.</v>
      </c>
      <c r="BP31" s="307" t="str">
        <f t="shared" si="20"/>
        <v xml:space="preserve"> cukup baik  dalam menjelaskan manfaat keberagaman karakteristik individu dalam kehidupan sehari-hari.</v>
      </c>
      <c r="BQ31" s="307" t="str">
        <f t="shared" si="21"/>
        <v xml:space="preserve"> cukup baik  dalam menjelaskan manfaat keberagaman karakteristik individu dalam kehidupan sehari-hari.</v>
      </c>
      <c r="BR31" s="307" t="str">
        <f t="shared" si="22"/>
        <v xml:space="preserve"> cukup baik  dalam menjelaskan manfaat keberagaman karakteristik individu dalam kehidupan sehari-hari., dan  cukup baik  dalam menjelaskan manfaat keberagaman karakteristik individu dalam kehidupan sehari-hari.</v>
      </c>
      <c r="BS31" s="307" t="str">
        <f t="shared" si="23"/>
        <v xml:space="preserve"> cukup baik  dalam menjelaskan manfaat keberagaman karakteristik individu dalam kehidupan sehari-hari.</v>
      </c>
      <c r="BT31" s="308" t="str">
        <f t="shared" si="24"/>
        <v xml:space="preserve"> cukup baik  dalam menjelaskan manfaat keberagaman karakteristik individu dalam kehidupan sehari-hari.</v>
      </c>
      <c r="BU31" s="301" t="str">
        <f t="shared" si="12"/>
        <v>Anak 27 cukup baik  dalam menjelaskan manfaat keberagaman karakteristik individu dalam kehidupan sehari-hari.</v>
      </c>
    </row>
    <row r="32" spans="2:73" ht="59.25" customHeight="1">
      <c r="B32" s="109">
        <v>28</v>
      </c>
      <c r="C32" s="110">
        <f>SISWA!B33</f>
        <v>0</v>
      </c>
      <c r="D32" s="111" t="str">
        <f>SISWA!E33</f>
        <v>Anak 28</v>
      </c>
      <c r="E32" s="631">
        <v>99</v>
      </c>
      <c r="F32" s="631">
        <v>99</v>
      </c>
      <c r="G32" s="631">
        <v>99</v>
      </c>
      <c r="H32" s="631"/>
      <c r="I32" s="631"/>
      <c r="J32" s="631"/>
      <c r="K32" s="610"/>
      <c r="L32" s="631"/>
      <c r="M32" s="631">
        <v>74.5</v>
      </c>
      <c r="N32" s="631">
        <v>84</v>
      </c>
      <c r="O32" s="631"/>
      <c r="P32" s="631"/>
      <c r="Q32" s="631"/>
      <c r="R32" s="610"/>
      <c r="S32" s="729">
        <v>99</v>
      </c>
      <c r="T32" s="729">
        <v>99</v>
      </c>
      <c r="U32" s="729">
        <v>99</v>
      </c>
      <c r="V32" s="729"/>
      <c r="W32" s="729"/>
      <c r="X32" s="729"/>
      <c r="Y32" s="518"/>
      <c r="Z32" s="607">
        <f t="shared" si="2"/>
        <v>99</v>
      </c>
      <c r="AA32" s="607">
        <f t="shared" si="3"/>
        <v>92.875</v>
      </c>
      <c r="AB32" s="607">
        <f t="shared" si="29"/>
        <v>95.25</v>
      </c>
      <c r="AC32" s="607" t="str">
        <f t="shared" si="30"/>
        <v/>
      </c>
      <c r="AD32" s="607" t="str">
        <f t="shared" si="31"/>
        <v/>
      </c>
      <c r="AE32" s="607" t="str">
        <f t="shared" si="32"/>
        <v/>
      </c>
      <c r="AF32" s="528"/>
      <c r="AG32" s="528"/>
      <c r="AH32" s="528"/>
      <c r="AI32" s="302">
        <f t="shared" si="5"/>
        <v>96</v>
      </c>
      <c r="AJ32" s="303" t="str">
        <f>IF(AI32&gt;KKM!$G$10,"A",IF(AI32&gt;KKM!$H$10,"B",IF(AI32&gt;=KKM!$I$10,"C","D")))</f>
        <v>A</v>
      </c>
      <c r="AK32" s="523">
        <f t="shared" si="6"/>
        <v>99</v>
      </c>
      <c r="AL32" s="115" t="str">
        <f>IF(AK32&gt;KKM!$G$10," sangat baik ",IF(AK32&gt;KKM!$H$10," baik ",IF(AK32&gt;=KKM!$I$10," cukup baik "," perlu bimbingan ")))</f>
        <v xml:space="preserve"> sangat baik </v>
      </c>
      <c r="AM32" s="524">
        <f t="shared" si="7"/>
        <v>92.875</v>
      </c>
      <c r="AN32" s="115" t="str">
        <f>IF(AM32&gt;KKM!$G$10," sangat baik ",IF(AM32&gt;KKM!$H$10," baik ",IF(AM32&gt;=KKM!$I$10," cukup baik "," perlu bimbingan ")))</f>
        <v xml:space="preserve"> sangat baik </v>
      </c>
      <c r="AO32" s="301" t="str">
        <f t="shared" si="13"/>
        <v>Anak 28 sangat baik  dalam mengidentifikasi pelaksanaan kewajiban dan hak sebagai warga masyarakat dalam kehidupan sehari-hari., dan  sangat baik  dalam menjelaskan manfaat keberagaman karakteristik individu dalam kehidupan sehari-hari.</v>
      </c>
      <c r="AP32" s="306"/>
      <c r="AQ32" s="307" t="str">
        <f t="shared" si="8"/>
        <v xml:space="preserve"> sangat baik  dalam mengidentifikasi pelaksanaan kewajiban dan hak sebagai warga masyarakat dalam kehidupan sehari-hari.</v>
      </c>
      <c r="AR32" s="307" t="str">
        <f t="shared" si="9"/>
        <v xml:space="preserve"> sangat baik  dalam menjelaskan manfaat keberagaman karakteristik individu dalam kehidupan sehari-hari.</v>
      </c>
      <c r="AS32" s="307" t="str">
        <f t="shared" si="14"/>
        <v xml:space="preserve"> sangat baik  dalam mengidentifikasi pelaksanaan kewajiban dan hak sebagai warga masyarakat dalam kehidupan sehari-hari., dan  sangat baik  dalam menjelaskan manfaat keberagaman karakteristik individu dalam kehidupan sehari-hari.</v>
      </c>
      <c r="AT32" s="307" t="str">
        <f t="shared" si="15"/>
        <v xml:space="preserve"> </v>
      </c>
      <c r="AU32" s="308" t="str">
        <f t="shared" si="16"/>
        <v xml:space="preserve"> sangat baik  dalam mengidentifikasi pelaksanaan kewajiban dan hak sebagai warga masyarakat dalam kehidupan sehari-hari., dan  sangat baik  dalam menjelaskan manfaat keberagaman karakteristik individu dalam kehidupan sehari-hari.</v>
      </c>
      <c r="AV32" s="301" t="str">
        <f t="shared" si="10"/>
        <v>Anak 28 sangat baik  dalam mengidentifikasi pelaksanaan kewajiban dan hak sebagai warga masyarakat dalam kehidupan sehari-hari., dan  sangat baik  dalam menjelaskan manfaat keberagaman karakteristik individu dalam kehidupan sehari-hari.</v>
      </c>
      <c r="AW32" s="120"/>
      <c r="BF32" s="408">
        <f t="shared" si="17"/>
        <v>96</v>
      </c>
      <c r="BI32" s="302">
        <f t="shared" si="11"/>
        <v>79</v>
      </c>
      <c r="BJ32" s="303" t="str">
        <f>IF(BI32&gt;KKM!$G$10,"A",IF(BI32&gt;KKM!$H$10,"B",IF(BI32&gt;=KKM!$I$10,"C","D")))</f>
        <v>C</v>
      </c>
      <c r="BK32" s="523">
        <f t="shared" si="18"/>
        <v>84</v>
      </c>
      <c r="BL32" s="115" t="str">
        <f>IF(BK32&gt;KKM!$G$10," sangat baik ",IF(BK32&gt;KKM!$H$10," baik ",IF(BK32&gt;=KKM!$I$10," cukup baik "," perlu bimbingan ")))</f>
        <v xml:space="preserve"> baik </v>
      </c>
      <c r="BM32" s="524">
        <f t="shared" si="19"/>
        <v>74.5</v>
      </c>
      <c r="BN32" s="115" t="str">
        <f>IF(BM32&gt;KKM!$G$10," sangat baik ",IF(BM32&gt;KKM!$H$10," baik ",IF(BM32&gt;=KKM!$I$10," cukup baik "," perlu bimbingan ")))</f>
        <v xml:space="preserve"> cukup baik </v>
      </c>
      <c r="BO32" s="301" t="str">
        <f t="shared" si="25"/>
        <v>Anak 28 baik  dalam mengidentifikasi berbagai bentuk keragaman suku bangsa, sosial, dan budaya di Indonesia yang terikat persatuan dan kesatuan., dan  cukup baik  dalam menjelaskan manfaat keberagaman karakteristik individu dalam kehidupan sehari-hari.</v>
      </c>
      <c r="BP32" s="307" t="str">
        <f t="shared" si="20"/>
        <v xml:space="preserve"> baik  dalam mengidentifikasi berbagai bentuk keragaman suku bangsa, sosial, dan budaya di Indonesia yang terikat persatuan dan kesatuan.</v>
      </c>
      <c r="BQ32" s="307" t="str">
        <f t="shared" si="21"/>
        <v xml:space="preserve"> cukup baik  dalam menjelaskan manfaat keberagaman karakteristik individu dalam kehidupan sehari-hari.</v>
      </c>
      <c r="BR32"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32" s="307" t="str">
        <f t="shared" si="23"/>
        <v xml:space="preserve"> </v>
      </c>
      <c r="BT32"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32" s="301" t="str">
        <f t="shared" si="12"/>
        <v>Anak 28 baik  dalam mengidentifikasi berbagai bentuk keragaman suku bangsa, sosial, dan budaya di Indonesia yang terikat persatuan dan kesatuan., dan  cukup baik  dalam menjelaskan manfaat keberagaman karakteristik individu dalam kehidupan sehari-hari.</v>
      </c>
    </row>
    <row r="33" spans="2:73" ht="59.25" customHeight="1">
      <c r="B33" s="109">
        <v>29</v>
      </c>
      <c r="C33" s="110">
        <f>SISWA!B34</f>
        <v>0</v>
      </c>
      <c r="D33" s="111" t="str">
        <f>SISWA!E34</f>
        <v>Anak 29</v>
      </c>
      <c r="E33" s="631">
        <v>99</v>
      </c>
      <c r="F33" s="631">
        <v>99</v>
      </c>
      <c r="G33" s="631">
        <v>99</v>
      </c>
      <c r="H33" s="631"/>
      <c r="I33" s="631"/>
      <c r="J33" s="631"/>
      <c r="K33" s="610"/>
      <c r="L33" s="631"/>
      <c r="M33" s="631">
        <v>84</v>
      </c>
      <c r="N33" s="631">
        <v>68.75</v>
      </c>
      <c r="O33" s="631"/>
      <c r="P33" s="631"/>
      <c r="Q33" s="631"/>
      <c r="R33" s="610"/>
      <c r="S33" s="729">
        <v>99</v>
      </c>
      <c r="T33" s="729">
        <v>99</v>
      </c>
      <c r="U33" s="729">
        <v>99</v>
      </c>
      <c r="V33" s="729"/>
      <c r="W33" s="729"/>
      <c r="X33" s="729"/>
      <c r="Y33" s="518"/>
      <c r="Z33" s="607">
        <f t="shared" si="2"/>
        <v>99</v>
      </c>
      <c r="AA33" s="607">
        <f t="shared" si="3"/>
        <v>95.25</v>
      </c>
      <c r="AB33" s="607">
        <f t="shared" si="29"/>
        <v>91.4375</v>
      </c>
      <c r="AC33" s="607" t="str">
        <f t="shared" si="30"/>
        <v/>
      </c>
      <c r="AD33" s="607" t="str">
        <f t="shared" si="31"/>
        <v/>
      </c>
      <c r="AE33" s="607" t="str">
        <f t="shared" si="32"/>
        <v/>
      </c>
      <c r="AF33" s="528"/>
      <c r="AG33" s="528"/>
      <c r="AH33" s="528"/>
      <c r="AI33" s="302">
        <f t="shared" si="5"/>
        <v>95</v>
      </c>
      <c r="AJ33" s="303" t="str">
        <f>IF(AI33&gt;KKM!$G$10,"A",IF(AI33&gt;KKM!$H$10,"B",IF(AI33&gt;=KKM!$I$10,"C","D")))</f>
        <v>A</v>
      </c>
      <c r="AK33" s="523">
        <f t="shared" si="6"/>
        <v>99</v>
      </c>
      <c r="AL33" s="115" t="str">
        <f>IF(AK33&gt;KKM!$G$10," sangat baik ",IF(AK33&gt;KKM!$H$10," baik ",IF(AK33&gt;=KKM!$I$10," cukup baik "," perlu bimbingan ")))</f>
        <v xml:space="preserve"> sangat baik </v>
      </c>
      <c r="AM33" s="524">
        <f t="shared" si="7"/>
        <v>91.4375</v>
      </c>
      <c r="AN33" s="115" t="str">
        <f>IF(AM33&gt;KKM!$G$10," sangat baik ",IF(AM33&gt;KKM!$H$10," baik ",IF(AM33&gt;=KKM!$I$10," cukup baik "," perlu bimbingan ")))</f>
        <v xml:space="preserve"> sangat baik </v>
      </c>
      <c r="AO33" s="301" t="str">
        <f t="shared" si="13"/>
        <v>Anak 29 sangat baik  dalam mengidentifikasi pelaksanaan kewajiban dan hak sebagai warga masyarakat dalam kehidupan sehari-hari., dan  sangat baik  dalam mengidentifikasi berbagai bentuk keragaman suku bangsa, sosial, dan budaya di Indonesia yang terikat persatuan dan kesatuan.</v>
      </c>
      <c r="AP33" s="306"/>
      <c r="AQ33" s="307" t="str">
        <f t="shared" si="8"/>
        <v xml:space="preserve"> sangat baik  dalam mengidentifikasi pelaksanaan kewajiban dan hak sebagai warga masyarakat dalam kehidupan sehari-hari.</v>
      </c>
      <c r="AR33" s="307" t="str">
        <f t="shared" si="9"/>
        <v xml:space="preserve"> sangat baik  dalam mengidentifikasi berbagai bentuk keragaman suku bangsa, sosial, dan budaya di Indonesia yang terikat persatuan dan kesatuan.</v>
      </c>
      <c r="AS33"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33" s="307" t="str">
        <f t="shared" si="15"/>
        <v xml:space="preserve"> </v>
      </c>
      <c r="AU33"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33" s="301" t="str">
        <f t="shared" si="10"/>
        <v>Anak 29 sangat baik  dalam mengidentifikasi pelaksanaan kewajiban dan hak sebagai warga masyarakat dalam kehidupan sehari-hari., dan  sangat baik  dalam mengidentifikasi berbagai bentuk keragaman suku bangsa, sosial, dan budaya di Indonesia yang terikat persatuan dan kesatuan.</v>
      </c>
      <c r="AW33" s="120"/>
      <c r="BF33" s="408">
        <f t="shared" si="17"/>
        <v>95</v>
      </c>
      <c r="BI33" s="302">
        <f t="shared" si="11"/>
        <v>76</v>
      </c>
      <c r="BJ33" s="303" t="str">
        <f>IF(BI33&gt;KKM!$G$10,"A",IF(BI33&gt;KKM!$H$10,"B",IF(BI33&gt;=KKM!$I$10,"C","D")))</f>
        <v>C</v>
      </c>
      <c r="BK33" s="523">
        <f t="shared" si="18"/>
        <v>84</v>
      </c>
      <c r="BL33" s="115" t="str">
        <f>IF(BK33&gt;KKM!$G$10," sangat baik ",IF(BK33&gt;KKM!$H$10," baik ",IF(BK33&gt;=KKM!$I$10," cukup baik "," perlu bimbingan ")))</f>
        <v xml:space="preserve"> baik </v>
      </c>
      <c r="BM33" s="524">
        <f t="shared" si="19"/>
        <v>68.75</v>
      </c>
      <c r="BN33" s="115" t="str">
        <f>IF(BM33&gt;KKM!$G$10," sangat baik ",IF(BM33&gt;KKM!$H$10," baik ",IF(BM33&gt;=KKM!$I$10," cukup baik "," perlu bimbingan ")))</f>
        <v xml:space="preserve"> perlu bimbingan </v>
      </c>
      <c r="BO33" s="301" t="str">
        <f t="shared" si="25"/>
        <v>Anak 29 baik  dalam menjelaskan manfaat keberagaman karakteristik individu dalam kehidupan sehari-hari., dan  perlu bimbingan  dalam mengidentifikasi berbagai bentuk keragaman suku bangsa, sosial, dan budaya di Indonesia yang terikat persatuan dan kesatuan.</v>
      </c>
      <c r="BP33" s="307" t="str">
        <f t="shared" si="20"/>
        <v xml:space="preserve"> baik  dalam menjelaskan manfaat keberagaman karakteristik individu dalam kehidupan sehari-hari.</v>
      </c>
      <c r="BQ33" s="307" t="str">
        <f t="shared" si="21"/>
        <v xml:space="preserve"> perlu bimbingan  dalam mengidentifikasi berbagai bentuk keragaman suku bangsa, sosial, dan budaya di Indonesia yang terikat persatuan dan kesatuan.</v>
      </c>
      <c r="BR33" s="307" t="str">
        <f t="shared" si="22"/>
        <v xml:space="preserve"> baik  dalam menjelaskan manfaat keberagaman karakteristik individu dalam kehidupan sehari-hari., dan  perlu bimbingan  dalam mengidentifikasi berbagai bentuk keragaman suku bangsa, sosial, dan budaya di Indonesia yang terikat persatuan dan kesatuan.</v>
      </c>
      <c r="BS33" s="307" t="str">
        <f t="shared" si="23"/>
        <v xml:space="preserve"> </v>
      </c>
      <c r="BT33" s="308" t="str">
        <f t="shared" si="24"/>
        <v xml:space="preserve"> baik  dalam menjelaskan manfaat keberagaman karakteristik individu dalam kehidupan sehari-hari., dan  perlu bimbingan  dalam mengidentifikasi berbagai bentuk keragaman suku bangsa, sosial, dan budaya di Indonesia yang terikat persatuan dan kesatuan.</v>
      </c>
      <c r="BU33" s="301" t="str">
        <f t="shared" si="12"/>
        <v>Anak 29 baik  dalam menjelaskan manfaat keberagaman karakteristik individu dalam kehidupan sehari-hari., dan  perlu bimbingan  dalam mengidentifikasi berbagai bentuk keragaman suku bangsa, sosial, dan budaya di Indonesia yang terikat persatuan dan kesatuan.</v>
      </c>
    </row>
    <row r="34" spans="2:73" ht="59.25" customHeight="1">
      <c r="B34" s="109">
        <v>30</v>
      </c>
      <c r="C34" s="110">
        <f>SISWA!B35</f>
        <v>0</v>
      </c>
      <c r="D34" s="111" t="str">
        <f>SISWA!E35</f>
        <v>Anak 30</v>
      </c>
      <c r="E34" s="631">
        <v>99</v>
      </c>
      <c r="F34" s="631">
        <v>99</v>
      </c>
      <c r="G34" s="631">
        <v>99</v>
      </c>
      <c r="H34" s="631"/>
      <c r="I34" s="631"/>
      <c r="J34" s="631"/>
      <c r="K34" s="610"/>
      <c r="L34" s="631"/>
      <c r="M34" s="631">
        <v>84.5</v>
      </c>
      <c r="N34" s="631">
        <v>69.75</v>
      </c>
      <c r="O34" s="631"/>
      <c r="P34" s="631"/>
      <c r="Q34" s="631"/>
      <c r="R34" s="610"/>
      <c r="S34" s="729">
        <v>99</v>
      </c>
      <c r="T34" s="729">
        <v>99</v>
      </c>
      <c r="U34" s="729">
        <v>99</v>
      </c>
      <c r="V34" s="729"/>
      <c r="W34" s="729"/>
      <c r="X34" s="729"/>
      <c r="Y34" s="518"/>
      <c r="Z34" s="607">
        <f t="shared" si="2"/>
        <v>99</v>
      </c>
      <c r="AA34" s="607">
        <f t="shared" si="3"/>
        <v>95.375</v>
      </c>
      <c r="AB34" s="607">
        <f t="shared" si="29"/>
        <v>91.6875</v>
      </c>
      <c r="AC34" s="607" t="str">
        <f t="shared" si="30"/>
        <v/>
      </c>
      <c r="AD34" s="607" t="str">
        <f t="shared" si="31"/>
        <v/>
      </c>
      <c r="AE34" s="607" t="str">
        <f t="shared" si="32"/>
        <v/>
      </c>
      <c r="AF34" s="528"/>
      <c r="AG34" s="528"/>
      <c r="AH34" s="528"/>
      <c r="AI34" s="302">
        <f t="shared" si="5"/>
        <v>95</v>
      </c>
      <c r="AJ34" s="303" t="str">
        <f>IF(AI34&gt;KKM!$G$10,"A",IF(AI34&gt;KKM!$H$10,"B",IF(AI34&gt;=KKM!$I$10,"C","D")))</f>
        <v>A</v>
      </c>
      <c r="AK34" s="523">
        <f t="shared" si="6"/>
        <v>99</v>
      </c>
      <c r="AL34" s="115" t="str">
        <f>IF(AK34&gt;KKM!$G$10," sangat baik ",IF(AK34&gt;KKM!$H$10," baik ",IF(AK34&gt;=KKM!$I$10," cukup baik "," perlu bimbingan ")))</f>
        <v xml:space="preserve"> sangat baik </v>
      </c>
      <c r="AM34" s="524">
        <f t="shared" si="7"/>
        <v>91.6875</v>
      </c>
      <c r="AN34" s="115" t="str">
        <f>IF(AM34&gt;KKM!$G$10," sangat baik ",IF(AM34&gt;KKM!$H$10," baik ",IF(AM34&gt;=KKM!$I$10," cukup baik "," perlu bimbingan ")))</f>
        <v xml:space="preserve"> sangat baik </v>
      </c>
      <c r="AO34" s="301" t="str">
        <f t="shared" si="13"/>
        <v>Anak 30 sangat baik  dalam mengidentifikasi pelaksanaan kewajiban dan hak sebagai warga masyarakat dalam kehidupan sehari-hari., dan  sangat baik  dalam mengidentifikasi berbagai bentuk keragaman suku bangsa, sosial, dan budaya di Indonesia yang terikat persatuan dan kesatuan.</v>
      </c>
      <c r="AP34" s="306"/>
      <c r="AQ34" s="307" t="str">
        <f t="shared" si="8"/>
        <v xml:space="preserve"> sangat baik  dalam mengidentifikasi pelaksanaan kewajiban dan hak sebagai warga masyarakat dalam kehidupan sehari-hari.</v>
      </c>
      <c r="AR34" s="307" t="str">
        <f t="shared" si="9"/>
        <v xml:space="preserve"> sangat baik  dalam mengidentifikasi berbagai bentuk keragaman suku bangsa, sosial, dan budaya di Indonesia yang terikat persatuan dan kesatuan.</v>
      </c>
      <c r="AS34"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34" s="307" t="str">
        <f t="shared" si="15"/>
        <v xml:space="preserve"> </v>
      </c>
      <c r="AU34"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34" s="301" t="str">
        <f t="shared" si="10"/>
        <v>Anak 30 sangat baik  dalam mengidentifikasi pelaksanaan kewajiban dan hak sebagai warga masyarakat dalam kehidupan sehari-hari., dan  sangat baik  dalam mengidentifikasi berbagai bentuk keragaman suku bangsa, sosial, dan budaya di Indonesia yang terikat persatuan dan kesatuan.</v>
      </c>
      <c r="AW34" s="120"/>
      <c r="BF34" s="408">
        <f t="shared" si="17"/>
        <v>95</v>
      </c>
      <c r="BI34" s="302">
        <f t="shared" si="11"/>
        <v>77</v>
      </c>
      <c r="BJ34" s="303" t="str">
        <f>IF(BI34&gt;KKM!$G$10,"A",IF(BI34&gt;KKM!$H$10,"B",IF(BI34&gt;=KKM!$I$10,"C","D")))</f>
        <v>C</v>
      </c>
      <c r="BK34" s="523">
        <f t="shared" si="18"/>
        <v>84.5</v>
      </c>
      <c r="BL34" s="115" t="str">
        <f>IF(BK34&gt;KKM!$G$10," sangat baik ",IF(BK34&gt;KKM!$H$10," baik ",IF(BK34&gt;=KKM!$I$10," cukup baik "," perlu bimbingan ")))</f>
        <v xml:space="preserve"> baik </v>
      </c>
      <c r="BM34" s="524">
        <f t="shared" si="19"/>
        <v>69.75</v>
      </c>
      <c r="BN34" s="115" t="str">
        <f>IF(BM34&gt;KKM!$G$10," sangat baik ",IF(BM34&gt;KKM!$H$10," baik ",IF(BM34&gt;=KKM!$I$10," cukup baik "," perlu bimbingan ")))</f>
        <v xml:space="preserve"> perlu bimbingan </v>
      </c>
      <c r="BO34" s="301" t="str">
        <f t="shared" si="25"/>
        <v>Anak 30 baik  dalam menjelaskan manfaat keberagaman karakteristik individu dalam kehidupan sehari-hari., dan  perlu bimbingan  dalam mengidentifikasi berbagai bentuk keragaman suku bangsa, sosial, dan budaya di Indonesia yang terikat persatuan dan kesatuan.</v>
      </c>
      <c r="BP34" s="307" t="str">
        <f t="shared" si="20"/>
        <v xml:space="preserve"> baik  dalam menjelaskan manfaat keberagaman karakteristik individu dalam kehidupan sehari-hari.</v>
      </c>
      <c r="BQ34" s="307" t="str">
        <f t="shared" si="21"/>
        <v xml:space="preserve"> perlu bimbingan  dalam mengidentifikasi berbagai bentuk keragaman suku bangsa, sosial, dan budaya di Indonesia yang terikat persatuan dan kesatuan.</v>
      </c>
      <c r="BR34" s="307" t="str">
        <f t="shared" si="22"/>
        <v xml:space="preserve"> baik  dalam menjelaskan manfaat keberagaman karakteristik individu dalam kehidupan sehari-hari., dan  perlu bimbingan  dalam mengidentifikasi berbagai bentuk keragaman suku bangsa, sosial, dan budaya di Indonesia yang terikat persatuan dan kesatuan.</v>
      </c>
      <c r="BS34" s="307" t="str">
        <f t="shared" si="23"/>
        <v xml:space="preserve"> </v>
      </c>
      <c r="BT34" s="308" t="str">
        <f t="shared" si="24"/>
        <v xml:space="preserve"> baik  dalam menjelaskan manfaat keberagaman karakteristik individu dalam kehidupan sehari-hari., dan  perlu bimbingan  dalam mengidentifikasi berbagai bentuk keragaman suku bangsa, sosial, dan budaya di Indonesia yang terikat persatuan dan kesatuan.</v>
      </c>
      <c r="BU34" s="301" t="str">
        <f t="shared" si="12"/>
        <v>Anak 30 baik  dalam menjelaskan manfaat keberagaman karakteristik individu dalam kehidupan sehari-hari., dan  perlu bimbingan  dalam mengidentifikasi berbagai bentuk keragaman suku bangsa, sosial, dan budaya di Indonesia yang terikat persatuan dan kesatuan.</v>
      </c>
    </row>
    <row r="35" spans="2:73" ht="59.25" customHeight="1">
      <c r="B35" s="109">
        <v>31</v>
      </c>
      <c r="C35" s="110">
        <f>SISWA!B36</f>
        <v>0</v>
      </c>
      <c r="D35" s="111" t="str">
        <f>SISWA!E36</f>
        <v>Anak 31</v>
      </c>
      <c r="E35" s="631">
        <v>99</v>
      </c>
      <c r="F35" s="631">
        <v>99</v>
      </c>
      <c r="G35" s="631">
        <v>99</v>
      </c>
      <c r="H35" s="631"/>
      <c r="I35" s="631"/>
      <c r="J35" s="631"/>
      <c r="K35" s="610"/>
      <c r="L35" s="631"/>
      <c r="M35" s="631">
        <v>72.5</v>
      </c>
      <c r="N35" s="631">
        <v>77.25</v>
      </c>
      <c r="O35" s="631"/>
      <c r="P35" s="631"/>
      <c r="Q35" s="631"/>
      <c r="R35" s="610"/>
      <c r="S35" s="729">
        <v>99</v>
      </c>
      <c r="T35" s="729">
        <v>99</v>
      </c>
      <c r="U35" s="729">
        <v>99</v>
      </c>
      <c r="V35" s="729"/>
      <c r="W35" s="729"/>
      <c r="X35" s="729"/>
      <c r="Y35" s="518"/>
      <c r="Z35" s="607">
        <f t="shared" si="2"/>
        <v>99</v>
      </c>
      <c r="AA35" s="607">
        <f t="shared" si="3"/>
        <v>92.375</v>
      </c>
      <c r="AB35" s="607">
        <f t="shared" si="29"/>
        <v>93.5625</v>
      </c>
      <c r="AC35" s="607" t="str">
        <f t="shared" si="30"/>
        <v/>
      </c>
      <c r="AD35" s="607" t="str">
        <f t="shared" si="31"/>
        <v/>
      </c>
      <c r="AE35" s="607" t="str">
        <f t="shared" si="32"/>
        <v/>
      </c>
      <c r="AF35" s="528"/>
      <c r="AG35" s="528"/>
      <c r="AH35" s="528"/>
      <c r="AI35" s="302">
        <f t="shared" si="5"/>
        <v>95</v>
      </c>
      <c r="AJ35" s="303" t="str">
        <f>IF(AI35&gt;KKM!$G$10,"A",IF(AI35&gt;KKM!$H$10,"B",IF(AI35&gt;=KKM!$I$10,"C","D")))</f>
        <v>A</v>
      </c>
      <c r="AK35" s="523">
        <f t="shared" si="6"/>
        <v>99</v>
      </c>
      <c r="AL35" s="115" t="str">
        <f>IF(AK35&gt;KKM!$G$10," sangat baik ",IF(AK35&gt;KKM!$H$10," baik ",IF(AK35&gt;=KKM!$I$10," cukup baik "," perlu bimbingan ")))</f>
        <v xml:space="preserve"> sangat baik </v>
      </c>
      <c r="AM35" s="524">
        <f t="shared" si="7"/>
        <v>92.375</v>
      </c>
      <c r="AN35" s="115" t="str">
        <f>IF(AM35&gt;KKM!$G$10," sangat baik ",IF(AM35&gt;KKM!$H$10," baik ",IF(AM35&gt;=KKM!$I$10," cukup baik "," perlu bimbingan ")))</f>
        <v xml:space="preserve"> sangat baik </v>
      </c>
      <c r="AO35" s="301" t="str">
        <f t="shared" si="13"/>
        <v>Anak 31 sangat baik  dalam mengidentifikasi pelaksanaan kewajiban dan hak sebagai warga masyarakat dalam kehidupan sehari-hari., dan  sangat baik  dalam menjelaskan manfaat keberagaman karakteristik individu dalam kehidupan sehari-hari.</v>
      </c>
      <c r="AP35" s="306"/>
      <c r="AQ35" s="307" t="str">
        <f t="shared" si="8"/>
        <v xml:space="preserve"> sangat baik  dalam mengidentifikasi pelaksanaan kewajiban dan hak sebagai warga masyarakat dalam kehidupan sehari-hari.</v>
      </c>
      <c r="AR35" s="307" t="str">
        <f t="shared" si="9"/>
        <v xml:space="preserve"> sangat baik  dalam menjelaskan manfaat keberagaman karakteristik individu dalam kehidupan sehari-hari.</v>
      </c>
      <c r="AS35" s="307" t="str">
        <f t="shared" si="14"/>
        <v xml:space="preserve"> sangat baik  dalam mengidentifikasi pelaksanaan kewajiban dan hak sebagai warga masyarakat dalam kehidupan sehari-hari., dan  sangat baik  dalam menjelaskan manfaat keberagaman karakteristik individu dalam kehidupan sehari-hari.</v>
      </c>
      <c r="AT35" s="307" t="str">
        <f t="shared" si="15"/>
        <v xml:space="preserve"> </v>
      </c>
      <c r="AU35" s="308" t="str">
        <f t="shared" si="16"/>
        <v xml:space="preserve"> sangat baik  dalam mengidentifikasi pelaksanaan kewajiban dan hak sebagai warga masyarakat dalam kehidupan sehari-hari., dan  sangat baik  dalam menjelaskan manfaat keberagaman karakteristik individu dalam kehidupan sehari-hari.</v>
      </c>
      <c r="AV35" s="301" t="str">
        <f t="shared" si="10"/>
        <v>Anak 31 sangat baik  dalam mengidentifikasi pelaksanaan kewajiban dan hak sebagai warga masyarakat dalam kehidupan sehari-hari., dan  sangat baik  dalam menjelaskan manfaat keberagaman karakteristik individu dalam kehidupan sehari-hari.</v>
      </c>
      <c r="AW35" s="120"/>
      <c r="BF35" s="408">
        <f t="shared" si="17"/>
        <v>95</v>
      </c>
      <c r="BI35" s="302">
        <f t="shared" si="11"/>
        <v>75</v>
      </c>
      <c r="BJ35" s="303" t="str">
        <f>IF(BI35&gt;KKM!$G$10,"A",IF(BI35&gt;KKM!$H$10,"B",IF(BI35&gt;=KKM!$I$10,"C","D")))</f>
        <v>C</v>
      </c>
      <c r="BK35" s="523">
        <f t="shared" si="18"/>
        <v>77.25</v>
      </c>
      <c r="BL35" s="115" t="str">
        <f>IF(BK35&gt;KKM!$G$10," sangat baik ",IF(BK35&gt;KKM!$H$10," baik ",IF(BK35&gt;=KKM!$I$10," cukup baik "," perlu bimbingan ")))</f>
        <v xml:space="preserve"> cukup baik </v>
      </c>
      <c r="BM35" s="524">
        <f t="shared" si="19"/>
        <v>72.5</v>
      </c>
      <c r="BN35" s="115" t="str">
        <f>IF(BM35&gt;KKM!$G$10," sangat baik ",IF(BM35&gt;KKM!$H$10," baik ",IF(BM35&gt;=KKM!$I$10," cukup baik "," perlu bimbingan ")))</f>
        <v xml:space="preserve"> cukup baik </v>
      </c>
      <c r="BO35" s="301" t="str">
        <f t="shared" si="25"/>
        <v>Anak 31 cukup baik  dalam mengidentifikasi berbagai bentuk keragaman suku bangsa, sosial, dan budaya di Indonesia yang terikat persatuan dan kesatuan., dan  cukup baik  dalam menjelaskan manfaat keberagaman karakteristik individu dalam kehidupan sehari-hari.</v>
      </c>
      <c r="BP35" s="307" t="str">
        <f t="shared" si="20"/>
        <v xml:space="preserve"> cukup baik  dalam mengidentifikasi berbagai bentuk keragaman suku bangsa, sosial, dan budaya di Indonesia yang terikat persatuan dan kesatuan.</v>
      </c>
      <c r="BQ35" s="307" t="str">
        <f t="shared" si="21"/>
        <v xml:space="preserve"> cukup baik  dalam menjelaskan manfaat keberagaman karakteristik individu dalam kehidupan sehari-hari.</v>
      </c>
      <c r="BR35" s="307" t="str">
        <f t="shared" si="22"/>
        <v xml:space="preserve"> cukup baik  dalam mengidentifikasi berbagai bentuk keragaman suku bangsa, sosial, dan budaya di Indonesia yang terikat persatuan dan kesatuan., dan  cukup baik  dalam menjelaskan manfaat keberagaman karakteristik individu dalam kehidupan sehari-hari.</v>
      </c>
      <c r="BS35" s="307" t="str">
        <f t="shared" si="23"/>
        <v xml:space="preserve"> </v>
      </c>
      <c r="BT35" s="308" t="str">
        <f t="shared" si="24"/>
        <v xml:space="preserve"> cukup baik  dalam mengidentifikasi berbagai bentuk keragaman suku bangsa, sosial, dan budaya di Indonesia yang terikat persatuan dan kesatuan., dan  cukup baik  dalam menjelaskan manfaat keberagaman karakteristik individu dalam kehidupan sehari-hari.</v>
      </c>
      <c r="BU35" s="301" t="str">
        <f t="shared" si="12"/>
        <v>Anak 31 cukup baik  dalam mengidentifikasi berbagai bentuk keragaman suku bangsa, sosial, dan budaya di Indonesia yang terikat persatuan dan kesatuan., dan  cukup baik  dalam menjelaskan manfaat keberagaman karakteristik individu dalam kehidupan sehari-hari.</v>
      </c>
    </row>
    <row r="36" spans="2:73" ht="59.25" customHeight="1">
      <c r="B36" s="109">
        <v>32</v>
      </c>
      <c r="C36" s="110">
        <f>SISWA!B37</f>
        <v>0</v>
      </c>
      <c r="D36" s="111" t="str">
        <f>SISWA!E37</f>
        <v>Anak 32</v>
      </c>
      <c r="E36" s="631">
        <v>99</v>
      </c>
      <c r="F36" s="631">
        <v>99</v>
      </c>
      <c r="G36" s="631">
        <v>99</v>
      </c>
      <c r="H36" s="631"/>
      <c r="I36" s="631"/>
      <c r="J36" s="631"/>
      <c r="K36" s="610"/>
      <c r="L36" s="631"/>
      <c r="M36" s="631">
        <v>80</v>
      </c>
      <c r="N36" s="631">
        <v>71.75</v>
      </c>
      <c r="O36" s="631"/>
      <c r="P36" s="631"/>
      <c r="Q36" s="631"/>
      <c r="R36" s="610"/>
      <c r="S36" s="729">
        <v>99</v>
      </c>
      <c r="T36" s="729">
        <v>99</v>
      </c>
      <c r="U36" s="729">
        <v>99</v>
      </c>
      <c r="V36" s="729"/>
      <c r="W36" s="729"/>
      <c r="X36" s="729"/>
      <c r="Y36" s="518"/>
      <c r="Z36" s="607">
        <f t="shared" si="2"/>
        <v>99</v>
      </c>
      <c r="AA36" s="607">
        <f t="shared" si="3"/>
        <v>94.25</v>
      </c>
      <c r="AB36" s="607">
        <f t="shared" si="29"/>
        <v>92.1875</v>
      </c>
      <c r="AC36" s="607" t="str">
        <f t="shared" si="30"/>
        <v/>
      </c>
      <c r="AD36" s="607" t="str">
        <f t="shared" si="31"/>
        <v/>
      </c>
      <c r="AE36" s="607" t="str">
        <f t="shared" si="32"/>
        <v/>
      </c>
      <c r="AF36" s="528"/>
      <c r="AG36" s="528"/>
      <c r="AH36" s="528"/>
      <c r="AI36" s="302">
        <f t="shared" si="5"/>
        <v>95</v>
      </c>
      <c r="AJ36" s="303" t="str">
        <f>IF(AI36&gt;KKM!$G$10,"A",IF(AI36&gt;KKM!$H$10,"B",IF(AI36&gt;=KKM!$I$10,"C","D")))</f>
        <v>A</v>
      </c>
      <c r="AK36" s="523">
        <f t="shared" si="6"/>
        <v>99</v>
      </c>
      <c r="AL36" s="115" t="str">
        <f>IF(AK36&gt;KKM!$G$10," sangat baik ",IF(AK36&gt;KKM!$H$10," baik ",IF(AK36&gt;=KKM!$I$10," cukup baik "," perlu bimbingan ")))</f>
        <v xml:space="preserve"> sangat baik </v>
      </c>
      <c r="AM36" s="524">
        <f t="shared" si="7"/>
        <v>92.1875</v>
      </c>
      <c r="AN36" s="115" t="str">
        <f>IF(AM36&gt;KKM!$G$10," sangat baik ",IF(AM36&gt;KKM!$H$10," baik ",IF(AM36&gt;=KKM!$I$10," cukup baik "," perlu bimbingan ")))</f>
        <v xml:space="preserve"> sangat baik </v>
      </c>
      <c r="AO36" s="301" t="str">
        <f t="shared" si="13"/>
        <v>Anak 32 sangat baik  dalam mengidentifikasi pelaksanaan kewajiban dan hak sebagai warga masyarakat dalam kehidupan sehari-hari., dan  sangat baik  dalam mengidentifikasi berbagai bentuk keragaman suku bangsa, sosial, dan budaya di Indonesia yang terikat persatuan dan kesatuan.</v>
      </c>
      <c r="AP36" s="306"/>
      <c r="AQ36" s="307" t="str">
        <f t="shared" si="8"/>
        <v xml:space="preserve"> sangat baik  dalam mengidentifikasi pelaksanaan kewajiban dan hak sebagai warga masyarakat dalam kehidupan sehari-hari.</v>
      </c>
      <c r="AR36" s="307" t="str">
        <f t="shared" si="9"/>
        <v xml:space="preserve"> sangat baik  dalam mengidentifikasi berbagai bentuk keragaman suku bangsa, sosial, dan budaya di Indonesia yang terikat persatuan dan kesatuan.</v>
      </c>
      <c r="AS36"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36" s="307" t="str">
        <f t="shared" si="15"/>
        <v xml:space="preserve"> </v>
      </c>
      <c r="AU36"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36" s="301" t="str">
        <f t="shared" si="10"/>
        <v>Anak 32 sangat baik  dalam mengidentifikasi pelaksanaan kewajiban dan hak sebagai warga masyarakat dalam kehidupan sehari-hari., dan  sangat baik  dalam mengidentifikasi berbagai bentuk keragaman suku bangsa, sosial, dan budaya di Indonesia yang terikat persatuan dan kesatuan.</v>
      </c>
      <c r="AW36" s="120"/>
      <c r="BF36" s="408">
        <f t="shared" si="17"/>
        <v>95</v>
      </c>
      <c r="BI36" s="302">
        <f t="shared" si="11"/>
        <v>76</v>
      </c>
      <c r="BJ36" s="303" t="str">
        <f>IF(BI36&gt;KKM!$G$10,"A",IF(BI36&gt;KKM!$H$10,"B",IF(BI36&gt;=KKM!$I$10,"C","D")))</f>
        <v>C</v>
      </c>
      <c r="BK36" s="523">
        <f t="shared" si="18"/>
        <v>80</v>
      </c>
      <c r="BL36" s="115" t="str">
        <f>IF(BK36&gt;KKM!$G$10," sangat baik ",IF(BK36&gt;KKM!$H$10," baik ",IF(BK36&gt;=KKM!$I$10," cukup baik "," perlu bimbingan ")))</f>
        <v xml:space="preserve"> cukup baik </v>
      </c>
      <c r="BM36" s="524">
        <f t="shared" si="19"/>
        <v>71.75</v>
      </c>
      <c r="BN36" s="115" t="str">
        <f>IF(BM36&gt;KKM!$G$10," sangat baik ",IF(BM36&gt;KKM!$H$10," baik ",IF(BM36&gt;=KKM!$I$10," cukup baik "," perlu bimbingan ")))</f>
        <v xml:space="preserve"> cukup baik </v>
      </c>
      <c r="BO36" s="301" t="str">
        <f t="shared" si="25"/>
        <v>Anak 32 cukup baik  dalam menjelaskan manfaat keberagaman karakteristik individu dalam kehidupan sehari-hari., dan  cukup baik  dalam mengidentifikasi berbagai bentuk keragaman suku bangsa, sosial, dan budaya di Indonesia yang terikat persatuan dan kesatuan.</v>
      </c>
      <c r="BP36" s="307" t="str">
        <f t="shared" si="20"/>
        <v xml:space="preserve"> cukup baik  dalam menjelaskan manfaat keberagaman karakteristik individu dalam kehidupan sehari-hari.</v>
      </c>
      <c r="BQ36" s="307" t="str">
        <f t="shared" si="21"/>
        <v xml:space="preserve"> cukup baik  dalam mengidentifikasi berbagai bentuk keragaman suku bangsa, sosial, dan budaya di Indonesia yang terikat persatuan dan kesatuan.</v>
      </c>
      <c r="BR36" s="307" t="str">
        <f t="shared" si="22"/>
        <v xml:space="preserve"> cukup baik  dalam menjelaskan manfaat keberagaman karakteristik individu dalam kehidupan sehari-hari., dan  cukup baik  dalam mengidentifikasi berbagai bentuk keragaman suku bangsa, sosial, dan budaya di Indonesia yang terikat persatuan dan kesatuan.</v>
      </c>
      <c r="BS36" s="307" t="str">
        <f t="shared" si="23"/>
        <v xml:space="preserve"> </v>
      </c>
      <c r="BT36" s="308" t="str">
        <f t="shared" si="24"/>
        <v xml:space="preserve"> cukup baik  dalam menjelaskan manfaat keberagaman karakteristik individu dalam kehidupan sehari-hari., dan  cukup baik  dalam mengidentifikasi berbagai bentuk keragaman suku bangsa, sosial, dan budaya di Indonesia yang terikat persatuan dan kesatuan.</v>
      </c>
      <c r="BU36" s="301" t="str">
        <f t="shared" si="12"/>
        <v>Anak 32 cukup baik  dalam menjelaskan manfaat keberagaman karakteristik individu dalam kehidupan sehari-hari., dan  cukup baik  dalam mengidentifikasi berbagai bentuk keragaman suku bangsa, sosial, dan budaya di Indonesia yang terikat persatuan dan kesatuan.</v>
      </c>
    </row>
    <row r="37" spans="2:73" ht="59.25" customHeight="1">
      <c r="B37" s="109">
        <v>33</v>
      </c>
      <c r="C37" s="110">
        <f>SISWA!B38</f>
        <v>0</v>
      </c>
      <c r="D37" s="111" t="str">
        <f>SISWA!E38</f>
        <v>Anak 33</v>
      </c>
      <c r="E37" s="631">
        <v>99</v>
      </c>
      <c r="F37" s="631">
        <v>99</v>
      </c>
      <c r="G37" s="631">
        <v>99</v>
      </c>
      <c r="H37" s="631"/>
      <c r="I37" s="631"/>
      <c r="J37" s="631"/>
      <c r="K37" s="610"/>
      <c r="L37" s="631"/>
      <c r="M37" s="631">
        <v>79.5</v>
      </c>
      <c r="N37" s="631">
        <v>76</v>
      </c>
      <c r="O37" s="631"/>
      <c r="P37" s="631"/>
      <c r="Q37" s="631"/>
      <c r="R37" s="610"/>
      <c r="S37" s="729">
        <v>99</v>
      </c>
      <c r="T37" s="729">
        <v>99</v>
      </c>
      <c r="U37" s="729">
        <v>99</v>
      </c>
      <c r="V37" s="729"/>
      <c r="W37" s="729"/>
      <c r="X37" s="729"/>
      <c r="Y37" s="518"/>
      <c r="Z37" s="607">
        <f t="shared" ref="Z37:Z54" si="33">IFERROR(AVERAGE(E37,E37,L37,S37),"")</f>
        <v>99</v>
      </c>
      <c r="AA37" s="607">
        <f t="shared" ref="AA37:AA54" si="34">IFERROR(AVERAGE(F37,F37,M37,T37),"")</f>
        <v>94.125</v>
      </c>
      <c r="AB37" s="607">
        <f t="shared" si="29"/>
        <v>93.25</v>
      </c>
      <c r="AC37" s="607" t="str">
        <f t="shared" si="30"/>
        <v/>
      </c>
      <c r="AD37" s="607" t="str">
        <f t="shared" si="31"/>
        <v/>
      </c>
      <c r="AE37" s="607" t="str">
        <f t="shared" si="32"/>
        <v/>
      </c>
      <c r="AF37" s="528"/>
      <c r="AG37" s="528"/>
      <c r="AH37" s="528"/>
      <c r="AI37" s="302">
        <f t="shared" ref="AI37:AI54" si="35">ROUND((AVERAGE(Z37:AH37)),0)</f>
        <v>95</v>
      </c>
      <c r="AJ37" s="303" t="str">
        <f>IF(AI37&gt;KKM!$G$10,"A",IF(AI37&gt;KKM!$H$10,"B",IF(AI37&gt;=KKM!$I$10,"C","D")))</f>
        <v>A</v>
      </c>
      <c r="AK37" s="523">
        <f t="shared" ref="AK37:AK54" si="36">MAX(Z37:AH37)</f>
        <v>99</v>
      </c>
      <c r="AL37" s="115" t="str">
        <f>IF(AK37&gt;KKM!$G$10," sangat baik ",IF(AK37&gt;KKM!$H$10," baik ",IF(AK37&gt;=KKM!$I$10," cukup baik "," perlu bimbingan ")))</f>
        <v xml:space="preserve"> sangat baik </v>
      </c>
      <c r="AM37" s="524">
        <f t="shared" ref="AM37:AM54" si="37">MIN(Z37:AH37)</f>
        <v>93.25</v>
      </c>
      <c r="AN37" s="115" t="str">
        <f>IF(AM37&gt;KKM!$G$10," sangat baik ",IF(AM37&gt;KKM!$H$10," baik ",IF(AM37&gt;=KKM!$I$10," cukup baik "," perlu bimbingan ")))</f>
        <v xml:space="preserve"> sangat baik </v>
      </c>
      <c r="AO37" s="301" t="str">
        <f t="shared" si="13"/>
        <v>Anak 33 sangat baik  dalam mengidentifikasi pelaksanaan kewajiban dan hak sebagai warga masyarakat dalam kehidupan sehari-hari., dan  sangat baik  dalam mengidentifikasi berbagai bentuk keragaman suku bangsa, sosial, dan budaya di Indonesia yang terikat persatuan dan kesatuan.</v>
      </c>
      <c r="AP37" s="306"/>
      <c r="AQ37" s="307" t="str">
        <f t="shared" ref="AQ37:AQ54" si="38">AL37&amp;" dalam "&amp;INDEX($Z$3:$AH$3,MATCH(AK37,$Z37:$AH37,0))</f>
        <v xml:space="preserve"> sangat baik  dalam mengidentifikasi pelaksanaan kewajiban dan hak sebagai warga masyarakat dalam kehidupan sehari-hari.</v>
      </c>
      <c r="AR37" s="307" t="str">
        <f t="shared" ref="AR37:AR54" si="39">AN37&amp;" dalam "&amp;INDEX($Z$3:$AH$3,MATCH(AM37,$Z37:$AH37,0))</f>
        <v xml:space="preserve"> sangat baik  dalam mengidentifikasi berbagai bentuk keragaman suku bangsa, sosial, dan budaya di Indonesia yang terikat persatuan dan kesatuan.</v>
      </c>
      <c r="AS37"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37" s="307" t="str">
        <f t="shared" si="15"/>
        <v xml:space="preserve"> </v>
      </c>
      <c r="AU37"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37" s="301" t="str">
        <f t="shared" ref="AV37:AV54" si="40">CONCATENATE(D37,AU37)</f>
        <v>Anak 33 sangat baik  dalam mengidentifikasi pelaksanaan kewajiban dan hak sebagai warga masyarakat dalam kehidupan sehari-hari., dan  sangat baik  dalam mengidentifikasi berbagai bentuk keragaman suku bangsa, sosial, dan budaya di Indonesia yang terikat persatuan dan kesatuan.</v>
      </c>
      <c r="AW37" s="120"/>
      <c r="BF37" s="408">
        <f t="shared" si="17"/>
        <v>95</v>
      </c>
      <c r="BI37" s="302">
        <f t="shared" ref="BI37:BI54" si="41">ROUND((AVERAGE(L37:Q37)),0)</f>
        <v>78</v>
      </c>
      <c r="BJ37" s="303" t="str">
        <f>IF(BI37&gt;KKM!$G$10,"A",IF(BI37&gt;KKM!$H$10,"B",IF(BI37&gt;=KKM!$I$10,"C","D")))</f>
        <v>C</v>
      </c>
      <c r="BK37" s="523">
        <f t="shared" si="18"/>
        <v>79.5</v>
      </c>
      <c r="BL37" s="115" t="str">
        <f>IF(BK37&gt;KKM!$G$10," sangat baik ",IF(BK37&gt;KKM!$H$10," baik ",IF(BK37&gt;=KKM!$I$10," cukup baik "," perlu bimbingan ")))</f>
        <v xml:space="preserve"> cukup baik </v>
      </c>
      <c r="BM37" s="524">
        <f t="shared" si="19"/>
        <v>76</v>
      </c>
      <c r="BN37" s="115" t="str">
        <f>IF(BM37&gt;KKM!$G$10," sangat baik ",IF(BM37&gt;KKM!$H$10," baik ",IF(BM37&gt;=KKM!$I$10," cukup baik "," perlu bimbingan ")))</f>
        <v xml:space="preserve"> cukup baik </v>
      </c>
      <c r="BO37" s="301" t="str">
        <f t="shared" si="25"/>
        <v>Anak 33 cukup baik  dalam menjelaskan manfaat keberagaman karakteristik individu dalam kehidupan sehari-hari., dan  cukup baik  dalam mengidentifikasi berbagai bentuk keragaman suku bangsa, sosial, dan budaya di Indonesia yang terikat persatuan dan kesatuan.</v>
      </c>
      <c r="BP37" s="307" t="str">
        <f t="shared" si="20"/>
        <v xml:space="preserve"> cukup baik  dalam menjelaskan manfaat keberagaman karakteristik individu dalam kehidupan sehari-hari.</v>
      </c>
      <c r="BQ37" s="307" t="str">
        <f t="shared" si="21"/>
        <v xml:space="preserve"> cukup baik  dalam mengidentifikasi berbagai bentuk keragaman suku bangsa, sosial, dan budaya di Indonesia yang terikat persatuan dan kesatuan.</v>
      </c>
      <c r="BR37" s="307" t="str">
        <f t="shared" si="22"/>
        <v xml:space="preserve"> cukup baik  dalam menjelaskan manfaat keberagaman karakteristik individu dalam kehidupan sehari-hari., dan  cukup baik  dalam mengidentifikasi berbagai bentuk keragaman suku bangsa, sosial, dan budaya di Indonesia yang terikat persatuan dan kesatuan.</v>
      </c>
      <c r="BS37" s="307" t="str">
        <f t="shared" si="23"/>
        <v xml:space="preserve"> </v>
      </c>
      <c r="BT37" s="308" t="str">
        <f t="shared" si="24"/>
        <v xml:space="preserve"> cukup baik  dalam menjelaskan manfaat keberagaman karakteristik individu dalam kehidupan sehari-hari., dan  cukup baik  dalam mengidentifikasi berbagai bentuk keragaman suku bangsa, sosial, dan budaya di Indonesia yang terikat persatuan dan kesatuan.</v>
      </c>
      <c r="BU37" s="301" t="str">
        <f t="shared" ref="BU37:BU54" si="42">CONCATENATE(D37,BT37)</f>
        <v>Anak 33 cukup baik  dalam menjelaskan manfaat keberagaman karakteristik individu dalam kehidupan sehari-hari., dan  cukup baik  dalam mengidentifikasi berbagai bentuk keragaman suku bangsa, sosial, dan budaya di Indonesia yang terikat persatuan dan kesatuan.</v>
      </c>
    </row>
    <row r="38" spans="2:73" ht="59.25" customHeight="1">
      <c r="B38" s="109">
        <v>34</v>
      </c>
      <c r="C38" s="110">
        <f>SISWA!B39</f>
        <v>0</v>
      </c>
      <c r="D38" s="111" t="str">
        <f>SISWA!E39</f>
        <v>Anak 34</v>
      </c>
      <c r="E38" s="631">
        <v>99</v>
      </c>
      <c r="F38" s="631">
        <v>99</v>
      </c>
      <c r="G38" s="631">
        <v>99</v>
      </c>
      <c r="H38" s="631"/>
      <c r="I38" s="631"/>
      <c r="J38" s="631"/>
      <c r="K38" s="610"/>
      <c r="L38" s="631"/>
      <c r="M38" s="631">
        <v>79.5</v>
      </c>
      <c r="N38" s="631">
        <v>82.75</v>
      </c>
      <c r="O38" s="631"/>
      <c r="P38" s="631"/>
      <c r="Q38" s="631"/>
      <c r="R38" s="610"/>
      <c r="S38" s="729">
        <v>99</v>
      </c>
      <c r="T38" s="729">
        <v>99</v>
      </c>
      <c r="U38" s="729">
        <v>99</v>
      </c>
      <c r="V38" s="729"/>
      <c r="W38" s="729"/>
      <c r="X38" s="729"/>
      <c r="Y38" s="518"/>
      <c r="Z38" s="607">
        <f t="shared" si="33"/>
        <v>99</v>
      </c>
      <c r="AA38" s="607">
        <f t="shared" si="34"/>
        <v>94.125</v>
      </c>
      <c r="AB38" s="607">
        <f t="shared" si="29"/>
        <v>94.9375</v>
      </c>
      <c r="AC38" s="607" t="str">
        <f t="shared" si="30"/>
        <v/>
      </c>
      <c r="AD38" s="607" t="str">
        <f t="shared" si="31"/>
        <v/>
      </c>
      <c r="AE38" s="607" t="str">
        <f t="shared" si="32"/>
        <v/>
      </c>
      <c r="AF38" s="528"/>
      <c r="AG38" s="528"/>
      <c r="AH38" s="528"/>
      <c r="AI38" s="302">
        <f t="shared" si="35"/>
        <v>96</v>
      </c>
      <c r="AJ38" s="303" t="str">
        <f>IF(AI38&gt;KKM!$G$10,"A",IF(AI38&gt;KKM!$H$10,"B",IF(AI38&gt;=KKM!$I$10,"C","D")))</f>
        <v>A</v>
      </c>
      <c r="AK38" s="523">
        <f t="shared" si="36"/>
        <v>99</v>
      </c>
      <c r="AL38" s="115" t="str">
        <f>IF(AK38&gt;KKM!$G$10," sangat baik ",IF(AK38&gt;KKM!$H$10," baik ",IF(AK38&gt;=KKM!$I$10," cukup baik "," perlu bimbingan ")))</f>
        <v xml:space="preserve"> sangat baik </v>
      </c>
      <c r="AM38" s="524">
        <f t="shared" si="37"/>
        <v>94.125</v>
      </c>
      <c r="AN38" s="115" t="str">
        <f>IF(AM38&gt;KKM!$G$10," sangat baik ",IF(AM38&gt;KKM!$H$10," baik ",IF(AM38&gt;=KKM!$I$10," cukup baik "," perlu bimbingan ")))</f>
        <v xml:space="preserve"> sangat baik </v>
      </c>
      <c r="AO38" s="301" t="str">
        <f t="shared" si="13"/>
        <v>Anak 34 sangat baik  dalam mengidentifikasi pelaksanaan kewajiban dan hak sebagai warga masyarakat dalam kehidupan sehari-hari., dan  sangat baik  dalam menjelaskan manfaat keberagaman karakteristik individu dalam kehidupan sehari-hari.</v>
      </c>
      <c r="AP38" s="306"/>
      <c r="AQ38" s="307" t="str">
        <f t="shared" si="38"/>
        <v xml:space="preserve"> sangat baik  dalam mengidentifikasi pelaksanaan kewajiban dan hak sebagai warga masyarakat dalam kehidupan sehari-hari.</v>
      </c>
      <c r="AR38" s="307" t="str">
        <f t="shared" si="39"/>
        <v xml:space="preserve"> sangat baik  dalam menjelaskan manfaat keberagaman karakteristik individu dalam kehidupan sehari-hari.</v>
      </c>
      <c r="AS38" s="307" t="str">
        <f t="shared" si="14"/>
        <v xml:space="preserve"> sangat baik  dalam mengidentifikasi pelaksanaan kewajiban dan hak sebagai warga masyarakat dalam kehidupan sehari-hari., dan  sangat baik  dalam menjelaskan manfaat keberagaman karakteristik individu dalam kehidupan sehari-hari.</v>
      </c>
      <c r="AT38" s="307" t="str">
        <f t="shared" si="15"/>
        <v xml:space="preserve"> </v>
      </c>
      <c r="AU38" s="308" t="str">
        <f t="shared" si="16"/>
        <v xml:space="preserve"> sangat baik  dalam mengidentifikasi pelaksanaan kewajiban dan hak sebagai warga masyarakat dalam kehidupan sehari-hari., dan  sangat baik  dalam menjelaskan manfaat keberagaman karakteristik individu dalam kehidupan sehari-hari.</v>
      </c>
      <c r="AV38" s="301" t="str">
        <f t="shared" si="40"/>
        <v>Anak 34 sangat baik  dalam mengidentifikasi pelaksanaan kewajiban dan hak sebagai warga masyarakat dalam kehidupan sehari-hari., dan  sangat baik  dalam menjelaskan manfaat keberagaman karakteristik individu dalam kehidupan sehari-hari.</v>
      </c>
      <c r="AW38" s="120"/>
      <c r="BF38" s="408">
        <f t="shared" si="17"/>
        <v>96</v>
      </c>
      <c r="BI38" s="302">
        <f t="shared" si="41"/>
        <v>81</v>
      </c>
      <c r="BJ38" s="303" t="str">
        <f>IF(BI38&gt;KKM!$G$10,"A",IF(BI38&gt;KKM!$H$10,"B",IF(BI38&gt;=KKM!$I$10,"C","D")))</f>
        <v>B</v>
      </c>
      <c r="BK38" s="523">
        <f t="shared" si="18"/>
        <v>82.75</v>
      </c>
      <c r="BL38" s="115" t="str">
        <f>IF(BK38&gt;KKM!$G$10," sangat baik ",IF(BK38&gt;KKM!$H$10," baik ",IF(BK38&gt;=KKM!$I$10," cukup baik "," perlu bimbingan ")))</f>
        <v xml:space="preserve"> baik </v>
      </c>
      <c r="BM38" s="524">
        <f t="shared" si="19"/>
        <v>79.5</v>
      </c>
      <c r="BN38" s="115" t="str">
        <f>IF(BM38&gt;KKM!$G$10," sangat baik ",IF(BM38&gt;KKM!$H$10," baik ",IF(BM38&gt;=KKM!$I$10," cukup baik "," perlu bimbingan ")))</f>
        <v xml:space="preserve"> cukup baik </v>
      </c>
      <c r="BO38" s="301" t="str">
        <f t="shared" si="25"/>
        <v>Anak 34 baik  dalam mengidentifikasi berbagai bentuk keragaman suku bangsa, sosial, dan budaya di Indonesia yang terikat persatuan dan kesatuan., dan  cukup baik  dalam menjelaskan manfaat keberagaman karakteristik individu dalam kehidupan sehari-hari.</v>
      </c>
      <c r="BP38" s="307" t="str">
        <f t="shared" si="20"/>
        <v xml:space="preserve"> baik  dalam mengidentifikasi berbagai bentuk keragaman suku bangsa, sosial, dan budaya di Indonesia yang terikat persatuan dan kesatuan.</v>
      </c>
      <c r="BQ38" s="307" t="str">
        <f t="shared" si="21"/>
        <v xml:space="preserve"> cukup baik  dalam menjelaskan manfaat keberagaman karakteristik individu dalam kehidupan sehari-hari.</v>
      </c>
      <c r="BR38"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38" s="307" t="str">
        <f t="shared" si="23"/>
        <v xml:space="preserve"> </v>
      </c>
      <c r="BT38"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38" s="301" t="str">
        <f t="shared" si="42"/>
        <v>Anak 34 baik  dalam mengidentifikasi berbagai bentuk keragaman suku bangsa, sosial, dan budaya di Indonesia yang terikat persatuan dan kesatuan., dan  cukup baik  dalam menjelaskan manfaat keberagaman karakteristik individu dalam kehidupan sehari-hari.</v>
      </c>
    </row>
    <row r="39" spans="2:73" ht="59.25" customHeight="1">
      <c r="B39" s="109">
        <v>35</v>
      </c>
      <c r="C39" s="110">
        <f>SISWA!B40</f>
        <v>0</v>
      </c>
      <c r="D39" s="111" t="str">
        <f>SISWA!E40</f>
        <v>Anak 35</v>
      </c>
      <c r="E39" s="631">
        <v>99</v>
      </c>
      <c r="F39" s="631">
        <v>99</v>
      </c>
      <c r="G39" s="631">
        <v>99</v>
      </c>
      <c r="H39" s="631"/>
      <c r="I39" s="631"/>
      <c r="J39" s="631"/>
      <c r="K39" s="610"/>
      <c r="L39" s="631"/>
      <c r="M39" s="631">
        <v>79.5</v>
      </c>
      <c r="N39" s="631">
        <v>74.75</v>
      </c>
      <c r="O39" s="631"/>
      <c r="P39" s="631"/>
      <c r="Q39" s="631"/>
      <c r="R39" s="610"/>
      <c r="S39" s="729">
        <v>99</v>
      </c>
      <c r="T39" s="729">
        <v>99</v>
      </c>
      <c r="U39" s="729">
        <v>99</v>
      </c>
      <c r="V39" s="729"/>
      <c r="W39" s="729"/>
      <c r="X39" s="729"/>
      <c r="Y39" s="518"/>
      <c r="Z39" s="607">
        <f t="shared" si="33"/>
        <v>99</v>
      </c>
      <c r="AA39" s="607">
        <f t="shared" si="34"/>
        <v>94.125</v>
      </c>
      <c r="AB39" s="607">
        <f t="shared" si="29"/>
        <v>92.9375</v>
      </c>
      <c r="AC39" s="607" t="str">
        <f t="shared" si="30"/>
        <v/>
      </c>
      <c r="AD39" s="607" t="str">
        <f t="shared" si="31"/>
        <v/>
      </c>
      <c r="AE39" s="607" t="str">
        <f t="shared" si="32"/>
        <v/>
      </c>
      <c r="AF39" s="528"/>
      <c r="AG39" s="528"/>
      <c r="AH39" s="528"/>
      <c r="AI39" s="302">
        <f t="shared" si="35"/>
        <v>95</v>
      </c>
      <c r="AJ39" s="303" t="str">
        <f>IF(AI39&gt;KKM!$G$10,"A",IF(AI39&gt;KKM!$H$10,"B",IF(AI39&gt;=KKM!$I$10,"C","D")))</f>
        <v>A</v>
      </c>
      <c r="AK39" s="523">
        <f t="shared" si="36"/>
        <v>99</v>
      </c>
      <c r="AL39" s="115" t="str">
        <f>IF(AK39&gt;KKM!$G$10," sangat baik ",IF(AK39&gt;KKM!$H$10," baik ",IF(AK39&gt;=KKM!$I$10," cukup baik "," perlu bimbingan ")))</f>
        <v xml:space="preserve"> sangat baik </v>
      </c>
      <c r="AM39" s="524">
        <f t="shared" si="37"/>
        <v>92.9375</v>
      </c>
      <c r="AN39" s="115" t="str">
        <f>IF(AM39&gt;KKM!$G$10," sangat baik ",IF(AM39&gt;KKM!$H$10," baik ",IF(AM39&gt;=KKM!$I$10," cukup baik "," perlu bimbingan ")))</f>
        <v xml:space="preserve"> sangat baik </v>
      </c>
      <c r="AO39" s="301" t="str">
        <f t="shared" si="13"/>
        <v>Anak 35 sangat baik  dalam mengidentifikasi pelaksanaan kewajiban dan hak sebagai warga masyarakat dalam kehidupan sehari-hari., dan  sangat baik  dalam mengidentifikasi berbagai bentuk keragaman suku bangsa, sosial, dan budaya di Indonesia yang terikat persatuan dan kesatuan.</v>
      </c>
      <c r="AP39" s="306"/>
      <c r="AQ39" s="307" t="str">
        <f t="shared" si="38"/>
        <v xml:space="preserve"> sangat baik  dalam mengidentifikasi pelaksanaan kewajiban dan hak sebagai warga masyarakat dalam kehidupan sehari-hari.</v>
      </c>
      <c r="AR39" s="307" t="str">
        <f t="shared" si="39"/>
        <v xml:space="preserve"> sangat baik  dalam mengidentifikasi berbagai bentuk keragaman suku bangsa, sosial, dan budaya di Indonesia yang terikat persatuan dan kesatuan.</v>
      </c>
      <c r="AS39"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39" s="307" t="str">
        <f t="shared" si="15"/>
        <v xml:space="preserve"> </v>
      </c>
      <c r="AU39"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39" s="301" t="str">
        <f t="shared" si="40"/>
        <v>Anak 35 sangat baik  dalam mengidentifikasi pelaksanaan kewajiban dan hak sebagai warga masyarakat dalam kehidupan sehari-hari., dan  sangat baik  dalam mengidentifikasi berbagai bentuk keragaman suku bangsa, sosial, dan budaya di Indonesia yang terikat persatuan dan kesatuan.</v>
      </c>
      <c r="AW39" s="120"/>
      <c r="BF39" s="408">
        <f t="shared" si="17"/>
        <v>95</v>
      </c>
      <c r="BI39" s="302">
        <f t="shared" si="41"/>
        <v>77</v>
      </c>
      <c r="BJ39" s="303" t="str">
        <f>IF(BI39&gt;KKM!$G$10,"A",IF(BI39&gt;KKM!$H$10,"B",IF(BI39&gt;=KKM!$I$10,"C","D")))</f>
        <v>C</v>
      </c>
      <c r="BK39" s="523">
        <f t="shared" si="18"/>
        <v>79.5</v>
      </c>
      <c r="BL39" s="115" t="str">
        <f>IF(BK39&gt;KKM!$G$10," sangat baik ",IF(BK39&gt;KKM!$H$10," baik ",IF(BK39&gt;=KKM!$I$10," cukup baik "," perlu bimbingan ")))</f>
        <v xml:space="preserve"> cukup baik </v>
      </c>
      <c r="BM39" s="524">
        <f t="shared" si="19"/>
        <v>74.75</v>
      </c>
      <c r="BN39" s="115" t="str">
        <f>IF(BM39&gt;KKM!$G$10," sangat baik ",IF(BM39&gt;KKM!$H$10," baik ",IF(BM39&gt;=KKM!$I$10," cukup baik "," perlu bimbingan ")))</f>
        <v xml:space="preserve"> cukup baik </v>
      </c>
      <c r="BO39" s="301" t="str">
        <f t="shared" si="25"/>
        <v>Anak 35 cukup baik  dalam menjelaskan manfaat keberagaman karakteristik individu dalam kehidupan sehari-hari., dan  cukup baik  dalam mengidentifikasi berbagai bentuk keragaman suku bangsa, sosial, dan budaya di Indonesia yang terikat persatuan dan kesatuan.</v>
      </c>
      <c r="BP39" s="307" t="str">
        <f t="shared" si="20"/>
        <v xml:space="preserve"> cukup baik  dalam menjelaskan manfaat keberagaman karakteristik individu dalam kehidupan sehari-hari.</v>
      </c>
      <c r="BQ39" s="307" t="str">
        <f t="shared" si="21"/>
        <v xml:space="preserve"> cukup baik  dalam mengidentifikasi berbagai bentuk keragaman suku bangsa, sosial, dan budaya di Indonesia yang terikat persatuan dan kesatuan.</v>
      </c>
      <c r="BR39" s="307" t="str">
        <f t="shared" si="22"/>
        <v xml:space="preserve"> cukup baik  dalam menjelaskan manfaat keberagaman karakteristik individu dalam kehidupan sehari-hari., dan  cukup baik  dalam mengidentifikasi berbagai bentuk keragaman suku bangsa, sosial, dan budaya di Indonesia yang terikat persatuan dan kesatuan.</v>
      </c>
      <c r="BS39" s="307" t="str">
        <f t="shared" si="23"/>
        <v xml:space="preserve"> </v>
      </c>
      <c r="BT39" s="308" t="str">
        <f t="shared" si="24"/>
        <v xml:space="preserve"> cukup baik  dalam menjelaskan manfaat keberagaman karakteristik individu dalam kehidupan sehari-hari., dan  cukup baik  dalam mengidentifikasi berbagai bentuk keragaman suku bangsa, sosial, dan budaya di Indonesia yang terikat persatuan dan kesatuan.</v>
      </c>
      <c r="BU39" s="301" t="str">
        <f t="shared" si="42"/>
        <v>Anak 35 cukup baik  dalam menjelaskan manfaat keberagaman karakteristik individu dalam kehidupan sehari-hari., dan  cukup baik  dalam mengidentifikasi berbagai bentuk keragaman suku bangsa, sosial, dan budaya di Indonesia yang terikat persatuan dan kesatuan.</v>
      </c>
    </row>
    <row r="40" spans="2:73" ht="59.25" customHeight="1">
      <c r="B40" s="109">
        <v>36</v>
      </c>
      <c r="C40" s="110">
        <f>SISWA!B41</f>
        <v>0</v>
      </c>
      <c r="D40" s="111" t="str">
        <f>SISWA!E41</f>
        <v>Anak 36</v>
      </c>
      <c r="E40" s="631">
        <v>99</v>
      </c>
      <c r="F40" s="631">
        <v>99</v>
      </c>
      <c r="G40" s="631">
        <v>99</v>
      </c>
      <c r="H40" s="631"/>
      <c r="I40" s="631"/>
      <c r="J40" s="631"/>
      <c r="K40" s="610"/>
      <c r="L40" s="631"/>
      <c r="M40" s="631">
        <v>89</v>
      </c>
      <c r="N40" s="631">
        <v>75.25</v>
      </c>
      <c r="O40" s="631"/>
      <c r="P40" s="631"/>
      <c r="Q40" s="631"/>
      <c r="R40" s="610"/>
      <c r="S40" s="729">
        <v>99</v>
      </c>
      <c r="T40" s="729">
        <v>99</v>
      </c>
      <c r="U40" s="729">
        <v>99</v>
      </c>
      <c r="V40" s="729"/>
      <c r="W40" s="729"/>
      <c r="X40" s="729"/>
      <c r="Y40" s="518"/>
      <c r="Z40" s="607">
        <f t="shared" si="33"/>
        <v>99</v>
      </c>
      <c r="AA40" s="607">
        <f t="shared" si="34"/>
        <v>96.5</v>
      </c>
      <c r="AB40" s="607">
        <f t="shared" si="29"/>
        <v>93.0625</v>
      </c>
      <c r="AC40" s="607" t="str">
        <f t="shared" si="30"/>
        <v/>
      </c>
      <c r="AD40" s="607" t="str">
        <f t="shared" si="31"/>
        <v/>
      </c>
      <c r="AE40" s="607" t="str">
        <f t="shared" si="32"/>
        <v/>
      </c>
      <c r="AF40" s="528"/>
      <c r="AG40" s="528"/>
      <c r="AH40" s="528"/>
      <c r="AI40" s="302">
        <f t="shared" si="35"/>
        <v>96</v>
      </c>
      <c r="AJ40" s="303" t="str">
        <f>IF(AI40&gt;KKM!$G$10,"A",IF(AI40&gt;KKM!$H$10,"B",IF(AI40&gt;=KKM!$I$10,"C","D")))</f>
        <v>A</v>
      </c>
      <c r="AK40" s="523">
        <f t="shared" si="36"/>
        <v>99</v>
      </c>
      <c r="AL40" s="115" t="str">
        <f>IF(AK40&gt;KKM!$G$10," sangat baik ",IF(AK40&gt;KKM!$H$10," baik ",IF(AK40&gt;=KKM!$I$10," cukup baik "," perlu bimbingan ")))</f>
        <v xml:space="preserve"> sangat baik </v>
      </c>
      <c r="AM40" s="524">
        <f t="shared" si="37"/>
        <v>93.0625</v>
      </c>
      <c r="AN40" s="115" t="str">
        <f>IF(AM40&gt;KKM!$G$10," sangat baik ",IF(AM40&gt;KKM!$H$10," baik ",IF(AM40&gt;=KKM!$I$10," cukup baik "," perlu bimbingan ")))</f>
        <v xml:space="preserve"> sangat baik </v>
      </c>
      <c r="AO40" s="301" t="str">
        <f t="shared" si="13"/>
        <v>Anak 36 sangat baik  dalam mengidentifikasi pelaksanaan kewajiban dan hak sebagai warga masyarakat dalam kehidupan sehari-hari., dan  sangat baik  dalam mengidentifikasi berbagai bentuk keragaman suku bangsa, sosial, dan budaya di Indonesia yang terikat persatuan dan kesatuan.</v>
      </c>
      <c r="AP40" s="306"/>
      <c r="AQ40" s="307" t="str">
        <f t="shared" si="38"/>
        <v xml:space="preserve"> sangat baik  dalam mengidentifikasi pelaksanaan kewajiban dan hak sebagai warga masyarakat dalam kehidupan sehari-hari.</v>
      </c>
      <c r="AR40" s="307" t="str">
        <f t="shared" si="39"/>
        <v xml:space="preserve"> sangat baik  dalam mengidentifikasi berbagai bentuk keragaman suku bangsa, sosial, dan budaya di Indonesia yang terikat persatuan dan kesatuan.</v>
      </c>
      <c r="AS40"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40" s="307" t="str">
        <f t="shared" si="15"/>
        <v xml:space="preserve"> </v>
      </c>
      <c r="AU40"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40" s="301" t="str">
        <f t="shared" si="40"/>
        <v>Anak 36 sangat baik  dalam mengidentifikasi pelaksanaan kewajiban dan hak sebagai warga masyarakat dalam kehidupan sehari-hari., dan  sangat baik  dalam mengidentifikasi berbagai bentuk keragaman suku bangsa, sosial, dan budaya di Indonesia yang terikat persatuan dan kesatuan.</v>
      </c>
      <c r="AW40" s="120"/>
      <c r="BF40" s="408">
        <f t="shared" si="17"/>
        <v>96</v>
      </c>
      <c r="BI40" s="302">
        <f t="shared" si="41"/>
        <v>82</v>
      </c>
      <c r="BJ40" s="303" t="str">
        <f>IF(BI40&gt;KKM!$G$10,"A",IF(BI40&gt;KKM!$H$10,"B",IF(BI40&gt;=KKM!$I$10,"C","D")))</f>
        <v>B</v>
      </c>
      <c r="BK40" s="523">
        <f t="shared" si="18"/>
        <v>89</v>
      </c>
      <c r="BL40" s="115" t="str">
        <f>IF(BK40&gt;KKM!$G$10," sangat baik ",IF(BK40&gt;KKM!$H$10," baik ",IF(BK40&gt;=KKM!$I$10," cukup baik "," perlu bimbingan ")))</f>
        <v xml:space="preserve"> baik </v>
      </c>
      <c r="BM40" s="524">
        <f t="shared" si="19"/>
        <v>75.25</v>
      </c>
      <c r="BN40" s="115" t="str">
        <f>IF(BM40&gt;KKM!$G$10," sangat baik ",IF(BM40&gt;KKM!$H$10," baik ",IF(BM40&gt;=KKM!$I$10," cukup baik "," perlu bimbingan ")))</f>
        <v xml:space="preserve"> cukup baik </v>
      </c>
      <c r="BO40" s="301" t="str">
        <f t="shared" si="25"/>
        <v>Anak 36 baik  dalam menjelaskan manfaat keberagaman karakteristik individu dalam kehidupan sehari-hari., dan  cukup baik  dalam mengidentifikasi berbagai bentuk keragaman suku bangsa, sosial, dan budaya di Indonesia yang terikat persatuan dan kesatuan.</v>
      </c>
      <c r="BP40" s="307" t="str">
        <f t="shared" si="20"/>
        <v xml:space="preserve"> baik  dalam menjelaskan manfaat keberagaman karakteristik individu dalam kehidupan sehari-hari.</v>
      </c>
      <c r="BQ40" s="307" t="str">
        <f t="shared" si="21"/>
        <v xml:space="preserve"> cukup baik  dalam mengidentifikasi berbagai bentuk keragaman suku bangsa, sosial, dan budaya di Indonesia yang terikat persatuan dan kesatuan.</v>
      </c>
      <c r="BR40"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40" s="307" t="str">
        <f t="shared" si="23"/>
        <v xml:space="preserve"> </v>
      </c>
      <c r="BT40"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40" s="301" t="str">
        <f t="shared" si="42"/>
        <v>Anak 36 baik  dalam menjelaskan manfaat keberagaman karakteristik individu dalam kehidupan sehari-hari., dan  cukup baik  dalam mengidentifikasi berbagai bentuk keragaman suku bangsa, sosial, dan budaya di Indonesia yang terikat persatuan dan kesatuan.</v>
      </c>
    </row>
    <row r="41" spans="2:73" ht="59.25" customHeight="1">
      <c r="B41" s="109">
        <v>37</v>
      </c>
      <c r="C41" s="110">
        <f>SISWA!B42</f>
        <v>0</v>
      </c>
      <c r="D41" s="111" t="str">
        <f>SISWA!E42</f>
        <v>Anak 37</v>
      </c>
      <c r="E41" s="631">
        <v>99</v>
      </c>
      <c r="F41" s="631">
        <v>99</v>
      </c>
      <c r="G41" s="631">
        <v>99</v>
      </c>
      <c r="H41" s="631"/>
      <c r="I41" s="631"/>
      <c r="J41" s="631"/>
      <c r="K41" s="610"/>
      <c r="L41" s="631"/>
      <c r="M41" s="631">
        <v>81</v>
      </c>
      <c r="N41" s="631">
        <v>80.5</v>
      </c>
      <c r="O41" s="631"/>
      <c r="P41" s="631"/>
      <c r="Q41" s="631"/>
      <c r="R41" s="610"/>
      <c r="S41" s="729">
        <v>99</v>
      </c>
      <c r="T41" s="729">
        <v>99</v>
      </c>
      <c r="U41" s="729">
        <v>99</v>
      </c>
      <c r="V41" s="729"/>
      <c r="W41" s="729"/>
      <c r="X41" s="729"/>
      <c r="Y41" s="518"/>
      <c r="Z41" s="607">
        <f t="shared" si="33"/>
        <v>99</v>
      </c>
      <c r="AA41" s="607">
        <f t="shared" si="34"/>
        <v>94.5</v>
      </c>
      <c r="AB41" s="607">
        <f t="shared" si="29"/>
        <v>94.375</v>
      </c>
      <c r="AC41" s="607" t="str">
        <f t="shared" si="30"/>
        <v/>
      </c>
      <c r="AD41" s="607" t="str">
        <f t="shared" si="31"/>
        <v/>
      </c>
      <c r="AE41" s="607" t="str">
        <f t="shared" si="32"/>
        <v/>
      </c>
      <c r="AF41" s="528"/>
      <c r="AG41" s="528"/>
      <c r="AH41" s="528"/>
      <c r="AI41" s="302">
        <f t="shared" si="35"/>
        <v>96</v>
      </c>
      <c r="AJ41" s="303" t="str">
        <f>IF(AI41&gt;KKM!$G$10,"A",IF(AI41&gt;KKM!$H$10,"B",IF(AI41&gt;=KKM!$I$10,"C","D")))</f>
        <v>A</v>
      </c>
      <c r="AK41" s="523">
        <f t="shared" si="36"/>
        <v>99</v>
      </c>
      <c r="AL41" s="115" t="str">
        <f>IF(AK41&gt;KKM!$G$10," sangat baik ",IF(AK41&gt;KKM!$H$10," baik ",IF(AK41&gt;=KKM!$I$10," cukup baik "," perlu bimbingan ")))</f>
        <v xml:space="preserve"> sangat baik </v>
      </c>
      <c r="AM41" s="524">
        <f t="shared" si="37"/>
        <v>94.375</v>
      </c>
      <c r="AN41" s="115" t="str">
        <f>IF(AM41&gt;KKM!$G$10," sangat baik ",IF(AM41&gt;KKM!$H$10," baik ",IF(AM41&gt;=KKM!$I$10," cukup baik "," perlu bimbingan ")))</f>
        <v xml:space="preserve"> sangat baik </v>
      </c>
      <c r="AO41" s="301" t="str">
        <f t="shared" si="13"/>
        <v>Anak 37 sangat baik  dalam mengidentifikasi pelaksanaan kewajiban dan hak sebagai warga masyarakat dalam kehidupan sehari-hari., dan  sangat baik  dalam mengidentifikasi berbagai bentuk keragaman suku bangsa, sosial, dan budaya di Indonesia yang terikat persatuan dan kesatuan.</v>
      </c>
      <c r="AP41" s="306"/>
      <c r="AQ41" s="307" t="str">
        <f t="shared" si="38"/>
        <v xml:space="preserve"> sangat baik  dalam mengidentifikasi pelaksanaan kewajiban dan hak sebagai warga masyarakat dalam kehidupan sehari-hari.</v>
      </c>
      <c r="AR41" s="307" t="str">
        <f t="shared" si="39"/>
        <v xml:space="preserve"> sangat baik  dalam mengidentifikasi berbagai bentuk keragaman suku bangsa, sosial, dan budaya di Indonesia yang terikat persatuan dan kesatuan.</v>
      </c>
      <c r="AS41"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41" s="307" t="str">
        <f t="shared" si="15"/>
        <v xml:space="preserve"> </v>
      </c>
      <c r="AU41"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41" s="301" t="str">
        <f t="shared" si="40"/>
        <v>Anak 37 sangat baik  dalam mengidentifikasi pelaksanaan kewajiban dan hak sebagai warga masyarakat dalam kehidupan sehari-hari., dan  sangat baik  dalam mengidentifikasi berbagai bentuk keragaman suku bangsa, sosial, dan budaya di Indonesia yang terikat persatuan dan kesatuan.</v>
      </c>
      <c r="AW41" s="120"/>
      <c r="BF41" s="408">
        <f t="shared" si="17"/>
        <v>96</v>
      </c>
      <c r="BI41" s="302">
        <f t="shared" si="41"/>
        <v>81</v>
      </c>
      <c r="BJ41" s="303" t="str">
        <f>IF(BI41&gt;KKM!$G$10,"A",IF(BI41&gt;KKM!$H$10,"B",IF(BI41&gt;=KKM!$I$10,"C","D")))</f>
        <v>B</v>
      </c>
      <c r="BK41" s="523">
        <f t="shared" si="18"/>
        <v>81</v>
      </c>
      <c r="BL41" s="115" t="str">
        <f>IF(BK41&gt;KKM!$G$10," sangat baik ",IF(BK41&gt;KKM!$H$10," baik ",IF(BK41&gt;=KKM!$I$10," cukup baik "," perlu bimbingan ")))</f>
        <v xml:space="preserve"> baik </v>
      </c>
      <c r="BM41" s="524">
        <f t="shared" si="19"/>
        <v>80.5</v>
      </c>
      <c r="BN41" s="115" t="str">
        <f>IF(BM41&gt;KKM!$G$10," sangat baik ",IF(BM41&gt;KKM!$H$10," baik ",IF(BM41&gt;=KKM!$I$10," cukup baik "," perlu bimbingan ")))</f>
        <v xml:space="preserve"> baik </v>
      </c>
      <c r="BO41" s="301" t="str">
        <f t="shared" si="25"/>
        <v>Anak 37 baik  dalam menjelaskan manfaat keberagaman karakteristik individu dalam kehidupan sehari-hari., dan  baik  dalam mengidentifikasi berbagai bentuk keragaman suku bangsa, sosial, dan budaya di Indonesia yang terikat persatuan dan kesatuan.</v>
      </c>
      <c r="BP41" s="307" t="str">
        <f t="shared" si="20"/>
        <v xml:space="preserve"> baik  dalam menjelaskan manfaat keberagaman karakteristik individu dalam kehidupan sehari-hari.</v>
      </c>
      <c r="BQ41" s="307" t="str">
        <f t="shared" si="21"/>
        <v xml:space="preserve"> baik  dalam mengidentifikasi berbagai bentuk keragaman suku bangsa, sosial, dan budaya di Indonesia yang terikat persatuan dan kesatuan.</v>
      </c>
      <c r="BR41" s="307" t="str">
        <f t="shared" si="22"/>
        <v xml:space="preserve"> baik  dalam menjelaskan manfaat keberagaman karakteristik individu dalam kehidupan sehari-hari., dan  baik  dalam mengidentifikasi berbagai bentuk keragaman suku bangsa, sosial, dan budaya di Indonesia yang terikat persatuan dan kesatuan.</v>
      </c>
      <c r="BS41" s="307" t="str">
        <f t="shared" si="23"/>
        <v xml:space="preserve"> </v>
      </c>
      <c r="BT41" s="308" t="str">
        <f t="shared" si="24"/>
        <v xml:space="preserve"> baik  dalam menjelaskan manfaat keberagaman karakteristik individu dalam kehidupan sehari-hari., dan  baik  dalam mengidentifikasi berbagai bentuk keragaman suku bangsa, sosial, dan budaya di Indonesia yang terikat persatuan dan kesatuan.</v>
      </c>
      <c r="BU41" s="301" t="str">
        <f t="shared" si="42"/>
        <v>Anak 37 baik  dalam menjelaskan manfaat keberagaman karakteristik individu dalam kehidupan sehari-hari., dan  baik  dalam mengidentifikasi berbagai bentuk keragaman suku bangsa, sosial, dan budaya di Indonesia yang terikat persatuan dan kesatuan.</v>
      </c>
    </row>
    <row r="42" spans="2:73" ht="59.25" customHeight="1">
      <c r="B42" s="109">
        <v>38</v>
      </c>
      <c r="C42" s="110">
        <f>SISWA!B43</f>
        <v>0</v>
      </c>
      <c r="D42" s="111" t="str">
        <f>SISWA!E43</f>
        <v>Anak 38</v>
      </c>
      <c r="E42" s="631">
        <v>99</v>
      </c>
      <c r="F42" s="631">
        <v>99</v>
      </c>
      <c r="G42" s="631">
        <v>99</v>
      </c>
      <c r="H42" s="631"/>
      <c r="I42" s="631"/>
      <c r="J42" s="631"/>
      <c r="K42" s="610"/>
      <c r="L42" s="631"/>
      <c r="M42" s="631">
        <v>76.5</v>
      </c>
      <c r="N42" s="631">
        <v>86.5</v>
      </c>
      <c r="O42" s="631"/>
      <c r="P42" s="631"/>
      <c r="Q42" s="631"/>
      <c r="R42" s="610"/>
      <c r="S42" s="729">
        <v>99</v>
      </c>
      <c r="T42" s="729">
        <v>99</v>
      </c>
      <c r="U42" s="729">
        <v>99</v>
      </c>
      <c r="V42" s="729"/>
      <c r="W42" s="729"/>
      <c r="X42" s="729"/>
      <c r="Y42" s="518"/>
      <c r="Z42" s="607">
        <f t="shared" si="33"/>
        <v>99</v>
      </c>
      <c r="AA42" s="607">
        <f t="shared" si="34"/>
        <v>93.375</v>
      </c>
      <c r="AB42" s="607">
        <f t="shared" si="29"/>
        <v>95.875</v>
      </c>
      <c r="AC42" s="607" t="str">
        <f t="shared" si="30"/>
        <v/>
      </c>
      <c r="AD42" s="607" t="str">
        <f t="shared" si="31"/>
        <v/>
      </c>
      <c r="AE42" s="607" t="str">
        <f t="shared" si="32"/>
        <v/>
      </c>
      <c r="AF42" s="528"/>
      <c r="AG42" s="528"/>
      <c r="AH42" s="528"/>
      <c r="AI42" s="302">
        <f t="shared" si="35"/>
        <v>96</v>
      </c>
      <c r="AJ42" s="303" t="str">
        <f>IF(AI42&gt;KKM!$G$10,"A",IF(AI42&gt;KKM!$H$10,"B",IF(AI42&gt;=KKM!$I$10,"C","D")))</f>
        <v>A</v>
      </c>
      <c r="AK42" s="523">
        <f t="shared" si="36"/>
        <v>99</v>
      </c>
      <c r="AL42" s="115" t="str">
        <f>IF(AK42&gt;KKM!$G$10," sangat baik ",IF(AK42&gt;KKM!$H$10," baik ",IF(AK42&gt;=KKM!$I$10," cukup baik "," perlu bimbingan ")))</f>
        <v xml:space="preserve"> sangat baik </v>
      </c>
      <c r="AM42" s="524">
        <f t="shared" si="37"/>
        <v>93.375</v>
      </c>
      <c r="AN42" s="115" t="str">
        <f>IF(AM42&gt;KKM!$G$10," sangat baik ",IF(AM42&gt;KKM!$H$10," baik ",IF(AM42&gt;=KKM!$I$10," cukup baik "," perlu bimbingan ")))</f>
        <v xml:space="preserve"> sangat baik </v>
      </c>
      <c r="AO42" s="301" t="str">
        <f t="shared" si="13"/>
        <v>Anak 38 sangat baik  dalam mengidentifikasi pelaksanaan kewajiban dan hak sebagai warga masyarakat dalam kehidupan sehari-hari., dan  sangat baik  dalam menjelaskan manfaat keberagaman karakteristik individu dalam kehidupan sehari-hari.</v>
      </c>
      <c r="AP42" s="306"/>
      <c r="AQ42" s="307" t="str">
        <f t="shared" si="38"/>
        <v xml:space="preserve"> sangat baik  dalam mengidentifikasi pelaksanaan kewajiban dan hak sebagai warga masyarakat dalam kehidupan sehari-hari.</v>
      </c>
      <c r="AR42" s="307" t="str">
        <f t="shared" si="39"/>
        <v xml:space="preserve"> sangat baik  dalam menjelaskan manfaat keberagaman karakteristik individu dalam kehidupan sehari-hari.</v>
      </c>
      <c r="AS42" s="307" t="str">
        <f t="shared" si="14"/>
        <v xml:space="preserve"> sangat baik  dalam mengidentifikasi pelaksanaan kewajiban dan hak sebagai warga masyarakat dalam kehidupan sehari-hari., dan  sangat baik  dalam menjelaskan manfaat keberagaman karakteristik individu dalam kehidupan sehari-hari.</v>
      </c>
      <c r="AT42" s="307" t="str">
        <f t="shared" si="15"/>
        <v xml:space="preserve"> </v>
      </c>
      <c r="AU42" s="308" t="str">
        <f t="shared" si="16"/>
        <v xml:space="preserve"> sangat baik  dalam mengidentifikasi pelaksanaan kewajiban dan hak sebagai warga masyarakat dalam kehidupan sehari-hari., dan  sangat baik  dalam menjelaskan manfaat keberagaman karakteristik individu dalam kehidupan sehari-hari.</v>
      </c>
      <c r="AV42" s="301" t="str">
        <f t="shared" si="40"/>
        <v>Anak 38 sangat baik  dalam mengidentifikasi pelaksanaan kewajiban dan hak sebagai warga masyarakat dalam kehidupan sehari-hari., dan  sangat baik  dalam menjelaskan manfaat keberagaman karakteristik individu dalam kehidupan sehari-hari.</v>
      </c>
      <c r="AW42" s="120"/>
      <c r="BF42" s="408">
        <f t="shared" si="17"/>
        <v>96</v>
      </c>
      <c r="BI42" s="302">
        <f t="shared" si="41"/>
        <v>82</v>
      </c>
      <c r="BJ42" s="303" t="str">
        <f>IF(BI42&gt;KKM!$G$10,"A",IF(BI42&gt;KKM!$H$10,"B",IF(BI42&gt;=KKM!$I$10,"C","D")))</f>
        <v>B</v>
      </c>
      <c r="BK42" s="523">
        <f t="shared" si="18"/>
        <v>86.5</v>
      </c>
      <c r="BL42" s="115" t="str">
        <f>IF(BK42&gt;KKM!$G$10," sangat baik ",IF(BK42&gt;KKM!$H$10," baik ",IF(BK42&gt;=KKM!$I$10," cukup baik "," perlu bimbingan ")))</f>
        <v xml:space="preserve"> baik </v>
      </c>
      <c r="BM42" s="524">
        <f t="shared" si="19"/>
        <v>76.5</v>
      </c>
      <c r="BN42" s="115" t="str">
        <f>IF(BM42&gt;KKM!$G$10," sangat baik ",IF(BM42&gt;KKM!$H$10," baik ",IF(BM42&gt;=KKM!$I$10," cukup baik "," perlu bimbingan ")))</f>
        <v xml:space="preserve"> cukup baik </v>
      </c>
      <c r="BO42" s="301" t="str">
        <f t="shared" si="25"/>
        <v>Anak 38 baik  dalam mengidentifikasi berbagai bentuk keragaman suku bangsa, sosial, dan budaya di Indonesia yang terikat persatuan dan kesatuan., dan  cukup baik  dalam menjelaskan manfaat keberagaman karakteristik individu dalam kehidupan sehari-hari.</v>
      </c>
      <c r="BP42" s="307" t="str">
        <f t="shared" si="20"/>
        <v xml:space="preserve"> baik  dalam mengidentifikasi berbagai bentuk keragaman suku bangsa, sosial, dan budaya di Indonesia yang terikat persatuan dan kesatuan.</v>
      </c>
      <c r="BQ42" s="307" t="str">
        <f t="shared" si="21"/>
        <v xml:space="preserve"> cukup baik  dalam menjelaskan manfaat keberagaman karakteristik individu dalam kehidupan sehari-hari.</v>
      </c>
      <c r="BR42"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42" s="307" t="str">
        <f t="shared" si="23"/>
        <v xml:space="preserve"> </v>
      </c>
      <c r="BT42"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42" s="301" t="str">
        <f t="shared" si="42"/>
        <v>Anak 38 baik  dalam mengidentifikasi berbagai bentuk keragaman suku bangsa, sosial, dan budaya di Indonesia yang terikat persatuan dan kesatuan., dan  cukup baik  dalam menjelaskan manfaat keberagaman karakteristik individu dalam kehidupan sehari-hari.</v>
      </c>
    </row>
    <row r="43" spans="2:73" ht="59.25" customHeight="1">
      <c r="B43" s="109">
        <v>39</v>
      </c>
      <c r="C43" s="110">
        <f>SISWA!B44</f>
        <v>0</v>
      </c>
      <c r="D43" s="111" t="str">
        <f>SISWA!E44</f>
        <v>Anak 39</v>
      </c>
      <c r="E43" s="631">
        <v>99</v>
      </c>
      <c r="F43" s="631">
        <v>99</v>
      </c>
      <c r="G43" s="631">
        <v>99</v>
      </c>
      <c r="H43" s="631"/>
      <c r="I43" s="631"/>
      <c r="J43" s="631"/>
      <c r="K43" s="610"/>
      <c r="L43" s="631"/>
      <c r="M43" s="631">
        <v>86.5</v>
      </c>
      <c r="N43" s="631">
        <v>76.75</v>
      </c>
      <c r="O43" s="631"/>
      <c r="P43" s="631"/>
      <c r="Q43" s="631"/>
      <c r="R43" s="610"/>
      <c r="S43" s="729">
        <v>99</v>
      </c>
      <c r="T43" s="729">
        <v>99</v>
      </c>
      <c r="U43" s="729">
        <v>99</v>
      </c>
      <c r="V43" s="729"/>
      <c r="W43" s="729"/>
      <c r="X43" s="729"/>
      <c r="Y43" s="518"/>
      <c r="Z43" s="607">
        <f t="shared" si="33"/>
        <v>99</v>
      </c>
      <c r="AA43" s="607">
        <f t="shared" si="34"/>
        <v>95.875</v>
      </c>
      <c r="AB43" s="607">
        <f t="shared" si="29"/>
        <v>93.4375</v>
      </c>
      <c r="AC43" s="607" t="str">
        <f t="shared" si="30"/>
        <v/>
      </c>
      <c r="AD43" s="607" t="str">
        <f t="shared" si="31"/>
        <v/>
      </c>
      <c r="AE43" s="607" t="str">
        <f t="shared" si="32"/>
        <v/>
      </c>
      <c r="AF43" s="528"/>
      <c r="AG43" s="528"/>
      <c r="AH43" s="528"/>
      <c r="AI43" s="302">
        <f t="shared" si="35"/>
        <v>96</v>
      </c>
      <c r="AJ43" s="303" t="str">
        <f>IF(AI43&gt;KKM!$G$10,"A",IF(AI43&gt;KKM!$H$10,"B",IF(AI43&gt;=KKM!$I$10,"C","D")))</f>
        <v>A</v>
      </c>
      <c r="AK43" s="523">
        <f t="shared" si="36"/>
        <v>99</v>
      </c>
      <c r="AL43" s="115" t="str">
        <f>IF(AK43&gt;KKM!$G$10," sangat baik ",IF(AK43&gt;KKM!$H$10," baik ",IF(AK43&gt;=KKM!$I$10," cukup baik "," perlu bimbingan ")))</f>
        <v xml:space="preserve"> sangat baik </v>
      </c>
      <c r="AM43" s="524">
        <f t="shared" si="37"/>
        <v>93.4375</v>
      </c>
      <c r="AN43" s="115" t="str">
        <f>IF(AM43&gt;KKM!$G$10," sangat baik ",IF(AM43&gt;KKM!$H$10," baik ",IF(AM43&gt;=KKM!$I$10," cukup baik "," perlu bimbingan ")))</f>
        <v xml:space="preserve"> sangat baik </v>
      </c>
      <c r="AO43" s="301" t="str">
        <f t="shared" si="13"/>
        <v>Anak 39 sangat baik  dalam mengidentifikasi pelaksanaan kewajiban dan hak sebagai warga masyarakat dalam kehidupan sehari-hari., dan  sangat baik  dalam mengidentifikasi berbagai bentuk keragaman suku bangsa, sosial, dan budaya di Indonesia yang terikat persatuan dan kesatuan.</v>
      </c>
      <c r="AP43" s="306"/>
      <c r="AQ43" s="307" t="str">
        <f t="shared" si="38"/>
        <v xml:space="preserve"> sangat baik  dalam mengidentifikasi pelaksanaan kewajiban dan hak sebagai warga masyarakat dalam kehidupan sehari-hari.</v>
      </c>
      <c r="AR43" s="307" t="str">
        <f t="shared" si="39"/>
        <v xml:space="preserve"> sangat baik  dalam mengidentifikasi berbagai bentuk keragaman suku bangsa, sosial, dan budaya di Indonesia yang terikat persatuan dan kesatuan.</v>
      </c>
      <c r="AS43"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43" s="307" t="str">
        <f t="shared" si="15"/>
        <v xml:space="preserve"> </v>
      </c>
      <c r="AU43"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43" s="301" t="str">
        <f t="shared" si="40"/>
        <v>Anak 39 sangat baik  dalam mengidentifikasi pelaksanaan kewajiban dan hak sebagai warga masyarakat dalam kehidupan sehari-hari., dan  sangat baik  dalam mengidentifikasi berbagai bentuk keragaman suku bangsa, sosial, dan budaya di Indonesia yang terikat persatuan dan kesatuan.</v>
      </c>
      <c r="AW43" s="120"/>
      <c r="BF43" s="408">
        <f t="shared" si="17"/>
        <v>96</v>
      </c>
      <c r="BI43" s="302">
        <f t="shared" si="41"/>
        <v>82</v>
      </c>
      <c r="BJ43" s="303" t="str">
        <f>IF(BI43&gt;KKM!$G$10,"A",IF(BI43&gt;KKM!$H$10,"B",IF(BI43&gt;=KKM!$I$10,"C","D")))</f>
        <v>B</v>
      </c>
      <c r="BK43" s="523">
        <f t="shared" si="18"/>
        <v>86.5</v>
      </c>
      <c r="BL43" s="115" t="str">
        <f>IF(BK43&gt;KKM!$G$10," sangat baik ",IF(BK43&gt;KKM!$H$10," baik ",IF(BK43&gt;=KKM!$I$10," cukup baik "," perlu bimbingan ")))</f>
        <v xml:space="preserve"> baik </v>
      </c>
      <c r="BM43" s="524">
        <f t="shared" si="19"/>
        <v>76.75</v>
      </c>
      <c r="BN43" s="115" t="str">
        <f>IF(BM43&gt;KKM!$G$10," sangat baik ",IF(BM43&gt;KKM!$H$10," baik ",IF(BM43&gt;=KKM!$I$10," cukup baik "," perlu bimbingan ")))</f>
        <v xml:space="preserve"> cukup baik </v>
      </c>
      <c r="BO43" s="301" t="str">
        <f t="shared" si="25"/>
        <v>Anak 39 baik  dalam menjelaskan manfaat keberagaman karakteristik individu dalam kehidupan sehari-hari., dan  cukup baik  dalam mengidentifikasi berbagai bentuk keragaman suku bangsa, sosial, dan budaya di Indonesia yang terikat persatuan dan kesatuan.</v>
      </c>
      <c r="BP43" s="307" t="str">
        <f t="shared" si="20"/>
        <v xml:space="preserve"> baik  dalam menjelaskan manfaat keberagaman karakteristik individu dalam kehidupan sehari-hari.</v>
      </c>
      <c r="BQ43" s="307" t="str">
        <f t="shared" si="21"/>
        <v xml:space="preserve"> cukup baik  dalam mengidentifikasi berbagai bentuk keragaman suku bangsa, sosial, dan budaya di Indonesia yang terikat persatuan dan kesatuan.</v>
      </c>
      <c r="BR43"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43" s="307" t="str">
        <f t="shared" si="23"/>
        <v xml:space="preserve"> </v>
      </c>
      <c r="BT43"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43" s="301" t="str">
        <f t="shared" si="42"/>
        <v>Anak 39 baik  dalam menjelaskan manfaat keberagaman karakteristik individu dalam kehidupan sehari-hari., dan  cukup baik  dalam mengidentifikasi berbagai bentuk keragaman suku bangsa, sosial, dan budaya di Indonesia yang terikat persatuan dan kesatuan.</v>
      </c>
    </row>
    <row r="44" spans="2:73" ht="59.25" customHeight="1">
      <c r="B44" s="109">
        <v>40</v>
      </c>
      <c r="C44" s="110">
        <f>SISWA!B45</f>
        <v>0</v>
      </c>
      <c r="D44" s="111" t="str">
        <f>SISWA!E45</f>
        <v>Anak 40</v>
      </c>
      <c r="E44" s="631">
        <v>99</v>
      </c>
      <c r="F44" s="631">
        <v>99</v>
      </c>
      <c r="G44" s="631">
        <v>99</v>
      </c>
      <c r="H44" s="631"/>
      <c r="I44" s="631"/>
      <c r="J44" s="631"/>
      <c r="K44" s="610"/>
      <c r="L44" s="631"/>
      <c r="M44" s="631">
        <v>90</v>
      </c>
      <c r="N44" s="631">
        <v>77.75</v>
      </c>
      <c r="O44" s="631"/>
      <c r="P44" s="631"/>
      <c r="Q44" s="631"/>
      <c r="R44" s="610"/>
      <c r="S44" s="729">
        <v>99</v>
      </c>
      <c r="T44" s="729">
        <v>99</v>
      </c>
      <c r="U44" s="729">
        <v>99</v>
      </c>
      <c r="V44" s="729"/>
      <c r="W44" s="729"/>
      <c r="X44" s="729"/>
      <c r="Y44" s="518"/>
      <c r="Z44" s="607">
        <f t="shared" si="33"/>
        <v>99</v>
      </c>
      <c r="AA44" s="607">
        <f t="shared" si="34"/>
        <v>96.75</v>
      </c>
      <c r="AB44" s="607">
        <f t="shared" si="29"/>
        <v>93.6875</v>
      </c>
      <c r="AC44" s="607" t="str">
        <f t="shared" si="30"/>
        <v/>
      </c>
      <c r="AD44" s="607" t="str">
        <f t="shared" si="31"/>
        <v/>
      </c>
      <c r="AE44" s="607" t="str">
        <f t="shared" si="32"/>
        <v/>
      </c>
      <c r="AF44" s="528"/>
      <c r="AG44" s="528"/>
      <c r="AH44" s="528"/>
      <c r="AI44" s="302">
        <f t="shared" si="35"/>
        <v>96</v>
      </c>
      <c r="AJ44" s="303" t="str">
        <f>IF(AI44&gt;KKM!$G$10,"A",IF(AI44&gt;KKM!$H$10,"B",IF(AI44&gt;=KKM!$I$10,"C","D")))</f>
        <v>A</v>
      </c>
      <c r="AK44" s="523">
        <f t="shared" si="36"/>
        <v>99</v>
      </c>
      <c r="AL44" s="115" t="str">
        <f>IF(AK44&gt;KKM!$G$10," sangat baik ",IF(AK44&gt;KKM!$H$10," baik ",IF(AK44&gt;=KKM!$I$10," cukup baik "," perlu bimbingan ")))</f>
        <v xml:space="preserve"> sangat baik </v>
      </c>
      <c r="AM44" s="524">
        <f t="shared" si="37"/>
        <v>93.6875</v>
      </c>
      <c r="AN44" s="115" t="str">
        <f>IF(AM44&gt;KKM!$G$10," sangat baik ",IF(AM44&gt;KKM!$H$10," baik ",IF(AM44&gt;=KKM!$I$10," cukup baik "," perlu bimbingan ")))</f>
        <v xml:space="preserve"> sangat baik </v>
      </c>
      <c r="AO44" s="301" t="str">
        <f t="shared" si="13"/>
        <v>Anak 40 sangat baik  dalam mengidentifikasi pelaksanaan kewajiban dan hak sebagai warga masyarakat dalam kehidupan sehari-hari., dan  sangat baik  dalam mengidentifikasi berbagai bentuk keragaman suku bangsa, sosial, dan budaya di Indonesia yang terikat persatuan dan kesatuan.</v>
      </c>
      <c r="AP44" s="306"/>
      <c r="AQ44" s="307" t="str">
        <f t="shared" si="38"/>
        <v xml:space="preserve"> sangat baik  dalam mengidentifikasi pelaksanaan kewajiban dan hak sebagai warga masyarakat dalam kehidupan sehari-hari.</v>
      </c>
      <c r="AR44" s="307" t="str">
        <f t="shared" si="39"/>
        <v xml:space="preserve"> sangat baik  dalam mengidentifikasi berbagai bentuk keragaman suku bangsa, sosial, dan budaya di Indonesia yang terikat persatuan dan kesatuan.</v>
      </c>
      <c r="AS44"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44" s="307" t="str">
        <f t="shared" si="15"/>
        <v xml:space="preserve"> </v>
      </c>
      <c r="AU44"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44" s="301" t="str">
        <f t="shared" si="40"/>
        <v>Anak 40 sangat baik  dalam mengidentifikasi pelaksanaan kewajiban dan hak sebagai warga masyarakat dalam kehidupan sehari-hari., dan  sangat baik  dalam mengidentifikasi berbagai bentuk keragaman suku bangsa, sosial, dan budaya di Indonesia yang terikat persatuan dan kesatuan.</v>
      </c>
      <c r="AW44" s="120"/>
      <c r="BF44" s="408">
        <f t="shared" si="17"/>
        <v>96</v>
      </c>
      <c r="BI44" s="302">
        <f t="shared" si="41"/>
        <v>84</v>
      </c>
      <c r="BJ44" s="303" t="str">
        <f>IF(BI44&gt;KKM!$G$10,"A",IF(BI44&gt;KKM!$H$10,"B",IF(BI44&gt;=KKM!$I$10,"C","D")))</f>
        <v>B</v>
      </c>
      <c r="BK44" s="523">
        <f t="shared" si="18"/>
        <v>90</v>
      </c>
      <c r="BL44" s="115" t="str">
        <f>IF(BK44&gt;KKM!$G$10," sangat baik ",IF(BK44&gt;KKM!$H$10," baik ",IF(BK44&gt;=KKM!$I$10," cukup baik "," perlu bimbingan ")))</f>
        <v xml:space="preserve"> baik </v>
      </c>
      <c r="BM44" s="524">
        <f t="shared" si="19"/>
        <v>77.75</v>
      </c>
      <c r="BN44" s="115" t="str">
        <f>IF(BM44&gt;KKM!$G$10," sangat baik ",IF(BM44&gt;KKM!$H$10," baik ",IF(BM44&gt;=KKM!$I$10," cukup baik "," perlu bimbingan ")))</f>
        <v xml:space="preserve"> cukup baik </v>
      </c>
      <c r="BO44" s="301" t="str">
        <f t="shared" si="25"/>
        <v>Anak 40 baik  dalam menjelaskan manfaat keberagaman karakteristik individu dalam kehidupan sehari-hari., dan  cukup baik  dalam mengidentifikasi berbagai bentuk keragaman suku bangsa, sosial, dan budaya di Indonesia yang terikat persatuan dan kesatuan.</v>
      </c>
      <c r="BP44" s="307" t="str">
        <f t="shared" si="20"/>
        <v xml:space="preserve"> baik  dalam menjelaskan manfaat keberagaman karakteristik individu dalam kehidupan sehari-hari.</v>
      </c>
      <c r="BQ44" s="307" t="str">
        <f t="shared" si="21"/>
        <v xml:space="preserve"> cukup baik  dalam mengidentifikasi berbagai bentuk keragaman suku bangsa, sosial, dan budaya di Indonesia yang terikat persatuan dan kesatuan.</v>
      </c>
      <c r="BR44"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44" s="307" t="str">
        <f t="shared" si="23"/>
        <v xml:space="preserve"> </v>
      </c>
      <c r="BT44"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44" s="301" t="str">
        <f t="shared" si="42"/>
        <v>Anak 40 baik  dalam menjelaskan manfaat keberagaman karakteristik individu dalam kehidupan sehari-hari., dan  cukup baik  dalam mengidentifikasi berbagai bentuk keragaman suku bangsa, sosial, dan budaya di Indonesia yang terikat persatuan dan kesatuan.</v>
      </c>
    </row>
    <row r="45" spans="2:73" ht="59.25" customHeight="1">
      <c r="B45" s="109">
        <v>41</v>
      </c>
      <c r="C45" s="110">
        <f>SISWA!B46</f>
        <v>0</v>
      </c>
      <c r="D45" s="111" t="str">
        <f>SISWA!E46</f>
        <v>Anak 41</v>
      </c>
      <c r="E45" s="631">
        <v>99</v>
      </c>
      <c r="F45" s="631">
        <v>99</v>
      </c>
      <c r="G45" s="631">
        <v>99</v>
      </c>
      <c r="H45" s="631"/>
      <c r="I45" s="631"/>
      <c r="J45" s="631"/>
      <c r="K45" s="610"/>
      <c r="L45" s="631"/>
      <c r="M45" s="631">
        <v>76.5</v>
      </c>
      <c r="N45" s="631">
        <v>90</v>
      </c>
      <c r="O45" s="631"/>
      <c r="P45" s="631"/>
      <c r="Q45" s="631"/>
      <c r="R45" s="610"/>
      <c r="S45" s="729">
        <v>99</v>
      </c>
      <c r="T45" s="729">
        <v>99</v>
      </c>
      <c r="U45" s="729">
        <v>99</v>
      </c>
      <c r="V45" s="729"/>
      <c r="W45" s="729"/>
      <c r="X45" s="729"/>
      <c r="Y45" s="518"/>
      <c r="Z45" s="607">
        <f t="shared" si="33"/>
        <v>99</v>
      </c>
      <c r="AA45" s="607">
        <f t="shared" si="34"/>
        <v>93.375</v>
      </c>
      <c r="AB45" s="607">
        <f t="shared" si="29"/>
        <v>96.75</v>
      </c>
      <c r="AC45" s="607" t="str">
        <f t="shared" si="30"/>
        <v/>
      </c>
      <c r="AD45" s="607" t="str">
        <f t="shared" si="31"/>
        <v/>
      </c>
      <c r="AE45" s="607" t="str">
        <f t="shared" si="32"/>
        <v/>
      </c>
      <c r="AF45" s="528"/>
      <c r="AG45" s="528"/>
      <c r="AH45" s="528"/>
      <c r="AI45" s="302">
        <f t="shared" si="35"/>
        <v>96</v>
      </c>
      <c r="AJ45" s="303" t="str">
        <f>IF(AI45&gt;KKM!$G$10,"A",IF(AI45&gt;KKM!$H$10,"B",IF(AI45&gt;=KKM!$I$10,"C","D")))</f>
        <v>A</v>
      </c>
      <c r="AK45" s="523">
        <f t="shared" si="36"/>
        <v>99</v>
      </c>
      <c r="AL45" s="115" t="str">
        <f>IF(AK45&gt;KKM!$G$10," sangat baik ",IF(AK45&gt;KKM!$H$10," baik ",IF(AK45&gt;=KKM!$I$10," cukup baik "," perlu bimbingan ")))</f>
        <v xml:space="preserve"> sangat baik </v>
      </c>
      <c r="AM45" s="524">
        <f t="shared" si="37"/>
        <v>93.375</v>
      </c>
      <c r="AN45" s="115" t="str">
        <f>IF(AM45&gt;KKM!$G$10," sangat baik ",IF(AM45&gt;KKM!$H$10," baik ",IF(AM45&gt;=KKM!$I$10," cukup baik "," perlu bimbingan ")))</f>
        <v xml:space="preserve"> sangat baik </v>
      </c>
      <c r="AO45" s="301" t="str">
        <f t="shared" si="13"/>
        <v>Anak 41 sangat baik  dalam mengidentifikasi pelaksanaan kewajiban dan hak sebagai warga masyarakat dalam kehidupan sehari-hari., dan  sangat baik  dalam menjelaskan manfaat keberagaman karakteristik individu dalam kehidupan sehari-hari.</v>
      </c>
      <c r="AP45" s="306"/>
      <c r="AQ45" s="307" t="str">
        <f t="shared" si="38"/>
        <v xml:space="preserve"> sangat baik  dalam mengidentifikasi pelaksanaan kewajiban dan hak sebagai warga masyarakat dalam kehidupan sehari-hari.</v>
      </c>
      <c r="AR45" s="307" t="str">
        <f t="shared" si="39"/>
        <v xml:space="preserve"> sangat baik  dalam menjelaskan manfaat keberagaman karakteristik individu dalam kehidupan sehari-hari.</v>
      </c>
      <c r="AS45" s="307" t="str">
        <f t="shared" si="14"/>
        <v xml:space="preserve"> sangat baik  dalam mengidentifikasi pelaksanaan kewajiban dan hak sebagai warga masyarakat dalam kehidupan sehari-hari., dan  sangat baik  dalam menjelaskan manfaat keberagaman karakteristik individu dalam kehidupan sehari-hari.</v>
      </c>
      <c r="AT45" s="307" t="str">
        <f t="shared" si="15"/>
        <v xml:space="preserve"> </v>
      </c>
      <c r="AU45" s="308" t="str">
        <f t="shared" si="16"/>
        <v xml:space="preserve"> sangat baik  dalam mengidentifikasi pelaksanaan kewajiban dan hak sebagai warga masyarakat dalam kehidupan sehari-hari., dan  sangat baik  dalam menjelaskan manfaat keberagaman karakteristik individu dalam kehidupan sehari-hari.</v>
      </c>
      <c r="AV45" s="301" t="str">
        <f t="shared" si="40"/>
        <v>Anak 41 sangat baik  dalam mengidentifikasi pelaksanaan kewajiban dan hak sebagai warga masyarakat dalam kehidupan sehari-hari., dan  sangat baik  dalam menjelaskan manfaat keberagaman karakteristik individu dalam kehidupan sehari-hari.</v>
      </c>
      <c r="AW45" s="120"/>
      <c r="BF45" s="408">
        <f t="shared" si="17"/>
        <v>96</v>
      </c>
      <c r="BI45" s="302">
        <f t="shared" si="41"/>
        <v>83</v>
      </c>
      <c r="BJ45" s="303" t="str">
        <f>IF(BI45&gt;KKM!$G$10,"A",IF(BI45&gt;KKM!$H$10,"B",IF(BI45&gt;=KKM!$I$10,"C","D")))</f>
        <v>B</v>
      </c>
      <c r="BK45" s="523">
        <f t="shared" si="18"/>
        <v>90</v>
      </c>
      <c r="BL45" s="115" t="str">
        <f>IF(BK45&gt;KKM!$G$10," sangat baik ",IF(BK45&gt;KKM!$H$10," baik ",IF(BK45&gt;=KKM!$I$10," cukup baik "," perlu bimbingan ")))</f>
        <v xml:space="preserve"> baik </v>
      </c>
      <c r="BM45" s="524">
        <f t="shared" si="19"/>
        <v>76.5</v>
      </c>
      <c r="BN45" s="115" t="str">
        <f>IF(BM45&gt;KKM!$G$10," sangat baik ",IF(BM45&gt;KKM!$H$10," baik ",IF(BM45&gt;=KKM!$I$10," cukup baik "," perlu bimbingan ")))</f>
        <v xml:space="preserve"> cukup baik </v>
      </c>
      <c r="BO45" s="301" t="str">
        <f t="shared" si="25"/>
        <v>Anak 41 baik  dalam mengidentifikasi berbagai bentuk keragaman suku bangsa, sosial, dan budaya di Indonesia yang terikat persatuan dan kesatuan., dan  cukup baik  dalam menjelaskan manfaat keberagaman karakteristik individu dalam kehidupan sehari-hari.</v>
      </c>
      <c r="BP45" s="307" t="str">
        <f t="shared" si="20"/>
        <v xml:space="preserve"> baik  dalam mengidentifikasi berbagai bentuk keragaman suku bangsa, sosial, dan budaya di Indonesia yang terikat persatuan dan kesatuan.</v>
      </c>
      <c r="BQ45" s="307" t="str">
        <f t="shared" si="21"/>
        <v xml:space="preserve"> cukup baik  dalam menjelaskan manfaat keberagaman karakteristik individu dalam kehidupan sehari-hari.</v>
      </c>
      <c r="BR45"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45" s="307" t="str">
        <f t="shared" si="23"/>
        <v xml:space="preserve"> </v>
      </c>
      <c r="BT45"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45" s="301" t="str">
        <f t="shared" si="42"/>
        <v>Anak 41 baik  dalam mengidentifikasi berbagai bentuk keragaman suku bangsa, sosial, dan budaya di Indonesia yang terikat persatuan dan kesatuan., dan  cukup baik  dalam menjelaskan manfaat keberagaman karakteristik individu dalam kehidupan sehari-hari.</v>
      </c>
    </row>
    <row r="46" spans="2:73" ht="59.25" customHeight="1">
      <c r="B46" s="109">
        <v>42</v>
      </c>
      <c r="C46" s="110">
        <f>SISWA!B47</f>
        <v>0</v>
      </c>
      <c r="D46" s="111" t="str">
        <f>SISWA!E47</f>
        <v>Anak 42</v>
      </c>
      <c r="E46" s="631">
        <v>99</v>
      </c>
      <c r="F46" s="631">
        <v>99</v>
      </c>
      <c r="G46" s="631">
        <v>99</v>
      </c>
      <c r="H46" s="631"/>
      <c r="I46" s="631"/>
      <c r="J46" s="631"/>
      <c r="K46" s="610"/>
      <c r="L46" s="631"/>
      <c r="M46" s="631">
        <v>83</v>
      </c>
      <c r="N46" s="631">
        <v>87.25</v>
      </c>
      <c r="O46" s="631"/>
      <c r="P46" s="631"/>
      <c r="Q46" s="631"/>
      <c r="R46" s="610"/>
      <c r="S46" s="729">
        <v>99</v>
      </c>
      <c r="T46" s="729">
        <v>99</v>
      </c>
      <c r="U46" s="729">
        <v>99</v>
      </c>
      <c r="V46" s="729"/>
      <c r="W46" s="729"/>
      <c r="X46" s="729"/>
      <c r="Y46" s="518"/>
      <c r="Z46" s="607">
        <f t="shared" si="33"/>
        <v>99</v>
      </c>
      <c r="AA46" s="607">
        <f t="shared" si="34"/>
        <v>95</v>
      </c>
      <c r="AB46" s="607">
        <f t="shared" si="29"/>
        <v>96.0625</v>
      </c>
      <c r="AC46" s="607" t="str">
        <f t="shared" si="30"/>
        <v/>
      </c>
      <c r="AD46" s="607" t="str">
        <f t="shared" si="31"/>
        <v/>
      </c>
      <c r="AE46" s="607" t="str">
        <f t="shared" si="32"/>
        <v/>
      </c>
      <c r="AF46" s="528"/>
      <c r="AG46" s="528"/>
      <c r="AH46" s="528"/>
      <c r="AI46" s="302">
        <f t="shared" si="35"/>
        <v>97</v>
      </c>
      <c r="AJ46" s="303" t="str">
        <f>IF(AI46&gt;KKM!$G$10,"A",IF(AI46&gt;KKM!$H$10,"B",IF(AI46&gt;=KKM!$I$10,"C","D")))</f>
        <v>A</v>
      </c>
      <c r="AK46" s="523">
        <f t="shared" si="36"/>
        <v>99</v>
      </c>
      <c r="AL46" s="115" t="str">
        <f>IF(AK46&gt;KKM!$G$10," sangat baik ",IF(AK46&gt;KKM!$H$10," baik ",IF(AK46&gt;=KKM!$I$10," cukup baik "," perlu bimbingan ")))</f>
        <v xml:space="preserve"> sangat baik </v>
      </c>
      <c r="AM46" s="524">
        <f t="shared" si="37"/>
        <v>95</v>
      </c>
      <c r="AN46" s="115" t="str">
        <f>IF(AM46&gt;KKM!$G$10," sangat baik ",IF(AM46&gt;KKM!$H$10," baik ",IF(AM46&gt;=KKM!$I$10," cukup baik "," perlu bimbingan ")))</f>
        <v xml:space="preserve"> sangat baik </v>
      </c>
      <c r="AO46" s="301" t="str">
        <f t="shared" si="13"/>
        <v>Anak 42 sangat baik  dalam mengidentifikasi pelaksanaan kewajiban dan hak sebagai warga masyarakat dalam kehidupan sehari-hari., dan  sangat baik  dalam menjelaskan manfaat keberagaman karakteristik individu dalam kehidupan sehari-hari.</v>
      </c>
      <c r="AP46" s="306"/>
      <c r="AQ46" s="307" t="str">
        <f t="shared" si="38"/>
        <v xml:space="preserve"> sangat baik  dalam mengidentifikasi pelaksanaan kewajiban dan hak sebagai warga masyarakat dalam kehidupan sehari-hari.</v>
      </c>
      <c r="AR46" s="307" t="str">
        <f t="shared" si="39"/>
        <v xml:space="preserve"> sangat baik  dalam menjelaskan manfaat keberagaman karakteristik individu dalam kehidupan sehari-hari.</v>
      </c>
      <c r="AS46" s="307" t="str">
        <f t="shared" si="14"/>
        <v xml:space="preserve"> sangat baik  dalam mengidentifikasi pelaksanaan kewajiban dan hak sebagai warga masyarakat dalam kehidupan sehari-hari., dan  sangat baik  dalam menjelaskan manfaat keberagaman karakteristik individu dalam kehidupan sehari-hari.</v>
      </c>
      <c r="AT46" s="307" t="str">
        <f t="shared" si="15"/>
        <v xml:space="preserve"> </v>
      </c>
      <c r="AU46" s="308" t="str">
        <f t="shared" si="16"/>
        <v xml:space="preserve"> sangat baik  dalam mengidentifikasi pelaksanaan kewajiban dan hak sebagai warga masyarakat dalam kehidupan sehari-hari., dan  sangat baik  dalam menjelaskan manfaat keberagaman karakteristik individu dalam kehidupan sehari-hari.</v>
      </c>
      <c r="AV46" s="301" t="str">
        <f t="shared" si="40"/>
        <v>Anak 42 sangat baik  dalam mengidentifikasi pelaksanaan kewajiban dan hak sebagai warga masyarakat dalam kehidupan sehari-hari., dan  sangat baik  dalam menjelaskan manfaat keberagaman karakteristik individu dalam kehidupan sehari-hari.</v>
      </c>
      <c r="AW46" s="120"/>
      <c r="BF46" s="408">
        <f t="shared" si="17"/>
        <v>97</v>
      </c>
      <c r="BI46" s="302">
        <f t="shared" si="41"/>
        <v>85</v>
      </c>
      <c r="BJ46" s="303" t="str">
        <f>IF(BI46&gt;KKM!$G$10,"A",IF(BI46&gt;KKM!$H$10,"B",IF(BI46&gt;=KKM!$I$10,"C","D")))</f>
        <v>B</v>
      </c>
      <c r="BK46" s="523">
        <f t="shared" si="18"/>
        <v>87.25</v>
      </c>
      <c r="BL46" s="115" t="str">
        <f>IF(BK46&gt;KKM!$G$10," sangat baik ",IF(BK46&gt;KKM!$H$10," baik ",IF(BK46&gt;=KKM!$I$10," cukup baik "," perlu bimbingan ")))</f>
        <v xml:space="preserve"> baik </v>
      </c>
      <c r="BM46" s="524">
        <f t="shared" si="19"/>
        <v>83</v>
      </c>
      <c r="BN46" s="115" t="str">
        <f>IF(BM46&gt;KKM!$G$10," sangat baik ",IF(BM46&gt;KKM!$H$10," baik ",IF(BM46&gt;=KKM!$I$10," cukup baik "," perlu bimbingan ")))</f>
        <v xml:space="preserve"> baik </v>
      </c>
      <c r="BO46" s="301" t="str">
        <f t="shared" si="25"/>
        <v>Anak 42 baik  dalam mengidentifikasi berbagai bentuk keragaman suku bangsa, sosial, dan budaya di Indonesia yang terikat persatuan dan kesatuan., dan  baik  dalam menjelaskan manfaat keberagaman karakteristik individu dalam kehidupan sehari-hari.</v>
      </c>
      <c r="BP46" s="307" t="str">
        <f t="shared" si="20"/>
        <v xml:space="preserve"> baik  dalam mengidentifikasi berbagai bentuk keragaman suku bangsa, sosial, dan budaya di Indonesia yang terikat persatuan dan kesatuan.</v>
      </c>
      <c r="BQ46" s="307" t="str">
        <f t="shared" si="21"/>
        <v xml:space="preserve"> baik  dalam menjelaskan manfaat keberagaman karakteristik individu dalam kehidupan sehari-hari.</v>
      </c>
      <c r="BR46" s="307" t="str">
        <f t="shared" si="22"/>
        <v xml:space="preserve"> baik  dalam mengidentifikasi berbagai bentuk keragaman suku bangsa, sosial, dan budaya di Indonesia yang terikat persatuan dan kesatuan., dan  baik  dalam menjelaskan manfaat keberagaman karakteristik individu dalam kehidupan sehari-hari.</v>
      </c>
      <c r="BS46" s="307" t="str">
        <f t="shared" si="23"/>
        <v xml:space="preserve"> </v>
      </c>
      <c r="BT46" s="308" t="str">
        <f t="shared" si="24"/>
        <v xml:space="preserve"> baik  dalam mengidentifikasi berbagai bentuk keragaman suku bangsa, sosial, dan budaya di Indonesia yang terikat persatuan dan kesatuan., dan  baik  dalam menjelaskan manfaat keberagaman karakteristik individu dalam kehidupan sehari-hari.</v>
      </c>
      <c r="BU46" s="301" t="str">
        <f t="shared" si="42"/>
        <v>Anak 42 baik  dalam mengidentifikasi berbagai bentuk keragaman suku bangsa, sosial, dan budaya di Indonesia yang terikat persatuan dan kesatuan., dan  baik  dalam menjelaskan manfaat keberagaman karakteristik individu dalam kehidupan sehari-hari.</v>
      </c>
    </row>
    <row r="47" spans="2:73" ht="59.25" customHeight="1">
      <c r="B47" s="109">
        <v>43</v>
      </c>
      <c r="C47" s="110">
        <f>SISWA!B48</f>
        <v>0</v>
      </c>
      <c r="D47" s="111" t="str">
        <f>SISWA!E48</f>
        <v>Anak 43</v>
      </c>
      <c r="E47" s="631">
        <v>99</v>
      </c>
      <c r="F47" s="631">
        <v>99</v>
      </c>
      <c r="G47" s="631">
        <v>99</v>
      </c>
      <c r="H47" s="631"/>
      <c r="I47" s="631"/>
      <c r="J47" s="631"/>
      <c r="K47" s="610"/>
      <c r="L47" s="631"/>
      <c r="M47" s="631">
        <v>74.5</v>
      </c>
      <c r="N47" s="631">
        <v>77.5</v>
      </c>
      <c r="O47" s="631"/>
      <c r="P47" s="631"/>
      <c r="Q47" s="631"/>
      <c r="R47" s="610"/>
      <c r="S47" s="729">
        <v>99</v>
      </c>
      <c r="T47" s="729">
        <v>99</v>
      </c>
      <c r="U47" s="729">
        <v>99</v>
      </c>
      <c r="V47" s="729"/>
      <c r="W47" s="729"/>
      <c r="X47" s="729"/>
      <c r="Y47" s="518"/>
      <c r="Z47" s="607">
        <f t="shared" si="33"/>
        <v>99</v>
      </c>
      <c r="AA47" s="607">
        <f t="shared" si="34"/>
        <v>92.875</v>
      </c>
      <c r="AB47" s="607">
        <f t="shared" si="29"/>
        <v>93.625</v>
      </c>
      <c r="AC47" s="607" t="str">
        <f t="shared" si="30"/>
        <v/>
      </c>
      <c r="AD47" s="607" t="str">
        <f t="shared" si="31"/>
        <v/>
      </c>
      <c r="AE47" s="607" t="str">
        <f t="shared" si="32"/>
        <v/>
      </c>
      <c r="AF47" s="528"/>
      <c r="AG47" s="528"/>
      <c r="AH47" s="528"/>
      <c r="AI47" s="302">
        <f t="shared" si="35"/>
        <v>95</v>
      </c>
      <c r="AJ47" s="303" t="str">
        <f>IF(AI47&gt;KKM!$G$10,"A",IF(AI47&gt;KKM!$H$10,"B",IF(AI47&gt;=KKM!$I$10,"C","D")))</f>
        <v>A</v>
      </c>
      <c r="AK47" s="523">
        <f t="shared" si="36"/>
        <v>99</v>
      </c>
      <c r="AL47" s="115" t="str">
        <f>IF(AK47&gt;KKM!$G$10," sangat baik ",IF(AK47&gt;KKM!$H$10," baik ",IF(AK47&gt;=KKM!$I$10," cukup baik "," perlu bimbingan ")))</f>
        <v xml:space="preserve"> sangat baik </v>
      </c>
      <c r="AM47" s="524">
        <f t="shared" si="37"/>
        <v>92.875</v>
      </c>
      <c r="AN47" s="115" t="str">
        <f>IF(AM47&gt;KKM!$G$10," sangat baik ",IF(AM47&gt;KKM!$H$10," baik ",IF(AM47&gt;=KKM!$I$10," cukup baik "," perlu bimbingan ")))</f>
        <v xml:space="preserve"> sangat baik </v>
      </c>
      <c r="AO47" s="301" t="str">
        <f t="shared" si="13"/>
        <v>Anak 43 sangat baik  dalam mengidentifikasi pelaksanaan kewajiban dan hak sebagai warga masyarakat dalam kehidupan sehari-hari., dan  sangat baik  dalam menjelaskan manfaat keberagaman karakteristik individu dalam kehidupan sehari-hari.</v>
      </c>
      <c r="AP47" s="306"/>
      <c r="AQ47" s="307" t="str">
        <f t="shared" si="38"/>
        <v xml:space="preserve"> sangat baik  dalam mengidentifikasi pelaksanaan kewajiban dan hak sebagai warga masyarakat dalam kehidupan sehari-hari.</v>
      </c>
      <c r="AR47" s="307" t="str">
        <f t="shared" si="39"/>
        <v xml:space="preserve"> sangat baik  dalam menjelaskan manfaat keberagaman karakteristik individu dalam kehidupan sehari-hari.</v>
      </c>
      <c r="AS47" s="307" t="str">
        <f t="shared" si="14"/>
        <v xml:space="preserve"> sangat baik  dalam mengidentifikasi pelaksanaan kewajiban dan hak sebagai warga masyarakat dalam kehidupan sehari-hari., dan  sangat baik  dalam menjelaskan manfaat keberagaman karakteristik individu dalam kehidupan sehari-hari.</v>
      </c>
      <c r="AT47" s="307" t="str">
        <f t="shared" si="15"/>
        <v xml:space="preserve"> </v>
      </c>
      <c r="AU47" s="308" t="str">
        <f t="shared" si="16"/>
        <v xml:space="preserve"> sangat baik  dalam mengidentifikasi pelaksanaan kewajiban dan hak sebagai warga masyarakat dalam kehidupan sehari-hari., dan  sangat baik  dalam menjelaskan manfaat keberagaman karakteristik individu dalam kehidupan sehari-hari.</v>
      </c>
      <c r="AV47" s="301" t="str">
        <f t="shared" si="40"/>
        <v>Anak 43 sangat baik  dalam mengidentifikasi pelaksanaan kewajiban dan hak sebagai warga masyarakat dalam kehidupan sehari-hari., dan  sangat baik  dalam menjelaskan manfaat keberagaman karakteristik individu dalam kehidupan sehari-hari.</v>
      </c>
      <c r="AW47" s="120"/>
      <c r="BF47" s="408">
        <f t="shared" si="17"/>
        <v>95</v>
      </c>
      <c r="BI47" s="302">
        <f t="shared" si="41"/>
        <v>76</v>
      </c>
      <c r="BJ47" s="303" t="str">
        <f>IF(BI47&gt;KKM!$G$10,"A",IF(BI47&gt;KKM!$H$10,"B",IF(BI47&gt;=KKM!$I$10,"C","D")))</f>
        <v>C</v>
      </c>
      <c r="BK47" s="523">
        <f t="shared" si="18"/>
        <v>77.5</v>
      </c>
      <c r="BL47" s="115" t="str">
        <f>IF(BK47&gt;KKM!$G$10," sangat baik ",IF(BK47&gt;KKM!$H$10," baik ",IF(BK47&gt;=KKM!$I$10," cukup baik "," perlu bimbingan ")))</f>
        <v xml:space="preserve"> cukup baik </v>
      </c>
      <c r="BM47" s="524">
        <f t="shared" si="19"/>
        <v>74.5</v>
      </c>
      <c r="BN47" s="115" t="str">
        <f>IF(BM47&gt;KKM!$G$10," sangat baik ",IF(BM47&gt;KKM!$H$10," baik ",IF(BM47&gt;=KKM!$I$10," cukup baik "," perlu bimbingan ")))</f>
        <v xml:space="preserve"> cukup baik </v>
      </c>
      <c r="BO47" s="301" t="str">
        <f t="shared" si="25"/>
        <v>Anak 43 cukup baik  dalam mengidentifikasi berbagai bentuk keragaman suku bangsa, sosial, dan budaya di Indonesia yang terikat persatuan dan kesatuan., dan  cukup baik  dalam menjelaskan manfaat keberagaman karakteristik individu dalam kehidupan sehari-hari.</v>
      </c>
      <c r="BP47" s="307" t="str">
        <f t="shared" si="20"/>
        <v xml:space="preserve"> cukup baik  dalam mengidentifikasi berbagai bentuk keragaman suku bangsa, sosial, dan budaya di Indonesia yang terikat persatuan dan kesatuan.</v>
      </c>
      <c r="BQ47" s="307" t="str">
        <f t="shared" si="21"/>
        <v xml:space="preserve"> cukup baik  dalam menjelaskan manfaat keberagaman karakteristik individu dalam kehidupan sehari-hari.</v>
      </c>
      <c r="BR47" s="307" t="str">
        <f t="shared" si="22"/>
        <v xml:space="preserve"> cukup baik  dalam mengidentifikasi berbagai bentuk keragaman suku bangsa, sosial, dan budaya di Indonesia yang terikat persatuan dan kesatuan., dan  cukup baik  dalam menjelaskan manfaat keberagaman karakteristik individu dalam kehidupan sehari-hari.</v>
      </c>
      <c r="BS47" s="307" t="str">
        <f t="shared" si="23"/>
        <v xml:space="preserve"> </v>
      </c>
      <c r="BT47" s="308" t="str">
        <f t="shared" si="24"/>
        <v xml:space="preserve"> cukup baik  dalam mengidentifikasi berbagai bentuk keragaman suku bangsa, sosial, dan budaya di Indonesia yang terikat persatuan dan kesatuan., dan  cukup baik  dalam menjelaskan manfaat keberagaman karakteristik individu dalam kehidupan sehari-hari.</v>
      </c>
      <c r="BU47" s="301" t="str">
        <f t="shared" si="42"/>
        <v>Anak 43 cukup baik  dalam mengidentifikasi berbagai bentuk keragaman suku bangsa, sosial, dan budaya di Indonesia yang terikat persatuan dan kesatuan., dan  cukup baik  dalam menjelaskan manfaat keberagaman karakteristik individu dalam kehidupan sehari-hari.</v>
      </c>
    </row>
    <row r="48" spans="2:73" ht="59.25" customHeight="1">
      <c r="B48" s="109">
        <v>44</v>
      </c>
      <c r="C48" s="110">
        <f>SISWA!B49</f>
        <v>0</v>
      </c>
      <c r="D48" s="111" t="str">
        <f>SISWA!E49</f>
        <v>Anak 44</v>
      </c>
      <c r="E48" s="631">
        <v>99</v>
      </c>
      <c r="F48" s="631">
        <v>99</v>
      </c>
      <c r="G48" s="631">
        <v>99</v>
      </c>
      <c r="H48" s="631"/>
      <c r="I48" s="631"/>
      <c r="J48" s="631"/>
      <c r="K48" s="610"/>
      <c r="L48" s="631"/>
      <c r="M48" s="631">
        <v>74.5</v>
      </c>
      <c r="N48" s="631">
        <v>80.25</v>
      </c>
      <c r="O48" s="631"/>
      <c r="P48" s="631"/>
      <c r="Q48" s="631"/>
      <c r="R48" s="610"/>
      <c r="S48" s="729">
        <v>99</v>
      </c>
      <c r="T48" s="729">
        <v>99</v>
      </c>
      <c r="U48" s="729">
        <v>99</v>
      </c>
      <c r="V48" s="729"/>
      <c r="W48" s="729"/>
      <c r="X48" s="729"/>
      <c r="Y48" s="518"/>
      <c r="Z48" s="607">
        <f t="shared" si="33"/>
        <v>99</v>
      </c>
      <c r="AA48" s="607">
        <f t="shared" si="34"/>
        <v>92.875</v>
      </c>
      <c r="AB48" s="607">
        <f t="shared" si="29"/>
        <v>94.3125</v>
      </c>
      <c r="AC48" s="607" t="str">
        <f t="shared" si="30"/>
        <v/>
      </c>
      <c r="AD48" s="607" t="str">
        <f t="shared" si="31"/>
        <v/>
      </c>
      <c r="AE48" s="607" t="str">
        <f t="shared" si="32"/>
        <v/>
      </c>
      <c r="AF48" s="528"/>
      <c r="AG48" s="528"/>
      <c r="AH48" s="528"/>
      <c r="AI48" s="302">
        <f t="shared" si="35"/>
        <v>95</v>
      </c>
      <c r="AJ48" s="303" t="str">
        <f>IF(AI48&gt;KKM!$G$10,"A",IF(AI48&gt;KKM!$H$10,"B",IF(AI48&gt;=KKM!$I$10,"C","D")))</f>
        <v>A</v>
      </c>
      <c r="AK48" s="523">
        <f t="shared" si="36"/>
        <v>99</v>
      </c>
      <c r="AL48" s="115" t="str">
        <f>IF(AK48&gt;KKM!$G$10," sangat baik ",IF(AK48&gt;KKM!$H$10," baik ",IF(AK48&gt;=KKM!$I$10," cukup baik "," perlu bimbingan ")))</f>
        <v xml:space="preserve"> sangat baik </v>
      </c>
      <c r="AM48" s="524">
        <f t="shared" si="37"/>
        <v>92.875</v>
      </c>
      <c r="AN48" s="115" t="str">
        <f>IF(AM48&gt;KKM!$G$10," sangat baik ",IF(AM48&gt;KKM!$H$10," baik ",IF(AM48&gt;=KKM!$I$10," cukup baik "," perlu bimbingan ")))</f>
        <v xml:space="preserve"> sangat baik </v>
      </c>
      <c r="AO48" s="301" t="str">
        <f t="shared" si="13"/>
        <v>Anak 44 sangat baik  dalam mengidentifikasi pelaksanaan kewajiban dan hak sebagai warga masyarakat dalam kehidupan sehari-hari., dan  sangat baik  dalam menjelaskan manfaat keberagaman karakteristik individu dalam kehidupan sehari-hari.</v>
      </c>
      <c r="AP48" s="306"/>
      <c r="AQ48" s="307" t="str">
        <f t="shared" si="38"/>
        <v xml:space="preserve"> sangat baik  dalam mengidentifikasi pelaksanaan kewajiban dan hak sebagai warga masyarakat dalam kehidupan sehari-hari.</v>
      </c>
      <c r="AR48" s="307" t="str">
        <f t="shared" si="39"/>
        <v xml:space="preserve"> sangat baik  dalam menjelaskan manfaat keberagaman karakteristik individu dalam kehidupan sehari-hari.</v>
      </c>
      <c r="AS48" s="307" t="str">
        <f t="shared" si="14"/>
        <v xml:space="preserve"> sangat baik  dalam mengidentifikasi pelaksanaan kewajiban dan hak sebagai warga masyarakat dalam kehidupan sehari-hari., dan  sangat baik  dalam menjelaskan manfaat keberagaman karakteristik individu dalam kehidupan sehari-hari.</v>
      </c>
      <c r="AT48" s="307" t="str">
        <f t="shared" si="15"/>
        <v xml:space="preserve"> </v>
      </c>
      <c r="AU48" s="308" t="str">
        <f t="shared" si="16"/>
        <v xml:space="preserve"> sangat baik  dalam mengidentifikasi pelaksanaan kewajiban dan hak sebagai warga masyarakat dalam kehidupan sehari-hari., dan  sangat baik  dalam menjelaskan manfaat keberagaman karakteristik individu dalam kehidupan sehari-hari.</v>
      </c>
      <c r="AV48" s="301" t="str">
        <f t="shared" si="40"/>
        <v>Anak 44 sangat baik  dalam mengidentifikasi pelaksanaan kewajiban dan hak sebagai warga masyarakat dalam kehidupan sehari-hari., dan  sangat baik  dalam menjelaskan manfaat keberagaman karakteristik individu dalam kehidupan sehari-hari.</v>
      </c>
      <c r="AW48" s="120"/>
      <c r="BF48" s="408">
        <f t="shared" si="17"/>
        <v>95</v>
      </c>
      <c r="BI48" s="302">
        <f t="shared" si="41"/>
        <v>77</v>
      </c>
      <c r="BJ48" s="303" t="str">
        <f>IF(BI48&gt;KKM!$G$10,"A",IF(BI48&gt;KKM!$H$10,"B",IF(BI48&gt;=KKM!$I$10,"C","D")))</f>
        <v>C</v>
      </c>
      <c r="BK48" s="523">
        <f t="shared" si="18"/>
        <v>80.25</v>
      </c>
      <c r="BL48" s="115" t="str">
        <f>IF(BK48&gt;KKM!$G$10," sangat baik ",IF(BK48&gt;KKM!$H$10," baik ",IF(BK48&gt;=KKM!$I$10," cukup baik "," perlu bimbingan ")))</f>
        <v xml:space="preserve"> baik </v>
      </c>
      <c r="BM48" s="524">
        <f t="shared" si="19"/>
        <v>74.5</v>
      </c>
      <c r="BN48" s="115" t="str">
        <f>IF(BM48&gt;KKM!$G$10," sangat baik ",IF(BM48&gt;KKM!$H$10," baik ",IF(BM48&gt;=KKM!$I$10," cukup baik "," perlu bimbingan ")))</f>
        <v xml:space="preserve"> cukup baik </v>
      </c>
      <c r="BO48" s="301" t="str">
        <f t="shared" si="25"/>
        <v>Anak 44 baik  dalam mengidentifikasi berbagai bentuk keragaman suku bangsa, sosial, dan budaya di Indonesia yang terikat persatuan dan kesatuan., dan  cukup baik  dalam menjelaskan manfaat keberagaman karakteristik individu dalam kehidupan sehari-hari.</v>
      </c>
      <c r="BP48" s="307" t="str">
        <f t="shared" si="20"/>
        <v xml:space="preserve"> baik  dalam mengidentifikasi berbagai bentuk keragaman suku bangsa, sosial, dan budaya di Indonesia yang terikat persatuan dan kesatuan.</v>
      </c>
      <c r="BQ48" s="307" t="str">
        <f t="shared" si="21"/>
        <v xml:space="preserve"> cukup baik  dalam menjelaskan manfaat keberagaman karakteristik individu dalam kehidupan sehari-hari.</v>
      </c>
      <c r="BR48" s="307" t="str">
        <f t="shared" si="22"/>
        <v xml:space="preserve"> baik  dalam mengidentifikasi berbagai bentuk keragaman suku bangsa, sosial, dan budaya di Indonesia yang terikat persatuan dan kesatuan., dan  cukup baik  dalam menjelaskan manfaat keberagaman karakteristik individu dalam kehidupan sehari-hari.</v>
      </c>
      <c r="BS48" s="307" t="str">
        <f t="shared" si="23"/>
        <v xml:space="preserve"> </v>
      </c>
      <c r="BT48" s="308" t="str">
        <f t="shared" si="24"/>
        <v xml:space="preserve"> baik  dalam mengidentifikasi berbagai bentuk keragaman suku bangsa, sosial, dan budaya di Indonesia yang terikat persatuan dan kesatuan., dan  cukup baik  dalam menjelaskan manfaat keberagaman karakteristik individu dalam kehidupan sehari-hari.</v>
      </c>
      <c r="BU48" s="301" t="str">
        <f t="shared" si="42"/>
        <v>Anak 44 baik  dalam mengidentifikasi berbagai bentuk keragaman suku bangsa, sosial, dan budaya di Indonesia yang terikat persatuan dan kesatuan., dan  cukup baik  dalam menjelaskan manfaat keberagaman karakteristik individu dalam kehidupan sehari-hari.</v>
      </c>
    </row>
    <row r="49" spans="2:73" ht="59.25" customHeight="1">
      <c r="B49" s="109">
        <v>45</v>
      </c>
      <c r="C49" s="110">
        <f>SISWA!B50</f>
        <v>0</v>
      </c>
      <c r="D49" s="111" t="str">
        <f>SISWA!E50</f>
        <v>Anak 45</v>
      </c>
      <c r="E49" s="631">
        <v>99</v>
      </c>
      <c r="F49" s="631">
        <v>99</v>
      </c>
      <c r="G49" s="631">
        <v>99</v>
      </c>
      <c r="H49" s="631"/>
      <c r="I49" s="631"/>
      <c r="J49" s="631"/>
      <c r="K49" s="610"/>
      <c r="L49" s="631"/>
      <c r="M49" s="631">
        <v>74.5</v>
      </c>
      <c r="N49" s="631">
        <v>72.25</v>
      </c>
      <c r="O49" s="631"/>
      <c r="P49" s="631"/>
      <c r="Q49" s="631"/>
      <c r="R49" s="610"/>
      <c r="S49" s="729">
        <v>99</v>
      </c>
      <c r="T49" s="729">
        <v>99</v>
      </c>
      <c r="U49" s="729">
        <v>99</v>
      </c>
      <c r="V49" s="729"/>
      <c r="W49" s="729"/>
      <c r="X49" s="729"/>
      <c r="Y49" s="518"/>
      <c r="Z49" s="607">
        <f t="shared" si="33"/>
        <v>99</v>
      </c>
      <c r="AA49" s="607">
        <f t="shared" si="34"/>
        <v>92.875</v>
      </c>
      <c r="AB49" s="607">
        <f t="shared" si="29"/>
        <v>92.3125</v>
      </c>
      <c r="AC49" s="607" t="str">
        <f t="shared" si="30"/>
        <v/>
      </c>
      <c r="AD49" s="607" t="str">
        <f t="shared" si="31"/>
        <v/>
      </c>
      <c r="AE49" s="607" t="str">
        <f t="shared" si="32"/>
        <v/>
      </c>
      <c r="AF49" s="528"/>
      <c r="AG49" s="528"/>
      <c r="AH49" s="528"/>
      <c r="AI49" s="302">
        <f t="shared" si="35"/>
        <v>95</v>
      </c>
      <c r="AJ49" s="303" t="str">
        <f>IF(AI49&gt;KKM!$G$10,"A",IF(AI49&gt;KKM!$H$10,"B",IF(AI49&gt;=KKM!$I$10,"C","D")))</f>
        <v>A</v>
      </c>
      <c r="AK49" s="523">
        <f t="shared" si="36"/>
        <v>99</v>
      </c>
      <c r="AL49" s="115" t="str">
        <f>IF(AK49&gt;KKM!$G$10," sangat baik ",IF(AK49&gt;KKM!$H$10," baik ",IF(AK49&gt;=KKM!$I$10," cukup baik "," perlu bimbingan ")))</f>
        <v xml:space="preserve"> sangat baik </v>
      </c>
      <c r="AM49" s="524">
        <f t="shared" si="37"/>
        <v>92.3125</v>
      </c>
      <c r="AN49" s="115" t="str">
        <f>IF(AM49&gt;KKM!$G$10," sangat baik ",IF(AM49&gt;KKM!$H$10," baik ",IF(AM49&gt;=KKM!$I$10," cukup baik "," perlu bimbingan ")))</f>
        <v xml:space="preserve"> sangat baik </v>
      </c>
      <c r="AO49" s="301" t="str">
        <f t="shared" si="13"/>
        <v>Anak 45 sangat baik  dalam mengidentifikasi pelaksanaan kewajiban dan hak sebagai warga masyarakat dalam kehidupan sehari-hari., dan  sangat baik  dalam mengidentifikasi berbagai bentuk keragaman suku bangsa, sosial, dan budaya di Indonesia yang terikat persatuan dan kesatuan.</v>
      </c>
      <c r="AP49" s="306"/>
      <c r="AQ49" s="307" t="str">
        <f t="shared" si="38"/>
        <v xml:space="preserve"> sangat baik  dalam mengidentifikasi pelaksanaan kewajiban dan hak sebagai warga masyarakat dalam kehidupan sehari-hari.</v>
      </c>
      <c r="AR49" s="307" t="str">
        <f t="shared" si="39"/>
        <v xml:space="preserve"> sangat baik  dalam mengidentifikasi berbagai bentuk keragaman suku bangsa, sosial, dan budaya di Indonesia yang terikat persatuan dan kesatuan.</v>
      </c>
      <c r="AS49"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49" s="307" t="str">
        <f t="shared" si="15"/>
        <v xml:space="preserve"> </v>
      </c>
      <c r="AU49"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49" s="301" t="str">
        <f t="shared" si="40"/>
        <v>Anak 45 sangat baik  dalam mengidentifikasi pelaksanaan kewajiban dan hak sebagai warga masyarakat dalam kehidupan sehari-hari., dan  sangat baik  dalam mengidentifikasi berbagai bentuk keragaman suku bangsa, sosial, dan budaya di Indonesia yang terikat persatuan dan kesatuan.</v>
      </c>
      <c r="AW49" s="120"/>
      <c r="BF49" s="408">
        <f t="shared" si="17"/>
        <v>95</v>
      </c>
      <c r="BI49" s="302">
        <f t="shared" si="41"/>
        <v>73</v>
      </c>
      <c r="BJ49" s="303" t="str">
        <f>IF(BI49&gt;KKM!$G$10,"A",IF(BI49&gt;KKM!$H$10,"B",IF(BI49&gt;=KKM!$I$10,"C","D")))</f>
        <v>C</v>
      </c>
      <c r="BK49" s="523">
        <f t="shared" si="18"/>
        <v>74.5</v>
      </c>
      <c r="BL49" s="115" t="str">
        <f>IF(BK49&gt;KKM!$G$10," sangat baik ",IF(BK49&gt;KKM!$H$10," baik ",IF(BK49&gt;=KKM!$I$10," cukup baik "," perlu bimbingan ")))</f>
        <v xml:space="preserve"> cukup baik </v>
      </c>
      <c r="BM49" s="524">
        <f t="shared" si="19"/>
        <v>72.25</v>
      </c>
      <c r="BN49" s="115" t="str">
        <f>IF(BM49&gt;KKM!$G$10," sangat baik ",IF(BM49&gt;KKM!$H$10," baik ",IF(BM49&gt;=KKM!$I$10," cukup baik "," perlu bimbingan ")))</f>
        <v xml:space="preserve"> cukup baik </v>
      </c>
      <c r="BO49" s="301" t="str">
        <f t="shared" si="25"/>
        <v>Anak 45 cukup baik  dalam menjelaskan manfaat keberagaman karakteristik individu dalam kehidupan sehari-hari., dan  cukup baik  dalam mengidentifikasi berbagai bentuk keragaman suku bangsa, sosial, dan budaya di Indonesia yang terikat persatuan dan kesatuan.</v>
      </c>
      <c r="BP49" s="307" t="str">
        <f t="shared" si="20"/>
        <v xml:space="preserve"> cukup baik  dalam menjelaskan manfaat keberagaman karakteristik individu dalam kehidupan sehari-hari.</v>
      </c>
      <c r="BQ49" s="307" t="str">
        <f t="shared" si="21"/>
        <v xml:space="preserve"> cukup baik  dalam mengidentifikasi berbagai bentuk keragaman suku bangsa, sosial, dan budaya di Indonesia yang terikat persatuan dan kesatuan.</v>
      </c>
      <c r="BR49" s="307" t="str">
        <f t="shared" si="22"/>
        <v xml:space="preserve"> cukup baik  dalam menjelaskan manfaat keberagaman karakteristik individu dalam kehidupan sehari-hari., dan  cukup baik  dalam mengidentifikasi berbagai bentuk keragaman suku bangsa, sosial, dan budaya di Indonesia yang terikat persatuan dan kesatuan.</v>
      </c>
      <c r="BS49" s="307" t="str">
        <f t="shared" si="23"/>
        <v xml:space="preserve"> </v>
      </c>
      <c r="BT49" s="308" t="str">
        <f t="shared" si="24"/>
        <v xml:space="preserve"> cukup baik  dalam menjelaskan manfaat keberagaman karakteristik individu dalam kehidupan sehari-hari., dan  cukup baik  dalam mengidentifikasi berbagai bentuk keragaman suku bangsa, sosial, dan budaya di Indonesia yang terikat persatuan dan kesatuan.</v>
      </c>
      <c r="BU49" s="301" t="str">
        <f t="shared" si="42"/>
        <v>Anak 45 cukup baik  dalam menjelaskan manfaat keberagaman karakteristik individu dalam kehidupan sehari-hari., dan  cukup baik  dalam mengidentifikasi berbagai bentuk keragaman suku bangsa, sosial, dan budaya di Indonesia yang terikat persatuan dan kesatuan.</v>
      </c>
    </row>
    <row r="50" spans="2:73" ht="59.25" customHeight="1">
      <c r="B50" s="109">
        <v>46</v>
      </c>
      <c r="C50" s="110">
        <f>SISWA!B51</f>
        <v>0</v>
      </c>
      <c r="D50" s="111" t="str">
        <f>SISWA!E51</f>
        <v>Anak 46</v>
      </c>
      <c r="E50" s="631">
        <v>99</v>
      </c>
      <c r="F50" s="631">
        <v>99</v>
      </c>
      <c r="G50" s="631">
        <v>99</v>
      </c>
      <c r="H50" s="631"/>
      <c r="I50" s="631"/>
      <c r="J50" s="631"/>
      <c r="K50" s="610"/>
      <c r="L50" s="631"/>
      <c r="M50" s="631">
        <v>84</v>
      </c>
      <c r="N50" s="631">
        <v>84</v>
      </c>
      <c r="O50" s="631"/>
      <c r="P50" s="631"/>
      <c r="Q50" s="631"/>
      <c r="R50" s="610"/>
      <c r="S50" s="729">
        <v>99</v>
      </c>
      <c r="T50" s="729">
        <v>99</v>
      </c>
      <c r="U50" s="729">
        <v>99</v>
      </c>
      <c r="V50" s="729"/>
      <c r="W50" s="729"/>
      <c r="X50" s="729"/>
      <c r="Y50" s="518"/>
      <c r="Z50" s="607">
        <f t="shared" si="33"/>
        <v>99</v>
      </c>
      <c r="AA50" s="607">
        <f t="shared" si="34"/>
        <v>95.25</v>
      </c>
      <c r="AB50" s="607">
        <f t="shared" si="29"/>
        <v>95.25</v>
      </c>
      <c r="AC50" s="607" t="str">
        <f t="shared" si="30"/>
        <v/>
      </c>
      <c r="AD50" s="607" t="str">
        <f t="shared" si="31"/>
        <v/>
      </c>
      <c r="AE50" s="607" t="str">
        <f t="shared" si="32"/>
        <v/>
      </c>
      <c r="AF50" s="528"/>
      <c r="AG50" s="528"/>
      <c r="AH50" s="528"/>
      <c r="AI50" s="302">
        <f t="shared" si="35"/>
        <v>97</v>
      </c>
      <c r="AJ50" s="303" t="str">
        <f>IF(AI50&gt;KKM!$G$10,"A",IF(AI50&gt;KKM!$H$10,"B",IF(AI50&gt;=KKM!$I$10,"C","D")))</f>
        <v>A</v>
      </c>
      <c r="AK50" s="523">
        <f t="shared" si="36"/>
        <v>99</v>
      </c>
      <c r="AL50" s="115" t="str">
        <f>IF(AK50&gt;KKM!$G$10," sangat baik ",IF(AK50&gt;KKM!$H$10," baik ",IF(AK50&gt;=KKM!$I$10," cukup baik "," perlu bimbingan ")))</f>
        <v xml:space="preserve"> sangat baik </v>
      </c>
      <c r="AM50" s="524">
        <f t="shared" si="37"/>
        <v>95.25</v>
      </c>
      <c r="AN50" s="115" t="str">
        <f>IF(AM50&gt;KKM!$G$10," sangat baik ",IF(AM50&gt;KKM!$H$10," baik ",IF(AM50&gt;=KKM!$I$10," cukup baik "," perlu bimbingan ")))</f>
        <v xml:space="preserve"> sangat baik </v>
      </c>
      <c r="AO50" s="301" t="str">
        <f t="shared" si="13"/>
        <v>Anak 46 sangat baik  dalam mengidentifikasi pelaksanaan kewajiban dan hak sebagai warga masyarakat dalam kehidupan sehari-hari., dan  sangat baik  dalam menjelaskan manfaat keberagaman karakteristik individu dalam kehidupan sehari-hari.</v>
      </c>
      <c r="AP50" s="306"/>
      <c r="AQ50" s="307" t="str">
        <f t="shared" si="38"/>
        <v xml:space="preserve"> sangat baik  dalam mengidentifikasi pelaksanaan kewajiban dan hak sebagai warga masyarakat dalam kehidupan sehari-hari.</v>
      </c>
      <c r="AR50" s="307" t="str">
        <f t="shared" si="39"/>
        <v xml:space="preserve"> sangat baik  dalam menjelaskan manfaat keberagaman karakteristik individu dalam kehidupan sehari-hari.</v>
      </c>
      <c r="AS50" s="307" t="str">
        <f t="shared" si="14"/>
        <v xml:space="preserve"> sangat baik  dalam mengidentifikasi pelaksanaan kewajiban dan hak sebagai warga masyarakat dalam kehidupan sehari-hari., dan  sangat baik  dalam menjelaskan manfaat keberagaman karakteristik individu dalam kehidupan sehari-hari.</v>
      </c>
      <c r="AT50" s="307" t="str">
        <f t="shared" si="15"/>
        <v xml:space="preserve"> </v>
      </c>
      <c r="AU50" s="308" t="str">
        <f t="shared" si="16"/>
        <v xml:space="preserve"> sangat baik  dalam mengidentifikasi pelaksanaan kewajiban dan hak sebagai warga masyarakat dalam kehidupan sehari-hari., dan  sangat baik  dalam menjelaskan manfaat keberagaman karakteristik individu dalam kehidupan sehari-hari.</v>
      </c>
      <c r="AV50" s="301" t="str">
        <f t="shared" si="40"/>
        <v>Anak 46 sangat baik  dalam mengidentifikasi pelaksanaan kewajiban dan hak sebagai warga masyarakat dalam kehidupan sehari-hari., dan  sangat baik  dalam menjelaskan manfaat keberagaman karakteristik individu dalam kehidupan sehari-hari.</v>
      </c>
      <c r="AW50" s="120"/>
      <c r="BF50" s="408">
        <f t="shared" si="17"/>
        <v>97</v>
      </c>
      <c r="BI50" s="302">
        <f t="shared" si="41"/>
        <v>84</v>
      </c>
      <c r="BJ50" s="303" t="str">
        <f>IF(BI50&gt;KKM!$G$10,"A",IF(BI50&gt;KKM!$H$10,"B",IF(BI50&gt;=KKM!$I$10,"C","D")))</f>
        <v>B</v>
      </c>
      <c r="BK50" s="523">
        <f t="shared" si="18"/>
        <v>84</v>
      </c>
      <c r="BL50" s="115" t="str">
        <f>IF(BK50&gt;KKM!$G$10," sangat baik ",IF(BK50&gt;KKM!$H$10," baik ",IF(BK50&gt;=KKM!$I$10," cukup baik "," perlu bimbingan ")))</f>
        <v xml:space="preserve"> baik </v>
      </c>
      <c r="BM50" s="524">
        <f t="shared" si="19"/>
        <v>84</v>
      </c>
      <c r="BN50" s="115" t="str">
        <f>IF(BM50&gt;KKM!$G$10," sangat baik ",IF(BM50&gt;KKM!$H$10," baik ",IF(BM50&gt;=KKM!$I$10," cukup baik "," perlu bimbingan ")))</f>
        <v xml:space="preserve"> baik </v>
      </c>
      <c r="BO50" s="301" t="str">
        <f t="shared" si="25"/>
        <v>Anak 46 baik  dalam menjelaskan manfaat keberagaman karakteristik individu dalam kehidupan sehari-hari.</v>
      </c>
      <c r="BP50" s="307" t="str">
        <f t="shared" si="20"/>
        <v xml:space="preserve"> baik  dalam menjelaskan manfaat keberagaman karakteristik individu dalam kehidupan sehari-hari.</v>
      </c>
      <c r="BQ50" s="307" t="str">
        <f t="shared" si="21"/>
        <v xml:space="preserve"> baik  dalam menjelaskan manfaat keberagaman karakteristik individu dalam kehidupan sehari-hari.</v>
      </c>
      <c r="BR50" s="307" t="str">
        <f t="shared" si="22"/>
        <v xml:space="preserve"> baik  dalam menjelaskan manfaat keberagaman karakteristik individu dalam kehidupan sehari-hari., dan  baik  dalam menjelaskan manfaat keberagaman karakteristik individu dalam kehidupan sehari-hari.</v>
      </c>
      <c r="BS50" s="307" t="str">
        <f t="shared" si="23"/>
        <v xml:space="preserve"> baik  dalam menjelaskan manfaat keberagaman karakteristik individu dalam kehidupan sehari-hari.</v>
      </c>
      <c r="BT50" s="308" t="str">
        <f t="shared" si="24"/>
        <v xml:space="preserve"> baik  dalam menjelaskan manfaat keberagaman karakteristik individu dalam kehidupan sehari-hari.</v>
      </c>
      <c r="BU50" s="301" t="str">
        <f t="shared" si="42"/>
        <v>Anak 46 baik  dalam menjelaskan manfaat keberagaman karakteristik individu dalam kehidupan sehari-hari.</v>
      </c>
    </row>
    <row r="51" spans="2:73" ht="59.25" customHeight="1">
      <c r="B51" s="109">
        <v>47</v>
      </c>
      <c r="C51" s="110">
        <f>SISWA!B52</f>
        <v>0</v>
      </c>
      <c r="D51" s="111" t="str">
        <f>SISWA!E52</f>
        <v>Anak 47</v>
      </c>
      <c r="E51" s="631">
        <v>99</v>
      </c>
      <c r="F51" s="631">
        <v>99</v>
      </c>
      <c r="G51" s="631">
        <v>99</v>
      </c>
      <c r="H51" s="631"/>
      <c r="I51" s="631"/>
      <c r="J51" s="631"/>
      <c r="K51" s="610"/>
      <c r="L51" s="631"/>
      <c r="M51" s="631">
        <v>68.75</v>
      </c>
      <c r="N51" s="631">
        <v>68.75</v>
      </c>
      <c r="O51" s="631"/>
      <c r="P51" s="631"/>
      <c r="Q51" s="631"/>
      <c r="R51" s="610"/>
      <c r="S51" s="729">
        <v>99</v>
      </c>
      <c r="T51" s="729">
        <v>99</v>
      </c>
      <c r="U51" s="729">
        <v>99</v>
      </c>
      <c r="V51" s="729"/>
      <c r="W51" s="729"/>
      <c r="X51" s="729"/>
      <c r="Y51" s="518"/>
      <c r="Z51" s="607">
        <f t="shared" si="33"/>
        <v>99</v>
      </c>
      <c r="AA51" s="607">
        <f t="shared" si="34"/>
        <v>91.4375</v>
      </c>
      <c r="AB51" s="607">
        <f t="shared" si="29"/>
        <v>91.4375</v>
      </c>
      <c r="AC51" s="607" t="str">
        <f t="shared" si="30"/>
        <v/>
      </c>
      <c r="AD51" s="607" t="str">
        <f t="shared" si="31"/>
        <v/>
      </c>
      <c r="AE51" s="607" t="str">
        <f t="shared" si="32"/>
        <v/>
      </c>
      <c r="AF51" s="528"/>
      <c r="AG51" s="528"/>
      <c r="AH51" s="528"/>
      <c r="AI51" s="302">
        <f t="shared" si="35"/>
        <v>94</v>
      </c>
      <c r="AJ51" s="303" t="str">
        <f>IF(AI51&gt;KKM!$G$10,"A",IF(AI51&gt;KKM!$H$10,"B",IF(AI51&gt;=KKM!$I$10,"C","D")))</f>
        <v>A</v>
      </c>
      <c r="AK51" s="523">
        <f t="shared" si="36"/>
        <v>99</v>
      </c>
      <c r="AL51" s="115" t="str">
        <f>IF(AK51&gt;KKM!$G$10," sangat baik ",IF(AK51&gt;KKM!$H$10," baik ",IF(AK51&gt;=KKM!$I$10," cukup baik "," perlu bimbingan ")))</f>
        <v xml:space="preserve"> sangat baik </v>
      </c>
      <c r="AM51" s="524">
        <f t="shared" si="37"/>
        <v>91.4375</v>
      </c>
      <c r="AN51" s="115" t="str">
        <f>IF(AM51&gt;KKM!$G$10," sangat baik ",IF(AM51&gt;KKM!$H$10," baik ",IF(AM51&gt;=KKM!$I$10," cukup baik "," perlu bimbingan ")))</f>
        <v xml:space="preserve"> sangat baik </v>
      </c>
      <c r="AO51" s="301" t="str">
        <f t="shared" si="13"/>
        <v>Anak 47 sangat baik  dalam mengidentifikasi pelaksanaan kewajiban dan hak sebagai warga masyarakat dalam kehidupan sehari-hari., dan  sangat baik  dalam menjelaskan manfaat keberagaman karakteristik individu dalam kehidupan sehari-hari.</v>
      </c>
      <c r="AP51" s="306"/>
      <c r="AQ51" s="307" t="str">
        <f t="shared" si="38"/>
        <v xml:space="preserve"> sangat baik  dalam mengidentifikasi pelaksanaan kewajiban dan hak sebagai warga masyarakat dalam kehidupan sehari-hari.</v>
      </c>
      <c r="AR51" s="307" t="str">
        <f t="shared" si="39"/>
        <v xml:space="preserve"> sangat baik  dalam menjelaskan manfaat keberagaman karakteristik individu dalam kehidupan sehari-hari.</v>
      </c>
      <c r="AS51" s="307" t="str">
        <f t="shared" si="14"/>
        <v xml:space="preserve"> sangat baik  dalam mengidentifikasi pelaksanaan kewajiban dan hak sebagai warga masyarakat dalam kehidupan sehari-hari., dan  sangat baik  dalam menjelaskan manfaat keberagaman karakteristik individu dalam kehidupan sehari-hari.</v>
      </c>
      <c r="AT51" s="307" t="str">
        <f t="shared" si="15"/>
        <v xml:space="preserve"> </v>
      </c>
      <c r="AU51" s="308" t="str">
        <f t="shared" si="16"/>
        <v xml:space="preserve"> sangat baik  dalam mengidentifikasi pelaksanaan kewajiban dan hak sebagai warga masyarakat dalam kehidupan sehari-hari., dan  sangat baik  dalam menjelaskan manfaat keberagaman karakteristik individu dalam kehidupan sehari-hari.</v>
      </c>
      <c r="AV51" s="301" t="str">
        <f t="shared" si="40"/>
        <v>Anak 47 sangat baik  dalam mengidentifikasi pelaksanaan kewajiban dan hak sebagai warga masyarakat dalam kehidupan sehari-hari., dan  sangat baik  dalam menjelaskan manfaat keberagaman karakteristik individu dalam kehidupan sehari-hari.</v>
      </c>
      <c r="AW51" s="120"/>
      <c r="BF51" s="408">
        <f t="shared" si="17"/>
        <v>94</v>
      </c>
      <c r="BI51" s="302">
        <f t="shared" si="41"/>
        <v>69</v>
      </c>
      <c r="BJ51" s="303" t="str">
        <f>IF(BI51&gt;KKM!$G$10,"A",IF(BI51&gt;KKM!$H$10,"B",IF(BI51&gt;=KKM!$I$10,"C","D")))</f>
        <v>D</v>
      </c>
      <c r="BK51" s="523">
        <f t="shared" si="18"/>
        <v>68.75</v>
      </c>
      <c r="BL51" s="115" t="str">
        <f>IF(BK51&gt;KKM!$G$10," sangat baik ",IF(BK51&gt;KKM!$H$10," baik ",IF(BK51&gt;=KKM!$I$10," cukup baik "," perlu bimbingan ")))</f>
        <v xml:space="preserve"> perlu bimbingan </v>
      </c>
      <c r="BM51" s="524">
        <f t="shared" si="19"/>
        <v>68.75</v>
      </c>
      <c r="BN51" s="115" t="str">
        <f>IF(BM51&gt;KKM!$G$10," sangat baik ",IF(BM51&gt;KKM!$H$10," baik ",IF(BM51&gt;=KKM!$I$10," cukup baik "," perlu bimbingan ")))</f>
        <v xml:space="preserve"> perlu bimbingan </v>
      </c>
      <c r="BO51" s="301" t="str">
        <f t="shared" si="25"/>
        <v>Anak 47 perlu bimbingan  dalam menjelaskan manfaat keberagaman karakteristik individu dalam kehidupan sehari-hari.</v>
      </c>
      <c r="BP51" s="307" t="str">
        <f t="shared" si="20"/>
        <v xml:space="preserve"> perlu bimbingan  dalam menjelaskan manfaat keberagaman karakteristik individu dalam kehidupan sehari-hari.</v>
      </c>
      <c r="BQ51" s="307" t="str">
        <f t="shared" si="21"/>
        <v xml:space="preserve"> perlu bimbingan  dalam menjelaskan manfaat keberagaman karakteristik individu dalam kehidupan sehari-hari.</v>
      </c>
      <c r="BR51" s="307" t="str">
        <f t="shared" si="22"/>
        <v xml:space="preserve"> perlu bimbingan  dalam menjelaskan manfaat keberagaman karakteristik individu dalam kehidupan sehari-hari., dan  perlu bimbingan  dalam menjelaskan manfaat keberagaman karakteristik individu dalam kehidupan sehari-hari.</v>
      </c>
      <c r="BS51" s="307" t="str">
        <f t="shared" si="23"/>
        <v xml:space="preserve"> perlu bimbingan  dalam menjelaskan manfaat keberagaman karakteristik individu dalam kehidupan sehari-hari.</v>
      </c>
      <c r="BT51" s="308" t="str">
        <f t="shared" si="24"/>
        <v xml:space="preserve"> perlu bimbingan  dalam menjelaskan manfaat keberagaman karakteristik individu dalam kehidupan sehari-hari.</v>
      </c>
      <c r="BU51" s="301" t="str">
        <f t="shared" si="42"/>
        <v>Anak 47 perlu bimbingan  dalam menjelaskan manfaat keberagaman karakteristik individu dalam kehidupan sehari-hari.</v>
      </c>
    </row>
    <row r="52" spans="2:73" ht="59.25" customHeight="1">
      <c r="B52" s="109">
        <v>48</v>
      </c>
      <c r="C52" s="110">
        <f>SISWA!B53</f>
        <v>0</v>
      </c>
      <c r="D52" s="111" t="str">
        <f>SISWA!E53</f>
        <v>Anak 48</v>
      </c>
      <c r="E52" s="631">
        <v>99</v>
      </c>
      <c r="F52" s="631">
        <v>99</v>
      </c>
      <c r="G52" s="631">
        <v>99</v>
      </c>
      <c r="H52" s="631"/>
      <c r="I52" s="631"/>
      <c r="J52" s="631"/>
      <c r="K52" s="610"/>
      <c r="L52" s="631"/>
      <c r="M52" s="631">
        <v>69.75</v>
      </c>
      <c r="N52" s="631">
        <v>69.75</v>
      </c>
      <c r="O52" s="631"/>
      <c r="P52" s="631"/>
      <c r="Q52" s="631"/>
      <c r="R52" s="610"/>
      <c r="S52" s="729">
        <v>99</v>
      </c>
      <c r="T52" s="729">
        <v>99</v>
      </c>
      <c r="U52" s="729">
        <v>99</v>
      </c>
      <c r="V52" s="729"/>
      <c r="W52" s="729"/>
      <c r="X52" s="729"/>
      <c r="Y52" s="518"/>
      <c r="Z52" s="607">
        <f t="shared" si="33"/>
        <v>99</v>
      </c>
      <c r="AA52" s="607">
        <f t="shared" si="34"/>
        <v>91.6875</v>
      </c>
      <c r="AB52" s="607">
        <f t="shared" si="29"/>
        <v>91.6875</v>
      </c>
      <c r="AC52" s="607" t="str">
        <f t="shared" si="30"/>
        <v/>
      </c>
      <c r="AD52" s="607" t="str">
        <f t="shared" si="31"/>
        <v/>
      </c>
      <c r="AE52" s="607" t="str">
        <f t="shared" si="32"/>
        <v/>
      </c>
      <c r="AF52" s="528"/>
      <c r="AG52" s="528"/>
      <c r="AH52" s="528"/>
      <c r="AI52" s="302">
        <f t="shared" si="35"/>
        <v>94</v>
      </c>
      <c r="AJ52" s="303" t="str">
        <f>IF(AI52&gt;KKM!$G$10,"A",IF(AI52&gt;KKM!$H$10,"B",IF(AI52&gt;=KKM!$I$10,"C","D")))</f>
        <v>A</v>
      </c>
      <c r="AK52" s="523">
        <f t="shared" si="36"/>
        <v>99</v>
      </c>
      <c r="AL52" s="115" t="str">
        <f>IF(AK52&gt;KKM!$G$10," sangat baik ",IF(AK52&gt;KKM!$H$10," baik ",IF(AK52&gt;=KKM!$I$10," cukup baik "," perlu bimbingan ")))</f>
        <v xml:space="preserve"> sangat baik </v>
      </c>
      <c r="AM52" s="524">
        <f t="shared" si="37"/>
        <v>91.6875</v>
      </c>
      <c r="AN52" s="115" t="str">
        <f>IF(AM52&gt;KKM!$G$10," sangat baik ",IF(AM52&gt;KKM!$H$10," baik ",IF(AM52&gt;=KKM!$I$10," cukup baik "," perlu bimbingan ")))</f>
        <v xml:space="preserve"> sangat baik </v>
      </c>
      <c r="AO52" s="301" t="str">
        <f t="shared" si="13"/>
        <v>Anak 48 sangat baik  dalam mengidentifikasi pelaksanaan kewajiban dan hak sebagai warga masyarakat dalam kehidupan sehari-hari., dan  sangat baik  dalam menjelaskan manfaat keberagaman karakteristik individu dalam kehidupan sehari-hari.</v>
      </c>
      <c r="AP52" s="306"/>
      <c r="AQ52" s="307" t="str">
        <f t="shared" si="38"/>
        <v xml:space="preserve"> sangat baik  dalam mengidentifikasi pelaksanaan kewajiban dan hak sebagai warga masyarakat dalam kehidupan sehari-hari.</v>
      </c>
      <c r="AR52" s="307" t="str">
        <f t="shared" si="39"/>
        <v xml:space="preserve"> sangat baik  dalam menjelaskan manfaat keberagaman karakteristik individu dalam kehidupan sehari-hari.</v>
      </c>
      <c r="AS52" s="307" t="str">
        <f t="shared" si="14"/>
        <v xml:space="preserve"> sangat baik  dalam mengidentifikasi pelaksanaan kewajiban dan hak sebagai warga masyarakat dalam kehidupan sehari-hari., dan  sangat baik  dalam menjelaskan manfaat keberagaman karakteristik individu dalam kehidupan sehari-hari.</v>
      </c>
      <c r="AT52" s="307" t="str">
        <f t="shared" si="15"/>
        <v xml:space="preserve"> </v>
      </c>
      <c r="AU52" s="308" t="str">
        <f t="shared" si="16"/>
        <v xml:space="preserve"> sangat baik  dalam mengidentifikasi pelaksanaan kewajiban dan hak sebagai warga masyarakat dalam kehidupan sehari-hari., dan  sangat baik  dalam menjelaskan manfaat keberagaman karakteristik individu dalam kehidupan sehari-hari.</v>
      </c>
      <c r="AV52" s="301" t="str">
        <f t="shared" si="40"/>
        <v>Anak 48 sangat baik  dalam mengidentifikasi pelaksanaan kewajiban dan hak sebagai warga masyarakat dalam kehidupan sehari-hari., dan  sangat baik  dalam menjelaskan manfaat keberagaman karakteristik individu dalam kehidupan sehari-hari.</v>
      </c>
      <c r="AW52" s="120"/>
      <c r="BF52" s="408">
        <f t="shared" si="17"/>
        <v>94</v>
      </c>
      <c r="BI52" s="302">
        <f t="shared" si="41"/>
        <v>70</v>
      </c>
      <c r="BJ52" s="303" t="str">
        <f>IF(BI52&gt;KKM!$G$10,"A",IF(BI52&gt;KKM!$H$10,"B",IF(BI52&gt;=KKM!$I$10,"C","D")))</f>
        <v>C</v>
      </c>
      <c r="BK52" s="523">
        <f t="shared" si="18"/>
        <v>69.75</v>
      </c>
      <c r="BL52" s="115" t="str">
        <f>IF(BK52&gt;KKM!$G$10," sangat baik ",IF(BK52&gt;KKM!$H$10," baik ",IF(BK52&gt;=KKM!$I$10," cukup baik "," perlu bimbingan ")))</f>
        <v xml:space="preserve"> perlu bimbingan </v>
      </c>
      <c r="BM52" s="524">
        <f t="shared" si="19"/>
        <v>69.75</v>
      </c>
      <c r="BN52" s="115" t="str">
        <f>IF(BM52&gt;KKM!$G$10," sangat baik ",IF(BM52&gt;KKM!$H$10," baik ",IF(BM52&gt;=KKM!$I$10," cukup baik "," perlu bimbingan ")))</f>
        <v xml:space="preserve"> perlu bimbingan </v>
      </c>
      <c r="BO52" s="301" t="str">
        <f t="shared" si="25"/>
        <v>Anak 48 perlu bimbingan  dalam menjelaskan manfaat keberagaman karakteristik individu dalam kehidupan sehari-hari.</v>
      </c>
      <c r="BP52" s="307" t="str">
        <f t="shared" si="20"/>
        <v xml:space="preserve"> perlu bimbingan  dalam menjelaskan manfaat keberagaman karakteristik individu dalam kehidupan sehari-hari.</v>
      </c>
      <c r="BQ52" s="307" t="str">
        <f t="shared" si="21"/>
        <v xml:space="preserve"> perlu bimbingan  dalam menjelaskan manfaat keberagaman karakteristik individu dalam kehidupan sehari-hari.</v>
      </c>
      <c r="BR52" s="307" t="str">
        <f t="shared" si="22"/>
        <v xml:space="preserve"> perlu bimbingan  dalam menjelaskan manfaat keberagaman karakteristik individu dalam kehidupan sehari-hari., dan  perlu bimbingan  dalam menjelaskan manfaat keberagaman karakteristik individu dalam kehidupan sehari-hari.</v>
      </c>
      <c r="BS52" s="307" t="str">
        <f t="shared" si="23"/>
        <v xml:space="preserve"> perlu bimbingan  dalam menjelaskan manfaat keberagaman karakteristik individu dalam kehidupan sehari-hari.</v>
      </c>
      <c r="BT52" s="308" t="str">
        <f t="shared" si="24"/>
        <v xml:space="preserve"> perlu bimbingan  dalam menjelaskan manfaat keberagaman karakteristik individu dalam kehidupan sehari-hari.</v>
      </c>
      <c r="BU52" s="301" t="str">
        <f t="shared" si="42"/>
        <v>Anak 48 perlu bimbingan  dalam menjelaskan manfaat keberagaman karakteristik individu dalam kehidupan sehari-hari.</v>
      </c>
    </row>
    <row r="53" spans="2:73" ht="59.25" customHeight="1">
      <c r="B53" s="109">
        <v>49</v>
      </c>
      <c r="C53" s="110">
        <f>SISWA!B54</f>
        <v>0</v>
      </c>
      <c r="D53" s="111" t="str">
        <f>SISWA!E54</f>
        <v>Anak 49</v>
      </c>
      <c r="E53" s="631">
        <v>99</v>
      </c>
      <c r="F53" s="631">
        <v>99</v>
      </c>
      <c r="G53" s="631">
        <v>99</v>
      </c>
      <c r="H53" s="631"/>
      <c r="I53" s="631"/>
      <c r="J53" s="631"/>
      <c r="K53" s="610"/>
      <c r="L53" s="631"/>
      <c r="M53" s="631">
        <v>90</v>
      </c>
      <c r="N53" s="631">
        <v>77.25</v>
      </c>
      <c r="O53" s="631"/>
      <c r="P53" s="631"/>
      <c r="Q53" s="631"/>
      <c r="R53" s="610"/>
      <c r="S53" s="729">
        <v>99</v>
      </c>
      <c r="T53" s="729">
        <v>99</v>
      </c>
      <c r="U53" s="729">
        <v>99</v>
      </c>
      <c r="V53" s="729"/>
      <c r="W53" s="729"/>
      <c r="X53" s="729"/>
      <c r="Y53" s="518"/>
      <c r="Z53" s="607">
        <f t="shared" si="33"/>
        <v>99</v>
      </c>
      <c r="AA53" s="607">
        <f t="shared" si="34"/>
        <v>96.75</v>
      </c>
      <c r="AB53" s="607">
        <f t="shared" si="29"/>
        <v>93.5625</v>
      </c>
      <c r="AC53" s="607" t="str">
        <f t="shared" si="30"/>
        <v/>
      </c>
      <c r="AD53" s="607" t="str">
        <f t="shared" si="31"/>
        <v/>
      </c>
      <c r="AE53" s="607" t="str">
        <f t="shared" si="32"/>
        <v/>
      </c>
      <c r="AF53" s="528"/>
      <c r="AG53" s="528"/>
      <c r="AH53" s="528"/>
      <c r="AI53" s="302">
        <f t="shared" si="35"/>
        <v>96</v>
      </c>
      <c r="AJ53" s="303" t="str">
        <f>IF(AI53&gt;KKM!$G$10,"A",IF(AI53&gt;KKM!$H$10,"B",IF(AI53&gt;=KKM!$I$10,"C","D")))</f>
        <v>A</v>
      </c>
      <c r="AK53" s="523">
        <f t="shared" si="36"/>
        <v>99</v>
      </c>
      <c r="AL53" s="115" t="str">
        <f>IF(AK53&gt;KKM!$G$10," sangat baik ",IF(AK53&gt;KKM!$H$10," baik ",IF(AK53&gt;=KKM!$I$10," cukup baik "," perlu bimbingan ")))</f>
        <v xml:space="preserve"> sangat baik </v>
      </c>
      <c r="AM53" s="524">
        <f t="shared" si="37"/>
        <v>93.5625</v>
      </c>
      <c r="AN53" s="115" t="str">
        <f>IF(AM53&gt;KKM!$G$10," sangat baik ",IF(AM53&gt;KKM!$H$10," baik ",IF(AM53&gt;=KKM!$I$10," cukup baik "," perlu bimbingan ")))</f>
        <v xml:space="preserve"> sangat baik </v>
      </c>
      <c r="AO53" s="301" t="str">
        <f t="shared" si="13"/>
        <v>Anak 49 sangat baik  dalam mengidentifikasi pelaksanaan kewajiban dan hak sebagai warga masyarakat dalam kehidupan sehari-hari., dan  sangat baik  dalam mengidentifikasi berbagai bentuk keragaman suku bangsa, sosial, dan budaya di Indonesia yang terikat persatuan dan kesatuan.</v>
      </c>
      <c r="AP53" s="306"/>
      <c r="AQ53" s="307" t="str">
        <f t="shared" si="38"/>
        <v xml:space="preserve"> sangat baik  dalam mengidentifikasi pelaksanaan kewajiban dan hak sebagai warga masyarakat dalam kehidupan sehari-hari.</v>
      </c>
      <c r="AR53" s="307" t="str">
        <f t="shared" si="39"/>
        <v xml:space="preserve"> sangat baik  dalam mengidentifikasi berbagai bentuk keragaman suku bangsa, sosial, dan budaya di Indonesia yang terikat persatuan dan kesatuan.</v>
      </c>
      <c r="AS53"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53" s="307" t="str">
        <f t="shared" si="15"/>
        <v xml:space="preserve"> </v>
      </c>
      <c r="AU53"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53" s="301" t="str">
        <f t="shared" si="40"/>
        <v>Anak 49 sangat baik  dalam mengidentifikasi pelaksanaan kewajiban dan hak sebagai warga masyarakat dalam kehidupan sehari-hari., dan  sangat baik  dalam mengidentifikasi berbagai bentuk keragaman suku bangsa, sosial, dan budaya di Indonesia yang terikat persatuan dan kesatuan.</v>
      </c>
      <c r="AW53" s="120"/>
      <c r="BF53" s="408">
        <f t="shared" si="17"/>
        <v>96</v>
      </c>
      <c r="BI53" s="302">
        <f t="shared" si="41"/>
        <v>84</v>
      </c>
      <c r="BJ53" s="303" t="str">
        <f>IF(BI53&gt;KKM!$G$10,"A",IF(BI53&gt;KKM!$H$10,"B",IF(BI53&gt;=KKM!$I$10,"C","D")))</f>
        <v>B</v>
      </c>
      <c r="BK53" s="523">
        <f t="shared" si="18"/>
        <v>90</v>
      </c>
      <c r="BL53" s="115" t="str">
        <f>IF(BK53&gt;KKM!$G$10," sangat baik ",IF(BK53&gt;KKM!$H$10," baik ",IF(BK53&gt;=KKM!$I$10," cukup baik "," perlu bimbingan ")))</f>
        <v xml:space="preserve"> baik </v>
      </c>
      <c r="BM53" s="524">
        <f t="shared" si="19"/>
        <v>77.25</v>
      </c>
      <c r="BN53" s="115" t="str">
        <f>IF(BM53&gt;KKM!$G$10," sangat baik ",IF(BM53&gt;KKM!$H$10," baik ",IF(BM53&gt;=KKM!$I$10," cukup baik "," perlu bimbingan ")))</f>
        <v xml:space="preserve"> cukup baik </v>
      </c>
      <c r="BO53" s="301" t="str">
        <f t="shared" si="25"/>
        <v>Anak 49 baik  dalam menjelaskan manfaat keberagaman karakteristik individu dalam kehidupan sehari-hari., dan  cukup baik  dalam mengidentifikasi berbagai bentuk keragaman suku bangsa, sosial, dan budaya di Indonesia yang terikat persatuan dan kesatuan.</v>
      </c>
      <c r="BP53" s="307" t="str">
        <f t="shared" si="20"/>
        <v xml:space="preserve"> baik  dalam menjelaskan manfaat keberagaman karakteristik individu dalam kehidupan sehari-hari.</v>
      </c>
      <c r="BQ53" s="307" t="str">
        <f t="shared" si="21"/>
        <v xml:space="preserve"> cukup baik  dalam mengidentifikasi berbagai bentuk keragaman suku bangsa, sosial, dan budaya di Indonesia yang terikat persatuan dan kesatuan.</v>
      </c>
      <c r="BR53"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53" s="307" t="str">
        <f t="shared" si="23"/>
        <v xml:space="preserve"> </v>
      </c>
      <c r="BT53"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53" s="301" t="str">
        <f t="shared" si="42"/>
        <v>Anak 49 baik  dalam menjelaskan manfaat keberagaman karakteristik individu dalam kehidupan sehari-hari., dan  cukup baik  dalam mengidentifikasi berbagai bentuk keragaman suku bangsa, sosial, dan budaya di Indonesia yang terikat persatuan dan kesatuan.</v>
      </c>
    </row>
    <row r="54" spans="2:73" ht="59.25" customHeight="1">
      <c r="B54" s="109">
        <v>50</v>
      </c>
      <c r="C54" s="110">
        <f>SISWA!B55</f>
        <v>0</v>
      </c>
      <c r="D54" s="111" t="str">
        <f>SISWA!E55</f>
        <v>Anak 50</v>
      </c>
      <c r="E54" s="631">
        <v>99</v>
      </c>
      <c r="F54" s="631">
        <v>99</v>
      </c>
      <c r="G54" s="631">
        <v>99</v>
      </c>
      <c r="H54" s="631"/>
      <c r="I54" s="631"/>
      <c r="J54" s="631"/>
      <c r="K54" s="610"/>
      <c r="L54" s="631"/>
      <c r="M54" s="631">
        <v>87.25</v>
      </c>
      <c r="N54" s="631">
        <v>71.75</v>
      </c>
      <c r="O54" s="631"/>
      <c r="P54" s="631"/>
      <c r="Q54" s="631"/>
      <c r="R54" s="610"/>
      <c r="S54" s="729">
        <v>99</v>
      </c>
      <c r="T54" s="729">
        <v>99</v>
      </c>
      <c r="U54" s="729">
        <v>99</v>
      </c>
      <c r="V54" s="729"/>
      <c r="W54" s="729"/>
      <c r="X54" s="729"/>
      <c r="Y54" s="518"/>
      <c r="Z54" s="607">
        <f t="shared" si="33"/>
        <v>99</v>
      </c>
      <c r="AA54" s="607">
        <f t="shared" si="34"/>
        <v>96.0625</v>
      </c>
      <c r="AB54" s="607">
        <f t="shared" si="29"/>
        <v>92.1875</v>
      </c>
      <c r="AC54" s="607" t="str">
        <f t="shared" si="30"/>
        <v/>
      </c>
      <c r="AD54" s="607" t="str">
        <f t="shared" si="31"/>
        <v/>
      </c>
      <c r="AE54" s="607" t="str">
        <f t="shared" si="32"/>
        <v/>
      </c>
      <c r="AF54" s="528"/>
      <c r="AG54" s="528"/>
      <c r="AH54" s="528"/>
      <c r="AI54" s="302">
        <f t="shared" si="35"/>
        <v>96</v>
      </c>
      <c r="AJ54" s="303" t="str">
        <f>IF(AI54&gt;KKM!$G$10,"A",IF(AI54&gt;KKM!$H$10,"B",IF(AI54&gt;=KKM!$I$10,"C","D")))</f>
        <v>A</v>
      </c>
      <c r="AK54" s="523">
        <f t="shared" si="36"/>
        <v>99</v>
      </c>
      <c r="AL54" s="115" t="str">
        <f>IF(AK54&gt;KKM!$G$10," sangat baik ",IF(AK54&gt;KKM!$H$10," baik ",IF(AK54&gt;=KKM!$I$10," cukup baik "," perlu bimbingan ")))</f>
        <v xml:space="preserve"> sangat baik </v>
      </c>
      <c r="AM54" s="524">
        <f t="shared" si="37"/>
        <v>92.1875</v>
      </c>
      <c r="AN54" s="115" t="str">
        <f>IF(AM54&gt;KKM!$G$10," sangat baik ",IF(AM54&gt;KKM!$H$10," baik ",IF(AM54&gt;=KKM!$I$10," cukup baik "," perlu bimbingan ")))</f>
        <v xml:space="preserve"> sangat baik </v>
      </c>
      <c r="AO54" s="301" t="str">
        <f t="shared" si="13"/>
        <v>Anak 50 sangat baik  dalam mengidentifikasi pelaksanaan kewajiban dan hak sebagai warga masyarakat dalam kehidupan sehari-hari., dan  sangat baik  dalam mengidentifikasi berbagai bentuk keragaman suku bangsa, sosial, dan budaya di Indonesia yang terikat persatuan dan kesatuan.</v>
      </c>
      <c r="AP54" s="306"/>
      <c r="AQ54" s="307" t="str">
        <f t="shared" si="38"/>
        <v xml:space="preserve"> sangat baik  dalam mengidentifikasi pelaksanaan kewajiban dan hak sebagai warga masyarakat dalam kehidupan sehari-hari.</v>
      </c>
      <c r="AR54" s="307" t="str">
        <f t="shared" si="39"/>
        <v xml:space="preserve"> sangat baik  dalam mengidentifikasi berbagai bentuk keragaman suku bangsa, sosial, dan budaya di Indonesia yang terikat persatuan dan kesatuan.</v>
      </c>
      <c r="AS54" s="307" t="str">
        <f t="shared" si="14"/>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T54" s="307" t="str">
        <f t="shared" si="15"/>
        <v xml:space="preserve"> </v>
      </c>
      <c r="AU54" s="308" t="str">
        <f t="shared" si="16"/>
        <v xml:space="preserve"> sangat baik  dalam mengidentifikasi pelaksanaan kewajiban dan hak sebagai warga masyarakat dalam kehidupan sehari-hari., dan  sangat baik  dalam mengidentifikasi berbagai bentuk keragaman suku bangsa, sosial, dan budaya di Indonesia yang terikat persatuan dan kesatuan.</v>
      </c>
      <c r="AV54" s="301" t="str">
        <f t="shared" si="40"/>
        <v>Anak 50 sangat baik  dalam mengidentifikasi pelaksanaan kewajiban dan hak sebagai warga masyarakat dalam kehidupan sehari-hari., dan  sangat baik  dalam mengidentifikasi berbagai bentuk keragaman suku bangsa, sosial, dan budaya di Indonesia yang terikat persatuan dan kesatuan.</v>
      </c>
      <c r="AW54" s="120"/>
      <c r="BF54" s="408">
        <f t="shared" si="17"/>
        <v>96</v>
      </c>
      <c r="BI54" s="302">
        <f t="shared" si="41"/>
        <v>80</v>
      </c>
      <c r="BJ54" s="303" t="str">
        <f>IF(BI54&gt;KKM!$G$10,"A",IF(BI54&gt;KKM!$H$10,"B",IF(BI54&gt;=KKM!$I$10,"C","D")))</f>
        <v>C</v>
      </c>
      <c r="BK54" s="523">
        <f t="shared" si="18"/>
        <v>87.25</v>
      </c>
      <c r="BL54" s="115" t="str">
        <f>IF(BK54&gt;KKM!$G$10," sangat baik ",IF(BK54&gt;KKM!$H$10," baik ",IF(BK54&gt;=KKM!$I$10," cukup baik "," perlu bimbingan ")))</f>
        <v xml:space="preserve"> baik </v>
      </c>
      <c r="BM54" s="524">
        <f t="shared" si="19"/>
        <v>71.75</v>
      </c>
      <c r="BN54" s="115" t="str">
        <f>IF(BM54&gt;KKM!$G$10," sangat baik ",IF(BM54&gt;KKM!$H$10," baik ",IF(BM54&gt;=KKM!$I$10," cukup baik "," perlu bimbingan ")))</f>
        <v xml:space="preserve"> cukup baik </v>
      </c>
      <c r="BO54" s="301" t="str">
        <f t="shared" si="25"/>
        <v>Anak 50 baik  dalam menjelaskan manfaat keberagaman karakteristik individu dalam kehidupan sehari-hari., dan  cukup baik  dalam mengidentifikasi berbagai bentuk keragaman suku bangsa, sosial, dan budaya di Indonesia yang terikat persatuan dan kesatuan.</v>
      </c>
      <c r="BP54" s="307" t="str">
        <f t="shared" si="20"/>
        <v xml:space="preserve"> baik  dalam menjelaskan manfaat keberagaman karakteristik individu dalam kehidupan sehari-hari.</v>
      </c>
      <c r="BQ54" s="307" t="str">
        <f t="shared" si="21"/>
        <v xml:space="preserve"> cukup baik  dalam mengidentifikasi berbagai bentuk keragaman suku bangsa, sosial, dan budaya di Indonesia yang terikat persatuan dan kesatuan.</v>
      </c>
      <c r="BR54" s="307" t="str">
        <f t="shared" si="22"/>
        <v xml:space="preserve"> baik  dalam menjelaskan manfaat keberagaman karakteristik individu dalam kehidupan sehari-hari., dan  cukup baik  dalam mengidentifikasi berbagai bentuk keragaman suku bangsa, sosial, dan budaya di Indonesia yang terikat persatuan dan kesatuan.</v>
      </c>
      <c r="BS54" s="307" t="str">
        <f t="shared" si="23"/>
        <v xml:space="preserve"> </v>
      </c>
      <c r="BT54" s="308" t="str">
        <f t="shared" si="24"/>
        <v xml:space="preserve"> baik  dalam menjelaskan manfaat keberagaman karakteristik individu dalam kehidupan sehari-hari., dan  cukup baik  dalam mengidentifikasi berbagai bentuk keragaman suku bangsa, sosial, dan budaya di Indonesia yang terikat persatuan dan kesatuan.</v>
      </c>
      <c r="BU54" s="301" t="str">
        <f t="shared" si="42"/>
        <v>Anak 50 baik  dalam menjelaskan manfaat keberagaman karakteristik individu dalam kehidupan sehari-hari., dan  cukup baik  dalam mengidentifikasi berbagai bentuk keragaman suku bangsa, sosial, dan budaya di Indonesia yang terikat persatuan dan kesatuan.</v>
      </c>
    </row>
    <row r="55" spans="2:73" ht="37.5" customHeight="1">
      <c r="B55" s="121"/>
      <c r="C55" s="121"/>
      <c r="D55" s="121"/>
      <c r="E55" s="508"/>
      <c r="F55" s="508"/>
      <c r="G55" s="508"/>
      <c r="H55" s="508"/>
      <c r="I55" s="508"/>
      <c r="J55" s="508"/>
      <c r="K55" s="508"/>
      <c r="L55" s="508"/>
      <c r="M55" s="508"/>
      <c r="N55" s="508"/>
      <c r="O55" s="508"/>
      <c r="P55" s="508"/>
      <c r="Q55" s="508"/>
      <c r="R55" s="508"/>
      <c r="S55" s="508"/>
      <c r="T55" s="508"/>
      <c r="U55" s="508"/>
      <c r="V55" s="508"/>
      <c r="W55" s="508"/>
      <c r="X55" s="508"/>
      <c r="Y55" s="508"/>
      <c r="Z55" s="528"/>
      <c r="AA55" s="529"/>
      <c r="AB55" s="529"/>
      <c r="AC55" s="529"/>
      <c r="AD55" s="529"/>
      <c r="AE55" s="528"/>
      <c r="AF55" s="528"/>
      <c r="AG55" s="528"/>
      <c r="AH55" s="528"/>
      <c r="AI55" s="114"/>
      <c r="AJ55" s="115"/>
      <c r="AK55" s="116"/>
      <c r="AL55" s="116"/>
      <c r="AM55" s="116"/>
      <c r="AN55" s="116"/>
      <c r="AO55" s="117"/>
      <c r="AP55" s="118"/>
      <c r="AQ55" s="119"/>
      <c r="AR55" s="122"/>
      <c r="AS55" s="122"/>
      <c r="AT55" s="122"/>
      <c r="AU55" s="122"/>
      <c r="AV55" s="122"/>
      <c r="AW55" s="120"/>
      <c r="BI55" s="302"/>
      <c r="BJ55" s="303"/>
      <c r="BK55" s="523"/>
      <c r="BL55" s="115"/>
      <c r="BM55" s="524"/>
      <c r="BN55" s="115"/>
      <c r="BO55" s="301"/>
      <c r="BP55" s="307"/>
      <c r="BQ55" s="307"/>
      <c r="BR55" s="307"/>
      <c r="BS55" s="307"/>
      <c r="BT55" s="308"/>
      <c r="BU55" s="301"/>
    </row>
    <row r="56" spans="2:73">
      <c r="BI56" s="302"/>
      <c r="BP56" s="119"/>
      <c r="BQ56" s="122"/>
      <c r="BR56" s="122"/>
      <c r="BS56" s="122"/>
      <c r="BT56" s="122"/>
      <c r="BU56" s="122"/>
    </row>
  </sheetData>
  <sheetProtection sheet="1" objects="1" scenarios="1"/>
  <mergeCells count="39">
    <mergeCell ref="BP3:BU3"/>
    <mergeCell ref="BK2:BN2"/>
    <mergeCell ref="BK3:BL3"/>
    <mergeCell ref="BM3:BN3"/>
    <mergeCell ref="BI2:BI4"/>
    <mergeCell ref="BJ2:BJ4"/>
    <mergeCell ref="BO2:BO4"/>
    <mergeCell ref="S2:X2"/>
    <mergeCell ref="S3:S4"/>
    <mergeCell ref="T3:T4"/>
    <mergeCell ref="U3:U4"/>
    <mergeCell ref="V3:V4"/>
    <mergeCell ref="W3:W4"/>
    <mergeCell ref="X3:X4"/>
    <mergeCell ref="O3:O4"/>
    <mergeCell ref="P3:P4"/>
    <mergeCell ref="Q3:Q4"/>
    <mergeCell ref="E2:J2"/>
    <mergeCell ref="L2:Q2"/>
    <mergeCell ref="I3:I4"/>
    <mergeCell ref="J3:J4"/>
    <mergeCell ref="L3:L4"/>
    <mergeCell ref="M3:M4"/>
    <mergeCell ref="AO2:AO4"/>
    <mergeCell ref="AK3:AL3"/>
    <mergeCell ref="AM3:AN3"/>
    <mergeCell ref="B1:AN1"/>
    <mergeCell ref="B2:B4"/>
    <mergeCell ref="C2:C4"/>
    <mergeCell ref="D2:D4"/>
    <mergeCell ref="Z2:AH2"/>
    <mergeCell ref="AI2:AI4"/>
    <mergeCell ref="AJ2:AJ4"/>
    <mergeCell ref="AK2:AN2"/>
    <mergeCell ref="N3:N4"/>
    <mergeCell ref="E3:E4"/>
    <mergeCell ref="F3:F4"/>
    <mergeCell ref="G3:G4"/>
    <mergeCell ref="H3:H4"/>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G56"/>
  <sheetViews>
    <sheetView zoomScale="70" zoomScaleNormal="7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446" customWidth="1"/>
    <col min="2" max="2" width="4.42578125" style="104" customWidth="1"/>
    <col min="3" max="3" width="6.42578125" style="104" customWidth="1"/>
    <col min="4" max="4" width="28.7109375" style="104" customWidth="1"/>
    <col min="5" max="11" width="6.140625" style="104" customWidth="1"/>
    <col min="12" max="18" width="6.140625" style="104" hidden="1" customWidth="1"/>
    <col min="19" max="19" width="2" style="509" customWidth="1"/>
    <col min="20" max="25" width="7.28515625" style="104" customWidth="1"/>
    <col min="26" max="26" width="2" style="509" customWidth="1"/>
    <col min="27" max="31" width="6.140625" style="104" customWidth="1"/>
    <col min="32" max="33" width="6.140625" style="405" customWidth="1"/>
    <col min="34" max="34" width="1.5703125" style="104" customWidth="1"/>
    <col min="35" max="40" width="6.7109375" style="104" customWidth="1"/>
    <col min="41" max="46" width="6.7109375" style="104" hidden="1" customWidth="1"/>
    <col min="47" max="48" width="4.7109375" style="104" customWidth="1"/>
    <col min="49" max="49" width="5.140625" style="104" customWidth="1"/>
    <col min="50" max="50" width="10" style="104" customWidth="1"/>
    <col min="51" max="51" width="5.140625" style="104" customWidth="1"/>
    <col min="52" max="52" width="11.42578125" style="104" customWidth="1"/>
    <col min="53" max="53" width="84.42578125" style="104" customWidth="1"/>
    <col min="54" max="54" width="29.85546875" style="104" hidden="1" customWidth="1"/>
    <col min="55" max="60" width="10.7109375" style="104" hidden="1" customWidth="1"/>
    <col min="61" max="71" width="9.140625" style="104" hidden="1" customWidth="1"/>
    <col min="72" max="74" width="6.5703125" style="104" hidden="1" customWidth="1"/>
    <col min="75" max="75" width="12.42578125" style="104" hidden="1" customWidth="1"/>
    <col min="76" max="76" width="6.5703125" style="104" hidden="1" customWidth="1"/>
    <col min="77" max="77" width="13.5703125" style="104" hidden="1" customWidth="1"/>
    <col min="78" max="78" width="65.85546875" style="104" hidden="1" customWidth="1"/>
    <col min="79" max="79" width="18.7109375" style="104" hidden="1" customWidth="1"/>
    <col min="80" max="85" width="9.140625" style="104" hidden="1" customWidth="1"/>
    <col min="86" max="87" width="9.140625" style="104" customWidth="1"/>
    <col min="88" max="101" width="10.7109375" style="104" hidden="1" customWidth="1"/>
    <col min="102" max="189" width="0" style="104" hidden="1" customWidth="1"/>
    <col min="190" max="16384" width="9.140625" style="104" hidden="1"/>
  </cols>
  <sheetData>
    <row r="1" spans="1:85" s="449" customFormat="1" ht="45.75" customHeight="1">
      <c r="B1" s="1040" t="s">
        <v>51</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c r="AT1" s="1040"/>
      <c r="AU1" s="1040"/>
      <c r="AV1" s="1040"/>
      <c r="AW1" s="1040"/>
      <c r="AX1" s="1040"/>
      <c r="AY1" s="1040"/>
      <c r="AZ1" s="1040"/>
    </row>
    <row r="2" spans="1:85" ht="23.25" customHeight="1">
      <c r="B2" s="1071" t="s">
        <v>2</v>
      </c>
      <c r="C2" s="1072" t="s">
        <v>3</v>
      </c>
      <c r="D2" s="1073" t="s">
        <v>48</v>
      </c>
      <c r="E2" s="1095" t="s">
        <v>699</v>
      </c>
      <c r="F2" s="1096"/>
      <c r="G2" s="1096"/>
      <c r="H2" s="1096"/>
      <c r="I2" s="1096"/>
      <c r="J2" s="1096"/>
      <c r="K2" s="1096"/>
      <c r="L2" s="1096"/>
      <c r="M2" s="1096"/>
      <c r="N2" s="1096"/>
      <c r="O2" s="1096"/>
      <c r="P2" s="1096"/>
      <c r="Q2" s="1096"/>
      <c r="R2" s="1097"/>
      <c r="S2" s="515"/>
      <c r="T2" s="1084" t="s">
        <v>692</v>
      </c>
      <c r="U2" s="1084"/>
      <c r="V2" s="1084"/>
      <c r="W2" s="1084"/>
      <c r="X2" s="1084"/>
      <c r="Y2" s="1084"/>
      <c r="Z2" s="515"/>
      <c r="AA2" s="1085" t="s">
        <v>693</v>
      </c>
      <c r="AB2" s="1086"/>
      <c r="AC2" s="1086"/>
      <c r="AD2" s="1086"/>
      <c r="AE2" s="1086"/>
      <c r="AF2" s="1086"/>
      <c r="AG2" s="1087"/>
      <c r="AH2" s="625"/>
      <c r="AI2" s="1098" t="s">
        <v>694</v>
      </c>
      <c r="AJ2" s="1098"/>
      <c r="AK2" s="1098"/>
      <c r="AL2" s="1098"/>
      <c r="AM2" s="1098"/>
      <c r="AN2" s="1098"/>
      <c r="AO2" s="1098"/>
      <c r="AP2" s="1098"/>
      <c r="AQ2" s="1098"/>
      <c r="AR2" s="1098"/>
      <c r="AS2" s="1098"/>
      <c r="AT2" s="1098"/>
      <c r="AU2" s="1045" t="s">
        <v>5</v>
      </c>
      <c r="AV2" s="1046" t="s">
        <v>6</v>
      </c>
      <c r="AW2" s="1047" t="s">
        <v>314</v>
      </c>
      <c r="AX2" s="1048"/>
      <c r="AY2" s="1048"/>
      <c r="AZ2" s="1048"/>
      <c r="BA2" s="1027" t="s">
        <v>1</v>
      </c>
      <c r="BH2" s="294"/>
      <c r="BR2" s="441">
        <f>DEPAN!$E$23</f>
        <v>50</v>
      </c>
      <c r="BS2" s="441"/>
      <c r="BT2" s="1091" t="s">
        <v>5</v>
      </c>
      <c r="BU2" s="1093" t="s">
        <v>6</v>
      </c>
      <c r="BV2" s="1047" t="s">
        <v>314</v>
      </c>
      <c r="BW2" s="1048"/>
      <c r="BX2" s="1048"/>
      <c r="BY2" s="1048"/>
      <c r="BZ2" s="1027" t="s">
        <v>1</v>
      </c>
      <c r="CG2" s="441"/>
    </row>
    <row r="3" spans="1:85" ht="94.5" customHeight="1">
      <c r="B3" s="1071"/>
      <c r="C3" s="1072"/>
      <c r="D3" s="1073"/>
      <c r="E3" s="1079" t="str">
        <f>""&amp;'KI-KD'!$B40</f>
        <v>3.3</v>
      </c>
      <c r="F3" s="1079" t="str">
        <f>""&amp;'KI-KD'!$B41</f>
        <v>3.6</v>
      </c>
      <c r="G3" s="1079" t="str">
        <f>""&amp;'KI-KD'!$B42</f>
        <v>3.7</v>
      </c>
      <c r="H3" s="1079" t="str">
        <f>""&amp;'KI-KD'!$B43</f>
        <v>3.9</v>
      </c>
      <c r="I3" s="1079" t="str">
        <f>""&amp;'KI-KD'!$B44</f>
        <v>3.10</v>
      </c>
      <c r="J3" s="1079" t="str">
        <f>""&amp;'KI-KD'!$B45</f>
        <v/>
      </c>
      <c r="K3" s="1079" t="str">
        <f>""&amp;'KI-KD'!$B46</f>
        <v/>
      </c>
      <c r="L3" s="1099"/>
      <c r="M3" s="1099"/>
      <c r="N3" s="1099"/>
      <c r="O3" s="1099"/>
      <c r="P3" s="1099"/>
      <c r="Q3" s="1099" t="str">
        <f t="shared" ref="Q3:R3" si="0">J3</f>
        <v/>
      </c>
      <c r="R3" s="1099" t="str">
        <f t="shared" si="0"/>
        <v/>
      </c>
      <c r="S3" s="516"/>
      <c r="T3" s="1081" t="str">
        <f t="shared" ref="T3" si="1">E3</f>
        <v>3.3</v>
      </c>
      <c r="U3" s="1077" t="str">
        <f t="shared" ref="U3" si="2">F3</f>
        <v>3.6</v>
      </c>
      <c r="V3" s="1077" t="str">
        <f t="shared" ref="V3" si="3">G3</f>
        <v>3.7</v>
      </c>
      <c r="W3" s="1081" t="str">
        <f t="shared" ref="W3" si="4">H3</f>
        <v>3.9</v>
      </c>
      <c r="X3" s="1081" t="str">
        <f t="shared" ref="X3" si="5">I3</f>
        <v>3.10</v>
      </c>
      <c r="Y3" s="1081" t="str">
        <f t="shared" ref="Y3" si="6">J3</f>
        <v/>
      </c>
      <c r="Z3" s="516"/>
      <c r="AA3" s="1088" t="str">
        <f t="shared" ref="AA3:AG3" si="7">E3</f>
        <v>3.3</v>
      </c>
      <c r="AB3" s="1088" t="str">
        <f t="shared" si="7"/>
        <v>3.6</v>
      </c>
      <c r="AC3" s="1088" t="str">
        <f t="shared" si="7"/>
        <v>3.7</v>
      </c>
      <c r="AD3" s="1088" t="str">
        <f t="shared" si="7"/>
        <v>3.9</v>
      </c>
      <c r="AE3" s="1088" t="str">
        <f t="shared" si="7"/>
        <v>3.10</v>
      </c>
      <c r="AF3" s="1088" t="str">
        <f t="shared" si="7"/>
        <v/>
      </c>
      <c r="AG3" s="1088" t="str">
        <f t="shared" si="7"/>
        <v/>
      </c>
      <c r="AH3" s="625"/>
      <c r="AI3" s="510" t="str">
        <f>'KI-KD'!$C40</f>
        <v>menggali informasi dari seorang tokoh melalui wawancara menggunakan daftar pertanyaan.</v>
      </c>
      <c r="AJ3" s="510" t="str">
        <f>'KI-KD'!$C41</f>
        <v>menggali isi dan amanat puisi yang disajikan secara lisan dan tulis dengan tujuan untuk kesenangan.</v>
      </c>
      <c r="AK3" s="510" t="str">
        <f>'KI-KD'!$C42</f>
        <v>menggali pengetahuan baru yang terdapat pada teks nonfiksi.</v>
      </c>
      <c r="AL3" s="510" t="str">
        <f>'KI-KD'!$C43</f>
        <v>mencermati tokoh-tokoh yang terdapat pada teks fiksi.</v>
      </c>
      <c r="AM3" s="510" t="str">
        <f>'KI-KD'!$C44</f>
        <v>membandingkan watak setiap tokoh pada teks fiksi.</v>
      </c>
      <c r="AN3" s="510">
        <f>'KI-KD'!$C45</f>
        <v>0</v>
      </c>
      <c r="AO3" s="510">
        <f>'KI-KD'!$C46</f>
        <v>0</v>
      </c>
      <c r="AP3" s="510">
        <f>'KI-KD'!$C47</f>
        <v>0</v>
      </c>
      <c r="AQ3" s="510">
        <f>'KI-KD'!$C48</f>
        <v>0</v>
      </c>
      <c r="AR3" s="510">
        <f>'KI-KD'!$C49</f>
        <v>0</v>
      </c>
      <c r="AS3" s="510">
        <f>'KI-KD'!$C50</f>
        <v>0</v>
      </c>
      <c r="AT3" s="510">
        <f>'KI-KD'!$C51</f>
        <v>0</v>
      </c>
      <c r="AU3" s="1045"/>
      <c r="AV3" s="1046"/>
      <c r="AW3" s="1030" t="s">
        <v>315</v>
      </c>
      <c r="AX3" s="1031"/>
      <c r="AY3" s="1032" t="s">
        <v>316</v>
      </c>
      <c r="AZ3" s="1033"/>
      <c r="BA3" s="1028"/>
      <c r="BH3" s="294"/>
      <c r="BR3" s="408">
        <f>BR4-BR5</f>
        <v>50</v>
      </c>
      <c r="BS3" s="408"/>
      <c r="BT3" s="1092"/>
      <c r="BU3" s="1094"/>
      <c r="BV3" s="1067" t="s">
        <v>315</v>
      </c>
      <c r="BW3" s="1068"/>
      <c r="BX3" s="1069" t="s">
        <v>316</v>
      </c>
      <c r="BY3" s="1070"/>
      <c r="BZ3" s="1028"/>
      <c r="CA3" s="1090" t="s">
        <v>730</v>
      </c>
      <c r="CB3" s="1090"/>
      <c r="CC3" s="1090"/>
      <c r="CD3" s="1090"/>
      <c r="CE3" s="1090"/>
      <c r="CF3" s="1090"/>
      <c r="CG3" s="408"/>
    </row>
    <row r="4" spans="1:85" s="108" customFormat="1" ht="25.5" customHeight="1">
      <c r="A4" s="448"/>
      <c r="B4" s="1071"/>
      <c r="C4" s="1072"/>
      <c r="D4" s="1073"/>
      <c r="E4" s="1080"/>
      <c r="F4" s="1080"/>
      <c r="G4" s="1080"/>
      <c r="H4" s="1080"/>
      <c r="I4" s="1080"/>
      <c r="J4" s="1080"/>
      <c r="K4" s="1080"/>
      <c r="L4" s="1099"/>
      <c r="M4" s="1099"/>
      <c r="N4" s="1099"/>
      <c r="O4" s="1099"/>
      <c r="P4" s="1099"/>
      <c r="Q4" s="1099"/>
      <c r="R4" s="1099"/>
      <c r="S4" s="522"/>
      <c r="T4" s="1082"/>
      <c r="U4" s="1078"/>
      <c r="V4" s="1078"/>
      <c r="W4" s="1082"/>
      <c r="X4" s="1082"/>
      <c r="Y4" s="1082"/>
      <c r="Z4" s="517"/>
      <c r="AA4" s="1089"/>
      <c r="AB4" s="1089"/>
      <c r="AC4" s="1089"/>
      <c r="AD4" s="1089"/>
      <c r="AE4" s="1089"/>
      <c r="AF4" s="1089"/>
      <c r="AG4" s="1089"/>
      <c r="AH4" s="626"/>
      <c r="AI4" s="512" t="str">
        <f>'KI-KD'!$B40</f>
        <v>3.3</v>
      </c>
      <c r="AJ4" s="512" t="str">
        <f>'KI-KD'!$B41</f>
        <v>3.6</v>
      </c>
      <c r="AK4" s="512" t="str">
        <f>'KI-KD'!$B42</f>
        <v>3.7</v>
      </c>
      <c r="AL4" s="512" t="str">
        <f>'KI-KD'!$B43</f>
        <v>3.9</v>
      </c>
      <c r="AM4" s="512" t="str">
        <f>'KI-KD'!$B44</f>
        <v>3.10</v>
      </c>
      <c r="AN4" s="512">
        <f>'KI-KD'!$B45</f>
        <v>0</v>
      </c>
      <c r="AO4" s="512">
        <f>'KI-KD'!$B46</f>
        <v>0</v>
      </c>
      <c r="AP4" s="512">
        <f>'KI-KD'!$B47</f>
        <v>0</v>
      </c>
      <c r="AQ4" s="512">
        <f>'KI-KD'!$B48</f>
        <v>0</v>
      </c>
      <c r="AR4" s="512">
        <f>'KI-KD'!$B49</f>
        <v>0</v>
      </c>
      <c r="AS4" s="512">
        <f>'KI-KD'!$B50</f>
        <v>0</v>
      </c>
      <c r="AT4" s="512">
        <f>'KI-KD'!$B51</f>
        <v>0</v>
      </c>
      <c r="AU4" s="1045"/>
      <c r="AV4" s="1046"/>
      <c r="AW4" s="295" t="s">
        <v>317</v>
      </c>
      <c r="AX4" s="296" t="s">
        <v>1</v>
      </c>
      <c r="AY4" s="297" t="s">
        <v>317</v>
      </c>
      <c r="AZ4" s="298" t="s">
        <v>1</v>
      </c>
      <c r="BA4" s="1029"/>
      <c r="BB4" s="104"/>
      <c r="BC4" s="299" t="s">
        <v>318</v>
      </c>
      <c r="BD4" s="299" t="s">
        <v>319</v>
      </c>
      <c r="BE4" s="299" t="s">
        <v>320</v>
      </c>
      <c r="BF4" s="299" t="s">
        <v>321</v>
      </c>
      <c r="BG4" s="300" t="s">
        <v>314</v>
      </c>
      <c r="BH4" s="301"/>
      <c r="BR4" s="108">
        <v>50</v>
      </c>
      <c r="BT4" s="1092"/>
      <c r="BU4" s="1094"/>
      <c r="BV4" s="295" t="s">
        <v>317</v>
      </c>
      <c r="BW4" s="296" t="s">
        <v>1</v>
      </c>
      <c r="BX4" s="297" t="s">
        <v>317</v>
      </c>
      <c r="BY4" s="298" t="s">
        <v>1</v>
      </c>
      <c r="BZ4" s="1028"/>
      <c r="CA4" s="299" t="s">
        <v>318</v>
      </c>
      <c r="CB4" s="299" t="s">
        <v>319</v>
      </c>
      <c r="CC4" s="299" t="s">
        <v>320</v>
      </c>
      <c r="CD4" s="299" t="s">
        <v>321</v>
      </c>
      <c r="CE4" s="300" t="s">
        <v>314</v>
      </c>
      <c r="CF4" s="301"/>
    </row>
    <row r="5" spans="1:85" ht="51.75" customHeight="1">
      <c r="B5" s="109">
        <v>1</v>
      </c>
      <c r="C5" s="110">
        <f>SISWA!B6</f>
        <v>4822</v>
      </c>
      <c r="D5" s="111" t="str">
        <f>SISWA!E6</f>
        <v>Anak 1</v>
      </c>
      <c r="E5" s="631">
        <v>89</v>
      </c>
      <c r="F5" s="631">
        <v>89</v>
      </c>
      <c r="G5" s="631">
        <v>89</v>
      </c>
      <c r="H5" s="631">
        <v>89</v>
      </c>
      <c r="I5" s="631">
        <v>89</v>
      </c>
      <c r="J5" s="730"/>
      <c r="K5" s="730"/>
      <c r="L5" s="731"/>
      <c r="M5" s="731"/>
      <c r="N5" s="731"/>
      <c r="O5" s="731"/>
      <c r="P5" s="731"/>
      <c r="Q5" s="631"/>
      <c r="R5" s="631"/>
      <c r="S5" s="610"/>
      <c r="T5" s="730"/>
      <c r="U5" s="631">
        <v>67</v>
      </c>
      <c r="V5" s="631">
        <v>77</v>
      </c>
      <c r="W5" s="730"/>
      <c r="X5" s="730"/>
      <c r="Y5" s="730"/>
      <c r="Z5" s="610"/>
      <c r="AA5" s="631">
        <v>89</v>
      </c>
      <c r="AB5" s="631">
        <v>51</v>
      </c>
      <c r="AC5" s="631"/>
      <c r="AD5" s="631"/>
      <c r="AE5" s="631"/>
      <c r="AF5" s="609"/>
      <c r="AG5" s="609"/>
      <c r="AH5" s="518"/>
      <c r="AI5" s="607">
        <f>IFERROR(AVERAGE(E5,E5,T5,AA5),"")</f>
        <v>89</v>
      </c>
      <c r="AJ5" s="607">
        <f t="shared" ref="AJ5:AN5" si="8">IFERROR(AVERAGE(F5,F5,U5,AB5),"")</f>
        <v>74</v>
      </c>
      <c r="AK5" s="607">
        <f t="shared" si="8"/>
        <v>85</v>
      </c>
      <c r="AL5" s="607">
        <f t="shared" si="8"/>
        <v>89</v>
      </c>
      <c r="AM5" s="607">
        <f t="shared" si="8"/>
        <v>89</v>
      </c>
      <c r="AN5" s="607" t="str">
        <f t="shared" si="8"/>
        <v/>
      </c>
      <c r="AO5" s="607"/>
      <c r="AP5" s="607"/>
      <c r="AQ5" s="607"/>
      <c r="AR5" s="607"/>
      <c r="AS5" s="607"/>
      <c r="AT5" s="529"/>
      <c r="AU5" s="302">
        <f t="shared" ref="AU5:AU36" si="9">ROUND((AVERAGE(AI5:AT5)),0)</f>
        <v>85</v>
      </c>
      <c r="AV5" s="303" t="str">
        <f>IF(AU5&gt;KKM!$G$10,"A",IF(AU5&gt;KKM!$H$10,"B",IF(AU5&gt;=KKM!$I$10,"C","D")))</f>
        <v>B</v>
      </c>
      <c r="AW5" s="523">
        <f t="shared" ref="AW5:AW36" si="10">MAX(AI5:AT5)</f>
        <v>89</v>
      </c>
      <c r="AX5" s="115" t="str">
        <f>IF(AW5&gt;KKM!$G$10," sangat baik ",IF(AW5&gt;KKM!$H$10," baik ",IF(AW5&gt;=KKM!$I$10," cukup baik "," perlu bimbingan ")))</f>
        <v xml:space="preserve"> baik </v>
      </c>
      <c r="AY5" s="524">
        <f t="shared" ref="AY5:AY36" si="11">MIN(AI5:AT5)</f>
        <v>74</v>
      </c>
      <c r="AZ5" s="115" t="str">
        <f>IF(AY5&gt;KKM!$G$10," sangat baik ",IF(AY5&gt;KKM!$H$10," baik ",IF(AY5&gt;=KKM!$I$10," cukup baik "," perlu bimbingan ")))</f>
        <v xml:space="preserve"> cukup baik </v>
      </c>
      <c r="BA5" s="301" t="str">
        <f>IFERROR(BH5," ")</f>
        <v>Anak 1 baik  dalam menggali informasi dari seorang tokoh melalui wawancara menggunakan daftar pertanyaan., dan  cukup baik  dalam menggali isi dan amanat puisi yang disajikan secara lisan dan tulis dengan tujuan untuk kesenangan.</v>
      </c>
      <c r="BB5" s="306"/>
      <c r="BC5" s="307" t="str">
        <f t="shared" ref="BC5:BC36" si="12">AX5&amp;" dalam "&amp;INDEX($AI$3:$AT$3,MATCH(AW5,$AI5:$AT5,0))</f>
        <v xml:space="preserve"> baik  dalam menggali informasi dari seorang tokoh melalui wawancara menggunakan daftar pertanyaan.</v>
      </c>
      <c r="BD5" s="307" t="str">
        <f t="shared" ref="BD5:BD36" si="13">AZ5&amp;" dalam "&amp;INDEX($AI$3:$AT$3,MATCH(AY5,$AI5:$AT5,0))</f>
        <v xml:space="preserve"> cukup baik  dalam menggali isi dan amanat puisi yang disajikan secara lisan dan tulis dengan tujuan untuk kesenangan.</v>
      </c>
      <c r="BE5" s="307" t="str">
        <f>BC5&amp;", dan "&amp;BD5</f>
        <v xml:space="preserve"> baik  dalam menggali informasi dari seorang tokoh melalui wawancara menggunakan daftar pertanyaan., dan  cukup baik  dalam menggali isi dan amanat puisi yang disajikan secara lisan dan tulis dengan tujuan untuk kesenangan.</v>
      </c>
      <c r="BF5" s="307" t="str">
        <f>IF(BC5=BD5,BC5," ")</f>
        <v xml:space="preserve"> </v>
      </c>
      <c r="BG5" s="308" t="str">
        <f>IF(BF5=" ",BE5,BF5)</f>
        <v xml:space="preserve"> baik  dalam menggali informasi dari seorang tokoh melalui wawancara menggunakan daftar pertanyaan., dan  cukup baik  dalam menggali isi dan amanat puisi yang disajikan secara lisan dan tulis dengan tujuan untuk kesenangan.</v>
      </c>
      <c r="BH5" s="301" t="str">
        <f t="shared" ref="BH5:BH36" si="14">CONCATENATE(D5,BG5)</f>
        <v>Anak 1 baik  dalam menggali informasi dari seorang tokoh melalui wawancara menggunakan daftar pertanyaan., dan  cukup baik  dalam menggali isi dan amanat puisi yang disajikan secara lisan dan tulis dengan tujuan untuk kesenangan.</v>
      </c>
      <c r="BI5" s="120"/>
      <c r="BQ5" s="408">
        <f>IFERROR(AU5,"")</f>
        <v>85</v>
      </c>
      <c r="BR5" s="408">
        <f>COUNTBLANK(BQ5:BQ54)</f>
        <v>0</v>
      </c>
      <c r="BS5" s="408"/>
      <c r="BT5" s="302">
        <f>ROUND((AVERAGE(T5:Y5)),0)</f>
        <v>72</v>
      </c>
      <c r="BU5" s="303" t="str">
        <f>IF(BT5&gt;KKM!$G$10,"A",IF(BT5&gt;KKM!$H$10,"B",IF(BT5&gt;=KKM!$I$10,"C","D")))</f>
        <v>C</v>
      </c>
      <c r="BV5" s="523">
        <f>MAX(T5:Y5)</f>
        <v>77</v>
      </c>
      <c r="BW5" s="115" t="str">
        <f>IF(BV5&gt;KKM!$G$10," sangat baik ",IF(BV5&gt;KKM!$H$10," baik ",IF(BV5&gt;=KKM!$I$10," cukup baik "," perlu bimbingan ")))</f>
        <v xml:space="preserve"> cukup baik </v>
      </c>
      <c r="BX5" s="524">
        <f>MIN(T5:Y5)</f>
        <v>67</v>
      </c>
      <c r="BY5" s="115" t="str">
        <f>IF(BX5&gt;KKM!$G$10," sangat baik ",IF(BX5&gt;KKM!$H$10," baik ",IF(BX5&gt;=KKM!$I$10," cukup baik "," perlu bimbingan ")))</f>
        <v xml:space="preserve"> perlu bimbingan </v>
      </c>
      <c r="BZ5" s="301" t="str">
        <f>IFERROR(CF5," ")</f>
        <v>Anak 1 cukup baik  dalam menggali pengetahuan baru yang terdapat pada teks nonfiksi., dan  perlu bimbingan  dalam menggali isi dan amanat puisi yang disajikan secara lisan dan tulis dengan tujuan untuk kesenangan.</v>
      </c>
      <c r="CA5" s="307" t="str">
        <f>BW5&amp;" dalam "&amp;INDEX($AI$3:$AT$3,MATCH(BV5,$T5:$Y5,0))</f>
        <v xml:space="preserve"> cukup baik  dalam menggali pengetahuan baru yang terdapat pada teks nonfiksi.</v>
      </c>
      <c r="CB5" s="307" t="str">
        <f>BY5&amp;" dalam "&amp;INDEX($AI$3:$AT$3,MATCH(BX5,$T5:$Y5,0))</f>
        <v xml:space="preserve"> perlu bimbingan  dalam menggali isi dan amanat puisi yang disajikan secara lisan dan tulis dengan tujuan untuk kesenangan.</v>
      </c>
      <c r="CC5" s="307" t="str">
        <f>CA5&amp;", dan "&amp;CB5</f>
        <v xml:space="preserve"> cukup baik  dalam menggali pengetahuan baru yang terdapat pada teks nonfiksi., dan  perlu bimbingan  dalam menggali isi dan amanat puisi yang disajikan secara lisan dan tulis dengan tujuan untuk kesenangan.</v>
      </c>
      <c r="CD5" s="307" t="str">
        <f>IF(CA5=CB5,CA5," ")</f>
        <v xml:space="preserve"> </v>
      </c>
      <c r="CE5" s="308" t="str">
        <f>IF(CD5=" ",CC5,CD5)</f>
        <v xml:space="preserve"> cukup baik  dalam menggali pengetahuan baru yang terdapat pada teks nonfiksi., dan  perlu bimbingan  dalam menggali isi dan amanat puisi yang disajikan secara lisan dan tulis dengan tujuan untuk kesenangan.</v>
      </c>
      <c r="CF5" s="301" t="str">
        <f>CONCATENATE(D5,CE5)</f>
        <v>Anak 1 cukup baik  dalam menggali pengetahuan baru yang terdapat pada teks nonfiksi., dan  perlu bimbingan  dalam menggali isi dan amanat puisi yang disajikan secara lisan dan tulis dengan tujuan untuk kesenangan.</v>
      </c>
      <c r="CG5" s="408"/>
    </row>
    <row r="6" spans="1:85" ht="51.75" customHeight="1">
      <c r="B6" s="109">
        <v>2</v>
      </c>
      <c r="C6" s="110">
        <f>SISWA!B7</f>
        <v>0</v>
      </c>
      <c r="D6" s="111" t="str">
        <f>SISWA!E7</f>
        <v>Anak 2</v>
      </c>
      <c r="E6" s="631">
        <v>99</v>
      </c>
      <c r="F6" s="631">
        <v>99</v>
      </c>
      <c r="G6" s="631">
        <v>99</v>
      </c>
      <c r="H6" s="631">
        <v>99</v>
      </c>
      <c r="I6" s="631">
        <v>99</v>
      </c>
      <c r="J6" s="730"/>
      <c r="K6" s="730"/>
      <c r="L6" s="731"/>
      <c r="M6" s="731"/>
      <c r="N6" s="731"/>
      <c r="O6" s="731"/>
      <c r="P6" s="731"/>
      <c r="Q6" s="730"/>
      <c r="R6" s="730"/>
      <c r="S6" s="610"/>
      <c r="T6" s="730"/>
      <c r="U6" s="631">
        <v>99</v>
      </c>
      <c r="V6" s="631">
        <v>99</v>
      </c>
      <c r="W6" s="730"/>
      <c r="X6" s="730"/>
      <c r="Y6" s="730"/>
      <c r="Z6" s="610"/>
      <c r="AA6" s="631">
        <v>95.5</v>
      </c>
      <c r="AB6" s="631">
        <v>94.5</v>
      </c>
      <c r="AC6" s="631">
        <v>99</v>
      </c>
      <c r="AD6" s="631">
        <v>99</v>
      </c>
      <c r="AE6" s="631">
        <v>99</v>
      </c>
      <c r="AF6" s="605"/>
      <c r="AG6" s="605"/>
      <c r="AH6" s="518"/>
      <c r="AI6" s="607">
        <f t="shared" ref="AI6:AI54" si="15">IFERROR(AVERAGE(E6,E6,T6,AA6),"")</f>
        <v>97.833333333333329</v>
      </c>
      <c r="AJ6" s="607">
        <f t="shared" ref="AJ6:AJ54" si="16">IFERROR(AVERAGE(F6,F6,U6,AB6),"")</f>
        <v>97.875</v>
      </c>
      <c r="AK6" s="607">
        <f t="shared" ref="AK6:AK54" si="17">IFERROR(AVERAGE(G6,G6,V6,AC6),"")</f>
        <v>99</v>
      </c>
      <c r="AL6" s="607">
        <f t="shared" ref="AL6:AL54" si="18">IFERROR(AVERAGE(H6,H6,W6,AD6),"")</f>
        <v>99</v>
      </c>
      <c r="AM6" s="607">
        <f t="shared" ref="AM6:AM54" si="19">IFERROR(AVERAGE(I6,I6,X6,AE6),"")</f>
        <v>99</v>
      </c>
      <c r="AN6" s="607" t="str">
        <f t="shared" ref="AN6:AN54" si="20">IFERROR(AVERAGE(J6,J6,Y6,AF6),"")</f>
        <v/>
      </c>
      <c r="AO6" s="608"/>
      <c r="AP6" s="529"/>
      <c r="AQ6" s="529"/>
      <c r="AR6" s="529"/>
      <c r="AS6" s="529"/>
      <c r="AT6" s="529"/>
      <c r="AU6" s="302">
        <f t="shared" si="9"/>
        <v>99</v>
      </c>
      <c r="AV6" s="303" t="str">
        <f>IF(AU6&gt;KKM!$G$10,"A",IF(AU6&gt;KKM!$H$10,"B",IF(AU6&gt;=KKM!$I$10,"C","D")))</f>
        <v>A</v>
      </c>
      <c r="AW6" s="523">
        <f t="shared" si="10"/>
        <v>99</v>
      </c>
      <c r="AX6" s="115" t="str">
        <f>IF(AW6&gt;KKM!$G$10," sangat baik ",IF(AW6&gt;KKM!$H$10," baik ",IF(AW6&gt;=KKM!$I$10," cukup baik "," perlu bimbingan ")))</f>
        <v xml:space="preserve"> sangat baik </v>
      </c>
      <c r="AY6" s="524">
        <f t="shared" si="11"/>
        <v>97.833333333333329</v>
      </c>
      <c r="AZ6" s="115" t="str">
        <f>IF(AY6&gt;KKM!$G$10," sangat baik ",IF(AY6&gt;KKM!$H$10," baik ",IF(AY6&gt;=KKM!$I$10," cukup baik "," perlu bimbingan ")))</f>
        <v xml:space="preserve"> sangat baik </v>
      </c>
      <c r="BA6" s="301" t="str">
        <f t="shared" ref="BA6:BA54" si="21">IFERROR(BH6," ")</f>
        <v>Anak 2 sangat baik  dalam menggali pengetahuan baru yang terdapat pada teks nonfiksi., dan  sangat baik  dalam menggali informasi dari seorang tokoh melalui wawancara menggunakan daftar pertanyaan.</v>
      </c>
      <c r="BB6" s="306"/>
      <c r="BC6" s="307" t="str">
        <f t="shared" si="12"/>
        <v xml:space="preserve"> sangat baik  dalam menggali pengetahuan baru yang terdapat pada teks nonfiksi.</v>
      </c>
      <c r="BD6" s="307" t="str">
        <f t="shared" si="13"/>
        <v xml:space="preserve"> sangat baik  dalam menggali informasi dari seorang tokoh melalui wawancara menggunakan daftar pertanyaan.</v>
      </c>
      <c r="BE6" s="307" t="str">
        <f t="shared" ref="BE6:BE54" si="22">BC6&amp;", dan "&amp;BD6</f>
        <v xml:space="preserve"> sangat baik  dalam menggali pengetahuan baru yang terdapat pada teks nonfiksi., dan  sangat baik  dalam menggali informasi dari seorang tokoh melalui wawancara menggunakan daftar pertanyaan.</v>
      </c>
      <c r="BF6" s="307" t="str">
        <f t="shared" ref="BF6:BF54" si="23">IF(BC6=BD6,BC6," ")</f>
        <v xml:space="preserve"> </v>
      </c>
      <c r="BG6" s="308" t="str">
        <f t="shared" ref="BG6:BG54" si="24">IF(BF6=" ",BE6,BF6)</f>
        <v xml:space="preserve"> sangat baik  dalam menggali pengetahuan baru yang terdapat pada teks nonfiksi., dan  sangat baik  dalam menggali informasi dari seorang tokoh melalui wawancara menggunakan daftar pertanyaan.</v>
      </c>
      <c r="BH6" s="301" t="str">
        <f t="shared" si="14"/>
        <v>Anak 2 sangat baik  dalam menggali pengetahuan baru yang terdapat pada teks nonfiksi., dan  sangat baik  dalam menggali informasi dari seorang tokoh melalui wawancara menggunakan daftar pertanyaan.</v>
      </c>
      <c r="BI6" s="120"/>
      <c r="BQ6" s="408">
        <f>IFERROR(AU6,"")</f>
        <v>99</v>
      </c>
      <c r="BR6" s="442">
        <f>IFERROR(BR3/BR2,"0%")</f>
        <v>1</v>
      </c>
      <c r="BS6" s="442"/>
      <c r="BT6" s="302">
        <f t="shared" ref="BT6:BT54" si="25">ROUND((AVERAGE(T6:Y6)),0)</f>
        <v>99</v>
      </c>
      <c r="BU6" s="303" t="str">
        <f>IF(BT6&gt;KKM!$G$10,"A",IF(BT6&gt;KKM!$H$10,"B",IF(BT6&gt;=KKM!$I$10,"C","D")))</f>
        <v>A</v>
      </c>
      <c r="BV6" s="523">
        <f t="shared" ref="BV6:BV54" si="26">MAX(T6:Y6)</f>
        <v>99</v>
      </c>
      <c r="BW6" s="115" t="str">
        <f>IF(BV6&gt;KKM!$G$10," sangat baik ",IF(BV6&gt;KKM!$H$10," baik ",IF(BV6&gt;=KKM!$I$10," cukup baik "," perlu bimbingan ")))</f>
        <v xml:space="preserve"> sangat baik </v>
      </c>
      <c r="BX6" s="524">
        <f t="shared" ref="BX6:BX54" si="27">MIN(T6:Y6)</f>
        <v>99</v>
      </c>
      <c r="BY6" s="115" t="str">
        <f>IF(BX6&gt;KKM!$G$10," sangat baik ",IF(BX6&gt;KKM!$H$10," baik ",IF(BX6&gt;=KKM!$I$10," cukup baik "," perlu bimbingan ")))</f>
        <v xml:space="preserve"> sangat baik </v>
      </c>
      <c r="BZ6" s="301" t="str">
        <f>IFERROR(CF6," ")</f>
        <v>Anak 2 sangat baik  dalam menggali isi dan amanat puisi yang disajikan secara lisan dan tulis dengan tujuan untuk kesenangan.</v>
      </c>
      <c r="CA6" s="307" t="str">
        <f t="shared" ref="CA6:CA54" si="28">BW6&amp;" dalam "&amp;INDEX($AI$3:$AT$3,MATCH(BV6,$T6:$Y6,0))</f>
        <v xml:space="preserve"> sangat baik  dalam menggali isi dan amanat puisi yang disajikan secara lisan dan tulis dengan tujuan untuk kesenangan.</v>
      </c>
      <c r="CB6" s="307" t="str">
        <f t="shared" ref="CB6:CB54" si="29">BY6&amp;" dalam "&amp;INDEX($AI$3:$AT$3,MATCH(BX6,$T6:$Y6,0))</f>
        <v xml:space="preserve"> sangat baik  dalam menggali isi dan amanat puisi yang disajikan secara lisan dan tulis dengan tujuan untuk kesenangan.</v>
      </c>
      <c r="CC6" s="307" t="str">
        <f t="shared" ref="CC6:CC54" si="30">CA6&amp;", dan "&amp;CB6</f>
        <v xml:space="preserve"> sangat baik  dalam menggali isi dan amanat puisi yang disajikan secara lisan dan tulis dengan tujuan untuk kesenangan., dan  sangat baik  dalam menggali isi dan amanat puisi yang disajikan secara lisan dan tulis dengan tujuan untuk kesenangan.</v>
      </c>
      <c r="CD6" s="307" t="str">
        <f t="shared" ref="CD6:CD54" si="31">IF(CA6=CB6,CA6," ")</f>
        <v xml:space="preserve"> sangat baik  dalam menggali isi dan amanat puisi yang disajikan secara lisan dan tulis dengan tujuan untuk kesenangan.</v>
      </c>
      <c r="CE6" s="308" t="str">
        <f t="shared" ref="CE6:CE54" si="32">IF(CD6=" ",CC6,CD6)</f>
        <v xml:space="preserve"> sangat baik  dalam menggali isi dan amanat puisi yang disajikan secara lisan dan tulis dengan tujuan untuk kesenangan.</v>
      </c>
      <c r="CF6" s="301" t="str">
        <f t="shared" ref="CF6:CF54" si="33">CONCATENATE(D6,CE6)</f>
        <v>Anak 2 sangat baik  dalam menggali isi dan amanat puisi yang disajikan secara lisan dan tulis dengan tujuan untuk kesenangan.</v>
      </c>
      <c r="CG6" s="442"/>
    </row>
    <row r="7" spans="1:85" ht="51.75" customHeight="1">
      <c r="B7" s="109">
        <v>3</v>
      </c>
      <c r="C7" s="110">
        <f>SISWA!B8</f>
        <v>0</v>
      </c>
      <c r="D7" s="111" t="str">
        <f>SISWA!E8</f>
        <v>Anak 3</v>
      </c>
      <c r="E7" s="631">
        <v>99</v>
      </c>
      <c r="F7" s="631">
        <v>99</v>
      </c>
      <c r="G7" s="631">
        <v>99</v>
      </c>
      <c r="H7" s="631">
        <v>99</v>
      </c>
      <c r="I7" s="631">
        <v>99</v>
      </c>
      <c r="J7" s="730"/>
      <c r="K7" s="730"/>
      <c r="L7" s="731"/>
      <c r="M7" s="731"/>
      <c r="N7" s="731"/>
      <c r="O7" s="731"/>
      <c r="P7" s="731"/>
      <c r="Q7" s="730"/>
      <c r="R7" s="730"/>
      <c r="S7" s="610"/>
      <c r="T7" s="730"/>
      <c r="U7" s="631">
        <v>99</v>
      </c>
      <c r="V7" s="631">
        <v>99</v>
      </c>
      <c r="W7" s="730"/>
      <c r="X7" s="730"/>
      <c r="Y7" s="730"/>
      <c r="Z7" s="610"/>
      <c r="AA7" s="631">
        <v>94.5</v>
      </c>
      <c r="AB7" s="631">
        <v>79</v>
      </c>
      <c r="AC7" s="631">
        <v>99</v>
      </c>
      <c r="AD7" s="631">
        <v>99</v>
      </c>
      <c r="AE7" s="631">
        <v>99</v>
      </c>
      <c r="AF7" s="605"/>
      <c r="AG7" s="605"/>
      <c r="AH7" s="518"/>
      <c r="AI7" s="607">
        <f t="shared" si="15"/>
        <v>97.5</v>
      </c>
      <c r="AJ7" s="607">
        <f t="shared" si="16"/>
        <v>94</v>
      </c>
      <c r="AK7" s="607">
        <f t="shared" si="17"/>
        <v>99</v>
      </c>
      <c r="AL7" s="607">
        <f t="shared" si="18"/>
        <v>99</v>
      </c>
      <c r="AM7" s="607">
        <f t="shared" si="19"/>
        <v>99</v>
      </c>
      <c r="AN7" s="607" t="str">
        <f t="shared" si="20"/>
        <v/>
      </c>
      <c r="AO7" s="608"/>
      <c r="AP7" s="528"/>
      <c r="AQ7" s="528"/>
      <c r="AR7" s="528"/>
      <c r="AS7" s="528"/>
      <c r="AT7" s="528"/>
      <c r="AU7" s="302">
        <f t="shared" si="9"/>
        <v>98</v>
      </c>
      <c r="AV7" s="303" t="str">
        <f>IF(AU7&gt;KKM!$G$10,"A",IF(AU7&gt;KKM!$H$10,"B",IF(AU7&gt;=KKM!$I$10,"C","D")))</f>
        <v>A</v>
      </c>
      <c r="AW7" s="523">
        <f t="shared" si="10"/>
        <v>99</v>
      </c>
      <c r="AX7" s="115" t="str">
        <f>IF(AW7&gt;KKM!$G$10," sangat baik ",IF(AW7&gt;KKM!$H$10," baik ",IF(AW7&gt;=KKM!$I$10," cukup baik "," perlu bimbingan ")))</f>
        <v xml:space="preserve"> sangat baik </v>
      </c>
      <c r="AY7" s="524">
        <f t="shared" si="11"/>
        <v>94</v>
      </c>
      <c r="AZ7" s="115" t="str">
        <f>IF(AY7&gt;KKM!$G$10," sangat baik ",IF(AY7&gt;KKM!$H$10," baik ",IF(AY7&gt;=KKM!$I$10," cukup baik "," perlu bimbingan ")))</f>
        <v xml:space="preserve"> sangat baik </v>
      </c>
      <c r="BA7" s="301" t="str">
        <f t="shared" si="21"/>
        <v>Anak 3 sangat baik  dalam menggali pengetahuan baru yang terdapat pada teks nonfiksi., dan  sangat baik  dalam menggali isi dan amanat puisi yang disajikan secara lisan dan tulis dengan tujuan untuk kesenangan.</v>
      </c>
      <c r="BB7" s="306"/>
      <c r="BC7" s="307" t="str">
        <f t="shared" si="12"/>
        <v xml:space="preserve"> sangat baik  dalam menggali pengetahuan baru yang terdapat pada teks nonfiksi.</v>
      </c>
      <c r="BD7" s="307" t="str">
        <f t="shared" si="13"/>
        <v xml:space="preserve"> sangat baik  dalam menggali isi dan amanat puisi yang disajikan secara lisan dan tulis dengan tujuan untuk kesenangan.</v>
      </c>
      <c r="BE7" s="307" t="str">
        <f t="shared" si="22"/>
        <v xml:space="preserve"> sangat baik  dalam menggali pengetahuan baru yang terdapat pada teks nonfiksi., dan  sangat baik  dalam menggali isi dan amanat puisi yang disajikan secara lisan dan tulis dengan tujuan untuk kesenangan.</v>
      </c>
      <c r="BF7" s="307" t="str">
        <f t="shared" si="23"/>
        <v xml:space="preserve"> </v>
      </c>
      <c r="BG7" s="308" t="str">
        <f t="shared" si="24"/>
        <v xml:space="preserve"> sangat baik  dalam menggali pengetahuan baru yang terdapat pada teks nonfiksi., dan  sangat baik  dalam menggali isi dan amanat puisi yang disajikan secara lisan dan tulis dengan tujuan untuk kesenangan.</v>
      </c>
      <c r="BH7" s="301" t="str">
        <f t="shared" si="14"/>
        <v>Anak 3 sangat baik  dalam menggali pengetahuan baru yang terdapat pada teks nonfiksi., dan  sangat baik  dalam menggali isi dan amanat puisi yang disajikan secara lisan dan tulis dengan tujuan untuk kesenangan.</v>
      </c>
      <c r="BI7" s="120"/>
      <c r="BQ7" s="408">
        <f t="shared" ref="BQ7:BQ54" si="34">IFERROR(AU7,"")</f>
        <v>98</v>
      </c>
      <c r="BT7" s="302">
        <f t="shared" si="25"/>
        <v>99</v>
      </c>
      <c r="BU7" s="303" t="str">
        <f>IF(BT7&gt;KKM!$G$10,"A",IF(BT7&gt;KKM!$H$10,"B",IF(BT7&gt;=KKM!$I$10,"C","D")))</f>
        <v>A</v>
      </c>
      <c r="BV7" s="523">
        <f t="shared" si="26"/>
        <v>99</v>
      </c>
      <c r="BW7" s="115" t="str">
        <f>IF(BV7&gt;KKM!$G$10," sangat baik ",IF(BV7&gt;KKM!$H$10," baik ",IF(BV7&gt;=KKM!$I$10," cukup baik "," perlu bimbingan ")))</f>
        <v xml:space="preserve"> sangat baik </v>
      </c>
      <c r="BX7" s="524">
        <f t="shared" si="27"/>
        <v>99</v>
      </c>
      <c r="BY7" s="115" t="str">
        <f>IF(BX7&gt;KKM!$G$10," sangat baik ",IF(BX7&gt;KKM!$H$10," baik ",IF(BX7&gt;=KKM!$I$10," cukup baik "," perlu bimbingan ")))</f>
        <v xml:space="preserve"> sangat baik </v>
      </c>
      <c r="BZ7" s="301" t="str">
        <f t="shared" ref="BZ7:BZ54" si="35">IFERROR(CF7," ")</f>
        <v>Anak 3 sangat baik  dalam menggali isi dan amanat puisi yang disajikan secara lisan dan tulis dengan tujuan untuk kesenangan.</v>
      </c>
      <c r="CA7" s="307" t="str">
        <f t="shared" si="28"/>
        <v xml:space="preserve"> sangat baik  dalam menggali isi dan amanat puisi yang disajikan secara lisan dan tulis dengan tujuan untuk kesenangan.</v>
      </c>
      <c r="CB7" s="307" t="str">
        <f t="shared" si="29"/>
        <v xml:space="preserve"> sangat baik  dalam menggali isi dan amanat puisi yang disajikan secara lisan dan tulis dengan tujuan untuk kesenangan.</v>
      </c>
      <c r="CC7"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7" s="307" t="str">
        <f t="shared" si="31"/>
        <v xml:space="preserve"> sangat baik  dalam menggali isi dan amanat puisi yang disajikan secara lisan dan tulis dengan tujuan untuk kesenangan.</v>
      </c>
      <c r="CE7" s="308" t="str">
        <f t="shared" si="32"/>
        <v xml:space="preserve"> sangat baik  dalam menggali isi dan amanat puisi yang disajikan secara lisan dan tulis dengan tujuan untuk kesenangan.</v>
      </c>
      <c r="CF7" s="301" t="str">
        <f t="shared" si="33"/>
        <v>Anak 3 sangat baik  dalam menggali isi dan amanat puisi yang disajikan secara lisan dan tulis dengan tujuan untuk kesenangan.</v>
      </c>
    </row>
    <row r="8" spans="1:85" ht="51.75" customHeight="1">
      <c r="B8" s="109">
        <v>4</v>
      </c>
      <c r="C8" s="110">
        <f>SISWA!B9</f>
        <v>0</v>
      </c>
      <c r="D8" s="111" t="str">
        <f>SISWA!E9</f>
        <v>Anak 4</v>
      </c>
      <c r="E8" s="631">
        <v>67</v>
      </c>
      <c r="F8" s="631">
        <v>87</v>
      </c>
      <c r="G8" s="631">
        <v>99</v>
      </c>
      <c r="H8" s="631">
        <v>98</v>
      </c>
      <c r="I8" s="631">
        <v>89</v>
      </c>
      <c r="J8" s="730"/>
      <c r="K8" s="730"/>
      <c r="L8" s="731"/>
      <c r="M8" s="731"/>
      <c r="N8" s="731"/>
      <c r="O8" s="731"/>
      <c r="P8" s="731"/>
      <c r="Q8" s="730"/>
      <c r="R8" s="730"/>
      <c r="S8" s="610"/>
      <c r="T8" s="730"/>
      <c r="U8" s="631">
        <v>67</v>
      </c>
      <c r="V8" s="631">
        <v>87</v>
      </c>
      <c r="W8" s="730"/>
      <c r="X8" s="730"/>
      <c r="Y8" s="730"/>
      <c r="Z8" s="610"/>
      <c r="AA8" s="631">
        <v>79</v>
      </c>
      <c r="AB8" s="631">
        <v>79</v>
      </c>
      <c r="AC8" s="631"/>
      <c r="AD8" s="631"/>
      <c r="AE8" s="631"/>
      <c r="AF8" s="605"/>
      <c r="AG8" s="605"/>
      <c r="AH8" s="518"/>
      <c r="AI8" s="607">
        <f t="shared" si="15"/>
        <v>71</v>
      </c>
      <c r="AJ8" s="607">
        <f t="shared" si="16"/>
        <v>80</v>
      </c>
      <c r="AK8" s="607">
        <f t="shared" si="17"/>
        <v>95</v>
      </c>
      <c r="AL8" s="607">
        <f t="shared" si="18"/>
        <v>98</v>
      </c>
      <c r="AM8" s="607">
        <f t="shared" si="19"/>
        <v>89</v>
      </c>
      <c r="AN8" s="607" t="str">
        <f t="shared" si="20"/>
        <v/>
      </c>
      <c r="AO8" s="608"/>
      <c r="AP8" s="528"/>
      <c r="AQ8" s="528"/>
      <c r="AR8" s="528"/>
      <c r="AS8" s="528"/>
      <c r="AT8" s="528"/>
      <c r="AU8" s="302">
        <f t="shared" si="9"/>
        <v>87</v>
      </c>
      <c r="AV8" s="303" t="str">
        <f>IF(AU8&gt;KKM!$G$10,"A",IF(AU8&gt;KKM!$H$10,"B",IF(AU8&gt;=KKM!$I$10,"C","D")))</f>
        <v>B</v>
      </c>
      <c r="AW8" s="523">
        <f t="shared" si="10"/>
        <v>98</v>
      </c>
      <c r="AX8" s="115" t="str">
        <f>IF(AW8&gt;KKM!$G$10," sangat baik ",IF(AW8&gt;KKM!$H$10," baik ",IF(AW8&gt;=KKM!$I$10," cukup baik "," perlu bimbingan ")))</f>
        <v xml:space="preserve"> sangat baik </v>
      </c>
      <c r="AY8" s="524">
        <f t="shared" si="11"/>
        <v>71</v>
      </c>
      <c r="AZ8" s="115" t="str">
        <f>IF(AY8&gt;KKM!$G$10," sangat baik ",IF(AY8&gt;KKM!$H$10," baik ",IF(AY8&gt;=KKM!$I$10," cukup baik "," perlu bimbingan ")))</f>
        <v xml:space="preserve"> cukup baik </v>
      </c>
      <c r="BA8" s="301" t="str">
        <f t="shared" si="21"/>
        <v>Anak 4 sangat baik  dalam mencermati tokoh-tokoh yang terdapat pada teks fiksi., dan  cukup baik  dalam menggali informasi dari seorang tokoh melalui wawancara menggunakan daftar pertanyaan.</v>
      </c>
      <c r="BB8" s="306"/>
      <c r="BC8" s="307" t="str">
        <f t="shared" si="12"/>
        <v xml:space="preserve"> sangat baik  dalam mencermati tokoh-tokoh yang terdapat pada teks fiksi.</v>
      </c>
      <c r="BD8" s="307" t="str">
        <f t="shared" si="13"/>
        <v xml:space="preserve"> cukup baik  dalam menggali informasi dari seorang tokoh melalui wawancara menggunakan daftar pertanyaan.</v>
      </c>
      <c r="BE8" s="307" t="str">
        <f t="shared" si="22"/>
        <v xml:space="preserve"> sangat baik  dalam mencermati tokoh-tokoh yang terdapat pada teks fiksi., dan  cukup baik  dalam menggali informasi dari seorang tokoh melalui wawancara menggunakan daftar pertanyaan.</v>
      </c>
      <c r="BF8" s="307" t="str">
        <f t="shared" si="23"/>
        <v xml:space="preserve"> </v>
      </c>
      <c r="BG8" s="308" t="str">
        <f t="shared" si="24"/>
        <v xml:space="preserve"> sangat baik  dalam mencermati tokoh-tokoh yang terdapat pada teks fiksi., dan  cukup baik  dalam menggali informasi dari seorang tokoh melalui wawancara menggunakan daftar pertanyaan.</v>
      </c>
      <c r="BH8" s="301" t="str">
        <f t="shared" si="14"/>
        <v>Anak 4 sangat baik  dalam mencermati tokoh-tokoh yang terdapat pada teks fiksi., dan  cukup baik  dalam menggali informasi dari seorang tokoh melalui wawancara menggunakan daftar pertanyaan.</v>
      </c>
      <c r="BI8" s="120"/>
      <c r="BQ8" s="408">
        <f t="shared" si="34"/>
        <v>87</v>
      </c>
      <c r="BT8" s="302">
        <f t="shared" si="25"/>
        <v>77</v>
      </c>
      <c r="BU8" s="303" t="str">
        <f>IF(BT8&gt;KKM!$G$10,"A",IF(BT8&gt;KKM!$H$10,"B",IF(BT8&gt;=KKM!$I$10,"C","D")))</f>
        <v>C</v>
      </c>
      <c r="BV8" s="523">
        <f t="shared" si="26"/>
        <v>87</v>
      </c>
      <c r="BW8" s="115" t="str">
        <f>IF(BV8&gt;KKM!$G$10," sangat baik ",IF(BV8&gt;KKM!$H$10," baik ",IF(BV8&gt;=KKM!$I$10," cukup baik "," perlu bimbingan ")))</f>
        <v xml:space="preserve"> baik </v>
      </c>
      <c r="BX8" s="524">
        <f t="shared" si="27"/>
        <v>67</v>
      </c>
      <c r="BY8" s="115" t="str">
        <f>IF(BX8&gt;KKM!$G$10," sangat baik ",IF(BX8&gt;KKM!$H$10," baik ",IF(BX8&gt;=KKM!$I$10," cukup baik "," perlu bimbingan ")))</f>
        <v xml:space="preserve"> perlu bimbingan </v>
      </c>
      <c r="BZ8" s="301" t="str">
        <f t="shared" si="35"/>
        <v>Anak 4 baik  dalam menggali pengetahuan baru yang terdapat pada teks nonfiksi., dan  perlu bimbingan  dalam menggali isi dan amanat puisi yang disajikan secara lisan dan tulis dengan tujuan untuk kesenangan.</v>
      </c>
      <c r="CA8" s="307" t="str">
        <f t="shared" si="28"/>
        <v xml:space="preserve"> baik  dalam menggali pengetahuan baru yang terdapat pada teks nonfiksi.</v>
      </c>
      <c r="CB8" s="307" t="str">
        <f t="shared" si="29"/>
        <v xml:space="preserve"> perlu bimbingan  dalam menggali isi dan amanat puisi yang disajikan secara lisan dan tulis dengan tujuan untuk kesenangan.</v>
      </c>
      <c r="CC8" s="307" t="str">
        <f t="shared" si="30"/>
        <v xml:space="preserve"> baik  dalam menggali pengetahuan baru yang terdapat pada teks nonfiksi., dan  perlu bimbingan  dalam menggali isi dan amanat puisi yang disajikan secara lisan dan tulis dengan tujuan untuk kesenangan.</v>
      </c>
      <c r="CD8" s="307" t="str">
        <f t="shared" si="31"/>
        <v xml:space="preserve"> </v>
      </c>
      <c r="CE8" s="308" t="str">
        <f t="shared" si="32"/>
        <v xml:space="preserve"> baik  dalam menggali pengetahuan baru yang terdapat pada teks nonfiksi., dan  perlu bimbingan  dalam menggali isi dan amanat puisi yang disajikan secara lisan dan tulis dengan tujuan untuk kesenangan.</v>
      </c>
      <c r="CF8" s="301" t="str">
        <f t="shared" si="33"/>
        <v>Anak 4 baik  dalam menggali pengetahuan baru yang terdapat pada teks nonfiksi., dan  perlu bimbingan  dalam menggali isi dan amanat puisi yang disajikan secara lisan dan tulis dengan tujuan untuk kesenangan.</v>
      </c>
    </row>
    <row r="9" spans="1:85" ht="51.75" customHeight="1">
      <c r="B9" s="109">
        <v>5</v>
      </c>
      <c r="C9" s="110">
        <f>SISWA!B10</f>
        <v>0</v>
      </c>
      <c r="D9" s="111" t="str">
        <f>SISWA!E10</f>
        <v>Anak 5</v>
      </c>
      <c r="E9" s="631">
        <v>99</v>
      </c>
      <c r="F9" s="631">
        <v>99</v>
      </c>
      <c r="G9" s="631">
        <v>99</v>
      </c>
      <c r="H9" s="631">
        <v>99</v>
      </c>
      <c r="I9" s="631">
        <v>99</v>
      </c>
      <c r="J9" s="730"/>
      <c r="K9" s="730"/>
      <c r="L9" s="731"/>
      <c r="M9" s="731"/>
      <c r="N9" s="731"/>
      <c r="O9" s="731"/>
      <c r="P9" s="731"/>
      <c r="Q9" s="730"/>
      <c r="R9" s="730"/>
      <c r="S9" s="610"/>
      <c r="T9" s="730"/>
      <c r="U9" s="631">
        <v>99</v>
      </c>
      <c r="V9" s="631">
        <v>99</v>
      </c>
      <c r="W9" s="730"/>
      <c r="X9" s="730"/>
      <c r="Y9" s="730"/>
      <c r="Z9" s="610"/>
      <c r="AA9" s="631">
        <v>79</v>
      </c>
      <c r="AB9" s="631">
        <v>79</v>
      </c>
      <c r="AC9" s="631">
        <v>99</v>
      </c>
      <c r="AD9" s="631">
        <v>99</v>
      </c>
      <c r="AE9" s="631">
        <v>99</v>
      </c>
      <c r="AF9" s="605"/>
      <c r="AG9" s="605"/>
      <c r="AH9" s="518"/>
      <c r="AI9" s="607">
        <f t="shared" si="15"/>
        <v>92.333333333333329</v>
      </c>
      <c r="AJ9" s="607">
        <f t="shared" si="16"/>
        <v>94</v>
      </c>
      <c r="AK9" s="607">
        <f t="shared" si="17"/>
        <v>99</v>
      </c>
      <c r="AL9" s="607">
        <f t="shared" si="18"/>
        <v>99</v>
      </c>
      <c r="AM9" s="607">
        <f t="shared" si="19"/>
        <v>99</v>
      </c>
      <c r="AN9" s="607" t="str">
        <f t="shared" si="20"/>
        <v/>
      </c>
      <c r="AO9" s="608"/>
      <c r="AP9" s="528"/>
      <c r="AQ9" s="528"/>
      <c r="AR9" s="528"/>
      <c r="AS9" s="528"/>
      <c r="AT9" s="528"/>
      <c r="AU9" s="302">
        <f t="shared" si="9"/>
        <v>97</v>
      </c>
      <c r="AV9" s="303" t="str">
        <f>IF(AU9&gt;KKM!$G$10,"A",IF(AU9&gt;KKM!$H$10,"B",IF(AU9&gt;=KKM!$I$10,"C","D")))</f>
        <v>A</v>
      </c>
      <c r="AW9" s="523">
        <f t="shared" si="10"/>
        <v>99</v>
      </c>
      <c r="AX9" s="115" t="str">
        <f>IF(AW9&gt;KKM!$G$10," sangat baik ",IF(AW9&gt;KKM!$H$10," baik ",IF(AW9&gt;=KKM!$I$10," cukup baik "," perlu bimbingan ")))</f>
        <v xml:space="preserve"> sangat baik </v>
      </c>
      <c r="AY9" s="524">
        <f t="shared" si="11"/>
        <v>92.333333333333329</v>
      </c>
      <c r="AZ9" s="115" t="str">
        <f>IF(AY9&gt;KKM!$G$10," sangat baik ",IF(AY9&gt;KKM!$H$10," baik ",IF(AY9&gt;=KKM!$I$10," cukup baik "," perlu bimbingan ")))</f>
        <v xml:space="preserve"> sangat baik </v>
      </c>
      <c r="BA9" s="301" t="str">
        <f t="shared" si="21"/>
        <v>Anak 5 sangat baik  dalam menggali pengetahuan baru yang terdapat pada teks nonfiksi., dan  sangat baik  dalam menggali informasi dari seorang tokoh melalui wawancara menggunakan daftar pertanyaan.</v>
      </c>
      <c r="BB9" s="306"/>
      <c r="BC9" s="307" t="str">
        <f t="shared" si="12"/>
        <v xml:space="preserve"> sangat baik  dalam menggali pengetahuan baru yang terdapat pada teks nonfiksi.</v>
      </c>
      <c r="BD9" s="307" t="str">
        <f t="shared" si="13"/>
        <v xml:space="preserve"> sangat baik  dalam menggali informasi dari seorang tokoh melalui wawancara menggunakan daftar pertanyaan.</v>
      </c>
      <c r="BE9" s="307" t="str">
        <f t="shared" si="22"/>
        <v xml:space="preserve"> sangat baik  dalam menggali pengetahuan baru yang terdapat pada teks nonfiksi., dan  sangat baik  dalam menggali informasi dari seorang tokoh melalui wawancara menggunakan daftar pertanyaan.</v>
      </c>
      <c r="BF9" s="307" t="str">
        <f t="shared" si="23"/>
        <v xml:space="preserve"> </v>
      </c>
      <c r="BG9" s="308" t="str">
        <f t="shared" si="24"/>
        <v xml:space="preserve"> sangat baik  dalam menggali pengetahuan baru yang terdapat pada teks nonfiksi., dan  sangat baik  dalam menggali informasi dari seorang tokoh melalui wawancara menggunakan daftar pertanyaan.</v>
      </c>
      <c r="BH9" s="301" t="str">
        <f t="shared" si="14"/>
        <v>Anak 5 sangat baik  dalam menggali pengetahuan baru yang terdapat pada teks nonfiksi., dan  sangat baik  dalam menggali informasi dari seorang tokoh melalui wawancara menggunakan daftar pertanyaan.</v>
      </c>
      <c r="BI9" s="120"/>
      <c r="BQ9" s="408">
        <f t="shared" si="34"/>
        <v>97</v>
      </c>
      <c r="BT9" s="302">
        <f t="shared" si="25"/>
        <v>99</v>
      </c>
      <c r="BU9" s="303" t="str">
        <f>IF(BT9&gt;KKM!$G$10,"A",IF(BT9&gt;KKM!$H$10,"B",IF(BT9&gt;=KKM!$I$10,"C","D")))</f>
        <v>A</v>
      </c>
      <c r="BV9" s="523">
        <f t="shared" si="26"/>
        <v>99</v>
      </c>
      <c r="BW9" s="115" t="str">
        <f>IF(BV9&gt;KKM!$G$10," sangat baik ",IF(BV9&gt;KKM!$H$10," baik ",IF(BV9&gt;=KKM!$I$10," cukup baik "," perlu bimbingan ")))</f>
        <v xml:space="preserve"> sangat baik </v>
      </c>
      <c r="BX9" s="524">
        <f t="shared" si="27"/>
        <v>99</v>
      </c>
      <c r="BY9" s="115" t="str">
        <f>IF(BX9&gt;KKM!$G$10," sangat baik ",IF(BX9&gt;KKM!$H$10," baik ",IF(BX9&gt;=KKM!$I$10," cukup baik "," perlu bimbingan ")))</f>
        <v xml:space="preserve"> sangat baik </v>
      </c>
      <c r="BZ9" s="301" t="str">
        <f t="shared" si="35"/>
        <v>Anak 5 sangat baik  dalam menggali isi dan amanat puisi yang disajikan secara lisan dan tulis dengan tujuan untuk kesenangan.</v>
      </c>
      <c r="CA9" s="307" t="str">
        <f t="shared" si="28"/>
        <v xml:space="preserve"> sangat baik  dalam menggali isi dan amanat puisi yang disajikan secara lisan dan tulis dengan tujuan untuk kesenangan.</v>
      </c>
      <c r="CB9" s="307" t="str">
        <f t="shared" si="29"/>
        <v xml:space="preserve"> sangat baik  dalam menggali isi dan amanat puisi yang disajikan secara lisan dan tulis dengan tujuan untuk kesenangan.</v>
      </c>
      <c r="CC9"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9" s="307" t="str">
        <f t="shared" si="31"/>
        <v xml:space="preserve"> sangat baik  dalam menggali isi dan amanat puisi yang disajikan secara lisan dan tulis dengan tujuan untuk kesenangan.</v>
      </c>
      <c r="CE9" s="308" t="str">
        <f t="shared" si="32"/>
        <v xml:space="preserve"> sangat baik  dalam menggali isi dan amanat puisi yang disajikan secara lisan dan tulis dengan tujuan untuk kesenangan.</v>
      </c>
      <c r="CF9" s="301" t="str">
        <f t="shared" si="33"/>
        <v>Anak 5 sangat baik  dalam menggali isi dan amanat puisi yang disajikan secara lisan dan tulis dengan tujuan untuk kesenangan.</v>
      </c>
    </row>
    <row r="10" spans="1:85" ht="51.75" customHeight="1">
      <c r="B10" s="109">
        <v>6</v>
      </c>
      <c r="C10" s="110">
        <f>SISWA!B11</f>
        <v>0</v>
      </c>
      <c r="D10" s="111" t="str">
        <f>SISWA!E11</f>
        <v>Anak 6</v>
      </c>
      <c r="E10" s="631">
        <v>99</v>
      </c>
      <c r="F10" s="631">
        <v>99</v>
      </c>
      <c r="G10" s="631">
        <v>99</v>
      </c>
      <c r="H10" s="631">
        <v>99</v>
      </c>
      <c r="I10" s="631">
        <v>99</v>
      </c>
      <c r="J10" s="730"/>
      <c r="K10" s="730"/>
      <c r="L10" s="731"/>
      <c r="M10" s="731"/>
      <c r="N10" s="731"/>
      <c r="O10" s="731"/>
      <c r="P10" s="731"/>
      <c r="Q10" s="730"/>
      <c r="R10" s="730"/>
      <c r="S10" s="610"/>
      <c r="T10" s="730"/>
      <c r="U10" s="631">
        <v>99</v>
      </c>
      <c r="V10" s="631">
        <v>99</v>
      </c>
      <c r="W10" s="730"/>
      <c r="X10" s="730"/>
      <c r="Y10" s="730"/>
      <c r="Z10" s="610"/>
      <c r="AA10" s="631">
        <v>79</v>
      </c>
      <c r="AB10" s="631">
        <v>68.5</v>
      </c>
      <c r="AC10" s="631">
        <v>99</v>
      </c>
      <c r="AD10" s="631">
        <v>99</v>
      </c>
      <c r="AE10" s="631">
        <v>99</v>
      </c>
      <c r="AF10" s="605"/>
      <c r="AG10" s="605"/>
      <c r="AH10" s="518"/>
      <c r="AI10" s="607">
        <f t="shared" si="15"/>
        <v>92.333333333333329</v>
      </c>
      <c r="AJ10" s="607">
        <f t="shared" si="16"/>
        <v>91.375</v>
      </c>
      <c r="AK10" s="607">
        <f t="shared" si="17"/>
        <v>99</v>
      </c>
      <c r="AL10" s="607">
        <f t="shared" si="18"/>
        <v>99</v>
      </c>
      <c r="AM10" s="607">
        <f t="shared" si="19"/>
        <v>99</v>
      </c>
      <c r="AN10" s="607" t="str">
        <f t="shared" si="20"/>
        <v/>
      </c>
      <c r="AO10" s="608"/>
      <c r="AP10" s="528"/>
      <c r="AQ10" s="528"/>
      <c r="AR10" s="528"/>
      <c r="AS10" s="528"/>
      <c r="AT10" s="528"/>
      <c r="AU10" s="302">
        <f t="shared" si="9"/>
        <v>96</v>
      </c>
      <c r="AV10" s="303" t="str">
        <f>IF(AU10&gt;KKM!$G$10,"A",IF(AU10&gt;KKM!$H$10,"B",IF(AU10&gt;=KKM!$I$10,"C","D")))</f>
        <v>A</v>
      </c>
      <c r="AW10" s="523">
        <f t="shared" si="10"/>
        <v>99</v>
      </c>
      <c r="AX10" s="115" t="str">
        <f>IF(AW10&gt;KKM!$G$10," sangat baik ",IF(AW10&gt;KKM!$H$10," baik ",IF(AW10&gt;=KKM!$I$10," cukup baik "," perlu bimbingan ")))</f>
        <v xml:space="preserve"> sangat baik </v>
      </c>
      <c r="AY10" s="524">
        <f t="shared" si="11"/>
        <v>91.375</v>
      </c>
      <c r="AZ10" s="115" t="str">
        <f>IF(AY10&gt;KKM!$G$10," sangat baik ",IF(AY10&gt;KKM!$H$10," baik ",IF(AY10&gt;=KKM!$I$10," cukup baik "," perlu bimbingan ")))</f>
        <v xml:space="preserve"> sangat baik </v>
      </c>
      <c r="BA10" s="301" t="str">
        <f t="shared" si="21"/>
        <v>Anak 6 sangat baik  dalam menggali pengetahuan baru yang terdapat pada teks nonfiksi., dan  sangat baik  dalam menggali isi dan amanat puisi yang disajikan secara lisan dan tulis dengan tujuan untuk kesenangan.</v>
      </c>
      <c r="BB10" s="306"/>
      <c r="BC10" s="307" t="str">
        <f t="shared" si="12"/>
        <v xml:space="preserve"> sangat baik  dalam menggali pengetahuan baru yang terdapat pada teks nonfiksi.</v>
      </c>
      <c r="BD10" s="307" t="str">
        <f t="shared" si="13"/>
        <v xml:space="preserve"> sangat baik  dalam menggali isi dan amanat puisi yang disajikan secara lisan dan tulis dengan tujuan untuk kesenangan.</v>
      </c>
      <c r="BE10" s="307" t="str">
        <f t="shared" si="22"/>
        <v xml:space="preserve"> sangat baik  dalam menggali pengetahuan baru yang terdapat pada teks nonfiksi., dan  sangat baik  dalam menggali isi dan amanat puisi yang disajikan secara lisan dan tulis dengan tujuan untuk kesenangan.</v>
      </c>
      <c r="BF10" s="307" t="str">
        <f t="shared" si="23"/>
        <v xml:space="preserve"> </v>
      </c>
      <c r="BG10" s="308" t="str">
        <f t="shared" si="24"/>
        <v xml:space="preserve"> sangat baik  dalam menggali pengetahuan baru yang terdapat pada teks nonfiksi., dan  sangat baik  dalam menggali isi dan amanat puisi yang disajikan secara lisan dan tulis dengan tujuan untuk kesenangan.</v>
      </c>
      <c r="BH10" s="301" t="str">
        <f t="shared" si="14"/>
        <v>Anak 6 sangat baik  dalam menggali pengetahuan baru yang terdapat pada teks nonfiksi., dan  sangat baik  dalam menggali isi dan amanat puisi yang disajikan secara lisan dan tulis dengan tujuan untuk kesenangan.</v>
      </c>
      <c r="BI10" s="120"/>
      <c r="BQ10" s="408">
        <f t="shared" si="34"/>
        <v>96</v>
      </c>
      <c r="BT10" s="302">
        <f t="shared" si="25"/>
        <v>99</v>
      </c>
      <c r="BU10" s="303" t="str">
        <f>IF(BT10&gt;KKM!$G$10,"A",IF(BT10&gt;KKM!$H$10,"B",IF(BT10&gt;=KKM!$I$10,"C","D")))</f>
        <v>A</v>
      </c>
      <c r="BV10" s="523">
        <f t="shared" si="26"/>
        <v>99</v>
      </c>
      <c r="BW10" s="115" t="str">
        <f>IF(BV10&gt;KKM!$G$10," sangat baik ",IF(BV10&gt;KKM!$H$10," baik ",IF(BV10&gt;=KKM!$I$10," cukup baik "," perlu bimbingan ")))</f>
        <v xml:space="preserve"> sangat baik </v>
      </c>
      <c r="BX10" s="524">
        <f t="shared" si="27"/>
        <v>99</v>
      </c>
      <c r="BY10" s="115" t="str">
        <f>IF(BX10&gt;KKM!$G$10," sangat baik ",IF(BX10&gt;KKM!$H$10," baik ",IF(BX10&gt;=KKM!$I$10," cukup baik "," perlu bimbingan ")))</f>
        <v xml:space="preserve"> sangat baik </v>
      </c>
      <c r="BZ10" s="301" t="str">
        <f t="shared" si="35"/>
        <v>Anak 6 sangat baik  dalam menggali isi dan amanat puisi yang disajikan secara lisan dan tulis dengan tujuan untuk kesenangan.</v>
      </c>
      <c r="CA10" s="307" t="str">
        <f t="shared" si="28"/>
        <v xml:space="preserve"> sangat baik  dalam menggali isi dan amanat puisi yang disajikan secara lisan dan tulis dengan tujuan untuk kesenangan.</v>
      </c>
      <c r="CB10" s="307" t="str">
        <f t="shared" si="29"/>
        <v xml:space="preserve"> sangat baik  dalam menggali isi dan amanat puisi yang disajikan secara lisan dan tulis dengan tujuan untuk kesenangan.</v>
      </c>
      <c r="CC10"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0" s="307" t="str">
        <f t="shared" si="31"/>
        <v xml:space="preserve"> sangat baik  dalam menggali isi dan amanat puisi yang disajikan secara lisan dan tulis dengan tujuan untuk kesenangan.</v>
      </c>
      <c r="CE10" s="308" t="str">
        <f t="shared" si="32"/>
        <v xml:space="preserve"> sangat baik  dalam menggali isi dan amanat puisi yang disajikan secara lisan dan tulis dengan tujuan untuk kesenangan.</v>
      </c>
      <c r="CF10" s="301" t="str">
        <f t="shared" si="33"/>
        <v>Anak 6 sangat baik  dalam menggali isi dan amanat puisi yang disajikan secara lisan dan tulis dengan tujuan untuk kesenangan.</v>
      </c>
    </row>
    <row r="11" spans="1:85" ht="51.75" customHeight="1">
      <c r="B11" s="109">
        <v>7</v>
      </c>
      <c r="C11" s="110">
        <f>SISWA!B12</f>
        <v>0</v>
      </c>
      <c r="D11" s="111" t="str">
        <f>SISWA!E12</f>
        <v>Anak 7</v>
      </c>
      <c r="E11" s="631">
        <v>99</v>
      </c>
      <c r="F11" s="631">
        <v>99</v>
      </c>
      <c r="G11" s="631">
        <v>99</v>
      </c>
      <c r="H11" s="631">
        <v>99</v>
      </c>
      <c r="I11" s="631">
        <v>99</v>
      </c>
      <c r="J11" s="730"/>
      <c r="K11" s="730"/>
      <c r="L11" s="731"/>
      <c r="M11" s="731"/>
      <c r="N11" s="731"/>
      <c r="O11" s="731"/>
      <c r="P11" s="731"/>
      <c r="Q11" s="730"/>
      <c r="R11" s="730"/>
      <c r="S11" s="610"/>
      <c r="T11" s="730"/>
      <c r="U11" s="631">
        <v>99</v>
      </c>
      <c r="V11" s="631">
        <v>99</v>
      </c>
      <c r="W11" s="730"/>
      <c r="X11" s="730"/>
      <c r="Y11" s="730"/>
      <c r="Z11" s="610"/>
      <c r="AA11" s="631">
        <v>68.5</v>
      </c>
      <c r="AB11" s="631">
        <v>69.5</v>
      </c>
      <c r="AC11" s="631">
        <v>99</v>
      </c>
      <c r="AD11" s="631">
        <v>99</v>
      </c>
      <c r="AE11" s="631">
        <v>99</v>
      </c>
      <c r="AF11" s="605"/>
      <c r="AG11" s="605"/>
      <c r="AH11" s="518"/>
      <c r="AI11" s="607">
        <f t="shared" si="15"/>
        <v>88.833333333333329</v>
      </c>
      <c r="AJ11" s="607">
        <f t="shared" si="16"/>
        <v>91.625</v>
      </c>
      <c r="AK11" s="607">
        <f t="shared" si="17"/>
        <v>99</v>
      </c>
      <c r="AL11" s="607">
        <f t="shared" si="18"/>
        <v>99</v>
      </c>
      <c r="AM11" s="607">
        <f t="shared" si="19"/>
        <v>99</v>
      </c>
      <c r="AN11" s="607" t="str">
        <f t="shared" si="20"/>
        <v/>
      </c>
      <c r="AO11" s="608"/>
      <c r="AP11" s="528"/>
      <c r="AQ11" s="528"/>
      <c r="AR11" s="528"/>
      <c r="AS11" s="528"/>
      <c r="AT11" s="528"/>
      <c r="AU11" s="302">
        <f t="shared" si="9"/>
        <v>95</v>
      </c>
      <c r="AV11" s="303" t="str">
        <f>IF(AU11&gt;KKM!$G$10,"A",IF(AU11&gt;KKM!$H$10,"B",IF(AU11&gt;=KKM!$I$10,"C","D")))</f>
        <v>A</v>
      </c>
      <c r="AW11" s="523">
        <f t="shared" si="10"/>
        <v>99</v>
      </c>
      <c r="AX11" s="115" t="str">
        <f>IF(AW11&gt;KKM!$G$10," sangat baik ",IF(AW11&gt;KKM!$H$10," baik ",IF(AW11&gt;=KKM!$I$10," cukup baik "," perlu bimbingan ")))</f>
        <v xml:space="preserve"> sangat baik </v>
      </c>
      <c r="AY11" s="524">
        <f t="shared" si="11"/>
        <v>88.833333333333329</v>
      </c>
      <c r="AZ11" s="115" t="str">
        <f>IF(AY11&gt;KKM!$G$10," sangat baik ",IF(AY11&gt;KKM!$H$10," baik ",IF(AY11&gt;=KKM!$I$10," cukup baik "," perlu bimbingan ")))</f>
        <v xml:space="preserve"> baik </v>
      </c>
      <c r="BA11" s="301" t="str">
        <f t="shared" si="21"/>
        <v>Anak 7 sangat baik  dalam menggali pengetahuan baru yang terdapat pada teks nonfiksi., dan  baik  dalam menggali informasi dari seorang tokoh melalui wawancara menggunakan daftar pertanyaan.</v>
      </c>
      <c r="BB11" s="306"/>
      <c r="BC11" s="307" t="str">
        <f t="shared" si="12"/>
        <v xml:space="preserve"> sangat baik  dalam menggali pengetahuan baru yang terdapat pada teks nonfiksi.</v>
      </c>
      <c r="BD11" s="307" t="str">
        <f t="shared" si="13"/>
        <v xml:space="preserve"> baik  dalam menggali informasi dari seorang tokoh melalui wawancara menggunakan daftar pertanyaan.</v>
      </c>
      <c r="BE11" s="307" t="str">
        <f t="shared" si="22"/>
        <v xml:space="preserve"> sangat baik  dalam menggali pengetahuan baru yang terdapat pada teks nonfiksi., dan  baik  dalam menggali informasi dari seorang tokoh melalui wawancara menggunakan daftar pertanyaan.</v>
      </c>
      <c r="BF11" s="307" t="str">
        <f t="shared" si="23"/>
        <v xml:space="preserve"> </v>
      </c>
      <c r="BG11" s="308" t="str">
        <f t="shared" si="24"/>
        <v xml:space="preserve"> sangat baik  dalam menggali pengetahuan baru yang terdapat pada teks nonfiksi., dan  baik  dalam menggali informasi dari seorang tokoh melalui wawancara menggunakan daftar pertanyaan.</v>
      </c>
      <c r="BH11" s="301" t="str">
        <f t="shared" si="14"/>
        <v>Anak 7 sangat baik  dalam menggali pengetahuan baru yang terdapat pada teks nonfiksi., dan  baik  dalam menggali informasi dari seorang tokoh melalui wawancara menggunakan daftar pertanyaan.</v>
      </c>
      <c r="BI11" s="120"/>
      <c r="BQ11" s="408">
        <f t="shared" si="34"/>
        <v>95</v>
      </c>
      <c r="BT11" s="302">
        <f t="shared" si="25"/>
        <v>99</v>
      </c>
      <c r="BU11" s="303" t="str">
        <f>IF(BT11&gt;KKM!$G$10,"A",IF(BT11&gt;KKM!$H$10,"B",IF(BT11&gt;=KKM!$I$10,"C","D")))</f>
        <v>A</v>
      </c>
      <c r="BV11" s="523">
        <f t="shared" si="26"/>
        <v>99</v>
      </c>
      <c r="BW11" s="115" t="str">
        <f>IF(BV11&gt;KKM!$G$10," sangat baik ",IF(BV11&gt;KKM!$H$10," baik ",IF(BV11&gt;=KKM!$I$10," cukup baik "," perlu bimbingan ")))</f>
        <v xml:space="preserve"> sangat baik </v>
      </c>
      <c r="BX11" s="524">
        <f t="shared" si="27"/>
        <v>99</v>
      </c>
      <c r="BY11" s="115" t="str">
        <f>IF(BX11&gt;KKM!$G$10," sangat baik ",IF(BX11&gt;KKM!$H$10," baik ",IF(BX11&gt;=KKM!$I$10," cukup baik "," perlu bimbingan ")))</f>
        <v xml:space="preserve"> sangat baik </v>
      </c>
      <c r="BZ11" s="301" t="str">
        <f t="shared" si="35"/>
        <v>Anak 7 sangat baik  dalam menggali isi dan amanat puisi yang disajikan secara lisan dan tulis dengan tujuan untuk kesenangan.</v>
      </c>
      <c r="CA11" s="307" t="str">
        <f t="shared" si="28"/>
        <v xml:space="preserve"> sangat baik  dalam menggali isi dan amanat puisi yang disajikan secara lisan dan tulis dengan tujuan untuk kesenangan.</v>
      </c>
      <c r="CB11" s="307" t="str">
        <f t="shared" si="29"/>
        <v xml:space="preserve"> sangat baik  dalam menggali isi dan amanat puisi yang disajikan secara lisan dan tulis dengan tujuan untuk kesenangan.</v>
      </c>
      <c r="CC11"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1" s="307" t="str">
        <f t="shared" si="31"/>
        <v xml:space="preserve"> sangat baik  dalam menggali isi dan amanat puisi yang disajikan secara lisan dan tulis dengan tujuan untuk kesenangan.</v>
      </c>
      <c r="CE11" s="308" t="str">
        <f t="shared" si="32"/>
        <v xml:space="preserve"> sangat baik  dalam menggali isi dan amanat puisi yang disajikan secara lisan dan tulis dengan tujuan untuk kesenangan.</v>
      </c>
      <c r="CF11" s="301" t="str">
        <f t="shared" si="33"/>
        <v>Anak 7 sangat baik  dalam menggali isi dan amanat puisi yang disajikan secara lisan dan tulis dengan tujuan untuk kesenangan.</v>
      </c>
    </row>
    <row r="12" spans="1:85" ht="51.75" customHeight="1">
      <c r="B12" s="109">
        <v>8</v>
      </c>
      <c r="C12" s="110">
        <f>SISWA!B13</f>
        <v>0</v>
      </c>
      <c r="D12" s="111" t="str">
        <f>SISWA!E13</f>
        <v>Anak 8</v>
      </c>
      <c r="E12" s="631">
        <v>99</v>
      </c>
      <c r="F12" s="631">
        <v>99</v>
      </c>
      <c r="G12" s="631">
        <v>99</v>
      </c>
      <c r="H12" s="631">
        <v>99</v>
      </c>
      <c r="I12" s="631">
        <v>99</v>
      </c>
      <c r="J12" s="730"/>
      <c r="K12" s="730"/>
      <c r="L12" s="731"/>
      <c r="M12" s="731"/>
      <c r="N12" s="731"/>
      <c r="O12" s="731"/>
      <c r="P12" s="731"/>
      <c r="Q12" s="730"/>
      <c r="R12" s="730"/>
      <c r="S12" s="610"/>
      <c r="T12" s="730"/>
      <c r="U12" s="631">
        <v>99</v>
      </c>
      <c r="V12" s="631">
        <v>99</v>
      </c>
      <c r="W12" s="730"/>
      <c r="X12" s="730"/>
      <c r="Y12" s="730"/>
      <c r="Z12" s="610"/>
      <c r="AA12" s="631">
        <v>69.5</v>
      </c>
      <c r="AB12" s="631">
        <v>80</v>
      </c>
      <c r="AC12" s="631">
        <v>99</v>
      </c>
      <c r="AD12" s="631">
        <v>99</v>
      </c>
      <c r="AE12" s="631">
        <v>99</v>
      </c>
      <c r="AF12" s="605"/>
      <c r="AG12" s="605"/>
      <c r="AH12" s="518"/>
      <c r="AI12" s="607">
        <f t="shared" si="15"/>
        <v>89.166666666666671</v>
      </c>
      <c r="AJ12" s="607">
        <f t="shared" si="16"/>
        <v>94.25</v>
      </c>
      <c r="AK12" s="607">
        <f t="shared" si="17"/>
        <v>99</v>
      </c>
      <c r="AL12" s="607">
        <f t="shared" si="18"/>
        <v>99</v>
      </c>
      <c r="AM12" s="607">
        <f t="shared" si="19"/>
        <v>99</v>
      </c>
      <c r="AN12" s="607" t="str">
        <f t="shared" si="20"/>
        <v/>
      </c>
      <c r="AO12" s="608"/>
      <c r="AP12" s="528"/>
      <c r="AQ12" s="528"/>
      <c r="AR12" s="528"/>
      <c r="AS12" s="528"/>
      <c r="AT12" s="528"/>
      <c r="AU12" s="302">
        <f t="shared" si="9"/>
        <v>96</v>
      </c>
      <c r="AV12" s="303" t="str">
        <f>IF(AU12&gt;KKM!$G$10,"A",IF(AU12&gt;KKM!$H$10,"B",IF(AU12&gt;=KKM!$I$10,"C","D")))</f>
        <v>A</v>
      </c>
      <c r="AW12" s="523">
        <f t="shared" si="10"/>
        <v>99</v>
      </c>
      <c r="AX12" s="115" t="str">
        <f>IF(AW12&gt;KKM!$G$10," sangat baik ",IF(AW12&gt;KKM!$H$10," baik ",IF(AW12&gt;=KKM!$I$10," cukup baik "," perlu bimbingan ")))</f>
        <v xml:space="preserve"> sangat baik </v>
      </c>
      <c r="AY12" s="524">
        <f t="shared" si="11"/>
        <v>89.166666666666671</v>
      </c>
      <c r="AZ12" s="115" t="str">
        <f>IF(AY12&gt;KKM!$G$10," sangat baik ",IF(AY12&gt;KKM!$H$10," baik ",IF(AY12&gt;=KKM!$I$10," cukup baik "," perlu bimbingan ")))</f>
        <v xml:space="preserve"> baik </v>
      </c>
      <c r="BA12" s="301" t="str">
        <f t="shared" si="21"/>
        <v>Anak 8 sangat baik  dalam menggali pengetahuan baru yang terdapat pada teks nonfiksi., dan  baik  dalam menggali informasi dari seorang tokoh melalui wawancara menggunakan daftar pertanyaan.</v>
      </c>
      <c r="BB12" s="306"/>
      <c r="BC12" s="307" t="str">
        <f t="shared" si="12"/>
        <v xml:space="preserve"> sangat baik  dalam menggali pengetahuan baru yang terdapat pada teks nonfiksi.</v>
      </c>
      <c r="BD12" s="307" t="str">
        <f t="shared" si="13"/>
        <v xml:space="preserve"> baik  dalam menggali informasi dari seorang tokoh melalui wawancara menggunakan daftar pertanyaan.</v>
      </c>
      <c r="BE12" s="307" t="str">
        <f t="shared" si="22"/>
        <v xml:space="preserve"> sangat baik  dalam menggali pengetahuan baru yang terdapat pada teks nonfiksi., dan  baik  dalam menggali informasi dari seorang tokoh melalui wawancara menggunakan daftar pertanyaan.</v>
      </c>
      <c r="BF12" s="307" t="str">
        <f t="shared" si="23"/>
        <v xml:space="preserve"> </v>
      </c>
      <c r="BG12" s="308" t="str">
        <f t="shared" si="24"/>
        <v xml:space="preserve"> sangat baik  dalam menggali pengetahuan baru yang terdapat pada teks nonfiksi., dan  baik  dalam menggali informasi dari seorang tokoh melalui wawancara menggunakan daftar pertanyaan.</v>
      </c>
      <c r="BH12" s="301" t="str">
        <f t="shared" si="14"/>
        <v>Anak 8 sangat baik  dalam menggali pengetahuan baru yang terdapat pada teks nonfiksi., dan  baik  dalam menggali informasi dari seorang tokoh melalui wawancara menggunakan daftar pertanyaan.</v>
      </c>
      <c r="BI12" s="120"/>
      <c r="BQ12" s="408">
        <f t="shared" si="34"/>
        <v>96</v>
      </c>
      <c r="BT12" s="302">
        <f t="shared" si="25"/>
        <v>99</v>
      </c>
      <c r="BU12" s="303" t="str">
        <f>IF(BT12&gt;KKM!$G$10,"A",IF(BT12&gt;KKM!$H$10,"B",IF(BT12&gt;=KKM!$I$10,"C","D")))</f>
        <v>A</v>
      </c>
      <c r="BV12" s="523">
        <f t="shared" si="26"/>
        <v>99</v>
      </c>
      <c r="BW12" s="115" t="str">
        <f>IF(BV12&gt;KKM!$G$10," sangat baik ",IF(BV12&gt;KKM!$H$10," baik ",IF(BV12&gt;=KKM!$I$10," cukup baik "," perlu bimbingan ")))</f>
        <v xml:space="preserve"> sangat baik </v>
      </c>
      <c r="BX12" s="524">
        <f t="shared" si="27"/>
        <v>99</v>
      </c>
      <c r="BY12" s="115" t="str">
        <f>IF(BX12&gt;KKM!$G$10," sangat baik ",IF(BX12&gt;KKM!$H$10," baik ",IF(BX12&gt;=KKM!$I$10," cukup baik "," perlu bimbingan ")))</f>
        <v xml:space="preserve"> sangat baik </v>
      </c>
      <c r="BZ12" s="301" t="str">
        <f t="shared" si="35"/>
        <v>Anak 8 sangat baik  dalam menggali isi dan amanat puisi yang disajikan secara lisan dan tulis dengan tujuan untuk kesenangan.</v>
      </c>
      <c r="CA12" s="307" t="str">
        <f t="shared" si="28"/>
        <v xml:space="preserve"> sangat baik  dalam menggali isi dan amanat puisi yang disajikan secara lisan dan tulis dengan tujuan untuk kesenangan.</v>
      </c>
      <c r="CB12" s="307" t="str">
        <f t="shared" si="29"/>
        <v xml:space="preserve"> sangat baik  dalam menggali isi dan amanat puisi yang disajikan secara lisan dan tulis dengan tujuan untuk kesenangan.</v>
      </c>
      <c r="CC12"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2" s="307" t="str">
        <f t="shared" si="31"/>
        <v xml:space="preserve"> sangat baik  dalam menggali isi dan amanat puisi yang disajikan secara lisan dan tulis dengan tujuan untuk kesenangan.</v>
      </c>
      <c r="CE12" s="308" t="str">
        <f t="shared" si="32"/>
        <v xml:space="preserve"> sangat baik  dalam menggali isi dan amanat puisi yang disajikan secara lisan dan tulis dengan tujuan untuk kesenangan.</v>
      </c>
      <c r="CF12" s="301" t="str">
        <f t="shared" si="33"/>
        <v>Anak 8 sangat baik  dalam menggali isi dan amanat puisi yang disajikan secara lisan dan tulis dengan tujuan untuk kesenangan.</v>
      </c>
    </row>
    <row r="13" spans="1:85" ht="51.75" customHeight="1">
      <c r="B13" s="109">
        <v>9</v>
      </c>
      <c r="C13" s="110">
        <f>SISWA!B14</f>
        <v>0</v>
      </c>
      <c r="D13" s="111" t="str">
        <f>SISWA!E14</f>
        <v>Anak 9</v>
      </c>
      <c r="E13" s="631">
        <v>99</v>
      </c>
      <c r="F13" s="631">
        <v>99</v>
      </c>
      <c r="G13" s="631">
        <v>99</v>
      </c>
      <c r="H13" s="631">
        <v>99</v>
      </c>
      <c r="I13" s="631">
        <v>99</v>
      </c>
      <c r="J13" s="730"/>
      <c r="K13" s="730"/>
      <c r="L13" s="731"/>
      <c r="M13" s="731"/>
      <c r="N13" s="731"/>
      <c r="O13" s="731"/>
      <c r="P13" s="731"/>
      <c r="Q13" s="730"/>
      <c r="R13" s="730"/>
      <c r="S13" s="610"/>
      <c r="T13" s="730"/>
      <c r="U13" s="631">
        <v>99</v>
      </c>
      <c r="V13" s="631">
        <v>99</v>
      </c>
      <c r="W13" s="730"/>
      <c r="X13" s="730"/>
      <c r="Y13" s="730"/>
      <c r="Z13" s="610"/>
      <c r="AA13" s="631">
        <v>80</v>
      </c>
      <c r="AB13" s="631">
        <v>68.5</v>
      </c>
      <c r="AC13" s="631">
        <v>99</v>
      </c>
      <c r="AD13" s="631">
        <v>99</v>
      </c>
      <c r="AE13" s="631">
        <v>99</v>
      </c>
      <c r="AF13" s="605"/>
      <c r="AG13" s="605"/>
      <c r="AH13" s="518"/>
      <c r="AI13" s="607">
        <f t="shared" si="15"/>
        <v>92.666666666666671</v>
      </c>
      <c r="AJ13" s="607">
        <f t="shared" si="16"/>
        <v>91.375</v>
      </c>
      <c r="AK13" s="607">
        <f t="shared" si="17"/>
        <v>99</v>
      </c>
      <c r="AL13" s="607">
        <f t="shared" si="18"/>
        <v>99</v>
      </c>
      <c r="AM13" s="607">
        <f t="shared" si="19"/>
        <v>99</v>
      </c>
      <c r="AN13" s="607" t="str">
        <f t="shared" si="20"/>
        <v/>
      </c>
      <c r="AO13" s="608"/>
      <c r="AP13" s="528"/>
      <c r="AQ13" s="528"/>
      <c r="AR13" s="528"/>
      <c r="AS13" s="528"/>
      <c r="AT13" s="528"/>
      <c r="AU13" s="302">
        <f t="shared" si="9"/>
        <v>96</v>
      </c>
      <c r="AV13" s="303" t="str">
        <f>IF(AU13&gt;KKM!$G$10,"A",IF(AU13&gt;KKM!$H$10,"B",IF(AU13&gt;=KKM!$I$10,"C","D")))</f>
        <v>A</v>
      </c>
      <c r="AW13" s="523">
        <f t="shared" si="10"/>
        <v>99</v>
      </c>
      <c r="AX13" s="115" t="str">
        <f>IF(AW13&gt;KKM!$G$10," sangat baik ",IF(AW13&gt;KKM!$H$10," baik ",IF(AW13&gt;=KKM!$I$10," cukup baik "," perlu bimbingan ")))</f>
        <v xml:space="preserve"> sangat baik </v>
      </c>
      <c r="AY13" s="524">
        <f t="shared" si="11"/>
        <v>91.375</v>
      </c>
      <c r="AZ13" s="115" t="str">
        <f>IF(AY13&gt;KKM!$G$10," sangat baik ",IF(AY13&gt;KKM!$H$10," baik ",IF(AY13&gt;=KKM!$I$10," cukup baik "," perlu bimbingan ")))</f>
        <v xml:space="preserve"> sangat baik </v>
      </c>
      <c r="BA13" s="301" t="str">
        <f t="shared" si="21"/>
        <v>Anak 9 sangat baik  dalam menggali pengetahuan baru yang terdapat pada teks nonfiksi., dan  sangat baik  dalam menggali isi dan amanat puisi yang disajikan secara lisan dan tulis dengan tujuan untuk kesenangan.</v>
      </c>
      <c r="BB13" s="306"/>
      <c r="BC13" s="307" t="str">
        <f t="shared" si="12"/>
        <v xml:space="preserve"> sangat baik  dalam menggali pengetahuan baru yang terdapat pada teks nonfiksi.</v>
      </c>
      <c r="BD13" s="307" t="str">
        <f t="shared" si="13"/>
        <v xml:space="preserve"> sangat baik  dalam menggali isi dan amanat puisi yang disajikan secara lisan dan tulis dengan tujuan untuk kesenangan.</v>
      </c>
      <c r="BE13" s="307" t="str">
        <f t="shared" si="22"/>
        <v xml:space="preserve"> sangat baik  dalam menggali pengetahuan baru yang terdapat pada teks nonfiksi., dan  sangat baik  dalam menggali isi dan amanat puisi yang disajikan secara lisan dan tulis dengan tujuan untuk kesenangan.</v>
      </c>
      <c r="BF13" s="307" t="str">
        <f t="shared" si="23"/>
        <v xml:space="preserve"> </v>
      </c>
      <c r="BG13" s="308" t="str">
        <f t="shared" si="24"/>
        <v xml:space="preserve"> sangat baik  dalam menggali pengetahuan baru yang terdapat pada teks nonfiksi., dan  sangat baik  dalam menggali isi dan amanat puisi yang disajikan secara lisan dan tulis dengan tujuan untuk kesenangan.</v>
      </c>
      <c r="BH13" s="301" t="str">
        <f t="shared" si="14"/>
        <v>Anak 9 sangat baik  dalam menggali pengetahuan baru yang terdapat pada teks nonfiksi., dan  sangat baik  dalam menggali isi dan amanat puisi yang disajikan secara lisan dan tulis dengan tujuan untuk kesenangan.</v>
      </c>
      <c r="BI13" s="120"/>
      <c r="BQ13" s="408">
        <f t="shared" si="34"/>
        <v>96</v>
      </c>
      <c r="BT13" s="302">
        <f t="shared" si="25"/>
        <v>99</v>
      </c>
      <c r="BU13" s="303" t="str">
        <f>IF(BT13&gt;KKM!$G$10,"A",IF(BT13&gt;KKM!$H$10,"B",IF(BT13&gt;=KKM!$I$10,"C","D")))</f>
        <v>A</v>
      </c>
      <c r="BV13" s="523">
        <f t="shared" si="26"/>
        <v>99</v>
      </c>
      <c r="BW13" s="115" t="str">
        <f>IF(BV13&gt;KKM!$G$10," sangat baik ",IF(BV13&gt;KKM!$H$10," baik ",IF(BV13&gt;=KKM!$I$10," cukup baik "," perlu bimbingan ")))</f>
        <v xml:space="preserve"> sangat baik </v>
      </c>
      <c r="BX13" s="524">
        <f t="shared" si="27"/>
        <v>99</v>
      </c>
      <c r="BY13" s="115" t="str">
        <f>IF(BX13&gt;KKM!$G$10," sangat baik ",IF(BX13&gt;KKM!$H$10," baik ",IF(BX13&gt;=KKM!$I$10," cukup baik "," perlu bimbingan ")))</f>
        <v xml:space="preserve"> sangat baik </v>
      </c>
      <c r="BZ13" s="301" t="str">
        <f t="shared" si="35"/>
        <v>Anak 9 sangat baik  dalam menggali isi dan amanat puisi yang disajikan secara lisan dan tulis dengan tujuan untuk kesenangan.</v>
      </c>
      <c r="CA13" s="307" t="str">
        <f t="shared" si="28"/>
        <v xml:space="preserve"> sangat baik  dalam menggali isi dan amanat puisi yang disajikan secara lisan dan tulis dengan tujuan untuk kesenangan.</v>
      </c>
      <c r="CB13" s="307" t="str">
        <f t="shared" si="29"/>
        <v xml:space="preserve"> sangat baik  dalam menggali isi dan amanat puisi yang disajikan secara lisan dan tulis dengan tujuan untuk kesenangan.</v>
      </c>
      <c r="CC13"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3" s="307" t="str">
        <f t="shared" si="31"/>
        <v xml:space="preserve"> sangat baik  dalam menggali isi dan amanat puisi yang disajikan secara lisan dan tulis dengan tujuan untuk kesenangan.</v>
      </c>
      <c r="CE13" s="308" t="str">
        <f t="shared" si="32"/>
        <v xml:space="preserve"> sangat baik  dalam menggali isi dan amanat puisi yang disajikan secara lisan dan tulis dengan tujuan untuk kesenangan.</v>
      </c>
      <c r="CF13" s="301" t="str">
        <f t="shared" si="33"/>
        <v>Anak 9 sangat baik  dalam menggali isi dan amanat puisi yang disajikan secara lisan dan tulis dengan tujuan untuk kesenangan.</v>
      </c>
    </row>
    <row r="14" spans="1:85" ht="51.75" customHeight="1">
      <c r="B14" s="109">
        <v>10</v>
      </c>
      <c r="C14" s="110">
        <f>SISWA!B15</f>
        <v>0</v>
      </c>
      <c r="D14" s="111" t="str">
        <f>SISWA!E15</f>
        <v>Anak 10</v>
      </c>
      <c r="E14" s="631">
        <v>99</v>
      </c>
      <c r="F14" s="631">
        <v>99</v>
      </c>
      <c r="G14" s="631">
        <v>99</v>
      </c>
      <c r="H14" s="631">
        <v>99</v>
      </c>
      <c r="I14" s="631">
        <v>99</v>
      </c>
      <c r="J14" s="730"/>
      <c r="K14" s="730"/>
      <c r="L14" s="731"/>
      <c r="M14" s="731"/>
      <c r="N14" s="731"/>
      <c r="O14" s="731"/>
      <c r="P14" s="731"/>
      <c r="Q14" s="730"/>
      <c r="R14" s="730"/>
      <c r="S14" s="610"/>
      <c r="T14" s="730"/>
      <c r="U14" s="631">
        <v>99</v>
      </c>
      <c r="V14" s="631">
        <v>99</v>
      </c>
      <c r="W14" s="730"/>
      <c r="X14" s="730"/>
      <c r="Y14" s="730"/>
      <c r="Z14" s="610"/>
      <c r="AA14" s="631">
        <v>68.5</v>
      </c>
      <c r="AB14" s="631">
        <v>69.5</v>
      </c>
      <c r="AC14" s="631">
        <v>99</v>
      </c>
      <c r="AD14" s="631">
        <v>99</v>
      </c>
      <c r="AE14" s="631">
        <v>99</v>
      </c>
      <c r="AF14" s="605"/>
      <c r="AG14" s="605"/>
      <c r="AH14" s="518"/>
      <c r="AI14" s="607">
        <f t="shared" si="15"/>
        <v>88.833333333333329</v>
      </c>
      <c r="AJ14" s="607">
        <f t="shared" si="16"/>
        <v>91.625</v>
      </c>
      <c r="AK14" s="607">
        <f t="shared" si="17"/>
        <v>99</v>
      </c>
      <c r="AL14" s="607">
        <f t="shared" si="18"/>
        <v>99</v>
      </c>
      <c r="AM14" s="607">
        <f t="shared" si="19"/>
        <v>99</v>
      </c>
      <c r="AN14" s="607" t="str">
        <f t="shared" si="20"/>
        <v/>
      </c>
      <c r="AO14" s="608"/>
      <c r="AP14" s="528"/>
      <c r="AQ14" s="528"/>
      <c r="AR14" s="528"/>
      <c r="AS14" s="528"/>
      <c r="AT14" s="528"/>
      <c r="AU14" s="302">
        <f t="shared" si="9"/>
        <v>95</v>
      </c>
      <c r="AV14" s="303" t="str">
        <f>IF(AU14&gt;KKM!$G$10,"A",IF(AU14&gt;KKM!$H$10,"B",IF(AU14&gt;=KKM!$I$10,"C","D")))</f>
        <v>A</v>
      </c>
      <c r="AW14" s="523">
        <f t="shared" si="10"/>
        <v>99</v>
      </c>
      <c r="AX14" s="115" t="str">
        <f>IF(AW14&gt;KKM!$G$10," sangat baik ",IF(AW14&gt;KKM!$H$10," baik ",IF(AW14&gt;=KKM!$I$10," cukup baik "," perlu bimbingan ")))</f>
        <v xml:space="preserve"> sangat baik </v>
      </c>
      <c r="AY14" s="524">
        <f t="shared" si="11"/>
        <v>88.833333333333329</v>
      </c>
      <c r="AZ14" s="115" t="str">
        <f>IF(AY14&gt;KKM!$G$10," sangat baik ",IF(AY14&gt;KKM!$H$10," baik ",IF(AY14&gt;=KKM!$I$10," cukup baik "," perlu bimbingan ")))</f>
        <v xml:space="preserve"> baik </v>
      </c>
      <c r="BA14" s="301" t="str">
        <f t="shared" si="21"/>
        <v>Anak 10 sangat baik  dalam menggali pengetahuan baru yang terdapat pada teks nonfiksi., dan  baik  dalam menggali informasi dari seorang tokoh melalui wawancara menggunakan daftar pertanyaan.</v>
      </c>
      <c r="BB14" s="306"/>
      <c r="BC14" s="307" t="str">
        <f t="shared" si="12"/>
        <v xml:space="preserve"> sangat baik  dalam menggali pengetahuan baru yang terdapat pada teks nonfiksi.</v>
      </c>
      <c r="BD14" s="307" t="str">
        <f t="shared" si="13"/>
        <v xml:space="preserve"> baik  dalam menggali informasi dari seorang tokoh melalui wawancara menggunakan daftar pertanyaan.</v>
      </c>
      <c r="BE14" s="307" t="str">
        <f t="shared" si="22"/>
        <v xml:space="preserve"> sangat baik  dalam menggali pengetahuan baru yang terdapat pada teks nonfiksi., dan  baik  dalam menggali informasi dari seorang tokoh melalui wawancara menggunakan daftar pertanyaan.</v>
      </c>
      <c r="BF14" s="307" t="str">
        <f t="shared" si="23"/>
        <v xml:space="preserve"> </v>
      </c>
      <c r="BG14" s="308" t="str">
        <f t="shared" si="24"/>
        <v xml:space="preserve"> sangat baik  dalam menggali pengetahuan baru yang terdapat pada teks nonfiksi., dan  baik  dalam menggali informasi dari seorang tokoh melalui wawancara menggunakan daftar pertanyaan.</v>
      </c>
      <c r="BH14" s="301" t="str">
        <f t="shared" si="14"/>
        <v>Anak 10 sangat baik  dalam menggali pengetahuan baru yang terdapat pada teks nonfiksi., dan  baik  dalam menggali informasi dari seorang tokoh melalui wawancara menggunakan daftar pertanyaan.</v>
      </c>
      <c r="BI14" s="120"/>
      <c r="BQ14" s="408">
        <f t="shared" si="34"/>
        <v>95</v>
      </c>
      <c r="BT14" s="302">
        <f t="shared" si="25"/>
        <v>99</v>
      </c>
      <c r="BU14" s="303" t="str">
        <f>IF(BT14&gt;KKM!$G$10,"A",IF(BT14&gt;KKM!$H$10,"B",IF(BT14&gt;=KKM!$I$10,"C","D")))</f>
        <v>A</v>
      </c>
      <c r="BV14" s="523">
        <f t="shared" si="26"/>
        <v>99</v>
      </c>
      <c r="BW14" s="115" t="str">
        <f>IF(BV14&gt;KKM!$G$10," sangat baik ",IF(BV14&gt;KKM!$H$10," baik ",IF(BV14&gt;=KKM!$I$10," cukup baik "," perlu bimbingan ")))</f>
        <v xml:space="preserve"> sangat baik </v>
      </c>
      <c r="BX14" s="524">
        <f t="shared" si="27"/>
        <v>99</v>
      </c>
      <c r="BY14" s="115" t="str">
        <f>IF(BX14&gt;KKM!$G$10," sangat baik ",IF(BX14&gt;KKM!$H$10," baik ",IF(BX14&gt;=KKM!$I$10," cukup baik "," perlu bimbingan ")))</f>
        <v xml:space="preserve"> sangat baik </v>
      </c>
      <c r="BZ14" s="301" t="str">
        <f t="shared" si="35"/>
        <v>Anak 10 sangat baik  dalam menggali isi dan amanat puisi yang disajikan secara lisan dan tulis dengan tujuan untuk kesenangan.</v>
      </c>
      <c r="CA14" s="307" t="str">
        <f t="shared" si="28"/>
        <v xml:space="preserve"> sangat baik  dalam menggali isi dan amanat puisi yang disajikan secara lisan dan tulis dengan tujuan untuk kesenangan.</v>
      </c>
      <c r="CB14" s="307" t="str">
        <f t="shared" si="29"/>
        <v xml:space="preserve"> sangat baik  dalam menggali isi dan amanat puisi yang disajikan secara lisan dan tulis dengan tujuan untuk kesenangan.</v>
      </c>
      <c r="CC14"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4" s="307" t="str">
        <f t="shared" si="31"/>
        <v xml:space="preserve"> sangat baik  dalam menggali isi dan amanat puisi yang disajikan secara lisan dan tulis dengan tujuan untuk kesenangan.</v>
      </c>
      <c r="CE14" s="308" t="str">
        <f t="shared" si="32"/>
        <v xml:space="preserve"> sangat baik  dalam menggali isi dan amanat puisi yang disajikan secara lisan dan tulis dengan tujuan untuk kesenangan.</v>
      </c>
      <c r="CF14" s="301" t="str">
        <f t="shared" si="33"/>
        <v>Anak 10 sangat baik  dalam menggali isi dan amanat puisi yang disajikan secara lisan dan tulis dengan tujuan untuk kesenangan.</v>
      </c>
    </row>
    <row r="15" spans="1:85" ht="51.75" customHeight="1">
      <c r="B15" s="109">
        <v>11</v>
      </c>
      <c r="C15" s="110">
        <f>SISWA!B16</f>
        <v>0</v>
      </c>
      <c r="D15" s="111" t="str">
        <f>SISWA!E16</f>
        <v>Anak 11</v>
      </c>
      <c r="E15" s="631">
        <v>99</v>
      </c>
      <c r="F15" s="631">
        <v>99</v>
      </c>
      <c r="G15" s="631">
        <v>99</v>
      </c>
      <c r="H15" s="631">
        <v>99</v>
      </c>
      <c r="I15" s="631">
        <v>99</v>
      </c>
      <c r="J15" s="730"/>
      <c r="K15" s="730"/>
      <c r="L15" s="731"/>
      <c r="M15" s="731"/>
      <c r="N15" s="731"/>
      <c r="O15" s="731"/>
      <c r="P15" s="731"/>
      <c r="Q15" s="730"/>
      <c r="R15" s="730"/>
      <c r="S15" s="610"/>
      <c r="T15" s="730"/>
      <c r="U15" s="631">
        <v>99</v>
      </c>
      <c r="V15" s="631">
        <v>99</v>
      </c>
      <c r="W15" s="730"/>
      <c r="X15" s="730"/>
      <c r="Y15" s="730"/>
      <c r="Z15" s="610"/>
      <c r="AA15" s="631">
        <v>69.5</v>
      </c>
      <c r="AB15" s="631">
        <v>70.5</v>
      </c>
      <c r="AC15" s="631">
        <v>99</v>
      </c>
      <c r="AD15" s="631">
        <v>99</v>
      </c>
      <c r="AE15" s="631">
        <v>99</v>
      </c>
      <c r="AF15" s="605"/>
      <c r="AG15" s="605"/>
      <c r="AH15" s="518"/>
      <c r="AI15" s="607">
        <f t="shared" si="15"/>
        <v>89.166666666666671</v>
      </c>
      <c r="AJ15" s="607">
        <f t="shared" si="16"/>
        <v>91.875</v>
      </c>
      <c r="AK15" s="607">
        <f t="shared" si="17"/>
        <v>99</v>
      </c>
      <c r="AL15" s="607">
        <f t="shared" si="18"/>
        <v>99</v>
      </c>
      <c r="AM15" s="607">
        <f t="shared" si="19"/>
        <v>99</v>
      </c>
      <c r="AN15" s="607" t="str">
        <f t="shared" si="20"/>
        <v/>
      </c>
      <c r="AO15" s="608"/>
      <c r="AP15" s="528"/>
      <c r="AQ15" s="528"/>
      <c r="AR15" s="528"/>
      <c r="AS15" s="528"/>
      <c r="AT15" s="528"/>
      <c r="AU15" s="302">
        <f t="shared" si="9"/>
        <v>96</v>
      </c>
      <c r="AV15" s="303" t="str">
        <f>IF(AU15&gt;KKM!$G$10,"A",IF(AU15&gt;KKM!$H$10,"B",IF(AU15&gt;=KKM!$I$10,"C","D")))</f>
        <v>A</v>
      </c>
      <c r="AW15" s="523">
        <f t="shared" si="10"/>
        <v>99</v>
      </c>
      <c r="AX15" s="115" t="str">
        <f>IF(AW15&gt;KKM!$G$10," sangat baik ",IF(AW15&gt;KKM!$H$10," baik ",IF(AW15&gt;=KKM!$I$10," cukup baik "," perlu bimbingan ")))</f>
        <v xml:space="preserve"> sangat baik </v>
      </c>
      <c r="AY15" s="524">
        <f t="shared" si="11"/>
        <v>89.166666666666671</v>
      </c>
      <c r="AZ15" s="115" t="str">
        <f>IF(AY15&gt;KKM!$G$10," sangat baik ",IF(AY15&gt;KKM!$H$10," baik ",IF(AY15&gt;=KKM!$I$10," cukup baik "," perlu bimbingan ")))</f>
        <v xml:space="preserve"> baik </v>
      </c>
      <c r="BA15" s="301" t="str">
        <f t="shared" si="21"/>
        <v>Anak 11 sangat baik  dalam menggali pengetahuan baru yang terdapat pada teks nonfiksi., dan  baik  dalam menggali informasi dari seorang tokoh melalui wawancara menggunakan daftar pertanyaan.</v>
      </c>
      <c r="BB15" s="306"/>
      <c r="BC15" s="307" t="str">
        <f t="shared" si="12"/>
        <v xml:space="preserve"> sangat baik  dalam menggali pengetahuan baru yang terdapat pada teks nonfiksi.</v>
      </c>
      <c r="BD15" s="307" t="str">
        <f t="shared" si="13"/>
        <v xml:space="preserve"> baik  dalam menggali informasi dari seorang tokoh melalui wawancara menggunakan daftar pertanyaan.</v>
      </c>
      <c r="BE15" s="307" t="str">
        <f t="shared" si="22"/>
        <v xml:space="preserve"> sangat baik  dalam menggali pengetahuan baru yang terdapat pada teks nonfiksi., dan  baik  dalam menggali informasi dari seorang tokoh melalui wawancara menggunakan daftar pertanyaan.</v>
      </c>
      <c r="BF15" s="307" t="str">
        <f t="shared" si="23"/>
        <v xml:space="preserve"> </v>
      </c>
      <c r="BG15" s="308" t="str">
        <f t="shared" si="24"/>
        <v xml:space="preserve"> sangat baik  dalam menggali pengetahuan baru yang terdapat pada teks nonfiksi., dan  baik  dalam menggali informasi dari seorang tokoh melalui wawancara menggunakan daftar pertanyaan.</v>
      </c>
      <c r="BH15" s="301" t="str">
        <f t="shared" si="14"/>
        <v>Anak 11 sangat baik  dalam menggali pengetahuan baru yang terdapat pada teks nonfiksi., dan  baik  dalam menggali informasi dari seorang tokoh melalui wawancara menggunakan daftar pertanyaan.</v>
      </c>
      <c r="BI15" s="120"/>
      <c r="BQ15" s="408">
        <f t="shared" si="34"/>
        <v>96</v>
      </c>
      <c r="BT15" s="302">
        <f t="shared" si="25"/>
        <v>99</v>
      </c>
      <c r="BU15" s="303" t="str">
        <f>IF(BT15&gt;KKM!$G$10,"A",IF(BT15&gt;KKM!$H$10,"B",IF(BT15&gt;=KKM!$I$10,"C","D")))</f>
        <v>A</v>
      </c>
      <c r="BV15" s="523">
        <f t="shared" si="26"/>
        <v>99</v>
      </c>
      <c r="BW15" s="115" t="str">
        <f>IF(BV15&gt;KKM!$G$10," sangat baik ",IF(BV15&gt;KKM!$H$10," baik ",IF(BV15&gt;=KKM!$I$10," cukup baik "," perlu bimbingan ")))</f>
        <v xml:space="preserve"> sangat baik </v>
      </c>
      <c r="BX15" s="524">
        <f t="shared" si="27"/>
        <v>99</v>
      </c>
      <c r="BY15" s="115" t="str">
        <f>IF(BX15&gt;KKM!$G$10," sangat baik ",IF(BX15&gt;KKM!$H$10," baik ",IF(BX15&gt;=KKM!$I$10," cukup baik "," perlu bimbingan ")))</f>
        <v xml:space="preserve"> sangat baik </v>
      </c>
      <c r="BZ15" s="301" t="str">
        <f t="shared" si="35"/>
        <v>Anak 11 sangat baik  dalam menggali isi dan amanat puisi yang disajikan secara lisan dan tulis dengan tujuan untuk kesenangan.</v>
      </c>
      <c r="CA15" s="307" t="str">
        <f t="shared" si="28"/>
        <v xml:space="preserve"> sangat baik  dalam menggali isi dan amanat puisi yang disajikan secara lisan dan tulis dengan tujuan untuk kesenangan.</v>
      </c>
      <c r="CB15" s="307" t="str">
        <f t="shared" si="29"/>
        <v xml:space="preserve"> sangat baik  dalam menggali isi dan amanat puisi yang disajikan secara lisan dan tulis dengan tujuan untuk kesenangan.</v>
      </c>
      <c r="CC15"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5" s="307" t="str">
        <f t="shared" si="31"/>
        <v xml:space="preserve"> sangat baik  dalam menggali isi dan amanat puisi yang disajikan secara lisan dan tulis dengan tujuan untuk kesenangan.</v>
      </c>
      <c r="CE15" s="308" t="str">
        <f t="shared" si="32"/>
        <v xml:space="preserve"> sangat baik  dalam menggali isi dan amanat puisi yang disajikan secara lisan dan tulis dengan tujuan untuk kesenangan.</v>
      </c>
      <c r="CF15" s="301" t="str">
        <f t="shared" si="33"/>
        <v>Anak 11 sangat baik  dalam menggali isi dan amanat puisi yang disajikan secara lisan dan tulis dengan tujuan untuk kesenangan.</v>
      </c>
    </row>
    <row r="16" spans="1:85" ht="51.75" customHeight="1">
      <c r="B16" s="109">
        <v>12</v>
      </c>
      <c r="C16" s="110">
        <f>SISWA!B17</f>
        <v>0</v>
      </c>
      <c r="D16" s="111" t="str">
        <f>SISWA!E17</f>
        <v>Anak 12</v>
      </c>
      <c r="E16" s="631">
        <v>99</v>
      </c>
      <c r="F16" s="631">
        <v>99</v>
      </c>
      <c r="G16" s="631">
        <v>99</v>
      </c>
      <c r="H16" s="631">
        <v>99</v>
      </c>
      <c r="I16" s="631">
        <v>99</v>
      </c>
      <c r="J16" s="730"/>
      <c r="K16" s="730"/>
      <c r="L16" s="731"/>
      <c r="M16" s="731"/>
      <c r="N16" s="731"/>
      <c r="O16" s="731"/>
      <c r="P16" s="731"/>
      <c r="Q16" s="730"/>
      <c r="R16" s="730"/>
      <c r="S16" s="610"/>
      <c r="T16" s="730"/>
      <c r="U16" s="631">
        <v>99</v>
      </c>
      <c r="V16" s="631">
        <v>99</v>
      </c>
      <c r="W16" s="730"/>
      <c r="X16" s="730"/>
      <c r="Y16" s="730"/>
      <c r="Z16" s="610"/>
      <c r="AA16" s="631">
        <v>70.5</v>
      </c>
      <c r="AB16" s="631">
        <v>84.5</v>
      </c>
      <c r="AC16" s="631">
        <v>99</v>
      </c>
      <c r="AD16" s="631">
        <v>99</v>
      </c>
      <c r="AE16" s="631">
        <v>99</v>
      </c>
      <c r="AF16" s="605"/>
      <c r="AG16" s="605"/>
      <c r="AH16" s="518"/>
      <c r="AI16" s="607">
        <f t="shared" si="15"/>
        <v>89.5</v>
      </c>
      <c r="AJ16" s="607">
        <f t="shared" si="16"/>
        <v>95.375</v>
      </c>
      <c r="AK16" s="607">
        <f t="shared" si="17"/>
        <v>99</v>
      </c>
      <c r="AL16" s="607">
        <f t="shared" si="18"/>
        <v>99</v>
      </c>
      <c r="AM16" s="607">
        <f t="shared" si="19"/>
        <v>99</v>
      </c>
      <c r="AN16" s="607" t="str">
        <f t="shared" si="20"/>
        <v/>
      </c>
      <c r="AO16" s="608"/>
      <c r="AP16" s="528"/>
      <c r="AQ16" s="528"/>
      <c r="AR16" s="528"/>
      <c r="AS16" s="528"/>
      <c r="AT16" s="528"/>
      <c r="AU16" s="302">
        <f t="shared" si="9"/>
        <v>96</v>
      </c>
      <c r="AV16" s="303" t="str">
        <f>IF(AU16&gt;KKM!$G$10,"A",IF(AU16&gt;KKM!$H$10,"B",IF(AU16&gt;=KKM!$I$10,"C","D")))</f>
        <v>A</v>
      </c>
      <c r="AW16" s="523">
        <f t="shared" si="10"/>
        <v>99</v>
      </c>
      <c r="AX16" s="115" t="str">
        <f>IF(AW16&gt;KKM!$G$10," sangat baik ",IF(AW16&gt;KKM!$H$10," baik ",IF(AW16&gt;=KKM!$I$10," cukup baik "," perlu bimbingan ")))</f>
        <v xml:space="preserve"> sangat baik </v>
      </c>
      <c r="AY16" s="524">
        <f t="shared" si="11"/>
        <v>89.5</v>
      </c>
      <c r="AZ16" s="115" t="str">
        <f>IF(AY16&gt;KKM!$G$10," sangat baik ",IF(AY16&gt;KKM!$H$10," baik ",IF(AY16&gt;=KKM!$I$10," cukup baik "," perlu bimbingan ")))</f>
        <v xml:space="preserve"> baik </v>
      </c>
      <c r="BA16" s="301" t="str">
        <f t="shared" si="21"/>
        <v>Anak 12 sangat baik  dalam menggali pengetahuan baru yang terdapat pada teks nonfiksi., dan  baik  dalam menggali informasi dari seorang tokoh melalui wawancara menggunakan daftar pertanyaan.</v>
      </c>
      <c r="BB16" s="306"/>
      <c r="BC16" s="307" t="str">
        <f t="shared" si="12"/>
        <v xml:space="preserve"> sangat baik  dalam menggali pengetahuan baru yang terdapat pada teks nonfiksi.</v>
      </c>
      <c r="BD16" s="307" t="str">
        <f t="shared" si="13"/>
        <v xml:space="preserve"> baik  dalam menggali informasi dari seorang tokoh melalui wawancara menggunakan daftar pertanyaan.</v>
      </c>
      <c r="BE16" s="307" t="str">
        <f t="shared" si="22"/>
        <v xml:space="preserve"> sangat baik  dalam menggali pengetahuan baru yang terdapat pada teks nonfiksi., dan  baik  dalam menggali informasi dari seorang tokoh melalui wawancara menggunakan daftar pertanyaan.</v>
      </c>
      <c r="BF16" s="307" t="str">
        <f t="shared" si="23"/>
        <v xml:space="preserve"> </v>
      </c>
      <c r="BG16" s="308" t="str">
        <f t="shared" si="24"/>
        <v xml:space="preserve"> sangat baik  dalam menggali pengetahuan baru yang terdapat pada teks nonfiksi., dan  baik  dalam menggali informasi dari seorang tokoh melalui wawancara menggunakan daftar pertanyaan.</v>
      </c>
      <c r="BH16" s="301" t="str">
        <f t="shared" si="14"/>
        <v>Anak 12 sangat baik  dalam menggali pengetahuan baru yang terdapat pada teks nonfiksi., dan  baik  dalam menggali informasi dari seorang tokoh melalui wawancara menggunakan daftar pertanyaan.</v>
      </c>
      <c r="BI16" s="120"/>
      <c r="BQ16" s="408">
        <f t="shared" si="34"/>
        <v>96</v>
      </c>
      <c r="BT16" s="302">
        <f t="shared" si="25"/>
        <v>99</v>
      </c>
      <c r="BU16" s="303" t="str">
        <f>IF(BT16&gt;KKM!$G$10,"A",IF(BT16&gt;KKM!$H$10,"B",IF(BT16&gt;=KKM!$I$10,"C","D")))</f>
        <v>A</v>
      </c>
      <c r="BV16" s="523">
        <f t="shared" si="26"/>
        <v>99</v>
      </c>
      <c r="BW16" s="115" t="str">
        <f>IF(BV16&gt;KKM!$G$10," sangat baik ",IF(BV16&gt;KKM!$H$10," baik ",IF(BV16&gt;=KKM!$I$10," cukup baik "," perlu bimbingan ")))</f>
        <v xml:space="preserve"> sangat baik </v>
      </c>
      <c r="BX16" s="524">
        <f t="shared" si="27"/>
        <v>99</v>
      </c>
      <c r="BY16" s="115" t="str">
        <f>IF(BX16&gt;KKM!$G$10," sangat baik ",IF(BX16&gt;KKM!$H$10," baik ",IF(BX16&gt;=KKM!$I$10," cukup baik "," perlu bimbingan ")))</f>
        <v xml:space="preserve"> sangat baik </v>
      </c>
      <c r="BZ16" s="301" t="str">
        <f t="shared" si="35"/>
        <v>Anak 12 sangat baik  dalam menggali isi dan amanat puisi yang disajikan secara lisan dan tulis dengan tujuan untuk kesenangan.</v>
      </c>
      <c r="CA16" s="307" t="str">
        <f t="shared" si="28"/>
        <v xml:space="preserve"> sangat baik  dalam menggali isi dan amanat puisi yang disajikan secara lisan dan tulis dengan tujuan untuk kesenangan.</v>
      </c>
      <c r="CB16" s="307" t="str">
        <f t="shared" si="29"/>
        <v xml:space="preserve"> sangat baik  dalam menggali isi dan amanat puisi yang disajikan secara lisan dan tulis dengan tujuan untuk kesenangan.</v>
      </c>
      <c r="CC16"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6" s="307" t="str">
        <f t="shared" si="31"/>
        <v xml:space="preserve"> sangat baik  dalam menggali isi dan amanat puisi yang disajikan secara lisan dan tulis dengan tujuan untuk kesenangan.</v>
      </c>
      <c r="CE16" s="308" t="str">
        <f t="shared" si="32"/>
        <v xml:space="preserve"> sangat baik  dalam menggali isi dan amanat puisi yang disajikan secara lisan dan tulis dengan tujuan untuk kesenangan.</v>
      </c>
      <c r="CF16" s="301" t="str">
        <f t="shared" si="33"/>
        <v>Anak 12 sangat baik  dalam menggali isi dan amanat puisi yang disajikan secara lisan dan tulis dengan tujuan untuk kesenangan.</v>
      </c>
    </row>
    <row r="17" spans="2:84" ht="51.75" customHeight="1">
      <c r="B17" s="109">
        <v>13</v>
      </c>
      <c r="C17" s="110">
        <f>SISWA!B18</f>
        <v>0</v>
      </c>
      <c r="D17" s="111" t="str">
        <f>SISWA!E18</f>
        <v>Anak 13</v>
      </c>
      <c r="E17" s="631">
        <v>99</v>
      </c>
      <c r="F17" s="631">
        <v>99</v>
      </c>
      <c r="G17" s="631">
        <v>99</v>
      </c>
      <c r="H17" s="631">
        <v>99</v>
      </c>
      <c r="I17" s="631">
        <v>99</v>
      </c>
      <c r="J17" s="730"/>
      <c r="K17" s="730"/>
      <c r="L17" s="731"/>
      <c r="M17" s="731"/>
      <c r="N17" s="731"/>
      <c r="O17" s="731"/>
      <c r="P17" s="731"/>
      <c r="Q17" s="730"/>
      <c r="R17" s="730"/>
      <c r="S17" s="610"/>
      <c r="T17" s="730"/>
      <c r="U17" s="631">
        <v>99</v>
      </c>
      <c r="V17" s="631">
        <v>99</v>
      </c>
      <c r="W17" s="730"/>
      <c r="X17" s="730"/>
      <c r="Y17" s="730"/>
      <c r="Z17" s="610"/>
      <c r="AA17" s="631">
        <v>84.5</v>
      </c>
      <c r="AB17" s="631">
        <v>72.5</v>
      </c>
      <c r="AC17" s="631">
        <v>99</v>
      </c>
      <c r="AD17" s="631">
        <v>99</v>
      </c>
      <c r="AE17" s="631">
        <v>99</v>
      </c>
      <c r="AF17" s="605"/>
      <c r="AG17" s="605"/>
      <c r="AH17" s="518"/>
      <c r="AI17" s="607">
        <f t="shared" si="15"/>
        <v>94.166666666666671</v>
      </c>
      <c r="AJ17" s="607">
        <f t="shared" si="16"/>
        <v>92.375</v>
      </c>
      <c r="AK17" s="607">
        <f t="shared" si="17"/>
        <v>99</v>
      </c>
      <c r="AL17" s="607">
        <f t="shared" si="18"/>
        <v>99</v>
      </c>
      <c r="AM17" s="607">
        <f t="shared" si="19"/>
        <v>99</v>
      </c>
      <c r="AN17" s="607" t="str">
        <f t="shared" si="20"/>
        <v/>
      </c>
      <c r="AO17" s="608"/>
      <c r="AP17" s="528"/>
      <c r="AQ17" s="528"/>
      <c r="AR17" s="528"/>
      <c r="AS17" s="528"/>
      <c r="AT17" s="528"/>
      <c r="AU17" s="302">
        <f t="shared" si="9"/>
        <v>97</v>
      </c>
      <c r="AV17" s="303" t="str">
        <f>IF(AU17&gt;KKM!$G$10,"A",IF(AU17&gt;KKM!$H$10,"B",IF(AU17&gt;=KKM!$I$10,"C","D")))</f>
        <v>A</v>
      </c>
      <c r="AW17" s="523">
        <f t="shared" si="10"/>
        <v>99</v>
      </c>
      <c r="AX17" s="115" t="str">
        <f>IF(AW17&gt;KKM!$G$10," sangat baik ",IF(AW17&gt;KKM!$H$10," baik ",IF(AW17&gt;=KKM!$I$10," cukup baik "," perlu bimbingan ")))</f>
        <v xml:space="preserve"> sangat baik </v>
      </c>
      <c r="AY17" s="524">
        <f t="shared" si="11"/>
        <v>92.375</v>
      </c>
      <c r="AZ17" s="115" t="str">
        <f>IF(AY17&gt;KKM!$G$10," sangat baik ",IF(AY17&gt;KKM!$H$10," baik ",IF(AY17&gt;=KKM!$I$10," cukup baik "," perlu bimbingan ")))</f>
        <v xml:space="preserve"> sangat baik </v>
      </c>
      <c r="BA17" s="301" t="str">
        <f t="shared" si="21"/>
        <v>Anak 13 sangat baik  dalam menggali pengetahuan baru yang terdapat pada teks nonfiksi., dan  sangat baik  dalam menggali isi dan amanat puisi yang disajikan secara lisan dan tulis dengan tujuan untuk kesenangan.</v>
      </c>
      <c r="BB17" s="306"/>
      <c r="BC17" s="307" t="str">
        <f t="shared" si="12"/>
        <v xml:space="preserve"> sangat baik  dalam menggali pengetahuan baru yang terdapat pada teks nonfiksi.</v>
      </c>
      <c r="BD17" s="307" t="str">
        <f t="shared" si="13"/>
        <v xml:space="preserve"> sangat baik  dalam menggali isi dan amanat puisi yang disajikan secara lisan dan tulis dengan tujuan untuk kesenangan.</v>
      </c>
      <c r="BE17" s="307" t="str">
        <f t="shared" si="22"/>
        <v xml:space="preserve"> sangat baik  dalam menggali pengetahuan baru yang terdapat pada teks nonfiksi., dan  sangat baik  dalam menggali isi dan amanat puisi yang disajikan secara lisan dan tulis dengan tujuan untuk kesenangan.</v>
      </c>
      <c r="BF17" s="307" t="str">
        <f t="shared" si="23"/>
        <v xml:space="preserve"> </v>
      </c>
      <c r="BG17" s="308" t="str">
        <f t="shared" si="24"/>
        <v xml:space="preserve"> sangat baik  dalam menggali pengetahuan baru yang terdapat pada teks nonfiksi., dan  sangat baik  dalam menggali isi dan amanat puisi yang disajikan secara lisan dan tulis dengan tujuan untuk kesenangan.</v>
      </c>
      <c r="BH17" s="301" t="str">
        <f t="shared" si="14"/>
        <v>Anak 13 sangat baik  dalam menggali pengetahuan baru yang terdapat pada teks nonfiksi., dan  sangat baik  dalam menggali isi dan amanat puisi yang disajikan secara lisan dan tulis dengan tujuan untuk kesenangan.</v>
      </c>
      <c r="BI17" s="120"/>
      <c r="BQ17" s="408">
        <f t="shared" si="34"/>
        <v>97</v>
      </c>
      <c r="BT17" s="302">
        <f t="shared" si="25"/>
        <v>99</v>
      </c>
      <c r="BU17" s="303" t="str">
        <f>IF(BT17&gt;KKM!$G$10,"A",IF(BT17&gt;KKM!$H$10,"B",IF(BT17&gt;=KKM!$I$10,"C","D")))</f>
        <v>A</v>
      </c>
      <c r="BV17" s="523">
        <f t="shared" si="26"/>
        <v>99</v>
      </c>
      <c r="BW17" s="115" t="str">
        <f>IF(BV17&gt;KKM!$G$10," sangat baik ",IF(BV17&gt;KKM!$H$10," baik ",IF(BV17&gt;=KKM!$I$10," cukup baik "," perlu bimbingan ")))</f>
        <v xml:space="preserve"> sangat baik </v>
      </c>
      <c r="BX17" s="524">
        <f t="shared" si="27"/>
        <v>99</v>
      </c>
      <c r="BY17" s="115" t="str">
        <f>IF(BX17&gt;KKM!$G$10," sangat baik ",IF(BX17&gt;KKM!$H$10," baik ",IF(BX17&gt;=KKM!$I$10," cukup baik "," perlu bimbingan ")))</f>
        <v xml:space="preserve"> sangat baik </v>
      </c>
      <c r="BZ17" s="301" t="str">
        <f t="shared" si="35"/>
        <v>Anak 13 sangat baik  dalam menggali isi dan amanat puisi yang disajikan secara lisan dan tulis dengan tujuan untuk kesenangan.</v>
      </c>
      <c r="CA17" s="307" t="str">
        <f t="shared" si="28"/>
        <v xml:space="preserve"> sangat baik  dalam menggali isi dan amanat puisi yang disajikan secara lisan dan tulis dengan tujuan untuk kesenangan.</v>
      </c>
      <c r="CB17" s="307" t="str">
        <f t="shared" si="29"/>
        <v xml:space="preserve"> sangat baik  dalam menggali isi dan amanat puisi yang disajikan secara lisan dan tulis dengan tujuan untuk kesenangan.</v>
      </c>
      <c r="CC17"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7" s="307" t="str">
        <f t="shared" si="31"/>
        <v xml:space="preserve"> sangat baik  dalam menggali isi dan amanat puisi yang disajikan secara lisan dan tulis dengan tujuan untuk kesenangan.</v>
      </c>
      <c r="CE17" s="308" t="str">
        <f t="shared" si="32"/>
        <v xml:space="preserve"> sangat baik  dalam menggali isi dan amanat puisi yang disajikan secara lisan dan tulis dengan tujuan untuk kesenangan.</v>
      </c>
      <c r="CF17" s="301" t="str">
        <f t="shared" si="33"/>
        <v>Anak 13 sangat baik  dalam menggali isi dan amanat puisi yang disajikan secara lisan dan tulis dengan tujuan untuk kesenangan.</v>
      </c>
    </row>
    <row r="18" spans="2:84" ht="51.75" customHeight="1">
      <c r="B18" s="109">
        <v>14</v>
      </c>
      <c r="C18" s="110">
        <f>SISWA!B19</f>
        <v>0</v>
      </c>
      <c r="D18" s="111" t="str">
        <f>SISWA!E19</f>
        <v>Anak 14</v>
      </c>
      <c r="E18" s="631">
        <v>99</v>
      </c>
      <c r="F18" s="631">
        <v>99</v>
      </c>
      <c r="G18" s="631">
        <v>99</v>
      </c>
      <c r="H18" s="631">
        <v>99</v>
      </c>
      <c r="I18" s="631">
        <v>99</v>
      </c>
      <c r="J18" s="730"/>
      <c r="K18" s="730"/>
      <c r="L18" s="731"/>
      <c r="M18" s="731"/>
      <c r="N18" s="731"/>
      <c r="O18" s="731"/>
      <c r="P18" s="731"/>
      <c r="Q18" s="730"/>
      <c r="R18" s="730"/>
      <c r="S18" s="610"/>
      <c r="T18" s="730"/>
      <c r="U18" s="631">
        <v>99</v>
      </c>
      <c r="V18" s="631">
        <v>99</v>
      </c>
      <c r="W18" s="730"/>
      <c r="X18" s="730"/>
      <c r="Y18" s="730"/>
      <c r="Z18" s="610"/>
      <c r="AA18" s="631">
        <v>72.5</v>
      </c>
      <c r="AB18" s="631">
        <v>80</v>
      </c>
      <c r="AC18" s="631">
        <v>99</v>
      </c>
      <c r="AD18" s="631">
        <v>99</v>
      </c>
      <c r="AE18" s="631">
        <v>99</v>
      </c>
      <c r="AF18" s="605"/>
      <c r="AG18" s="605"/>
      <c r="AH18" s="518"/>
      <c r="AI18" s="607">
        <f t="shared" si="15"/>
        <v>90.166666666666671</v>
      </c>
      <c r="AJ18" s="607">
        <f t="shared" si="16"/>
        <v>94.25</v>
      </c>
      <c r="AK18" s="607">
        <f t="shared" si="17"/>
        <v>99</v>
      </c>
      <c r="AL18" s="607">
        <f t="shared" si="18"/>
        <v>99</v>
      </c>
      <c r="AM18" s="607">
        <f t="shared" si="19"/>
        <v>99</v>
      </c>
      <c r="AN18" s="607" t="str">
        <f t="shared" si="20"/>
        <v/>
      </c>
      <c r="AO18" s="608"/>
      <c r="AP18" s="528"/>
      <c r="AQ18" s="528"/>
      <c r="AR18" s="528"/>
      <c r="AS18" s="528"/>
      <c r="AT18" s="528"/>
      <c r="AU18" s="302">
        <f t="shared" si="9"/>
        <v>96</v>
      </c>
      <c r="AV18" s="303" t="str">
        <f>IF(AU18&gt;KKM!$G$10,"A",IF(AU18&gt;KKM!$H$10,"B",IF(AU18&gt;=KKM!$I$10,"C","D")))</f>
        <v>A</v>
      </c>
      <c r="AW18" s="523">
        <f t="shared" si="10"/>
        <v>99</v>
      </c>
      <c r="AX18" s="115" t="str">
        <f>IF(AW18&gt;KKM!$G$10," sangat baik ",IF(AW18&gt;KKM!$H$10," baik ",IF(AW18&gt;=KKM!$I$10," cukup baik "," perlu bimbingan ")))</f>
        <v xml:space="preserve"> sangat baik </v>
      </c>
      <c r="AY18" s="524">
        <f t="shared" si="11"/>
        <v>90.166666666666671</v>
      </c>
      <c r="AZ18" s="115" t="str">
        <f>IF(AY18&gt;KKM!$G$10," sangat baik ",IF(AY18&gt;KKM!$H$10," baik ",IF(AY18&gt;=KKM!$I$10," cukup baik "," perlu bimbingan ")))</f>
        <v xml:space="preserve"> sangat baik </v>
      </c>
      <c r="BA18" s="301" t="str">
        <f t="shared" si="21"/>
        <v>Anak 14 sangat baik  dalam menggali pengetahuan baru yang terdapat pada teks nonfiksi., dan  sangat baik  dalam menggali informasi dari seorang tokoh melalui wawancara menggunakan daftar pertanyaan.</v>
      </c>
      <c r="BB18" s="306"/>
      <c r="BC18" s="307" t="str">
        <f t="shared" si="12"/>
        <v xml:space="preserve"> sangat baik  dalam menggali pengetahuan baru yang terdapat pada teks nonfiksi.</v>
      </c>
      <c r="BD18" s="307" t="str">
        <f t="shared" si="13"/>
        <v xml:space="preserve"> sangat baik  dalam menggali informasi dari seorang tokoh melalui wawancara menggunakan daftar pertanyaan.</v>
      </c>
      <c r="BE18" s="307" t="str">
        <f t="shared" si="22"/>
        <v xml:space="preserve"> sangat baik  dalam menggali pengetahuan baru yang terdapat pada teks nonfiksi., dan  sangat baik  dalam menggali informasi dari seorang tokoh melalui wawancara menggunakan daftar pertanyaan.</v>
      </c>
      <c r="BF18" s="307" t="str">
        <f t="shared" si="23"/>
        <v xml:space="preserve"> </v>
      </c>
      <c r="BG18" s="308" t="str">
        <f t="shared" si="24"/>
        <v xml:space="preserve"> sangat baik  dalam menggali pengetahuan baru yang terdapat pada teks nonfiksi., dan  sangat baik  dalam menggali informasi dari seorang tokoh melalui wawancara menggunakan daftar pertanyaan.</v>
      </c>
      <c r="BH18" s="301" t="str">
        <f t="shared" si="14"/>
        <v>Anak 14 sangat baik  dalam menggali pengetahuan baru yang terdapat pada teks nonfiksi., dan  sangat baik  dalam menggali informasi dari seorang tokoh melalui wawancara menggunakan daftar pertanyaan.</v>
      </c>
      <c r="BI18" s="120"/>
      <c r="BQ18" s="408">
        <f t="shared" si="34"/>
        <v>96</v>
      </c>
      <c r="BT18" s="302">
        <f t="shared" si="25"/>
        <v>99</v>
      </c>
      <c r="BU18" s="303" t="str">
        <f>IF(BT18&gt;KKM!$G$10,"A",IF(BT18&gt;KKM!$H$10,"B",IF(BT18&gt;=KKM!$I$10,"C","D")))</f>
        <v>A</v>
      </c>
      <c r="BV18" s="523">
        <f t="shared" si="26"/>
        <v>99</v>
      </c>
      <c r="BW18" s="115" t="str">
        <f>IF(BV18&gt;KKM!$G$10," sangat baik ",IF(BV18&gt;KKM!$H$10," baik ",IF(BV18&gt;=KKM!$I$10," cukup baik "," perlu bimbingan ")))</f>
        <v xml:space="preserve"> sangat baik </v>
      </c>
      <c r="BX18" s="524">
        <f t="shared" si="27"/>
        <v>99</v>
      </c>
      <c r="BY18" s="115" t="str">
        <f>IF(BX18&gt;KKM!$G$10," sangat baik ",IF(BX18&gt;KKM!$H$10," baik ",IF(BX18&gt;=KKM!$I$10," cukup baik "," perlu bimbingan ")))</f>
        <v xml:space="preserve"> sangat baik </v>
      </c>
      <c r="BZ18" s="301" t="str">
        <f t="shared" si="35"/>
        <v>Anak 14 sangat baik  dalam menggali isi dan amanat puisi yang disajikan secara lisan dan tulis dengan tujuan untuk kesenangan.</v>
      </c>
      <c r="CA18" s="307" t="str">
        <f t="shared" si="28"/>
        <v xml:space="preserve"> sangat baik  dalam menggali isi dan amanat puisi yang disajikan secara lisan dan tulis dengan tujuan untuk kesenangan.</v>
      </c>
      <c r="CB18" s="307" t="str">
        <f t="shared" si="29"/>
        <v xml:space="preserve"> sangat baik  dalam menggali isi dan amanat puisi yang disajikan secara lisan dan tulis dengan tujuan untuk kesenangan.</v>
      </c>
      <c r="CC18"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8" s="307" t="str">
        <f t="shared" si="31"/>
        <v xml:space="preserve"> sangat baik  dalam menggali isi dan amanat puisi yang disajikan secara lisan dan tulis dengan tujuan untuk kesenangan.</v>
      </c>
      <c r="CE18" s="308" t="str">
        <f t="shared" si="32"/>
        <v xml:space="preserve"> sangat baik  dalam menggali isi dan amanat puisi yang disajikan secara lisan dan tulis dengan tujuan untuk kesenangan.</v>
      </c>
      <c r="CF18" s="301" t="str">
        <f t="shared" si="33"/>
        <v>Anak 14 sangat baik  dalam menggali isi dan amanat puisi yang disajikan secara lisan dan tulis dengan tujuan untuk kesenangan.</v>
      </c>
    </row>
    <row r="19" spans="2:84" ht="51.75" customHeight="1">
      <c r="B19" s="109">
        <v>15</v>
      </c>
      <c r="C19" s="110">
        <f>SISWA!B20</f>
        <v>0</v>
      </c>
      <c r="D19" s="111" t="str">
        <f>SISWA!E20</f>
        <v>Anak 15</v>
      </c>
      <c r="E19" s="631">
        <v>99</v>
      </c>
      <c r="F19" s="631">
        <v>99</v>
      </c>
      <c r="G19" s="631">
        <v>99</v>
      </c>
      <c r="H19" s="631">
        <v>99</v>
      </c>
      <c r="I19" s="631">
        <v>99</v>
      </c>
      <c r="J19" s="730"/>
      <c r="K19" s="730"/>
      <c r="L19" s="731"/>
      <c r="M19" s="731"/>
      <c r="N19" s="731"/>
      <c r="O19" s="731"/>
      <c r="P19" s="731"/>
      <c r="Q19" s="730"/>
      <c r="R19" s="730"/>
      <c r="S19" s="610"/>
      <c r="T19" s="730"/>
      <c r="U19" s="631">
        <v>99</v>
      </c>
      <c r="V19" s="631">
        <v>99</v>
      </c>
      <c r="W19" s="730"/>
      <c r="X19" s="730"/>
      <c r="Y19" s="730"/>
      <c r="Z19" s="610"/>
      <c r="AA19" s="631">
        <v>80</v>
      </c>
      <c r="AB19" s="631">
        <v>79.5</v>
      </c>
      <c r="AC19" s="631">
        <v>99</v>
      </c>
      <c r="AD19" s="631">
        <v>99</v>
      </c>
      <c r="AE19" s="631">
        <v>99</v>
      </c>
      <c r="AF19" s="605"/>
      <c r="AG19" s="605"/>
      <c r="AH19" s="518"/>
      <c r="AI19" s="607">
        <f t="shared" si="15"/>
        <v>92.666666666666671</v>
      </c>
      <c r="AJ19" s="607">
        <f t="shared" si="16"/>
        <v>94.125</v>
      </c>
      <c r="AK19" s="607">
        <f t="shared" si="17"/>
        <v>99</v>
      </c>
      <c r="AL19" s="607">
        <f t="shared" si="18"/>
        <v>99</v>
      </c>
      <c r="AM19" s="607">
        <f t="shared" si="19"/>
        <v>99</v>
      </c>
      <c r="AN19" s="607" t="str">
        <f t="shared" si="20"/>
        <v/>
      </c>
      <c r="AO19" s="608"/>
      <c r="AP19" s="528"/>
      <c r="AQ19" s="528"/>
      <c r="AR19" s="528"/>
      <c r="AS19" s="528"/>
      <c r="AT19" s="528"/>
      <c r="AU19" s="302">
        <f t="shared" si="9"/>
        <v>97</v>
      </c>
      <c r="AV19" s="303" t="str">
        <f>IF(AU19&gt;KKM!$G$10,"A",IF(AU19&gt;KKM!$H$10,"B",IF(AU19&gt;=KKM!$I$10,"C","D")))</f>
        <v>A</v>
      </c>
      <c r="AW19" s="523">
        <f t="shared" si="10"/>
        <v>99</v>
      </c>
      <c r="AX19" s="115" t="str">
        <f>IF(AW19&gt;KKM!$G$10," sangat baik ",IF(AW19&gt;KKM!$H$10," baik ",IF(AW19&gt;=KKM!$I$10," cukup baik "," perlu bimbingan ")))</f>
        <v xml:space="preserve"> sangat baik </v>
      </c>
      <c r="AY19" s="524">
        <f t="shared" si="11"/>
        <v>92.666666666666671</v>
      </c>
      <c r="AZ19" s="115" t="str">
        <f>IF(AY19&gt;KKM!$G$10," sangat baik ",IF(AY19&gt;KKM!$H$10," baik ",IF(AY19&gt;=KKM!$I$10," cukup baik "," perlu bimbingan ")))</f>
        <v xml:space="preserve"> sangat baik </v>
      </c>
      <c r="BA19" s="301" t="str">
        <f t="shared" si="21"/>
        <v>Anak 15 sangat baik  dalam menggali pengetahuan baru yang terdapat pada teks nonfiksi., dan  sangat baik  dalam menggali informasi dari seorang tokoh melalui wawancara menggunakan daftar pertanyaan.</v>
      </c>
      <c r="BB19" s="306"/>
      <c r="BC19" s="307" t="str">
        <f t="shared" si="12"/>
        <v xml:space="preserve"> sangat baik  dalam menggali pengetahuan baru yang terdapat pada teks nonfiksi.</v>
      </c>
      <c r="BD19" s="307" t="str">
        <f t="shared" si="13"/>
        <v xml:space="preserve"> sangat baik  dalam menggali informasi dari seorang tokoh melalui wawancara menggunakan daftar pertanyaan.</v>
      </c>
      <c r="BE19" s="307" t="str">
        <f t="shared" si="22"/>
        <v xml:space="preserve"> sangat baik  dalam menggali pengetahuan baru yang terdapat pada teks nonfiksi., dan  sangat baik  dalam menggali informasi dari seorang tokoh melalui wawancara menggunakan daftar pertanyaan.</v>
      </c>
      <c r="BF19" s="307" t="str">
        <f t="shared" si="23"/>
        <v xml:space="preserve"> </v>
      </c>
      <c r="BG19" s="308" t="str">
        <f t="shared" si="24"/>
        <v xml:space="preserve"> sangat baik  dalam menggali pengetahuan baru yang terdapat pada teks nonfiksi., dan  sangat baik  dalam menggali informasi dari seorang tokoh melalui wawancara menggunakan daftar pertanyaan.</v>
      </c>
      <c r="BH19" s="301" t="str">
        <f t="shared" si="14"/>
        <v>Anak 15 sangat baik  dalam menggali pengetahuan baru yang terdapat pada teks nonfiksi., dan  sangat baik  dalam menggali informasi dari seorang tokoh melalui wawancara menggunakan daftar pertanyaan.</v>
      </c>
      <c r="BI19" s="120"/>
      <c r="BQ19" s="408">
        <f t="shared" si="34"/>
        <v>97</v>
      </c>
      <c r="BT19" s="302">
        <f t="shared" si="25"/>
        <v>99</v>
      </c>
      <c r="BU19" s="303" t="str">
        <f>IF(BT19&gt;KKM!$G$10,"A",IF(BT19&gt;KKM!$H$10,"B",IF(BT19&gt;=KKM!$I$10,"C","D")))</f>
        <v>A</v>
      </c>
      <c r="BV19" s="523">
        <f t="shared" si="26"/>
        <v>99</v>
      </c>
      <c r="BW19" s="115" t="str">
        <f>IF(BV19&gt;KKM!$G$10," sangat baik ",IF(BV19&gt;KKM!$H$10," baik ",IF(BV19&gt;=KKM!$I$10," cukup baik "," perlu bimbingan ")))</f>
        <v xml:space="preserve"> sangat baik </v>
      </c>
      <c r="BX19" s="524">
        <f t="shared" si="27"/>
        <v>99</v>
      </c>
      <c r="BY19" s="115" t="str">
        <f>IF(BX19&gt;KKM!$G$10," sangat baik ",IF(BX19&gt;KKM!$H$10," baik ",IF(BX19&gt;=KKM!$I$10," cukup baik "," perlu bimbingan ")))</f>
        <v xml:space="preserve"> sangat baik </v>
      </c>
      <c r="BZ19" s="301" t="str">
        <f t="shared" si="35"/>
        <v>Anak 15 sangat baik  dalam menggali isi dan amanat puisi yang disajikan secara lisan dan tulis dengan tujuan untuk kesenangan.</v>
      </c>
      <c r="CA19" s="307" t="str">
        <f t="shared" si="28"/>
        <v xml:space="preserve"> sangat baik  dalam menggali isi dan amanat puisi yang disajikan secara lisan dan tulis dengan tujuan untuk kesenangan.</v>
      </c>
      <c r="CB19" s="307" t="str">
        <f t="shared" si="29"/>
        <v xml:space="preserve"> sangat baik  dalam menggali isi dan amanat puisi yang disajikan secara lisan dan tulis dengan tujuan untuk kesenangan.</v>
      </c>
      <c r="CC19"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19" s="307" t="str">
        <f t="shared" si="31"/>
        <v xml:space="preserve"> sangat baik  dalam menggali isi dan amanat puisi yang disajikan secara lisan dan tulis dengan tujuan untuk kesenangan.</v>
      </c>
      <c r="CE19" s="308" t="str">
        <f t="shared" si="32"/>
        <v xml:space="preserve"> sangat baik  dalam menggali isi dan amanat puisi yang disajikan secara lisan dan tulis dengan tujuan untuk kesenangan.</v>
      </c>
      <c r="CF19" s="301" t="str">
        <f t="shared" si="33"/>
        <v>Anak 15 sangat baik  dalam menggali isi dan amanat puisi yang disajikan secara lisan dan tulis dengan tujuan untuk kesenangan.</v>
      </c>
    </row>
    <row r="20" spans="2:84" ht="51.75" customHeight="1">
      <c r="B20" s="109">
        <v>16</v>
      </c>
      <c r="C20" s="110">
        <f>SISWA!B21</f>
        <v>0</v>
      </c>
      <c r="D20" s="111" t="str">
        <f>SISWA!E21</f>
        <v>Anak 16</v>
      </c>
      <c r="E20" s="631">
        <v>99</v>
      </c>
      <c r="F20" s="631">
        <v>99</v>
      </c>
      <c r="G20" s="631">
        <v>99</v>
      </c>
      <c r="H20" s="631">
        <v>99</v>
      </c>
      <c r="I20" s="631">
        <v>99</v>
      </c>
      <c r="J20" s="730"/>
      <c r="K20" s="730"/>
      <c r="L20" s="731"/>
      <c r="M20" s="731"/>
      <c r="N20" s="731"/>
      <c r="O20" s="731"/>
      <c r="P20" s="731"/>
      <c r="Q20" s="730"/>
      <c r="R20" s="730"/>
      <c r="S20" s="610"/>
      <c r="T20" s="730"/>
      <c r="U20" s="631">
        <v>99</v>
      </c>
      <c r="V20" s="631">
        <v>99</v>
      </c>
      <c r="W20" s="730"/>
      <c r="X20" s="730"/>
      <c r="Y20" s="730"/>
      <c r="Z20" s="610"/>
      <c r="AA20" s="631">
        <v>79.5</v>
      </c>
      <c r="AB20" s="631">
        <v>79.5</v>
      </c>
      <c r="AC20" s="631">
        <v>99</v>
      </c>
      <c r="AD20" s="631">
        <v>99</v>
      </c>
      <c r="AE20" s="631">
        <v>99</v>
      </c>
      <c r="AF20" s="605"/>
      <c r="AG20" s="605"/>
      <c r="AH20" s="518"/>
      <c r="AI20" s="607">
        <f t="shared" si="15"/>
        <v>92.5</v>
      </c>
      <c r="AJ20" s="607">
        <f t="shared" si="16"/>
        <v>94.125</v>
      </c>
      <c r="AK20" s="607">
        <f t="shared" si="17"/>
        <v>99</v>
      </c>
      <c r="AL20" s="607">
        <f t="shared" si="18"/>
        <v>99</v>
      </c>
      <c r="AM20" s="607">
        <f t="shared" si="19"/>
        <v>99</v>
      </c>
      <c r="AN20" s="607" t="str">
        <f t="shared" si="20"/>
        <v/>
      </c>
      <c r="AO20" s="608"/>
      <c r="AP20" s="528"/>
      <c r="AQ20" s="528"/>
      <c r="AR20" s="528"/>
      <c r="AS20" s="528"/>
      <c r="AT20" s="528"/>
      <c r="AU20" s="302">
        <f t="shared" si="9"/>
        <v>97</v>
      </c>
      <c r="AV20" s="303" t="str">
        <f>IF(AU20&gt;KKM!$G$10,"A",IF(AU20&gt;KKM!$H$10,"B",IF(AU20&gt;=KKM!$I$10,"C","D")))</f>
        <v>A</v>
      </c>
      <c r="AW20" s="523">
        <f t="shared" si="10"/>
        <v>99</v>
      </c>
      <c r="AX20" s="115" t="str">
        <f>IF(AW20&gt;KKM!$G$10," sangat baik ",IF(AW20&gt;KKM!$H$10," baik ",IF(AW20&gt;=KKM!$I$10," cukup baik "," perlu bimbingan ")))</f>
        <v xml:space="preserve"> sangat baik </v>
      </c>
      <c r="AY20" s="524">
        <f t="shared" si="11"/>
        <v>92.5</v>
      </c>
      <c r="AZ20" s="115" t="str">
        <f>IF(AY20&gt;KKM!$G$10," sangat baik ",IF(AY20&gt;KKM!$H$10," baik ",IF(AY20&gt;=KKM!$I$10," cukup baik "," perlu bimbingan ")))</f>
        <v xml:space="preserve"> sangat baik </v>
      </c>
      <c r="BA20" s="301" t="str">
        <f t="shared" si="21"/>
        <v>Anak 16 sangat baik  dalam menggali pengetahuan baru yang terdapat pada teks nonfiksi., dan  sangat baik  dalam menggali informasi dari seorang tokoh melalui wawancara menggunakan daftar pertanyaan.</v>
      </c>
      <c r="BB20" s="306"/>
      <c r="BC20" s="307" t="str">
        <f t="shared" si="12"/>
        <v xml:space="preserve"> sangat baik  dalam menggali pengetahuan baru yang terdapat pada teks nonfiksi.</v>
      </c>
      <c r="BD20" s="307" t="str">
        <f t="shared" si="13"/>
        <v xml:space="preserve"> sangat baik  dalam menggali informasi dari seorang tokoh melalui wawancara menggunakan daftar pertanyaan.</v>
      </c>
      <c r="BE20" s="307" t="str">
        <f t="shared" si="22"/>
        <v xml:space="preserve"> sangat baik  dalam menggali pengetahuan baru yang terdapat pada teks nonfiksi., dan  sangat baik  dalam menggali informasi dari seorang tokoh melalui wawancara menggunakan daftar pertanyaan.</v>
      </c>
      <c r="BF20" s="307" t="str">
        <f t="shared" si="23"/>
        <v xml:space="preserve"> </v>
      </c>
      <c r="BG20" s="308" t="str">
        <f t="shared" si="24"/>
        <v xml:space="preserve"> sangat baik  dalam menggali pengetahuan baru yang terdapat pada teks nonfiksi., dan  sangat baik  dalam menggali informasi dari seorang tokoh melalui wawancara menggunakan daftar pertanyaan.</v>
      </c>
      <c r="BH20" s="301" t="str">
        <f t="shared" si="14"/>
        <v>Anak 16 sangat baik  dalam menggali pengetahuan baru yang terdapat pada teks nonfiksi., dan  sangat baik  dalam menggali informasi dari seorang tokoh melalui wawancara menggunakan daftar pertanyaan.</v>
      </c>
      <c r="BI20" s="120"/>
      <c r="BQ20" s="408">
        <f t="shared" si="34"/>
        <v>97</v>
      </c>
      <c r="BT20" s="302">
        <f t="shared" si="25"/>
        <v>99</v>
      </c>
      <c r="BU20" s="303" t="str">
        <f>IF(BT20&gt;KKM!$G$10,"A",IF(BT20&gt;KKM!$H$10,"B",IF(BT20&gt;=KKM!$I$10,"C","D")))</f>
        <v>A</v>
      </c>
      <c r="BV20" s="523">
        <f t="shared" si="26"/>
        <v>99</v>
      </c>
      <c r="BW20" s="115" t="str">
        <f>IF(BV20&gt;KKM!$G$10," sangat baik ",IF(BV20&gt;KKM!$H$10," baik ",IF(BV20&gt;=KKM!$I$10," cukup baik "," perlu bimbingan ")))</f>
        <v xml:space="preserve"> sangat baik </v>
      </c>
      <c r="BX20" s="524">
        <f t="shared" si="27"/>
        <v>99</v>
      </c>
      <c r="BY20" s="115" t="str">
        <f>IF(BX20&gt;KKM!$G$10," sangat baik ",IF(BX20&gt;KKM!$H$10," baik ",IF(BX20&gt;=KKM!$I$10," cukup baik "," perlu bimbingan ")))</f>
        <v xml:space="preserve"> sangat baik </v>
      </c>
      <c r="BZ20" s="301" t="str">
        <f t="shared" si="35"/>
        <v>Anak 16 sangat baik  dalam menggali isi dan amanat puisi yang disajikan secara lisan dan tulis dengan tujuan untuk kesenangan.</v>
      </c>
      <c r="CA20" s="307" t="str">
        <f t="shared" si="28"/>
        <v xml:space="preserve"> sangat baik  dalam menggali isi dan amanat puisi yang disajikan secara lisan dan tulis dengan tujuan untuk kesenangan.</v>
      </c>
      <c r="CB20" s="307" t="str">
        <f t="shared" si="29"/>
        <v xml:space="preserve"> sangat baik  dalam menggali isi dan amanat puisi yang disajikan secara lisan dan tulis dengan tujuan untuk kesenangan.</v>
      </c>
      <c r="CC20"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0" s="307" t="str">
        <f t="shared" si="31"/>
        <v xml:space="preserve"> sangat baik  dalam menggali isi dan amanat puisi yang disajikan secara lisan dan tulis dengan tujuan untuk kesenangan.</v>
      </c>
      <c r="CE20" s="308" t="str">
        <f t="shared" si="32"/>
        <v xml:space="preserve"> sangat baik  dalam menggali isi dan amanat puisi yang disajikan secara lisan dan tulis dengan tujuan untuk kesenangan.</v>
      </c>
      <c r="CF20" s="301" t="str">
        <f t="shared" si="33"/>
        <v>Anak 16 sangat baik  dalam menggali isi dan amanat puisi yang disajikan secara lisan dan tulis dengan tujuan untuk kesenangan.</v>
      </c>
    </row>
    <row r="21" spans="2:84" ht="51.75" customHeight="1">
      <c r="B21" s="109">
        <v>17</v>
      </c>
      <c r="C21" s="110">
        <f>SISWA!B22</f>
        <v>0</v>
      </c>
      <c r="D21" s="111" t="str">
        <f>SISWA!E22</f>
        <v>Anak 17</v>
      </c>
      <c r="E21" s="631">
        <v>99</v>
      </c>
      <c r="F21" s="631">
        <v>99</v>
      </c>
      <c r="G21" s="631">
        <v>99</v>
      </c>
      <c r="H21" s="631">
        <v>99</v>
      </c>
      <c r="I21" s="631">
        <v>99</v>
      </c>
      <c r="J21" s="730"/>
      <c r="K21" s="730"/>
      <c r="L21" s="731"/>
      <c r="M21" s="731"/>
      <c r="N21" s="731"/>
      <c r="O21" s="731"/>
      <c r="P21" s="731"/>
      <c r="Q21" s="730"/>
      <c r="R21" s="730"/>
      <c r="S21" s="610"/>
      <c r="T21" s="730"/>
      <c r="U21" s="631">
        <v>99</v>
      </c>
      <c r="V21" s="631">
        <v>99</v>
      </c>
      <c r="W21" s="730"/>
      <c r="X21" s="730"/>
      <c r="Y21" s="730"/>
      <c r="Z21" s="610"/>
      <c r="AA21" s="631">
        <v>79.5</v>
      </c>
      <c r="AB21" s="631">
        <v>79.5</v>
      </c>
      <c r="AC21" s="631">
        <v>99</v>
      </c>
      <c r="AD21" s="631">
        <v>99</v>
      </c>
      <c r="AE21" s="631">
        <v>99</v>
      </c>
      <c r="AF21" s="605"/>
      <c r="AG21" s="605"/>
      <c r="AH21" s="518"/>
      <c r="AI21" s="607">
        <f t="shared" si="15"/>
        <v>92.5</v>
      </c>
      <c r="AJ21" s="607">
        <f t="shared" si="16"/>
        <v>94.125</v>
      </c>
      <c r="AK21" s="607">
        <f t="shared" si="17"/>
        <v>99</v>
      </c>
      <c r="AL21" s="607">
        <f t="shared" si="18"/>
        <v>99</v>
      </c>
      <c r="AM21" s="607">
        <f t="shared" si="19"/>
        <v>99</v>
      </c>
      <c r="AN21" s="607" t="str">
        <f t="shared" si="20"/>
        <v/>
      </c>
      <c r="AO21" s="608"/>
      <c r="AP21" s="528"/>
      <c r="AQ21" s="528"/>
      <c r="AR21" s="528"/>
      <c r="AS21" s="528"/>
      <c r="AT21" s="528"/>
      <c r="AU21" s="302">
        <f t="shared" si="9"/>
        <v>97</v>
      </c>
      <c r="AV21" s="303" t="str">
        <f>IF(AU21&gt;KKM!$G$10,"A",IF(AU21&gt;KKM!$H$10,"B",IF(AU21&gt;=KKM!$I$10,"C","D")))</f>
        <v>A</v>
      </c>
      <c r="AW21" s="523">
        <f t="shared" si="10"/>
        <v>99</v>
      </c>
      <c r="AX21" s="115" t="str">
        <f>IF(AW21&gt;KKM!$G$10," sangat baik ",IF(AW21&gt;KKM!$H$10," baik ",IF(AW21&gt;=KKM!$I$10," cukup baik "," perlu bimbingan ")))</f>
        <v xml:space="preserve"> sangat baik </v>
      </c>
      <c r="AY21" s="524">
        <f t="shared" si="11"/>
        <v>92.5</v>
      </c>
      <c r="AZ21" s="115" t="str">
        <f>IF(AY21&gt;KKM!$G$10," sangat baik ",IF(AY21&gt;KKM!$H$10," baik ",IF(AY21&gt;=KKM!$I$10," cukup baik "," perlu bimbingan ")))</f>
        <v xml:space="preserve"> sangat baik </v>
      </c>
      <c r="BA21" s="301" t="str">
        <f t="shared" si="21"/>
        <v>Anak 17 sangat baik  dalam menggali pengetahuan baru yang terdapat pada teks nonfiksi., dan  sangat baik  dalam menggali informasi dari seorang tokoh melalui wawancara menggunakan daftar pertanyaan.</v>
      </c>
      <c r="BB21" s="306"/>
      <c r="BC21" s="307" t="str">
        <f t="shared" si="12"/>
        <v xml:space="preserve"> sangat baik  dalam menggali pengetahuan baru yang terdapat pada teks nonfiksi.</v>
      </c>
      <c r="BD21" s="307" t="str">
        <f t="shared" si="13"/>
        <v xml:space="preserve"> sangat baik  dalam menggali informasi dari seorang tokoh melalui wawancara menggunakan daftar pertanyaan.</v>
      </c>
      <c r="BE21" s="307" t="str">
        <f t="shared" si="22"/>
        <v xml:space="preserve"> sangat baik  dalam menggali pengetahuan baru yang terdapat pada teks nonfiksi., dan  sangat baik  dalam menggali informasi dari seorang tokoh melalui wawancara menggunakan daftar pertanyaan.</v>
      </c>
      <c r="BF21" s="307" t="str">
        <f t="shared" si="23"/>
        <v xml:space="preserve"> </v>
      </c>
      <c r="BG21" s="308" t="str">
        <f t="shared" si="24"/>
        <v xml:space="preserve"> sangat baik  dalam menggali pengetahuan baru yang terdapat pada teks nonfiksi., dan  sangat baik  dalam menggali informasi dari seorang tokoh melalui wawancara menggunakan daftar pertanyaan.</v>
      </c>
      <c r="BH21" s="301" t="str">
        <f t="shared" si="14"/>
        <v>Anak 17 sangat baik  dalam menggali pengetahuan baru yang terdapat pada teks nonfiksi., dan  sangat baik  dalam menggali informasi dari seorang tokoh melalui wawancara menggunakan daftar pertanyaan.</v>
      </c>
      <c r="BI21" s="120"/>
      <c r="BQ21" s="408">
        <f t="shared" si="34"/>
        <v>97</v>
      </c>
      <c r="BT21" s="302">
        <f t="shared" si="25"/>
        <v>99</v>
      </c>
      <c r="BU21" s="303" t="str">
        <f>IF(BT21&gt;KKM!$G$10,"A",IF(BT21&gt;KKM!$H$10,"B",IF(BT21&gt;=KKM!$I$10,"C","D")))</f>
        <v>A</v>
      </c>
      <c r="BV21" s="523">
        <f t="shared" si="26"/>
        <v>99</v>
      </c>
      <c r="BW21" s="115" t="str">
        <f>IF(BV21&gt;KKM!$G$10," sangat baik ",IF(BV21&gt;KKM!$H$10," baik ",IF(BV21&gt;=KKM!$I$10," cukup baik "," perlu bimbingan ")))</f>
        <v xml:space="preserve"> sangat baik </v>
      </c>
      <c r="BX21" s="524">
        <f t="shared" si="27"/>
        <v>99</v>
      </c>
      <c r="BY21" s="115" t="str">
        <f>IF(BX21&gt;KKM!$G$10," sangat baik ",IF(BX21&gt;KKM!$H$10," baik ",IF(BX21&gt;=KKM!$I$10," cukup baik "," perlu bimbingan ")))</f>
        <v xml:space="preserve"> sangat baik </v>
      </c>
      <c r="BZ21" s="301" t="str">
        <f t="shared" si="35"/>
        <v>Anak 17 sangat baik  dalam menggali isi dan amanat puisi yang disajikan secara lisan dan tulis dengan tujuan untuk kesenangan.</v>
      </c>
      <c r="CA21" s="307" t="str">
        <f t="shared" si="28"/>
        <v xml:space="preserve"> sangat baik  dalam menggali isi dan amanat puisi yang disajikan secara lisan dan tulis dengan tujuan untuk kesenangan.</v>
      </c>
      <c r="CB21" s="307" t="str">
        <f t="shared" si="29"/>
        <v xml:space="preserve"> sangat baik  dalam menggali isi dan amanat puisi yang disajikan secara lisan dan tulis dengan tujuan untuk kesenangan.</v>
      </c>
      <c r="CC21"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1" s="307" t="str">
        <f t="shared" si="31"/>
        <v xml:space="preserve"> sangat baik  dalam menggali isi dan amanat puisi yang disajikan secara lisan dan tulis dengan tujuan untuk kesenangan.</v>
      </c>
      <c r="CE21" s="308" t="str">
        <f t="shared" si="32"/>
        <v xml:space="preserve"> sangat baik  dalam menggali isi dan amanat puisi yang disajikan secara lisan dan tulis dengan tujuan untuk kesenangan.</v>
      </c>
      <c r="CF21" s="301" t="str">
        <f t="shared" si="33"/>
        <v>Anak 17 sangat baik  dalam menggali isi dan amanat puisi yang disajikan secara lisan dan tulis dengan tujuan untuk kesenangan.</v>
      </c>
    </row>
    <row r="22" spans="2:84" ht="51.75" customHeight="1">
      <c r="B22" s="109">
        <v>18</v>
      </c>
      <c r="C22" s="110">
        <f>SISWA!B23</f>
        <v>0</v>
      </c>
      <c r="D22" s="111" t="str">
        <f>SISWA!E23</f>
        <v>Anak 18</v>
      </c>
      <c r="E22" s="631">
        <v>99</v>
      </c>
      <c r="F22" s="631">
        <v>99</v>
      </c>
      <c r="G22" s="631">
        <v>99</v>
      </c>
      <c r="H22" s="631">
        <v>99</v>
      </c>
      <c r="I22" s="631">
        <v>99</v>
      </c>
      <c r="J22" s="730"/>
      <c r="K22" s="730"/>
      <c r="L22" s="731"/>
      <c r="M22" s="731"/>
      <c r="N22" s="731"/>
      <c r="O22" s="731"/>
      <c r="P22" s="731"/>
      <c r="Q22" s="730"/>
      <c r="R22" s="730"/>
      <c r="S22" s="610"/>
      <c r="T22" s="730"/>
      <c r="U22" s="631">
        <v>99</v>
      </c>
      <c r="V22" s="631">
        <v>99</v>
      </c>
      <c r="W22" s="730"/>
      <c r="X22" s="730"/>
      <c r="Y22" s="730"/>
      <c r="Z22" s="610"/>
      <c r="AA22" s="631">
        <v>79.5</v>
      </c>
      <c r="AB22" s="631">
        <v>89</v>
      </c>
      <c r="AC22" s="631">
        <v>99</v>
      </c>
      <c r="AD22" s="631">
        <v>99</v>
      </c>
      <c r="AE22" s="631">
        <v>99</v>
      </c>
      <c r="AF22" s="605"/>
      <c r="AG22" s="605"/>
      <c r="AH22" s="518"/>
      <c r="AI22" s="607">
        <f t="shared" si="15"/>
        <v>92.5</v>
      </c>
      <c r="AJ22" s="607">
        <f t="shared" si="16"/>
        <v>96.5</v>
      </c>
      <c r="AK22" s="607">
        <f t="shared" si="17"/>
        <v>99</v>
      </c>
      <c r="AL22" s="607">
        <f t="shared" si="18"/>
        <v>99</v>
      </c>
      <c r="AM22" s="607">
        <f t="shared" si="19"/>
        <v>99</v>
      </c>
      <c r="AN22" s="607" t="str">
        <f t="shared" si="20"/>
        <v/>
      </c>
      <c r="AO22" s="608"/>
      <c r="AP22" s="528"/>
      <c r="AQ22" s="528"/>
      <c r="AR22" s="528"/>
      <c r="AS22" s="528"/>
      <c r="AT22" s="528"/>
      <c r="AU22" s="302">
        <f t="shared" si="9"/>
        <v>97</v>
      </c>
      <c r="AV22" s="303" t="str">
        <f>IF(AU22&gt;KKM!$G$10,"A",IF(AU22&gt;KKM!$H$10,"B",IF(AU22&gt;=KKM!$I$10,"C","D")))</f>
        <v>A</v>
      </c>
      <c r="AW22" s="523">
        <f t="shared" si="10"/>
        <v>99</v>
      </c>
      <c r="AX22" s="115" t="str">
        <f>IF(AW22&gt;KKM!$G$10," sangat baik ",IF(AW22&gt;KKM!$H$10," baik ",IF(AW22&gt;=KKM!$I$10," cukup baik "," perlu bimbingan ")))</f>
        <v xml:space="preserve"> sangat baik </v>
      </c>
      <c r="AY22" s="524">
        <f t="shared" si="11"/>
        <v>92.5</v>
      </c>
      <c r="AZ22" s="115" t="str">
        <f>IF(AY22&gt;KKM!$G$10," sangat baik ",IF(AY22&gt;KKM!$H$10," baik ",IF(AY22&gt;=KKM!$I$10," cukup baik "," perlu bimbingan ")))</f>
        <v xml:space="preserve"> sangat baik </v>
      </c>
      <c r="BA22" s="301" t="str">
        <f t="shared" si="21"/>
        <v>Anak 18 sangat baik  dalam menggali pengetahuan baru yang terdapat pada teks nonfiksi., dan  sangat baik  dalam menggali informasi dari seorang tokoh melalui wawancara menggunakan daftar pertanyaan.</v>
      </c>
      <c r="BB22" s="306"/>
      <c r="BC22" s="307" t="str">
        <f t="shared" si="12"/>
        <v xml:space="preserve"> sangat baik  dalam menggali pengetahuan baru yang terdapat pada teks nonfiksi.</v>
      </c>
      <c r="BD22" s="307" t="str">
        <f t="shared" si="13"/>
        <v xml:space="preserve"> sangat baik  dalam menggali informasi dari seorang tokoh melalui wawancara menggunakan daftar pertanyaan.</v>
      </c>
      <c r="BE22" s="307" t="str">
        <f t="shared" si="22"/>
        <v xml:space="preserve"> sangat baik  dalam menggali pengetahuan baru yang terdapat pada teks nonfiksi., dan  sangat baik  dalam menggali informasi dari seorang tokoh melalui wawancara menggunakan daftar pertanyaan.</v>
      </c>
      <c r="BF22" s="307" t="str">
        <f t="shared" si="23"/>
        <v xml:space="preserve"> </v>
      </c>
      <c r="BG22" s="308" t="str">
        <f t="shared" si="24"/>
        <v xml:space="preserve"> sangat baik  dalam menggali pengetahuan baru yang terdapat pada teks nonfiksi., dan  sangat baik  dalam menggali informasi dari seorang tokoh melalui wawancara menggunakan daftar pertanyaan.</v>
      </c>
      <c r="BH22" s="301" t="str">
        <f t="shared" si="14"/>
        <v>Anak 18 sangat baik  dalam menggali pengetahuan baru yang terdapat pada teks nonfiksi., dan  sangat baik  dalam menggali informasi dari seorang tokoh melalui wawancara menggunakan daftar pertanyaan.</v>
      </c>
      <c r="BI22" s="120"/>
      <c r="BQ22" s="408">
        <f t="shared" si="34"/>
        <v>97</v>
      </c>
      <c r="BT22" s="302">
        <f t="shared" si="25"/>
        <v>99</v>
      </c>
      <c r="BU22" s="303" t="str">
        <f>IF(BT22&gt;KKM!$G$10,"A",IF(BT22&gt;KKM!$H$10,"B",IF(BT22&gt;=KKM!$I$10,"C","D")))</f>
        <v>A</v>
      </c>
      <c r="BV22" s="523">
        <f t="shared" si="26"/>
        <v>99</v>
      </c>
      <c r="BW22" s="115" t="str">
        <f>IF(BV22&gt;KKM!$G$10," sangat baik ",IF(BV22&gt;KKM!$H$10," baik ",IF(BV22&gt;=KKM!$I$10," cukup baik "," perlu bimbingan ")))</f>
        <v xml:space="preserve"> sangat baik </v>
      </c>
      <c r="BX22" s="524">
        <f t="shared" si="27"/>
        <v>99</v>
      </c>
      <c r="BY22" s="115" t="str">
        <f>IF(BX22&gt;KKM!$G$10," sangat baik ",IF(BX22&gt;KKM!$H$10," baik ",IF(BX22&gt;=KKM!$I$10," cukup baik "," perlu bimbingan ")))</f>
        <v xml:space="preserve"> sangat baik </v>
      </c>
      <c r="BZ22" s="301" t="str">
        <f t="shared" si="35"/>
        <v>Anak 18 sangat baik  dalam menggali isi dan amanat puisi yang disajikan secara lisan dan tulis dengan tujuan untuk kesenangan.</v>
      </c>
      <c r="CA22" s="307" t="str">
        <f t="shared" si="28"/>
        <v xml:space="preserve"> sangat baik  dalam menggali isi dan amanat puisi yang disajikan secara lisan dan tulis dengan tujuan untuk kesenangan.</v>
      </c>
      <c r="CB22" s="307" t="str">
        <f t="shared" si="29"/>
        <v xml:space="preserve"> sangat baik  dalam menggali isi dan amanat puisi yang disajikan secara lisan dan tulis dengan tujuan untuk kesenangan.</v>
      </c>
      <c r="CC22"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2" s="307" t="str">
        <f t="shared" si="31"/>
        <v xml:space="preserve"> sangat baik  dalam menggali isi dan amanat puisi yang disajikan secara lisan dan tulis dengan tujuan untuk kesenangan.</v>
      </c>
      <c r="CE22" s="308" t="str">
        <f t="shared" si="32"/>
        <v xml:space="preserve"> sangat baik  dalam menggali isi dan amanat puisi yang disajikan secara lisan dan tulis dengan tujuan untuk kesenangan.</v>
      </c>
      <c r="CF22" s="301" t="str">
        <f t="shared" si="33"/>
        <v>Anak 18 sangat baik  dalam menggali isi dan amanat puisi yang disajikan secara lisan dan tulis dengan tujuan untuk kesenangan.</v>
      </c>
    </row>
    <row r="23" spans="2:84" ht="51.75" customHeight="1">
      <c r="B23" s="109">
        <v>19</v>
      </c>
      <c r="C23" s="110">
        <f>SISWA!B24</f>
        <v>0</v>
      </c>
      <c r="D23" s="111" t="str">
        <f>SISWA!E24</f>
        <v>Anak 19</v>
      </c>
      <c r="E23" s="631">
        <v>99</v>
      </c>
      <c r="F23" s="631">
        <v>99</v>
      </c>
      <c r="G23" s="631">
        <v>99</v>
      </c>
      <c r="H23" s="631">
        <v>99</v>
      </c>
      <c r="I23" s="631">
        <v>99</v>
      </c>
      <c r="J23" s="730"/>
      <c r="K23" s="730"/>
      <c r="L23" s="731"/>
      <c r="M23" s="731"/>
      <c r="N23" s="731"/>
      <c r="O23" s="731"/>
      <c r="P23" s="731"/>
      <c r="Q23" s="730"/>
      <c r="R23" s="730"/>
      <c r="S23" s="610"/>
      <c r="T23" s="730"/>
      <c r="U23" s="631">
        <v>99</v>
      </c>
      <c r="V23" s="631">
        <v>99</v>
      </c>
      <c r="W23" s="730"/>
      <c r="X23" s="730"/>
      <c r="Y23" s="730"/>
      <c r="Z23" s="610"/>
      <c r="AA23" s="631">
        <v>89</v>
      </c>
      <c r="AB23" s="631">
        <v>81</v>
      </c>
      <c r="AC23" s="631">
        <v>99</v>
      </c>
      <c r="AD23" s="631">
        <v>99</v>
      </c>
      <c r="AE23" s="631">
        <v>99</v>
      </c>
      <c r="AF23" s="605"/>
      <c r="AG23" s="605"/>
      <c r="AH23" s="518"/>
      <c r="AI23" s="607">
        <f t="shared" si="15"/>
        <v>95.666666666666671</v>
      </c>
      <c r="AJ23" s="607">
        <f t="shared" si="16"/>
        <v>94.5</v>
      </c>
      <c r="AK23" s="607">
        <f t="shared" si="17"/>
        <v>99</v>
      </c>
      <c r="AL23" s="607">
        <f t="shared" si="18"/>
        <v>99</v>
      </c>
      <c r="AM23" s="607">
        <f t="shared" si="19"/>
        <v>99</v>
      </c>
      <c r="AN23" s="607" t="str">
        <f t="shared" si="20"/>
        <v/>
      </c>
      <c r="AO23" s="608"/>
      <c r="AP23" s="528"/>
      <c r="AQ23" s="528"/>
      <c r="AR23" s="528"/>
      <c r="AS23" s="528"/>
      <c r="AT23" s="528"/>
      <c r="AU23" s="302">
        <f t="shared" si="9"/>
        <v>97</v>
      </c>
      <c r="AV23" s="303" t="str">
        <f>IF(AU23&gt;KKM!$G$10,"A",IF(AU23&gt;KKM!$H$10,"B",IF(AU23&gt;=KKM!$I$10,"C","D")))</f>
        <v>A</v>
      </c>
      <c r="AW23" s="523">
        <f t="shared" si="10"/>
        <v>99</v>
      </c>
      <c r="AX23" s="115" t="str">
        <f>IF(AW23&gt;KKM!$G$10," sangat baik ",IF(AW23&gt;KKM!$H$10," baik ",IF(AW23&gt;=KKM!$I$10," cukup baik "," perlu bimbingan ")))</f>
        <v xml:space="preserve"> sangat baik </v>
      </c>
      <c r="AY23" s="524">
        <f t="shared" si="11"/>
        <v>94.5</v>
      </c>
      <c r="AZ23" s="115" t="str">
        <f>IF(AY23&gt;KKM!$G$10," sangat baik ",IF(AY23&gt;KKM!$H$10," baik ",IF(AY23&gt;=KKM!$I$10," cukup baik "," perlu bimbingan ")))</f>
        <v xml:space="preserve"> sangat baik </v>
      </c>
      <c r="BA23" s="301" t="str">
        <f t="shared" si="21"/>
        <v>Anak 19 sangat baik  dalam menggali pengetahuan baru yang terdapat pada teks nonfiksi., dan  sangat baik  dalam menggali isi dan amanat puisi yang disajikan secara lisan dan tulis dengan tujuan untuk kesenangan.</v>
      </c>
      <c r="BB23" s="306"/>
      <c r="BC23" s="307" t="str">
        <f t="shared" si="12"/>
        <v xml:space="preserve"> sangat baik  dalam menggali pengetahuan baru yang terdapat pada teks nonfiksi.</v>
      </c>
      <c r="BD23" s="307" t="str">
        <f t="shared" si="13"/>
        <v xml:space="preserve"> sangat baik  dalam menggali isi dan amanat puisi yang disajikan secara lisan dan tulis dengan tujuan untuk kesenangan.</v>
      </c>
      <c r="BE23" s="307" t="str">
        <f t="shared" si="22"/>
        <v xml:space="preserve"> sangat baik  dalam menggali pengetahuan baru yang terdapat pada teks nonfiksi., dan  sangat baik  dalam menggali isi dan amanat puisi yang disajikan secara lisan dan tulis dengan tujuan untuk kesenangan.</v>
      </c>
      <c r="BF23" s="307" t="str">
        <f t="shared" si="23"/>
        <v xml:space="preserve"> </v>
      </c>
      <c r="BG23" s="308" t="str">
        <f t="shared" si="24"/>
        <v xml:space="preserve"> sangat baik  dalam menggali pengetahuan baru yang terdapat pada teks nonfiksi., dan  sangat baik  dalam menggali isi dan amanat puisi yang disajikan secara lisan dan tulis dengan tujuan untuk kesenangan.</v>
      </c>
      <c r="BH23" s="301" t="str">
        <f t="shared" si="14"/>
        <v>Anak 19 sangat baik  dalam menggali pengetahuan baru yang terdapat pada teks nonfiksi., dan  sangat baik  dalam menggali isi dan amanat puisi yang disajikan secara lisan dan tulis dengan tujuan untuk kesenangan.</v>
      </c>
      <c r="BI23" s="120"/>
      <c r="BQ23" s="408">
        <f t="shared" si="34"/>
        <v>97</v>
      </c>
      <c r="BT23" s="302">
        <f t="shared" si="25"/>
        <v>99</v>
      </c>
      <c r="BU23" s="303" t="str">
        <f>IF(BT23&gt;KKM!$G$10,"A",IF(BT23&gt;KKM!$H$10,"B",IF(BT23&gt;=KKM!$I$10,"C","D")))</f>
        <v>A</v>
      </c>
      <c r="BV23" s="523">
        <f t="shared" si="26"/>
        <v>99</v>
      </c>
      <c r="BW23" s="115" t="str">
        <f>IF(BV23&gt;KKM!$G$10," sangat baik ",IF(BV23&gt;KKM!$H$10," baik ",IF(BV23&gt;=KKM!$I$10," cukup baik "," perlu bimbingan ")))</f>
        <v xml:space="preserve"> sangat baik </v>
      </c>
      <c r="BX23" s="524">
        <f t="shared" si="27"/>
        <v>99</v>
      </c>
      <c r="BY23" s="115" t="str">
        <f>IF(BX23&gt;KKM!$G$10," sangat baik ",IF(BX23&gt;KKM!$H$10," baik ",IF(BX23&gt;=KKM!$I$10," cukup baik "," perlu bimbingan ")))</f>
        <v xml:space="preserve"> sangat baik </v>
      </c>
      <c r="BZ23" s="301" t="str">
        <f t="shared" si="35"/>
        <v>Anak 19 sangat baik  dalam menggali isi dan amanat puisi yang disajikan secara lisan dan tulis dengan tujuan untuk kesenangan.</v>
      </c>
      <c r="CA23" s="307" t="str">
        <f t="shared" si="28"/>
        <v xml:space="preserve"> sangat baik  dalam menggali isi dan amanat puisi yang disajikan secara lisan dan tulis dengan tujuan untuk kesenangan.</v>
      </c>
      <c r="CB23" s="307" t="str">
        <f t="shared" si="29"/>
        <v xml:space="preserve"> sangat baik  dalam menggali isi dan amanat puisi yang disajikan secara lisan dan tulis dengan tujuan untuk kesenangan.</v>
      </c>
      <c r="CC23"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3" s="307" t="str">
        <f t="shared" si="31"/>
        <v xml:space="preserve"> sangat baik  dalam menggali isi dan amanat puisi yang disajikan secara lisan dan tulis dengan tujuan untuk kesenangan.</v>
      </c>
      <c r="CE23" s="308" t="str">
        <f t="shared" si="32"/>
        <v xml:space="preserve"> sangat baik  dalam menggali isi dan amanat puisi yang disajikan secara lisan dan tulis dengan tujuan untuk kesenangan.</v>
      </c>
      <c r="CF23" s="301" t="str">
        <f t="shared" si="33"/>
        <v>Anak 19 sangat baik  dalam menggali isi dan amanat puisi yang disajikan secara lisan dan tulis dengan tujuan untuk kesenangan.</v>
      </c>
    </row>
    <row r="24" spans="2:84" ht="51.75" customHeight="1">
      <c r="B24" s="109">
        <v>20</v>
      </c>
      <c r="C24" s="110">
        <f>SISWA!B25</f>
        <v>0</v>
      </c>
      <c r="D24" s="111" t="str">
        <f>SISWA!E25</f>
        <v>Anak 20</v>
      </c>
      <c r="E24" s="631">
        <v>99</v>
      </c>
      <c r="F24" s="631">
        <v>99</v>
      </c>
      <c r="G24" s="631">
        <v>99</v>
      </c>
      <c r="H24" s="631">
        <v>99</v>
      </c>
      <c r="I24" s="631">
        <v>99</v>
      </c>
      <c r="J24" s="730"/>
      <c r="K24" s="730"/>
      <c r="L24" s="731"/>
      <c r="M24" s="731"/>
      <c r="N24" s="731"/>
      <c r="O24" s="731"/>
      <c r="P24" s="731"/>
      <c r="Q24" s="730"/>
      <c r="R24" s="730"/>
      <c r="S24" s="610"/>
      <c r="T24" s="730"/>
      <c r="U24" s="631">
        <v>99</v>
      </c>
      <c r="V24" s="631">
        <v>99</v>
      </c>
      <c r="W24" s="730"/>
      <c r="X24" s="730"/>
      <c r="Y24" s="730"/>
      <c r="Z24" s="610"/>
      <c r="AA24" s="631">
        <v>81</v>
      </c>
      <c r="AB24" s="631">
        <v>76.5</v>
      </c>
      <c r="AC24" s="631">
        <v>99</v>
      </c>
      <c r="AD24" s="631">
        <v>99</v>
      </c>
      <c r="AE24" s="631">
        <v>99</v>
      </c>
      <c r="AF24" s="605"/>
      <c r="AG24" s="605"/>
      <c r="AH24" s="518"/>
      <c r="AI24" s="607">
        <f t="shared" si="15"/>
        <v>93</v>
      </c>
      <c r="AJ24" s="607">
        <f t="shared" si="16"/>
        <v>93.375</v>
      </c>
      <c r="AK24" s="607">
        <f t="shared" si="17"/>
        <v>99</v>
      </c>
      <c r="AL24" s="607">
        <f t="shared" si="18"/>
        <v>99</v>
      </c>
      <c r="AM24" s="607">
        <f t="shared" si="19"/>
        <v>99</v>
      </c>
      <c r="AN24" s="607" t="str">
        <f t="shared" si="20"/>
        <v/>
      </c>
      <c r="AO24" s="608"/>
      <c r="AP24" s="528"/>
      <c r="AQ24" s="528"/>
      <c r="AR24" s="528"/>
      <c r="AS24" s="528"/>
      <c r="AT24" s="528"/>
      <c r="AU24" s="302">
        <f t="shared" si="9"/>
        <v>97</v>
      </c>
      <c r="AV24" s="303" t="str">
        <f>IF(AU24&gt;KKM!$G$10,"A",IF(AU24&gt;KKM!$H$10,"B",IF(AU24&gt;=KKM!$I$10,"C","D")))</f>
        <v>A</v>
      </c>
      <c r="AW24" s="523">
        <f t="shared" si="10"/>
        <v>99</v>
      </c>
      <c r="AX24" s="115" t="str">
        <f>IF(AW24&gt;KKM!$G$10," sangat baik ",IF(AW24&gt;KKM!$H$10," baik ",IF(AW24&gt;=KKM!$I$10," cukup baik "," perlu bimbingan ")))</f>
        <v xml:space="preserve"> sangat baik </v>
      </c>
      <c r="AY24" s="524">
        <f t="shared" si="11"/>
        <v>93</v>
      </c>
      <c r="AZ24" s="115" t="str">
        <f>IF(AY24&gt;KKM!$G$10," sangat baik ",IF(AY24&gt;KKM!$H$10," baik ",IF(AY24&gt;=KKM!$I$10," cukup baik "," perlu bimbingan ")))</f>
        <v xml:space="preserve"> sangat baik </v>
      </c>
      <c r="BA24" s="301" t="str">
        <f t="shared" si="21"/>
        <v>Anak 20 sangat baik  dalam menggali pengetahuan baru yang terdapat pada teks nonfiksi., dan  sangat baik  dalam menggali informasi dari seorang tokoh melalui wawancara menggunakan daftar pertanyaan.</v>
      </c>
      <c r="BB24" s="306"/>
      <c r="BC24" s="307" t="str">
        <f t="shared" si="12"/>
        <v xml:space="preserve"> sangat baik  dalam menggali pengetahuan baru yang terdapat pada teks nonfiksi.</v>
      </c>
      <c r="BD24" s="307" t="str">
        <f t="shared" si="13"/>
        <v xml:space="preserve"> sangat baik  dalam menggali informasi dari seorang tokoh melalui wawancara menggunakan daftar pertanyaan.</v>
      </c>
      <c r="BE24" s="307" t="str">
        <f t="shared" si="22"/>
        <v xml:space="preserve"> sangat baik  dalam menggali pengetahuan baru yang terdapat pada teks nonfiksi., dan  sangat baik  dalam menggali informasi dari seorang tokoh melalui wawancara menggunakan daftar pertanyaan.</v>
      </c>
      <c r="BF24" s="307" t="str">
        <f t="shared" si="23"/>
        <v xml:space="preserve"> </v>
      </c>
      <c r="BG24" s="308" t="str">
        <f t="shared" si="24"/>
        <v xml:space="preserve"> sangat baik  dalam menggali pengetahuan baru yang terdapat pada teks nonfiksi., dan  sangat baik  dalam menggali informasi dari seorang tokoh melalui wawancara menggunakan daftar pertanyaan.</v>
      </c>
      <c r="BH24" s="301" t="str">
        <f t="shared" si="14"/>
        <v>Anak 20 sangat baik  dalam menggali pengetahuan baru yang terdapat pada teks nonfiksi., dan  sangat baik  dalam menggali informasi dari seorang tokoh melalui wawancara menggunakan daftar pertanyaan.</v>
      </c>
      <c r="BI24" s="120"/>
      <c r="BQ24" s="408">
        <f t="shared" si="34"/>
        <v>97</v>
      </c>
      <c r="BT24" s="302">
        <f t="shared" si="25"/>
        <v>99</v>
      </c>
      <c r="BU24" s="303" t="str">
        <f>IF(BT24&gt;KKM!$G$10,"A",IF(BT24&gt;KKM!$H$10,"B",IF(BT24&gt;=KKM!$I$10,"C","D")))</f>
        <v>A</v>
      </c>
      <c r="BV24" s="523">
        <f t="shared" si="26"/>
        <v>99</v>
      </c>
      <c r="BW24" s="115" t="str">
        <f>IF(BV24&gt;KKM!$G$10," sangat baik ",IF(BV24&gt;KKM!$H$10," baik ",IF(BV24&gt;=KKM!$I$10," cukup baik "," perlu bimbingan ")))</f>
        <v xml:space="preserve"> sangat baik </v>
      </c>
      <c r="BX24" s="524">
        <f t="shared" si="27"/>
        <v>99</v>
      </c>
      <c r="BY24" s="115" t="str">
        <f>IF(BX24&gt;KKM!$G$10," sangat baik ",IF(BX24&gt;KKM!$H$10," baik ",IF(BX24&gt;=KKM!$I$10," cukup baik "," perlu bimbingan ")))</f>
        <v xml:space="preserve"> sangat baik </v>
      </c>
      <c r="BZ24" s="301" t="str">
        <f t="shared" si="35"/>
        <v>Anak 20 sangat baik  dalam menggali isi dan amanat puisi yang disajikan secara lisan dan tulis dengan tujuan untuk kesenangan.</v>
      </c>
      <c r="CA24" s="307" t="str">
        <f t="shared" si="28"/>
        <v xml:space="preserve"> sangat baik  dalam menggali isi dan amanat puisi yang disajikan secara lisan dan tulis dengan tujuan untuk kesenangan.</v>
      </c>
      <c r="CB24" s="307" t="str">
        <f t="shared" si="29"/>
        <v xml:space="preserve"> sangat baik  dalam menggali isi dan amanat puisi yang disajikan secara lisan dan tulis dengan tujuan untuk kesenangan.</v>
      </c>
      <c r="CC24"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4" s="307" t="str">
        <f t="shared" si="31"/>
        <v xml:space="preserve"> sangat baik  dalam menggali isi dan amanat puisi yang disajikan secara lisan dan tulis dengan tujuan untuk kesenangan.</v>
      </c>
      <c r="CE24" s="308" t="str">
        <f t="shared" si="32"/>
        <v xml:space="preserve"> sangat baik  dalam menggali isi dan amanat puisi yang disajikan secara lisan dan tulis dengan tujuan untuk kesenangan.</v>
      </c>
      <c r="CF24" s="301" t="str">
        <f t="shared" si="33"/>
        <v>Anak 20 sangat baik  dalam menggali isi dan amanat puisi yang disajikan secara lisan dan tulis dengan tujuan untuk kesenangan.</v>
      </c>
    </row>
    <row r="25" spans="2:84" ht="51.75" customHeight="1">
      <c r="B25" s="109">
        <v>21</v>
      </c>
      <c r="C25" s="110">
        <f>SISWA!B26</f>
        <v>0</v>
      </c>
      <c r="D25" s="111" t="str">
        <f>SISWA!E26</f>
        <v>Anak 21</v>
      </c>
      <c r="E25" s="631">
        <v>99</v>
      </c>
      <c r="F25" s="631">
        <v>99</v>
      </c>
      <c r="G25" s="631">
        <v>99</v>
      </c>
      <c r="H25" s="631">
        <v>99</v>
      </c>
      <c r="I25" s="631">
        <v>99</v>
      </c>
      <c r="J25" s="730"/>
      <c r="K25" s="730"/>
      <c r="L25" s="731"/>
      <c r="M25" s="731"/>
      <c r="N25" s="731"/>
      <c r="O25" s="731"/>
      <c r="P25" s="731"/>
      <c r="Q25" s="730"/>
      <c r="R25" s="730"/>
      <c r="S25" s="610"/>
      <c r="T25" s="730"/>
      <c r="U25" s="631">
        <v>99</v>
      </c>
      <c r="V25" s="631">
        <v>99</v>
      </c>
      <c r="W25" s="730"/>
      <c r="X25" s="730"/>
      <c r="Y25" s="730"/>
      <c r="Z25" s="610"/>
      <c r="AA25" s="631">
        <v>76.5</v>
      </c>
      <c r="AB25" s="631">
        <v>86.5</v>
      </c>
      <c r="AC25" s="631">
        <v>99</v>
      </c>
      <c r="AD25" s="631">
        <v>99</v>
      </c>
      <c r="AE25" s="631">
        <v>99</v>
      </c>
      <c r="AF25" s="605"/>
      <c r="AG25" s="605"/>
      <c r="AH25" s="518"/>
      <c r="AI25" s="607">
        <f t="shared" si="15"/>
        <v>91.5</v>
      </c>
      <c r="AJ25" s="607">
        <f t="shared" si="16"/>
        <v>95.875</v>
      </c>
      <c r="AK25" s="607">
        <f t="shared" si="17"/>
        <v>99</v>
      </c>
      <c r="AL25" s="607">
        <f t="shared" si="18"/>
        <v>99</v>
      </c>
      <c r="AM25" s="607">
        <f t="shared" si="19"/>
        <v>99</v>
      </c>
      <c r="AN25" s="607" t="str">
        <f t="shared" si="20"/>
        <v/>
      </c>
      <c r="AO25" s="608"/>
      <c r="AP25" s="528"/>
      <c r="AQ25" s="528"/>
      <c r="AR25" s="528"/>
      <c r="AS25" s="528"/>
      <c r="AT25" s="528"/>
      <c r="AU25" s="302">
        <f t="shared" si="9"/>
        <v>97</v>
      </c>
      <c r="AV25" s="303" t="str">
        <f>IF(AU25&gt;KKM!$G$10,"A",IF(AU25&gt;KKM!$H$10,"B",IF(AU25&gt;=KKM!$I$10,"C","D")))</f>
        <v>A</v>
      </c>
      <c r="AW25" s="523">
        <f t="shared" si="10"/>
        <v>99</v>
      </c>
      <c r="AX25" s="115" t="str">
        <f>IF(AW25&gt;KKM!$G$10," sangat baik ",IF(AW25&gt;KKM!$H$10," baik ",IF(AW25&gt;=KKM!$I$10," cukup baik "," perlu bimbingan ")))</f>
        <v xml:space="preserve"> sangat baik </v>
      </c>
      <c r="AY25" s="524">
        <f t="shared" si="11"/>
        <v>91.5</v>
      </c>
      <c r="AZ25" s="115" t="str">
        <f>IF(AY25&gt;KKM!$G$10," sangat baik ",IF(AY25&gt;KKM!$H$10," baik ",IF(AY25&gt;=KKM!$I$10," cukup baik "," perlu bimbingan ")))</f>
        <v xml:space="preserve"> sangat baik </v>
      </c>
      <c r="BA25" s="301" t="str">
        <f t="shared" si="21"/>
        <v>Anak 21 sangat baik  dalam menggali pengetahuan baru yang terdapat pada teks nonfiksi., dan  sangat baik  dalam menggali informasi dari seorang tokoh melalui wawancara menggunakan daftar pertanyaan.</v>
      </c>
      <c r="BB25" s="306"/>
      <c r="BC25" s="307" t="str">
        <f t="shared" si="12"/>
        <v xml:space="preserve"> sangat baik  dalam menggali pengetahuan baru yang terdapat pada teks nonfiksi.</v>
      </c>
      <c r="BD25" s="307" t="str">
        <f t="shared" si="13"/>
        <v xml:space="preserve"> sangat baik  dalam menggali informasi dari seorang tokoh melalui wawancara menggunakan daftar pertanyaan.</v>
      </c>
      <c r="BE25" s="307" t="str">
        <f t="shared" si="22"/>
        <v xml:space="preserve"> sangat baik  dalam menggali pengetahuan baru yang terdapat pada teks nonfiksi., dan  sangat baik  dalam menggali informasi dari seorang tokoh melalui wawancara menggunakan daftar pertanyaan.</v>
      </c>
      <c r="BF25" s="307" t="str">
        <f t="shared" si="23"/>
        <v xml:space="preserve"> </v>
      </c>
      <c r="BG25" s="308" t="str">
        <f t="shared" si="24"/>
        <v xml:space="preserve"> sangat baik  dalam menggali pengetahuan baru yang terdapat pada teks nonfiksi., dan  sangat baik  dalam menggali informasi dari seorang tokoh melalui wawancara menggunakan daftar pertanyaan.</v>
      </c>
      <c r="BH25" s="301" t="str">
        <f t="shared" si="14"/>
        <v>Anak 21 sangat baik  dalam menggali pengetahuan baru yang terdapat pada teks nonfiksi., dan  sangat baik  dalam menggali informasi dari seorang tokoh melalui wawancara menggunakan daftar pertanyaan.</v>
      </c>
      <c r="BI25" s="120"/>
      <c r="BQ25" s="408">
        <f t="shared" si="34"/>
        <v>97</v>
      </c>
      <c r="BT25" s="302">
        <f t="shared" si="25"/>
        <v>99</v>
      </c>
      <c r="BU25" s="303" t="str">
        <f>IF(BT25&gt;KKM!$G$10,"A",IF(BT25&gt;KKM!$H$10,"B",IF(BT25&gt;=KKM!$I$10,"C","D")))</f>
        <v>A</v>
      </c>
      <c r="BV25" s="523">
        <f t="shared" si="26"/>
        <v>99</v>
      </c>
      <c r="BW25" s="115" t="str">
        <f>IF(BV25&gt;KKM!$G$10," sangat baik ",IF(BV25&gt;KKM!$H$10," baik ",IF(BV25&gt;=KKM!$I$10," cukup baik "," perlu bimbingan ")))</f>
        <v xml:space="preserve"> sangat baik </v>
      </c>
      <c r="BX25" s="524">
        <f t="shared" si="27"/>
        <v>99</v>
      </c>
      <c r="BY25" s="115" t="str">
        <f>IF(BX25&gt;KKM!$G$10," sangat baik ",IF(BX25&gt;KKM!$H$10," baik ",IF(BX25&gt;=KKM!$I$10," cukup baik "," perlu bimbingan ")))</f>
        <v xml:space="preserve"> sangat baik </v>
      </c>
      <c r="BZ25" s="301" t="str">
        <f t="shared" si="35"/>
        <v>Anak 21 sangat baik  dalam menggali isi dan amanat puisi yang disajikan secara lisan dan tulis dengan tujuan untuk kesenangan.</v>
      </c>
      <c r="CA25" s="307" t="str">
        <f t="shared" si="28"/>
        <v xml:space="preserve"> sangat baik  dalam menggali isi dan amanat puisi yang disajikan secara lisan dan tulis dengan tujuan untuk kesenangan.</v>
      </c>
      <c r="CB25" s="307" t="str">
        <f t="shared" si="29"/>
        <v xml:space="preserve"> sangat baik  dalam menggali isi dan amanat puisi yang disajikan secara lisan dan tulis dengan tujuan untuk kesenangan.</v>
      </c>
      <c r="CC25"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5" s="307" t="str">
        <f t="shared" si="31"/>
        <v xml:space="preserve"> sangat baik  dalam menggali isi dan amanat puisi yang disajikan secara lisan dan tulis dengan tujuan untuk kesenangan.</v>
      </c>
      <c r="CE25" s="308" t="str">
        <f t="shared" si="32"/>
        <v xml:space="preserve"> sangat baik  dalam menggali isi dan amanat puisi yang disajikan secara lisan dan tulis dengan tujuan untuk kesenangan.</v>
      </c>
      <c r="CF25" s="301" t="str">
        <f t="shared" si="33"/>
        <v>Anak 21 sangat baik  dalam menggali isi dan amanat puisi yang disajikan secara lisan dan tulis dengan tujuan untuk kesenangan.</v>
      </c>
    </row>
    <row r="26" spans="2:84" ht="51.75" customHeight="1">
      <c r="B26" s="109">
        <v>22</v>
      </c>
      <c r="C26" s="110">
        <f>SISWA!B27</f>
        <v>0</v>
      </c>
      <c r="D26" s="111" t="str">
        <f>SISWA!E27</f>
        <v>Anak 22</v>
      </c>
      <c r="E26" s="631">
        <v>99</v>
      </c>
      <c r="F26" s="631">
        <v>99</v>
      </c>
      <c r="G26" s="631">
        <v>99</v>
      </c>
      <c r="H26" s="631">
        <v>99</v>
      </c>
      <c r="I26" s="631">
        <v>99</v>
      </c>
      <c r="J26" s="730"/>
      <c r="K26" s="730"/>
      <c r="L26" s="731"/>
      <c r="M26" s="731"/>
      <c r="N26" s="731"/>
      <c r="O26" s="731"/>
      <c r="P26" s="731"/>
      <c r="Q26" s="730"/>
      <c r="R26" s="730"/>
      <c r="S26" s="610"/>
      <c r="T26" s="730"/>
      <c r="U26" s="631">
        <v>99</v>
      </c>
      <c r="V26" s="631">
        <v>99</v>
      </c>
      <c r="W26" s="730"/>
      <c r="X26" s="730"/>
      <c r="Y26" s="730"/>
      <c r="Z26" s="610"/>
      <c r="AA26" s="631">
        <v>86.5</v>
      </c>
      <c r="AB26" s="631">
        <v>90</v>
      </c>
      <c r="AC26" s="631">
        <v>99</v>
      </c>
      <c r="AD26" s="631">
        <v>99</v>
      </c>
      <c r="AE26" s="631">
        <v>99</v>
      </c>
      <c r="AF26" s="605"/>
      <c r="AG26" s="605"/>
      <c r="AH26" s="518"/>
      <c r="AI26" s="607">
        <f t="shared" si="15"/>
        <v>94.833333333333329</v>
      </c>
      <c r="AJ26" s="607">
        <f t="shared" si="16"/>
        <v>96.75</v>
      </c>
      <c r="AK26" s="607">
        <f t="shared" si="17"/>
        <v>99</v>
      </c>
      <c r="AL26" s="607">
        <f t="shared" si="18"/>
        <v>99</v>
      </c>
      <c r="AM26" s="607">
        <f t="shared" si="19"/>
        <v>99</v>
      </c>
      <c r="AN26" s="607" t="str">
        <f t="shared" si="20"/>
        <v/>
      </c>
      <c r="AO26" s="608"/>
      <c r="AP26" s="528"/>
      <c r="AQ26" s="528"/>
      <c r="AR26" s="528"/>
      <c r="AS26" s="528"/>
      <c r="AT26" s="528"/>
      <c r="AU26" s="302">
        <f t="shared" si="9"/>
        <v>98</v>
      </c>
      <c r="AV26" s="303" t="str">
        <f>IF(AU26&gt;KKM!$G$10,"A",IF(AU26&gt;KKM!$H$10,"B",IF(AU26&gt;=KKM!$I$10,"C","D")))</f>
        <v>A</v>
      </c>
      <c r="AW26" s="523">
        <f t="shared" si="10"/>
        <v>99</v>
      </c>
      <c r="AX26" s="115" t="str">
        <f>IF(AW26&gt;KKM!$G$10," sangat baik ",IF(AW26&gt;KKM!$H$10," baik ",IF(AW26&gt;=KKM!$I$10," cukup baik "," perlu bimbingan ")))</f>
        <v xml:space="preserve"> sangat baik </v>
      </c>
      <c r="AY26" s="524">
        <f t="shared" si="11"/>
        <v>94.833333333333329</v>
      </c>
      <c r="AZ26" s="115" t="str">
        <f>IF(AY26&gt;KKM!$G$10," sangat baik ",IF(AY26&gt;KKM!$H$10," baik ",IF(AY26&gt;=KKM!$I$10," cukup baik "," perlu bimbingan ")))</f>
        <v xml:space="preserve"> sangat baik </v>
      </c>
      <c r="BA26" s="301" t="str">
        <f t="shared" si="21"/>
        <v>Anak 22 sangat baik  dalam menggali pengetahuan baru yang terdapat pada teks nonfiksi., dan  sangat baik  dalam menggali informasi dari seorang tokoh melalui wawancara menggunakan daftar pertanyaan.</v>
      </c>
      <c r="BB26" s="306"/>
      <c r="BC26" s="307" t="str">
        <f t="shared" si="12"/>
        <v xml:space="preserve"> sangat baik  dalam menggali pengetahuan baru yang terdapat pada teks nonfiksi.</v>
      </c>
      <c r="BD26" s="307" t="str">
        <f t="shared" si="13"/>
        <v xml:space="preserve"> sangat baik  dalam menggali informasi dari seorang tokoh melalui wawancara menggunakan daftar pertanyaan.</v>
      </c>
      <c r="BE26" s="307" t="str">
        <f t="shared" si="22"/>
        <v xml:space="preserve"> sangat baik  dalam menggali pengetahuan baru yang terdapat pada teks nonfiksi., dan  sangat baik  dalam menggali informasi dari seorang tokoh melalui wawancara menggunakan daftar pertanyaan.</v>
      </c>
      <c r="BF26" s="307" t="str">
        <f t="shared" si="23"/>
        <v xml:space="preserve"> </v>
      </c>
      <c r="BG26" s="308" t="str">
        <f t="shared" si="24"/>
        <v xml:space="preserve"> sangat baik  dalam menggali pengetahuan baru yang terdapat pada teks nonfiksi., dan  sangat baik  dalam menggali informasi dari seorang tokoh melalui wawancara menggunakan daftar pertanyaan.</v>
      </c>
      <c r="BH26" s="301" t="str">
        <f t="shared" si="14"/>
        <v>Anak 22 sangat baik  dalam menggali pengetahuan baru yang terdapat pada teks nonfiksi., dan  sangat baik  dalam menggali informasi dari seorang tokoh melalui wawancara menggunakan daftar pertanyaan.</v>
      </c>
      <c r="BI26" s="120"/>
      <c r="BQ26" s="408">
        <f t="shared" si="34"/>
        <v>98</v>
      </c>
      <c r="BT26" s="302">
        <f t="shared" si="25"/>
        <v>99</v>
      </c>
      <c r="BU26" s="303" t="str">
        <f>IF(BT26&gt;KKM!$G$10,"A",IF(BT26&gt;KKM!$H$10,"B",IF(BT26&gt;=KKM!$I$10,"C","D")))</f>
        <v>A</v>
      </c>
      <c r="BV26" s="523">
        <f t="shared" si="26"/>
        <v>99</v>
      </c>
      <c r="BW26" s="115" t="str">
        <f>IF(BV26&gt;KKM!$G$10," sangat baik ",IF(BV26&gt;KKM!$H$10," baik ",IF(BV26&gt;=KKM!$I$10," cukup baik "," perlu bimbingan ")))</f>
        <v xml:space="preserve"> sangat baik </v>
      </c>
      <c r="BX26" s="524">
        <f t="shared" si="27"/>
        <v>99</v>
      </c>
      <c r="BY26" s="115" t="str">
        <f>IF(BX26&gt;KKM!$G$10," sangat baik ",IF(BX26&gt;KKM!$H$10," baik ",IF(BX26&gt;=KKM!$I$10," cukup baik "," perlu bimbingan ")))</f>
        <v xml:space="preserve"> sangat baik </v>
      </c>
      <c r="BZ26" s="301" t="str">
        <f t="shared" si="35"/>
        <v>Anak 22 sangat baik  dalam menggali isi dan amanat puisi yang disajikan secara lisan dan tulis dengan tujuan untuk kesenangan.</v>
      </c>
      <c r="CA26" s="307" t="str">
        <f t="shared" si="28"/>
        <v xml:space="preserve"> sangat baik  dalam menggali isi dan amanat puisi yang disajikan secara lisan dan tulis dengan tujuan untuk kesenangan.</v>
      </c>
      <c r="CB26" s="307" t="str">
        <f t="shared" si="29"/>
        <v xml:space="preserve"> sangat baik  dalam menggali isi dan amanat puisi yang disajikan secara lisan dan tulis dengan tujuan untuk kesenangan.</v>
      </c>
      <c r="CC26"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6" s="307" t="str">
        <f t="shared" si="31"/>
        <v xml:space="preserve"> sangat baik  dalam menggali isi dan amanat puisi yang disajikan secara lisan dan tulis dengan tujuan untuk kesenangan.</v>
      </c>
      <c r="CE26" s="308" t="str">
        <f t="shared" si="32"/>
        <v xml:space="preserve"> sangat baik  dalam menggali isi dan amanat puisi yang disajikan secara lisan dan tulis dengan tujuan untuk kesenangan.</v>
      </c>
      <c r="CF26" s="301" t="str">
        <f t="shared" si="33"/>
        <v>Anak 22 sangat baik  dalam menggali isi dan amanat puisi yang disajikan secara lisan dan tulis dengan tujuan untuk kesenangan.</v>
      </c>
    </row>
    <row r="27" spans="2:84" ht="51.75" customHeight="1">
      <c r="B27" s="109">
        <v>23</v>
      </c>
      <c r="C27" s="110">
        <f>SISWA!B28</f>
        <v>0</v>
      </c>
      <c r="D27" s="111" t="str">
        <f>SISWA!E28</f>
        <v>Anak 23</v>
      </c>
      <c r="E27" s="631">
        <v>99</v>
      </c>
      <c r="F27" s="631">
        <v>99</v>
      </c>
      <c r="G27" s="631">
        <v>99</v>
      </c>
      <c r="H27" s="631">
        <v>99</v>
      </c>
      <c r="I27" s="631">
        <v>99</v>
      </c>
      <c r="J27" s="730"/>
      <c r="K27" s="730"/>
      <c r="L27" s="731"/>
      <c r="M27" s="731"/>
      <c r="N27" s="731"/>
      <c r="O27" s="731"/>
      <c r="P27" s="731"/>
      <c r="Q27" s="730"/>
      <c r="R27" s="730"/>
      <c r="S27" s="610"/>
      <c r="T27" s="730"/>
      <c r="U27" s="631">
        <v>99</v>
      </c>
      <c r="V27" s="631">
        <v>99</v>
      </c>
      <c r="W27" s="730"/>
      <c r="X27" s="730"/>
      <c r="Y27" s="730"/>
      <c r="Z27" s="610"/>
      <c r="AA27" s="631">
        <v>90</v>
      </c>
      <c r="AB27" s="631">
        <v>76.5</v>
      </c>
      <c r="AC27" s="631">
        <v>99</v>
      </c>
      <c r="AD27" s="631">
        <v>99</v>
      </c>
      <c r="AE27" s="631">
        <v>99</v>
      </c>
      <c r="AF27" s="605"/>
      <c r="AG27" s="605"/>
      <c r="AH27" s="518"/>
      <c r="AI27" s="607">
        <f t="shared" si="15"/>
        <v>96</v>
      </c>
      <c r="AJ27" s="607">
        <f t="shared" si="16"/>
        <v>93.375</v>
      </c>
      <c r="AK27" s="607">
        <f t="shared" si="17"/>
        <v>99</v>
      </c>
      <c r="AL27" s="607">
        <f t="shared" si="18"/>
        <v>99</v>
      </c>
      <c r="AM27" s="607">
        <f t="shared" si="19"/>
        <v>99</v>
      </c>
      <c r="AN27" s="607" t="str">
        <f t="shared" si="20"/>
        <v/>
      </c>
      <c r="AO27" s="608"/>
      <c r="AP27" s="528"/>
      <c r="AQ27" s="528"/>
      <c r="AR27" s="528"/>
      <c r="AS27" s="528"/>
      <c r="AT27" s="528"/>
      <c r="AU27" s="302">
        <f t="shared" si="9"/>
        <v>97</v>
      </c>
      <c r="AV27" s="303" t="str">
        <f>IF(AU27&gt;KKM!$G$10,"A",IF(AU27&gt;KKM!$H$10,"B",IF(AU27&gt;=KKM!$I$10,"C","D")))</f>
        <v>A</v>
      </c>
      <c r="AW27" s="523">
        <f t="shared" si="10"/>
        <v>99</v>
      </c>
      <c r="AX27" s="115" t="str">
        <f>IF(AW27&gt;KKM!$G$10," sangat baik ",IF(AW27&gt;KKM!$H$10," baik ",IF(AW27&gt;=KKM!$I$10," cukup baik "," perlu bimbingan ")))</f>
        <v xml:space="preserve"> sangat baik </v>
      </c>
      <c r="AY27" s="524">
        <f t="shared" si="11"/>
        <v>93.375</v>
      </c>
      <c r="AZ27" s="115" t="str">
        <f>IF(AY27&gt;KKM!$G$10," sangat baik ",IF(AY27&gt;KKM!$H$10," baik ",IF(AY27&gt;=KKM!$I$10," cukup baik "," perlu bimbingan ")))</f>
        <v xml:space="preserve"> sangat baik </v>
      </c>
      <c r="BA27" s="301" t="str">
        <f t="shared" si="21"/>
        <v>Anak 23 sangat baik  dalam menggali pengetahuan baru yang terdapat pada teks nonfiksi., dan  sangat baik  dalam menggali isi dan amanat puisi yang disajikan secara lisan dan tulis dengan tujuan untuk kesenangan.</v>
      </c>
      <c r="BB27" s="306"/>
      <c r="BC27" s="307" t="str">
        <f t="shared" si="12"/>
        <v xml:space="preserve"> sangat baik  dalam menggali pengetahuan baru yang terdapat pada teks nonfiksi.</v>
      </c>
      <c r="BD27" s="307" t="str">
        <f t="shared" si="13"/>
        <v xml:space="preserve"> sangat baik  dalam menggali isi dan amanat puisi yang disajikan secara lisan dan tulis dengan tujuan untuk kesenangan.</v>
      </c>
      <c r="BE27" s="307" t="str">
        <f t="shared" si="22"/>
        <v xml:space="preserve"> sangat baik  dalam menggali pengetahuan baru yang terdapat pada teks nonfiksi., dan  sangat baik  dalam menggali isi dan amanat puisi yang disajikan secara lisan dan tulis dengan tujuan untuk kesenangan.</v>
      </c>
      <c r="BF27" s="307" t="str">
        <f t="shared" si="23"/>
        <v xml:space="preserve"> </v>
      </c>
      <c r="BG27" s="308" t="str">
        <f t="shared" si="24"/>
        <v xml:space="preserve"> sangat baik  dalam menggali pengetahuan baru yang terdapat pada teks nonfiksi., dan  sangat baik  dalam menggali isi dan amanat puisi yang disajikan secara lisan dan tulis dengan tujuan untuk kesenangan.</v>
      </c>
      <c r="BH27" s="301" t="str">
        <f t="shared" si="14"/>
        <v>Anak 23 sangat baik  dalam menggali pengetahuan baru yang terdapat pada teks nonfiksi., dan  sangat baik  dalam menggali isi dan amanat puisi yang disajikan secara lisan dan tulis dengan tujuan untuk kesenangan.</v>
      </c>
      <c r="BI27" s="120"/>
      <c r="BQ27" s="408">
        <f t="shared" si="34"/>
        <v>97</v>
      </c>
      <c r="BT27" s="302">
        <f t="shared" si="25"/>
        <v>99</v>
      </c>
      <c r="BU27" s="303" t="str">
        <f>IF(BT27&gt;KKM!$G$10,"A",IF(BT27&gt;KKM!$H$10,"B",IF(BT27&gt;=KKM!$I$10,"C","D")))</f>
        <v>A</v>
      </c>
      <c r="BV27" s="523">
        <f t="shared" si="26"/>
        <v>99</v>
      </c>
      <c r="BW27" s="115" t="str">
        <f>IF(BV27&gt;KKM!$G$10," sangat baik ",IF(BV27&gt;KKM!$H$10," baik ",IF(BV27&gt;=KKM!$I$10," cukup baik "," perlu bimbingan ")))</f>
        <v xml:space="preserve"> sangat baik </v>
      </c>
      <c r="BX27" s="524">
        <f t="shared" si="27"/>
        <v>99</v>
      </c>
      <c r="BY27" s="115" t="str">
        <f>IF(BX27&gt;KKM!$G$10," sangat baik ",IF(BX27&gt;KKM!$H$10," baik ",IF(BX27&gt;=KKM!$I$10," cukup baik "," perlu bimbingan ")))</f>
        <v xml:space="preserve"> sangat baik </v>
      </c>
      <c r="BZ27" s="301" t="str">
        <f t="shared" si="35"/>
        <v>Anak 23 sangat baik  dalam menggali isi dan amanat puisi yang disajikan secara lisan dan tulis dengan tujuan untuk kesenangan.</v>
      </c>
      <c r="CA27" s="307" t="str">
        <f t="shared" si="28"/>
        <v xml:space="preserve"> sangat baik  dalam menggali isi dan amanat puisi yang disajikan secara lisan dan tulis dengan tujuan untuk kesenangan.</v>
      </c>
      <c r="CB27" s="307" t="str">
        <f t="shared" si="29"/>
        <v xml:space="preserve"> sangat baik  dalam menggali isi dan amanat puisi yang disajikan secara lisan dan tulis dengan tujuan untuk kesenangan.</v>
      </c>
      <c r="CC27"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7" s="307" t="str">
        <f t="shared" si="31"/>
        <v xml:space="preserve"> sangat baik  dalam menggali isi dan amanat puisi yang disajikan secara lisan dan tulis dengan tujuan untuk kesenangan.</v>
      </c>
      <c r="CE27" s="308" t="str">
        <f t="shared" si="32"/>
        <v xml:space="preserve"> sangat baik  dalam menggali isi dan amanat puisi yang disajikan secara lisan dan tulis dengan tujuan untuk kesenangan.</v>
      </c>
      <c r="CF27" s="301" t="str">
        <f t="shared" si="33"/>
        <v>Anak 23 sangat baik  dalam menggali isi dan amanat puisi yang disajikan secara lisan dan tulis dengan tujuan untuk kesenangan.</v>
      </c>
    </row>
    <row r="28" spans="2:84" ht="51.75" customHeight="1">
      <c r="B28" s="109">
        <v>24</v>
      </c>
      <c r="C28" s="110">
        <f>SISWA!B29</f>
        <v>0</v>
      </c>
      <c r="D28" s="111" t="str">
        <f>SISWA!E29</f>
        <v>Anak 24</v>
      </c>
      <c r="E28" s="631">
        <v>99</v>
      </c>
      <c r="F28" s="631">
        <v>99</v>
      </c>
      <c r="G28" s="631">
        <v>99</v>
      </c>
      <c r="H28" s="631">
        <v>99</v>
      </c>
      <c r="I28" s="631">
        <v>99</v>
      </c>
      <c r="J28" s="730"/>
      <c r="K28" s="730"/>
      <c r="L28" s="731"/>
      <c r="M28" s="731"/>
      <c r="N28" s="731"/>
      <c r="O28" s="731"/>
      <c r="P28" s="731"/>
      <c r="Q28" s="730"/>
      <c r="R28" s="730"/>
      <c r="S28" s="610"/>
      <c r="T28" s="730"/>
      <c r="U28" s="631">
        <v>99</v>
      </c>
      <c r="V28" s="631">
        <v>99</v>
      </c>
      <c r="W28" s="730"/>
      <c r="X28" s="730"/>
      <c r="Y28" s="730"/>
      <c r="Z28" s="610"/>
      <c r="AA28" s="631">
        <v>76.5</v>
      </c>
      <c r="AB28" s="631">
        <v>83</v>
      </c>
      <c r="AC28" s="631">
        <v>99</v>
      </c>
      <c r="AD28" s="631">
        <v>99</v>
      </c>
      <c r="AE28" s="631">
        <v>99</v>
      </c>
      <c r="AF28" s="605"/>
      <c r="AG28" s="605"/>
      <c r="AH28" s="518"/>
      <c r="AI28" s="607">
        <f t="shared" si="15"/>
        <v>91.5</v>
      </c>
      <c r="AJ28" s="607">
        <f t="shared" si="16"/>
        <v>95</v>
      </c>
      <c r="AK28" s="607">
        <f t="shared" si="17"/>
        <v>99</v>
      </c>
      <c r="AL28" s="607">
        <f t="shared" si="18"/>
        <v>99</v>
      </c>
      <c r="AM28" s="607">
        <f t="shared" si="19"/>
        <v>99</v>
      </c>
      <c r="AN28" s="607" t="str">
        <f t="shared" si="20"/>
        <v/>
      </c>
      <c r="AO28" s="608"/>
      <c r="AP28" s="528"/>
      <c r="AQ28" s="528"/>
      <c r="AR28" s="528"/>
      <c r="AS28" s="528"/>
      <c r="AT28" s="528"/>
      <c r="AU28" s="302">
        <f t="shared" si="9"/>
        <v>97</v>
      </c>
      <c r="AV28" s="303" t="str">
        <f>IF(AU28&gt;KKM!$G$10,"A",IF(AU28&gt;KKM!$H$10,"B",IF(AU28&gt;=KKM!$I$10,"C","D")))</f>
        <v>A</v>
      </c>
      <c r="AW28" s="523">
        <f t="shared" si="10"/>
        <v>99</v>
      </c>
      <c r="AX28" s="115" t="str">
        <f>IF(AW28&gt;KKM!$G$10," sangat baik ",IF(AW28&gt;KKM!$H$10," baik ",IF(AW28&gt;=KKM!$I$10," cukup baik "," perlu bimbingan ")))</f>
        <v xml:space="preserve"> sangat baik </v>
      </c>
      <c r="AY28" s="524">
        <f t="shared" si="11"/>
        <v>91.5</v>
      </c>
      <c r="AZ28" s="115" t="str">
        <f>IF(AY28&gt;KKM!$G$10," sangat baik ",IF(AY28&gt;KKM!$H$10," baik ",IF(AY28&gt;=KKM!$I$10," cukup baik "," perlu bimbingan ")))</f>
        <v xml:space="preserve"> sangat baik </v>
      </c>
      <c r="BA28" s="301" t="str">
        <f t="shared" si="21"/>
        <v>Anak 24 sangat baik  dalam menggali pengetahuan baru yang terdapat pada teks nonfiksi., dan  sangat baik  dalam menggali informasi dari seorang tokoh melalui wawancara menggunakan daftar pertanyaan.</v>
      </c>
      <c r="BB28" s="306"/>
      <c r="BC28" s="307" t="str">
        <f t="shared" si="12"/>
        <v xml:space="preserve"> sangat baik  dalam menggali pengetahuan baru yang terdapat pada teks nonfiksi.</v>
      </c>
      <c r="BD28" s="307" t="str">
        <f t="shared" si="13"/>
        <v xml:space="preserve"> sangat baik  dalam menggali informasi dari seorang tokoh melalui wawancara menggunakan daftar pertanyaan.</v>
      </c>
      <c r="BE28" s="307" t="str">
        <f t="shared" si="22"/>
        <v xml:space="preserve"> sangat baik  dalam menggali pengetahuan baru yang terdapat pada teks nonfiksi., dan  sangat baik  dalam menggali informasi dari seorang tokoh melalui wawancara menggunakan daftar pertanyaan.</v>
      </c>
      <c r="BF28" s="307" t="str">
        <f t="shared" si="23"/>
        <v xml:space="preserve"> </v>
      </c>
      <c r="BG28" s="308" t="str">
        <f t="shared" si="24"/>
        <v xml:space="preserve"> sangat baik  dalam menggali pengetahuan baru yang terdapat pada teks nonfiksi., dan  sangat baik  dalam menggali informasi dari seorang tokoh melalui wawancara menggunakan daftar pertanyaan.</v>
      </c>
      <c r="BH28" s="301" t="str">
        <f t="shared" si="14"/>
        <v>Anak 24 sangat baik  dalam menggali pengetahuan baru yang terdapat pada teks nonfiksi., dan  sangat baik  dalam menggali informasi dari seorang tokoh melalui wawancara menggunakan daftar pertanyaan.</v>
      </c>
      <c r="BI28" s="120"/>
      <c r="BQ28" s="408">
        <f t="shared" si="34"/>
        <v>97</v>
      </c>
      <c r="BT28" s="302">
        <f t="shared" si="25"/>
        <v>99</v>
      </c>
      <c r="BU28" s="303" t="str">
        <f>IF(BT28&gt;KKM!$G$10,"A",IF(BT28&gt;KKM!$H$10,"B",IF(BT28&gt;=KKM!$I$10,"C","D")))</f>
        <v>A</v>
      </c>
      <c r="BV28" s="523">
        <f t="shared" si="26"/>
        <v>99</v>
      </c>
      <c r="BW28" s="115" t="str">
        <f>IF(BV28&gt;KKM!$G$10," sangat baik ",IF(BV28&gt;KKM!$H$10," baik ",IF(BV28&gt;=KKM!$I$10," cukup baik "," perlu bimbingan ")))</f>
        <v xml:space="preserve"> sangat baik </v>
      </c>
      <c r="BX28" s="524">
        <f t="shared" si="27"/>
        <v>99</v>
      </c>
      <c r="BY28" s="115" t="str">
        <f>IF(BX28&gt;KKM!$G$10," sangat baik ",IF(BX28&gt;KKM!$H$10," baik ",IF(BX28&gt;=KKM!$I$10," cukup baik "," perlu bimbingan ")))</f>
        <v xml:space="preserve"> sangat baik </v>
      </c>
      <c r="BZ28" s="301" t="str">
        <f t="shared" si="35"/>
        <v>Anak 24 sangat baik  dalam menggali isi dan amanat puisi yang disajikan secara lisan dan tulis dengan tujuan untuk kesenangan.</v>
      </c>
      <c r="CA28" s="307" t="str">
        <f t="shared" si="28"/>
        <v xml:space="preserve"> sangat baik  dalam menggali isi dan amanat puisi yang disajikan secara lisan dan tulis dengan tujuan untuk kesenangan.</v>
      </c>
      <c r="CB28" s="307" t="str">
        <f t="shared" si="29"/>
        <v xml:space="preserve"> sangat baik  dalam menggali isi dan amanat puisi yang disajikan secara lisan dan tulis dengan tujuan untuk kesenangan.</v>
      </c>
      <c r="CC28"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8" s="307" t="str">
        <f t="shared" si="31"/>
        <v xml:space="preserve"> sangat baik  dalam menggali isi dan amanat puisi yang disajikan secara lisan dan tulis dengan tujuan untuk kesenangan.</v>
      </c>
      <c r="CE28" s="308" t="str">
        <f t="shared" si="32"/>
        <v xml:space="preserve"> sangat baik  dalam menggali isi dan amanat puisi yang disajikan secara lisan dan tulis dengan tujuan untuk kesenangan.</v>
      </c>
      <c r="CF28" s="301" t="str">
        <f t="shared" si="33"/>
        <v>Anak 24 sangat baik  dalam menggali isi dan amanat puisi yang disajikan secara lisan dan tulis dengan tujuan untuk kesenangan.</v>
      </c>
    </row>
    <row r="29" spans="2:84" ht="51.75" customHeight="1">
      <c r="B29" s="109">
        <v>25</v>
      </c>
      <c r="C29" s="110">
        <f>SISWA!B30</f>
        <v>0</v>
      </c>
      <c r="D29" s="111" t="str">
        <f>SISWA!E30</f>
        <v>Anak 25</v>
      </c>
      <c r="E29" s="631">
        <v>99</v>
      </c>
      <c r="F29" s="631">
        <v>99</v>
      </c>
      <c r="G29" s="631">
        <v>99</v>
      </c>
      <c r="H29" s="631">
        <v>99</v>
      </c>
      <c r="I29" s="631">
        <v>99</v>
      </c>
      <c r="J29" s="730"/>
      <c r="K29" s="730"/>
      <c r="L29" s="731"/>
      <c r="M29" s="731"/>
      <c r="N29" s="731"/>
      <c r="O29" s="731"/>
      <c r="P29" s="731"/>
      <c r="Q29" s="730"/>
      <c r="R29" s="730"/>
      <c r="S29" s="610"/>
      <c r="T29" s="730"/>
      <c r="U29" s="631">
        <v>99</v>
      </c>
      <c r="V29" s="631">
        <v>99</v>
      </c>
      <c r="W29" s="730"/>
      <c r="X29" s="730"/>
      <c r="Y29" s="730"/>
      <c r="Z29" s="610"/>
      <c r="AA29" s="631">
        <v>83</v>
      </c>
      <c r="AB29" s="631">
        <v>74.5</v>
      </c>
      <c r="AC29" s="631">
        <v>99</v>
      </c>
      <c r="AD29" s="631">
        <v>99</v>
      </c>
      <c r="AE29" s="631">
        <v>99</v>
      </c>
      <c r="AF29" s="605"/>
      <c r="AG29" s="605"/>
      <c r="AH29" s="518"/>
      <c r="AI29" s="607">
        <f t="shared" si="15"/>
        <v>93.666666666666671</v>
      </c>
      <c r="AJ29" s="607">
        <f t="shared" si="16"/>
        <v>92.875</v>
      </c>
      <c r="AK29" s="607">
        <f t="shared" si="17"/>
        <v>99</v>
      </c>
      <c r="AL29" s="607">
        <f t="shared" si="18"/>
        <v>99</v>
      </c>
      <c r="AM29" s="607">
        <f t="shared" si="19"/>
        <v>99</v>
      </c>
      <c r="AN29" s="607" t="str">
        <f t="shared" si="20"/>
        <v/>
      </c>
      <c r="AO29" s="608"/>
      <c r="AP29" s="528"/>
      <c r="AQ29" s="528"/>
      <c r="AR29" s="528"/>
      <c r="AS29" s="528"/>
      <c r="AT29" s="528"/>
      <c r="AU29" s="302">
        <f t="shared" si="9"/>
        <v>97</v>
      </c>
      <c r="AV29" s="303" t="str">
        <f>IF(AU29&gt;KKM!$G$10,"A",IF(AU29&gt;KKM!$H$10,"B",IF(AU29&gt;=KKM!$I$10,"C","D")))</f>
        <v>A</v>
      </c>
      <c r="AW29" s="523">
        <f t="shared" si="10"/>
        <v>99</v>
      </c>
      <c r="AX29" s="115" t="str">
        <f>IF(AW29&gt;KKM!$G$10," sangat baik ",IF(AW29&gt;KKM!$H$10," baik ",IF(AW29&gt;=KKM!$I$10," cukup baik "," perlu bimbingan ")))</f>
        <v xml:space="preserve"> sangat baik </v>
      </c>
      <c r="AY29" s="524">
        <f t="shared" si="11"/>
        <v>92.875</v>
      </c>
      <c r="AZ29" s="115" t="str">
        <f>IF(AY29&gt;KKM!$G$10," sangat baik ",IF(AY29&gt;KKM!$H$10," baik ",IF(AY29&gt;=KKM!$I$10," cukup baik "," perlu bimbingan ")))</f>
        <v xml:space="preserve"> sangat baik </v>
      </c>
      <c r="BA29" s="301" t="str">
        <f t="shared" si="21"/>
        <v>Anak 25 sangat baik  dalam menggali pengetahuan baru yang terdapat pada teks nonfiksi., dan  sangat baik  dalam menggali isi dan amanat puisi yang disajikan secara lisan dan tulis dengan tujuan untuk kesenangan.</v>
      </c>
      <c r="BB29" s="306"/>
      <c r="BC29" s="307" t="str">
        <f t="shared" si="12"/>
        <v xml:space="preserve"> sangat baik  dalam menggali pengetahuan baru yang terdapat pada teks nonfiksi.</v>
      </c>
      <c r="BD29" s="307" t="str">
        <f t="shared" si="13"/>
        <v xml:space="preserve"> sangat baik  dalam menggali isi dan amanat puisi yang disajikan secara lisan dan tulis dengan tujuan untuk kesenangan.</v>
      </c>
      <c r="BE29" s="307" t="str">
        <f t="shared" si="22"/>
        <v xml:space="preserve"> sangat baik  dalam menggali pengetahuan baru yang terdapat pada teks nonfiksi., dan  sangat baik  dalam menggali isi dan amanat puisi yang disajikan secara lisan dan tulis dengan tujuan untuk kesenangan.</v>
      </c>
      <c r="BF29" s="307" t="str">
        <f t="shared" si="23"/>
        <v xml:space="preserve"> </v>
      </c>
      <c r="BG29" s="308" t="str">
        <f t="shared" si="24"/>
        <v xml:space="preserve"> sangat baik  dalam menggali pengetahuan baru yang terdapat pada teks nonfiksi., dan  sangat baik  dalam menggali isi dan amanat puisi yang disajikan secara lisan dan tulis dengan tujuan untuk kesenangan.</v>
      </c>
      <c r="BH29" s="301" t="str">
        <f t="shared" si="14"/>
        <v>Anak 25 sangat baik  dalam menggali pengetahuan baru yang terdapat pada teks nonfiksi., dan  sangat baik  dalam menggali isi dan amanat puisi yang disajikan secara lisan dan tulis dengan tujuan untuk kesenangan.</v>
      </c>
      <c r="BI29" s="120"/>
      <c r="BQ29" s="408">
        <f t="shared" si="34"/>
        <v>97</v>
      </c>
      <c r="BT29" s="302">
        <f t="shared" si="25"/>
        <v>99</v>
      </c>
      <c r="BU29" s="303" t="str">
        <f>IF(BT29&gt;KKM!$G$10,"A",IF(BT29&gt;KKM!$H$10,"B",IF(BT29&gt;=KKM!$I$10,"C","D")))</f>
        <v>A</v>
      </c>
      <c r="BV29" s="523">
        <f t="shared" si="26"/>
        <v>99</v>
      </c>
      <c r="BW29" s="115" t="str">
        <f>IF(BV29&gt;KKM!$G$10," sangat baik ",IF(BV29&gt;KKM!$H$10," baik ",IF(BV29&gt;=KKM!$I$10," cukup baik "," perlu bimbingan ")))</f>
        <v xml:space="preserve"> sangat baik </v>
      </c>
      <c r="BX29" s="524">
        <f t="shared" si="27"/>
        <v>99</v>
      </c>
      <c r="BY29" s="115" t="str">
        <f>IF(BX29&gt;KKM!$G$10," sangat baik ",IF(BX29&gt;KKM!$H$10," baik ",IF(BX29&gt;=KKM!$I$10," cukup baik "," perlu bimbingan ")))</f>
        <v xml:space="preserve"> sangat baik </v>
      </c>
      <c r="BZ29" s="301" t="str">
        <f t="shared" si="35"/>
        <v>Anak 25 sangat baik  dalam menggali isi dan amanat puisi yang disajikan secara lisan dan tulis dengan tujuan untuk kesenangan.</v>
      </c>
      <c r="CA29" s="307" t="str">
        <f t="shared" si="28"/>
        <v xml:space="preserve"> sangat baik  dalam menggali isi dan amanat puisi yang disajikan secara lisan dan tulis dengan tujuan untuk kesenangan.</v>
      </c>
      <c r="CB29" s="307" t="str">
        <f t="shared" si="29"/>
        <v xml:space="preserve"> sangat baik  dalam menggali isi dan amanat puisi yang disajikan secara lisan dan tulis dengan tujuan untuk kesenangan.</v>
      </c>
      <c r="CC29"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29" s="307" t="str">
        <f t="shared" si="31"/>
        <v xml:space="preserve"> sangat baik  dalam menggali isi dan amanat puisi yang disajikan secara lisan dan tulis dengan tujuan untuk kesenangan.</v>
      </c>
      <c r="CE29" s="308" t="str">
        <f t="shared" si="32"/>
        <v xml:space="preserve"> sangat baik  dalam menggali isi dan amanat puisi yang disajikan secara lisan dan tulis dengan tujuan untuk kesenangan.</v>
      </c>
      <c r="CF29" s="301" t="str">
        <f t="shared" si="33"/>
        <v>Anak 25 sangat baik  dalam menggali isi dan amanat puisi yang disajikan secara lisan dan tulis dengan tujuan untuk kesenangan.</v>
      </c>
    </row>
    <row r="30" spans="2:84" ht="51.75" customHeight="1">
      <c r="B30" s="109">
        <v>26</v>
      </c>
      <c r="C30" s="110">
        <f>SISWA!B31</f>
        <v>0</v>
      </c>
      <c r="D30" s="111" t="str">
        <f>SISWA!E31</f>
        <v>Anak 26</v>
      </c>
      <c r="E30" s="631">
        <v>99</v>
      </c>
      <c r="F30" s="631">
        <v>99</v>
      </c>
      <c r="G30" s="631">
        <v>99</v>
      </c>
      <c r="H30" s="631">
        <v>99</v>
      </c>
      <c r="I30" s="631">
        <v>99</v>
      </c>
      <c r="J30" s="730"/>
      <c r="K30" s="730"/>
      <c r="L30" s="731"/>
      <c r="M30" s="731"/>
      <c r="N30" s="731"/>
      <c r="O30" s="731"/>
      <c r="P30" s="731"/>
      <c r="Q30" s="730"/>
      <c r="R30" s="730"/>
      <c r="S30" s="610"/>
      <c r="T30" s="730"/>
      <c r="U30" s="631">
        <v>99</v>
      </c>
      <c r="V30" s="631">
        <v>99</v>
      </c>
      <c r="W30" s="730"/>
      <c r="X30" s="730"/>
      <c r="Y30" s="730"/>
      <c r="Z30" s="610"/>
      <c r="AA30" s="631">
        <v>74.5</v>
      </c>
      <c r="AB30" s="631">
        <v>74.5</v>
      </c>
      <c r="AC30" s="631">
        <v>99</v>
      </c>
      <c r="AD30" s="631">
        <v>99</v>
      </c>
      <c r="AE30" s="631">
        <v>99</v>
      </c>
      <c r="AF30" s="605"/>
      <c r="AG30" s="605"/>
      <c r="AH30" s="518"/>
      <c r="AI30" s="607">
        <f t="shared" si="15"/>
        <v>90.833333333333329</v>
      </c>
      <c r="AJ30" s="607">
        <f t="shared" si="16"/>
        <v>92.875</v>
      </c>
      <c r="AK30" s="607">
        <f t="shared" si="17"/>
        <v>99</v>
      </c>
      <c r="AL30" s="607">
        <f t="shared" si="18"/>
        <v>99</v>
      </c>
      <c r="AM30" s="607">
        <f t="shared" si="19"/>
        <v>99</v>
      </c>
      <c r="AN30" s="607" t="str">
        <f t="shared" si="20"/>
        <v/>
      </c>
      <c r="AO30" s="608"/>
      <c r="AP30" s="528"/>
      <c r="AQ30" s="528"/>
      <c r="AR30" s="528"/>
      <c r="AS30" s="528"/>
      <c r="AT30" s="528"/>
      <c r="AU30" s="302">
        <f t="shared" si="9"/>
        <v>96</v>
      </c>
      <c r="AV30" s="303" t="str">
        <f>IF(AU30&gt;KKM!$G$10,"A",IF(AU30&gt;KKM!$H$10,"B",IF(AU30&gt;=KKM!$I$10,"C","D")))</f>
        <v>A</v>
      </c>
      <c r="AW30" s="523">
        <f t="shared" si="10"/>
        <v>99</v>
      </c>
      <c r="AX30" s="115" t="str">
        <f>IF(AW30&gt;KKM!$G$10," sangat baik ",IF(AW30&gt;KKM!$H$10," baik ",IF(AW30&gt;=KKM!$I$10," cukup baik "," perlu bimbingan ")))</f>
        <v xml:space="preserve"> sangat baik </v>
      </c>
      <c r="AY30" s="524">
        <f t="shared" si="11"/>
        <v>90.833333333333329</v>
      </c>
      <c r="AZ30" s="115" t="str">
        <f>IF(AY30&gt;KKM!$G$10," sangat baik ",IF(AY30&gt;KKM!$H$10," baik ",IF(AY30&gt;=KKM!$I$10," cukup baik "," perlu bimbingan ")))</f>
        <v xml:space="preserve"> sangat baik </v>
      </c>
      <c r="BA30" s="301" t="str">
        <f t="shared" si="21"/>
        <v>Anak 26 sangat baik  dalam menggali pengetahuan baru yang terdapat pada teks nonfiksi., dan  sangat baik  dalam menggali informasi dari seorang tokoh melalui wawancara menggunakan daftar pertanyaan.</v>
      </c>
      <c r="BB30" s="306"/>
      <c r="BC30" s="307" t="str">
        <f t="shared" si="12"/>
        <v xml:space="preserve"> sangat baik  dalam menggali pengetahuan baru yang terdapat pada teks nonfiksi.</v>
      </c>
      <c r="BD30" s="307" t="str">
        <f t="shared" si="13"/>
        <v xml:space="preserve"> sangat baik  dalam menggali informasi dari seorang tokoh melalui wawancara menggunakan daftar pertanyaan.</v>
      </c>
      <c r="BE30" s="307" t="str">
        <f t="shared" si="22"/>
        <v xml:space="preserve"> sangat baik  dalam menggali pengetahuan baru yang terdapat pada teks nonfiksi., dan  sangat baik  dalam menggali informasi dari seorang tokoh melalui wawancara menggunakan daftar pertanyaan.</v>
      </c>
      <c r="BF30" s="307" t="str">
        <f t="shared" si="23"/>
        <v xml:space="preserve"> </v>
      </c>
      <c r="BG30" s="308" t="str">
        <f t="shared" si="24"/>
        <v xml:space="preserve"> sangat baik  dalam menggali pengetahuan baru yang terdapat pada teks nonfiksi., dan  sangat baik  dalam menggali informasi dari seorang tokoh melalui wawancara menggunakan daftar pertanyaan.</v>
      </c>
      <c r="BH30" s="301" t="str">
        <f t="shared" si="14"/>
        <v>Anak 26 sangat baik  dalam menggali pengetahuan baru yang terdapat pada teks nonfiksi., dan  sangat baik  dalam menggali informasi dari seorang tokoh melalui wawancara menggunakan daftar pertanyaan.</v>
      </c>
      <c r="BI30" s="120"/>
      <c r="BQ30" s="408">
        <f t="shared" si="34"/>
        <v>96</v>
      </c>
      <c r="BT30" s="302">
        <f t="shared" si="25"/>
        <v>99</v>
      </c>
      <c r="BU30" s="303" t="str">
        <f>IF(BT30&gt;KKM!$G$10,"A",IF(BT30&gt;KKM!$H$10,"B",IF(BT30&gt;=KKM!$I$10,"C","D")))</f>
        <v>A</v>
      </c>
      <c r="BV30" s="523">
        <f t="shared" si="26"/>
        <v>99</v>
      </c>
      <c r="BW30" s="115" t="str">
        <f>IF(BV30&gt;KKM!$G$10," sangat baik ",IF(BV30&gt;KKM!$H$10," baik ",IF(BV30&gt;=KKM!$I$10," cukup baik "," perlu bimbingan ")))</f>
        <v xml:space="preserve"> sangat baik </v>
      </c>
      <c r="BX30" s="524">
        <f t="shared" si="27"/>
        <v>99</v>
      </c>
      <c r="BY30" s="115" t="str">
        <f>IF(BX30&gt;KKM!$G$10," sangat baik ",IF(BX30&gt;KKM!$H$10," baik ",IF(BX30&gt;=KKM!$I$10," cukup baik "," perlu bimbingan ")))</f>
        <v xml:space="preserve"> sangat baik </v>
      </c>
      <c r="BZ30" s="301" t="str">
        <f t="shared" si="35"/>
        <v>Anak 26 sangat baik  dalam menggali isi dan amanat puisi yang disajikan secara lisan dan tulis dengan tujuan untuk kesenangan.</v>
      </c>
      <c r="CA30" s="307" t="str">
        <f t="shared" si="28"/>
        <v xml:space="preserve"> sangat baik  dalam menggali isi dan amanat puisi yang disajikan secara lisan dan tulis dengan tujuan untuk kesenangan.</v>
      </c>
      <c r="CB30" s="307" t="str">
        <f t="shared" si="29"/>
        <v xml:space="preserve"> sangat baik  dalam menggali isi dan amanat puisi yang disajikan secara lisan dan tulis dengan tujuan untuk kesenangan.</v>
      </c>
      <c r="CC30"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0" s="307" t="str">
        <f t="shared" si="31"/>
        <v xml:space="preserve"> sangat baik  dalam menggali isi dan amanat puisi yang disajikan secara lisan dan tulis dengan tujuan untuk kesenangan.</v>
      </c>
      <c r="CE30" s="308" t="str">
        <f t="shared" si="32"/>
        <v xml:space="preserve"> sangat baik  dalam menggali isi dan amanat puisi yang disajikan secara lisan dan tulis dengan tujuan untuk kesenangan.</v>
      </c>
      <c r="CF30" s="301" t="str">
        <f t="shared" si="33"/>
        <v>Anak 26 sangat baik  dalam menggali isi dan amanat puisi yang disajikan secara lisan dan tulis dengan tujuan untuk kesenangan.</v>
      </c>
    </row>
    <row r="31" spans="2:84" ht="51.75" customHeight="1">
      <c r="B31" s="109">
        <v>27</v>
      </c>
      <c r="C31" s="110">
        <f>SISWA!B32</f>
        <v>0</v>
      </c>
      <c r="D31" s="111" t="str">
        <f>SISWA!E32</f>
        <v>Anak 27</v>
      </c>
      <c r="E31" s="631">
        <v>99</v>
      </c>
      <c r="F31" s="631">
        <v>99</v>
      </c>
      <c r="G31" s="631">
        <v>99</v>
      </c>
      <c r="H31" s="631">
        <v>99</v>
      </c>
      <c r="I31" s="631">
        <v>99</v>
      </c>
      <c r="J31" s="730"/>
      <c r="K31" s="730"/>
      <c r="L31" s="731"/>
      <c r="M31" s="731"/>
      <c r="N31" s="731"/>
      <c r="O31" s="731"/>
      <c r="P31" s="731"/>
      <c r="Q31" s="730"/>
      <c r="R31" s="730"/>
      <c r="S31" s="610"/>
      <c r="T31" s="730"/>
      <c r="U31" s="631">
        <v>99</v>
      </c>
      <c r="V31" s="631">
        <v>99</v>
      </c>
      <c r="W31" s="730"/>
      <c r="X31" s="730"/>
      <c r="Y31" s="730"/>
      <c r="Z31" s="610"/>
      <c r="AA31" s="631">
        <v>74.5</v>
      </c>
      <c r="AB31" s="631">
        <v>74.5</v>
      </c>
      <c r="AC31" s="631">
        <v>99</v>
      </c>
      <c r="AD31" s="631">
        <v>99</v>
      </c>
      <c r="AE31" s="631">
        <v>99</v>
      </c>
      <c r="AF31" s="605"/>
      <c r="AG31" s="605"/>
      <c r="AH31" s="518"/>
      <c r="AI31" s="607">
        <f t="shared" si="15"/>
        <v>90.833333333333329</v>
      </c>
      <c r="AJ31" s="607">
        <f t="shared" si="16"/>
        <v>92.875</v>
      </c>
      <c r="AK31" s="607">
        <f t="shared" si="17"/>
        <v>99</v>
      </c>
      <c r="AL31" s="607">
        <f t="shared" si="18"/>
        <v>99</v>
      </c>
      <c r="AM31" s="607">
        <f t="shared" si="19"/>
        <v>99</v>
      </c>
      <c r="AN31" s="607" t="str">
        <f t="shared" si="20"/>
        <v/>
      </c>
      <c r="AO31" s="608"/>
      <c r="AP31" s="528"/>
      <c r="AQ31" s="528"/>
      <c r="AR31" s="528"/>
      <c r="AS31" s="528"/>
      <c r="AT31" s="528"/>
      <c r="AU31" s="302">
        <f t="shared" si="9"/>
        <v>96</v>
      </c>
      <c r="AV31" s="303" t="str">
        <f>IF(AU31&gt;KKM!$G$10,"A",IF(AU31&gt;KKM!$H$10,"B",IF(AU31&gt;=KKM!$I$10,"C","D")))</f>
        <v>A</v>
      </c>
      <c r="AW31" s="523">
        <f t="shared" si="10"/>
        <v>99</v>
      </c>
      <c r="AX31" s="115" t="str">
        <f>IF(AW31&gt;KKM!$G$10," sangat baik ",IF(AW31&gt;KKM!$H$10," baik ",IF(AW31&gt;=KKM!$I$10," cukup baik "," perlu bimbingan ")))</f>
        <v xml:space="preserve"> sangat baik </v>
      </c>
      <c r="AY31" s="524">
        <f t="shared" si="11"/>
        <v>90.833333333333329</v>
      </c>
      <c r="AZ31" s="115" t="str">
        <f>IF(AY31&gt;KKM!$G$10," sangat baik ",IF(AY31&gt;KKM!$H$10," baik ",IF(AY31&gt;=KKM!$I$10," cukup baik "," perlu bimbingan ")))</f>
        <v xml:space="preserve"> sangat baik </v>
      </c>
      <c r="BA31" s="301" t="str">
        <f t="shared" si="21"/>
        <v>Anak 27 sangat baik  dalam menggali pengetahuan baru yang terdapat pada teks nonfiksi., dan  sangat baik  dalam menggali informasi dari seorang tokoh melalui wawancara menggunakan daftar pertanyaan.</v>
      </c>
      <c r="BB31" s="306"/>
      <c r="BC31" s="307" t="str">
        <f t="shared" si="12"/>
        <v xml:space="preserve"> sangat baik  dalam menggali pengetahuan baru yang terdapat pada teks nonfiksi.</v>
      </c>
      <c r="BD31" s="307" t="str">
        <f t="shared" si="13"/>
        <v xml:space="preserve"> sangat baik  dalam menggali informasi dari seorang tokoh melalui wawancara menggunakan daftar pertanyaan.</v>
      </c>
      <c r="BE31" s="307" t="str">
        <f t="shared" si="22"/>
        <v xml:space="preserve"> sangat baik  dalam menggali pengetahuan baru yang terdapat pada teks nonfiksi., dan  sangat baik  dalam menggali informasi dari seorang tokoh melalui wawancara menggunakan daftar pertanyaan.</v>
      </c>
      <c r="BF31" s="307" t="str">
        <f t="shared" si="23"/>
        <v xml:space="preserve"> </v>
      </c>
      <c r="BG31" s="308" t="str">
        <f t="shared" si="24"/>
        <v xml:space="preserve"> sangat baik  dalam menggali pengetahuan baru yang terdapat pada teks nonfiksi., dan  sangat baik  dalam menggali informasi dari seorang tokoh melalui wawancara menggunakan daftar pertanyaan.</v>
      </c>
      <c r="BH31" s="301" t="str">
        <f t="shared" si="14"/>
        <v>Anak 27 sangat baik  dalam menggali pengetahuan baru yang terdapat pada teks nonfiksi., dan  sangat baik  dalam menggali informasi dari seorang tokoh melalui wawancara menggunakan daftar pertanyaan.</v>
      </c>
      <c r="BI31" s="120"/>
      <c r="BQ31" s="408">
        <f t="shared" si="34"/>
        <v>96</v>
      </c>
      <c r="BT31" s="302">
        <f t="shared" si="25"/>
        <v>99</v>
      </c>
      <c r="BU31" s="303" t="str">
        <f>IF(BT31&gt;KKM!$G$10,"A",IF(BT31&gt;KKM!$H$10,"B",IF(BT31&gt;=KKM!$I$10,"C","D")))</f>
        <v>A</v>
      </c>
      <c r="BV31" s="523">
        <f t="shared" si="26"/>
        <v>99</v>
      </c>
      <c r="BW31" s="115" t="str">
        <f>IF(BV31&gt;KKM!$G$10," sangat baik ",IF(BV31&gt;KKM!$H$10," baik ",IF(BV31&gt;=KKM!$I$10," cukup baik "," perlu bimbingan ")))</f>
        <v xml:space="preserve"> sangat baik </v>
      </c>
      <c r="BX31" s="524">
        <f t="shared" si="27"/>
        <v>99</v>
      </c>
      <c r="BY31" s="115" t="str">
        <f>IF(BX31&gt;KKM!$G$10," sangat baik ",IF(BX31&gt;KKM!$H$10," baik ",IF(BX31&gt;=KKM!$I$10," cukup baik "," perlu bimbingan ")))</f>
        <v xml:space="preserve"> sangat baik </v>
      </c>
      <c r="BZ31" s="301" t="str">
        <f t="shared" si="35"/>
        <v>Anak 27 sangat baik  dalam menggali isi dan amanat puisi yang disajikan secara lisan dan tulis dengan tujuan untuk kesenangan.</v>
      </c>
      <c r="CA31" s="307" t="str">
        <f t="shared" si="28"/>
        <v xml:space="preserve"> sangat baik  dalam menggali isi dan amanat puisi yang disajikan secara lisan dan tulis dengan tujuan untuk kesenangan.</v>
      </c>
      <c r="CB31" s="307" t="str">
        <f t="shared" si="29"/>
        <v xml:space="preserve"> sangat baik  dalam menggali isi dan amanat puisi yang disajikan secara lisan dan tulis dengan tujuan untuk kesenangan.</v>
      </c>
      <c r="CC31"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1" s="307" t="str">
        <f t="shared" si="31"/>
        <v xml:space="preserve"> sangat baik  dalam menggali isi dan amanat puisi yang disajikan secara lisan dan tulis dengan tujuan untuk kesenangan.</v>
      </c>
      <c r="CE31" s="308" t="str">
        <f t="shared" si="32"/>
        <v xml:space="preserve"> sangat baik  dalam menggali isi dan amanat puisi yang disajikan secara lisan dan tulis dengan tujuan untuk kesenangan.</v>
      </c>
      <c r="CF31" s="301" t="str">
        <f t="shared" si="33"/>
        <v>Anak 27 sangat baik  dalam menggali isi dan amanat puisi yang disajikan secara lisan dan tulis dengan tujuan untuk kesenangan.</v>
      </c>
    </row>
    <row r="32" spans="2:84" ht="51.75" customHeight="1">
      <c r="B32" s="109">
        <v>28</v>
      </c>
      <c r="C32" s="110">
        <f>SISWA!B33</f>
        <v>0</v>
      </c>
      <c r="D32" s="111" t="str">
        <f>SISWA!E33</f>
        <v>Anak 28</v>
      </c>
      <c r="E32" s="631">
        <v>99</v>
      </c>
      <c r="F32" s="631">
        <v>99</v>
      </c>
      <c r="G32" s="631">
        <v>99</v>
      </c>
      <c r="H32" s="631">
        <v>99</v>
      </c>
      <c r="I32" s="631">
        <v>99</v>
      </c>
      <c r="J32" s="730"/>
      <c r="K32" s="730"/>
      <c r="L32" s="731"/>
      <c r="M32" s="731"/>
      <c r="N32" s="731"/>
      <c r="O32" s="731"/>
      <c r="P32" s="731"/>
      <c r="Q32" s="730"/>
      <c r="R32" s="730"/>
      <c r="S32" s="610"/>
      <c r="T32" s="730"/>
      <c r="U32" s="631">
        <v>99</v>
      </c>
      <c r="V32" s="631">
        <v>99</v>
      </c>
      <c r="W32" s="730"/>
      <c r="X32" s="730"/>
      <c r="Y32" s="730"/>
      <c r="Z32" s="610"/>
      <c r="AA32" s="631">
        <v>74.5</v>
      </c>
      <c r="AB32" s="631">
        <v>84</v>
      </c>
      <c r="AC32" s="631">
        <v>99</v>
      </c>
      <c r="AD32" s="631">
        <v>99</v>
      </c>
      <c r="AE32" s="631">
        <v>99</v>
      </c>
      <c r="AF32" s="605"/>
      <c r="AG32" s="605"/>
      <c r="AH32" s="518"/>
      <c r="AI32" s="607">
        <f t="shared" si="15"/>
        <v>90.833333333333329</v>
      </c>
      <c r="AJ32" s="607">
        <f t="shared" si="16"/>
        <v>95.25</v>
      </c>
      <c r="AK32" s="607">
        <f t="shared" si="17"/>
        <v>99</v>
      </c>
      <c r="AL32" s="607">
        <f t="shared" si="18"/>
        <v>99</v>
      </c>
      <c r="AM32" s="607">
        <f t="shared" si="19"/>
        <v>99</v>
      </c>
      <c r="AN32" s="607" t="str">
        <f t="shared" si="20"/>
        <v/>
      </c>
      <c r="AO32" s="608"/>
      <c r="AP32" s="528"/>
      <c r="AQ32" s="528"/>
      <c r="AR32" s="528"/>
      <c r="AS32" s="528"/>
      <c r="AT32" s="528"/>
      <c r="AU32" s="302">
        <f t="shared" si="9"/>
        <v>97</v>
      </c>
      <c r="AV32" s="303" t="str">
        <f>IF(AU32&gt;KKM!$G$10,"A",IF(AU32&gt;KKM!$H$10,"B",IF(AU32&gt;=KKM!$I$10,"C","D")))</f>
        <v>A</v>
      </c>
      <c r="AW32" s="523">
        <f t="shared" si="10"/>
        <v>99</v>
      </c>
      <c r="AX32" s="115" t="str">
        <f>IF(AW32&gt;KKM!$G$10," sangat baik ",IF(AW32&gt;KKM!$H$10," baik ",IF(AW32&gt;=KKM!$I$10," cukup baik "," perlu bimbingan ")))</f>
        <v xml:space="preserve"> sangat baik </v>
      </c>
      <c r="AY32" s="524">
        <f t="shared" si="11"/>
        <v>90.833333333333329</v>
      </c>
      <c r="AZ32" s="115" t="str">
        <f>IF(AY32&gt;KKM!$G$10," sangat baik ",IF(AY32&gt;KKM!$H$10," baik ",IF(AY32&gt;=KKM!$I$10," cukup baik "," perlu bimbingan ")))</f>
        <v xml:space="preserve"> sangat baik </v>
      </c>
      <c r="BA32" s="301" t="str">
        <f t="shared" si="21"/>
        <v>Anak 28 sangat baik  dalam menggali pengetahuan baru yang terdapat pada teks nonfiksi., dan  sangat baik  dalam menggali informasi dari seorang tokoh melalui wawancara menggunakan daftar pertanyaan.</v>
      </c>
      <c r="BB32" s="306"/>
      <c r="BC32" s="307" t="str">
        <f t="shared" si="12"/>
        <v xml:space="preserve"> sangat baik  dalam menggali pengetahuan baru yang terdapat pada teks nonfiksi.</v>
      </c>
      <c r="BD32" s="307" t="str">
        <f t="shared" si="13"/>
        <v xml:space="preserve"> sangat baik  dalam menggali informasi dari seorang tokoh melalui wawancara menggunakan daftar pertanyaan.</v>
      </c>
      <c r="BE32" s="307" t="str">
        <f t="shared" si="22"/>
        <v xml:space="preserve"> sangat baik  dalam menggali pengetahuan baru yang terdapat pada teks nonfiksi., dan  sangat baik  dalam menggali informasi dari seorang tokoh melalui wawancara menggunakan daftar pertanyaan.</v>
      </c>
      <c r="BF32" s="307" t="str">
        <f t="shared" si="23"/>
        <v xml:space="preserve"> </v>
      </c>
      <c r="BG32" s="308" t="str">
        <f t="shared" si="24"/>
        <v xml:space="preserve"> sangat baik  dalam menggali pengetahuan baru yang terdapat pada teks nonfiksi., dan  sangat baik  dalam menggali informasi dari seorang tokoh melalui wawancara menggunakan daftar pertanyaan.</v>
      </c>
      <c r="BH32" s="301" t="str">
        <f t="shared" si="14"/>
        <v>Anak 28 sangat baik  dalam menggali pengetahuan baru yang terdapat pada teks nonfiksi., dan  sangat baik  dalam menggali informasi dari seorang tokoh melalui wawancara menggunakan daftar pertanyaan.</v>
      </c>
      <c r="BI32" s="120"/>
      <c r="BQ32" s="408">
        <f t="shared" si="34"/>
        <v>97</v>
      </c>
      <c r="BT32" s="302">
        <f t="shared" si="25"/>
        <v>99</v>
      </c>
      <c r="BU32" s="303" t="str">
        <f>IF(BT32&gt;KKM!$G$10,"A",IF(BT32&gt;KKM!$H$10,"B",IF(BT32&gt;=KKM!$I$10,"C","D")))</f>
        <v>A</v>
      </c>
      <c r="BV32" s="523">
        <f t="shared" si="26"/>
        <v>99</v>
      </c>
      <c r="BW32" s="115" t="str">
        <f>IF(BV32&gt;KKM!$G$10," sangat baik ",IF(BV32&gt;KKM!$H$10," baik ",IF(BV32&gt;=KKM!$I$10," cukup baik "," perlu bimbingan ")))</f>
        <v xml:space="preserve"> sangat baik </v>
      </c>
      <c r="BX32" s="524">
        <f t="shared" si="27"/>
        <v>99</v>
      </c>
      <c r="BY32" s="115" t="str">
        <f>IF(BX32&gt;KKM!$G$10," sangat baik ",IF(BX32&gt;KKM!$H$10," baik ",IF(BX32&gt;=KKM!$I$10," cukup baik "," perlu bimbingan ")))</f>
        <v xml:space="preserve"> sangat baik </v>
      </c>
      <c r="BZ32" s="301" t="str">
        <f t="shared" si="35"/>
        <v>Anak 28 sangat baik  dalam menggali isi dan amanat puisi yang disajikan secara lisan dan tulis dengan tujuan untuk kesenangan.</v>
      </c>
      <c r="CA32" s="307" t="str">
        <f t="shared" si="28"/>
        <v xml:space="preserve"> sangat baik  dalam menggali isi dan amanat puisi yang disajikan secara lisan dan tulis dengan tujuan untuk kesenangan.</v>
      </c>
      <c r="CB32" s="307" t="str">
        <f t="shared" si="29"/>
        <v xml:space="preserve"> sangat baik  dalam menggali isi dan amanat puisi yang disajikan secara lisan dan tulis dengan tujuan untuk kesenangan.</v>
      </c>
      <c r="CC32"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2" s="307" t="str">
        <f t="shared" si="31"/>
        <v xml:space="preserve"> sangat baik  dalam menggali isi dan amanat puisi yang disajikan secara lisan dan tulis dengan tujuan untuk kesenangan.</v>
      </c>
      <c r="CE32" s="308" t="str">
        <f t="shared" si="32"/>
        <v xml:space="preserve"> sangat baik  dalam menggali isi dan amanat puisi yang disajikan secara lisan dan tulis dengan tujuan untuk kesenangan.</v>
      </c>
      <c r="CF32" s="301" t="str">
        <f t="shared" si="33"/>
        <v>Anak 28 sangat baik  dalam menggali isi dan amanat puisi yang disajikan secara lisan dan tulis dengan tujuan untuk kesenangan.</v>
      </c>
    </row>
    <row r="33" spans="2:84" ht="51.75" customHeight="1">
      <c r="B33" s="109">
        <v>29</v>
      </c>
      <c r="C33" s="110">
        <f>SISWA!B34</f>
        <v>0</v>
      </c>
      <c r="D33" s="111" t="str">
        <f>SISWA!E34</f>
        <v>Anak 29</v>
      </c>
      <c r="E33" s="631">
        <v>99</v>
      </c>
      <c r="F33" s="631">
        <v>99</v>
      </c>
      <c r="G33" s="631">
        <v>99</v>
      </c>
      <c r="H33" s="631">
        <v>99</v>
      </c>
      <c r="I33" s="631">
        <v>99</v>
      </c>
      <c r="J33" s="730"/>
      <c r="K33" s="730"/>
      <c r="L33" s="731"/>
      <c r="M33" s="731"/>
      <c r="N33" s="731"/>
      <c r="O33" s="731"/>
      <c r="P33" s="731"/>
      <c r="Q33" s="730"/>
      <c r="R33" s="730"/>
      <c r="S33" s="610"/>
      <c r="T33" s="730"/>
      <c r="U33" s="631">
        <v>99</v>
      </c>
      <c r="V33" s="631">
        <v>99</v>
      </c>
      <c r="W33" s="730"/>
      <c r="X33" s="730"/>
      <c r="Y33" s="730"/>
      <c r="Z33" s="610"/>
      <c r="AA33" s="631">
        <v>84</v>
      </c>
      <c r="AB33" s="631">
        <v>68.75</v>
      </c>
      <c r="AC33" s="631">
        <v>99</v>
      </c>
      <c r="AD33" s="631">
        <v>99</v>
      </c>
      <c r="AE33" s="631">
        <v>99</v>
      </c>
      <c r="AF33" s="605"/>
      <c r="AG33" s="605"/>
      <c r="AH33" s="518"/>
      <c r="AI33" s="607">
        <f t="shared" si="15"/>
        <v>94</v>
      </c>
      <c r="AJ33" s="607">
        <f t="shared" si="16"/>
        <v>91.4375</v>
      </c>
      <c r="AK33" s="607">
        <f t="shared" si="17"/>
        <v>99</v>
      </c>
      <c r="AL33" s="607">
        <f t="shared" si="18"/>
        <v>99</v>
      </c>
      <c r="AM33" s="607">
        <f t="shared" si="19"/>
        <v>99</v>
      </c>
      <c r="AN33" s="607" t="str">
        <f t="shared" si="20"/>
        <v/>
      </c>
      <c r="AO33" s="608"/>
      <c r="AP33" s="528"/>
      <c r="AQ33" s="528"/>
      <c r="AR33" s="528"/>
      <c r="AS33" s="528"/>
      <c r="AT33" s="528"/>
      <c r="AU33" s="302">
        <f t="shared" si="9"/>
        <v>96</v>
      </c>
      <c r="AV33" s="303" t="str">
        <f>IF(AU33&gt;KKM!$G$10,"A",IF(AU33&gt;KKM!$H$10,"B",IF(AU33&gt;=KKM!$I$10,"C","D")))</f>
        <v>A</v>
      </c>
      <c r="AW33" s="523">
        <f t="shared" si="10"/>
        <v>99</v>
      </c>
      <c r="AX33" s="115" t="str">
        <f>IF(AW33&gt;KKM!$G$10," sangat baik ",IF(AW33&gt;KKM!$H$10," baik ",IF(AW33&gt;=KKM!$I$10," cukup baik "," perlu bimbingan ")))</f>
        <v xml:space="preserve"> sangat baik </v>
      </c>
      <c r="AY33" s="524">
        <f t="shared" si="11"/>
        <v>91.4375</v>
      </c>
      <c r="AZ33" s="115" t="str">
        <f>IF(AY33&gt;KKM!$G$10," sangat baik ",IF(AY33&gt;KKM!$H$10," baik ",IF(AY33&gt;=KKM!$I$10," cukup baik "," perlu bimbingan ")))</f>
        <v xml:space="preserve"> sangat baik </v>
      </c>
      <c r="BA33" s="301" t="str">
        <f t="shared" si="21"/>
        <v>Anak 29 sangat baik  dalam menggali pengetahuan baru yang terdapat pada teks nonfiksi., dan  sangat baik  dalam menggali isi dan amanat puisi yang disajikan secara lisan dan tulis dengan tujuan untuk kesenangan.</v>
      </c>
      <c r="BB33" s="306"/>
      <c r="BC33" s="307" t="str">
        <f t="shared" si="12"/>
        <v xml:space="preserve"> sangat baik  dalam menggali pengetahuan baru yang terdapat pada teks nonfiksi.</v>
      </c>
      <c r="BD33" s="307" t="str">
        <f t="shared" si="13"/>
        <v xml:space="preserve"> sangat baik  dalam menggali isi dan amanat puisi yang disajikan secara lisan dan tulis dengan tujuan untuk kesenangan.</v>
      </c>
      <c r="BE33" s="307" t="str">
        <f t="shared" si="22"/>
        <v xml:space="preserve"> sangat baik  dalam menggali pengetahuan baru yang terdapat pada teks nonfiksi., dan  sangat baik  dalam menggali isi dan amanat puisi yang disajikan secara lisan dan tulis dengan tujuan untuk kesenangan.</v>
      </c>
      <c r="BF33" s="307" t="str">
        <f t="shared" si="23"/>
        <v xml:space="preserve"> </v>
      </c>
      <c r="BG33" s="308" t="str">
        <f t="shared" si="24"/>
        <v xml:space="preserve"> sangat baik  dalam menggali pengetahuan baru yang terdapat pada teks nonfiksi., dan  sangat baik  dalam menggali isi dan amanat puisi yang disajikan secara lisan dan tulis dengan tujuan untuk kesenangan.</v>
      </c>
      <c r="BH33" s="301" t="str">
        <f t="shared" si="14"/>
        <v>Anak 29 sangat baik  dalam menggali pengetahuan baru yang terdapat pada teks nonfiksi., dan  sangat baik  dalam menggali isi dan amanat puisi yang disajikan secara lisan dan tulis dengan tujuan untuk kesenangan.</v>
      </c>
      <c r="BI33" s="120"/>
      <c r="BQ33" s="408">
        <f t="shared" si="34"/>
        <v>96</v>
      </c>
      <c r="BT33" s="302">
        <f t="shared" si="25"/>
        <v>99</v>
      </c>
      <c r="BU33" s="303" t="str">
        <f>IF(BT33&gt;KKM!$G$10,"A",IF(BT33&gt;KKM!$H$10,"B",IF(BT33&gt;=KKM!$I$10,"C","D")))</f>
        <v>A</v>
      </c>
      <c r="BV33" s="523">
        <f t="shared" si="26"/>
        <v>99</v>
      </c>
      <c r="BW33" s="115" t="str">
        <f>IF(BV33&gt;KKM!$G$10," sangat baik ",IF(BV33&gt;KKM!$H$10," baik ",IF(BV33&gt;=KKM!$I$10," cukup baik "," perlu bimbingan ")))</f>
        <v xml:space="preserve"> sangat baik </v>
      </c>
      <c r="BX33" s="524">
        <f t="shared" si="27"/>
        <v>99</v>
      </c>
      <c r="BY33" s="115" t="str">
        <f>IF(BX33&gt;KKM!$G$10," sangat baik ",IF(BX33&gt;KKM!$H$10," baik ",IF(BX33&gt;=KKM!$I$10," cukup baik "," perlu bimbingan ")))</f>
        <v xml:space="preserve"> sangat baik </v>
      </c>
      <c r="BZ33" s="301" t="str">
        <f t="shared" si="35"/>
        <v>Anak 29 sangat baik  dalam menggali isi dan amanat puisi yang disajikan secara lisan dan tulis dengan tujuan untuk kesenangan.</v>
      </c>
      <c r="CA33" s="307" t="str">
        <f t="shared" si="28"/>
        <v xml:space="preserve"> sangat baik  dalam menggali isi dan amanat puisi yang disajikan secara lisan dan tulis dengan tujuan untuk kesenangan.</v>
      </c>
      <c r="CB33" s="307" t="str">
        <f t="shared" si="29"/>
        <v xml:space="preserve"> sangat baik  dalam menggali isi dan amanat puisi yang disajikan secara lisan dan tulis dengan tujuan untuk kesenangan.</v>
      </c>
      <c r="CC33"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3" s="307" t="str">
        <f t="shared" si="31"/>
        <v xml:space="preserve"> sangat baik  dalam menggali isi dan amanat puisi yang disajikan secara lisan dan tulis dengan tujuan untuk kesenangan.</v>
      </c>
      <c r="CE33" s="308" t="str">
        <f t="shared" si="32"/>
        <v xml:space="preserve"> sangat baik  dalam menggali isi dan amanat puisi yang disajikan secara lisan dan tulis dengan tujuan untuk kesenangan.</v>
      </c>
      <c r="CF33" s="301" t="str">
        <f t="shared" si="33"/>
        <v>Anak 29 sangat baik  dalam menggali isi dan amanat puisi yang disajikan secara lisan dan tulis dengan tujuan untuk kesenangan.</v>
      </c>
    </row>
    <row r="34" spans="2:84" ht="51.75" customHeight="1">
      <c r="B34" s="109">
        <v>30</v>
      </c>
      <c r="C34" s="110">
        <f>SISWA!B35</f>
        <v>0</v>
      </c>
      <c r="D34" s="111" t="str">
        <f>SISWA!E35</f>
        <v>Anak 30</v>
      </c>
      <c r="E34" s="631">
        <v>99</v>
      </c>
      <c r="F34" s="631">
        <v>99</v>
      </c>
      <c r="G34" s="631">
        <v>99</v>
      </c>
      <c r="H34" s="631">
        <v>99</v>
      </c>
      <c r="I34" s="631">
        <v>99</v>
      </c>
      <c r="J34" s="730"/>
      <c r="K34" s="730"/>
      <c r="L34" s="731"/>
      <c r="M34" s="731"/>
      <c r="N34" s="731"/>
      <c r="O34" s="731"/>
      <c r="P34" s="731"/>
      <c r="Q34" s="730"/>
      <c r="R34" s="730"/>
      <c r="S34" s="610"/>
      <c r="T34" s="730"/>
      <c r="U34" s="631">
        <v>99</v>
      </c>
      <c r="V34" s="631">
        <v>99</v>
      </c>
      <c r="W34" s="730"/>
      <c r="X34" s="730"/>
      <c r="Y34" s="730"/>
      <c r="Z34" s="610"/>
      <c r="AA34" s="631">
        <v>84.5</v>
      </c>
      <c r="AB34" s="631">
        <v>69.75</v>
      </c>
      <c r="AC34" s="631">
        <v>99</v>
      </c>
      <c r="AD34" s="631">
        <v>99</v>
      </c>
      <c r="AE34" s="631">
        <v>99</v>
      </c>
      <c r="AF34" s="605"/>
      <c r="AG34" s="605"/>
      <c r="AH34" s="518"/>
      <c r="AI34" s="607">
        <f t="shared" si="15"/>
        <v>94.166666666666671</v>
      </c>
      <c r="AJ34" s="607">
        <f t="shared" si="16"/>
        <v>91.6875</v>
      </c>
      <c r="AK34" s="607">
        <f t="shared" si="17"/>
        <v>99</v>
      </c>
      <c r="AL34" s="607">
        <f t="shared" si="18"/>
        <v>99</v>
      </c>
      <c r="AM34" s="607">
        <f t="shared" si="19"/>
        <v>99</v>
      </c>
      <c r="AN34" s="607" t="str">
        <f t="shared" si="20"/>
        <v/>
      </c>
      <c r="AO34" s="608"/>
      <c r="AP34" s="528"/>
      <c r="AQ34" s="528"/>
      <c r="AR34" s="528"/>
      <c r="AS34" s="528"/>
      <c r="AT34" s="528"/>
      <c r="AU34" s="302">
        <f t="shared" si="9"/>
        <v>97</v>
      </c>
      <c r="AV34" s="303" t="str">
        <f>IF(AU34&gt;KKM!$G$10,"A",IF(AU34&gt;KKM!$H$10,"B",IF(AU34&gt;=KKM!$I$10,"C","D")))</f>
        <v>A</v>
      </c>
      <c r="AW34" s="523">
        <f t="shared" si="10"/>
        <v>99</v>
      </c>
      <c r="AX34" s="115" t="str">
        <f>IF(AW34&gt;KKM!$G$10," sangat baik ",IF(AW34&gt;KKM!$H$10," baik ",IF(AW34&gt;=KKM!$I$10," cukup baik "," perlu bimbingan ")))</f>
        <v xml:space="preserve"> sangat baik </v>
      </c>
      <c r="AY34" s="524">
        <f t="shared" si="11"/>
        <v>91.6875</v>
      </c>
      <c r="AZ34" s="115" t="str">
        <f>IF(AY34&gt;KKM!$G$10," sangat baik ",IF(AY34&gt;KKM!$H$10," baik ",IF(AY34&gt;=KKM!$I$10," cukup baik "," perlu bimbingan ")))</f>
        <v xml:space="preserve"> sangat baik </v>
      </c>
      <c r="BA34" s="301" t="str">
        <f t="shared" si="21"/>
        <v>Anak 30 sangat baik  dalam menggali pengetahuan baru yang terdapat pada teks nonfiksi., dan  sangat baik  dalam menggali isi dan amanat puisi yang disajikan secara lisan dan tulis dengan tujuan untuk kesenangan.</v>
      </c>
      <c r="BB34" s="306"/>
      <c r="BC34" s="307" t="str">
        <f t="shared" si="12"/>
        <v xml:space="preserve"> sangat baik  dalam menggali pengetahuan baru yang terdapat pada teks nonfiksi.</v>
      </c>
      <c r="BD34" s="307" t="str">
        <f t="shared" si="13"/>
        <v xml:space="preserve"> sangat baik  dalam menggali isi dan amanat puisi yang disajikan secara lisan dan tulis dengan tujuan untuk kesenangan.</v>
      </c>
      <c r="BE34" s="307" t="str">
        <f t="shared" si="22"/>
        <v xml:space="preserve"> sangat baik  dalam menggali pengetahuan baru yang terdapat pada teks nonfiksi., dan  sangat baik  dalam menggali isi dan amanat puisi yang disajikan secara lisan dan tulis dengan tujuan untuk kesenangan.</v>
      </c>
      <c r="BF34" s="307" t="str">
        <f t="shared" si="23"/>
        <v xml:space="preserve"> </v>
      </c>
      <c r="BG34" s="308" t="str">
        <f t="shared" si="24"/>
        <v xml:space="preserve"> sangat baik  dalam menggali pengetahuan baru yang terdapat pada teks nonfiksi., dan  sangat baik  dalam menggali isi dan amanat puisi yang disajikan secara lisan dan tulis dengan tujuan untuk kesenangan.</v>
      </c>
      <c r="BH34" s="301" t="str">
        <f t="shared" si="14"/>
        <v>Anak 30 sangat baik  dalam menggali pengetahuan baru yang terdapat pada teks nonfiksi., dan  sangat baik  dalam menggali isi dan amanat puisi yang disajikan secara lisan dan tulis dengan tujuan untuk kesenangan.</v>
      </c>
      <c r="BI34" s="120"/>
      <c r="BQ34" s="408">
        <f t="shared" si="34"/>
        <v>97</v>
      </c>
      <c r="BT34" s="302">
        <f t="shared" si="25"/>
        <v>99</v>
      </c>
      <c r="BU34" s="303" t="str">
        <f>IF(BT34&gt;KKM!$G$10,"A",IF(BT34&gt;KKM!$H$10,"B",IF(BT34&gt;=KKM!$I$10,"C","D")))</f>
        <v>A</v>
      </c>
      <c r="BV34" s="523">
        <f t="shared" si="26"/>
        <v>99</v>
      </c>
      <c r="BW34" s="115" t="str">
        <f>IF(BV34&gt;KKM!$G$10," sangat baik ",IF(BV34&gt;KKM!$H$10," baik ",IF(BV34&gt;=KKM!$I$10," cukup baik "," perlu bimbingan ")))</f>
        <v xml:space="preserve"> sangat baik </v>
      </c>
      <c r="BX34" s="524">
        <f t="shared" si="27"/>
        <v>99</v>
      </c>
      <c r="BY34" s="115" t="str">
        <f>IF(BX34&gt;KKM!$G$10," sangat baik ",IF(BX34&gt;KKM!$H$10," baik ",IF(BX34&gt;=KKM!$I$10," cukup baik "," perlu bimbingan ")))</f>
        <v xml:space="preserve"> sangat baik </v>
      </c>
      <c r="BZ34" s="301" t="str">
        <f t="shared" si="35"/>
        <v>Anak 30 sangat baik  dalam menggali isi dan amanat puisi yang disajikan secara lisan dan tulis dengan tujuan untuk kesenangan.</v>
      </c>
      <c r="CA34" s="307" t="str">
        <f t="shared" si="28"/>
        <v xml:space="preserve"> sangat baik  dalam menggali isi dan amanat puisi yang disajikan secara lisan dan tulis dengan tujuan untuk kesenangan.</v>
      </c>
      <c r="CB34" s="307" t="str">
        <f t="shared" si="29"/>
        <v xml:space="preserve"> sangat baik  dalam menggali isi dan amanat puisi yang disajikan secara lisan dan tulis dengan tujuan untuk kesenangan.</v>
      </c>
      <c r="CC34"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4" s="307" t="str">
        <f t="shared" si="31"/>
        <v xml:space="preserve"> sangat baik  dalam menggali isi dan amanat puisi yang disajikan secara lisan dan tulis dengan tujuan untuk kesenangan.</v>
      </c>
      <c r="CE34" s="308" t="str">
        <f t="shared" si="32"/>
        <v xml:space="preserve"> sangat baik  dalam menggali isi dan amanat puisi yang disajikan secara lisan dan tulis dengan tujuan untuk kesenangan.</v>
      </c>
      <c r="CF34" s="301" t="str">
        <f t="shared" si="33"/>
        <v>Anak 30 sangat baik  dalam menggali isi dan amanat puisi yang disajikan secara lisan dan tulis dengan tujuan untuk kesenangan.</v>
      </c>
    </row>
    <row r="35" spans="2:84" ht="51.75" customHeight="1">
      <c r="B35" s="109">
        <v>31</v>
      </c>
      <c r="C35" s="110">
        <f>SISWA!B36</f>
        <v>0</v>
      </c>
      <c r="D35" s="111" t="str">
        <f>SISWA!E36</f>
        <v>Anak 31</v>
      </c>
      <c r="E35" s="631">
        <v>99</v>
      </c>
      <c r="F35" s="631">
        <v>99</v>
      </c>
      <c r="G35" s="631">
        <v>99</v>
      </c>
      <c r="H35" s="631">
        <v>99</v>
      </c>
      <c r="I35" s="631">
        <v>99</v>
      </c>
      <c r="J35" s="730"/>
      <c r="K35" s="730"/>
      <c r="L35" s="731"/>
      <c r="M35" s="731"/>
      <c r="N35" s="731"/>
      <c r="O35" s="731"/>
      <c r="P35" s="731"/>
      <c r="Q35" s="730"/>
      <c r="R35" s="730"/>
      <c r="S35" s="610"/>
      <c r="T35" s="730"/>
      <c r="U35" s="631">
        <v>99</v>
      </c>
      <c r="V35" s="631">
        <v>99</v>
      </c>
      <c r="W35" s="730"/>
      <c r="X35" s="730"/>
      <c r="Y35" s="730"/>
      <c r="Z35" s="610"/>
      <c r="AA35" s="631">
        <v>72.5</v>
      </c>
      <c r="AB35" s="631">
        <v>77.25</v>
      </c>
      <c r="AC35" s="631">
        <v>99</v>
      </c>
      <c r="AD35" s="631">
        <v>99</v>
      </c>
      <c r="AE35" s="631">
        <v>99</v>
      </c>
      <c r="AF35" s="605"/>
      <c r="AG35" s="605"/>
      <c r="AH35" s="518"/>
      <c r="AI35" s="607">
        <f t="shared" si="15"/>
        <v>90.166666666666671</v>
      </c>
      <c r="AJ35" s="607">
        <f t="shared" si="16"/>
        <v>93.5625</v>
      </c>
      <c r="AK35" s="607">
        <f t="shared" si="17"/>
        <v>99</v>
      </c>
      <c r="AL35" s="607">
        <f t="shared" si="18"/>
        <v>99</v>
      </c>
      <c r="AM35" s="607">
        <f t="shared" si="19"/>
        <v>99</v>
      </c>
      <c r="AN35" s="607" t="str">
        <f t="shared" si="20"/>
        <v/>
      </c>
      <c r="AO35" s="608"/>
      <c r="AP35" s="528"/>
      <c r="AQ35" s="528"/>
      <c r="AR35" s="528"/>
      <c r="AS35" s="528"/>
      <c r="AT35" s="528"/>
      <c r="AU35" s="302">
        <f t="shared" si="9"/>
        <v>96</v>
      </c>
      <c r="AV35" s="303" t="str">
        <f>IF(AU35&gt;KKM!$G$10,"A",IF(AU35&gt;KKM!$H$10,"B",IF(AU35&gt;=KKM!$I$10,"C","D")))</f>
        <v>A</v>
      </c>
      <c r="AW35" s="523">
        <f t="shared" si="10"/>
        <v>99</v>
      </c>
      <c r="AX35" s="115" t="str">
        <f>IF(AW35&gt;KKM!$G$10," sangat baik ",IF(AW35&gt;KKM!$H$10," baik ",IF(AW35&gt;=KKM!$I$10," cukup baik "," perlu bimbingan ")))</f>
        <v xml:space="preserve"> sangat baik </v>
      </c>
      <c r="AY35" s="524">
        <f t="shared" si="11"/>
        <v>90.166666666666671</v>
      </c>
      <c r="AZ35" s="115" t="str">
        <f>IF(AY35&gt;KKM!$G$10," sangat baik ",IF(AY35&gt;KKM!$H$10," baik ",IF(AY35&gt;=KKM!$I$10," cukup baik "," perlu bimbingan ")))</f>
        <v xml:space="preserve"> sangat baik </v>
      </c>
      <c r="BA35" s="301" t="str">
        <f t="shared" si="21"/>
        <v>Anak 31 sangat baik  dalam menggali pengetahuan baru yang terdapat pada teks nonfiksi., dan  sangat baik  dalam menggali informasi dari seorang tokoh melalui wawancara menggunakan daftar pertanyaan.</v>
      </c>
      <c r="BB35" s="306"/>
      <c r="BC35" s="307" t="str">
        <f t="shared" si="12"/>
        <v xml:space="preserve"> sangat baik  dalam menggali pengetahuan baru yang terdapat pada teks nonfiksi.</v>
      </c>
      <c r="BD35" s="307" t="str">
        <f t="shared" si="13"/>
        <v xml:space="preserve"> sangat baik  dalam menggali informasi dari seorang tokoh melalui wawancara menggunakan daftar pertanyaan.</v>
      </c>
      <c r="BE35" s="307" t="str">
        <f t="shared" si="22"/>
        <v xml:space="preserve"> sangat baik  dalam menggali pengetahuan baru yang terdapat pada teks nonfiksi., dan  sangat baik  dalam menggali informasi dari seorang tokoh melalui wawancara menggunakan daftar pertanyaan.</v>
      </c>
      <c r="BF35" s="307" t="str">
        <f t="shared" si="23"/>
        <v xml:space="preserve"> </v>
      </c>
      <c r="BG35" s="308" t="str">
        <f t="shared" si="24"/>
        <v xml:space="preserve"> sangat baik  dalam menggali pengetahuan baru yang terdapat pada teks nonfiksi., dan  sangat baik  dalam menggali informasi dari seorang tokoh melalui wawancara menggunakan daftar pertanyaan.</v>
      </c>
      <c r="BH35" s="301" t="str">
        <f t="shared" si="14"/>
        <v>Anak 31 sangat baik  dalam menggali pengetahuan baru yang terdapat pada teks nonfiksi., dan  sangat baik  dalam menggali informasi dari seorang tokoh melalui wawancara menggunakan daftar pertanyaan.</v>
      </c>
      <c r="BI35" s="120"/>
      <c r="BQ35" s="408">
        <f t="shared" si="34"/>
        <v>96</v>
      </c>
      <c r="BT35" s="302">
        <f t="shared" si="25"/>
        <v>99</v>
      </c>
      <c r="BU35" s="303" t="str">
        <f>IF(BT35&gt;KKM!$G$10,"A",IF(BT35&gt;KKM!$H$10,"B",IF(BT35&gt;=KKM!$I$10,"C","D")))</f>
        <v>A</v>
      </c>
      <c r="BV35" s="523">
        <f t="shared" si="26"/>
        <v>99</v>
      </c>
      <c r="BW35" s="115" t="str">
        <f>IF(BV35&gt;KKM!$G$10," sangat baik ",IF(BV35&gt;KKM!$H$10," baik ",IF(BV35&gt;=KKM!$I$10," cukup baik "," perlu bimbingan ")))</f>
        <v xml:space="preserve"> sangat baik </v>
      </c>
      <c r="BX35" s="524">
        <f t="shared" si="27"/>
        <v>99</v>
      </c>
      <c r="BY35" s="115" t="str">
        <f>IF(BX35&gt;KKM!$G$10," sangat baik ",IF(BX35&gt;KKM!$H$10," baik ",IF(BX35&gt;=KKM!$I$10," cukup baik "," perlu bimbingan ")))</f>
        <v xml:space="preserve"> sangat baik </v>
      </c>
      <c r="BZ35" s="301" t="str">
        <f t="shared" si="35"/>
        <v>Anak 31 sangat baik  dalam menggali isi dan amanat puisi yang disajikan secara lisan dan tulis dengan tujuan untuk kesenangan.</v>
      </c>
      <c r="CA35" s="307" t="str">
        <f t="shared" si="28"/>
        <v xml:space="preserve"> sangat baik  dalam menggali isi dan amanat puisi yang disajikan secara lisan dan tulis dengan tujuan untuk kesenangan.</v>
      </c>
      <c r="CB35" s="307" t="str">
        <f t="shared" si="29"/>
        <v xml:space="preserve"> sangat baik  dalam menggali isi dan amanat puisi yang disajikan secara lisan dan tulis dengan tujuan untuk kesenangan.</v>
      </c>
      <c r="CC35"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5" s="307" t="str">
        <f t="shared" si="31"/>
        <v xml:space="preserve"> sangat baik  dalam menggali isi dan amanat puisi yang disajikan secara lisan dan tulis dengan tujuan untuk kesenangan.</v>
      </c>
      <c r="CE35" s="308" t="str">
        <f t="shared" si="32"/>
        <v xml:space="preserve"> sangat baik  dalam menggali isi dan amanat puisi yang disajikan secara lisan dan tulis dengan tujuan untuk kesenangan.</v>
      </c>
      <c r="CF35" s="301" t="str">
        <f t="shared" si="33"/>
        <v>Anak 31 sangat baik  dalam menggali isi dan amanat puisi yang disajikan secara lisan dan tulis dengan tujuan untuk kesenangan.</v>
      </c>
    </row>
    <row r="36" spans="2:84" ht="51.75" customHeight="1">
      <c r="B36" s="109">
        <v>32</v>
      </c>
      <c r="C36" s="110">
        <f>SISWA!B37</f>
        <v>0</v>
      </c>
      <c r="D36" s="111" t="str">
        <f>SISWA!E37</f>
        <v>Anak 32</v>
      </c>
      <c r="E36" s="631">
        <v>99</v>
      </c>
      <c r="F36" s="631">
        <v>99</v>
      </c>
      <c r="G36" s="631">
        <v>99</v>
      </c>
      <c r="H36" s="631">
        <v>99</v>
      </c>
      <c r="I36" s="631">
        <v>99</v>
      </c>
      <c r="J36" s="730"/>
      <c r="K36" s="730"/>
      <c r="L36" s="731"/>
      <c r="M36" s="731"/>
      <c r="N36" s="731"/>
      <c r="O36" s="731"/>
      <c r="P36" s="731"/>
      <c r="Q36" s="730"/>
      <c r="R36" s="730"/>
      <c r="S36" s="610"/>
      <c r="T36" s="730"/>
      <c r="U36" s="631">
        <v>99</v>
      </c>
      <c r="V36" s="631">
        <v>99</v>
      </c>
      <c r="W36" s="730"/>
      <c r="X36" s="730"/>
      <c r="Y36" s="730"/>
      <c r="Z36" s="610"/>
      <c r="AA36" s="631">
        <v>80</v>
      </c>
      <c r="AB36" s="631">
        <v>71.75</v>
      </c>
      <c r="AC36" s="631">
        <v>99</v>
      </c>
      <c r="AD36" s="631">
        <v>99</v>
      </c>
      <c r="AE36" s="631">
        <v>99</v>
      </c>
      <c r="AF36" s="605"/>
      <c r="AG36" s="605"/>
      <c r="AH36" s="518"/>
      <c r="AI36" s="607">
        <f t="shared" si="15"/>
        <v>92.666666666666671</v>
      </c>
      <c r="AJ36" s="607">
        <f t="shared" si="16"/>
        <v>92.1875</v>
      </c>
      <c r="AK36" s="607">
        <f t="shared" si="17"/>
        <v>99</v>
      </c>
      <c r="AL36" s="607">
        <f t="shared" si="18"/>
        <v>99</v>
      </c>
      <c r="AM36" s="607">
        <f t="shared" si="19"/>
        <v>99</v>
      </c>
      <c r="AN36" s="607" t="str">
        <f t="shared" si="20"/>
        <v/>
      </c>
      <c r="AO36" s="608"/>
      <c r="AP36" s="528"/>
      <c r="AQ36" s="528"/>
      <c r="AR36" s="528"/>
      <c r="AS36" s="528"/>
      <c r="AT36" s="528"/>
      <c r="AU36" s="302">
        <f t="shared" si="9"/>
        <v>96</v>
      </c>
      <c r="AV36" s="303" t="str">
        <f>IF(AU36&gt;KKM!$G$10,"A",IF(AU36&gt;KKM!$H$10,"B",IF(AU36&gt;=KKM!$I$10,"C","D")))</f>
        <v>A</v>
      </c>
      <c r="AW36" s="523">
        <f t="shared" si="10"/>
        <v>99</v>
      </c>
      <c r="AX36" s="115" t="str">
        <f>IF(AW36&gt;KKM!$G$10," sangat baik ",IF(AW36&gt;KKM!$H$10," baik ",IF(AW36&gt;=KKM!$I$10," cukup baik "," perlu bimbingan ")))</f>
        <v xml:space="preserve"> sangat baik </v>
      </c>
      <c r="AY36" s="524">
        <f t="shared" si="11"/>
        <v>92.1875</v>
      </c>
      <c r="AZ36" s="115" t="str">
        <f>IF(AY36&gt;KKM!$G$10," sangat baik ",IF(AY36&gt;KKM!$H$10," baik ",IF(AY36&gt;=KKM!$I$10," cukup baik "," perlu bimbingan ")))</f>
        <v xml:space="preserve"> sangat baik </v>
      </c>
      <c r="BA36" s="301" t="str">
        <f t="shared" si="21"/>
        <v>Anak 32 sangat baik  dalam menggali pengetahuan baru yang terdapat pada teks nonfiksi., dan  sangat baik  dalam menggali isi dan amanat puisi yang disajikan secara lisan dan tulis dengan tujuan untuk kesenangan.</v>
      </c>
      <c r="BB36" s="306"/>
      <c r="BC36" s="307" t="str">
        <f t="shared" si="12"/>
        <v xml:space="preserve"> sangat baik  dalam menggali pengetahuan baru yang terdapat pada teks nonfiksi.</v>
      </c>
      <c r="BD36" s="307" t="str">
        <f t="shared" si="13"/>
        <v xml:space="preserve"> sangat baik  dalam menggali isi dan amanat puisi yang disajikan secara lisan dan tulis dengan tujuan untuk kesenangan.</v>
      </c>
      <c r="BE36" s="307" t="str">
        <f t="shared" si="22"/>
        <v xml:space="preserve"> sangat baik  dalam menggali pengetahuan baru yang terdapat pada teks nonfiksi., dan  sangat baik  dalam menggali isi dan amanat puisi yang disajikan secara lisan dan tulis dengan tujuan untuk kesenangan.</v>
      </c>
      <c r="BF36" s="307" t="str">
        <f t="shared" si="23"/>
        <v xml:space="preserve"> </v>
      </c>
      <c r="BG36" s="308" t="str">
        <f t="shared" si="24"/>
        <v xml:space="preserve"> sangat baik  dalam menggali pengetahuan baru yang terdapat pada teks nonfiksi., dan  sangat baik  dalam menggali isi dan amanat puisi yang disajikan secara lisan dan tulis dengan tujuan untuk kesenangan.</v>
      </c>
      <c r="BH36" s="301" t="str">
        <f t="shared" si="14"/>
        <v>Anak 32 sangat baik  dalam menggali pengetahuan baru yang terdapat pada teks nonfiksi., dan  sangat baik  dalam menggali isi dan amanat puisi yang disajikan secara lisan dan tulis dengan tujuan untuk kesenangan.</v>
      </c>
      <c r="BI36" s="120"/>
      <c r="BQ36" s="408">
        <f t="shared" si="34"/>
        <v>96</v>
      </c>
      <c r="BT36" s="302">
        <f t="shared" si="25"/>
        <v>99</v>
      </c>
      <c r="BU36" s="303" t="str">
        <f>IF(BT36&gt;KKM!$G$10,"A",IF(BT36&gt;KKM!$H$10,"B",IF(BT36&gt;=KKM!$I$10,"C","D")))</f>
        <v>A</v>
      </c>
      <c r="BV36" s="523">
        <f t="shared" si="26"/>
        <v>99</v>
      </c>
      <c r="BW36" s="115" t="str">
        <f>IF(BV36&gt;KKM!$G$10," sangat baik ",IF(BV36&gt;KKM!$H$10," baik ",IF(BV36&gt;=KKM!$I$10," cukup baik "," perlu bimbingan ")))</f>
        <v xml:space="preserve"> sangat baik </v>
      </c>
      <c r="BX36" s="524">
        <f t="shared" si="27"/>
        <v>99</v>
      </c>
      <c r="BY36" s="115" t="str">
        <f>IF(BX36&gt;KKM!$G$10," sangat baik ",IF(BX36&gt;KKM!$H$10," baik ",IF(BX36&gt;=KKM!$I$10," cukup baik "," perlu bimbingan ")))</f>
        <v xml:space="preserve"> sangat baik </v>
      </c>
      <c r="BZ36" s="301" t="str">
        <f t="shared" si="35"/>
        <v>Anak 32 sangat baik  dalam menggali isi dan amanat puisi yang disajikan secara lisan dan tulis dengan tujuan untuk kesenangan.</v>
      </c>
      <c r="CA36" s="307" t="str">
        <f t="shared" si="28"/>
        <v xml:space="preserve"> sangat baik  dalam menggali isi dan amanat puisi yang disajikan secara lisan dan tulis dengan tujuan untuk kesenangan.</v>
      </c>
      <c r="CB36" s="307" t="str">
        <f t="shared" si="29"/>
        <v xml:space="preserve"> sangat baik  dalam menggali isi dan amanat puisi yang disajikan secara lisan dan tulis dengan tujuan untuk kesenangan.</v>
      </c>
      <c r="CC36"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6" s="307" t="str">
        <f t="shared" si="31"/>
        <v xml:space="preserve"> sangat baik  dalam menggali isi dan amanat puisi yang disajikan secara lisan dan tulis dengan tujuan untuk kesenangan.</v>
      </c>
      <c r="CE36" s="308" t="str">
        <f t="shared" si="32"/>
        <v xml:space="preserve"> sangat baik  dalam menggali isi dan amanat puisi yang disajikan secara lisan dan tulis dengan tujuan untuk kesenangan.</v>
      </c>
      <c r="CF36" s="301" t="str">
        <f t="shared" si="33"/>
        <v>Anak 32 sangat baik  dalam menggali isi dan amanat puisi yang disajikan secara lisan dan tulis dengan tujuan untuk kesenangan.</v>
      </c>
    </row>
    <row r="37" spans="2:84" ht="51.75" customHeight="1">
      <c r="B37" s="109">
        <v>33</v>
      </c>
      <c r="C37" s="110">
        <f>SISWA!B38</f>
        <v>0</v>
      </c>
      <c r="D37" s="111" t="str">
        <f>SISWA!E38</f>
        <v>Anak 33</v>
      </c>
      <c r="E37" s="631">
        <v>99</v>
      </c>
      <c r="F37" s="631">
        <v>99</v>
      </c>
      <c r="G37" s="631">
        <v>99</v>
      </c>
      <c r="H37" s="631">
        <v>99</v>
      </c>
      <c r="I37" s="631">
        <v>99</v>
      </c>
      <c r="J37" s="730"/>
      <c r="K37" s="730"/>
      <c r="L37" s="731"/>
      <c r="M37" s="731"/>
      <c r="N37" s="731"/>
      <c r="O37" s="731"/>
      <c r="P37" s="731"/>
      <c r="Q37" s="730"/>
      <c r="R37" s="730"/>
      <c r="S37" s="610"/>
      <c r="T37" s="730"/>
      <c r="U37" s="631">
        <v>99</v>
      </c>
      <c r="V37" s="631">
        <v>99</v>
      </c>
      <c r="W37" s="730"/>
      <c r="X37" s="730"/>
      <c r="Y37" s="730"/>
      <c r="Z37" s="610"/>
      <c r="AA37" s="631">
        <v>79.5</v>
      </c>
      <c r="AB37" s="631">
        <v>76</v>
      </c>
      <c r="AC37" s="631">
        <v>99</v>
      </c>
      <c r="AD37" s="631">
        <v>99</v>
      </c>
      <c r="AE37" s="631">
        <v>99</v>
      </c>
      <c r="AF37" s="605"/>
      <c r="AG37" s="605"/>
      <c r="AH37" s="518"/>
      <c r="AI37" s="607">
        <f t="shared" si="15"/>
        <v>92.5</v>
      </c>
      <c r="AJ37" s="607">
        <f t="shared" si="16"/>
        <v>93.25</v>
      </c>
      <c r="AK37" s="607">
        <f t="shared" si="17"/>
        <v>99</v>
      </c>
      <c r="AL37" s="607">
        <f t="shared" si="18"/>
        <v>99</v>
      </c>
      <c r="AM37" s="607">
        <f t="shared" si="19"/>
        <v>99</v>
      </c>
      <c r="AN37" s="607" t="str">
        <f t="shared" si="20"/>
        <v/>
      </c>
      <c r="AO37" s="608"/>
      <c r="AP37" s="528"/>
      <c r="AQ37" s="528"/>
      <c r="AR37" s="528"/>
      <c r="AS37" s="528"/>
      <c r="AT37" s="528"/>
      <c r="AU37" s="302">
        <f t="shared" ref="AU37:AU54" si="36">ROUND((AVERAGE(AI37:AT37)),0)</f>
        <v>97</v>
      </c>
      <c r="AV37" s="303" t="str">
        <f>IF(AU37&gt;KKM!$G$10,"A",IF(AU37&gt;KKM!$H$10,"B",IF(AU37&gt;=KKM!$I$10,"C","D")))</f>
        <v>A</v>
      </c>
      <c r="AW37" s="523">
        <f t="shared" ref="AW37:AW54" si="37">MAX(AI37:AT37)</f>
        <v>99</v>
      </c>
      <c r="AX37" s="115" t="str">
        <f>IF(AW37&gt;KKM!$G$10," sangat baik ",IF(AW37&gt;KKM!$H$10," baik ",IF(AW37&gt;=KKM!$I$10," cukup baik "," perlu bimbingan ")))</f>
        <v xml:space="preserve"> sangat baik </v>
      </c>
      <c r="AY37" s="524">
        <f t="shared" ref="AY37:AY54" si="38">MIN(AI37:AT37)</f>
        <v>92.5</v>
      </c>
      <c r="AZ37" s="115" t="str">
        <f>IF(AY37&gt;KKM!$G$10," sangat baik ",IF(AY37&gt;KKM!$H$10," baik ",IF(AY37&gt;=KKM!$I$10," cukup baik "," perlu bimbingan ")))</f>
        <v xml:space="preserve"> sangat baik </v>
      </c>
      <c r="BA37" s="301" t="str">
        <f t="shared" si="21"/>
        <v>Anak 33 sangat baik  dalam menggali pengetahuan baru yang terdapat pada teks nonfiksi., dan  sangat baik  dalam menggali informasi dari seorang tokoh melalui wawancara menggunakan daftar pertanyaan.</v>
      </c>
      <c r="BB37" s="306"/>
      <c r="BC37" s="307" t="str">
        <f t="shared" ref="BC37:BC54" si="39">AX37&amp;" dalam "&amp;INDEX($AI$3:$AT$3,MATCH(AW37,$AI37:$AT37,0))</f>
        <v xml:space="preserve"> sangat baik  dalam menggali pengetahuan baru yang terdapat pada teks nonfiksi.</v>
      </c>
      <c r="BD37" s="307" t="str">
        <f t="shared" ref="BD37:BD54" si="40">AZ37&amp;" dalam "&amp;INDEX($AI$3:$AT$3,MATCH(AY37,$AI37:$AT37,0))</f>
        <v xml:space="preserve"> sangat baik  dalam menggali informasi dari seorang tokoh melalui wawancara menggunakan daftar pertanyaan.</v>
      </c>
      <c r="BE37" s="307" t="str">
        <f t="shared" si="22"/>
        <v xml:space="preserve"> sangat baik  dalam menggali pengetahuan baru yang terdapat pada teks nonfiksi., dan  sangat baik  dalam menggali informasi dari seorang tokoh melalui wawancara menggunakan daftar pertanyaan.</v>
      </c>
      <c r="BF37" s="307" t="str">
        <f t="shared" si="23"/>
        <v xml:space="preserve"> </v>
      </c>
      <c r="BG37" s="308" t="str">
        <f t="shared" si="24"/>
        <v xml:space="preserve"> sangat baik  dalam menggali pengetahuan baru yang terdapat pada teks nonfiksi., dan  sangat baik  dalam menggali informasi dari seorang tokoh melalui wawancara menggunakan daftar pertanyaan.</v>
      </c>
      <c r="BH37" s="301" t="str">
        <f t="shared" ref="BH37:BH54" si="41">CONCATENATE(D37,BG37)</f>
        <v>Anak 33 sangat baik  dalam menggali pengetahuan baru yang terdapat pada teks nonfiksi., dan  sangat baik  dalam menggali informasi dari seorang tokoh melalui wawancara menggunakan daftar pertanyaan.</v>
      </c>
      <c r="BI37" s="120"/>
      <c r="BQ37" s="408">
        <f t="shared" si="34"/>
        <v>97</v>
      </c>
      <c r="BT37" s="302">
        <f t="shared" si="25"/>
        <v>99</v>
      </c>
      <c r="BU37" s="303" t="str">
        <f>IF(BT37&gt;KKM!$G$10,"A",IF(BT37&gt;KKM!$H$10,"B",IF(BT37&gt;=KKM!$I$10,"C","D")))</f>
        <v>A</v>
      </c>
      <c r="BV37" s="523">
        <f t="shared" si="26"/>
        <v>99</v>
      </c>
      <c r="BW37" s="115" t="str">
        <f>IF(BV37&gt;KKM!$G$10," sangat baik ",IF(BV37&gt;KKM!$H$10," baik ",IF(BV37&gt;=KKM!$I$10," cukup baik "," perlu bimbingan ")))</f>
        <v xml:space="preserve"> sangat baik </v>
      </c>
      <c r="BX37" s="524">
        <f t="shared" si="27"/>
        <v>99</v>
      </c>
      <c r="BY37" s="115" t="str">
        <f>IF(BX37&gt;KKM!$G$10," sangat baik ",IF(BX37&gt;KKM!$H$10," baik ",IF(BX37&gt;=KKM!$I$10," cukup baik "," perlu bimbingan ")))</f>
        <v xml:space="preserve"> sangat baik </v>
      </c>
      <c r="BZ37" s="301" t="str">
        <f t="shared" si="35"/>
        <v>Anak 33 sangat baik  dalam menggali isi dan amanat puisi yang disajikan secara lisan dan tulis dengan tujuan untuk kesenangan.</v>
      </c>
      <c r="CA37" s="307" t="str">
        <f t="shared" si="28"/>
        <v xml:space="preserve"> sangat baik  dalam menggali isi dan amanat puisi yang disajikan secara lisan dan tulis dengan tujuan untuk kesenangan.</v>
      </c>
      <c r="CB37" s="307" t="str">
        <f t="shared" si="29"/>
        <v xml:space="preserve"> sangat baik  dalam menggali isi dan amanat puisi yang disajikan secara lisan dan tulis dengan tujuan untuk kesenangan.</v>
      </c>
      <c r="CC37"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7" s="307" t="str">
        <f t="shared" si="31"/>
        <v xml:space="preserve"> sangat baik  dalam menggali isi dan amanat puisi yang disajikan secara lisan dan tulis dengan tujuan untuk kesenangan.</v>
      </c>
      <c r="CE37" s="308" t="str">
        <f t="shared" si="32"/>
        <v xml:space="preserve"> sangat baik  dalam menggali isi dan amanat puisi yang disajikan secara lisan dan tulis dengan tujuan untuk kesenangan.</v>
      </c>
      <c r="CF37" s="301" t="str">
        <f t="shared" si="33"/>
        <v>Anak 33 sangat baik  dalam menggali isi dan amanat puisi yang disajikan secara lisan dan tulis dengan tujuan untuk kesenangan.</v>
      </c>
    </row>
    <row r="38" spans="2:84" ht="51.75" customHeight="1">
      <c r="B38" s="109">
        <v>34</v>
      </c>
      <c r="C38" s="110">
        <f>SISWA!B39</f>
        <v>0</v>
      </c>
      <c r="D38" s="111" t="str">
        <f>SISWA!E39</f>
        <v>Anak 34</v>
      </c>
      <c r="E38" s="631">
        <v>99</v>
      </c>
      <c r="F38" s="631">
        <v>99</v>
      </c>
      <c r="G38" s="631">
        <v>99</v>
      </c>
      <c r="H38" s="631">
        <v>99</v>
      </c>
      <c r="I38" s="631">
        <v>99</v>
      </c>
      <c r="J38" s="730"/>
      <c r="K38" s="730"/>
      <c r="L38" s="731"/>
      <c r="M38" s="731"/>
      <c r="N38" s="731"/>
      <c r="O38" s="731"/>
      <c r="P38" s="731"/>
      <c r="Q38" s="730"/>
      <c r="R38" s="730"/>
      <c r="S38" s="610"/>
      <c r="T38" s="730"/>
      <c r="U38" s="631">
        <v>99</v>
      </c>
      <c r="V38" s="631">
        <v>99</v>
      </c>
      <c r="W38" s="730"/>
      <c r="X38" s="730"/>
      <c r="Y38" s="730"/>
      <c r="Z38" s="610"/>
      <c r="AA38" s="631">
        <v>79.5</v>
      </c>
      <c r="AB38" s="631">
        <v>82.75</v>
      </c>
      <c r="AC38" s="631">
        <v>99</v>
      </c>
      <c r="AD38" s="631">
        <v>99</v>
      </c>
      <c r="AE38" s="631">
        <v>99</v>
      </c>
      <c r="AF38" s="605"/>
      <c r="AG38" s="605"/>
      <c r="AH38" s="518"/>
      <c r="AI38" s="607">
        <f t="shared" si="15"/>
        <v>92.5</v>
      </c>
      <c r="AJ38" s="607">
        <f t="shared" si="16"/>
        <v>94.9375</v>
      </c>
      <c r="AK38" s="607">
        <f t="shared" si="17"/>
        <v>99</v>
      </c>
      <c r="AL38" s="607">
        <f t="shared" si="18"/>
        <v>99</v>
      </c>
      <c r="AM38" s="607">
        <f t="shared" si="19"/>
        <v>99</v>
      </c>
      <c r="AN38" s="607" t="str">
        <f t="shared" si="20"/>
        <v/>
      </c>
      <c r="AO38" s="608"/>
      <c r="AP38" s="528"/>
      <c r="AQ38" s="528"/>
      <c r="AR38" s="528"/>
      <c r="AS38" s="528"/>
      <c r="AT38" s="528"/>
      <c r="AU38" s="302">
        <f t="shared" si="36"/>
        <v>97</v>
      </c>
      <c r="AV38" s="303" t="str">
        <f>IF(AU38&gt;KKM!$G$10,"A",IF(AU38&gt;KKM!$H$10,"B",IF(AU38&gt;=KKM!$I$10,"C","D")))</f>
        <v>A</v>
      </c>
      <c r="AW38" s="523">
        <f t="shared" si="37"/>
        <v>99</v>
      </c>
      <c r="AX38" s="115" t="str">
        <f>IF(AW38&gt;KKM!$G$10," sangat baik ",IF(AW38&gt;KKM!$H$10," baik ",IF(AW38&gt;=KKM!$I$10," cukup baik "," perlu bimbingan ")))</f>
        <v xml:space="preserve"> sangat baik </v>
      </c>
      <c r="AY38" s="524">
        <f t="shared" si="38"/>
        <v>92.5</v>
      </c>
      <c r="AZ38" s="115" t="str">
        <f>IF(AY38&gt;KKM!$G$10," sangat baik ",IF(AY38&gt;KKM!$H$10," baik ",IF(AY38&gt;=KKM!$I$10," cukup baik "," perlu bimbingan ")))</f>
        <v xml:space="preserve"> sangat baik </v>
      </c>
      <c r="BA38" s="301" t="str">
        <f t="shared" si="21"/>
        <v>Anak 34 sangat baik  dalam menggali pengetahuan baru yang terdapat pada teks nonfiksi., dan  sangat baik  dalam menggali informasi dari seorang tokoh melalui wawancara menggunakan daftar pertanyaan.</v>
      </c>
      <c r="BB38" s="306"/>
      <c r="BC38" s="307" t="str">
        <f t="shared" si="39"/>
        <v xml:space="preserve"> sangat baik  dalam menggali pengetahuan baru yang terdapat pada teks nonfiksi.</v>
      </c>
      <c r="BD38" s="307" t="str">
        <f t="shared" si="40"/>
        <v xml:space="preserve"> sangat baik  dalam menggali informasi dari seorang tokoh melalui wawancara menggunakan daftar pertanyaan.</v>
      </c>
      <c r="BE38" s="307" t="str">
        <f t="shared" si="22"/>
        <v xml:space="preserve"> sangat baik  dalam menggali pengetahuan baru yang terdapat pada teks nonfiksi., dan  sangat baik  dalam menggali informasi dari seorang tokoh melalui wawancara menggunakan daftar pertanyaan.</v>
      </c>
      <c r="BF38" s="307" t="str">
        <f t="shared" si="23"/>
        <v xml:space="preserve"> </v>
      </c>
      <c r="BG38" s="308" t="str">
        <f t="shared" si="24"/>
        <v xml:space="preserve"> sangat baik  dalam menggali pengetahuan baru yang terdapat pada teks nonfiksi., dan  sangat baik  dalam menggali informasi dari seorang tokoh melalui wawancara menggunakan daftar pertanyaan.</v>
      </c>
      <c r="BH38" s="301" t="str">
        <f t="shared" si="41"/>
        <v>Anak 34 sangat baik  dalam menggali pengetahuan baru yang terdapat pada teks nonfiksi., dan  sangat baik  dalam menggali informasi dari seorang tokoh melalui wawancara menggunakan daftar pertanyaan.</v>
      </c>
      <c r="BI38" s="120"/>
      <c r="BQ38" s="408">
        <f t="shared" si="34"/>
        <v>97</v>
      </c>
      <c r="BT38" s="302">
        <f t="shared" si="25"/>
        <v>99</v>
      </c>
      <c r="BU38" s="303" t="str">
        <f>IF(BT38&gt;KKM!$G$10,"A",IF(BT38&gt;KKM!$H$10,"B",IF(BT38&gt;=KKM!$I$10,"C","D")))</f>
        <v>A</v>
      </c>
      <c r="BV38" s="523">
        <f t="shared" si="26"/>
        <v>99</v>
      </c>
      <c r="BW38" s="115" t="str">
        <f>IF(BV38&gt;KKM!$G$10," sangat baik ",IF(BV38&gt;KKM!$H$10," baik ",IF(BV38&gt;=KKM!$I$10," cukup baik "," perlu bimbingan ")))</f>
        <v xml:space="preserve"> sangat baik </v>
      </c>
      <c r="BX38" s="524">
        <f t="shared" si="27"/>
        <v>99</v>
      </c>
      <c r="BY38" s="115" t="str">
        <f>IF(BX38&gt;KKM!$G$10," sangat baik ",IF(BX38&gt;KKM!$H$10," baik ",IF(BX38&gt;=KKM!$I$10," cukup baik "," perlu bimbingan ")))</f>
        <v xml:space="preserve"> sangat baik </v>
      </c>
      <c r="BZ38" s="301" t="str">
        <f t="shared" si="35"/>
        <v>Anak 34 sangat baik  dalam menggali isi dan amanat puisi yang disajikan secara lisan dan tulis dengan tujuan untuk kesenangan.</v>
      </c>
      <c r="CA38" s="307" t="str">
        <f t="shared" si="28"/>
        <v xml:space="preserve"> sangat baik  dalam menggali isi dan amanat puisi yang disajikan secara lisan dan tulis dengan tujuan untuk kesenangan.</v>
      </c>
      <c r="CB38" s="307" t="str">
        <f t="shared" si="29"/>
        <v xml:space="preserve"> sangat baik  dalam menggali isi dan amanat puisi yang disajikan secara lisan dan tulis dengan tujuan untuk kesenangan.</v>
      </c>
      <c r="CC38"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8" s="307" t="str">
        <f t="shared" si="31"/>
        <v xml:space="preserve"> sangat baik  dalam menggali isi dan amanat puisi yang disajikan secara lisan dan tulis dengan tujuan untuk kesenangan.</v>
      </c>
      <c r="CE38" s="308" t="str">
        <f t="shared" si="32"/>
        <v xml:space="preserve"> sangat baik  dalam menggali isi dan amanat puisi yang disajikan secara lisan dan tulis dengan tujuan untuk kesenangan.</v>
      </c>
      <c r="CF38" s="301" t="str">
        <f t="shared" si="33"/>
        <v>Anak 34 sangat baik  dalam menggali isi dan amanat puisi yang disajikan secara lisan dan tulis dengan tujuan untuk kesenangan.</v>
      </c>
    </row>
    <row r="39" spans="2:84" ht="51.75" customHeight="1">
      <c r="B39" s="109">
        <v>35</v>
      </c>
      <c r="C39" s="110">
        <f>SISWA!B40</f>
        <v>0</v>
      </c>
      <c r="D39" s="111" t="str">
        <f>SISWA!E40</f>
        <v>Anak 35</v>
      </c>
      <c r="E39" s="631">
        <v>99</v>
      </c>
      <c r="F39" s="631">
        <v>99</v>
      </c>
      <c r="G39" s="631">
        <v>99</v>
      </c>
      <c r="H39" s="631">
        <v>99</v>
      </c>
      <c r="I39" s="631">
        <v>99</v>
      </c>
      <c r="J39" s="730"/>
      <c r="K39" s="730"/>
      <c r="L39" s="731"/>
      <c r="M39" s="731"/>
      <c r="N39" s="731"/>
      <c r="O39" s="731"/>
      <c r="P39" s="731"/>
      <c r="Q39" s="730"/>
      <c r="R39" s="730"/>
      <c r="S39" s="610"/>
      <c r="T39" s="730"/>
      <c r="U39" s="631">
        <v>99</v>
      </c>
      <c r="V39" s="631">
        <v>99</v>
      </c>
      <c r="W39" s="730"/>
      <c r="X39" s="730"/>
      <c r="Y39" s="730"/>
      <c r="Z39" s="610"/>
      <c r="AA39" s="631">
        <v>79.5</v>
      </c>
      <c r="AB39" s="631">
        <v>74.75</v>
      </c>
      <c r="AC39" s="631">
        <v>99</v>
      </c>
      <c r="AD39" s="631">
        <v>99</v>
      </c>
      <c r="AE39" s="631">
        <v>99</v>
      </c>
      <c r="AF39" s="605"/>
      <c r="AG39" s="605"/>
      <c r="AH39" s="518"/>
      <c r="AI39" s="607">
        <f t="shared" si="15"/>
        <v>92.5</v>
      </c>
      <c r="AJ39" s="607">
        <f t="shared" si="16"/>
        <v>92.9375</v>
      </c>
      <c r="AK39" s="607">
        <f t="shared" si="17"/>
        <v>99</v>
      </c>
      <c r="AL39" s="607">
        <f t="shared" si="18"/>
        <v>99</v>
      </c>
      <c r="AM39" s="607">
        <f t="shared" si="19"/>
        <v>99</v>
      </c>
      <c r="AN39" s="607" t="str">
        <f t="shared" si="20"/>
        <v/>
      </c>
      <c r="AO39" s="608"/>
      <c r="AP39" s="528"/>
      <c r="AQ39" s="528"/>
      <c r="AR39" s="528"/>
      <c r="AS39" s="528"/>
      <c r="AT39" s="528"/>
      <c r="AU39" s="302">
        <f t="shared" si="36"/>
        <v>96</v>
      </c>
      <c r="AV39" s="303" t="str">
        <f>IF(AU39&gt;KKM!$G$10,"A",IF(AU39&gt;KKM!$H$10,"B",IF(AU39&gt;=KKM!$I$10,"C","D")))</f>
        <v>A</v>
      </c>
      <c r="AW39" s="523">
        <f t="shared" si="37"/>
        <v>99</v>
      </c>
      <c r="AX39" s="115" t="str">
        <f>IF(AW39&gt;KKM!$G$10," sangat baik ",IF(AW39&gt;KKM!$H$10," baik ",IF(AW39&gt;=KKM!$I$10," cukup baik "," perlu bimbingan ")))</f>
        <v xml:space="preserve"> sangat baik </v>
      </c>
      <c r="AY39" s="524">
        <f t="shared" si="38"/>
        <v>92.5</v>
      </c>
      <c r="AZ39" s="115" t="str">
        <f>IF(AY39&gt;KKM!$G$10," sangat baik ",IF(AY39&gt;KKM!$H$10," baik ",IF(AY39&gt;=KKM!$I$10," cukup baik "," perlu bimbingan ")))</f>
        <v xml:space="preserve"> sangat baik </v>
      </c>
      <c r="BA39" s="301" t="str">
        <f t="shared" si="21"/>
        <v>Anak 35 sangat baik  dalam menggali pengetahuan baru yang terdapat pada teks nonfiksi., dan  sangat baik  dalam menggali informasi dari seorang tokoh melalui wawancara menggunakan daftar pertanyaan.</v>
      </c>
      <c r="BB39" s="306"/>
      <c r="BC39" s="307" t="str">
        <f t="shared" si="39"/>
        <v xml:space="preserve"> sangat baik  dalam menggali pengetahuan baru yang terdapat pada teks nonfiksi.</v>
      </c>
      <c r="BD39" s="307" t="str">
        <f t="shared" si="40"/>
        <v xml:space="preserve"> sangat baik  dalam menggali informasi dari seorang tokoh melalui wawancara menggunakan daftar pertanyaan.</v>
      </c>
      <c r="BE39" s="307" t="str">
        <f t="shared" si="22"/>
        <v xml:space="preserve"> sangat baik  dalam menggali pengetahuan baru yang terdapat pada teks nonfiksi., dan  sangat baik  dalam menggali informasi dari seorang tokoh melalui wawancara menggunakan daftar pertanyaan.</v>
      </c>
      <c r="BF39" s="307" t="str">
        <f t="shared" si="23"/>
        <v xml:space="preserve"> </v>
      </c>
      <c r="BG39" s="308" t="str">
        <f t="shared" si="24"/>
        <v xml:space="preserve"> sangat baik  dalam menggali pengetahuan baru yang terdapat pada teks nonfiksi., dan  sangat baik  dalam menggali informasi dari seorang tokoh melalui wawancara menggunakan daftar pertanyaan.</v>
      </c>
      <c r="BH39" s="301" t="str">
        <f t="shared" si="41"/>
        <v>Anak 35 sangat baik  dalam menggali pengetahuan baru yang terdapat pada teks nonfiksi., dan  sangat baik  dalam menggali informasi dari seorang tokoh melalui wawancara menggunakan daftar pertanyaan.</v>
      </c>
      <c r="BI39" s="120"/>
      <c r="BQ39" s="408">
        <f t="shared" si="34"/>
        <v>96</v>
      </c>
      <c r="BT39" s="302">
        <f t="shared" si="25"/>
        <v>99</v>
      </c>
      <c r="BU39" s="303" t="str">
        <f>IF(BT39&gt;KKM!$G$10,"A",IF(BT39&gt;KKM!$H$10,"B",IF(BT39&gt;=KKM!$I$10,"C","D")))</f>
        <v>A</v>
      </c>
      <c r="BV39" s="523">
        <f t="shared" si="26"/>
        <v>99</v>
      </c>
      <c r="BW39" s="115" t="str">
        <f>IF(BV39&gt;KKM!$G$10," sangat baik ",IF(BV39&gt;KKM!$H$10," baik ",IF(BV39&gt;=KKM!$I$10," cukup baik "," perlu bimbingan ")))</f>
        <v xml:space="preserve"> sangat baik </v>
      </c>
      <c r="BX39" s="524">
        <f t="shared" si="27"/>
        <v>99</v>
      </c>
      <c r="BY39" s="115" t="str">
        <f>IF(BX39&gt;KKM!$G$10," sangat baik ",IF(BX39&gt;KKM!$H$10," baik ",IF(BX39&gt;=KKM!$I$10," cukup baik "," perlu bimbingan ")))</f>
        <v xml:space="preserve"> sangat baik </v>
      </c>
      <c r="BZ39" s="301" t="str">
        <f t="shared" si="35"/>
        <v>Anak 35 sangat baik  dalam menggali isi dan amanat puisi yang disajikan secara lisan dan tulis dengan tujuan untuk kesenangan.</v>
      </c>
      <c r="CA39" s="307" t="str">
        <f t="shared" si="28"/>
        <v xml:space="preserve"> sangat baik  dalam menggali isi dan amanat puisi yang disajikan secara lisan dan tulis dengan tujuan untuk kesenangan.</v>
      </c>
      <c r="CB39" s="307" t="str">
        <f t="shared" si="29"/>
        <v xml:space="preserve"> sangat baik  dalam menggali isi dan amanat puisi yang disajikan secara lisan dan tulis dengan tujuan untuk kesenangan.</v>
      </c>
      <c r="CC39"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39" s="307" t="str">
        <f t="shared" si="31"/>
        <v xml:space="preserve"> sangat baik  dalam menggali isi dan amanat puisi yang disajikan secara lisan dan tulis dengan tujuan untuk kesenangan.</v>
      </c>
      <c r="CE39" s="308" t="str">
        <f t="shared" si="32"/>
        <v xml:space="preserve"> sangat baik  dalam menggali isi dan amanat puisi yang disajikan secara lisan dan tulis dengan tujuan untuk kesenangan.</v>
      </c>
      <c r="CF39" s="301" t="str">
        <f t="shared" si="33"/>
        <v>Anak 35 sangat baik  dalam menggali isi dan amanat puisi yang disajikan secara lisan dan tulis dengan tujuan untuk kesenangan.</v>
      </c>
    </row>
    <row r="40" spans="2:84" ht="51.75" customHeight="1">
      <c r="B40" s="109">
        <v>36</v>
      </c>
      <c r="C40" s="110">
        <f>SISWA!B41</f>
        <v>0</v>
      </c>
      <c r="D40" s="111" t="str">
        <f>SISWA!E41</f>
        <v>Anak 36</v>
      </c>
      <c r="E40" s="631">
        <v>99</v>
      </c>
      <c r="F40" s="631">
        <v>99</v>
      </c>
      <c r="G40" s="631">
        <v>99</v>
      </c>
      <c r="H40" s="631">
        <v>99</v>
      </c>
      <c r="I40" s="631">
        <v>99</v>
      </c>
      <c r="J40" s="730"/>
      <c r="K40" s="730"/>
      <c r="L40" s="731"/>
      <c r="M40" s="731"/>
      <c r="N40" s="731"/>
      <c r="O40" s="731"/>
      <c r="P40" s="731"/>
      <c r="Q40" s="730"/>
      <c r="R40" s="730"/>
      <c r="S40" s="610"/>
      <c r="T40" s="730"/>
      <c r="U40" s="631">
        <v>99</v>
      </c>
      <c r="V40" s="631">
        <v>99</v>
      </c>
      <c r="W40" s="730"/>
      <c r="X40" s="730"/>
      <c r="Y40" s="730"/>
      <c r="Z40" s="610"/>
      <c r="AA40" s="631">
        <v>89</v>
      </c>
      <c r="AB40" s="631">
        <v>75.25</v>
      </c>
      <c r="AC40" s="631">
        <v>99</v>
      </c>
      <c r="AD40" s="631">
        <v>99</v>
      </c>
      <c r="AE40" s="631">
        <v>99</v>
      </c>
      <c r="AF40" s="605"/>
      <c r="AG40" s="605"/>
      <c r="AH40" s="518"/>
      <c r="AI40" s="607">
        <f t="shared" si="15"/>
        <v>95.666666666666671</v>
      </c>
      <c r="AJ40" s="607">
        <f t="shared" si="16"/>
        <v>93.0625</v>
      </c>
      <c r="AK40" s="607">
        <f t="shared" si="17"/>
        <v>99</v>
      </c>
      <c r="AL40" s="607">
        <f t="shared" si="18"/>
        <v>99</v>
      </c>
      <c r="AM40" s="607">
        <f t="shared" si="19"/>
        <v>99</v>
      </c>
      <c r="AN40" s="607" t="str">
        <f t="shared" si="20"/>
        <v/>
      </c>
      <c r="AO40" s="608"/>
      <c r="AP40" s="528"/>
      <c r="AQ40" s="528"/>
      <c r="AR40" s="528"/>
      <c r="AS40" s="528"/>
      <c r="AT40" s="528"/>
      <c r="AU40" s="302">
        <f t="shared" si="36"/>
        <v>97</v>
      </c>
      <c r="AV40" s="303" t="str">
        <f>IF(AU40&gt;KKM!$G$10,"A",IF(AU40&gt;KKM!$H$10,"B",IF(AU40&gt;=KKM!$I$10,"C","D")))</f>
        <v>A</v>
      </c>
      <c r="AW40" s="523">
        <f t="shared" si="37"/>
        <v>99</v>
      </c>
      <c r="AX40" s="115" t="str">
        <f>IF(AW40&gt;KKM!$G$10," sangat baik ",IF(AW40&gt;KKM!$H$10," baik ",IF(AW40&gt;=KKM!$I$10," cukup baik "," perlu bimbingan ")))</f>
        <v xml:space="preserve"> sangat baik </v>
      </c>
      <c r="AY40" s="524">
        <f t="shared" si="38"/>
        <v>93.0625</v>
      </c>
      <c r="AZ40" s="115" t="str">
        <f>IF(AY40&gt;KKM!$G$10," sangat baik ",IF(AY40&gt;KKM!$H$10," baik ",IF(AY40&gt;=KKM!$I$10," cukup baik "," perlu bimbingan ")))</f>
        <v xml:space="preserve"> sangat baik </v>
      </c>
      <c r="BA40" s="301" t="str">
        <f t="shared" si="21"/>
        <v>Anak 36 sangat baik  dalam menggali pengetahuan baru yang terdapat pada teks nonfiksi., dan  sangat baik  dalam menggali isi dan amanat puisi yang disajikan secara lisan dan tulis dengan tujuan untuk kesenangan.</v>
      </c>
      <c r="BB40" s="306"/>
      <c r="BC40" s="307" t="str">
        <f t="shared" si="39"/>
        <v xml:space="preserve"> sangat baik  dalam menggali pengetahuan baru yang terdapat pada teks nonfiksi.</v>
      </c>
      <c r="BD40" s="307" t="str">
        <f t="shared" si="40"/>
        <v xml:space="preserve"> sangat baik  dalam menggali isi dan amanat puisi yang disajikan secara lisan dan tulis dengan tujuan untuk kesenangan.</v>
      </c>
      <c r="BE40" s="307" t="str">
        <f t="shared" si="22"/>
        <v xml:space="preserve"> sangat baik  dalam menggali pengetahuan baru yang terdapat pada teks nonfiksi., dan  sangat baik  dalam menggali isi dan amanat puisi yang disajikan secara lisan dan tulis dengan tujuan untuk kesenangan.</v>
      </c>
      <c r="BF40" s="307" t="str">
        <f t="shared" si="23"/>
        <v xml:space="preserve"> </v>
      </c>
      <c r="BG40" s="308" t="str">
        <f t="shared" si="24"/>
        <v xml:space="preserve"> sangat baik  dalam menggali pengetahuan baru yang terdapat pada teks nonfiksi., dan  sangat baik  dalam menggali isi dan amanat puisi yang disajikan secara lisan dan tulis dengan tujuan untuk kesenangan.</v>
      </c>
      <c r="BH40" s="301" t="str">
        <f t="shared" si="41"/>
        <v>Anak 36 sangat baik  dalam menggali pengetahuan baru yang terdapat pada teks nonfiksi., dan  sangat baik  dalam menggali isi dan amanat puisi yang disajikan secara lisan dan tulis dengan tujuan untuk kesenangan.</v>
      </c>
      <c r="BI40" s="120"/>
      <c r="BQ40" s="408">
        <f t="shared" si="34"/>
        <v>97</v>
      </c>
      <c r="BT40" s="302">
        <f t="shared" si="25"/>
        <v>99</v>
      </c>
      <c r="BU40" s="303" t="str">
        <f>IF(BT40&gt;KKM!$G$10,"A",IF(BT40&gt;KKM!$H$10,"B",IF(BT40&gt;=KKM!$I$10,"C","D")))</f>
        <v>A</v>
      </c>
      <c r="BV40" s="523">
        <f t="shared" si="26"/>
        <v>99</v>
      </c>
      <c r="BW40" s="115" t="str">
        <f>IF(BV40&gt;KKM!$G$10," sangat baik ",IF(BV40&gt;KKM!$H$10," baik ",IF(BV40&gt;=KKM!$I$10," cukup baik "," perlu bimbingan ")))</f>
        <v xml:space="preserve"> sangat baik </v>
      </c>
      <c r="BX40" s="524">
        <f t="shared" si="27"/>
        <v>99</v>
      </c>
      <c r="BY40" s="115" t="str">
        <f>IF(BX40&gt;KKM!$G$10," sangat baik ",IF(BX40&gt;KKM!$H$10," baik ",IF(BX40&gt;=KKM!$I$10," cukup baik "," perlu bimbingan ")))</f>
        <v xml:space="preserve"> sangat baik </v>
      </c>
      <c r="BZ40" s="301" t="str">
        <f t="shared" si="35"/>
        <v>Anak 36 sangat baik  dalam menggali isi dan amanat puisi yang disajikan secara lisan dan tulis dengan tujuan untuk kesenangan.</v>
      </c>
      <c r="CA40" s="307" t="str">
        <f t="shared" si="28"/>
        <v xml:space="preserve"> sangat baik  dalam menggali isi dan amanat puisi yang disajikan secara lisan dan tulis dengan tujuan untuk kesenangan.</v>
      </c>
      <c r="CB40" s="307" t="str">
        <f t="shared" si="29"/>
        <v xml:space="preserve"> sangat baik  dalam menggali isi dan amanat puisi yang disajikan secara lisan dan tulis dengan tujuan untuk kesenangan.</v>
      </c>
      <c r="CC40"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0" s="307" t="str">
        <f t="shared" si="31"/>
        <v xml:space="preserve"> sangat baik  dalam menggali isi dan amanat puisi yang disajikan secara lisan dan tulis dengan tujuan untuk kesenangan.</v>
      </c>
      <c r="CE40" s="308" t="str">
        <f t="shared" si="32"/>
        <v xml:space="preserve"> sangat baik  dalam menggali isi dan amanat puisi yang disajikan secara lisan dan tulis dengan tujuan untuk kesenangan.</v>
      </c>
      <c r="CF40" s="301" t="str">
        <f t="shared" si="33"/>
        <v>Anak 36 sangat baik  dalam menggali isi dan amanat puisi yang disajikan secara lisan dan tulis dengan tujuan untuk kesenangan.</v>
      </c>
    </row>
    <row r="41" spans="2:84" ht="51.75" customHeight="1">
      <c r="B41" s="109">
        <v>37</v>
      </c>
      <c r="C41" s="110">
        <f>SISWA!B42</f>
        <v>0</v>
      </c>
      <c r="D41" s="111" t="str">
        <f>SISWA!E42</f>
        <v>Anak 37</v>
      </c>
      <c r="E41" s="631">
        <v>99</v>
      </c>
      <c r="F41" s="631">
        <v>99</v>
      </c>
      <c r="G41" s="631">
        <v>99</v>
      </c>
      <c r="H41" s="631">
        <v>99</v>
      </c>
      <c r="I41" s="631">
        <v>99</v>
      </c>
      <c r="J41" s="730"/>
      <c r="K41" s="730"/>
      <c r="L41" s="731"/>
      <c r="M41" s="731"/>
      <c r="N41" s="731"/>
      <c r="O41" s="731"/>
      <c r="P41" s="731"/>
      <c r="Q41" s="730"/>
      <c r="R41" s="730"/>
      <c r="S41" s="610"/>
      <c r="T41" s="730"/>
      <c r="U41" s="631">
        <v>99</v>
      </c>
      <c r="V41" s="631">
        <v>99</v>
      </c>
      <c r="W41" s="730"/>
      <c r="X41" s="730"/>
      <c r="Y41" s="730"/>
      <c r="Z41" s="610"/>
      <c r="AA41" s="631">
        <v>81</v>
      </c>
      <c r="AB41" s="631">
        <v>80.5</v>
      </c>
      <c r="AC41" s="631">
        <v>99</v>
      </c>
      <c r="AD41" s="631">
        <v>99</v>
      </c>
      <c r="AE41" s="631">
        <v>99</v>
      </c>
      <c r="AF41" s="605"/>
      <c r="AG41" s="605"/>
      <c r="AH41" s="518"/>
      <c r="AI41" s="607">
        <f t="shared" si="15"/>
        <v>93</v>
      </c>
      <c r="AJ41" s="607">
        <f t="shared" si="16"/>
        <v>94.375</v>
      </c>
      <c r="AK41" s="607">
        <f t="shared" si="17"/>
        <v>99</v>
      </c>
      <c r="AL41" s="607">
        <f t="shared" si="18"/>
        <v>99</v>
      </c>
      <c r="AM41" s="607">
        <f t="shared" si="19"/>
        <v>99</v>
      </c>
      <c r="AN41" s="607" t="str">
        <f t="shared" si="20"/>
        <v/>
      </c>
      <c r="AO41" s="608"/>
      <c r="AP41" s="528"/>
      <c r="AQ41" s="528"/>
      <c r="AR41" s="528"/>
      <c r="AS41" s="528"/>
      <c r="AT41" s="528"/>
      <c r="AU41" s="302">
        <f t="shared" si="36"/>
        <v>97</v>
      </c>
      <c r="AV41" s="303" t="str">
        <f>IF(AU41&gt;KKM!$G$10,"A",IF(AU41&gt;KKM!$H$10,"B",IF(AU41&gt;=KKM!$I$10,"C","D")))</f>
        <v>A</v>
      </c>
      <c r="AW41" s="523">
        <f t="shared" si="37"/>
        <v>99</v>
      </c>
      <c r="AX41" s="115" t="str">
        <f>IF(AW41&gt;KKM!$G$10," sangat baik ",IF(AW41&gt;KKM!$H$10," baik ",IF(AW41&gt;=KKM!$I$10," cukup baik "," perlu bimbingan ")))</f>
        <v xml:space="preserve"> sangat baik </v>
      </c>
      <c r="AY41" s="524">
        <f t="shared" si="38"/>
        <v>93</v>
      </c>
      <c r="AZ41" s="115" t="str">
        <f>IF(AY41&gt;KKM!$G$10," sangat baik ",IF(AY41&gt;KKM!$H$10," baik ",IF(AY41&gt;=KKM!$I$10," cukup baik "," perlu bimbingan ")))</f>
        <v xml:space="preserve"> sangat baik </v>
      </c>
      <c r="BA41" s="301" t="str">
        <f t="shared" si="21"/>
        <v>Anak 37 sangat baik  dalam menggali pengetahuan baru yang terdapat pada teks nonfiksi., dan  sangat baik  dalam menggali informasi dari seorang tokoh melalui wawancara menggunakan daftar pertanyaan.</v>
      </c>
      <c r="BB41" s="306"/>
      <c r="BC41" s="307" t="str">
        <f t="shared" si="39"/>
        <v xml:space="preserve"> sangat baik  dalam menggali pengetahuan baru yang terdapat pada teks nonfiksi.</v>
      </c>
      <c r="BD41" s="307" t="str">
        <f t="shared" si="40"/>
        <v xml:space="preserve"> sangat baik  dalam menggali informasi dari seorang tokoh melalui wawancara menggunakan daftar pertanyaan.</v>
      </c>
      <c r="BE41" s="307" t="str">
        <f t="shared" si="22"/>
        <v xml:space="preserve"> sangat baik  dalam menggali pengetahuan baru yang terdapat pada teks nonfiksi., dan  sangat baik  dalam menggali informasi dari seorang tokoh melalui wawancara menggunakan daftar pertanyaan.</v>
      </c>
      <c r="BF41" s="307" t="str">
        <f t="shared" si="23"/>
        <v xml:space="preserve"> </v>
      </c>
      <c r="BG41" s="308" t="str">
        <f t="shared" si="24"/>
        <v xml:space="preserve"> sangat baik  dalam menggali pengetahuan baru yang terdapat pada teks nonfiksi., dan  sangat baik  dalam menggali informasi dari seorang tokoh melalui wawancara menggunakan daftar pertanyaan.</v>
      </c>
      <c r="BH41" s="301" t="str">
        <f t="shared" si="41"/>
        <v>Anak 37 sangat baik  dalam menggali pengetahuan baru yang terdapat pada teks nonfiksi., dan  sangat baik  dalam menggali informasi dari seorang tokoh melalui wawancara menggunakan daftar pertanyaan.</v>
      </c>
      <c r="BI41" s="120"/>
      <c r="BQ41" s="408">
        <f t="shared" si="34"/>
        <v>97</v>
      </c>
      <c r="BT41" s="302">
        <f t="shared" si="25"/>
        <v>99</v>
      </c>
      <c r="BU41" s="303" t="str">
        <f>IF(BT41&gt;KKM!$G$10,"A",IF(BT41&gt;KKM!$H$10,"B",IF(BT41&gt;=KKM!$I$10,"C","D")))</f>
        <v>A</v>
      </c>
      <c r="BV41" s="523">
        <f t="shared" si="26"/>
        <v>99</v>
      </c>
      <c r="BW41" s="115" t="str">
        <f>IF(BV41&gt;KKM!$G$10," sangat baik ",IF(BV41&gt;KKM!$H$10," baik ",IF(BV41&gt;=KKM!$I$10," cukup baik "," perlu bimbingan ")))</f>
        <v xml:space="preserve"> sangat baik </v>
      </c>
      <c r="BX41" s="524">
        <f t="shared" si="27"/>
        <v>99</v>
      </c>
      <c r="BY41" s="115" t="str">
        <f>IF(BX41&gt;KKM!$G$10," sangat baik ",IF(BX41&gt;KKM!$H$10," baik ",IF(BX41&gt;=KKM!$I$10," cukup baik "," perlu bimbingan ")))</f>
        <v xml:space="preserve"> sangat baik </v>
      </c>
      <c r="BZ41" s="301" t="str">
        <f t="shared" si="35"/>
        <v>Anak 37 sangat baik  dalam menggali isi dan amanat puisi yang disajikan secara lisan dan tulis dengan tujuan untuk kesenangan.</v>
      </c>
      <c r="CA41" s="307" t="str">
        <f t="shared" si="28"/>
        <v xml:space="preserve"> sangat baik  dalam menggali isi dan amanat puisi yang disajikan secara lisan dan tulis dengan tujuan untuk kesenangan.</v>
      </c>
      <c r="CB41" s="307" t="str">
        <f t="shared" si="29"/>
        <v xml:space="preserve"> sangat baik  dalam menggali isi dan amanat puisi yang disajikan secara lisan dan tulis dengan tujuan untuk kesenangan.</v>
      </c>
      <c r="CC41"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1" s="307" t="str">
        <f t="shared" si="31"/>
        <v xml:space="preserve"> sangat baik  dalam menggali isi dan amanat puisi yang disajikan secara lisan dan tulis dengan tujuan untuk kesenangan.</v>
      </c>
      <c r="CE41" s="308" t="str">
        <f t="shared" si="32"/>
        <v xml:space="preserve"> sangat baik  dalam menggali isi dan amanat puisi yang disajikan secara lisan dan tulis dengan tujuan untuk kesenangan.</v>
      </c>
      <c r="CF41" s="301" t="str">
        <f t="shared" si="33"/>
        <v>Anak 37 sangat baik  dalam menggali isi dan amanat puisi yang disajikan secara lisan dan tulis dengan tujuan untuk kesenangan.</v>
      </c>
    </row>
    <row r="42" spans="2:84" ht="51.75" customHeight="1">
      <c r="B42" s="109">
        <v>38</v>
      </c>
      <c r="C42" s="110">
        <f>SISWA!B43</f>
        <v>0</v>
      </c>
      <c r="D42" s="111" t="str">
        <f>SISWA!E43</f>
        <v>Anak 38</v>
      </c>
      <c r="E42" s="631">
        <v>99</v>
      </c>
      <c r="F42" s="631">
        <v>99</v>
      </c>
      <c r="G42" s="631">
        <v>99</v>
      </c>
      <c r="H42" s="631">
        <v>99</v>
      </c>
      <c r="I42" s="631">
        <v>99</v>
      </c>
      <c r="J42" s="730"/>
      <c r="K42" s="730"/>
      <c r="L42" s="731"/>
      <c r="M42" s="731"/>
      <c r="N42" s="731"/>
      <c r="O42" s="731"/>
      <c r="P42" s="731"/>
      <c r="Q42" s="730"/>
      <c r="R42" s="730"/>
      <c r="S42" s="610"/>
      <c r="T42" s="730"/>
      <c r="U42" s="631">
        <v>99</v>
      </c>
      <c r="V42" s="631">
        <v>99</v>
      </c>
      <c r="W42" s="730"/>
      <c r="X42" s="730"/>
      <c r="Y42" s="730"/>
      <c r="Z42" s="610"/>
      <c r="AA42" s="631">
        <v>76.5</v>
      </c>
      <c r="AB42" s="631">
        <v>86.5</v>
      </c>
      <c r="AC42" s="631">
        <v>99</v>
      </c>
      <c r="AD42" s="631">
        <v>99</v>
      </c>
      <c r="AE42" s="631">
        <v>99</v>
      </c>
      <c r="AF42" s="605"/>
      <c r="AG42" s="605"/>
      <c r="AH42" s="518"/>
      <c r="AI42" s="607">
        <f t="shared" si="15"/>
        <v>91.5</v>
      </c>
      <c r="AJ42" s="607">
        <f t="shared" si="16"/>
        <v>95.875</v>
      </c>
      <c r="AK42" s="607">
        <f t="shared" si="17"/>
        <v>99</v>
      </c>
      <c r="AL42" s="607">
        <f t="shared" si="18"/>
        <v>99</v>
      </c>
      <c r="AM42" s="607">
        <f t="shared" si="19"/>
        <v>99</v>
      </c>
      <c r="AN42" s="607" t="str">
        <f t="shared" si="20"/>
        <v/>
      </c>
      <c r="AO42" s="608"/>
      <c r="AP42" s="528"/>
      <c r="AQ42" s="528"/>
      <c r="AR42" s="528"/>
      <c r="AS42" s="528"/>
      <c r="AT42" s="528"/>
      <c r="AU42" s="302">
        <f t="shared" si="36"/>
        <v>97</v>
      </c>
      <c r="AV42" s="303" t="str">
        <f>IF(AU42&gt;KKM!$G$10,"A",IF(AU42&gt;KKM!$H$10,"B",IF(AU42&gt;=KKM!$I$10,"C","D")))</f>
        <v>A</v>
      </c>
      <c r="AW42" s="523">
        <f t="shared" si="37"/>
        <v>99</v>
      </c>
      <c r="AX42" s="115" t="str">
        <f>IF(AW42&gt;KKM!$G$10," sangat baik ",IF(AW42&gt;KKM!$H$10," baik ",IF(AW42&gt;=KKM!$I$10," cukup baik "," perlu bimbingan ")))</f>
        <v xml:space="preserve"> sangat baik </v>
      </c>
      <c r="AY42" s="524">
        <f t="shared" si="38"/>
        <v>91.5</v>
      </c>
      <c r="AZ42" s="115" t="str">
        <f>IF(AY42&gt;KKM!$G$10," sangat baik ",IF(AY42&gt;KKM!$H$10," baik ",IF(AY42&gt;=KKM!$I$10," cukup baik "," perlu bimbingan ")))</f>
        <v xml:space="preserve"> sangat baik </v>
      </c>
      <c r="BA42" s="301" t="str">
        <f t="shared" si="21"/>
        <v>Anak 38 sangat baik  dalam menggali pengetahuan baru yang terdapat pada teks nonfiksi., dan  sangat baik  dalam menggali informasi dari seorang tokoh melalui wawancara menggunakan daftar pertanyaan.</v>
      </c>
      <c r="BB42" s="306"/>
      <c r="BC42" s="307" t="str">
        <f t="shared" si="39"/>
        <v xml:space="preserve"> sangat baik  dalam menggali pengetahuan baru yang terdapat pada teks nonfiksi.</v>
      </c>
      <c r="BD42" s="307" t="str">
        <f t="shared" si="40"/>
        <v xml:space="preserve"> sangat baik  dalam menggali informasi dari seorang tokoh melalui wawancara menggunakan daftar pertanyaan.</v>
      </c>
      <c r="BE42" s="307" t="str">
        <f t="shared" si="22"/>
        <v xml:space="preserve"> sangat baik  dalam menggali pengetahuan baru yang terdapat pada teks nonfiksi., dan  sangat baik  dalam menggali informasi dari seorang tokoh melalui wawancara menggunakan daftar pertanyaan.</v>
      </c>
      <c r="BF42" s="307" t="str">
        <f t="shared" si="23"/>
        <v xml:space="preserve"> </v>
      </c>
      <c r="BG42" s="308" t="str">
        <f t="shared" si="24"/>
        <v xml:space="preserve"> sangat baik  dalam menggali pengetahuan baru yang terdapat pada teks nonfiksi., dan  sangat baik  dalam menggali informasi dari seorang tokoh melalui wawancara menggunakan daftar pertanyaan.</v>
      </c>
      <c r="BH42" s="301" t="str">
        <f t="shared" si="41"/>
        <v>Anak 38 sangat baik  dalam menggali pengetahuan baru yang terdapat pada teks nonfiksi., dan  sangat baik  dalam menggali informasi dari seorang tokoh melalui wawancara menggunakan daftar pertanyaan.</v>
      </c>
      <c r="BI42" s="120"/>
      <c r="BQ42" s="408">
        <f t="shared" si="34"/>
        <v>97</v>
      </c>
      <c r="BT42" s="302">
        <f t="shared" si="25"/>
        <v>99</v>
      </c>
      <c r="BU42" s="303" t="str">
        <f>IF(BT42&gt;KKM!$G$10,"A",IF(BT42&gt;KKM!$H$10,"B",IF(BT42&gt;=KKM!$I$10,"C","D")))</f>
        <v>A</v>
      </c>
      <c r="BV42" s="523">
        <f t="shared" si="26"/>
        <v>99</v>
      </c>
      <c r="BW42" s="115" t="str">
        <f>IF(BV42&gt;KKM!$G$10," sangat baik ",IF(BV42&gt;KKM!$H$10," baik ",IF(BV42&gt;=KKM!$I$10," cukup baik "," perlu bimbingan ")))</f>
        <v xml:space="preserve"> sangat baik </v>
      </c>
      <c r="BX42" s="524">
        <f t="shared" si="27"/>
        <v>99</v>
      </c>
      <c r="BY42" s="115" t="str">
        <f>IF(BX42&gt;KKM!$G$10," sangat baik ",IF(BX42&gt;KKM!$H$10," baik ",IF(BX42&gt;=KKM!$I$10," cukup baik "," perlu bimbingan ")))</f>
        <v xml:space="preserve"> sangat baik </v>
      </c>
      <c r="BZ42" s="301" t="str">
        <f t="shared" si="35"/>
        <v>Anak 38 sangat baik  dalam menggali isi dan amanat puisi yang disajikan secara lisan dan tulis dengan tujuan untuk kesenangan.</v>
      </c>
      <c r="CA42" s="307" t="str">
        <f t="shared" si="28"/>
        <v xml:space="preserve"> sangat baik  dalam menggali isi dan amanat puisi yang disajikan secara lisan dan tulis dengan tujuan untuk kesenangan.</v>
      </c>
      <c r="CB42" s="307" t="str">
        <f t="shared" si="29"/>
        <v xml:space="preserve"> sangat baik  dalam menggali isi dan amanat puisi yang disajikan secara lisan dan tulis dengan tujuan untuk kesenangan.</v>
      </c>
      <c r="CC42"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2" s="307" t="str">
        <f t="shared" si="31"/>
        <v xml:space="preserve"> sangat baik  dalam menggali isi dan amanat puisi yang disajikan secara lisan dan tulis dengan tujuan untuk kesenangan.</v>
      </c>
      <c r="CE42" s="308" t="str">
        <f t="shared" si="32"/>
        <v xml:space="preserve"> sangat baik  dalam menggali isi dan amanat puisi yang disajikan secara lisan dan tulis dengan tujuan untuk kesenangan.</v>
      </c>
      <c r="CF42" s="301" t="str">
        <f t="shared" si="33"/>
        <v>Anak 38 sangat baik  dalam menggali isi dan amanat puisi yang disajikan secara lisan dan tulis dengan tujuan untuk kesenangan.</v>
      </c>
    </row>
    <row r="43" spans="2:84" ht="51.75" customHeight="1">
      <c r="B43" s="109">
        <v>39</v>
      </c>
      <c r="C43" s="110">
        <f>SISWA!B44</f>
        <v>0</v>
      </c>
      <c r="D43" s="111" t="str">
        <f>SISWA!E44</f>
        <v>Anak 39</v>
      </c>
      <c r="E43" s="631">
        <v>99</v>
      </c>
      <c r="F43" s="631">
        <v>99</v>
      </c>
      <c r="G43" s="631">
        <v>99</v>
      </c>
      <c r="H43" s="631">
        <v>99</v>
      </c>
      <c r="I43" s="631">
        <v>99</v>
      </c>
      <c r="J43" s="730"/>
      <c r="K43" s="730"/>
      <c r="L43" s="731"/>
      <c r="M43" s="731"/>
      <c r="N43" s="731"/>
      <c r="O43" s="731"/>
      <c r="P43" s="731"/>
      <c r="Q43" s="730"/>
      <c r="R43" s="730"/>
      <c r="S43" s="610"/>
      <c r="T43" s="730"/>
      <c r="U43" s="631">
        <v>99</v>
      </c>
      <c r="V43" s="631">
        <v>99</v>
      </c>
      <c r="W43" s="730"/>
      <c r="X43" s="730"/>
      <c r="Y43" s="730"/>
      <c r="Z43" s="610"/>
      <c r="AA43" s="631">
        <v>86.5</v>
      </c>
      <c r="AB43" s="631">
        <v>76.75</v>
      </c>
      <c r="AC43" s="631">
        <v>99</v>
      </c>
      <c r="AD43" s="631">
        <v>99</v>
      </c>
      <c r="AE43" s="631">
        <v>99</v>
      </c>
      <c r="AF43" s="605"/>
      <c r="AG43" s="605"/>
      <c r="AH43" s="518"/>
      <c r="AI43" s="607">
        <f t="shared" si="15"/>
        <v>94.833333333333329</v>
      </c>
      <c r="AJ43" s="607">
        <f t="shared" si="16"/>
        <v>93.4375</v>
      </c>
      <c r="AK43" s="607">
        <f t="shared" si="17"/>
        <v>99</v>
      </c>
      <c r="AL43" s="607">
        <f t="shared" si="18"/>
        <v>99</v>
      </c>
      <c r="AM43" s="607">
        <f t="shared" si="19"/>
        <v>99</v>
      </c>
      <c r="AN43" s="607" t="str">
        <f t="shared" si="20"/>
        <v/>
      </c>
      <c r="AO43" s="608"/>
      <c r="AP43" s="528"/>
      <c r="AQ43" s="528"/>
      <c r="AR43" s="528"/>
      <c r="AS43" s="528"/>
      <c r="AT43" s="528"/>
      <c r="AU43" s="302">
        <f t="shared" si="36"/>
        <v>97</v>
      </c>
      <c r="AV43" s="303" t="str">
        <f>IF(AU43&gt;KKM!$G$10,"A",IF(AU43&gt;KKM!$H$10,"B",IF(AU43&gt;=KKM!$I$10,"C","D")))</f>
        <v>A</v>
      </c>
      <c r="AW43" s="523">
        <f t="shared" si="37"/>
        <v>99</v>
      </c>
      <c r="AX43" s="115" t="str">
        <f>IF(AW43&gt;KKM!$G$10," sangat baik ",IF(AW43&gt;KKM!$H$10," baik ",IF(AW43&gt;=KKM!$I$10," cukup baik "," perlu bimbingan ")))</f>
        <v xml:space="preserve"> sangat baik </v>
      </c>
      <c r="AY43" s="524">
        <f t="shared" si="38"/>
        <v>93.4375</v>
      </c>
      <c r="AZ43" s="115" t="str">
        <f>IF(AY43&gt;KKM!$G$10," sangat baik ",IF(AY43&gt;KKM!$H$10," baik ",IF(AY43&gt;=KKM!$I$10," cukup baik "," perlu bimbingan ")))</f>
        <v xml:space="preserve"> sangat baik </v>
      </c>
      <c r="BA43" s="301" t="str">
        <f t="shared" si="21"/>
        <v>Anak 39 sangat baik  dalam menggali pengetahuan baru yang terdapat pada teks nonfiksi., dan  sangat baik  dalam menggali isi dan amanat puisi yang disajikan secara lisan dan tulis dengan tujuan untuk kesenangan.</v>
      </c>
      <c r="BB43" s="306"/>
      <c r="BC43" s="307" t="str">
        <f t="shared" si="39"/>
        <v xml:space="preserve"> sangat baik  dalam menggali pengetahuan baru yang terdapat pada teks nonfiksi.</v>
      </c>
      <c r="BD43" s="307" t="str">
        <f t="shared" si="40"/>
        <v xml:space="preserve"> sangat baik  dalam menggali isi dan amanat puisi yang disajikan secara lisan dan tulis dengan tujuan untuk kesenangan.</v>
      </c>
      <c r="BE43" s="307" t="str">
        <f t="shared" si="22"/>
        <v xml:space="preserve"> sangat baik  dalam menggali pengetahuan baru yang terdapat pada teks nonfiksi., dan  sangat baik  dalam menggali isi dan amanat puisi yang disajikan secara lisan dan tulis dengan tujuan untuk kesenangan.</v>
      </c>
      <c r="BF43" s="307" t="str">
        <f t="shared" si="23"/>
        <v xml:space="preserve"> </v>
      </c>
      <c r="BG43" s="308" t="str">
        <f t="shared" si="24"/>
        <v xml:space="preserve"> sangat baik  dalam menggali pengetahuan baru yang terdapat pada teks nonfiksi., dan  sangat baik  dalam menggali isi dan amanat puisi yang disajikan secara lisan dan tulis dengan tujuan untuk kesenangan.</v>
      </c>
      <c r="BH43" s="301" t="str">
        <f t="shared" si="41"/>
        <v>Anak 39 sangat baik  dalam menggali pengetahuan baru yang terdapat pada teks nonfiksi., dan  sangat baik  dalam menggali isi dan amanat puisi yang disajikan secara lisan dan tulis dengan tujuan untuk kesenangan.</v>
      </c>
      <c r="BI43" s="120"/>
      <c r="BQ43" s="408">
        <f t="shared" si="34"/>
        <v>97</v>
      </c>
      <c r="BT43" s="302">
        <f t="shared" si="25"/>
        <v>99</v>
      </c>
      <c r="BU43" s="303" t="str">
        <f>IF(BT43&gt;KKM!$G$10,"A",IF(BT43&gt;KKM!$H$10,"B",IF(BT43&gt;=KKM!$I$10,"C","D")))</f>
        <v>A</v>
      </c>
      <c r="BV43" s="523">
        <f t="shared" si="26"/>
        <v>99</v>
      </c>
      <c r="BW43" s="115" t="str">
        <f>IF(BV43&gt;KKM!$G$10," sangat baik ",IF(BV43&gt;KKM!$H$10," baik ",IF(BV43&gt;=KKM!$I$10," cukup baik "," perlu bimbingan ")))</f>
        <v xml:space="preserve"> sangat baik </v>
      </c>
      <c r="BX43" s="524">
        <f t="shared" si="27"/>
        <v>99</v>
      </c>
      <c r="BY43" s="115" t="str">
        <f>IF(BX43&gt;KKM!$G$10," sangat baik ",IF(BX43&gt;KKM!$H$10," baik ",IF(BX43&gt;=KKM!$I$10," cukup baik "," perlu bimbingan ")))</f>
        <v xml:space="preserve"> sangat baik </v>
      </c>
      <c r="BZ43" s="301" t="str">
        <f t="shared" si="35"/>
        <v>Anak 39 sangat baik  dalam menggali isi dan amanat puisi yang disajikan secara lisan dan tulis dengan tujuan untuk kesenangan.</v>
      </c>
      <c r="CA43" s="307" t="str">
        <f t="shared" si="28"/>
        <v xml:space="preserve"> sangat baik  dalam menggali isi dan amanat puisi yang disajikan secara lisan dan tulis dengan tujuan untuk kesenangan.</v>
      </c>
      <c r="CB43" s="307" t="str">
        <f t="shared" si="29"/>
        <v xml:space="preserve"> sangat baik  dalam menggali isi dan amanat puisi yang disajikan secara lisan dan tulis dengan tujuan untuk kesenangan.</v>
      </c>
      <c r="CC43"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3" s="307" t="str">
        <f t="shared" si="31"/>
        <v xml:space="preserve"> sangat baik  dalam menggali isi dan amanat puisi yang disajikan secara lisan dan tulis dengan tujuan untuk kesenangan.</v>
      </c>
      <c r="CE43" s="308" t="str">
        <f t="shared" si="32"/>
        <v xml:space="preserve"> sangat baik  dalam menggali isi dan amanat puisi yang disajikan secara lisan dan tulis dengan tujuan untuk kesenangan.</v>
      </c>
      <c r="CF43" s="301" t="str">
        <f t="shared" si="33"/>
        <v>Anak 39 sangat baik  dalam menggali isi dan amanat puisi yang disajikan secara lisan dan tulis dengan tujuan untuk kesenangan.</v>
      </c>
    </row>
    <row r="44" spans="2:84" ht="51.75" customHeight="1">
      <c r="B44" s="109">
        <v>40</v>
      </c>
      <c r="C44" s="110">
        <f>SISWA!B45</f>
        <v>0</v>
      </c>
      <c r="D44" s="111" t="str">
        <f>SISWA!E45</f>
        <v>Anak 40</v>
      </c>
      <c r="E44" s="631">
        <v>99</v>
      </c>
      <c r="F44" s="631">
        <v>99</v>
      </c>
      <c r="G44" s="631">
        <v>99</v>
      </c>
      <c r="H44" s="631">
        <v>99</v>
      </c>
      <c r="I44" s="631">
        <v>99</v>
      </c>
      <c r="J44" s="730"/>
      <c r="K44" s="730"/>
      <c r="L44" s="731"/>
      <c r="M44" s="731"/>
      <c r="N44" s="731"/>
      <c r="O44" s="731"/>
      <c r="P44" s="731"/>
      <c r="Q44" s="730"/>
      <c r="R44" s="730"/>
      <c r="S44" s="610"/>
      <c r="T44" s="730"/>
      <c r="U44" s="631">
        <v>99</v>
      </c>
      <c r="V44" s="631">
        <v>99</v>
      </c>
      <c r="W44" s="730"/>
      <c r="X44" s="730"/>
      <c r="Y44" s="730"/>
      <c r="Z44" s="610"/>
      <c r="AA44" s="631">
        <v>90</v>
      </c>
      <c r="AB44" s="631">
        <v>77.75</v>
      </c>
      <c r="AC44" s="631">
        <v>99</v>
      </c>
      <c r="AD44" s="631">
        <v>99</v>
      </c>
      <c r="AE44" s="631">
        <v>99</v>
      </c>
      <c r="AF44" s="605"/>
      <c r="AG44" s="605"/>
      <c r="AH44" s="518"/>
      <c r="AI44" s="607">
        <f t="shared" si="15"/>
        <v>96</v>
      </c>
      <c r="AJ44" s="607">
        <f t="shared" si="16"/>
        <v>93.6875</v>
      </c>
      <c r="AK44" s="607">
        <f t="shared" si="17"/>
        <v>99</v>
      </c>
      <c r="AL44" s="607">
        <f t="shared" si="18"/>
        <v>99</v>
      </c>
      <c r="AM44" s="607">
        <f t="shared" si="19"/>
        <v>99</v>
      </c>
      <c r="AN44" s="607" t="str">
        <f t="shared" si="20"/>
        <v/>
      </c>
      <c r="AO44" s="608"/>
      <c r="AP44" s="528"/>
      <c r="AQ44" s="528"/>
      <c r="AR44" s="528"/>
      <c r="AS44" s="528"/>
      <c r="AT44" s="528"/>
      <c r="AU44" s="302">
        <f t="shared" si="36"/>
        <v>97</v>
      </c>
      <c r="AV44" s="303" t="str">
        <f>IF(AU44&gt;KKM!$G$10,"A",IF(AU44&gt;KKM!$H$10,"B",IF(AU44&gt;=KKM!$I$10,"C","D")))</f>
        <v>A</v>
      </c>
      <c r="AW44" s="523">
        <f t="shared" si="37"/>
        <v>99</v>
      </c>
      <c r="AX44" s="115" t="str">
        <f>IF(AW44&gt;KKM!$G$10," sangat baik ",IF(AW44&gt;KKM!$H$10," baik ",IF(AW44&gt;=KKM!$I$10," cukup baik "," perlu bimbingan ")))</f>
        <v xml:space="preserve"> sangat baik </v>
      </c>
      <c r="AY44" s="524">
        <f t="shared" si="38"/>
        <v>93.6875</v>
      </c>
      <c r="AZ44" s="115" t="str">
        <f>IF(AY44&gt;KKM!$G$10," sangat baik ",IF(AY44&gt;KKM!$H$10," baik ",IF(AY44&gt;=KKM!$I$10," cukup baik "," perlu bimbingan ")))</f>
        <v xml:space="preserve"> sangat baik </v>
      </c>
      <c r="BA44" s="301" t="str">
        <f t="shared" si="21"/>
        <v>Anak 40 sangat baik  dalam menggali pengetahuan baru yang terdapat pada teks nonfiksi., dan  sangat baik  dalam menggali isi dan amanat puisi yang disajikan secara lisan dan tulis dengan tujuan untuk kesenangan.</v>
      </c>
      <c r="BB44" s="306"/>
      <c r="BC44" s="307" t="str">
        <f t="shared" si="39"/>
        <v xml:space="preserve"> sangat baik  dalam menggali pengetahuan baru yang terdapat pada teks nonfiksi.</v>
      </c>
      <c r="BD44" s="307" t="str">
        <f t="shared" si="40"/>
        <v xml:space="preserve"> sangat baik  dalam menggali isi dan amanat puisi yang disajikan secara lisan dan tulis dengan tujuan untuk kesenangan.</v>
      </c>
      <c r="BE44" s="307" t="str">
        <f t="shared" si="22"/>
        <v xml:space="preserve"> sangat baik  dalam menggali pengetahuan baru yang terdapat pada teks nonfiksi., dan  sangat baik  dalam menggali isi dan amanat puisi yang disajikan secara lisan dan tulis dengan tujuan untuk kesenangan.</v>
      </c>
      <c r="BF44" s="307" t="str">
        <f t="shared" si="23"/>
        <v xml:space="preserve"> </v>
      </c>
      <c r="BG44" s="308" t="str">
        <f t="shared" si="24"/>
        <v xml:space="preserve"> sangat baik  dalam menggali pengetahuan baru yang terdapat pada teks nonfiksi., dan  sangat baik  dalam menggali isi dan amanat puisi yang disajikan secara lisan dan tulis dengan tujuan untuk kesenangan.</v>
      </c>
      <c r="BH44" s="301" t="str">
        <f t="shared" si="41"/>
        <v>Anak 40 sangat baik  dalam menggali pengetahuan baru yang terdapat pada teks nonfiksi., dan  sangat baik  dalam menggali isi dan amanat puisi yang disajikan secara lisan dan tulis dengan tujuan untuk kesenangan.</v>
      </c>
      <c r="BI44" s="120"/>
      <c r="BQ44" s="408">
        <f t="shared" si="34"/>
        <v>97</v>
      </c>
      <c r="BT44" s="302">
        <f t="shared" si="25"/>
        <v>99</v>
      </c>
      <c r="BU44" s="303" t="str">
        <f>IF(BT44&gt;KKM!$G$10,"A",IF(BT44&gt;KKM!$H$10,"B",IF(BT44&gt;=KKM!$I$10,"C","D")))</f>
        <v>A</v>
      </c>
      <c r="BV44" s="523">
        <f t="shared" si="26"/>
        <v>99</v>
      </c>
      <c r="BW44" s="115" t="str">
        <f>IF(BV44&gt;KKM!$G$10," sangat baik ",IF(BV44&gt;KKM!$H$10," baik ",IF(BV44&gt;=KKM!$I$10," cukup baik "," perlu bimbingan ")))</f>
        <v xml:space="preserve"> sangat baik </v>
      </c>
      <c r="BX44" s="524">
        <f t="shared" si="27"/>
        <v>99</v>
      </c>
      <c r="BY44" s="115" t="str">
        <f>IF(BX44&gt;KKM!$G$10," sangat baik ",IF(BX44&gt;KKM!$H$10," baik ",IF(BX44&gt;=KKM!$I$10," cukup baik "," perlu bimbingan ")))</f>
        <v xml:space="preserve"> sangat baik </v>
      </c>
      <c r="BZ44" s="301" t="str">
        <f t="shared" si="35"/>
        <v>Anak 40 sangat baik  dalam menggali isi dan amanat puisi yang disajikan secara lisan dan tulis dengan tujuan untuk kesenangan.</v>
      </c>
      <c r="CA44" s="307" t="str">
        <f t="shared" si="28"/>
        <v xml:space="preserve"> sangat baik  dalam menggali isi dan amanat puisi yang disajikan secara lisan dan tulis dengan tujuan untuk kesenangan.</v>
      </c>
      <c r="CB44" s="307" t="str">
        <f t="shared" si="29"/>
        <v xml:space="preserve"> sangat baik  dalam menggali isi dan amanat puisi yang disajikan secara lisan dan tulis dengan tujuan untuk kesenangan.</v>
      </c>
      <c r="CC44"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4" s="307" t="str">
        <f t="shared" si="31"/>
        <v xml:space="preserve"> sangat baik  dalam menggali isi dan amanat puisi yang disajikan secara lisan dan tulis dengan tujuan untuk kesenangan.</v>
      </c>
      <c r="CE44" s="308" t="str">
        <f t="shared" si="32"/>
        <v xml:space="preserve"> sangat baik  dalam menggali isi dan amanat puisi yang disajikan secara lisan dan tulis dengan tujuan untuk kesenangan.</v>
      </c>
      <c r="CF44" s="301" t="str">
        <f t="shared" si="33"/>
        <v>Anak 40 sangat baik  dalam menggali isi dan amanat puisi yang disajikan secara lisan dan tulis dengan tujuan untuk kesenangan.</v>
      </c>
    </row>
    <row r="45" spans="2:84" ht="51.75" customHeight="1">
      <c r="B45" s="109">
        <v>41</v>
      </c>
      <c r="C45" s="110">
        <f>SISWA!B46</f>
        <v>0</v>
      </c>
      <c r="D45" s="111" t="str">
        <f>SISWA!E46</f>
        <v>Anak 41</v>
      </c>
      <c r="E45" s="631">
        <v>99</v>
      </c>
      <c r="F45" s="631">
        <v>99</v>
      </c>
      <c r="G45" s="631">
        <v>99</v>
      </c>
      <c r="H45" s="631">
        <v>99</v>
      </c>
      <c r="I45" s="631">
        <v>99</v>
      </c>
      <c r="J45" s="730"/>
      <c r="K45" s="730"/>
      <c r="L45" s="731"/>
      <c r="M45" s="731"/>
      <c r="N45" s="731"/>
      <c r="O45" s="731"/>
      <c r="P45" s="731"/>
      <c r="Q45" s="730"/>
      <c r="R45" s="730"/>
      <c r="S45" s="610"/>
      <c r="T45" s="730"/>
      <c r="U45" s="631">
        <v>99</v>
      </c>
      <c r="V45" s="631">
        <v>99</v>
      </c>
      <c r="W45" s="730"/>
      <c r="X45" s="730"/>
      <c r="Y45" s="730"/>
      <c r="Z45" s="610"/>
      <c r="AA45" s="631">
        <v>76.5</v>
      </c>
      <c r="AB45" s="631">
        <v>90</v>
      </c>
      <c r="AC45" s="631">
        <v>99</v>
      </c>
      <c r="AD45" s="631">
        <v>99</v>
      </c>
      <c r="AE45" s="631">
        <v>99</v>
      </c>
      <c r="AF45" s="605"/>
      <c r="AG45" s="605"/>
      <c r="AH45" s="518"/>
      <c r="AI45" s="607">
        <f t="shared" si="15"/>
        <v>91.5</v>
      </c>
      <c r="AJ45" s="607">
        <f t="shared" si="16"/>
        <v>96.75</v>
      </c>
      <c r="AK45" s="607">
        <f t="shared" si="17"/>
        <v>99</v>
      </c>
      <c r="AL45" s="607">
        <f t="shared" si="18"/>
        <v>99</v>
      </c>
      <c r="AM45" s="607">
        <f t="shared" si="19"/>
        <v>99</v>
      </c>
      <c r="AN45" s="607" t="str">
        <f t="shared" si="20"/>
        <v/>
      </c>
      <c r="AO45" s="608"/>
      <c r="AP45" s="528"/>
      <c r="AQ45" s="528"/>
      <c r="AR45" s="528"/>
      <c r="AS45" s="528"/>
      <c r="AT45" s="528"/>
      <c r="AU45" s="302">
        <f t="shared" si="36"/>
        <v>97</v>
      </c>
      <c r="AV45" s="303" t="str">
        <f>IF(AU45&gt;KKM!$G$10,"A",IF(AU45&gt;KKM!$H$10,"B",IF(AU45&gt;=KKM!$I$10,"C","D")))</f>
        <v>A</v>
      </c>
      <c r="AW45" s="523">
        <f t="shared" si="37"/>
        <v>99</v>
      </c>
      <c r="AX45" s="115" t="str">
        <f>IF(AW45&gt;KKM!$G$10," sangat baik ",IF(AW45&gt;KKM!$H$10," baik ",IF(AW45&gt;=KKM!$I$10," cukup baik "," perlu bimbingan ")))</f>
        <v xml:space="preserve"> sangat baik </v>
      </c>
      <c r="AY45" s="524">
        <f t="shared" si="38"/>
        <v>91.5</v>
      </c>
      <c r="AZ45" s="115" t="str">
        <f>IF(AY45&gt;KKM!$G$10," sangat baik ",IF(AY45&gt;KKM!$H$10," baik ",IF(AY45&gt;=KKM!$I$10," cukup baik "," perlu bimbingan ")))</f>
        <v xml:space="preserve"> sangat baik </v>
      </c>
      <c r="BA45" s="301" t="str">
        <f t="shared" si="21"/>
        <v>Anak 41 sangat baik  dalam menggali pengetahuan baru yang terdapat pada teks nonfiksi., dan  sangat baik  dalam menggali informasi dari seorang tokoh melalui wawancara menggunakan daftar pertanyaan.</v>
      </c>
      <c r="BB45" s="306"/>
      <c r="BC45" s="307" t="str">
        <f t="shared" si="39"/>
        <v xml:space="preserve"> sangat baik  dalam menggali pengetahuan baru yang terdapat pada teks nonfiksi.</v>
      </c>
      <c r="BD45" s="307" t="str">
        <f t="shared" si="40"/>
        <v xml:space="preserve"> sangat baik  dalam menggali informasi dari seorang tokoh melalui wawancara menggunakan daftar pertanyaan.</v>
      </c>
      <c r="BE45" s="307" t="str">
        <f t="shared" si="22"/>
        <v xml:space="preserve"> sangat baik  dalam menggali pengetahuan baru yang terdapat pada teks nonfiksi., dan  sangat baik  dalam menggali informasi dari seorang tokoh melalui wawancara menggunakan daftar pertanyaan.</v>
      </c>
      <c r="BF45" s="307" t="str">
        <f t="shared" si="23"/>
        <v xml:space="preserve"> </v>
      </c>
      <c r="BG45" s="308" t="str">
        <f t="shared" si="24"/>
        <v xml:space="preserve"> sangat baik  dalam menggali pengetahuan baru yang terdapat pada teks nonfiksi., dan  sangat baik  dalam menggali informasi dari seorang tokoh melalui wawancara menggunakan daftar pertanyaan.</v>
      </c>
      <c r="BH45" s="301" t="str">
        <f t="shared" si="41"/>
        <v>Anak 41 sangat baik  dalam menggali pengetahuan baru yang terdapat pada teks nonfiksi., dan  sangat baik  dalam menggali informasi dari seorang tokoh melalui wawancara menggunakan daftar pertanyaan.</v>
      </c>
      <c r="BI45" s="120"/>
      <c r="BQ45" s="408">
        <f t="shared" si="34"/>
        <v>97</v>
      </c>
      <c r="BT45" s="302">
        <f t="shared" si="25"/>
        <v>99</v>
      </c>
      <c r="BU45" s="303" t="str">
        <f>IF(BT45&gt;KKM!$G$10,"A",IF(BT45&gt;KKM!$H$10,"B",IF(BT45&gt;=KKM!$I$10,"C","D")))</f>
        <v>A</v>
      </c>
      <c r="BV45" s="523">
        <f t="shared" si="26"/>
        <v>99</v>
      </c>
      <c r="BW45" s="115" t="str">
        <f>IF(BV45&gt;KKM!$G$10," sangat baik ",IF(BV45&gt;KKM!$H$10," baik ",IF(BV45&gt;=KKM!$I$10," cukup baik "," perlu bimbingan ")))</f>
        <v xml:space="preserve"> sangat baik </v>
      </c>
      <c r="BX45" s="524">
        <f t="shared" si="27"/>
        <v>99</v>
      </c>
      <c r="BY45" s="115" t="str">
        <f>IF(BX45&gt;KKM!$G$10," sangat baik ",IF(BX45&gt;KKM!$H$10," baik ",IF(BX45&gt;=KKM!$I$10," cukup baik "," perlu bimbingan ")))</f>
        <v xml:space="preserve"> sangat baik </v>
      </c>
      <c r="BZ45" s="301" t="str">
        <f t="shared" si="35"/>
        <v>Anak 41 sangat baik  dalam menggali isi dan amanat puisi yang disajikan secara lisan dan tulis dengan tujuan untuk kesenangan.</v>
      </c>
      <c r="CA45" s="307" t="str">
        <f t="shared" si="28"/>
        <v xml:space="preserve"> sangat baik  dalam menggali isi dan amanat puisi yang disajikan secara lisan dan tulis dengan tujuan untuk kesenangan.</v>
      </c>
      <c r="CB45" s="307" t="str">
        <f t="shared" si="29"/>
        <v xml:space="preserve"> sangat baik  dalam menggali isi dan amanat puisi yang disajikan secara lisan dan tulis dengan tujuan untuk kesenangan.</v>
      </c>
      <c r="CC45"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5" s="307" t="str">
        <f t="shared" si="31"/>
        <v xml:space="preserve"> sangat baik  dalam menggali isi dan amanat puisi yang disajikan secara lisan dan tulis dengan tujuan untuk kesenangan.</v>
      </c>
      <c r="CE45" s="308" t="str">
        <f t="shared" si="32"/>
        <v xml:space="preserve"> sangat baik  dalam menggali isi dan amanat puisi yang disajikan secara lisan dan tulis dengan tujuan untuk kesenangan.</v>
      </c>
      <c r="CF45" s="301" t="str">
        <f t="shared" si="33"/>
        <v>Anak 41 sangat baik  dalam menggali isi dan amanat puisi yang disajikan secara lisan dan tulis dengan tujuan untuk kesenangan.</v>
      </c>
    </row>
    <row r="46" spans="2:84" ht="51.75" customHeight="1">
      <c r="B46" s="109">
        <v>42</v>
      </c>
      <c r="C46" s="110">
        <f>SISWA!B47</f>
        <v>0</v>
      </c>
      <c r="D46" s="111" t="str">
        <f>SISWA!E47</f>
        <v>Anak 42</v>
      </c>
      <c r="E46" s="631">
        <v>99</v>
      </c>
      <c r="F46" s="631">
        <v>99</v>
      </c>
      <c r="G46" s="631">
        <v>99</v>
      </c>
      <c r="H46" s="631">
        <v>99</v>
      </c>
      <c r="I46" s="631">
        <v>99</v>
      </c>
      <c r="J46" s="730"/>
      <c r="K46" s="730"/>
      <c r="L46" s="731"/>
      <c r="M46" s="731"/>
      <c r="N46" s="731"/>
      <c r="O46" s="731"/>
      <c r="P46" s="731"/>
      <c r="Q46" s="730"/>
      <c r="R46" s="730"/>
      <c r="S46" s="610"/>
      <c r="T46" s="730"/>
      <c r="U46" s="631">
        <v>99</v>
      </c>
      <c r="V46" s="631">
        <v>99</v>
      </c>
      <c r="W46" s="730"/>
      <c r="X46" s="730"/>
      <c r="Y46" s="730"/>
      <c r="Z46" s="610"/>
      <c r="AA46" s="631">
        <v>83</v>
      </c>
      <c r="AB46" s="631">
        <v>87.25</v>
      </c>
      <c r="AC46" s="631">
        <v>99</v>
      </c>
      <c r="AD46" s="631">
        <v>99</v>
      </c>
      <c r="AE46" s="631">
        <v>99</v>
      </c>
      <c r="AF46" s="605"/>
      <c r="AG46" s="605"/>
      <c r="AH46" s="518"/>
      <c r="AI46" s="607">
        <f t="shared" si="15"/>
        <v>93.666666666666671</v>
      </c>
      <c r="AJ46" s="607">
        <f t="shared" si="16"/>
        <v>96.0625</v>
      </c>
      <c r="AK46" s="607">
        <f t="shared" si="17"/>
        <v>99</v>
      </c>
      <c r="AL46" s="607">
        <f t="shared" si="18"/>
        <v>99</v>
      </c>
      <c r="AM46" s="607">
        <f t="shared" si="19"/>
        <v>99</v>
      </c>
      <c r="AN46" s="607" t="str">
        <f t="shared" si="20"/>
        <v/>
      </c>
      <c r="AO46" s="608"/>
      <c r="AP46" s="528"/>
      <c r="AQ46" s="528"/>
      <c r="AR46" s="528"/>
      <c r="AS46" s="528"/>
      <c r="AT46" s="528"/>
      <c r="AU46" s="302">
        <f t="shared" si="36"/>
        <v>97</v>
      </c>
      <c r="AV46" s="303" t="str">
        <f>IF(AU46&gt;KKM!$G$10,"A",IF(AU46&gt;KKM!$H$10,"B",IF(AU46&gt;=KKM!$I$10,"C","D")))</f>
        <v>A</v>
      </c>
      <c r="AW46" s="523">
        <f t="shared" si="37"/>
        <v>99</v>
      </c>
      <c r="AX46" s="115" t="str">
        <f>IF(AW46&gt;KKM!$G$10," sangat baik ",IF(AW46&gt;KKM!$H$10," baik ",IF(AW46&gt;=KKM!$I$10," cukup baik "," perlu bimbingan ")))</f>
        <v xml:space="preserve"> sangat baik </v>
      </c>
      <c r="AY46" s="524">
        <f t="shared" si="38"/>
        <v>93.666666666666671</v>
      </c>
      <c r="AZ46" s="115" t="str">
        <f>IF(AY46&gt;KKM!$G$10," sangat baik ",IF(AY46&gt;KKM!$H$10," baik ",IF(AY46&gt;=KKM!$I$10," cukup baik "," perlu bimbingan ")))</f>
        <v xml:space="preserve"> sangat baik </v>
      </c>
      <c r="BA46" s="301" t="str">
        <f t="shared" si="21"/>
        <v>Anak 42 sangat baik  dalam menggali pengetahuan baru yang terdapat pada teks nonfiksi., dan  sangat baik  dalam menggali informasi dari seorang tokoh melalui wawancara menggunakan daftar pertanyaan.</v>
      </c>
      <c r="BB46" s="306"/>
      <c r="BC46" s="307" t="str">
        <f t="shared" si="39"/>
        <v xml:space="preserve"> sangat baik  dalam menggali pengetahuan baru yang terdapat pada teks nonfiksi.</v>
      </c>
      <c r="BD46" s="307" t="str">
        <f t="shared" si="40"/>
        <v xml:space="preserve"> sangat baik  dalam menggali informasi dari seorang tokoh melalui wawancara menggunakan daftar pertanyaan.</v>
      </c>
      <c r="BE46" s="307" t="str">
        <f t="shared" si="22"/>
        <v xml:space="preserve"> sangat baik  dalam menggali pengetahuan baru yang terdapat pada teks nonfiksi., dan  sangat baik  dalam menggali informasi dari seorang tokoh melalui wawancara menggunakan daftar pertanyaan.</v>
      </c>
      <c r="BF46" s="307" t="str">
        <f t="shared" si="23"/>
        <v xml:space="preserve"> </v>
      </c>
      <c r="BG46" s="308" t="str">
        <f t="shared" si="24"/>
        <v xml:space="preserve"> sangat baik  dalam menggali pengetahuan baru yang terdapat pada teks nonfiksi., dan  sangat baik  dalam menggali informasi dari seorang tokoh melalui wawancara menggunakan daftar pertanyaan.</v>
      </c>
      <c r="BH46" s="301" t="str">
        <f t="shared" si="41"/>
        <v>Anak 42 sangat baik  dalam menggali pengetahuan baru yang terdapat pada teks nonfiksi., dan  sangat baik  dalam menggali informasi dari seorang tokoh melalui wawancara menggunakan daftar pertanyaan.</v>
      </c>
      <c r="BI46" s="120"/>
      <c r="BQ46" s="408">
        <f t="shared" si="34"/>
        <v>97</v>
      </c>
      <c r="BT46" s="302">
        <f t="shared" si="25"/>
        <v>99</v>
      </c>
      <c r="BU46" s="303" t="str">
        <f>IF(BT46&gt;KKM!$G$10,"A",IF(BT46&gt;KKM!$H$10,"B",IF(BT46&gt;=KKM!$I$10,"C","D")))</f>
        <v>A</v>
      </c>
      <c r="BV46" s="523">
        <f t="shared" si="26"/>
        <v>99</v>
      </c>
      <c r="BW46" s="115" t="str">
        <f>IF(BV46&gt;KKM!$G$10," sangat baik ",IF(BV46&gt;KKM!$H$10," baik ",IF(BV46&gt;=KKM!$I$10," cukup baik "," perlu bimbingan ")))</f>
        <v xml:space="preserve"> sangat baik </v>
      </c>
      <c r="BX46" s="524">
        <f t="shared" si="27"/>
        <v>99</v>
      </c>
      <c r="BY46" s="115" t="str">
        <f>IF(BX46&gt;KKM!$G$10," sangat baik ",IF(BX46&gt;KKM!$H$10," baik ",IF(BX46&gt;=KKM!$I$10," cukup baik "," perlu bimbingan ")))</f>
        <v xml:space="preserve"> sangat baik </v>
      </c>
      <c r="BZ46" s="301" t="str">
        <f t="shared" si="35"/>
        <v>Anak 42 sangat baik  dalam menggali isi dan amanat puisi yang disajikan secara lisan dan tulis dengan tujuan untuk kesenangan.</v>
      </c>
      <c r="CA46" s="307" t="str">
        <f t="shared" si="28"/>
        <v xml:space="preserve"> sangat baik  dalam menggali isi dan amanat puisi yang disajikan secara lisan dan tulis dengan tujuan untuk kesenangan.</v>
      </c>
      <c r="CB46" s="307" t="str">
        <f t="shared" si="29"/>
        <v xml:space="preserve"> sangat baik  dalam menggali isi dan amanat puisi yang disajikan secara lisan dan tulis dengan tujuan untuk kesenangan.</v>
      </c>
      <c r="CC46"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6" s="307" t="str">
        <f t="shared" si="31"/>
        <v xml:space="preserve"> sangat baik  dalam menggali isi dan amanat puisi yang disajikan secara lisan dan tulis dengan tujuan untuk kesenangan.</v>
      </c>
      <c r="CE46" s="308" t="str">
        <f t="shared" si="32"/>
        <v xml:space="preserve"> sangat baik  dalam menggali isi dan amanat puisi yang disajikan secara lisan dan tulis dengan tujuan untuk kesenangan.</v>
      </c>
      <c r="CF46" s="301" t="str">
        <f t="shared" si="33"/>
        <v>Anak 42 sangat baik  dalam menggali isi dan amanat puisi yang disajikan secara lisan dan tulis dengan tujuan untuk kesenangan.</v>
      </c>
    </row>
    <row r="47" spans="2:84" ht="51.75" customHeight="1">
      <c r="B47" s="109">
        <v>43</v>
      </c>
      <c r="C47" s="110">
        <f>SISWA!B48</f>
        <v>0</v>
      </c>
      <c r="D47" s="111" t="str">
        <f>SISWA!E48</f>
        <v>Anak 43</v>
      </c>
      <c r="E47" s="631">
        <v>99</v>
      </c>
      <c r="F47" s="631">
        <v>99</v>
      </c>
      <c r="G47" s="631">
        <v>99</v>
      </c>
      <c r="H47" s="631">
        <v>99</v>
      </c>
      <c r="I47" s="631">
        <v>99</v>
      </c>
      <c r="J47" s="730"/>
      <c r="K47" s="730"/>
      <c r="L47" s="731"/>
      <c r="M47" s="731"/>
      <c r="N47" s="731"/>
      <c r="O47" s="731"/>
      <c r="P47" s="731"/>
      <c r="Q47" s="730"/>
      <c r="R47" s="730"/>
      <c r="S47" s="610"/>
      <c r="T47" s="730"/>
      <c r="U47" s="631">
        <v>99</v>
      </c>
      <c r="V47" s="631">
        <v>99</v>
      </c>
      <c r="W47" s="730"/>
      <c r="X47" s="730"/>
      <c r="Y47" s="730"/>
      <c r="Z47" s="610"/>
      <c r="AA47" s="631">
        <v>74.5</v>
      </c>
      <c r="AB47" s="631">
        <v>77.5</v>
      </c>
      <c r="AC47" s="631">
        <v>99</v>
      </c>
      <c r="AD47" s="631">
        <v>99</v>
      </c>
      <c r="AE47" s="631">
        <v>99</v>
      </c>
      <c r="AF47" s="605"/>
      <c r="AG47" s="605"/>
      <c r="AH47" s="518"/>
      <c r="AI47" s="607">
        <f t="shared" si="15"/>
        <v>90.833333333333329</v>
      </c>
      <c r="AJ47" s="607">
        <f t="shared" si="16"/>
        <v>93.625</v>
      </c>
      <c r="AK47" s="607">
        <f t="shared" si="17"/>
        <v>99</v>
      </c>
      <c r="AL47" s="607">
        <f t="shared" si="18"/>
        <v>99</v>
      </c>
      <c r="AM47" s="607">
        <f t="shared" si="19"/>
        <v>99</v>
      </c>
      <c r="AN47" s="607" t="str">
        <f t="shared" si="20"/>
        <v/>
      </c>
      <c r="AO47" s="608"/>
      <c r="AP47" s="528"/>
      <c r="AQ47" s="528"/>
      <c r="AR47" s="528"/>
      <c r="AS47" s="528"/>
      <c r="AT47" s="528"/>
      <c r="AU47" s="302">
        <f t="shared" si="36"/>
        <v>96</v>
      </c>
      <c r="AV47" s="303" t="str">
        <f>IF(AU47&gt;KKM!$G$10,"A",IF(AU47&gt;KKM!$H$10,"B",IF(AU47&gt;=KKM!$I$10,"C","D")))</f>
        <v>A</v>
      </c>
      <c r="AW47" s="523">
        <f t="shared" si="37"/>
        <v>99</v>
      </c>
      <c r="AX47" s="115" t="str">
        <f>IF(AW47&gt;KKM!$G$10," sangat baik ",IF(AW47&gt;KKM!$H$10," baik ",IF(AW47&gt;=KKM!$I$10," cukup baik "," perlu bimbingan ")))</f>
        <v xml:space="preserve"> sangat baik </v>
      </c>
      <c r="AY47" s="524">
        <f t="shared" si="38"/>
        <v>90.833333333333329</v>
      </c>
      <c r="AZ47" s="115" t="str">
        <f>IF(AY47&gt;KKM!$G$10," sangat baik ",IF(AY47&gt;KKM!$H$10," baik ",IF(AY47&gt;=KKM!$I$10," cukup baik "," perlu bimbingan ")))</f>
        <v xml:space="preserve"> sangat baik </v>
      </c>
      <c r="BA47" s="301" t="str">
        <f t="shared" si="21"/>
        <v>Anak 43 sangat baik  dalam menggali pengetahuan baru yang terdapat pada teks nonfiksi., dan  sangat baik  dalam menggali informasi dari seorang tokoh melalui wawancara menggunakan daftar pertanyaan.</v>
      </c>
      <c r="BB47" s="306"/>
      <c r="BC47" s="307" t="str">
        <f t="shared" si="39"/>
        <v xml:space="preserve"> sangat baik  dalam menggali pengetahuan baru yang terdapat pada teks nonfiksi.</v>
      </c>
      <c r="BD47" s="307" t="str">
        <f t="shared" si="40"/>
        <v xml:space="preserve"> sangat baik  dalam menggali informasi dari seorang tokoh melalui wawancara menggunakan daftar pertanyaan.</v>
      </c>
      <c r="BE47" s="307" t="str">
        <f t="shared" si="22"/>
        <v xml:space="preserve"> sangat baik  dalam menggali pengetahuan baru yang terdapat pada teks nonfiksi., dan  sangat baik  dalam menggali informasi dari seorang tokoh melalui wawancara menggunakan daftar pertanyaan.</v>
      </c>
      <c r="BF47" s="307" t="str">
        <f t="shared" si="23"/>
        <v xml:space="preserve"> </v>
      </c>
      <c r="BG47" s="308" t="str">
        <f t="shared" si="24"/>
        <v xml:space="preserve"> sangat baik  dalam menggali pengetahuan baru yang terdapat pada teks nonfiksi., dan  sangat baik  dalam menggali informasi dari seorang tokoh melalui wawancara menggunakan daftar pertanyaan.</v>
      </c>
      <c r="BH47" s="301" t="str">
        <f t="shared" si="41"/>
        <v>Anak 43 sangat baik  dalam menggali pengetahuan baru yang terdapat pada teks nonfiksi., dan  sangat baik  dalam menggali informasi dari seorang tokoh melalui wawancara menggunakan daftar pertanyaan.</v>
      </c>
      <c r="BI47" s="120"/>
      <c r="BQ47" s="408">
        <f t="shared" si="34"/>
        <v>96</v>
      </c>
      <c r="BT47" s="302">
        <f t="shared" si="25"/>
        <v>99</v>
      </c>
      <c r="BU47" s="303" t="str">
        <f>IF(BT47&gt;KKM!$G$10,"A",IF(BT47&gt;KKM!$H$10,"B",IF(BT47&gt;=KKM!$I$10,"C","D")))</f>
        <v>A</v>
      </c>
      <c r="BV47" s="523">
        <f t="shared" si="26"/>
        <v>99</v>
      </c>
      <c r="BW47" s="115" t="str">
        <f>IF(BV47&gt;KKM!$G$10," sangat baik ",IF(BV47&gt;KKM!$H$10," baik ",IF(BV47&gt;=KKM!$I$10," cukup baik "," perlu bimbingan ")))</f>
        <v xml:space="preserve"> sangat baik </v>
      </c>
      <c r="BX47" s="524">
        <f t="shared" si="27"/>
        <v>99</v>
      </c>
      <c r="BY47" s="115" t="str">
        <f>IF(BX47&gt;KKM!$G$10," sangat baik ",IF(BX47&gt;KKM!$H$10," baik ",IF(BX47&gt;=KKM!$I$10," cukup baik "," perlu bimbingan ")))</f>
        <v xml:space="preserve"> sangat baik </v>
      </c>
      <c r="BZ47" s="301" t="str">
        <f t="shared" si="35"/>
        <v>Anak 43 sangat baik  dalam menggali isi dan amanat puisi yang disajikan secara lisan dan tulis dengan tujuan untuk kesenangan.</v>
      </c>
      <c r="CA47" s="307" t="str">
        <f t="shared" si="28"/>
        <v xml:space="preserve"> sangat baik  dalam menggali isi dan amanat puisi yang disajikan secara lisan dan tulis dengan tujuan untuk kesenangan.</v>
      </c>
      <c r="CB47" s="307" t="str">
        <f t="shared" si="29"/>
        <v xml:space="preserve"> sangat baik  dalam menggali isi dan amanat puisi yang disajikan secara lisan dan tulis dengan tujuan untuk kesenangan.</v>
      </c>
      <c r="CC47"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7" s="307" t="str">
        <f t="shared" si="31"/>
        <v xml:space="preserve"> sangat baik  dalam menggali isi dan amanat puisi yang disajikan secara lisan dan tulis dengan tujuan untuk kesenangan.</v>
      </c>
      <c r="CE47" s="308" t="str">
        <f t="shared" si="32"/>
        <v xml:space="preserve"> sangat baik  dalam menggali isi dan amanat puisi yang disajikan secara lisan dan tulis dengan tujuan untuk kesenangan.</v>
      </c>
      <c r="CF47" s="301" t="str">
        <f t="shared" si="33"/>
        <v>Anak 43 sangat baik  dalam menggali isi dan amanat puisi yang disajikan secara lisan dan tulis dengan tujuan untuk kesenangan.</v>
      </c>
    </row>
    <row r="48" spans="2:84" ht="51.75" customHeight="1">
      <c r="B48" s="109">
        <v>44</v>
      </c>
      <c r="C48" s="110">
        <f>SISWA!B49</f>
        <v>0</v>
      </c>
      <c r="D48" s="111" t="str">
        <f>SISWA!E49</f>
        <v>Anak 44</v>
      </c>
      <c r="E48" s="631">
        <v>99</v>
      </c>
      <c r="F48" s="631">
        <v>99</v>
      </c>
      <c r="G48" s="631">
        <v>99</v>
      </c>
      <c r="H48" s="631">
        <v>99</v>
      </c>
      <c r="I48" s="631">
        <v>99</v>
      </c>
      <c r="J48" s="730"/>
      <c r="K48" s="730"/>
      <c r="L48" s="731"/>
      <c r="M48" s="731"/>
      <c r="N48" s="731"/>
      <c r="O48" s="731"/>
      <c r="P48" s="731"/>
      <c r="Q48" s="730"/>
      <c r="R48" s="730"/>
      <c r="S48" s="610"/>
      <c r="T48" s="730"/>
      <c r="U48" s="631">
        <v>99</v>
      </c>
      <c r="V48" s="631">
        <v>99</v>
      </c>
      <c r="W48" s="730"/>
      <c r="X48" s="730"/>
      <c r="Y48" s="730"/>
      <c r="Z48" s="610"/>
      <c r="AA48" s="631">
        <v>74.5</v>
      </c>
      <c r="AB48" s="631">
        <v>80.25</v>
      </c>
      <c r="AC48" s="631">
        <v>99</v>
      </c>
      <c r="AD48" s="631">
        <v>99</v>
      </c>
      <c r="AE48" s="631">
        <v>99</v>
      </c>
      <c r="AF48" s="605"/>
      <c r="AG48" s="605"/>
      <c r="AH48" s="518"/>
      <c r="AI48" s="607">
        <f t="shared" si="15"/>
        <v>90.833333333333329</v>
      </c>
      <c r="AJ48" s="607">
        <f t="shared" si="16"/>
        <v>94.3125</v>
      </c>
      <c r="AK48" s="607">
        <f t="shared" si="17"/>
        <v>99</v>
      </c>
      <c r="AL48" s="607">
        <f t="shared" si="18"/>
        <v>99</v>
      </c>
      <c r="AM48" s="607">
        <f t="shared" si="19"/>
        <v>99</v>
      </c>
      <c r="AN48" s="607" t="str">
        <f t="shared" si="20"/>
        <v/>
      </c>
      <c r="AO48" s="608"/>
      <c r="AP48" s="528"/>
      <c r="AQ48" s="528"/>
      <c r="AR48" s="528"/>
      <c r="AS48" s="528"/>
      <c r="AT48" s="528"/>
      <c r="AU48" s="302">
        <f t="shared" si="36"/>
        <v>96</v>
      </c>
      <c r="AV48" s="303" t="str">
        <f>IF(AU48&gt;KKM!$G$10,"A",IF(AU48&gt;KKM!$H$10,"B",IF(AU48&gt;=KKM!$I$10,"C","D")))</f>
        <v>A</v>
      </c>
      <c r="AW48" s="523">
        <f t="shared" si="37"/>
        <v>99</v>
      </c>
      <c r="AX48" s="115" t="str">
        <f>IF(AW48&gt;KKM!$G$10," sangat baik ",IF(AW48&gt;KKM!$H$10," baik ",IF(AW48&gt;=KKM!$I$10," cukup baik "," perlu bimbingan ")))</f>
        <v xml:space="preserve"> sangat baik </v>
      </c>
      <c r="AY48" s="524">
        <f t="shared" si="38"/>
        <v>90.833333333333329</v>
      </c>
      <c r="AZ48" s="115" t="str">
        <f>IF(AY48&gt;KKM!$G$10," sangat baik ",IF(AY48&gt;KKM!$H$10," baik ",IF(AY48&gt;=KKM!$I$10," cukup baik "," perlu bimbingan ")))</f>
        <v xml:space="preserve"> sangat baik </v>
      </c>
      <c r="BA48" s="301" t="str">
        <f t="shared" si="21"/>
        <v>Anak 44 sangat baik  dalam menggali pengetahuan baru yang terdapat pada teks nonfiksi., dan  sangat baik  dalam menggali informasi dari seorang tokoh melalui wawancara menggunakan daftar pertanyaan.</v>
      </c>
      <c r="BB48" s="306"/>
      <c r="BC48" s="307" t="str">
        <f t="shared" si="39"/>
        <v xml:space="preserve"> sangat baik  dalam menggali pengetahuan baru yang terdapat pada teks nonfiksi.</v>
      </c>
      <c r="BD48" s="307" t="str">
        <f t="shared" si="40"/>
        <v xml:space="preserve"> sangat baik  dalam menggali informasi dari seorang tokoh melalui wawancara menggunakan daftar pertanyaan.</v>
      </c>
      <c r="BE48" s="307" t="str">
        <f t="shared" si="22"/>
        <v xml:space="preserve"> sangat baik  dalam menggali pengetahuan baru yang terdapat pada teks nonfiksi., dan  sangat baik  dalam menggali informasi dari seorang tokoh melalui wawancara menggunakan daftar pertanyaan.</v>
      </c>
      <c r="BF48" s="307" t="str">
        <f t="shared" si="23"/>
        <v xml:space="preserve"> </v>
      </c>
      <c r="BG48" s="308" t="str">
        <f t="shared" si="24"/>
        <v xml:space="preserve"> sangat baik  dalam menggali pengetahuan baru yang terdapat pada teks nonfiksi., dan  sangat baik  dalam menggali informasi dari seorang tokoh melalui wawancara menggunakan daftar pertanyaan.</v>
      </c>
      <c r="BH48" s="301" t="str">
        <f t="shared" si="41"/>
        <v>Anak 44 sangat baik  dalam menggali pengetahuan baru yang terdapat pada teks nonfiksi., dan  sangat baik  dalam menggali informasi dari seorang tokoh melalui wawancara menggunakan daftar pertanyaan.</v>
      </c>
      <c r="BI48" s="120"/>
      <c r="BQ48" s="408">
        <f t="shared" si="34"/>
        <v>96</v>
      </c>
      <c r="BT48" s="302">
        <f t="shared" si="25"/>
        <v>99</v>
      </c>
      <c r="BU48" s="303" t="str">
        <f>IF(BT48&gt;KKM!$G$10,"A",IF(BT48&gt;KKM!$H$10,"B",IF(BT48&gt;=KKM!$I$10,"C","D")))</f>
        <v>A</v>
      </c>
      <c r="BV48" s="523">
        <f t="shared" si="26"/>
        <v>99</v>
      </c>
      <c r="BW48" s="115" t="str">
        <f>IF(BV48&gt;KKM!$G$10," sangat baik ",IF(BV48&gt;KKM!$H$10," baik ",IF(BV48&gt;=KKM!$I$10," cukup baik "," perlu bimbingan ")))</f>
        <v xml:space="preserve"> sangat baik </v>
      </c>
      <c r="BX48" s="524">
        <f t="shared" si="27"/>
        <v>99</v>
      </c>
      <c r="BY48" s="115" t="str">
        <f>IF(BX48&gt;KKM!$G$10," sangat baik ",IF(BX48&gt;KKM!$H$10," baik ",IF(BX48&gt;=KKM!$I$10," cukup baik "," perlu bimbingan ")))</f>
        <v xml:space="preserve"> sangat baik </v>
      </c>
      <c r="BZ48" s="301" t="str">
        <f t="shared" si="35"/>
        <v>Anak 44 sangat baik  dalam menggali isi dan amanat puisi yang disajikan secara lisan dan tulis dengan tujuan untuk kesenangan.</v>
      </c>
      <c r="CA48" s="307" t="str">
        <f t="shared" si="28"/>
        <v xml:space="preserve"> sangat baik  dalam menggali isi dan amanat puisi yang disajikan secara lisan dan tulis dengan tujuan untuk kesenangan.</v>
      </c>
      <c r="CB48" s="307" t="str">
        <f t="shared" si="29"/>
        <v xml:space="preserve"> sangat baik  dalam menggali isi dan amanat puisi yang disajikan secara lisan dan tulis dengan tujuan untuk kesenangan.</v>
      </c>
      <c r="CC48"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8" s="307" t="str">
        <f t="shared" si="31"/>
        <v xml:space="preserve"> sangat baik  dalam menggali isi dan amanat puisi yang disajikan secara lisan dan tulis dengan tujuan untuk kesenangan.</v>
      </c>
      <c r="CE48" s="308" t="str">
        <f t="shared" si="32"/>
        <v xml:space="preserve"> sangat baik  dalam menggali isi dan amanat puisi yang disajikan secara lisan dan tulis dengan tujuan untuk kesenangan.</v>
      </c>
      <c r="CF48" s="301" t="str">
        <f t="shared" si="33"/>
        <v>Anak 44 sangat baik  dalam menggali isi dan amanat puisi yang disajikan secara lisan dan tulis dengan tujuan untuk kesenangan.</v>
      </c>
    </row>
    <row r="49" spans="2:84" ht="51.75" customHeight="1">
      <c r="B49" s="109">
        <v>45</v>
      </c>
      <c r="C49" s="110">
        <f>SISWA!B50</f>
        <v>0</v>
      </c>
      <c r="D49" s="111" t="str">
        <f>SISWA!E50</f>
        <v>Anak 45</v>
      </c>
      <c r="E49" s="631">
        <v>99</v>
      </c>
      <c r="F49" s="631">
        <v>99</v>
      </c>
      <c r="G49" s="631">
        <v>99</v>
      </c>
      <c r="H49" s="631">
        <v>99</v>
      </c>
      <c r="I49" s="631">
        <v>99</v>
      </c>
      <c r="J49" s="730"/>
      <c r="K49" s="730"/>
      <c r="L49" s="731"/>
      <c r="M49" s="731"/>
      <c r="N49" s="731"/>
      <c r="O49" s="731"/>
      <c r="P49" s="731"/>
      <c r="Q49" s="730"/>
      <c r="R49" s="730"/>
      <c r="S49" s="610"/>
      <c r="T49" s="730"/>
      <c r="U49" s="631">
        <v>99</v>
      </c>
      <c r="V49" s="631">
        <v>99</v>
      </c>
      <c r="W49" s="730"/>
      <c r="X49" s="730"/>
      <c r="Y49" s="730"/>
      <c r="Z49" s="610"/>
      <c r="AA49" s="631">
        <v>74.5</v>
      </c>
      <c r="AB49" s="631">
        <v>72.25</v>
      </c>
      <c r="AC49" s="631">
        <v>99</v>
      </c>
      <c r="AD49" s="631">
        <v>99</v>
      </c>
      <c r="AE49" s="631">
        <v>99</v>
      </c>
      <c r="AF49" s="605"/>
      <c r="AG49" s="605"/>
      <c r="AH49" s="518"/>
      <c r="AI49" s="607">
        <f t="shared" si="15"/>
        <v>90.833333333333329</v>
      </c>
      <c r="AJ49" s="607">
        <f t="shared" si="16"/>
        <v>92.3125</v>
      </c>
      <c r="AK49" s="607">
        <f t="shared" si="17"/>
        <v>99</v>
      </c>
      <c r="AL49" s="607">
        <f t="shared" si="18"/>
        <v>99</v>
      </c>
      <c r="AM49" s="607">
        <f t="shared" si="19"/>
        <v>99</v>
      </c>
      <c r="AN49" s="607" t="str">
        <f t="shared" si="20"/>
        <v/>
      </c>
      <c r="AO49" s="608"/>
      <c r="AP49" s="528"/>
      <c r="AQ49" s="528"/>
      <c r="AR49" s="528"/>
      <c r="AS49" s="528"/>
      <c r="AT49" s="528"/>
      <c r="AU49" s="302">
        <f t="shared" si="36"/>
        <v>96</v>
      </c>
      <c r="AV49" s="303" t="str">
        <f>IF(AU49&gt;KKM!$G$10,"A",IF(AU49&gt;KKM!$H$10,"B",IF(AU49&gt;=KKM!$I$10,"C","D")))</f>
        <v>A</v>
      </c>
      <c r="AW49" s="523">
        <f t="shared" si="37"/>
        <v>99</v>
      </c>
      <c r="AX49" s="115" t="str">
        <f>IF(AW49&gt;KKM!$G$10," sangat baik ",IF(AW49&gt;KKM!$H$10," baik ",IF(AW49&gt;=KKM!$I$10," cukup baik "," perlu bimbingan ")))</f>
        <v xml:space="preserve"> sangat baik </v>
      </c>
      <c r="AY49" s="524">
        <f t="shared" si="38"/>
        <v>90.833333333333329</v>
      </c>
      <c r="AZ49" s="115" t="str">
        <f>IF(AY49&gt;KKM!$G$10," sangat baik ",IF(AY49&gt;KKM!$H$10," baik ",IF(AY49&gt;=KKM!$I$10," cukup baik "," perlu bimbingan ")))</f>
        <v xml:space="preserve"> sangat baik </v>
      </c>
      <c r="BA49" s="301" t="str">
        <f t="shared" si="21"/>
        <v>Anak 45 sangat baik  dalam menggali pengetahuan baru yang terdapat pada teks nonfiksi., dan  sangat baik  dalam menggali informasi dari seorang tokoh melalui wawancara menggunakan daftar pertanyaan.</v>
      </c>
      <c r="BB49" s="306"/>
      <c r="BC49" s="307" t="str">
        <f t="shared" si="39"/>
        <v xml:space="preserve"> sangat baik  dalam menggali pengetahuan baru yang terdapat pada teks nonfiksi.</v>
      </c>
      <c r="BD49" s="307" t="str">
        <f t="shared" si="40"/>
        <v xml:space="preserve"> sangat baik  dalam menggali informasi dari seorang tokoh melalui wawancara menggunakan daftar pertanyaan.</v>
      </c>
      <c r="BE49" s="307" t="str">
        <f t="shared" si="22"/>
        <v xml:space="preserve"> sangat baik  dalam menggali pengetahuan baru yang terdapat pada teks nonfiksi., dan  sangat baik  dalam menggali informasi dari seorang tokoh melalui wawancara menggunakan daftar pertanyaan.</v>
      </c>
      <c r="BF49" s="307" t="str">
        <f t="shared" si="23"/>
        <v xml:space="preserve"> </v>
      </c>
      <c r="BG49" s="308" t="str">
        <f t="shared" si="24"/>
        <v xml:space="preserve"> sangat baik  dalam menggali pengetahuan baru yang terdapat pada teks nonfiksi., dan  sangat baik  dalam menggali informasi dari seorang tokoh melalui wawancara menggunakan daftar pertanyaan.</v>
      </c>
      <c r="BH49" s="301" t="str">
        <f t="shared" si="41"/>
        <v>Anak 45 sangat baik  dalam menggali pengetahuan baru yang terdapat pada teks nonfiksi., dan  sangat baik  dalam menggali informasi dari seorang tokoh melalui wawancara menggunakan daftar pertanyaan.</v>
      </c>
      <c r="BI49" s="120"/>
      <c r="BQ49" s="408">
        <f t="shared" si="34"/>
        <v>96</v>
      </c>
      <c r="BT49" s="302">
        <f t="shared" si="25"/>
        <v>99</v>
      </c>
      <c r="BU49" s="303" t="str">
        <f>IF(BT49&gt;KKM!$G$10,"A",IF(BT49&gt;KKM!$H$10,"B",IF(BT49&gt;=KKM!$I$10,"C","D")))</f>
        <v>A</v>
      </c>
      <c r="BV49" s="523">
        <f t="shared" si="26"/>
        <v>99</v>
      </c>
      <c r="BW49" s="115" t="str">
        <f>IF(BV49&gt;KKM!$G$10," sangat baik ",IF(BV49&gt;KKM!$H$10," baik ",IF(BV49&gt;=KKM!$I$10," cukup baik "," perlu bimbingan ")))</f>
        <v xml:space="preserve"> sangat baik </v>
      </c>
      <c r="BX49" s="524">
        <f t="shared" si="27"/>
        <v>99</v>
      </c>
      <c r="BY49" s="115" t="str">
        <f>IF(BX49&gt;KKM!$G$10," sangat baik ",IF(BX49&gt;KKM!$H$10," baik ",IF(BX49&gt;=KKM!$I$10," cukup baik "," perlu bimbingan ")))</f>
        <v xml:space="preserve"> sangat baik </v>
      </c>
      <c r="BZ49" s="301" t="str">
        <f t="shared" si="35"/>
        <v>Anak 45 sangat baik  dalam menggali isi dan amanat puisi yang disajikan secara lisan dan tulis dengan tujuan untuk kesenangan.</v>
      </c>
      <c r="CA49" s="307" t="str">
        <f t="shared" si="28"/>
        <v xml:space="preserve"> sangat baik  dalam menggali isi dan amanat puisi yang disajikan secara lisan dan tulis dengan tujuan untuk kesenangan.</v>
      </c>
      <c r="CB49" s="307" t="str">
        <f t="shared" si="29"/>
        <v xml:space="preserve"> sangat baik  dalam menggali isi dan amanat puisi yang disajikan secara lisan dan tulis dengan tujuan untuk kesenangan.</v>
      </c>
      <c r="CC49"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49" s="307" t="str">
        <f t="shared" si="31"/>
        <v xml:space="preserve"> sangat baik  dalam menggali isi dan amanat puisi yang disajikan secara lisan dan tulis dengan tujuan untuk kesenangan.</v>
      </c>
      <c r="CE49" s="308" t="str">
        <f t="shared" si="32"/>
        <v xml:space="preserve"> sangat baik  dalam menggali isi dan amanat puisi yang disajikan secara lisan dan tulis dengan tujuan untuk kesenangan.</v>
      </c>
      <c r="CF49" s="301" t="str">
        <f t="shared" si="33"/>
        <v>Anak 45 sangat baik  dalam menggali isi dan amanat puisi yang disajikan secara lisan dan tulis dengan tujuan untuk kesenangan.</v>
      </c>
    </row>
    <row r="50" spans="2:84" ht="51.75" customHeight="1">
      <c r="B50" s="109">
        <v>46</v>
      </c>
      <c r="C50" s="110">
        <f>SISWA!B51</f>
        <v>0</v>
      </c>
      <c r="D50" s="111" t="str">
        <f>SISWA!E51</f>
        <v>Anak 46</v>
      </c>
      <c r="E50" s="631">
        <v>99</v>
      </c>
      <c r="F50" s="631">
        <v>99</v>
      </c>
      <c r="G50" s="631">
        <v>99</v>
      </c>
      <c r="H50" s="631">
        <v>99</v>
      </c>
      <c r="I50" s="631">
        <v>99</v>
      </c>
      <c r="J50" s="730"/>
      <c r="K50" s="730"/>
      <c r="L50" s="731"/>
      <c r="M50" s="731"/>
      <c r="N50" s="731"/>
      <c r="O50" s="731"/>
      <c r="P50" s="731"/>
      <c r="Q50" s="730"/>
      <c r="R50" s="730"/>
      <c r="S50" s="610"/>
      <c r="T50" s="730"/>
      <c r="U50" s="631">
        <v>99</v>
      </c>
      <c r="V50" s="631">
        <v>99</v>
      </c>
      <c r="W50" s="730"/>
      <c r="X50" s="730"/>
      <c r="Y50" s="730"/>
      <c r="Z50" s="610"/>
      <c r="AA50" s="631">
        <v>84</v>
      </c>
      <c r="AB50" s="631">
        <v>84</v>
      </c>
      <c r="AC50" s="631">
        <v>99</v>
      </c>
      <c r="AD50" s="631">
        <v>99</v>
      </c>
      <c r="AE50" s="631">
        <v>99</v>
      </c>
      <c r="AF50" s="605"/>
      <c r="AG50" s="605"/>
      <c r="AH50" s="518"/>
      <c r="AI50" s="607">
        <f t="shared" si="15"/>
        <v>94</v>
      </c>
      <c r="AJ50" s="607">
        <f t="shared" si="16"/>
        <v>95.25</v>
      </c>
      <c r="AK50" s="607">
        <f t="shared" si="17"/>
        <v>99</v>
      </c>
      <c r="AL50" s="607">
        <f t="shared" si="18"/>
        <v>99</v>
      </c>
      <c r="AM50" s="607">
        <f t="shared" si="19"/>
        <v>99</v>
      </c>
      <c r="AN50" s="607" t="str">
        <f t="shared" si="20"/>
        <v/>
      </c>
      <c r="AO50" s="608"/>
      <c r="AP50" s="528"/>
      <c r="AQ50" s="528"/>
      <c r="AR50" s="528"/>
      <c r="AS50" s="528"/>
      <c r="AT50" s="528"/>
      <c r="AU50" s="302">
        <f t="shared" si="36"/>
        <v>97</v>
      </c>
      <c r="AV50" s="303" t="str">
        <f>IF(AU50&gt;KKM!$G$10,"A",IF(AU50&gt;KKM!$H$10,"B",IF(AU50&gt;=KKM!$I$10,"C","D")))</f>
        <v>A</v>
      </c>
      <c r="AW50" s="523">
        <f t="shared" si="37"/>
        <v>99</v>
      </c>
      <c r="AX50" s="115" t="str">
        <f>IF(AW50&gt;KKM!$G$10," sangat baik ",IF(AW50&gt;KKM!$H$10," baik ",IF(AW50&gt;=KKM!$I$10," cukup baik "," perlu bimbingan ")))</f>
        <v xml:space="preserve"> sangat baik </v>
      </c>
      <c r="AY50" s="524">
        <f t="shared" si="38"/>
        <v>94</v>
      </c>
      <c r="AZ50" s="115" t="str">
        <f>IF(AY50&gt;KKM!$G$10," sangat baik ",IF(AY50&gt;KKM!$H$10," baik ",IF(AY50&gt;=KKM!$I$10," cukup baik "," perlu bimbingan ")))</f>
        <v xml:space="preserve"> sangat baik </v>
      </c>
      <c r="BA50" s="301" t="str">
        <f t="shared" si="21"/>
        <v>Anak 46 sangat baik  dalam menggali pengetahuan baru yang terdapat pada teks nonfiksi., dan  sangat baik  dalam menggali informasi dari seorang tokoh melalui wawancara menggunakan daftar pertanyaan.</v>
      </c>
      <c r="BB50" s="306"/>
      <c r="BC50" s="307" t="str">
        <f t="shared" si="39"/>
        <v xml:space="preserve"> sangat baik  dalam menggali pengetahuan baru yang terdapat pada teks nonfiksi.</v>
      </c>
      <c r="BD50" s="307" t="str">
        <f t="shared" si="40"/>
        <v xml:space="preserve"> sangat baik  dalam menggali informasi dari seorang tokoh melalui wawancara menggunakan daftar pertanyaan.</v>
      </c>
      <c r="BE50" s="307" t="str">
        <f t="shared" si="22"/>
        <v xml:space="preserve"> sangat baik  dalam menggali pengetahuan baru yang terdapat pada teks nonfiksi., dan  sangat baik  dalam menggali informasi dari seorang tokoh melalui wawancara menggunakan daftar pertanyaan.</v>
      </c>
      <c r="BF50" s="307" t="str">
        <f t="shared" si="23"/>
        <v xml:space="preserve"> </v>
      </c>
      <c r="BG50" s="308" t="str">
        <f t="shared" si="24"/>
        <v xml:space="preserve"> sangat baik  dalam menggali pengetahuan baru yang terdapat pada teks nonfiksi., dan  sangat baik  dalam menggali informasi dari seorang tokoh melalui wawancara menggunakan daftar pertanyaan.</v>
      </c>
      <c r="BH50" s="301" t="str">
        <f t="shared" si="41"/>
        <v>Anak 46 sangat baik  dalam menggali pengetahuan baru yang terdapat pada teks nonfiksi., dan  sangat baik  dalam menggali informasi dari seorang tokoh melalui wawancara menggunakan daftar pertanyaan.</v>
      </c>
      <c r="BI50" s="120"/>
      <c r="BQ50" s="408">
        <f t="shared" si="34"/>
        <v>97</v>
      </c>
      <c r="BT50" s="302">
        <f t="shared" si="25"/>
        <v>99</v>
      </c>
      <c r="BU50" s="303" t="str">
        <f>IF(BT50&gt;KKM!$G$10,"A",IF(BT50&gt;KKM!$H$10,"B",IF(BT50&gt;=KKM!$I$10,"C","D")))</f>
        <v>A</v>
      </c>
      <c r="BV50" s="523">
        <f t="shared" si="26"/>
        <v>99</v>
      </c>
      <c r="BW50" s="115" t="str">
        <f>IF(BV50&gt;KKM!$G$10," sangat baik ",IF(BV50&gt;KKM!$H$10," baik ",IF(BV50&gt;=KKM!$I$10," cukup baik "," perlu bimbingan ")))</f>
        <v xml:space="preserve"> sangat baik </v>
      </c>
      <c r="BX50" s="524">
        <f t="shared" si="27"/>
        <v>99</v>
      </c>
      <c r="BY50" s="115" t="str">
        <f>IF(BX50&gt;KKM!$G$10," sangat baik ",IF(BX50&gt;KKM!$H$10," baik ",IF(BX50&gt;=KKM!$I$10," cukup baik "," perlu bimbingan ")))</f>
        <v xml:space="preserve"> sangat baik </v>
      </c>
      <c r="BZ50" s="301" t="str">
        <f t="shared" si="35"/>
        <v>Anak 46 sangat baik  dalam menggali isi dan amanat puisi yang disajikan secara lisan dan tulis dengan tujuan untuk kesenangan.</v>
      </c>
      <c r="CA50" s="307" t="str">
        <f t="shared" si="28"/>
        <v xml:space="preserve"> sangat baik  dalam menggali isi dan amanat puisi yang disajikan secara lisan dan tulis dengan tujuan untuk kesenangan.</v>
      </c>
      <c r="CB50" s="307" t="str">
        <f t="shared" si="29"/>
        <v xml:space="preserve"> sangat baik  dalam menggali isi dan amanat puisi yang disajikan secara lisan dan tulis dengan tujuan untuk kesenangan.</v>
      </c>
      <c r="CC50"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50" s="307" t="str">
        <f t="shared" si="31"/>
        <v xml:space="preserve"> sangat baik  dalam menggali isi dan amanat puisi yang disajikan secara lisan dan tulis dengan tujuan untuk kesenangan.</v>
      </c>
      <c r="CE50" s="308" t="str">
        <f t="shared" si="32"/>
        <v xml:space="preserve"> sangat baik  dalam menggali isi dan amanat puisi yang disajikan secara lisan dan tulis dengan tujuan untuk kesenangan.</v>
      </c>
      <c r="CF50" s="301" t="str">
        <f t="shared" si="33"/>
        <v>Anak 46 sangat baik  dalam menggali isi dan amanat puisi yang disajikan secara lisan dan tulis dengan tujuan untuk kesenangan.</v>
      </c>
    </row>
    <row r="51" spans="2:84" ht="51.75" customHeight="1">
      <c r="B51" s="109">
        <v>47</v>
      </c>
      <c r="C51" s="110">
        <f>SISWA!B52</f>
        <v>0</v>
      </c>
      <c r="D51" s="111" t="str">
        <f>SISWA!E52</f>
        <v>Anak 47</v>
      </c>
      <c r="E51" s="631">
        <v>99</v>
      </c>
      <c r="F51" s="631">
        <v>99</v>
      </c>
      <c r="G51" s="631">
        <v>99</v>
      </c>
      <c r="H51" s="631">
        <v>99</v>
      </c>
      <c r="I51" s="631">
        <v>99</v>
      </c>
      <c r="J51" s="730"/>
      <c r="K51" s="730"/>
      <c r="L51" s="731"/>
      <c r="M51" s="731"/>
      <c r="N51" s="731"/>
      <c r="O51" s="731"/>
      <c r="P51" s="731"/>
      <c r="Q51" s="730"/>
      <c r="R51" s="730"/>
      <c r="S51" s="610"/>
      <c r="T51" s="730"/>
      <c r="U51" s="631">
        <v>99</v>
      </c>
      <c r="V51" s="631">
        <v>99</v>
      </c>
      <c r="W51" s="730"/>
      <c r="X51" s="730"/>
      <c r="Y51" s="730"/>
      <c r="Z51" s="610"/>
      <c r="AA51" s="631">
        <v>68.75</v>
      </c>
      <c r="AB51" s="631">
        <v>68.75</v>
      </c>
      <c r="AC51" s="631">
        <v>99</v>
      </c>
      <c r="AD51" s="631">
        <v>99</v>
      </c>
      <c r="AE51" s="631">
        <v>99</v>
      </c>
      <c r="AF51" s="605"/>
      <c r="AG51" s="605"/>
      <c r="AH51" s="518"/>
      <c r="AI51" s="607">
        <f t="shared" si="15"/>
        <v>88.916666666666671</v>
      </c>
      <c r="AJ51" s="607">
        <f t="shared" si="16"/>
        <v>91.4375</v>
      </c>
      <c r="AK51" s="607">
        <f t="shared" si="17"/>
        <v>99</v>
      </c>
      <c r="AL51" s="607">
        <f t="shared" si="18"/>
        <v>99</v>
      </c>
      <c r="AM51" s="607">
        <f t="shared" si="19"/>
        <v>99</v>
      </c>
      <c r="AN51" s="607" t="str">
        <f t="shared" si="20"/>
        <v/>
      </c>
      <c r="AO51" s="608"/>
      <c r="AP51" s="528"/>
      <c r="AQ51" s="528"/>
      <c r="AR51" s="528"/>
      <c r="AS51" s="528"/>
      <c r="AT51" s="528"/>
      <c r="AU51" s="302">
        <f t="shared" si="36"/>
        <v>95</v>
      </c>
      <c r="AV51" s="303" t="str">
        <f>IF(AU51&gt;KKM!$G$10,"A",IF(AU51&gt;KKM!$H$10,"B",IF(AU51&gt;=KKM!$I$10,"C","D")))</f>
        <v>A</v>
      </c>
      <c r="AW51" s="523">
        <f t="shared" si="37"/>
        <v>99</v>
      </c>
      <c r="AX51" s="115" t="str">
        <f>IF(AW51&gt;KKM!$G$10," sangat baik ",IF(AW51&gt;KKM!$H$10," baik ",IF(AW51&gt;=KKM!$I$10," cukup baik "," perlu bimbingan ")))</f>
        <v xml:space="preserve"> sangat baik </v>
      </c>
      <c r="AY51" s="524">
        <f t="shared" si="38"/>
        <v>88.916666666666671</v>
      </c>
      <c r="AZ51" s="115" t="str">
        <f>IF(AY51&gt;KKM!$G$10," sangat baik ",IF(AY51&gt;KKM!$H$10," baik ",IF(AY51&gt;=KKM!$I$10," cukup baik "," perlu bimbingan ")))</f>
        <v xml:space="preserve"> baik </v>
      </c>
      <c r="BA51" s="301" t="str">
        <f t="shared" si="21"/>
        <v>Anak 47 sangat baik  dalam menggali pengetahuan baru yang terdapat pada teks nonfiksi., dan  baik  dalam menggali informasi dari seorang tokoh melalui wawancara menggunakan daftar pertanyaan.</v>
      </c>
      <c r="BB51" s="306"/>
      <c r="BC51" s="307" t="str">
        <f t="shared" si="39"/>
        <v xml:space="preserve"> sangat baik  dalam menggali pengetahuan baru yang terdapat pada teks nonfiksi.</v>
      </c>
      <c r="BD51" s="307" t="str">
        <f t="shared" si="40"/>
        <v xml:space="preserve"> baik  dalam menggali informasi dari seorang tokoh melalui wawancara menggunakan daftar pertanyaan.</v>
      </c>
      <c r="BE51" s="307" t="str">
        <f t="shared" si="22"/>
        <v xml:space="preserve"> sangat baik  dalam menggali pengetahuan baru yang terdapat pada teks nonfiksi., dan  baik  dalam menggali informasi dari seorang tokoh melalui wawancara menggunakan daftar pertanyaan.</v>
      </c>
      <c r="BF51" s="307" t="str">
        <f t="shared" si="23"/>
        <v xml:space="preserve"> </v>
      </c>
      <c r="BG51" s="308" t="str">
        <f t="shared" si="24"/>
        <v xml:space="preserve"> sangat baik  dalam menggali pengetahuan baru yang terdapat pada teks nonfiksi., dan  baik  dalam menggali informasi dari seorang tokoh melalui wawancara menggunakan daftar pertanyaan.</v>
      </c>
      <c r="BH51" s="301" t="str">
        <f t="shared" si="41"/>
        <v>Anak 47 sangat baik  dalam menggali pengetahuan baru yang terdapat pada teks nonfiksi., dan  baik  dalam menggali informasi dari seorang tokoh melalui wawancara menggunakan daftar pertanyaan.</v>
      </c>
      <c r="BI51" s="120"/>
      <c r="BQ51" s="408">
        <f t="shared" si="34"/>
        <v>95</v>
      </c>
      <c r="BT51" s="302">
        <f t="shared" si="25"/>
        <v>99</v>
      </c>
      <c r="BU51" s="303" t="str">
        <f>IF(BT51&gt;KKM!$G$10,"A",IF(BT51&gt;KKM!$H$10,"B",IF(BT51&gt;=KKM!$I$10,"C","D")))</f>
        <v>A</v>
      </c>
      <c r="BV51" s="523">
        <f t="shared" si="26"/>
        <v>99</v>
      </c>
      <c r="BW51" s="115" t="str">
        <f>IF(BV51&gt;KKM!$G$10," sangat baik ",IF(BV51&gt;KKM!$H$10," baik ",IF(BV51&gt;=KKM!$I$10," cukup baik "," perlu bimbingan ")))</f>
        <v xml:space="preserve"> sangat baik </v>
      </c>
      <c r="BX51" s="524">
        <f t="shared" si="27"/>
        <v>99</v>
      </c>
      <c r="BY51" s="115" t="str">
        <f>IF(BX51&gt;KKM!$G$10," sangat baik ",IF(BX51&gt;KKM!$H$10," baik ",IF(BX51&gt;=KKM!$I$10," cukup baik "," perlu bimbingan ")))</f>
        <v xml:space="preserve"> sangat baik </v>
      </c>
      <c r="BZ51" s="301" t="str">
        <f t="shared" si="35"/>
        <v>Anak 47 sangat baik  dalam menggali isi dan amanat puisi yang disajikan secara lisan dan tulis dengan tujuan untuk kesenangan.</v>
      </c>
      <c r="CA51" s="307" t="str">
        <f t="shared" si="28"/>
        <v xml:space="preserve"> sangat baik  dalam menggali isi dan amanat puisi yang disajikan secara lisan dan tulis dengan tujuan untuk kesenangan.</v>
      </c>
      <c r="CB51" s="307" t="str">
        <f t="shared" si="29"/>
        <v xml:space="preserve"> sangat baik  dalam menggali isi dan amanat puisi yang disajikan secara lisan dan tulis dengan tujuan untuk kesenangan.</v>
      </c>
      <c r="CC51"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51" s="307" t="str">
        <f t="shared" si="31"/>
        <v xml:space="preserve"> sangat baik  dalam menggali isi dan amanat puisi yang disajikan secara lisan dan tulis dengan tujuan untuk kesenangan.</v>
      </c>
      <c r="CE51" s="308" t="str">
        <f t="shared" si="32"/>
        <v xml:space="preserve"> sangat baik  dalam menggali isi dan amanat puisi yang disajikan secara lisan dan tulis dengan tujuan untuk kesenangan.</v>
      </c>
      <c r="CF51" s="301" t="str">
        <f t="shared" si="33"/>
        <v>Anak 47 sangat baik  dalam menggali isi dan amanat puisi yang disajikan secara lisan dan tulis dengan tujuan untuk kesenangan.</v>
      </c>
    </row>
    <row r="52" spans="2:84" ht="51.75" customHeight="1">
      <c r="B52" s="109">
        <v>48</v>
      </c>
      <c r="C52" s="110">
        <f>SISWA!B53</f>
        <v>0</v>
      </c>
      <c r="D52" s="111" t="str">
        <f>SISWA!E53</f>
        <v>Anak 48</v>
      </c>
      <c r="E52" s="631">
        <v>99</v>
      </c>
      <c r="F52" s="631">
        <v>99</v>
      </c>
      <c r="G52" s="631">
        <v>99</v>
      </c>
      <c r="H52" s="631">
        <v>99</v>
      </c>
      <c r="I52" s="631">
        <v>99</v>
      </c>
      <c r="J52" s="730"/>
      <c r="K52" s="730"/>
      <c r="L52" s="731"/>
      <c r="M52" s="731"/>
      <c r="N52" s="731"/>
      <c r="O52" s="731"/>
      <c r="P52" s="731"/>
      <c r="Q52" s="730"/>
      <c r="R52" s="730"/>
      <c r="S52" s="610"/>
      <c r="T52" s="730"/>
      <c r="U52" s="631">
        <v>99</v>
      </c>
      <c r="V52" s="631">
        <v>99</v>
      </c>
      <c r="W52" s="730"/>
      <c r="X52" s="730"/>
      <c r="Y52" s="730"/>
      <c r="Z52" s="610"/>
      <c r="AA52" s="631">
        <v>69.75</v>
      </c>
      <c r="AB52" s="631">
        <v>69.75</v>
      </c>
      <c r="AC52" s="631">
        <v>99</v>
      </c>
      <c r="AD52" s="631">
        <v>99</v>
      </c>
      <c r="AE52" s="631">
        <v>99</v>
      </c>
      <c r="AF52" s="605"/>
      <c r="AG52" s="605"/>
      <c r="AH52" s="518"/>
      <c r="AI52" s="607">
        <f t="shared" si="15"/>
        <v>89.25</v>
      </c>
      <c r="AJ52" s="607">
        <f t="shared" si="16"/>
        <v>91.6875</v>
      </c>
      <c r="AK52" s="607">
        <f t="shared" si="17"/>
        <v>99</v>
      </c>
      <c r="AL52" s="607">
        <f t="shared" si="18"/>
        <v>99</v>
      </c>
      <c r="AM52" s="607">
        <f t="shared" si="19"/>
        <v>99</v>
      </c>
      <c r="AN52" s="607" t="str">
        <f t="shared" si="20"/>
        <v/>
      </c>
      <c r="AO52" s="608"/>
      <c r="AP52" s="528"/>
      <c r="AQ52" s="528"/>
      <c r="AR52" s="528"/>
      <c r="AS52" s="528"/>
      <c r="AT52" s="528"/>
      <c r="AU52" s="302">
        <f t="shared" si="36"/>
        <v>96</v>
      </c>
      <c r="AV52" s="303" t="str">
        <f>IF(AU52&gt;KKM!$G$10,"A",IF(AU52&gt;KKM!$H$10,"B",IF(AU52&gt;=KKM!$I$10,"C","D")))</f>
        <v>A</v>
      </c>
      <c r="AW52" s="523">
        <f t="shared" si="37"/>
        <v>99</v>
      </c>
      <c r="AX52" s="115" t="str">
        <f>IF(AW52&gt;KKM!$G$10," sangat baik ",IF(AW52&gt;KKM!$H$10," baik ",IF(AW52&gt;=KKM!$I$10," cukup baik "," perlu bimbingan ")))</f>
        <v xml:space="preserve"> sangat baik </v>
      </c>
      <c r="AY52" s="524">
        <f t="shared" si="38"/>
        <v>89.25</v>
      </c>
      <c r="AZ52" s="115" t="str">
        <f>IF(AY52&gt;KKM!$G$10," sangat baik ",IF(AY52&gt;KKM!$H$10," baik ",IF(AY52&gt;=KKM!$I$10," cukup baik "," perlu bimbingan ")))</f>
        <v xml:space="preserve"> baik </v>
      </c>
      <c r="BA52" s="301" t="str">
        <f t="shared" si="21"/>
        <v>Anak 48 sangat baik  dalam menggali pengetahuan baru yang terdapat pada teks nonfiksi., dan  baik  dalam menggali informasi dari seorang tokoh melalui wawancara menggunakan daftar pertanyaan.</v>
      </c>
      <c r="BB52" s="306"/>
      <c r="BC52" s="307" t="str">
        <f t="shared" si="39"/>
        <v xml:space="preserve"> sangat baik  dalam menggali pengetahuan baru yang terdapat pada teks nonfiksi.</v>
      </c>
      <c r="BD52" s="307" t="str">
        <f t="shared" si="40"/>
        <v xml:space="preserve"> baik  dalam menggali informasi dari seorang tokoh melalui wawancara menggunakan daftar pertanyaan.</v>
      </c>
      <c r="BE52" s="307" t="str">
        <f t="shared" si="22"/>
        <v xml:space="preserve"> sangat baik  dalam menggali pengetahuan baru yang terdapat pada teks nonfiksi., dan  baik  dalam menggali informasi dari seorang tokoh melalui wawancara menggunakan daftar pertanyaan.</v>
      </c>
      <c r="BF52" s="307" t="str">
        <f t="shared" si="23"/>
        <v xml:space="preserve"> </v>
      </c>
      <c r="BG52" s="308" t="str">
        <f t="shared" si="24"/>
        <v xml:space="preserve"> sangat baik  dalam menggali pengetahuan baru yang terdapat pada teks nonfiksi., dan  baik  dalam menggali informasi dari seorang tokoh melalui wawancara menggunakan daftar pertanyaan.</v>
      </c>
      <c r="BH52" s="301" t="str">
        <f t="shared" si="41"/>
        <v>Anak 48 sangat baik  dalam menggali pengetahuan baru yang terdapat pada teks nonfiksi., dan  baik  dalam menggali informasi dari seorang tokoh melalui wawancara menggunakan daftar pertanyaan.</v>
      </c>
      <c r="BI52" s="120"/>
      <c r="BQ52" s="408">
        <f t="shared" si="34"/>
        <v>96</v>
      </c>
      <c r="BT52" s="302">
        <f t="shared" si="25"/>
        <v>99</v>
      </c>
      <c r="BU52" s="303" t="str">
        <f>IF(BT52&gt;KKM!$G$10,"A",IF(BT52&gt;KKM!$H$10,"B",IF(BT52&gt;=KKM!$I$10,"C","D")))</f>
        <v>A</v>
      </c>
      <c r="BV52" s="523">
        <f t="shared" si="26"/>
        <v>99</v>
      </c>
      <c r="BW52" s="115" t="str">
        <f>IF(BV52&gt;KKM!$G$10," sangat baik ",IF(BV52&gt;KKM!$H$10," baik ",IF(BV52&gt;=KKM!$I$10," cukup baik "," perlu bimbingan ")))</f>
        <v xml:space="preserve"> sangat baik </v>
      </c>
      <c r="BX52" s="524">
        <f t="shared" si="27"/>
        <v>99</v>
      </c>
      <c r="BY52" s="115" t="str">
        <f>IF(BX52&gt;KKM!$G$10," sangat baik ",IF(BX52&gt;KKM!$H$10," baik ",IF(BX52&gt;=KKM!$I$10," cukup baik "," perlu bimbingan ")))</f>
        <v xml:space="preserve"> sangat baik </v>
      </c>
      <c r="BZ52" s="301" t="str">
        <f t="shared" si="35"/>
        <v>Anak 48 sangat baik  dalam menggali isi dan amanat puisi yang disajikan secara lisan dan tulis dengan tujuan untuk kesenangan.</v>
      </c>
      <c r="CA52" s="307" t="str">
        <f t="shared" si="28"/>
        <v xml:space="preserve"> sangat baik  dalam menggali isi dan amanat puisi yang disajikan secara lisan dan tulis dengan tujuan untuk kesenangan.</v>
      </c>
      <c r="CB52" s="307" t="str">
        <f t="shared" si="29"/>
        <v xml:space="preserve"> sangat baik  dalam menggali isi dan amanat puisi yang disajikan secara lisan dan tulis dengan tujuan untuk kesenangan.</v>
      </c>
      <c r="CC52"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52" s="307" t="str">
        <f t="shared" si="31"/>
        <v xml:space="preserve"> sangat baik  dalam menggali isi dan amanat puisi yang disajikan secara lisan dan tulis dengan tujuan untuk kesenangan.</v>
      </c>
      <c r="CE52" s="308" t="str">
        <f t="shared" si="32"/>
        <v xml:space="preserve"> sangat baik  dalam menggali isi dan amanat puisi yang disajikan secara lisan dan tulis dengan tujuan untuk kesenangan.</v>
      </c>
      <c r="CF52" s="301" t="str">
        <f t="shared" si="33"/>
        <v>Anak 48 sangat baik  dalam menggali isi dan amanat puisi yang disajikan secara lisan dan tulis dengan tujuan untuk kesenangan.</v>
      </c>
    </row>
    <row r="53" spans="2:84" ht="51.75" customHeight="1">
      <c r="B53" s="109">
        <v>49</v>
      </c>
      <c r="C53" s="110">
        <f>SISWA!B54</f>
        <v>0</v>
      </c>
      <c r="D53" s="111" t="str">
        <f>SISWA!E54</f>
        <v>Anak 49</v>
      </c>
      <c r="E53" s="631">
        <v>99</v>
      </c>
      <c r="F53" s="631">
        <v>99</v>
      </c>
      <c r="G53" s="631">
        <v>99</v>
      </c>
      <c r="H53" s="631">
        <v>99</v>
      </c>
      <c r="I53" s="631">
        <v>99</v>
      </c>
      <c r="J53" s="730"/>
      <c r="K53" s="730"/>
      <c r="L53" s="731"/>
      <c r="M53" s="731"/>
      <c r="N53" s="731"/>
      <c r="O53" s="731"/>
      <c r="P53" s="731"/>
      <c r="Q53" s="730"/>
      <c r="R53" s="730"/>
      <c r="S53" s="610"/>
      <c r="T53" s="730"/>
      <c r="U53" s="631">
        <v>99</v>
      </c>
      <c r="V53" s="631">
        <v>99</v>
      </c>
      <c r="W53" s="730"/>
      <c r="X53" s="730"/>
      <c r="Y53" s="730"/>
      <c r="Z53" s="610"/>
      <c r="AA53" s="631">
        <v>90</v>
      </c>
      <c r="AB53" s="631">
        <v>77.25</v>
      </c>
      <c r="AC53" s="631">
        <v>99</v>
      </c>
      <c r="AD53" s="631">
        <v>99</v>
      </c>
      <c r="AE53" s="631">
        <v>99</v>
      </c>
      <c r="AF53" s="605"/>
      <c r="AG53" s="605"/>
      <c r="AH53" s="518"/>
      <c r="AI53" s="607">
        <f t="shared" si="15"/>
        <v>96</v>
      </c>
      <c r="AJ53" s="607">
        <f t="shared" si="16"/>
        <v>93.5625</v>
      </c>
      <c r="AK53" s="607">
        <f t="shared" si="17"/>
        <v>99</v>
      </c>
      <c r="AL53" s="607">
        <f t="shared" si="18"/>
        <v>99</v>
      </c>
      <c r="AM53" s="607">
        <f t="shared" si="19"/>
        <v>99</v>
      </c>
      <c r="AN53" s="607" t="str">
        <f t="shared" si="20"/>
        <v/>
      </c>
      <c r="AO53" s="608"/>
      <c r="AP53" s="528"/>
      <c r="AQ53" s="528"/>
      <c r="AR53" s="528"/>
      <c r="AS53" s="528"/>
      <c r="AT53" s="528"/>
      <c r="AU53" s="302">
        <f t="shared" si="36"/>
        <v>97</v>
      </c>
      <c r="AV53" s="303" t="str">
        <f>IF(AU53&gt;KKM!$G$10,"A",IF(AU53&gt;KKM!$H$10,"B",IF(AU53&gt;=KKM!$I$10,"C","D")))</f>
        <v>A</v>
      </c>
      <c r="AW53" s="523">
        <f t="shared" si="37"/>
        <v>99</v>
      </c>
      <c r="AX53" s="115" t="str">
        <f>IF(AW53&gt;KKM!$G$10," sangat baik ",IF(AW53&gt;KKM!$H$10," baik ",IF(AW53&gt;=KKM!$I$10," cukup baik "," perlu bimbingan ")))</f>
        <v xml:space="preserve"> sangat baik </v>
      </c>
      <c r="AY53" s="524">
        <f t="shared" si="38"/>
        <v>93.5625</v>
      </c>
      <c r="AZ53" s="115" t="str">
        <f>IF(AY53&gt;KKM!$G$10," sangat baik ",IF(AY53&gt;KKM!$H$10," baik ",IF(AY53&gt;=KKM!$I$10," cukup baik "," perlu bimbingan ")))</f>
        <v xml:space="preserve"> sangat baik </v>
      </c>
      <c r="BA53" s="301" t="str">
        <f t="shared" si="21"/>
        <v>Anak 49 sangat baik  dalam menggali pengetahuan baru yang terdapat pada teks nonfiksi., dan  sangat baik  dalam menggali isi dan amanat puisi yang disajikan secara lisan dan tulis dengan tujuan untuk kesenangan.</v>
      </c>
      <c r="BB53" s="306"/>
      <c r="BC53" s="307" t="str">
        <f t="shared" si="39"/>
        <v xml:space="preserve"> sangat baik  dalam menggali pengetahuan baru yang terdapat pada teks nonfiksi.</v>
      </c>
      <c r="BD53" s="307" t="str">
        <f t="shared" si="40"/>
        <v xml:space="preserve"> sangat baik  dalam menggali isi dan amanat puisi yang disajikan secara lisan dan tulis dengan tujuan untuk kesenangan.</v>
      </c>
      <c r="BE53" s="307" t="str">
        <f t="shared" si="22"/>
        <v xml:space="preserve"> sangat baik  dalam menggali pengetahuan baru yang terdapat pada teks nonfiksi., dan  sangat baik  dalam menggali isi dan amanat puisi yang disajikan secara lisan dan tulis dengan tujuan untuk kesenangan.</v>
      </c>
      <c r="BF53" s="307" t="str">
        <f t="shared" si="23"/>
        <v xml:space="preserve"> </v>
      </c>
      <c r="BG53" s="308" t="str">
        <f t="shared" si="24"/>
        <v xml:space="preserve"> sangat baik  dalam menggali pengetahuan baru yang terdapat pada teks nonfiksi., dan  sangat baik  dalam menggali isi dan amanat puisi yang disajikan secara lisan dan tulis dengan tujuan untuk kesenangan.</v>
      </c>
      <c r="BH53" s="301" t="str">
        <f t="shared" si="41"/>
        <v>Anak 49 sangat baik  dalam menggali pengetahuan baru yang terdapat pada teks nonfiksi., dan  sangat baik  dalam menggali isi dan amanat puisi yang disajikan secara lisan dan tulis dengan tujuan untuk kesenangan.</v>
      </c>
      <c r="BI53" s="120"/>
      <c r="BQ53" s="408">
        <f t="shared" si="34"/>
        <v>97</v>
      </c>
      <c r="BT53" s="302">
        <f t="shared" si="25"/>
        <v>99</v>
      </c>
      <c r="BU53" s="303" t="str">
        <f>IF(BT53&gt;KKM!$G$10,"A",IF(BT53&gt;KKM!$H$10,"B",IF(BT53&gt;=KKM!$I$10,"C","D")))</f>
        <v>A</v>
      </c>
      <c r="BV53" s="523">
        <f t="shared" si="26"/>
        <v>99</v>
      </c>
      <c r="BW53" s="115" t="str">
        <f>IF(BV53&gt;KKM!$G$10," sangat baik ",IF(BV53&gt;KKM!$H$10," baik ",IF(BV53&gt;=KKM!$I$10," cukup baik "," perlu bimbingan ")))</f>
        <v xml:space="preserve"> sangat baik </v>
      </c>
      <c r="BX53" s="524">
        <f t="shared" si="27"/>
        <v>99</v>
      </c>
      <c r="BY53" s="115" t="str">
        <f>IF(BX53&gt;KKM!$G$10," sangat baik ",IF(BX53&gt;KKM!$H$10," baik ",IF(BX53&gt;=KKM!$I$10," cukup baik "," perlu bimbingan ")))</f>
        <v xml:space="preserve"> sangat baik </v>
      </c>
      <c r="BZ53" s="301" t="str">
        <f t="shared" si="35"/>
        <v>Anak 49 sangat baik  dalam menggali isi dan amanat puisi yang disajikan secara lisan dan tulis dengan tujuan untuk kesenangan.</v>
      </c>
      <c r="CA53" s="307" t="str">
        <f t="shared" si="28"/>
        <v xml:space="preserve"> sangat baik  dalam menggali isi dan amanat puisi yang disajikan secara lisan dan tulis dengan tujuan untuk kesenangan.</v>
      </c>
      <c r="CB53" s="307" t="str">
        <f t="shared" si="29"/>
        <v xml:space="preserve"> sangat baik  dalam menggali isi dan amanat puisi yang disajikan secara lisan dan tulis dengan tujuan untuk kesenangan.</v>
      </c>
      <c r="CC53"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53" s="307" t="str">
        <f t="shared" si="31"/>
        <v xml:space="preserve"> sangat baik  dalam menggali isi dan amanat puisi yang disajikan secara lisan dan tulis dengan tujuan untuk kesenangan.</v>
      </c>
      <c r="CE53" s="308" t="str">
        <f t="shared" si="32"/>
        <v xml:space="preserve"> sangat baik  dalam menggali isi dan amanat puisi yang disajikan secara lisan dan tulis dengan tujuan untuk kesenangan.</v>
      </c>
      <c r="CF53" s="301" t="str">
        <f t="shared" si="33"/>
        <v>Anak 49 sangat baik  dalam menggali isi dan amanat puisi yang disajikan secara lisan dan tulis dengan tujuan untuk kesenangan.</v>
      </c>
    </row>
    <row r="54" spans="2:84" ht="51.75" customHeight="1">
      <c r="B54" s="109">
        <v>50</v>
      </c>
      <c r="C54" s="110">
        <f>SISWA!B55</f>
        <v>0</v>
      </c>
      <c r="D54" s="111" t="str">
        <f>SISWA!E55</f>
        <v>Anak 50</v>
      </c>
      <c r="E54" s="631">
        <v>99</v>
      </c>
      <c r="F54" s="631">
        <v>99</v>
      </c>
      <c r="G54" s="631">
        <v>99</v>
      </c>
      <c r="H54" s="631">
        <v>99</v>
      </c>
      <c r="I54" s="631">
        <v>99</v>
      </c>
      <c r="J54" s="730"/>
      <c r="K54" s="730"/>
      <c r="L54" s="731"/>
      <c r="M54" s="731"/>
      <c r="N54" s="731"/>
      <c r="O54" s="731"/>
      <c r="P54" s="731"/>
      <c r="Q54" s="730"/>
      <c r="R54" s="730"/>
      <c r="S54" s="610"/>
      <c r="T54" s="730"/>
      <c r="U54" s="631">
        <v>99</v>
      </c>
      <c r="V54" s="631">
        <v>99</v>
      </c>
      <c r="W54" s="730"/>
      <c r="X54" s="730"/>
      <c r="Y54" s="730"/>
      <c r="Z54" s="610"/>
      <c r="AA54" s="631">
        <v>87.25</v>
      </c>
      <c r="AB54" s="631">
        <v>71.75</v>
      </c>
      <c r="AC54" s="631">
        <v>99</v>
      </c>
      <c r="AD54" s="631">
        <v>99</v>
      </c>
      <c r="AE54" s="631">
        <v>99</v>
      </c>
      <c r="AF54" s="605"/>
      <c r="AG54" s="605"/>
      <c r="AH54" s="518"/>
      <c r="AI54" s="607">
        <f t="shared" si="15"/>
        <v>95.083333333333329</v>
      </c>
      <c r="AJ54" s="607">
        <f t="shared" si="16"/>
        <v>92.1875</v>
      </c>
      <c r="AK54" s="607">
        <f t="shared" si="17"/>
        <v>99</v>
      </c>
      <c r="AL54" s="607">
        <f t="shared" si="18"/>
        <v>99</v>
      </c>
      <c r="AM54" s="607">
        <f t="shared" si="19"/>
        <v>99</v>
      </c>
      <c r="AN54" s="607" t="str">
        <f t="shared" si="20"/>
        <v/>
      </c>
      <c r="AO54" s="608"/>
      <c r="AP54" s="528"/>
      <c r="AQ54" s="528"/>
      <c r="AR54" s="528"/>
      <c r="AS54" s="528"/>
      <c r="AT54" s="528"/>
      <c r="AU54" s="302">
        <f t="shared" si="36"/>
        <v>97</v>
      </c>
      <c r="AV54" s="303" t="str">
        <f>IF(AU54&gt;KKM!$G$10,"A",IF(AU54&gt;KKM!$H$10,"B",IF(AU54&gt;=KKM!$I$10,"C","D")))</f>
        <v>A</v>
      </c>
      <c r="AW54" s="523">
        <f t="shared" si="37"/>
        <v>99</v>
      </c>
      <c r="AX54" s="115" t="str">
        <f>IF(AW54&gt;KKM!$G$10," sangat baik ",IF(AW54&gt;KKM!$H$10," baik ",IF(AW54&gt;=KKM!$I$10," cukup baik "," perlu bimbingan ")))</f>
        <v xml:space="preserve"> sangat baik </v>
      </c>
      <c r="AY54" s="524">
        <f t="shared" si="38"/>
        <v>92.1875</v>
      </c>
      <c r="AZ54" s="115" t="str">
        <f>IF(AY54&gt;KKM!$G$10," sangat baik ",IF(AY54&gt;KKM!$H$10," baik ",IF(AY54&gt;=KKM!$I$10," cukup baik "," perlu bimbingan ")))</f>
        <v xml:space="preserve"> sangat baik </v>
      </c>
      <c r="BA54" s="301" t="str">
        <f t="shared" si="21"/>
        <v>Anak 50 sangat baik  dalam menggali pengetahuan baru yang terdapat pada teks nonfiksi., dan  sangat baik  dalam menggali isi dan amanat puisi yang disajikan secara lisan dan tulis dengan tujuan untuk kesenangan.</v>
      </c>
      <c r="BB54" s="306"/>
      <c r="BC54" s="307" t="str">
        <f t="shared" si="39"/>
        <v xml:space="preserve"> sangat baik  dalam menggali pengetahuan baru yang terdapat pada teks nonfiksi.</v>
      </c>
      <c r="BD54" s="307" t="str">
        <f t="shared" si="40"/>
        <v xml:space="preserve"> sangat baik  dalam menggali isi dan amanat puisi yang disajikan secara lisan dan tulis dengan tujuan untuk kesenangan.</v>
      </c>
      <c r="BE54" s="307" t="str">
        <f t="shared" si="22"/>
        <v xml:space="preserve"> sangat baik  dalam menggali pengetahuan baru yang terdapat pada teks nonfiksi., dan  sangat baik  dalam menggali isi dan amanat puisi yang disajikan secara lisan dan tulis dengan tujuan untuk kesenangan.</v>
      </c>
      <c r="BF54" s="307" t="str">
        <f t="shared" si="23"/>
        <v xml:space="preserve"> </v>
      </c>
      <c r="BG54" s="308" t="str">
        <f t="shared" si="24"/>
        <v xml:space="preserve"> sangat baik  dalam menggali pengetahuan baru yang terdapat pada teks nonfiksi., dan  sangat baik  dalam menggali isi dan amanat puisi yang disajikan secara lisan dan tulis dengan tujuan untuk kesenangan.</v>
      </c>
      <c r="BH54" s="301" t="str">
        <f t="shared" si="41"/>
        <v>Anak 50 sangat baik  dalam menggali pengetahuan baru yang terdapat pada teks nonfiksi., dan  sangat baik  dalam menggali isi dan amanat puisi yang disajikan secara lisan dan tulis dengan tujuan untuk kesenangan.</v>
      </c>
      <c r="BI54" s="120"/>
      <c r="BQ54" s="408">
        <f t="shared" si="34"/>
        <v>97</v>
      </c>
      <c r="BT54" s="302">
        <f t="shared" si="25"/>
        <v>99</v>
      </c>
      <c r="BU54" s="303" t="str">
        <f>IF(BT54&gt;KKM!$G$10,"A",IF(BT54&gt;KKM!$H$10,"B",IF(BT54&gt;=KKM!$I$10,"C","D")))</f>
        <v>A</v>
      </c>
      <c r="BV54" s="523">
        <f t="shared" si="26"/>
        <v>99</v>
      </c>
      <c r="BW54" s="115" t="str">
        <f>IF(BV54&gt;KKM!$G$10," sangat baik ",IF(BV54&gt;KKM!$H$10," baik ",IF(BV54&gt;=KKM!$I$10," cukup baik "," perlu bimbingan ")))</f>
        <v xml:space="preserve"> sangat baik </v>
      </c>
      <c r="BX54" s="524">
        <f t="shared" si="27"/>
        <v>99</v>
      </c>
      <c r="BY54" s="115" t="str">
        <f>IF(BX54&gt;KKM!$G$10," sangat baik ",IF(BX54&gt;KKM!$H$10," baik ",IF(BX54&gt;=KKM!$I$10," cukup baik "," perlu bimbingan ")))</f>
        <v xml:space="preserve"> sangat baik </v>
      </c>
      <c r="BZ54" s="301" t="str">
        <f t="shared" si="35"/>
        <v>Anak 50 sangat baik  dalam menggali isi dan amanat puisi yang disajikan secara lisan dan tulis dengan tujuan untuk kesenangan.</v>
      </c>
      <c r="CA54" s="307" t="str">
        <f t="shared" si="28"/>
        <v xml:space="preserve"> sangat baik  dalam menggali isi dan amanat puisi yang disajikan secara lisan dan tulis dengan tujuan untuk kesenangan.</v>
      </c>
      <c r="CB54" s="307" t="str">
        <f t="shared" si="29"/>
        <v xml:space="preserve"> sangat baik  dalam menggali isi dan amanat puisi yang disajikan secara lisan dan tulis dengan tujuan untuk kesenangan.</v>
      </c>
      <c r="CC54" s="307" t="str">
        <f t="shared" si="30"/>
        <v xml:space="preserve"> sangat baik  dalam menggali isi dan amanat puisi yang disajikan secara lisan dan tulis dengan tujuan untuk kesenangan., dan  sangat baik  dalam menggali isi dan amanat puisi yang disajikan secara lisan dan tulis dengan tujuan untuk kesenangan.</v>
      </c>
      <c r="CD54" s="307" t="str">
        <f t="shared" si="31"/>
        <v xml:space="preserve"> sangat baik  dalam menggali isi dan amanat puisi yang disajikan secara lisan dan tulis dengan tujuan untuk kesenangan.</v>
      </c>
      <c r="CE54" s="308" t="str">
        <f t="shared" si="32"/>
        <v xml:space="preserve"> sangat baik  dalam menggali isi dan amanat puisi yang disajikan secara lisan dan tulis dengan tujuan untuk kesenangan.</v>
      </c>
      <c r="CF54" s="301" t="str">
        <f t="shared" si="33"/>
        <v>Anak 50 sangat baik  dalam menggali isi dan amanat puisi yang disajikan secara lisan dan tulis dengan tujuan untuk kesenangan.</v>
      </c>
    </row>
    <row r="55" spans="2:84" ht="44.25" customHeight="1">
      <c r="B55" s="121"/>
      <c r="C55" s="121"/>
      <c r="D55" s="121"/>
      <c r="E55" s="121"/>
      <c r="F55" s="121"/>
      <c r="G55" s="121"/>
      <c r="H55" s="121"/>
      <c r="I55" s="121"/>
      <c r="J55" s="121"/>
      <c r="K55" s="121"/>
      <c r="L55" s="121"/>
      <c r="M55" s="121"/>
      <c r="N55" s="121"/>
      <c r="O55" s="121"/>
      <c r="P55" s="121"/>
      <c r="Q55" s="121"/>
      <c r="R55" s="121"/>
      <c r="S55" s="508"/>
      <c r="T55" s="121"/>
      <c r="U55" s="121"/>
      <c r="V55" s="121"/>
      <c r="W55" s="121"/>
      <c r="X55" s="121"/>
      <c r="Y55" s="121"/>
      <c r="Z55" s="508"/>
      <c r="AA55" s="121"/>
      <c r="AB55" s="121"/>
      <c r="AC55" s="121"/>
      <c r="AD55" s="121"/>
      <c r="AE55" s="518"/>
      <c r="AF55" s="521"/>
      <c r="AG55" s="521"/>
      <c r="AH55" s="518"/>
      <c r="AI55" s="611"/>
      <c r="AJ55" s="612"/>
      <c r="AK55" s="612"/>
      <c r="AL55" s="612"/>
      <c r="AM55" s="612"/>
      <c r="AN55" s="611"/>
      <c r="AO55" s="611"/>
      <c r="AP55" s="611"/>
      <c r="AQ55" s="611"/>
      <c r="AR55" s="611"/>
      <c r="AS55" s="611"/>
      <c r="AT55" s="611"/>
      <c r="AU55" s="114"/>
      <c r="AV55" s="115"/>
      <c r="AW55" s="116"/>
      <c r="AX55" s="116"/>
      <c r="AY55" s="116"/>
      <c r="AZ55" s="116"/>
      <c r="BA55" s="117"/>
      <c r="BB55" s="118"/>
      <c r="BC55" s="119"/>
      <c r="BD55" s="122"/>
      <c r="BE55" s="122"/>
      <c r="BF55" s="122"/>
      <c r="BG55" s="122"/>
      <c r="BH55" s="122"/>
      <c r="BI55" s="120"/>
      <c r="BT55" s="302"/>
      <c r="BU55" s="303"/>
      <c r="BV55" s="523"/>
      <c r="BW55" s="115"/>
      <c r="BX55" s="524"/>
      <c r="BY55" s="115"/>
      <c r="BZ55" s="301"/>
      <c r="CA55" s="307"/>
      <c r="CB55" s="307"/>
      <c r="CC55" s="307"/>
      <c r="CD55" s="307"/>
      <c r="CE55" s="308"/>
      <c r="CF55" s="301"/>
    </row>
    <row r="56" spans="2:84">
      <c r="BT56" s="302"/>
      <c r="CA56" s="119"/>
      <c r="CB56" s="122"/>
      <c r="CC56" s="122"/>
      <c r="CD56" s="122"/>
      <c r="CE56" s="122"/>
      <c r="CF56" s="122"/>
    </row>
  </sheetData>
  <sheetProtection sheet="1" objects="1" scenarios="1"/>
  <mergeCells count="48">
    <mergeCell ref="CA3:CF3"/>
    <mergeCell ref="BT2:BT4"/>
    <mergeCell ref="BU2:BU4"/>
    <mergeCell ref="BV2:BY2"/>
    <mergeCell ref="BZ2:BZ4"/>
    <mergeCell ref="BV3:BW3"/>
    <mergeCell ref="BX3:BY3"/>
    <mergeCell ref="AA3:AA4"/>
    <mergeCell ref="AE3:AE4"/>
    <mergeCell ref="AF3:AF4"/>
    <mergeCell ref="AG3:AG4"/>
    <mergeCell ref="AA2:AG2"/>
    <mergeCell ref="AB3:AB4"/>
    <mergeCell ref="AC3:AC4"/>
    <mergeCell ref="AD3:AD4"/>
    <mergeCell ref="T2:Y2"/>
    <mergeCell ref="T3:T4"/>
    <mergeCell ref="U3:U4"/>
    <mergeCell ref="V3:V4"/>
    <mergeCell ref="W3:W4"/>
    <mergeCell ref="X3:X4"/>
    <mergeCell ref="Y3:Y4"/>
    <mergeCell ref="I3:I4"/>
    <mergeCell ref="K3:K4"/>
    <mergeCell ref="J3:J4"/>
    <mergeCell ref="L3:L4"/>
    <mergeCell ref="M3:M4"/>
    <mergeCell ref="N3:N4"/>
    <mergeCell ref="O3:O4"/>
    <mergeCell ref="P3:P4"/>
    <mergeCell ref="R3:R4"/>
    <mergeCell ref="Q3:Q4"/>
    <mergeCell ref="E2:R2"/>
    <mergeCell ref="BA2:BA4"/>
    <mergeCell ref="AW3:AX3"/>
    <mergeCell ref="AY3:AZ3"/>
    <mergeCell ref="B1:AZ1"/>
    <mergeCell ref="B2:B4"/>
    <mergeCell ref="C2:C4"/>
    <mergeCell ref="D2:D4"/>
    <mergeCell ref="AI2:AT2"/>
    <mergeCell ref="AU2:AU4"/>
    <mergeCell ref="AV2:AV4"/>
    <mergeCell ref="AW2:AZ2"/>
    <mergeCell ref="E3:E4"/>
    <mergeCell ref="F3:F4"/>
    <mergeCell ref="G3:G4"/>
    <mergeCell ref="H3:H4"/>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T56"/>
  <sheetViews>
    <sheetView zoomScale="85" zoomScaleNormal="85" workbookViewId="0">
      <pane xSplit="4" ySplit="4" topLeftCell="E5" activePane="bottomRight" state="frozen"/>
      <selection pane="topRight" activeCell="E1" sqref="E1"/>
      <selection pane="bottomLeft" activeCell="A5" sqref="A5"/>
      <selection pane="bottomRight" activeCell="AS7" sqref="AS7"/>
    </sheetView>
  </sheetViews>
  <sheetFormatPr defaultColWidth="0" defaultRowHeight="15"/>
  <cols>
    <col min="1" max="1" width="23.42578125" style="446" customWidth="1"/>
    <col min="2" max="2" width="4.42578125" style="104" customWidth="1"/>
    <col min="3" max="3" width="6.42578125" style="104" customWidth="1"/>
    <col min="4" max="4" width="28.7109375" style="104" customWidth="1"/>
    <col min="5" max="12" width="5.42578125" style="104" customWidth="1"/>
    <col min="13" max="21" width="5.42578125" style="104" hidden="1" customWidth="1"/>
    <col min="22" max="22" width="2" style="104" customWidth="1"/>
    <col min="23" max="29" width="5.42578125" style="104" customWidth="1"/>
    <col min="30" max="30" width="2.140625" style="104" customWidth="1"/>
    <col min="31" max="37" width="5.42578125" style="104" customWidth="1"/>
    <col min="38" max="38" width="2.140625" style="104" customWidth="1"/>
    <col min="39" max="54" width="6.7109375" style="104" customWidth="1"/>
    <col min="55" max="56" width="4.7109375" style="104" customWidth="1"/>
    <col min="57" max="57" width="5.140625" style="104" customWidth="1"/>
    <col min="58" max="58" width="10.28515625" style="104" customWidth="1"/>
    <col min="59" max="59" width="5.140625" style="104" customWidth="1"/>
    <col min="60" max="60" width="10.28515625" style="104" customWidth="1"/>
    <col min="61" max="61" width="84.42578125" style="104" customWidth="1"/>
    <col min="62" max="62" width="29.85546875" style="104" hidden="1" customWidth="1"/>
    <col min="63" max="68" width="10.7109375" style="104" hidden="1" customWidth="1"/>
    <col min="69" max="80" width="9.140625" style="104" hidden="1" customWidth="1"/>
    <col min="81" max="83" width="6.5703125" style="104" hidden="1" customWidth="1"/>
    <col min="84" max="84" width="12.42578125" style="104" hidden="1" customWidth="1"/>
    <col min="85" max="85" width="6.5703125" style="104" hidden="1" customWidth="1"/>
    <col min="86" max="86" width="13.5703125" style="104" hidden="1" customWidth="1"/>
    <col min="87" max="87" width="65.85546875" style="104" hidden="1" customWidth="1"/>
    <col min="88" max="88" width="18.7109375" style="104" hidden="1" customWidth="1"/>
    <col min="89" max="94" width="9.140625" style="104" hidden="1" customWidth="1"/>
    <col min="95" max="95" width="9.140625" style="104" customWidth="1"/>
    <col min="96" max="103" width="5" style="104" hidden="1" customWidth="1"/>
    <col min="104" max="105" width="0" style="104" hidden="1" customWidth="1"/>
    <col min="106" max="119" width="10.7109375" style="104" hidden="1" customWidth="1"/>
    <col min="120" max="176" width="0" style="104" hidden="1" customWidth="1"/>
    <col min="177" max="16384" width="9.140625" style="104" hidden="1"/>
  </cols>
  <sheetData>
    <row r="1" spans="1:94" s="449" customFormat="1" ht="45.75" customHeight="1">
      <c r="B1" s="1040" t="s">
        <v>52</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c r="AT1" s="1040"/>
      <c r="AU1" s="1040"/>
      <c r="AV1" s="1040"/>
      <c r="AW1" s="1040"/>
      <c r="AX1" s="1040"/>
      <c r="AY1" s="1040"/>
      <c r="AZ1" s="1040"/>
      <c r="BA1" s="1040"/>
      <c r="BB1" s="1040"/>
      <c r="BC1" s="1040"/>
      <c r="BD1" s="1040"/>
      <c r="BE1" s="1040"/>
      <c r="BF1" s="1040"/>
      <c r="BG1" s="1040"/>
      <c r="BH1" s="1040"/>
    </row>
    <row r="2" spans="1:94" ht="23.25" customHeight="1">
      <c r="B2" s="1071" t="s">
        <v>2</v>
      </c>
      <c r="C2" s="1072" t="s">
        <v>3</v>
      </c>
      <c r="D2" s="1073" t="s">
        <v>48</v>
      </c>
      <c r="E2" s="1095" t="s">
        <v>699</v>
      </c>
      <c r="F2" s="1096"/>
      <c r="G2" s="1096"/>
      <c r="H2" s="1096"/>
      <c r="I2" s="1096"/>
      <c r="J2" s="1096"/>
      <c r="K2" s="1096"/>
      <c r="L2" s="1096"/>
      <c r="M2" s="1096"/>
      <c r="N2" s="1096"/>
      <c r="O2" s="1096"/>
      <c r="P2" s="1096"/>
      <c r="Q2" s="1096"/>
      <c r="R2" s="1096"/>
      <c r="S2" s="1096"/>
      <c r="T2" s="1096"/>
      <c r="U2" s="1097"/>
      <c r="V2" s="515"/>
      <c r="W2" s="1100" t="s">
        <v>692</v>
      </c>
      <c r="X2" s="1100"/>
      <c r="Y2" s="1100"/>
      <c r="Z2" s="1100"/>
      <c r="AA2" s="1100"/>
      <c r="AB2" s="1100"/>
      <c r="AC2" s="1100"/>
      <c r="AD2" s="515"/>
      <c r="AE2" s="1103" t="s">
        <v>693</v>
      </c>
      <c r="AF2" s="1103"/>
      <c r="AG2" s="1103"/>
      <c r="AH2" s="1103"/>
      <c r="AI2" s="1103"/>
      <c r="AJ2" s="1103"/>
      <c r="AK2" s="1103"/>
      <c r="AL2" s="515"/>
      <c r="AM2" s="1098" t="s">
        <v>694</v>
      </c>
      <c r="AN2" s="1098"/>
      <c r="AO2" s="1098"/>
      <c r="AP2" s="1098"/>
      <c r="AQ2" s="1098"/>
      <c r="AR2" s="1098"/>
      <c r="AS2" s="1098"/>
      <c r="AT2" s="1098"/>
      <c r="AU2" s="1098"/>
      <c r="AV2" s="1098"/>
      <c r="AW2" s="1098"/>
      <c r="AX2" s="1098"/>
      <c r="AY2" s="1098"/>
      <c r="AZ2" s="1098"/>
      <c r="BA2" s="1098"/>
      <c r="BB2" s="1098"/>
      <c r="BC2" s="1045" t="s">
        <v>5</v>
      </c>
      <c r="BD2" s="1046" t="s">
        <v>6</v>
      </c>
      <c r="BE2" s="1047" t="s">
        <v>314</v>
      </c>
      <c r="BF2" s="1048"/>
      <c r="BG2" s="1048"/>
      <c r="BH2" s="1048"/>
      <c r="BI2" s="1027" t="s">
        <v>1</v>
      </c>
      <c r="BP2" s="294"/>
      <c r="CA2" s="441">
        <f>DEPAN!$E$23</f>
        <v>50</v>
      </c>
      <c r="CB2" s="441"/>
      <c r="CC2" s="1091" t="s">
        <v>5</v>
      </c>
      <c r="CD2" s="1093" t="s">
        <v>6</v>
      </c>
      <c r="CE2" s="1047" t="s">
        <v>314</v>
      </c>
      <c r="CF2" s="1048"/>
      <c r="CG2" s="1048"/>
      <c r="CH2" s="1048"/>
      <c r="CI2" s="1027" t="s">
        <v>1</v>
      </c>
      <c r="CP2" s="441"/>
    </row>
    <row r="3" spans="1:94" ht="94.5" customHeight="1">
      <c r="B3" s="1071"/>
      <c r="C3" s="1072"/>
      <c r="D3" s="1073"/>
      <c r="E3" s="1079" t="str">
        <f>""&amp;'KI-KD'!$B55</f>
        <v>3.1</v>
      </c>
      <c r="F3" s="1079" t="str">
        <f>""&amp;'KI-KD'!$B56</f>
        <v>3.2</v>
      </c>
      <c r="G3" s="1079" t="str">
        <f>""&amp;'KI-KD'!$B57</f>
        <v>3.3</v>
      </c>
      <c r="H3" s="1079" t="str">
        <f>""&amp;'KI-KD'!$B58</f>
        <v>3.4</v>
      </c>
      <c r="I3" s="1079" t="str">
        <f>""&amp;'KI-KD'!$B59</f>
        <v>3.5</v>
      </c>
      <c r="J3" s="1079" t="str">
        <f>""&amp;'KI-KD'!$B60</f>
        <v>3.6</v>
      </c>
      <c r="K3" s="1079" t="str">
        <f>""&amp;'KI-KD'!$B61</f>
        <v>3.7</v>
      </c>
      <c r="L3" s="1079" t="str">
        <f>""&amp;'KI-KD'!$B62</f>
        <v/>
      </c>
      <c r="M3" s="1079" t="str">
        <f>""&amp;'KI-KD'!$B63</f>
        <v/>
      </c>
      <c r="N3" s="1099"/>
      <c r="O3" s="1099"/>
      <c r="P3" s="1099"/>
      <c r="Q3" s="1099"/>
      <c r="R3" s="1099"/>
      <c r="S3" s="1099"/>
      <c r="T3" s="1099"/>
      <c r="U3" s="1099"/>
      <c r="V3" s="516"/>
      <c r="W3" s="1101" t="str">
        <f>E3</f>
        <v>3.1</v>
      </c>
      <c r="X3" s="1101" t="str">
        <f t="shared" ref="X3:AC3" si="0">F3</f>
        <v>3.2</v>
      </c>
      <c r="Y3" s="1101" t="str">
        <f t="shared" si="0"/>
        <v>3.3</v>
      </c>
      <c r="Z3" s="1101" t="str">
        <f t="shared" si="0"/>
        <v>3.4</v>
      </c>
      <c r="AA3" s="1101" t="str">
        <f t="shared" si="0"/>
        <v>3.5</v>
      </c>
      <c r="AB3" s="1101" t="str">
        <f t="shared" si="0"/>
        <v>3.6</v>
      </c>
      <c r="AC3" s="1101" t="str">
        <f t="shared" si="0"/>
        <v>3.7</v>
      </c>
      <c r="AD3" s="516"/>
      <c r="AE3" s="1104" t="str">
        <f>E3</f>
        <v>3.1</v>
      </c>
      <c r="AF3" s="1104" t="str">
        <f t="shared" ref="AF3:AK3" si="1">F3</f>
        <v>3.2</v>
      </c>
      <c r="AG3" s="1104" t="str">
        <f t="shared" si="1"/>
        <v>3.3</v>
      </c>
      <c r="AH3" s="1104" t="str">
        <f t="shared" si="1"/>
        <v>3.4</v>
      </c>
      <c r="AI3" s="1104" t="str">
        <f t="shared" si="1"/>
        <v>3.5</v>
      </c>
      <c r="AJ3" s="1104" t="str">
        <f t="shared" si="1"/>
        <v>3.6</v>
      </c>
      <c r="AK3" s="1104" t="str">
        <f t="shared" si="1"/>
        <v>3.7</v>
      </c>
      <c r="AL3" s="516"/>
      <c r="AM3" s="510" t="str">
        <f>'KI-KD'!$C55</f>
        <v>menjelaskan pecahan-pecahan senilai dengan gambar dan model konkret</v>
      </c>
      <c r="AN3" s="510" t="str">
        <f>'KI-KD'!$C56</f>
        <v>menjelaskan berbagai bentuk pecahan (biasa, campuran, desimal, dan persen) dan hubungan di antaranya</v>
      </c>
      <c r="AO3" s="510" t="str">
        <f>'KI-KD'!$C57</f>
        <v>menjelaskan dan melakukan penaksiran dari jumlah, selisih, hasil kali, dan hasil bagi dua bilangan cacah maupun pecahan dan desimal</v>
      </c>
      <c r="AP3" s="510" t="str">
        <f>'KI-KD'!$C58</f>
        <v xml:space="preserve">menjelaskan faktor dan kelipatan suatu bilangan </v>
      </c>
      <c r="AQ3" s="510" t="str">
        <f>'KI-KD'!$C59</f>
        <v xml:space="preserve">menjelaskan bilangan prima </v>
      </c>
      <c r="AR3" s="510" t="str">
        <f>'KI-KD'!$C60</f>
        <v>menjelaskan dan menentukan faktor persekutuan, faktor persekutuan terbesar (FPB), kelipatan persekutuan, dan kelipatan persekutuan terkecil (KPK) dari dua bilangan berkaitan dengan kehidupan sehari-hari</v>
      </c>
      <c r="AS3" s="510" t="str">
        <f>'KI-KD'!$C61</f>
        <v>menjelaskan dan melakukan pembulatan hasil pengukuran panjang dan berat ke satuan terdekat</v>
      </c>
      <c r="AT3" s="510"/>
      <c r="AU3" s="510"/>
      <c r="AV3" s="510"/>
      <c r="AW3" s="510"/>
      <c r="AX3" s="510"/>
      <c r="AY3" s="510"/>
      <c r="AZ3" s="510"/>
      <c r="BA3" s="510"/>
      <c r="BB3" s="510"/>
      <c r="BC3" s="1045"/>
      <c r="BD3" s="1046"/>
      <c r="BE3" s="1030" t="s">
        <v>315</v>
      </c>
      <c r="BF3" s="1031"/>
      <c r="BG3" s="1032" t="s">
        <v>316</v>
      </c>
      <c r="BH3" s="1033"/>
      <c r="BI3" s="1028"/>
      <c r="BP3" s="294"/>
      <c r="CA3" s="408">
        <f>CA4-CA5</f>
        <v>50</v>
      </c>
      <c r="CB3" s="408"/>
      <c r="CC3" s="1092"/>
      <c r="CD3" s="1094"/>
      <c r="CE3" s="1067" t="s">
        <v>315</v>
      </c>
      <c r="CF3" s="1068"/>
      <c r="CG3" s="1069" t="s">
        <v>316</v>
      </c>
      <c r="CH3" s="1070"/>
      <c r="CI3" s="1028"/>
      <c r="CJ3" s="1090" t="s">
        <v>730</v>
      </c>
      <c r="CK3" s="1090"/>
      <c r="CL3" s="1090"/>
      <c r="CM3" s="1090"/>
      <c r="CN3" s="1090"/>
      <c r="CO3" s="1090"/>
      <c r="CP3" s="408"/>
    </row>
    <row r="4" spans="1:94" s="108" customFormat="1" ht="25.5" customHeight="1">
      <c r="A4" s="448"/>
      <c r="B4" s="1071"/>
      <c r="C4" s="1072"/>
      <c r="D4" s="1073"/>
      <c r="E4" s="1080"/>
      <c r="F4" s="1080"/>
      <c r="G4" s="1080"/>
      <c r="H4" s="1080"/>
      <c r="I4" s="1080"/>
      <c r="J4" s="1080"/>
      <c r="K4" s="1080"/>
      <c r="L4" s="1080"/>
      <c r="M4" s="1080"/>
      <c r="N4" s="1099"/>
      <c r="O4" s="1099"/>
      <c r="P4" s="1099"/>
      <c r="Q4" s="1099"/>
      <c r="R4" s="1099"/>
      <c r="S4" s="1099"/>
      <c r="T4" s="1099"/>
      <c r="U4" s="1099"/>
      <c r="V4" s="517"/>
      <c r="W4" s="1102"/>
      <c r="X4" s="1102"/>
      <c r="Y4" s="1102"/>
      <c r="Z4" s="1102"/>
      <c r="AA4" s="1102"/>
      <c r="AB4" s="1102"/>
      <c r="AC4" s="1102"/>
      <c r="AD4" s="522"/>
      <c r="AE4" s="1105"/>
      <c r="AF4" s="1105"/>
      <c r="AG4" s="1105"/>
      <c r="AH4" s="1105"/>
      <c r="AI4" s="1105"/>
      <c r="AJ4" s="1105"/>
      <c r="AK4" s="1105"/>
      <c r="AL4" s="522"/>
      <c r="AM4" s="512">
        <f>'KI-KD'!$B55</f>
        <v>3.1</v>
      </c>
      <c r="AN4" s="512">
        <f>'KI-KD'!$B56</f>
        <v>3.2</v>
      </c>
      <c r="AO4" s="512">
        <f>'KI-KD'!$B57</f>
        <v>3.3</v>
      </c>
      <c r="AP4" s="512">
        <f>'KI-KD'!$B58</f>
        <v>3.4</v>
      </c>
      <c r="AQ4" s="512">
        <f>'KI-KD'!$B59</f>
        <v>3.5</v>
      </c>
      <c r="AR4" s="512">
        <f>'KI-KD'!$B60</f>
        <v>3.6</v>
      </c>
      <c r="AS4" s="512">
        <f>'KI-KD'!$B61</f>
        <v>3.7</v>
      </c>
      <c r="AT4" s="512"/>
      <c r="AU4" s="512"/>
      <c r="AV4" s="512"/>
      <c r="AW4" s="512"/>
      <c r="AX4" s="512"/>
      <c r="AY4" s="512"/>
      <c r="AZ4" s="512"/>
      <c r="BA4" s="512"/>
      <c r="BB4" s="512"/>
      <c r="BC4" s="1045"/>
      <c r="BD4" s="1046"/>
      <c r="BE4" s="295" t="s">
        <v>317</v>
      </c>
      <c r="BF4" s="296" t="s">
        <v>1</v>
      </c>
      <c r="BG4" s="297" t="s">
        <v>317</v>
      </c>
      <c r="BH4" s="298" t="s">
        <v>1</v>
      </c>
      <c r="BI4" s="1029"/>
      <c r="BJ4" s="104"/>
      <c r="BK4" s="299" t="s">
        <v>318</v>
      </c>
      <c r="BL4" s="299" t="s">
        <v>319</v>
      </c>
      <c r="BM4" s="299" t="s">
        <v>320</v>
      </c>
      <c r="BN4" s="299" t="s">
        <v>321</v>
      </c>
      <c r="BO4" s="300" t="s">
        <v>314</v>
      </c>
      <c r="BP4" s="301"/>
      <c r="CA4" s="108">
        <v>50</v>
      </c>
      <c r="CC4" s="1092"/>
      <c r="CD4" s="1094"/>
      <c r="CE4" s="295" t="s">
        <v>317</v>
      </c>
      <c r="CF4" s="296" t="s">
        <v>1</v>
      </c>
      <c r="CG4" s="297" t="s">
        <v>317</v>
      </c>
      <c r="CH4" s="298" t="s">
        <v>1</v>
      </c>
      <c r="CI4" s="1028"/>
      <c r="CJ4" s="299" t="s">
        <v>318</v>
      </c>
      <c r="CK4" s="299" t="s">
        <v>319</v>
      </c>
      <c r="CL4" s="299" t="s">
        <v>320</v>
      </c>
      <c r="CM4" s="299" t="s">
        <v>321</v>
      </c>
      <c r="CN4" s="300" t="s">
        <v>314</v>
      </c>
      <c r="CO4" s="301"/>
    </row>
    <row r="5" spans="1:94" ht="39.75" customHeight="1">
      <c r="B5" s="109">
        <v>1</v>
      </c>
      <c r="C5" s="110">
        <f>SISWA!B6</f>
        <v>4822</v>
      </c>
      <c r="D5" s="111" t="str">
        <f>SISWA!E6</f>
        <v>Anak 1</v>
      </c>
      <c r="E5" s="613"/>
      <c r="F5" s="613"/>
      <c r="G5" s="613"/>
      <c r="H5" s="613"/>
      <c r="I5" s="613"/>
      <c r="J5" s="613"/>
      <c r="K5" s="613"/>
      <c r="L5" s="613"/>
      <c r="M5" s="613"/>
      <c r="N5" s="630"/>
      <c r="O5" s="630"/>
      <c r="P5" s="630"/>
      <c r="Q5" s="630"/>
      <c r="R5" s="630"/>
      <c r="S5" s="630"/>
      <c r="T5" s="630"/>
      <c r="U5" s="613"/>
      <c r="V5" s="610"/>
      <c r="W5" s="613">
        <v>65</v>
      </c>
      <c r="X5" s="613">
        <v>88</v>
      </c>
      <c r="Y5" s="613">
        <v>77</v>
      </c>
      <c r="Z5" s="613"/>
      <c r="AA5" s="613"/>
      <c r="AB5" s="613"/>
      <c r="AC5" s="609"/>
      <c r="AD5" s="610"/>
      <c r="AE5" s="613">
        <v>88</v>
      </c>
      <c r="AF5" s="613">
        <v>76</v>
      </c>
      <c r="AG5" s="613"/>
      <c r="AH5" s="613"/>
      <c r="AI5" s="613"/>
      <c r="AJ5" s="613"/>
      <c r="AK5" s="613"/>
      <c r="AL5" s="518"/>
      <c r="AM5" s="607">
        <f>IFERROR(AVERAGE(E5,E5,W5,AE5),"")</f>
        <v>76.5</v>
      </c>
      <c r="AN5" s="607">
        <f t="shared" ref="AN5:AS5" si="2">IFERROR(AVERAGE(F5,F5,X5,AF5),"")</f>
        <v>82</v>
      </c>
      <c r="AO5" s="607">
        <f t="shared" si="2"/>
        <v>77</v>
      </c>
      <c r="AP5" s="607" t="str">
        <f t="shared" si="2"/>
        <v/>
      </c>
      <c r="AQ5" s="607" t="str">
        <f t="shared" si="2"/>
        <v/>
      </c>
      <c r="AR5" s="607" t="str">
        <f t="shared" si="2"/>
        <v/>
      </c>
      <c r="AS5" s="607" t="str">
        <f t="shared" si="2"/>
        <v/>
      </c>
      <c r="AT5" s="607"/>
      <c r="AU5" s="607"/>
      <c r="AV5" s="607"/>
      <c r="AW5" s="607"/>
      <c r="AX5" s="607"/>
      <c r="AY5" s="607"/>
      <c r="AZ5" s="607"/>
      <c r="BA5" s="607"/>
      <c r="BB5" s="607"/>
      <c r="BC5" s="302">
        <f t="shared" ref="BC5:BC54" si="3">ROUND((AVERAGE(AM5:BB5)),0)</f>
        <v>79</v>
      </c>
      <c r="BD5" s="303" t="str">
        <f>IF(BC5&gt;KKM!$G$10,"A",IF(BC5&gt;KKM!$H$10,"B",IF(BC5&gt;=KKM!$I$10,"C","D")))</f>
        <v>C</v>
      </c>
      <c r="BE5" s="523">
        <f t="shared" ref="BE5:BE54" si="4">MAX(AM5:BB5)</f>
        <v>82</v>
      </c>
      <c r="BF5" s="115" t="str">
        <f>IF(BE5&gt;KKM!$G$10," sangat baik ",IF(BE5&gt;KKM!$H$10," baik ",IF(BE5&gt;=KKM!$I$10," cukup baik "," perlu bimbingan ")))</f>
        <v xml:space="preserve"> baik </v>
      </c>
      <c r="BG5" s="524">
        <f t="shared" ref="BG5:BG54" si="5">MIN(AM5:BB5)</f>
        <v>76.5</v>
      </c>
      <c r="BH5" s="115" t="str">
        <f>IF(BG5&gt;KKM!$G$10," sangat baik ",IF(BG5&gt;KKM!$H$10," baik ",IF(BG5&gt;=KKM!$I$10," cukup baik "," perlu bimbingan ")))</f>
        <v xml:space="preserve"> cukup baik </v>
      </c>
      <c r="BI5" s="301" t="str">
        <f>IFERROR(BP5," ")</f>
        <v>Anak 1 baik  dalam menjelaskan berbagai bentuk pecahan (biasa, campuran, desimal, dan persen) dan hubungan di antaranya, dan  cukup baik  dalam menjelaskan pecahan-pecahan senilai dengan gambar dan model konkret</v>
      </c>
      <c r="BJ5" s="306"/>
      <c r="BK5" s="307" t="str">
        <f t="shared" ref="BK5:BK54" si="6">BF5&amp;" dalam "&amp;INDEX($AM$3:$BB$3,MATCH(BE5,$AM5:$BB5,0))</f>
        <v xml:space="preserve"> baik  dalam menjelaskan berbagai bentuk pecahan (biasa, campuran, desimal, dan persen) dan hubungan di antaranya</v>
      </c>
      <c r="BL5" s="307" t="str">
        <f t="shared" ref="BL5:BL54" si="7">BH5&amp;" dalam "&amp;INDEX($AM$3:$BB$3,MATCH(BG5,$AM5:$BB5,0))</f>
        <v xml:space="preserve"> cukup baik  dalam menjelaskan pecahan-pecahan senilai dengan gambar dan model konkret</v>
      </c>
      <c r="BM5" s="307" t="str">
        <f>BK5&amp;", dan "&amp;BL5</f>
        <v xml:space="preserve"> baik  dalam menjelaskan berbagai bentuk pecahan (biasa, campuran, desimal, dan persen) dan hubungan di antaranya, dan  cukup baik  dalam menjelaskan pecahan-pecahan senilai dengan gambar dan model konkret</v>
      </c>
      <c r="BN5" s="307" t="str">
        <f>IF(BK5=BL5,BK5," ")</f>
        <v xml:space="preserve"> </v>
      </c>
      <c r="BO5" s="308" t="str">
        <f>IF(BN5=" ",BM5,BN5)</f>
        <v xml:space="preserve"> baik  dalam menjelaskan berbagai bentuk pecahan (biasa, campuran, desimal, dan persen) dan hubungan di antaranya, dan  cukup baik  dalam menjelaskan pecahan-pecahan senilai dengan gambar dan model konkret</v>
      </c>
      <c r="BP5" s="301" t="str">
        <f t="shared" ref="BP5:BP36" si="8">CONCATENATE(D5,BO5)</f>
        <v>Anak 1 baik  dalam menjelaskan berbagai bentuk pecahan (biasa, campuran, desimal, dan persen) dan hubungan di antaranya, dan  cukup baik  dalam menjelaskan pecahan-pecahan senilai dengan gambar dan model konkret</v>
      </c>
      <c r="BQ5" s="120"/>
      <c r="BZ5" s="408">
        <f>IFERROR(BC5,"")</f>
        <v>79</v>
      </c>
      <c r="CA5" s="408">
        <f>COUNTBLANK(BZ5:BZ54)</f>
        <v>0</v>
      </c>
      <c r="CB5" s="408"/>
      <c r="CC5" s="302">
        <f>ROUND((AVERAGE(W5:AC5)),0)</f>
        <v>77</v>
      </c>
      <c r="CD5" s="303" t="str">
        <f>IF(CC5&gt;KKM!$G$10,"A",IF(CC5&gt;KKM!$H$10,"B",IF(CC5&gt;=KKM!$I$10,"C","D")))</f>
        <v>C</v>
      </c>
      <c r="CE5" s="523">
        <f>MAX(W5:AC5)</f>
        <v>88</v>
      </c>
      <c r="CF5" s="115" t="str">
        <f>IF(CE5&gt;KKM!$G$10," sangat baik ",IF(CE5&gt;KKM!$H$10," baik ",IF(CE5&gt;=KKM!$I$10," cukup baik "," perlu bimbingan ")))</f>
        <v xml:space="preserve"> baik </v>
      </c>
      <c r="CG5" s="524">
        <f>MIN(W5:AC5)</f>
        <v>65</v>
      </c>
      <c r="CH5" s="115" t="str">
        <f>IF(CG5&gt;KKM!$G$10," sangat baik ",IF(CG5&gt;KKM!$H$10," baik ",IF(CG5&gt;=KKM!$I$10," cukup baik "," perlu bimbingan ")))</f>
        <v xml:space="preserve"> perlu bimbingan </v>
      </c>
      <c r="CI5" s="301" t="str">
        <f>IFERROR(CO5," ")</f>
        <v>Anak 1 baik  dalam menjelaskan berbagai bentuk pecahan (biasa, campuran, desimal, dan persen) dan hubungan di antaranya, dan  perlu bimbingan  dalam menjelaskan pecahan-pecahan senilai dengan gambar dan model konkret</v>
      </c>
      <c r="CJ5" s="307" t="str">
        <f>CF5&amp;" dalam "&amp;INDEX($AM$3:$BB$3,MATCH(CE5,$W5:$AC5,0))</f>
        <v xml:space="preserve"> baik  dalam menjelaskan berbagai bentuk pecahan (biasa, campuran, desimal, dan persen) dan hubungan di antaranya</v>
      </c>
      <c r="CK5" s="307" t="str">
        <f>CH5&amp;" dalam "&amp;INDEX($AM$3:$BB$3,MATCH(CG5,$W5:$AC5,0))</f>
        <v xml:space="preserve"> perlu bimbingan  dalam menjelaskan pecahan-pecahan senilai dengan gambar dan model konkret</v>
      </c>
      <c r="CL5" s="307" t="str">
        <f>CJ5&amp;", dan "&amp;CK5</f>
        <v xml:space="preserve"> baik  dalam menjelaskan berbagai bentuk pecahan (biasa, campuran, desimal, dan persen) dan hubungan di antaranya, dan  perlu bimbingan  dalam menjelaskan pecahan-pecahan senilai dengan gambar dan model konkret</v>
      </c>
      <c r="CM5" s="307" t="str">
        <f>IF(CJ5=CK5,CJ5," ")</f>
        <v xml:space="preserve"> </v>
      </c>
      <c r="CN5" s="308" t="str">
        <f>IF(CM5=" ",CL5,CM5)</f>
        <v xml:space="preserve"> baik  dalam menjelaskan berbagai bentuk pecahan (biasa, campuran, desimal, dan persen) dan hubungan di antaranya, dan  perlu bimbingan  dalam menjelaskan pecahan-pecahan senilai dengan gambar dan model konkret</v>
      </c>
      <c r="CO5" s="301" t="str">
        <f>CONCATENATE(D5,CN5)</f>
        <v>Anak 1 baik  dalam menjelaskan berbagai bentuk pecahan (biasa, campuran, desimal, dan persen) dan hubungan di antaranya, dan  perlu bimbingan  dalam menjelaskan pecahan-pecahan senilai dengan gambar dan model konkret</v>
      </c>
      <c r="CP5" s="408"/>
    </row>
    <row r="6" spans="1:94" ht="33.75" customHeight="1">
      <c r="B6" s="109">
        <v>2</v>
      </c>
      <c r="C6" s="110">
        <f>SISWA!B7</f>
        <v>0</v>
      </c>
      <c r="D6" s="111" t="str">
        <f>SISWA!E7</f>
        <v>Anak 2</v>
      </c>
      <c r="E6" s="613"/>
      <c r="F6" s="613"/>
      <c r="G6" s="613"/>
      <c r="H6" s="613"/>
      <c r="I6" s="613"/>
      <c r="J6" s="613"/>
      <c r="K6" s="613"/>
      <c r="L6" s="613"/>
      <c r="M6" s="613"/>
      <c r="N6" s="630"/>
      <c r="O6" s="630"/>
      <c r="P6" s="630"/>
      <c r="Q6" s="630"/>
      <c r="R6" s="630"/>
      <c r="S6" s="630"/>
      <c r="T6" s="630"/>
      <c r="U6" s="613"/>
      <c r="V6" s="610"/>
      <c r="W6" s="613">
        <v>77</v>
      </c>
      <c r="X6" s="613">
        <v>65</v>
      </c>
      <c r="Y6" s="613">
        <v>65</v>
      </c>
      <c r="Z6" s="613"/>
      <c r="AA6" s="613"/>
      <c r="AB6" s="613"/>
      <c r="AC6" s="609"/>
      <c r="AD6" s="610"/>
      <c r="AE6" s="613">
        <v>65</v>
      </c>
      <c r="AF6" s="613">
        <v>88</v>
      </c>
      <c r="AG6" s="613"/>
      <c r="AH6" s="613"/>
      <c r="AI6" s="613"/>
      <c r="AJ6" s="613"/>
      <c r="AK6" s="613"/>
      <c r="AL6" s="518"/>
      <c r="AM6" s="607">
        <f t="shared" ref="AM6:AM54" si="9">IFERROR(AVERAGE(E6,E6,W6,AE6),"")</f>
        <v>71</v>
      </c>
      <c r="AN6" s="607">
        <f t="shared" ref="AN6:AN54" si="10">IFERROR(AVERAGE(F6,F6,X6,AF6),"")</f>
        <v>76.5</v>
      </c>
      <c r="AO6" s="607">
        <f t="shared" ref="AO6:AO54" si="11">IFERROR(AVERAGE(G6,G6,Y6,AG6),"")</f>
        <v>65</v>
      </c>
      <c r="AP6" s="607" t="str">
        <f t="shared" ref="AP6:AP54" si="12">IFERROR(AVERAGE(H6,H6,Z6,AH6),"")</f>
        <v/>
      </c>
      <c r="AQ6" s="607" t="str">
        <f t="shared" ref="AQ6:AQ54" si="13">IFERROR(AVERAGE(I6,I6,AA6,AI6),"")</f>
        <v/>
      </c>
      <c r="AR6" s="607" t="str">
        <f t="shared" ref="AR6:AR54" si="14">IFERROR(AVERAGE(J6,J6,AB6,AJ6),"")</f>
        <v/>
      </c>
      <c r="AS6" s="607" t="str">
        <f t="shared" ref="AS6:AS54" si="15">IFERROR(AVERAGE(K6,K6,AC6,AK6),"")</f>
        <v/>
      </c>
      <c r="AT6" s="607"/>
      <c r="AU6" s="607"/>
      <c r="AV6" s="607"/>
      <c r="AW6" s="607"/>
      <c r="AX6" s="607"/>
      <c r="AY6" s="607"/>
      <c r="AZ6" s="607"/>
      <c r="BA6" s="607"/>
      <c r="BB6" s="607"/>
      <c r="BC6" s="302">
        <f t="shared" si="3"/>
        <v>71</v>
      </c>
      <c r="BD6" s="303" t="str">
        <f>IF(BC6&gt;KKM!$G$10,"A",IF(BC6&gt;KKM!$H$10,"B",IF(BC6&gt;=KKM!$I$10,"C","D")))</f>
        <v>C</v>
      </c>
      <c r="BE6" s="523">
        <f t="shared" si="4"/>
        <v>76.5</v>
      </c>
      <c r="BF6" s="115" t="str">
        <f>IF(BE6&gt;KKM!$G$10," sangat baik ",IF(BE6&gt;KKM!$H$10," baik ",IF(BE6&gt;=KKM!$I$10," cukup baik "," perlu bimbingan ")))</f>
        <v xml:space="preserve"> cukup baik </v>
      </c>
      <c r="BG6" s="524">
        <f t="shared" si="5"/>
        <v>65</v>
      </c>
      <c r="BH6" s="115" t="str">
        <f>IF(BG6&gt;KKM!$G$10," sangat baik ",IF(BG6&gt;KKM!$H$10," baik ",IF(BG6&gt;=KKM!$I$10," cukup baik "," perlu bimbingan ")))</f>
        <v xml:space="preserve"> perlu bimbingan </v>
      </c>
      <c r="BI6" s="301" t="str">
        <f t="shared" ref="BI6:BI54" si="16">IFERROR(BP6," ")</f>
        <v>Anak 2 cukup baik  dalam menjelaskan berbagai bentuk pecahan (biasa, campuran, desimal, dan persen) dan hubungan di antaranya, dan  perlu bimbingan  dalam menjelaskan dan melakukan penaksiran dari jumlah, selisih, hasil kali, dan hasil bagi dua bilangan cacah maupun pecahan dan desimal</v>
      </c>
      <c r="BJ6" s="306"/>
      <c r="BK6" s="307" t="str">
        <f t="shared" si="6"/>
        <v xml:space="preserve"> cukup baik  dalam menjelaskan berbagai bentuk pecahan (biasa, campuran, desimal, dan persen) dan hubungan di antaranya</v>
      </c>
      <c r="BL6" s="307" t="str">
        <f t="shared" si="7"/>
        <v xml:space="preserve"> perlu bimbingan  dalam menjelaskan dan melakukan penaksiran dari jumlah, selisih, hasil kali, dan hasil bagi dua bilangan cacah maupun pecahan dan desimal</v>
      </c>
      <c r="BM6" s="307" t="str">
        <f t="shared" ref="BM6:BM54" si="17">BK6&amp;", dan "&amp;BL6</f>
        <v xml:space="preserve"> cukup baik  dalam menjelaskan berbagai bentuk pecahan (biasa, campuran, desimal, dan persen) dan hubungan di antaranya, dan  perlu bimbingan  dalam menjelaskan dan melakukan penaksiran dari jumlah, selisih, hasil kali, dan hasil bagi dua bilangan cacah maupun pecahan dan desimal</v>
      </c>
      <c r="BN6" s="307" t="str">
        <f t="shared" ref="BN6:BN54" si="18">IF(BK6=BL6,BK6," ")</f>
        <v xml:space="preserve"> </v>
      </c>
      <c r="BO6" s="308" t="str">
        <f t="shared" ref="BO6:BO54" si="19">IF(BN6=" ",BM6,BN6)</f>
        <v xml:space="preserve"> cukup baik  dalam menjelaskan berbagai bentuk pecahan (biasa, campuran, desimal, dan persen) dan hubungan di antaranya, dan  perlu bimbingan  dalam menjelaskan dan melakukan penaksiran dari jumlah, selisih, hasil kali, dan hasil bagi dua bilangan cacah maupun pecahan dan desimal</v>
      </c>
      <c r="BP6" s="301" t="str">
        <f t="shared" si="8"/>
        <v>Anak 2 cukup baik  dalam menjelaskan berbagai bentuk pecahan (biasa, campuran, desimal, dan persen) dan hubungan di antaranya, dan  perlu bimbingan  dalam menjelaskan dan melakukan penaksiran dari jumlah, selisih, hasil kali, dan hasil bagi dua bilangan cacah maupun pecahan dan desimal</v>
      </c>
      <c r="BQ6" s="120"/>
      <c r="BZ6" s="408">
        <f t="shared" ref="BZ6:BZ54" si="20">IFERROR(BC6,"")</f>
        <v>71</v>
      </c>
      <c r="CA6" s="442">
        <f>IFERROR(CA3/CA2,"0%")</f>
        <v>1</v>
      </c>
      <c r="CB6" s="442"/>
      <c r="CC6" s="302">
        <f t="shared" ref="CC6:CC54" si="21">ROUND((AVERAGE(W6:AC6)),0)</f>
        <v>69</v>
      </c>
      <c r="CD6" s="303" t="str">
        <f>IF(CC6&gt;KKM!$G$10,"A",IF(CC6&gt;KKM!$H$10,"B",IF(CC6&gt;=KKM!$I$10,"C","D")))</f>
        <v>D</v>
      </c>
      <c r="CE6" s="523">
        <f t="shared" ref="CE6:CE54" si="22">MAX(W6:AC6)</f>
        <v>77</v>
      </c>
      <c r="CF6" s="115" t="str">
        <f>IF(CE6&gt;KKM!$G$10," sangat baik ",IF(CE6&gt;KKM!$H$10," baik ",IF(CE6&gt;=KKM!$I$10," cukup baik "," perlu bimbingan ")))</f>
        <v xml:space="preserve"> cukup baik </v>
      </c>
      <c r="CG6" s="524">
        <f t="shared" ref="CG6:CG54" si="23">MIN(W6:AC6)</f>
        <v>65</v>
      </c>
      <c r="CH6" s="115" t="str">
        <f>IF(CG6&gt;KKM!$G$10," sangat baik ",IF(CG6&gt;KKM!$H$10," baik ",IF(CG6&gt;=KKM!$I$10," cukup baik "," perlu bimbingan ")))</f>
        <v xml:space="preserve"> perlu bimbingan </v>
      </c>
      <c r="CI6" s="301" t="str">
        <f>IFERROR(CO6," ")</f>
        <v>Anak 2 cukup baik  dalam menjelaskan pecahan-pecahan senilai dengan gambar dan model konkret, dan  perlu bimbingan  dalam menjelaskan berbagai bentuk pecahan (biasa, campuran, desimal, dan persen) dan hubungan di antaranya</v>
      </c>
      <c r="CJ6" s="307" t="str">
        <f t="shared" ref="CJ6:CJ54" si="24">CF6&amp;" dalam "&amp;INDEX($AM$3:$BB$3,MATCH(CE6,$W6:$AC6,0))</f>
        <v xml:space="preserve"> cukup baik  dalam menjelaskan pecahan-pecahan senilai dengan gambar dan model konkret</v>
      </c>
      <c r="CK6" s="307" t="str">
        <f t="shared" ref="CK6:CK54" si="25">CH6&amp;" dalam "&amp;INDEX($AM$3:$BB$3,MATCH(CG6,$W6:$AC6,0))</f>
        <v xml:space="preserve"> perlu bimbingan  dalam menjelaskan berbagai bentuk pecahan (biasa, campuran, desimal, dan persen) dan hubungan di antaranya</v>
      </c>
      <c r="CL6" s="307" t="str">
        <f t="shared" ref="CL6:CL54" si="26">CJ6&amp;", dan "&amp;CK6</f>
        <v xml:space="preserve"> cukup baik  dalam menjelaskan pecahan-pecahan senilai dengan gambar dan model konkret, dan  perlu bimbingan  dalam menjelaskan berbagai bentuk pecahan (biasa, campuran, desimal, dan persen) dan hubungan di antaranya</v>
      </c>
      <c r="CM6" s="307" t="str">
        <f t="shared" ref="CM6:CM54" si="27">IF(CJ6=CK6,CJ6," ")</f>
        <v xml:space="preserve"> </v>
      </c>
      <c r="CN6" s="308" t="str">
        <f t="shared" ref="CN6:CN54" si="28">IF(CM6=" ",CL6,CM6)</f>
        <v xml:space="preserve"> cukup baik  dalam menjelaskan pecahan-pecahan senilai dengan gambar dan model konkret, dan  perlu bimbingan  dalam menjelaskan berbagai bentuk pecahan (biasa, campuran, desimal, dan persen) dan hubungan di antaranya</v>
      </c>
      <c r="CO6" s="301" t="str">
        <f t="shared" ref="CO6:CO54" si="29">CONCATENATE(D6,CN6)</f>
        <v>Anak 2 cukup baik  dalam menjelaskan pecahan-pecahan senilai dengan gambar dan model konkret, dan  perlu bimbingan  dalam menjelaskan berbagai bentuk pecahan (biasa, campuran, desimal, dan persen) dan hubungan di antaranya</v>
      </c>
      <c r="CP6" s="442"/>
    </row>
    <row r="7" spans="1:94" ht="39" customHeight="1">
      <c r="B7" s="109">
        <v>3</v>
      </c>
      <c r="C7" s="110">
        <f>SISWA!B8</f>
        <v>0</v>
      </c>
      <c r="D7" s="111" t="str">
        <f>SISWA!E8</f>
        <v>Anak 3</v>
      </c>
      <c r="E7" s="631">
        <v>99</v>
      </c>
      <c r="F7" s="631">
        <v>99</v>
      </c>
      <c r="G7" s="631">
        <v>99</v>
      </c>
      <c r="H7" s="631">
        <v>99</v>
      </c>
      <c r="I7" s="631">
        <v>99</v>
      </c>
      <c r="J7" s="631">
        <v>99</v>
      </c>
      <c r="K7" s="613">
        <v>99</v>
      </c>
      <c r="L7" s="613"/>
      <c r="M7" s="613"/>
      <c r="N7" s="630"/>
      <c r="O7" s="630"/>
      <c r="P7" s="630"/>
      <c r="Q7" s="630"/>
      <c r="R7" s="630"/>
      <c r="S7" s="630"/>
      <c r="T7" s="630"/>
      <c r="U7" s="613"/>
      <c r="V7" s="610"/>
      <c r="W7" s="631">
        <v>99</v>
      </c>
      <c r="X7" s="613">
        <v>94.5</v>
      </c>
      <c r="Y7" s="631">
        <v>99</v>
      </c>
      <c r="Z7" s="631"/>
      <c r="AA7" s="631"/>
      <c r="AB7" s="631"/>
      <c r="AC7" s="609"/>
      <c r="AD7" s="610"/>
      <c r="AE7" s="613">
        <v>94.5</v>
      </c>
      <c r="AF7" s="613">
        <v>79</v>
      </c>
      <c r="AG7" s="613"/>
      <c r="AH7" s="613"/>
      <c r="AI7" s="613"/>
      <c r="AJ7" s="613"/>
      <c r="AK7" s="613">
        <v>88</v>
      </c>
      <c r="AL7" s="518"/>
      <c r="AM7" s="607">
        <f t="shared" si="9"/>
        <v>97.875</v>
      </c>
      <c r="AN7" s="607">
        <f t="shared" si="10"/>
        <v>92.875</v>
      </c>
      <c r="AO7" s="607">
        <f t="shared" si="11"/>
        <v>99</v>
      </c>
      <c r="AP7" s="607">
        <f t="shared" si="12"/>
        <v>99</v>
      </c>
      <c r="AQ7" s="607">
        <f t="shared" si="13"/>
        <v>99</v>
      </c>
      <c r="AR7" s="607">
        <f t="shared" si="14"/>
        <v>99</v>
      </c>
      <c r="AS7" s="607">
        <f t="shared" si="15"/>
        <v>95.333333333333329</v>
      </c>
      <c r="AT7" s="607"/>
      <c r="AU7" s="607"/>
      <c r="AV7" s="607"/>
      <c r="AW7" s="607"/>
      <c r="AX7" s="607"/>
      <c r="AY7" s="607"/>
      <c r="AZ7" s="607"/>
      <c r="BA7" s="607"/>
      <c r="BB7" s="607"/>
      <c r="BC7" s="302">
        <f t="shared" si="3"/>
        <v>97</v>
      </c>
      <c r="BD7" s="303" t="str">
        <f>IF(BC7&gt;KKM!$G$10,"A",IF(BC7&gt;KKM!$H$10,"B",IF(BC7&gt;=KKM!$I$10,"C","D")))</f>
        <v>A</v>
      </c>
      <c r="BE7" s="523">
        <f t="shared" si="4"/>
        <v>99</v>
      </c>
      <c r="BF7" s="115" t="str">
        <f>IF(BE7&gt;KKM!$G$10," sangat baik ",IF(BE7&gt;KKM!$H$10," baik ",IF(BE7&gt;=KKM!$I$10," cukup baik "," perlu bimbingan ")))</f>
        <v xml:space="preserve"> sangat baik </v>
      </c>
      <c r="BG7" s="524">
        <f t="shared" si="5"/>
        <v>92.875</v>
      </c>
      <c r="BH7" s="115" t="str">
        <f>IF(BG7&gt;KKM!$G$10," sangat baik ",IF(BG7&gt;KKM!$H$10," baik ",IF(BG7&gt;=KKM!$I$10," cukup baik "," perlu bimbingan ")))</f>
        <v xml:space="preserve"> sangat baik </v>
      </c>
      <c r="BI7" s="301" t="str">
        <f t="shared" si="16"/>
        <v>Anak 3 sangat baik  dalam menjelaskan dan melakukan penaksiran dari jumlah, selisih, hasil kali, dan hasil bagi dua bilangan cacah maupun pecahan dan desimal, dan  sangat baik  dalam menjelaskan berbagai bentuk pecahan (biasa, campuran, desimal, dan persen) dan hubungan di antaranya</v>
      </c>
      <c r="BJ7" s="306"/>
      <c r="BK7" s="307" t="str">
        <f t="shared" si="6"/>
        <v xml:space="preserve"> sangat baik  dalam menjelaskan dan melakukan penaksiran dari jumlah, selisih, hasil kali, dan hasil bagi dua bilangan cacah maupun pecahan dan desimal</v>
      </c>
      <c r="BL7" s="307" t="str">
        <f t="shared" si="7"/>
        <v xml:space="preserve"> sangat baik  dalam menjelaskan berbagai bentuk pecahan (biasa, campuran, desimal, dan persen) dan hubungan di antaranya</v>
      </c>
      <c r="BM7"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7" s="307" t="str">
        <f t="shared" si="18"/>
        <v xml:space="preserve"> </v>
      </c>
      <c r="BO7"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7" s="301" t="str">
        <f t="shared" si="8"/>
        <v>Anak 3 sangat baik  dalam menjelaskan dan melakukan penaksiran dari jumlah, selisih, hasil kali, dan hasil bagi dua bilangan cacah maupun pecahan dan desimal, dan  sangat baik  dalam menjelaskan berbagai bentuk pecahan (biasa, campuran, desimal, dan persen) dan hubungan di antaranya</v>
      </c>
      <c r="BQ7" s="120"/>
      <c r="BZ7" s="408">
        <f t="shared" si="20"/>
        <v>97</v>
      </c>
      <c r="CC7" s="302">
        <f t="shared" si="21"/>
        <v>98</v>
      </c>
      <c r="CD7" s="303" t="str">
        <f>IF(CC7&gt;KKM!$G$10,"A",IF(CC7&gt;KKM!$H$10,"B",IF(CC7&gt;=KKM!$I$10,"C","D")))</f>
        <v>A</v>
      </c>
      <c r="CE7" s="523">
        <f t="shared" si="22"/>
        <v>99</v>
      </c>
      <c r="CF7" s="115" t="str">
        <f>IF(CE7&gt;KKM!$G$10," sangat baik ",IF(CE7&gt;KKM!$H$10," baik ",IF(CE7&gt;=KKM!$I$10," cukup baik "," perlu bimbingan ")))</f>
        <v xml:space="preserve"> sangat baik </v>
      </c>
      <c r="CG7" s="524">
        <f t="shared" si="23"/>
        <v>94.5</v>
      </c>
      <c r="CH7" s="115" t="str">
        <f>IF(CG7&gt;KKM!$G$10," sangat baik ",IF(CG7&gt;KKM!$H$10," baik ",IF(CG7&gt;=KKM!$I$10," cukup baik "," perlu bimbingan ")))</f>
        <v xml:space="preserve"> sangat baik </v>
      </c>
      <c r="CI7" s="301" t="str">
        <f t="shared" ref="CI7:CI54" si="30">IFERROR(CO7," ")</f>
        <v>Anak 3 sangat baik  dalam menjelaskan pecahan-pecahan senilai dengan gambar dan model konkret, dan  sangat baik  dalam menjelaskan berbagai bentuk pecahan (biasa, campuran, desimal, dan persen) dan hubungan di antaranya</v>
      </c>
      <c r="CJ7" s="307" t="str">
        <f t="shared" si="24"/>
        <v xml:space="preserve"> sangat baik  dalam menjelaskan pecahan-pecahan senilai dengan gambar dan model konkret</v>
      </c>
      <c r="CK7" s="307" t="str">
        <f t="shared" si="25"/>
        <v xml:space="preserve"> sangat baik  dalam menjelaskan berbagai bentuk pecahan (biasa, campuran, desimal, dan persen) dan hubungan di antaranya</v>
      </c>
      <c r="CL7" s="307" t="str">
        <f t="shared" si="26"/>
        <v xml:space="preserve"> sangat baik  dalam menjelaskan pecahan-pecahan senilai dengan gambar dan model konkret, dan  sangat baik  dalam menjelaskan berbagai bentuk pecahan (biasa, campuran, desimal, dan persen) dan hubungan di antaranya</v>
      </c>
      <c r="CM7" s="307" t="str">
        <f t="shared" si="27"/>
        <v xml:space="preserve"> </v>
      </c>
      <c r="CN7" s="308" t="str">
        <f t="shared" si="28"/>
        <v xml:space="preserve"> sangat baik  dalam menjelaskan pecahan-pecahan senilai dengan gambar dan model konkret, dan  sangat baik  dalam menjelaskan berbagai bentuk pecahan (biasa, campuran, desimal, dan persen) dan hubungan di antaranya</v>
      </c>
      <c r="CO7" s="301" t="str">
        <f t="shared" si="29"/>
        <v>Anak 3 sangat baik  dalam menjelaskan pecahan-pecahan senilai dengan gambar dan model konkret, dan  sangat baik  dalam menjelaskan berbagai bentuk pecahan (biasa, campuran, desimal, dan persen) dan hubungan di antaranya</v>
      </c>
    </row>
    <row r="8" spans="1:94" ht="33.75" customHeight="1">
      <c r="B8" s="109">
        <v>4</v>
      </c>
      <c r="C8" s="110">
        <f>SISWA!B9</f>
        <v>0</v>
      </c>
      <c r="D8" s="111" t="str">
        <f>SISWA!E9</f>
        <v>Anak 4</v>
      </c>
      <c r="E8" s="631">
        <v>99</v>
      </c>
      <c r="F8" s="631">
        <v>99</v>
      </c>
      <c r="G8" s="631">
        <v>99</v>
      </c>
      <c r="H8" s="631">
        <v>99</v>
      </c>
      <c r="I8" s="631">
        <v>99</v>
      </c>
      <c r="J8" s="631">
        <v>99</v>
      </c>
      <c r="K8" s="613">
        <v>99</v>
      </c>
      <c r="L8" s="613"/>
      <c r="M8" s="613"/>
      <c r="N8" s="630"/>
      <c r="O8" s="630"/>
      <c r="P8" s="630"/>
      <c r="Q8" s="630"/>
      <c r="R8" s="630"/>
      <c r="S8" s="630"/>
      <c r="T8" s="630"/>
      <c r="U8" s="613"/>
      <c r="V8" s="610"/>
      <c r="W8" s="631">
        <v>99</v>
      </c>
      <c r="X8" s="613">
        <v>79</v>
      </c>
      <c r="Y8" s="631">
        <v>99</v>
      </c>
      <c r="Z8" s="631"/>
      <c r="AA8" s="631"/>
      <c r="AB8" s="631"/>
      <c r="AC8" s="609"/>
      <c r="AD8" s="610"/>
      <c r="AE8" s="613">
        <v>79</v>
      </c>
      <c r="AF8" s="613">
        <v>79</v>
      </c>
      <c r="AG8" s="613"/>
      <c r="AH8" s="613"/>
      <c r="AI8" s="613"/>
      <c r="AJ8" s="613"/>
      <c r="AK8" s="613"/>
      <c r="AL8" s="518"/>
      <c r="AM8" s="607">
        <f t="shared" si="9"/>
        <v>94</v>
      </c>
      <c r="AN8" s="607">
        <f t="shared" si="10"/>
        <v>89</v>
      </c>
      <c r="AO8" s="607">
        <f t="shared" si="11"/>
        <v>99</v>
      </c>
      <c r="AP8" s="607">
        <f t="shared" si="12"/>
        <v>99</v>
      </c>
      <c r="AQ8" s="607">
        <f t="shared" si="13"/>
        <v>99</v>
      </c>
      <c r="AR8" s="607">
        <f t="shared" si="14"/>
        <v>99</v>
      </c>
      <c r="AS8" s="607">
        <f t="shared" si="15"/>
        <v>99</v>
      </c>
      <c r="AT8" s="607"/>
      <c r="AU8" s="607"/>
      <c r="AV8" s="607"/>
      <c r="AW8" s="607"/>
      <c r="AX8" s="607"/>
      <c r="AY8" s="607"/>
      <c r="AZ8" s="607"/>
      <c r="BA8" s="607"/>
      <c r="BB8" s="607"/>
      <c r="BC8" s="302">
        <f t="shared" si="3"/>
        <v>97</v>
      </c>
      <c r="BD8" s="303" t="str">
        <f>IF(BC8&gt;KKM!$G$10,"A",IF(BC8&gt;KKM!$H$10,"B",IF(BC8&gt;=KKM!$I$10,"C","D")))</f>
        <v>A</v>
      </c>
      <c r="BE8" s="523">
        <f t="shared" si="4"/>
        <v>99</v>
      </c>
      <c r="BF8" s="115" t="str">
        <f>IF(BE8&gt;KKM!$G$10," sangat baik ",IF(BE8&gt;KKM!$H$10," baik ",IF(BE8&gt;=KKM!$I$10," cukup baik "," perlu bimbingan ")))</f>
        <v xml:space="preserve"> sangat baik </v>
      </c>
      <c r="BG8" s="524">
        <f t="shared" si="5"/>
        <v>89</v>
      </c>
      <c r="BH8" s="115" t="str">
        <f>IF(BG8&gt;KKM!$G$10," sangat baik ",IF(BG8&gt;KKM!$H$10," baik ",IF(BG8&gt;=KKM!$I$10," cukup baik "," perlu bimbingan ")))</f>
        <v xml:space="preserve"> baik </v>
      </c>
      <c r="BI8" s="301" t="str">
        <f t="shared" si="16"/>
        <v>Anak 4 sangat baik  dalam menjelaskan dan melakukan penaksiran dari jumlah, selisih, hasil kali, dan hasil bagi dua bilangan cacah maupun pecahan dan desimal, dan  baik  dalam menjelaskan berbagai bentuk pecahan (biasa, campuran, desimal, dan persen) dan hubungan di antaranya</v>
      </c>
      <c r="BJ8" s="306"/>
      <c r="BK8" s="307" t="str">
        <f t="shared" si="6"/>
        <v xml:space="preserve"> sangat baik  dalam menjelaskan dan melakukan penaksiran dari jumlah, selisih, hasil kali, dan hasil bagi dua bilangan cacah maupun pecahan dan desimal</v>
      </c>
      <c r="BL8" s="307" t="str">
        <f t="shared" si="7"/>
        <v xml:space="preserve"> baik  dalam menjelaskan berbagai bentuk pecahan (biasa, campuran, desimal, dan persen) dan hubungan di antaranya</v>
      </c>
      <c r="BM8"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8" s="307" t="str">
        <f t="shared" si="18"/>
        <v xml:space="preserve"> </v>
      </c>
      <c r="BO8"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8" s="301" t="str">
        <f t="shared" si="8"/>
        <v>Anak 4 sangat baik  dalam menjelaskan dan melakukan penaksiran dari jumlah, selisih, hasil kali, dan hasil bagi dua bilangan cacah maupun pecahan dan desimal, dan  baik  dalam menjelaskan berbagai bentuk pecahan (biasa, campuran, desimal, dan persen) dan hubungan di antaranya</v>
      </c>
      <c r="BQ8" s="120"/>
      <c r="BZ8" s="408">
        <f t="shared" si="20"/>
        <v>97</v>
      </c>
      <c r="CC8" s="302">
        <f t="shared" si="21"/>
        <v>92</v>
      </c>
      <c r="CD8" s="303" t="str">
        <f>IF(CC8&gt;KKM!$G$10,"A",IF(CC8&gt;KKM!$H$10,"B",IF(CC8&gt;=KKM!$I$10,"C","D")))</f>
        <v>A</v>
      </c>
      <c r="CE8" s="523">
        <f t="shared" si="22"/>
        <v>99</v>
      </c>
      <c r="CF8" s="115" t="str">
        <f>IF(CE8&gt;KKM!$G$10," sangat baik ",IF(CE8&gt;KKM!$H$10," baik ",IF(CE8&gt;=KKM!$I$10," cukup baik "," perlu bimbingan ")))</f>
        <v xml:space="preserve"> sangat baik </v>
      </c>
      <c r="CG8" s="524">
        <f t="shared" si="23"/>
        <v>79</v>
      </c>
      <c r="CH8" s="115" t="str">
        <f>IF(CG8&gt;KKM!$G$10," sangat baik ",IF(CG8&gt;KKM!$H$10," baik ",IF(CG8&gt;=KKM!$I$10," cukup baik "," perlu bimbingan ")))</f>
        <v xml:space="preserve"> cukup baik </v>
      </c>
      <c r="CI8" s="301" t="str">
        <f t="shared" si="30"/>
        <v>Anak 4 sangat baik  dalam menjelaskan pecahan-pecahan senilai dengan gambar dan model konkret, dan  cukup baik  dalam menjelaskan berbagai bentuk pecahan (biasa, campuran, desimal, dan persen) dan hubungan di antaranya</v>
      </c>
      <c r="CJ8" s="307" t="str">
        <f t="shared" si="24"/>
        <v xml:space="preserve"> sangat baik  dalam menjelaskan pecahan-pecahan senilai dengan gambar dan model konkret</v>
      </c>
      <c r="CK8" s="307" t="str">
        <f t="shared" si="25"/>
        <v xml:space="preserve"> cukup baik  dalam menjelaskan berbagai bentuk pecahan (biasa, campuran, desimal, dan persen) dan hubungan di antaranya</v>
      </c>
      <c r="CL8" s="307" t="str">
        <f t="shared" si="26"/>
        <v xml:space="preserve"> sangat baik  dalam menjelaskan pecahan-pecahan senilai dengan gambar dan model konkret, dan  cukup baik  dalam menjelaskan berbagai bentuk pecahan (biasa, campuran, desimal, dan persen) dan hubungan di antaranya</v>
      </c>
      <c r="CM8" s="307" t="str">
        <f t="shared" si="27"/>
        <v xml:space="preserve"> </v>
      </c>
      <c r="CN8" s="308" t="str">
        <f t="shared" si="28"/>
        <v xml:space="preserve"> sangat baik  dalam menjelaskan pecahan-pecahan senilai dengan gambar dan model konkret, dan  cukup baik  dalam menjelaskan berbagai bentuk pecahan (biasa, campuran, desimal, dan persen) dan hubungan di antaranya</v>
      </c>
      <c r="CO8" s="301" t="str">
        <f t="shared" si="29"/>
        <v>Anak 4 sangat baik  dalam menjelaskan pecahan-pecahan senilai dengan gambar dan model konkret, dan  cukup baik  dalam menjelaskan berbagai bentuk pecahan (biasa, campuran, desimal, dan persen) dan hubungan di antaranya</v>
      </c>
    </row>
    <row r="9" spans="1:94" ht="33.75" customHeight="1">
      <c r="B9" s="109">
        <v>5</v>
      </c>
      <c r="C9" s="110">
        <f>SISWA!B10</f>
        <v>0</v>
      </c>
      <c r="D9" s="111" t="str">
        <f>SISWA!E10</f>
        <v>Anak 5</v>
      </c>
      <c r="E9" s="631">
        <v>99</v>
      </c>
      <c r="F9" s="631">
        <v>99</v>
      </c>
      <c r="G9" s="631">
        <v>99</v>
      </c>
      <c r="H9" s="631">
        <v>99</v>
      </c>
      <c r="I9" s="631">
        <v>99</v>
      </c>
      <c r="J9" s="631">
        <v>99</v>
      </c>
      <c r="K9" s="613">
        <v>99</v>
      </c>
      <c r="L9" s="613"/>
      <c r="M9" s="613"/>
      <c r="N9" s="630"/>
      <c r="O9" s="630"/>
      <c r="P9" s="630"/>
      <c r="Q9" s="630"/>
      <c r="R9" s="630"/>
      <c r="S9" s="630"/>
      <c r="T9" s="630"/>
      <c r="U9" s="613"/>
      <c r="V9" s="610"/>
      <c r="W9" s="631">
        <v>99</v>
      </c>
      <c r="X9" s="613">
        <v>79</v>
      </c>
      <c r="Y9" s="631">
        <v>99</v>
      </c>
      <c r="Z9" s="631"/>
      <c r="AA9" s="631"/>
      <c r="AB9" s="631"/>
      <c r="AC9" s="609"/>
      <c r="AD9" s="610"/>
      <c r="AE9" s="613">
        <v>79</v>
      </c>
      <c r="AF9" s="613">
        <v>79</v>
      </c>
      <c r="AG9" s="613"/>
      <c r="AH9" s="613"/>
      <c r="AI9" s="613"/>
      <c r="AJ9" s="613"/>
      <c r="AK9" s="613"/>
      <c r="AL9" s="518"/>
      <c r="AM9" s="607">
        <f t="shared" si="9"/>
        <v>94</v>
      </c>
      <c r="AN9" s="607">
        <f t="shared" si="10"/>
        <v>89</v>
      </c>
      <c r="AO9" s="607">
        <f t="shared" si="11"/>
        <v>99</v>
      </c>
      <c r="AP9" s="607">
        <f t="shared" si="12"/>
        <v>99</v>
      </c>
      <c r="AQ9" s="607">
        <f t="shared" si="13"/>
        <v>99</v>
      </c>
      <c r="AR9" s="607">
        <f t="shared" si="14"/>
        <v>99</v>
      </c>
      <c r="AS9" s="607">
        <f t="shared" si="15"/>
        <v>99</v>
      </c>
      <c r="AT9" s="607"/>
      <c r="AU9" s="607"/>
      <c r="AV9" s="607"/>
      <c r="AW9" s="607"/>
      <c r="AX9" s="607"/>
      <c r="AY9" s="607"/>
      <c r="AZ9" s="607"/>
      <c r="BA9" s="607"/>
      <c r="BB9" s="607"/>
      <c r="BC9" s="302">
        <f t="shared" si="3"/>
        <v>97</v>
      </c>
      <c r="BD9" s="303" t="str">
        <f>IF(BC9&gt;KKM!$G$10,"A",IF(BC9&gt;KKM!$H$10,"B",IF(BC9&gt;=KKM!$I$10,"C","D")))</f>
        <v>A</v>
      </c>
      <c r="BE9" s="523">
        <f t="shared" si="4"/>
        <v>99</v>
      </c>
      <c r="BF9" s="115" t="str">
        <f>IF(BE9&gt;KKM!$G$10," sangat baik ",IF(BE9&gt;KKM!$H$10," baik ",IF(BE9&gt;=KKM!$I$10," cukup baik "," perlu bimbingan ")))</f>
        <v xml:space="preserve"> sangat baik </v>
      </c>
      <c r="BG9" s="524">
        <f t="shared" si="5"/>
        <v>89</v>
      </c>
      <c r="BH9" s="115" t="str">
        <f>IF(BG9&gt;KKM!$G$10," sangat baik ",IF(BG9&gt;KKM!$H$10," baik ",IF(BG9&gt;=KKM!$I$10," cukup baik "," perlu bimbingan ")))</f>
        <v xml:space="preserve"> baik </v>
      </c>
      <c r="BI9" s="301" t="str">
        <f t="shared" si="16"/>
        <v>Anak 5 sangat baik  dalam menjelaskan dan melakukan penaksiran dari jumlah, selisih, hasil kali, dan hasil bagi dua bilangan cacah maupun pecahan dan desimal, dan  baik  dalam menjelaskan berbagai bentuk pecahan (biasa, campuran, desimal, dan persen) dan hubungan di antaranya</v>
      </c>
      <c r="BJ9" s="306"/>
      <c r="BK9" s="307" t="str">
        <f t="shared" si="6"/>
        <v xml:space="preserve"> sangat baik  dalam menjelaskan dan melakukan penaksiran dari jumlah, selisih, hasil kali, dan hasil bagi dua bilangan cacah maupun pecahan dan desimal</v>
      </c>
      <c r="BL9" s="307" t="str">
        <f t="shared" si="7"/>
        <v xml:space="preserve"> baik  dalam menjelaskan berbagai bentuk pecahan (biasa, campuran, desimal, dan persen) dan hubungan di antaranya</v>
      </c>
      <c r="BM9"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9" s="307" t="str">
        <f t="shared" si="18"/>
        <v xml:space="preserve"> </v>
      </c>
      <c r="BO9"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9" s="301" t="str">
        <f t="shared" si="8"/>
        <v>Anak 5 sangat baik  dalam menjelaskan dan melakukan penaksiran dari jumlah, selisih, hasil kali, dan hasil bagi dua bilangan cacah maupun pecahan dan desimal, dan  baik  dalam menjelaskan berbagai bentuk pecahan (biasa, campuran, desimal, dan persen) dan hubungan di antaranya</v>
      </c>
      <c r="BQ9" s="120"/>
      <c r="BZ9" s="408">
        <f t="shared" si="20"/>
        <v>97</v>
      </c>
      <c r="CC9" s="302">
        <f t="shared" si="21"/>
        <v>92</v>
      </c>
      <c r="CD9" s="303" t="str">
        <f>IF(CC9&gt;KKM!$G$10,"A",IF(CC9&gt;KKM!$H$10,"B",IF(CC9&gt;=KKM!$I$10,"C","D")))</f>
        <v>A</v>
      </c>
      <c r="CE9" s="523">
        <f t="shared" si="22"/>
        <v>99</v>
      </c>
      <c r="CF9" s="115" t="str">
        <f>IF(CE9&gt;KKM!$G$10," sangat baik ",IF(CE9&gt;KKM!$H$10," baik ",IF(CE9&gt;=KKM!$I$10," cukup baik "," perlu bimbingan ")))</f>
        <v xml:space="preserve"> sangat baik </v>
      </c>
      <c r="CG9" s="524">
        <f t="shared" si="23"/>
        <v>79</v>
      </c>
      <c r="CH9" s="115" t="str">
        <f>IF(CG9&gt;KKM!$G$10," sangat baik ",IF(CG9&gt;KKM!$H$10," baik ",IF(CG9&gt;=KKM!$I$10," cukup baik "," perlu bimbingan ")))</f>
        <v xml:space="preserve"> cukup baik </v>
      </c>
      <c r="CI9" s="301" t="str">
        <f t="shared" si="30"/>
        <v>Anak 5 sangat baik  dalam menjelaskan pecahan-pecahan senilai dengan gambar dan model konkret, dan  cukup baik  dalam menjelaskan berbagai bentuk pecahan (biasa, campuran, desimal, dan persen) dan hubungan di antaranya</v>
      </c>
      <c r="CJ9" s="307" t="str">
        <f t="shared" si="24"/>
        <v xml:space="preserve"> sangat baik  dalam menjelaskan pecahan-pecahan senilai dengan gambar dan model konkret</v>
      </c>
      <c r="CK9" s="307" t="str">
        <f t="shared" si="25"/>
        <v xml:space="preserve"> cukup baik  dalam menjelaskan berbagai bentuk pecahan (biasa, campuran, desimal, dan persen) dan hubungan di antaranya</v>
      </c>
      <c r="CL9" s="307" t="str">
        <f t="shared" si="26"/>
        <v xml:space="preserve"> sangat baik  dalam menjelaskan pecahan-pecahan senilai dengan gambar dan model konkret, dan  cukup baik  dalam menjelaskan berbagai bentuk pecahan (biasa, campuran, desimal, dan persen) dan hubungan di antaranya</v>
      </c>
      <c r="CM9" s="307" t="str">
        <f t="shared" si="27"/>
        <v xml:space="preserve"> </v>
      </c>
      <c r="CN9" s="308" t="str">
        <f t="shared" si="28"/>
        <v xml:space="preserve"> sangat baik  dalam menjelaskan pecahan-pecahan senilai dengan gambar dan model konkret, dan  cukup baik  dalam menjelaskan berbagai bentuk pecahan (biasa, campuran, desimal, dan persen) dan hubungan di antaranya</v>
      </c>
      <c r="CO9" s="301" t="str">
        <f t="shared" si="29"/>
        <v>Anak 5 sangat baik  dalam menjelaskan pecahan-pecahan senilai dengan gambar dan model konkret, dan  cukup baik  dalam menjelaskan berbagai bentuk pecahan (biasa, campuran, desimal, dan persen) dan hubungan di antaranya</v>
      </c>
    </row>
    <row r="10" spans="1:94" ht="33.75" customHeight="1">
      <c r="B10" s="109">
        <v>6</v>
      </c>
      <c r="C10" s="110">
        <f>SISWA!B11</f>
        <v>0</v>
      </c>
      <c r="D10" s="111" t="str">
        <f>SISWA!E11</f>
        <v>Anak 6</v>
      </c>
      <c r="E10" s="631">
        <v>99</v>
      </c>
      <c r="F10" s="631">
        <v>99</v>
      </c>
      <c r="G10" s="631">
        <v>99</v>
      </c>
      <c r="H10" s="631">
        <v>99</v>
      </c>
      <c r="I10" s="631">
        <v>99</v>
      </c>
      <c r="J10" s="631">
        <v>99</v>
      </c>
      <c r="K10" s="613">
        <v>99</v>
      </c>
      <c r="L10" s="613"/>
      <c r="M10" s="613"/>
      <c r="N10" s="630"/>
      <c r="O10" s="630"/>
      <c r="P10" s="630"/>
      <c r="Q10" s="630"/>
      <c r="R10" s="630"/>
      <c r="S10" s="630"/>
      <c r="T10" s="630"/>
      <c r="U10" s="613"/>
      <c r="V10" s="610"/>
      <c r="W10" s="631">
        <v>99</v>
      </c>
      <c r="X10" s="613">
        <v>79</v>
      </c>
      <c r="Y10" s="631">
        <v>99</v>
      </c>
      <c r="Z10" s="631"/>
      <c r="AA10" s="631"/>
      <c r="AB10" s="631"/>
      <c r="AC10" s="609"/>
      <c r="AD10" s="610"/>
      <c r="AE10" s="613">
        <v>79</v>
      </c>
      <c r="AF10" s="613">
        <v>68.5</v>
      </c>
      <c r="AG10" s="613"/>
      <c r="AH10" s="613"/>
      <c r="AI10" s="613"/>
      <c r="AJ10" s="613"/>
      <c r="AK10" s="613"/>
      <c r="AL10" s="518"/>
      <c r="AM10" s="607">
        <f t="shared" si="9"/>
        <v>94</v>
      </c>
      <c r="AN10" s="607">
        <f t="shared" si="10"/>
        <v>86.375</v>
      </c>
      <c r="AO10" s="607">
        <f t="shared" si="11"/>
        <v>99</v>
      </c>
      <c r="AP10" s="607">
        <f t="shared" si="12"/>
        <v>99</v>
      </c>
      <c r="AQ10" s="607">
        <f t="shared" si="13"/>
        <v>99</v>
      </c>
      <c r="AR10" s="607">
        <f t="shared" si="14"/>
        <v>99</v>
      </c>
      <c r="AS10" s="607">
        <f t="shared" si="15"/>
        <v>99</v>
      </c>
      <c r="AT10" s="607"/>
      <c r="AU10" s="607"/>
      <c r="AV10" s="607"/>
      <c r="AW10" s="607"/>
      <c r="AX10" s="607"/>
      <c r="AY10" s="607"/>
      <c r="AZ10" s="607"/>
      <c r="BA10" s="607"/>
      <c r="BB10" s="607"/>
      <c r="BC10" s="302">
        <f t="shared" si="3"/>
        <v>96</v>
      </c>
      <c r="BD10" s="303" t="str">
        <f>IF(BC10&gt;KKM!$G$10,"A",IF(BC10&gt;KKM!$H$10,"B",IF(BC10&gt;=KKM!$I$10,"C","D")))</f>
        <v>A</v>
      </c>
      <c r="BE10" s="523">
        <f t="shared" si="4"/>
        <v>99</v>
      </c>
      <c r="BF10" s="115" t="str">
        <f>IF(BE10&gt;KKM!$G$10," sangat baik ",IF(BE10&gt;KKM!$H$10," baik ",IF(BE10&gt;=KKM!$I$10," cukup baik "," perlu bimbingan ")))</f>
        <v xml:space="preserve"> sangat baik </v>
      </c>
      <c r="BG10" s="524">
        <f t="shared" si="5"/>
        <v>86.375</v>
      </c>
      <c r="BH10" s="115" t="str">
        <f>IF(BG10&gt;KKM!$G$10," sangat baik ",IF(BG10&gt;KKM!$H$10," baik ",IF(BG10&gt;=KKM!$I$10," cukup baik "," perlu bimbingan ")))</f>
        <v xml:space="preserve"> baik </v>
      </c>
      <c r="BI10" s="301" t="str">
        <f t="shared" si="16"/>
        <v>Anak 6 sangat baik  dalam menjelaskan dan melakukan penaksiran dari jumlah, selisih, hasil kali, dan hasil bagi dua bilangan cacah maupun pecahan dan desimal, dan  baik  dalam menjelaskan berbagai bentuk pecahan (biasa, campuran, desimal, dan persen) dan hubungan di antaranya</v>
      </c>
      <c r="BJ10" s="306"/>
      <c r="BK10" s="307" t="str">
        <f t="shared" si="6"/>
        <v xml:space="preserve"> sangat baik  dalam menjelaskan dan melakukan penaksiran dari jumlah, selisih, hasil kali, dan hasil bagi dua bilangan cacah maupun pecahan dan desimal</v>
      </c>
      <c r="BL10" s="307" t="str">
        <f t="shared" si="7"/>
        <v xml:space="preserve"> baik  dalam menjelaskan berbagai bentuk pecahan (biasa, campuran, desimal, dan persen) dan hubungan di antaranya</v>
      </c>
      <c r="BM10"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0" s="307" t="str">
        <f t="shared" si="18"/>
        <v xml:space="preserve"> </v>
      </c>
      <c r="BO10"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0" s="301" t="str">
        <f t="shared" si="8"/>
        <v>Anak 6 sangat baik  dalam menjelaskan dan melakukan penaksiran dari jumlah, selisih, hasil kali, dan hasil bagi dua bilangan cacah maupun pecahan dan desimal, dan  baik  dalam menjelaskan berbagai bentuk pecahan (biasa, campuran, desimal, dan persen) dan hubungan di antaranya</v>
      </c>
      <c r="BQ10" s="120"/>
      <c r="BZ10" s="408">
        <f t="shared" si="20"/>
        <v>96</v>
      </c>
      <c r="CC10" s="302">
        <f t="shared" si="21"/>
        <v>92</v>
      </c>
      <c r="CD10" s="303" t="str">
        <f>IF(CC10&gt;KKM!$G$10,"A",IF(CC10&gt;KKM!$H$10,"B",IF(CC10&gt;=KKM!$I$10,"C","D")))</f>
        <v>A</v>
      </c>
      <c r="CE10" s="523">
        <f t="shared" si="22"/>
        <v>99</v>
      </c>
      <c r="CF10" s="115" t="str">
        <f>IF(CE10&gt;KKM!$G$10," sangat baik ",IF(CE10&gt;KKM!$H$10," baik ",IF(CE10&gt;=KKM!$I$10," cukup baik "," perlu bimbingan ")))</f>
        <v xml:space="preserve"> sangat baik </v>
      </c>
      <c r="CG10" s="524">
        <f t="shared" si="23"/>
        <v>79</v>
      </c>
      <c r="CH10" s="115" t="str">
        <f>IF(CG10&gt;KKM!$G$10," sangat baik ",IF(CG10&gt;KKM!$H$10," baik ",IF(CG10&gt;=KKM!$I$10," cukup baik "," perlu bimbingan ")))</f>
        <v xml:space="preserve"> cukup baik </v>
      </c>
      <c r="CI10" s="301" t="str">
        <f t="shared" si="30"/>
        <v>Anak 6 sangat baik  dalam menjelaskan pecahan-pecahan senilai dengan gambar dan model konkret, dan  cukup baik  dalam menjelaskan berbagai bentuk pecahan (biasa, campuran, desimal, dan persen) dan hubungan di antaranya</v>
      </c>
      <c r="CJ10" s="307" t="str">
        <f t="shared" si="24"/>
        <v xml:space="preserve"> sangat baik  dalam menjelaskan pecahan-pecahan senilai dengan gambar dan model konkret</v>
      </c>
      <c r="CK10" s="307" t="str">
        <f t="shared" si="25"/>
        <v xml:space="preserve"> cukup baik  dalam menjelaskan berbagai bentuk pecahan (biasa, campuran, desimal, dan persen) dan hubungan di antaranya</v>
      </c>
      <c r="CL10" s="307" t="str">
        <f t="shared" si="26"/>
        <v xml:space="preserve"> sangat baik  dalam menjelaskan pecahan-pecahan senilai dengan gambar dan model konkret, dan  cukup baik  dalam menjelaskan berbagai bentuk pecahan (biasa, campuran, desimal, dan persen) dan hubungan di antaranya</v>
      </c>
      <c r="CM10" s="307" t="str">
        <f t="shared" si="27"/>
        <v xml:space="preserve"> </v>
      </c>
      <c r="CN10" s="308" t="str">
        <f t="shared" si="28"/>
        <v xml:space="preserve"> sangat baik  dalam menjelaskan pecahan-pecahan senilai dengan gambar dan model konkret, dan  cukup baik  dalam menjelaskan berbagai bentuk pecahan (biasa, campuran, desimal, dan persen) dan hubungan di antaranya</v>
      </c>
      <c r="CO10" s="301" t="str">
        <f t="shared" si="29"/>
        <v>Anak 6 sangat baik  dalam menjelaskan pecahan-pecahan senilai dengan gambar dan model konkret, dan  cukup baik  dalam menjelaskan berbagai bentuk pecahan (biasa, campuran, desimal, dan persen) dan hubungan di antaranya</v>
      </c>
    </row>
    <row r="11" spans="1:94" ht="33.75" customHeight="1">
      <c r="B11" s="109">
        <v>7</v>
      </c>
      <c r="C11" s="110">
        <f>SISWA!B12</f>
        <v>0</v>
      </c>
      <c r="D11" s="111" t="str">
        <f>SISWA!E12</f>
        <v>Anak 7</v>
      </c>
      <c r="E11" s="631">
        <v>99</v>
      </c>
      <c r="F11" s="631">
        <v>99</v>
      </c>
      <c r="G11" s="631">
        <v>99</v>
      </c>
      <c r="H11" s="631">
        <v>99</v>
      </c>
      <c r="I11" s="631">
        <v>99</v>
      </c>
      <c r="J11" s="631">
        <v>99</v>
      </c>
      <c r="K11" s="613">
        <v>99</v>
      </c>
      <c r="L11" s="613"/>
      <c r="M11" s="613"/>
      <c r="N11" s="630"/>
      <c r="O11" s="630"/>
      <c r="P11" s="630"/>
      <c r="Q11" s="630"/>
      <c r="R11" s="630"/>
      <c r="S11" s="630"/>
      <c r="T11" s="630"/>
      <c r="U11" s="613"/>
      <c r="V11" s="610"/>
      <c r="W11" s="631">
        <v>99</v>
      </c>
      <c r="X11" s="613">
        <v>68.5</v>
      </c>
      <c r="Y11" s="631">
        <v>99</v>
      </c>
      <c r="Z11" s="631"/>
      <c r="AA11" s="631"/>
      <c r="AB11" s="631"/>
      <c r="AC11" s="609"/>
      <c r="AD11" s="610"/>
      <c r="AE11" s="613">
        <v>68.5</v>
      </c>
      <c r="AF11" s="613">
        <v>69.5</v>
      </c>
      <c r="AG11" s="613"/>
      <c r="AH11" s="613"/>
      <c r="AI11" s="613"/>
      <c r="AJ11" s="613"/>
      <c r="AK11" s="613"/>
      <c r="AL11" s="518"/>
      <c r="AM11" s="607">
        <f t="shared" si="9"/>
        <v>91.375</v>
      </c>
      <c r="AN11" s="607">
        <f t="shared" si="10"/>
        <v>84</v>
      </c>
      <c r="AO11" s="607">
        <f t="shared" si="11"/>
        <v>99</v>
      </c>
      <c r="AP11" s="607">
        <f t="shared" si="12"/>
        <v>99</v>
      </c>
      <c r="AQ11" s="607">
        <f t="shared" si="13"/>
        <v>99</v>
      </c>
      <c r="AR11" s="607">
        <f t="shared" si="14"/>
        <v>99</v>
      </c>
      <c r="AS11" s="607">
        <f t="shared" si="15"/>
        <v>99</v>
      </c>
      <c r="AT11" s="607"/>
      <c r="AU11" s="607"/>
      <c r="AV11" s="607"/>
      <c r="AW11" s="607"/>
      <c r="AX11" s="607"/>
      <c r="AY11" s="607"/>
      <c r="AZ11" s="607"/>
      <c r="BA11" s="607"/>
      <c r="BB11" s="607"/>
      <c r="BC11" s="302">
        <f t="shared" si="3"/>
        <v>96</v>
      </c>
      <c r="BD11" s="303" t="str">
        <f>IF(BC11&gt;KKM!$G$10,"A",IF(BC11&gt;KKM!$H$10,"B",IF(BC11&gt;=KKM!$I$10,"C","D")))</f>
        <v>A</v>
      </c>
      <c r="BE11" s="523">
        <f t="shared" si="4"/>
        <v>99</v>
      </c>
      <c r="BF11" s="115" t="str">
        <f>IF(BE11&gt;KKM!$G$10," sangat baik ",IF(BE11&gt;KKM!$H$10," baik ",IF(BE11&gt;=KKM!$I$10," cukup baik "," perlu bimbingan ")))</f>
        <v xml:space="preserve"> sangat baik </v>
      </c>
      <c r="BG11" s="524">
        <f t="shared" si="5"/>
        <v>84</v>
      </c>
      <c r="BH11" s="115" t="str">
        <f>IF(BG11&gt;KKM!$G$10," sangat baik ",IF(BG11&gt;KKM!$H$10," baik ",IF(BG11&gt;=KKM!$I$10," cukup baik "," perlu bimbingan ")))</f>
        <v xml:space="preserve"> baik </v>
      </c>
      <c r="BI11" s="301" t="str">
        <f t="shared" si="16"/>
        <v>Anak 7 sangat baik  dalam menjelaskan dan melakukan penaksiran dari jumlah, selisih, hasil kali, dan hasil bagi dua bilangan cacah maupun pecahan dan desimal, dan  baik  dalam menjelaskan berbagai bentuk pecahan (biasa, campuran, desimal, dan persen) dan hubungan di antaranya</v>
      </c>
      <c r="BJ11" s="306"/>
      <c r="BK11" s="307" t="str">
        <f t="shared" si="6"/>
        <v xml:space="preserve"> sangat baik  dalam menjelaskan dan melakukan penaksiran dari jumlah, selisih, hasil kali, dan hasil bagi dua bilangan cacah maupun pecahan dan desimal</v>
      </c>
      <c r="BL11" s="307" t="str">
        <f t="shared" si="7"/>
        <v xml:space="preserve"> baik  dalam menjelaskan berbagai bentuk pecahan (biasa, campuran, desimal, dan persen) dan hubungan di antaranya</v>
      </c>
      <c r="BM11"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1" s="307" t="str">
        <f t="shared" si="18"/>
        <v xml:space="preserve"> </v>
      </c>
      <c r="BO11"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1" s="301" t="str">
        <f t="shared" si="8"/>
        <v>Anak 7 sangat baik  dalam menjelaskan dan melakukan penaksiran dari jumlah, selisih, hasil kali, dan hasil bagi dua bilangan cacah maupun pecahan dan desimal, dan  baik  dalam menjelaskan berbagai bentuk pecahan (biasa, campuran, desimal, dan persen) dan hubungan di antaranya</v>
      </c>
      <c r="BQ11" s="120"/>
      <c r="BZ11" s="408">
        <f t="shared" si="20"/>
        <v>96</v>
      </c>
      <c r="CC11" s="302">
        <f t="shared" si="21"/>
        <v>89</v>
      </c>
      <c r="CD11" s="303" t="str">
        <f>IF(CC11&gt;KKM!$G$10,"A",IF(CC11&gt;KKM!$H$10,"B",IF(CC11&gt;=KKM!$I$10,"C","D")))</f>
        <v>B</v>
      </c>
      <c r="CE11" s="523">
        <f t="shared" si="22"/>
        <v>99</v>
      </c>
      <c r="CF11" s="115" t="str">
        <f>IF(CE11&gt;KKM!$G$10," sangat baik ",IF(CE11&gt;KKM!$H$10," baik ",IF(CE11&gt;=KKM!$I$10," cukup baik "," perlu bimbingan ")))</f>
        <v xml:space="preserve"> sangat baik </v>
      </c>
      <c r="CG11" s="524">
        <f t="shared" si="23"/>
        <v>68.5</v>
      </c>
      <c r="CH11" s="115" t="str">
        <f>IF(CG11&gt;KKM!$G$10," sangat baik ",IF(CG11&gt;KKM!$H$10," baik ",IF(CG11&gt;=KKM!$I$10," cukup baik "," perlu bimbingan ")))</f>
        <v xml:space="preserve"> perlu bimbingan </v>
      </c>
      <c r="CI11" s="301" t="str">
        <f t="shared" si="30"/>
        <v>Anak 7 sangat baik  dalam menjelaskan pecahan-pecahan senilai dengan gambar dan model konkret, dan  perlu bimbingan  dalam menjelaskan berbagai bentuk pecahan (biasa, campuran, desimal, dan persen) dan hubungan di antaranya</v>
      </c>
      <c r="CJ11" s="307" t="str">
        <f t="shared" si="24"/>
        <v xml:space="preserve"> sangat baik  dalam menjelaskan pecahan-pecahan senilai dengan gambar dan model konkret</v>
      </c>
      <c r="CK11" s="307" t="str">
        <f t="shared" si="25"/>
        <v xml:space="preserve"> perlu bimbingan  dalam menjelaskan berbagai bentuk pecahan (biasa, campuran, desimal, dan persen) dan hubungan di antaranya</v>
      </c>
      <c r="CL11" s="307" t="str">
        <f t="shared" si="26"/>
        <v xml:space="preserve"> sangat baik  dalam menjelaskan pecahan-pecahan senilai dengan gambar dan model konkret, dan  perlu bimbingan  dalam menjelaskan berbagai bentuk pecahan (biasa, campuran, desimal, dan persen) dan hubungan di antaranya</v>
      </c>
      <c r="CM11" s="307" t="str">
        <f t="shared" si="27"/>
        <v xml:space="preserve"> </v>
      </c>
      <c r="CN11" s="308" t="str">
        <f t="shared" si="28"/>
        <v xml:space="preserve"> sangat baik  dalam menjelaskan pecahan-pecahan senilai dengan gambar dan model konkret, dan  perlu bimbingan  dalam menjelaskan berbagai bentuk pecahan (biasa, campuran, desimal, dan persen) dan hubungan di antaranya</v>
      </c>
      <c r="CO11" s="301" t="str">
        <f t="shared" si="29"/>
        <v>Anak 7 sangat baik  dalam menjelaskan pecahan-pecahan senilai dengan gambar dan model konkret, dan  perlu bimbingan  dalam menjelaskan berbagai bentuk pecahan (biasa, campuran, desimal, dan persen) dan hubungan di antaranya</v>
      </c>
    </row>
    <row r="12" spans="1:94" ht="33.75" customHeight="1">
      <c r="B12" s="109">
        <v>8</v>
      </c>
      <c r="C12" s="110">
        <f>SISWA!B13</f>
        <v>0</v>
      </c>
      <c r="D12" s="111" t="str">
        <f>SISWA!E13</f>
        <v>Anak 8</v>
      </c>
      <c r="E12" s="631">
        <v>99</v>
      </c>
      <c r="F12" s="631">
        <v>99</v>
      </c>
      <c r="G12" s="631">
        <v>99</v>
      </c>
      <c r="H12" s="631">
        <v>99</v>
      </c>
      <c r="I12" s="631">
        <v>99</v>
      </c>
      <c r="J12" s="631">
        <v>99</v>
      </c>
      <c r="K12" s="613">
        <v>99</v>
      </c>
      <c r="L12" s="613"/>
      <c r="M12" s="613"/>
      <c r="N12" s="630"/>
      <c r="O12" s="630"/>
      <c r="P12" s="630"/>
      <c r="Q12" s="630"/>
      <c r="R12" s="630"/>
      <c r="S12" s="630"/>
      <c r="T12" s="630"/>
      <c r="U12" s="613"/>
      <c r="V12" s="610"/>
      <c r="W12" s="631">
        <v>99</v>
      </c>
      <c r="X12" s="613">
        <v>69.5</v>
      </c>
      <c r="Y12" s="631">
        <v>99</v>
      </c>
      <c r="Z12" s="631"/>
      <c r="AA12" s="631"/>
      <c r="AB12" s="631"/>
      <c r="AC12" s="609"/>
      <c r="AD12" s="610"/>
      <c r="AE12" s="613">
        <v>69.5</v>
      </c>
      <c r="AF12" s="613">
        <v>80</v>
      </c>
      <c r="AG12" s="613"/>
      <c r="AH12" s="613"/>
      <c r="AI12" s="613"/>
      <c r="AJ12" s="613"/>
      <c r="AK12" s="613"/>
      <c r="AL12" s="518"/>
      <c r="AM12" s="607">
        <f t="shared" si="9"/>
        <v>91.625</v>
      </c>
      <c r="AN12" s="607">
        <f t="shared" si="10"/>
        <v>86.875</v>
      </c>
      <c r="AO12" s="607">
        <f t="shared" si="11"/>
        <v>99</v>
      </c>
      <c r="AP12" s="607">
        <f t="shared" si="12"/>
        <v>99</v>
      </c>
      <c r="AQ12" s="607">
        <f t="shared" si="13"/>
        <v>99</v>
      </c>
      <c r="AR12" s="607">
        <f t="shared" si="14"/>
        <v>99</v>
      </c>
      <c r="AS12" s="607">
        <f t="shared" si="15"/>
        <v>99</v>
      </c>
      <c r="AT12" s="607"/>
      <c r="AU12" s="607"/>
      <c r="AV12" s="607"/>
      <c r="AW12" s="607"/>
      <c r="AX12" s="607"/>
      <c r="AY12" s="607"/>
      <c r="AZ12" s="607"/>
      <c r="BA12" s="607"/>
      <c r="BB12" s="607"/>
      <c r="BC12" s="302">
        <f t="shared" si="3"/>
        <v>96</v>
      </c>
      <c r="BD12" s="303" t="str">
        <f>IF(BC12&gt;KKM!$G$10,"A",IF(BC12&gt;KKM!$H$10,"B",IF(BC12&gt;=KKM!$I$10,"C","D")))</f>
        <v>A</v>
      </c>
      <c r="BE12" s="523">
        <f t="shared" si="4"/>
        <v>99</v>
      </c>
      <c r="BF12" s="115" t="str">
        <f>IF(BE12&gt;KKM!$G$10," sangat baik ",IF(BE12&gt;KKM!$H$10," baik ",IF(BE12&gt;=KKM!$I$10," cukup baik "," perlu bimbingan ")))</f>
        <v xml:space="preserve"> sangat baik </v>
      </c>
      <c r="BG12" s="524">
        <f t="shared" si="5"/>
        <v>86.875</v>
      </c>
      <c r="BH12" s="115" t="str">
        <f>IF(BG12&gt;KKM!$G$10," sangat baik ",IF(BG12&gt;KKM!$H$10," baik ",IF(BG12&gt;=KKM!$I$10," cukup baik "," perlu bimbingan ")))</f>
        <v xml:space="preserve"> baik </v>
      </c>
      <c r="BI12" s="301" t="str">
        <f t="shared" si="16"/>
        <v>Anak 8 sangat baik  dalam menjelaskan dan melakukan penaksiran dari jumlah, selisih, hasil kali, dan hasil bagi dua bilangan cacah maupun pecahan dan desimal, dan  baik  dalam menjelaskan berbagai bentuk pecahan (biasa, campuran, desimal, dan persen) dan hubungan di antaranya</v>
      </c>
      <c r="BJ12" s="306"/>
      <c r="BK12" s="307" t="str">
        <f t="shared" si="6"/>
        <v xml:space="preserve"> sangat baik  dalam menjelaskan dan melakukan penaksiran dari jumlah, selisih, hasil kali, dan hasil bagi dua bilangan cacah maupun pecahan dan desimal</v>
      </c>
      <c r="BL12" s="307" t="str">
        <f t="shared" si="7"/>
        <v xml:space="preserve"> baik  dalam menjelaskan berbagai bentuk pecahan (biasa, campuran, desimal, dan persen) dan hubungan di antaranya</v>
      </c>
      <c r="BM12"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2" s="307" t="str">
        <f t="shared" si="18"/>
        <v xml:space="preserve"> </v>
      </c>
      <c r="BO12"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2" s="301" t="str">
        <f t="shared" si="8"/>
        <v>Anak 8 sangat baik  dalam menjelaskan dan melakukan penaksiran dari jumlah, selisih, hasil kali, dan hasil bagi dua bilangan cacah maupun pecahan dan desimal, dan  baik  dalam menjelaskan berbagai bentuk pecahan (biasa, campuran, desimal, dan persen) dan hubungan di antaranya</v>
      </c>
      <c r="BQ12" s="120"/>
      <c r="BZ12" s="408">
        <f t="shared" si="20"/>
        <v>96</v>
      </c>
      <c r="CC12" s="302">
        <f t="shared" si="21"/>
        <v>89</v>
      </c>
      <c r="CD12" s="303" t="str">
        <f>IF(CC12&gt;KKM!$G$10,"A",IF(CC12&gt;KKM!$H$10,"B",IF(CC12&gt;=KKM!$I$10,"C","D")))</f>
        <v>B</v>
      </c>
      <c r="CE12" s="523">
        <f t="shared" si="22"/>
        <v>99</v>
      </c>
      <c r="CF12" s="115" t="str">
        <f>IF(CE12&gt;KKM!$G$10," sangat baik ",IF(CE12&gt;KKM!$H$10," baik ",IF(CE12&gt;=KKM!$I$10," cukup baik "," perlu bimbingan ")))</f>
        <v xml:space="preserve"> sangat baik </v>
      </c>
      <c r="CG12" s="524">
        <f t="shared" si="23"/>
        <v>69.5</v>
      </c>
      <c r="CH12" s="115" t="str">
        <f>IF(CG12&gt;KKM!$G$10," sangat baik ",IF(CG12&gt;KKM!$H$10," baik ",IF(CG12&gt;=KKM!$I$10," cukup baik "," perlu bimbingan ")))</f>
        <v xml:space="preserve"> perlu bimbingan </v>
      </c>
      <c r="CI12" s="301" t="str">
        <f t="shared" si="30"/>
        <v>Anak 8 sangat baik  dalam menjelaskan pecahan-pecahan senilai dengan gambar dan model konkret, dan  perlu bimbingan  dalam menjelaskan berbagai bentuk pecahan (biasa, campuran, desimal, dan persen) dan hubungan di antaranya</v>
      </c>
      <c r="CJ12" s="307" t="str">
        <f t="shared" si="24"/>
        <v xml:space="preserve"> sangat baik  dalam menjelaskan pecahan-pecahan senilai dengan gambar dan model konkret</v>
      </c>
      <c r="CK12" s="307" t="str">
        <f t="shared" si="25"/>
        <v xml:space="preserve"> perlu bimbingan  dalam menjelaskan berbagai bentuk pecahan (biasa, campuran, desimal, dan persen) dan hubungan di antaranya</v>
      </c>
      <c r="CL12" s="307" t="str">
        <f t="shared" si="26"/>
        <v xml:space="preserve"> sangat baik  dalam menjelaskan pecahan-pecahan senilai dengan gambar dan model konkret, dan  perlu bimbingan  dalam menjelaskan berbagai bentuk pecahan (biasa, campuran, desimal, dan persen) dan hubungan di antaranya</v>
      </c>
      <c r="CM12" s="307" t="str">
        <f t="shared" si="27"/>
        <v xml:space="preserve"> </v>
      </c>
      <c r="CN12" s="308" t="str">
        <f t="shared" si="28"/>
        <v xml:space="preserve"> sangat baik  dalam menjelaskan pecahan-pecahan senilai dengan gambar dan model konkret, dan  perlu bimbingan  dalam menjelaskan berbagai bentuk pecahan (biasa, campuran, desimal, dan persen) dan hubungan di antaranya</v>
      </c>
      <c r="CO12" s="301" t="str">
        <f t="shared" si="29"/>
        <v>Anak 8 sangat baik  dalam menjelaskan pecahan-pecahan senilai dengan gambar dan model konkret, dan  perlu bimbingan  dalam menjelaskan berbagai bentuk pecahan (biasa, campuran, desimal, dan persen) dan hubungan di antaranya</v>
      </c>
    </row>
    <row r="13" spans="1:94" ht="33.75" customHeight="1">
      <c r="B13" s="109">
        <v>9</v>
      </c>
      <c r="C13" s="110">
        <f>SISWA!B14</f>
        <v>0</v>
      </c>
      <c r="D13" s="111" t="str">
        <f>SISWA!E14</f>
        <v>Anak 9</v>
      </c>
      <c r="E13" s="631">
        <v>99</v>
      </c>
      <c r="F13" s="631">
        <v>99</v>
      </c>
      <c r="G13" s="631">
        <v>99</v>
      </c>
      <c r="H13" s="631">
        <v>99</v>
      </c>
      <c r="I13" s="631">
        <v>99</v>
      </c>
      <c r="J13" s="631">
        <v>99</v>
      </c>
      <c r="K13" s="613">
        <v>99</v>
      </c>
      <c r="L13" s="613"/>
      <c r="M13" s="613"/>
      <c r="N13" s="630"/>
      <c r="O13" s="630"/>
      <c r="P13" s="630"/>
      <c r="Q13" s="630"/>
      <c r="R13" s="630"/>
      <c r="S13" s="630"/>
      <c r="T13" s="630"/>
      <c r="U13" s="613"/>
      <c r="V13" s="610"/>
      <c r="W13" s="631">
        <v>99</v>
      </c>
      <c r="X13" s="613">
        <v>80</v>
      </c>
      <c r="Y13" s="631">
        <v>99</v>
      </c>
      <c r="Z13" s="631"/>
      <c r="AA13" s="631"/>
      <c r="AB13" s="631"/>
      <c r="AC13" s="609"/>
      <c r="AD13" s="610"/>
      <c r="AE13" s="613">
        <v>80</v>
      </c>
      <c r="AF13" s="613">
        <v>68.5</v>
      </c>
      <c r="AG13" s="613"/>
      <c r="AH13" s="613"/>
      <c r="AI13" s="613"/>
      <c r="AJ13" s="613"/>
      <c r="AK13" s="613"/>
      <c r="AL13" s="518"/>
      <c r="AM13" s="607">
        <f t="shared" si="9"/>
        <v>94.25</v>
      </c>
      <c r="AN13" s="607">
        <f t="shared" si="10"/>
        <v>86.625</v>
      </c>
      <c r="AO13" s="607">
        <f t="shared" si="11"/>
        <v>99</v>
      </c>
      <c r="AP13" s="607">
        <f t="shared" si="12"/>
        <v>99</v>
      </c>
      <c r="AQ13" s="607">
        <f t="shared" si="13"/>
        <v>99</v>
      </c>
      <c r="AR13" s="607">
        <f t="shared" si="14"/>
        <v>99</v>
      </c>
      <c r="AS13" s="607">
        <f t="shared" si="15"/>
        <v>99</v>
      </c>
      <c r="AT13" s="607"/>
      <c r="AU13" s="607"/>
      <c r="AV13" s="607"/>
      <c r="AW13" s="607"/>
      <c r="AX13" s="607"/>
      <c r="AY13" s="607"/>
      <c r="AZ13" s="607"/>
      <c r="BA13" s="607"/>
      <c r="BB13" s="607"/>
      <c r="BC13" s="302">
        <f t="shared" si="3"/>
        <v>97</v>
      </c>
      <c r="BD13" s="303" t="str">
        <f>IF(BC13&gt;KKM!$G$10,"A",IF(BC13&gt;KKM!$H$10,"B",IF(BC13&gt;=KKM!$I$10,"C","D")))</f>
        <v>A</v>
      </c>
      <c r="BE13" s="523">
        <f t="shared" si="4"/>
        <v>99</v>
      </c>
      <c r="BF13" s="115" t="str">
        <f>IF(BE13&gt;KKM!$G$10," sangat baik ",IF(BE13&gt;KKM!$H$10," baik ",IF(BE13&gt;=KKM!$I$10," cukup baik "," perlu bimbingan ")))</f>
        <v xml:space="preserve"> sangat baik </v>
      </c>
      <c r="BG13" s="524">
        <f t="shared" si="5"/>
        <v>86.625</v>
      </c>
      <c r="BH13" s="115" t="str">
        <f>IF(BG13&gt;KKM!$G$10," sangat baik ",IF(BG13&gt;KKM!$H$10," baik ",IF(BG13&gt;=KKM!$I$10," cukup baik "," perlu bimbingan ")))</f>
        <v xml:space="preserve"> baik </v>
      </c>
      <c r="BI13" s="301" t="str">
        <f t="shared" si="16"/>
        <v>Anak 9 sangat baik  dalam menjelaskan dan melakukan penaksiran dari jumlah, selisih, hasil kali, dan hasil bagi dua bilangan cacah maupun pecahan dan desimal, dan  baik  dalam menjelaskan berbagai bentuk pecahan (biasa, campuran, desimal, dan persen) dan hubungan di antaranya</v>
      </c>
      <c r="BJ13" s="306"/>
      <c r="BK13" s="307" t="str">
        <f t="shared" si="6"/>
        <v xml:space="preserve"> sangat baik  dalam menjelaskan dan melakukan penaksiran dari jumlah, selisih, hasil kali, dan hasil bagi dua bilangan cacah maupun pecahan dan desimal</v>
      </c>
      <c r="BL13" s="307" t="str">
        <f t="shared" si="7"/>
        <v xml:space="preserve"> baik  dalam menjelaskan berbagai bentuk pecahan (biasa, campuran, desimal, dan persen) dan hubungan di antaranya</v>
      </c>
      <c r="BM13"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3" s="307" t="str">
        <f t="shared" si="18"/>
        <v xml:space="preserve"> </v>
      </c>
      <c r="BO13"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3" s="301" t="str">
        <f t="shared" si="8"/>
        <v>Anak 9 sangat baik  dalam menjelaskan dan melakukan penaksiran dari jumlah, selisih, hasil kali, dan hasil bagi dua bilangan cacah maupun pecahan dan desimal, dan  baik  dalam menjelaskan berbagai bentuk pecahan (biasa, campuran, desimal, dan persen) dan hubungan di antaranya</v>
      </c>
      <c r="BQ13" s="120"/>
      <c r="BZ13" s="408">
        <f t="shared" si="20"/>
        <v>97</v>
      </c>
      <c r="CC13" s="302">
        <f t="shared" si="21"/>
        <v>93</v>
      </c>
      <c r="CD13" s="303" t="str">
        <f>IF(CC13&gt;KKM!$G$10,"A",IF(CC13&gt;KKM!$H$10,"B",IF(CC13&gt;=KKM!$I$10,"C","D")))</f>
        <v>A</v>
      </c>
      <c r="CE13" s="523">
        <f t="shared" si="22"/>
        <v>99</v>
      </c>
      <c r="CF13" s="115" t="str">
        <f>IF(CE13&gt;KKM!$G$10," sangat baik ",IF(CE13&gt;KKM!$H$10," baik ",IF(CE13&gt;=KKM!$I$10," cukup baik "," perlu bimbingan ")))</f>
        <v xml:space="preserve"> sangat baik </v>
      </c>
      <c r="CG13" s="524">
        <f t="shared" si="23"/>
        <v>80</v>
      </c>
      <c r="CH13" s="115" t="str">
        <f>IF(CG13&gt;KKM!$G$10," sangat baik ",IF(CG13&gt;KKM!$H$10," baik ",IF(CG13&gt;=KKM!$I$10," cukup baik "," perlu bimbingan ")))</f>
        <v xml:space="preserve"> cukup baik </v>
      </c>
      <c r="CI13" s="301" t="str">
        <f t="shared" si="30"/>
        <v>Anak 9 sangat baik  dalam menjelaskan pecahan-pecahan senilai dengan gambar dan model konkret, dan  cukup baik  dalam menjelaskan berbagai bentuk pecahan (biasa, campuran, desimal, dan persen) dan hubungan di antaranya</v>
      </c>
      <c r="CJ13" s="307" t="str">
        <f t="shared" si="24"/>
        <v xml:space="preserve"> sangat baik  dalam menjelaskan pecahan-pecahan senilai dengan gambar dan model konkret</v>
      </c>
      <c r="CK13" s="307" t="str">
        <f t="shared" si="25"/>
        <v xml:space="preserve"> cukup baik  dalam menjelaskan berbagai bentuk pecahan (biasa, campuran, desimal, dan persen) dan hubungan di antaranya</v>
      </c>
      <c r="CL13" s="307" t="str">
        <f t="shared" si="26"/>
        <v xml:space="preserve"> sangat baik  dalam menjelaskan pecahan-pecahan senilai dengan gambar dan model konkret, dan  cukup baik  dalam menjelaskan berbagai bentuk pecahan (biasa, campuran, desimal, dan persen) dan hubungan di antaranya</v>
      </c>
      <c r="CM13" s="307" t="str">
        <f t="shared" si="27"/>
        <v xml:space="preserve"> </v>
      </c>
      <c r="CN13" s="308" t="str">
        <f t="shared" si="28"/>
        <v xml:space="preserve"> sangat baik  dalam menjelaskan pecahan-pecahan senilai dengan gambar dan model konkret, dan  cukup baik  dalam menjelaskan berbagai bentuk pecahan (biasa, campuran, desimal, dan persen) dan hubungan di antaranya</v>
      </c>
      <c r="CO13" s="301" t="str">
        <f t="shared" si="29"/>
        <v>Anak 9 sangat baik  dalam menjelaskan pecahan-pecahan senilai dengan gambar dan model konkret, dan  cukup baik  dalam menjelaskan berbagai bentuk pecahan (biasa, campuran, desimal, dan persen) dan hubungan di antaranya</v>
      </c>
    </row>
    <row r="14" spans="1:94" ht="33.75" customHeight="1">
      <c r="B14" s="109">
        <v>10</v>
      </c>
      <c r="C14" s="110">
        <f>SISWA!B15</f>
        <v>0</v>
      </c>
      <c r="D14" s="111" t="str">
        <f>SISWA!E15</f>
        <v>Anak 10</v>
      </c>
      <c r="E14" s="631">
        <v>99</v>
      </c>
      <c r="F14" s="631">
        <v>99</v>
      </c>
      <c r="G14" s="631">
        <v>99</v>
      </c>
      <c r="H14" s="631">
        <v>99</v>
      </c>
      <c r="I14" s="631">
        <v>99</v>
      </c>
      <c r="J14" s="631">
        <v>99</v>
      </c>
      <c r="K14" s="613">
        <v>99</v>
      </c>
      <c r="L14" s="613"/>
      <c r="M14" s="613"/>
      <c r="N14" s="630"/>
      <c r="O14" s="630"/>
      <c r="P14" s="630"/>
      <c r="Q14" s="630"/>
      <c r="R14" s="630"/>
      <c r="S14" s="630"/>
      <c r="T14" s="630"/>
      <c r="U14" s="613"/>
      <c r="V14" s="610"/>
      <c r="W14" s="631">
        <v>99</v>
      </c>
      <c r="X14" s="613">
        <v>68.5</v>
      </c>
      <c r="Y14" s="631">
        <v>99</v>
      </c>
      <c r="Z14" s="631"/>
      <c r="AA14" s="631"/>
      <c r="AB14" s="631"/>
      <c r="AC14" s="609"/>
      <c r="AD14" s="610"/>
      <c r="AE14" s="613">
        <v>68.5</v>
      </c>
      <c r="AF14" s="613">
        <v>69.5</v>
      </c>
      <c r="AG14" s="613"/>
      <c r="AH14" s="613"/>
      <c r="AI14" s="613"/>
      <c r="AJ14" s="613"/>
      <c r="AK14" s="613"/>
      <c r="AL14" s="518"/>
      <c r="AM14" s="607">
        <f t="shared" si="9"/>
        <v>91.375</v>
      </c>
      <c r="AN14" s="607">
        <f t="shared" si="10"/>
        <v>84</v>
      </c>
      <c r="AO14" s="607">
        <f t="shared" si="11"/>
        <v>99</v>
      </c>
      <c r="AP14" s="607">
        <f t="shared" si="12"/>
        <v>99</v>
      </c>
      <c r="AQ14" s="607">
        <f t="shared" si="13"/>
        <v>99</v>
      </c>
      <c r="AR14" s="607">
        <f t="shared" si="14"/>
        <v>99</v>
      </c>
      <c r="AS14" s="607">
        <f t="shared" si="15"/>
        <v>99</v>
      </c>
      <c r="AT14" s="607"/>
      <c r="AU14" s="607"/>
      <c r="AV14" s="607"/>
      <c r="AW14" s="607"/>
      <c r="AX14" s="607"/>
      <c r="AY14" s="607"/>
      <c r="AZ14" s="607"/>
      <c r="BA14" s="607"/>
      <c r="BB14" s="607"/>
      <c r="BC14" s="302">
        <f t="shared" si="3"/>
        <v>96</v>
      </c>
      <c r="BD14" s="303" t="str">
        <f>IF(BC14&gt;KKM!$G$10,"A",IF(BC14&gt;KKM!$H$10,"B",IF(BC14&gt;=KKM!$I$10,"C","D")))</f>
        <v>A</v>
      </c>
      <c r="BE14" s="523">
        <f t="shared" si="4"/>
        <v>99</v>
      </c>
      <c r="BF14" s="115" t="str">
        <f>IF(BE14&gt;KKM!$G$10," sangat baik ",IF(BE14&gt;KKM!$H$10," baik ",IF(BE14&gt;=KKM!$I$10," cukup baik "," perlu bimbingan ")))</f>
        <v xml:space="preserve"> sangat baik </v>
      </c>
      <c r="BG14" s="524">
        <f t="shared" si="5"/>
        <v>84</v>
      </c>
      <c r="BH14" s="115" t="str">
        <f>IF(BG14&gt;KKM!$G$10," sangat baik ",IF(BG14&gt;KKM!$H$10," baik ",IF(BG14&gt;=KKM!$I$10," cukup baik "," perlu bimbingan ")))</f>
        <v xml:space="preserve"> baik </v>
      </c>
      <c r="BI14" s="301" t="str">
        <f t="shared" si="16"/>
        <v>Anak 10 sangat baik  dalam menjelaskan dan melakukan penaksiran dari jumlah, selisih, hasil kali, dan hasil bagi dua bilangan cacah maupun pecahan dan desimal, dan  baik  dalam menjelaskan berbagai bentuk pecahan (biasa, campuran, desimal, dan persen) dan hubungan di antaranya</v>
      </c>
      <c r="BJ14" s="306"/>
      <c r="BK14" s="307" t="str">
        <f t="shared" si="6"/>
        <v xml:space="preserve"> sangat baik  dalam menjelaskan dan melakukan penaksiran dari jumlah, selisih, hasil kali, dan hasil bagi dua bilangan cacah maupun pecahan dan desimal</v>
      </c>
      <c r="BL14" s="307" t="str">
        <f t="shared" si="7"/>
        <v xml:space="preserve"> baik  dalam menjelaskan berbagai bentuk pecahan (biasa, campuran, desimal, dan persen) dan hubungan di antaranya</v>
      </c>
      <c r="BM14"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4" s="307" t="str">
        <f t="shared" si="18"/>
        <v xml:space="preserve"> </v>
      </c>
      <c r="BO14"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4" s="301" t="str">
        <f t="shared" si="8"/>
        <v>Anak 10 sangat baik  dalam menjelaskan dan melakukan penaksiran dari jumlah, selisih, hasil kali, dan hasil bagi dua bilangan cacah maupun pecahan dan desimal, dan  baik  dalam menjelaskan berbagai bentuk pecahan (biasa, campuran, desimal, dan persen) dan hubungan di antaranya</v>
      </c>
      <c r="BQ14" s="120"/>
      <c r="BZ14" s="408">
        <f t="shared" si="20"/>
        <v>96</v>
      </c>
      <c r="CC14" s="302">
        <f t="shared" si="21"/>
        <v>89</v>
      </c>
      <c r="CD14" s="303" t="str">
        <f>IF(CC14&gt;KKM!$G$10,"A",IF(CC14&gt;KKM!$H$10,"B",IF(CC14&gt;=KKM!$I$10,"C","D")))</f>
        <v>B</v>
      </c>
      <c r="CE14" s="523">
        <f t="shared" si="22"/>
        <v>99</v>
      </c>
      <c r="CF14" s="115" t="str">
        <f>IF(CE14&gt;KKM!$G$10," sangat baik ",IF(CE14&gt;KKM!$H$10," baik ",IF(CE14&gt;=KKM!$I$10," cukup baik "," perlu bimbingan ")))</f>
        <v xml:space="preserve"> sangat baik </v>
      </c>
      <c r="CG14" s="524">
        <f t="shared" si="23"/>
        <v>68.5</v>
      </c>
      <c r="CH14" s="115" t="str">
        <f>IF(CG14&gt;KKM!$G$10," sangat baik ",IF(CG14&gt;KKM!$H$10," baik ",IF(CG14&gt;=KKM!$I$10," cukup baik "," perlu bimbingan ")))</f>
        <v xml:space="preserve"> perlu bimbingan </v>
      </c>
      <c r="CI14" s="301" t="str">
        <f t="shared" si="30"/>
        <v>Anak 10 sangat baik  dalam menjelaskan pecahan-pecahan senilai dengan gambar dan model konkret, dan  perlu bimbingan  dalam menjelaskan berbagai bentuk pecahan (biasa, campuran, desimal, dan persen) dan hubungan di antaranya</v>
      </c>
      <c r="CJ14" s="307" t="str">
        <f t="shared" si="24"/>
        <v xml:space="preserve"> sangat baik  dalam menjelaskan pecahan-pecahan senilai dengan gambar dan model konkret</v>
      </c>
      <c r="CK14" s="307" t="str">
        <f t="shared" si="25"/>
        <v xml:space="preserve"> perlu bimbingan  dalam menjelaskan berbagai bentuk pecahan (biasa, campuran, desimal, dan persen) dan hubungan di antaranya</v>
      </c>
      <c r="CL14" s="307" t="str">
        <f t="shared" si="26"/>
        <v xml:space="preserve"> sangat baik  dalam menjelaskan pecahan-pecahan senilai dengan gambar dan model konkret, dan  perlu bimbingan  dalam menjelaskan berbagai bentuk pecahan (biasa, campuran, desimal, dan persen) dan hubungan di antaranya</v>
      </c>
      <c r="CM14" s="307" t="str">
        <f t="shared" si="27"/>
        <v xml:space="preserve"> </v>
      </c>
      <c r="CN14" s="308" t="str">
        <f t="shared" si="28"/>
        <v xml:space="preserve"> sangat baik  dalam menjelaskan pecahan-pecahan senilai dengan gambar dan model konkret, dan  perlu bimbingan  dalam menjelaskan berbagai bentuk pecahan (biasa, campuran, desimal, dan persen) dan hubungan di antaranya</v>
      </c>
      <c r="CO14" s="301" t="str">
        <f t="shared" si="29"/>
        <v>Anak 10 sangat baik  dalam menjelaskan pecahan-pecahan senilai dengan gambar dan model konkret, dan  perlu bimbingan  dalam menjelaskan berbagai bentuk pecahan (biasa, campuran, desimal, dan persen) dan hubungan di antaranya</v>
      </c>
    </row>
    <row r="15" spans="1:94" ht="33.75" customHeight="1">
      <c r="B15" s="109">
        <v>11</v>
      </c>
      <c r="C15" s="110">
        <f>SISWA!B16</f>
        <v>0</v>
      </c>
      <c r="D15" s="111" t="str">
        <f>SISWA!E16</f>
        <v>Anak 11</v>
      </c>
      <c r="E15" s="631">
        <v>99</v>
      </c>
      <c r="F15" s="631">
        <v>99</v>
      </c>
      <c r="G15" s="631">
        <v>99</v>
      </c>
      <c r="H15" s="631">
        <v>99</v>
      </c>
      <c r="I15" s="631">
        <v>99</v>
      </c>
      <c r="J15" s="631">
        <v>99</v>
      </c>
      <c r="K15" s="613">
        <v>99</v>
      </c>
      <c r="L15" s="613"/>
      <c r="M15" s="613"/>
      <c r="N15" s="630"/>
      <c r="O15" s="630"/>
      <c r="P15" s="630"/>
      <c r="Q15" s="630"/>
      <c r="R15" s="630"/>
      <c r="S15" s="630"/>
      <c r="T15" s="630"/>
      <c r="U15" s="613"/>
      <c r="V15" s="610"/>
      <c r="W15" s="631">
        <v>99</v>
      </c>
      <c r="X15" s="613">
        <v>69.5</v>
      </c>
      <c r="Y15" s="631">
        <v>99</v>
      </c>
      <c r="Z15" s="631"/>
      <c r="AA15" s="631"/>
      <c r="AB15" s="631"/>
      <c r="AC15" s="609"/>
      <c r="AD15" s="610"/>
      <c r="AE15" s="613">
        <v>69.5</v>
      </c>
      <c r="AF15" s="613">
        <v>70.5</v>
      </c>
      <c r="AG15" s="613"/>
      <c r="AH15" s="613"/>
      <c r="AI15" s="613"/>
      <c r="AJ15" s="613"/>
      <c r="AK15" s="613"/>
      <c r="AL15" s="518"/>
      <c r="AM15" s="607">
        <f t="shared" si="9"/>
        <v>91.625</v>
      </c>
      <c r="AN15" s="607">
        <f t="shared" si="10"/>
        <v>84.5</v>
      </c>
      <c r="AO15" s="607">
        <f t="shared" si="11"/>
        <v>99</v>
      </c>
      <c r="AP15" s="607">
        <f t="shared" si="12"/>
        <v>99</v>
      </c>
      <c r="AQ15" s="607">
        <f t="shared" si="13"/>
        <v>99</v>
      </c>
      <c r="AR15" s="607">
        <f t="shared" si="14"/>
        <v>99</v>
      </c>
      <c r="AS15" s="607">
        <f t="shared" si="15"/>
        <v>99</v>
      </c>
      <c r="AT15" s="607"/>
      <c r="AU15" s="607"/>
      <c r="AV15" s="607"/>
      <c r="AW15" s="607"/>
      <c r="AX15" s="607"/>
      <c r="AY15" s="607"/>
      <c r="AZ15" s="607"/>
      <c r="BA15" s="607"/>
      <c r="BB15" s="607"/>
      <c r="BC15" s="302">
        <f t="shared" si="3"/>
        <v>96</v>
      </c>
      <c r="BD15" s="303" t="str">
        <f>IF(BC15&gt;KKM!$G$10,"A",IF(BC15&gt;KKM!$H$10,"B",IF(BC15&gt;=KKM!$I$10,"C","D")))</f>
        <v>A</v>
      </c>
      <c r="BE15" s="523">
        <f t="shared" si="4"/>
        <v>99</v>
      </c>
      <c r="BF15" s="115" t="str">
        <f>IF(BE15&gt;KKM!$G$10," sangat baik ",IF(BE15&gt;KKM!$H$10," baik ",IF(BE15&gt;=KKM!$I$10," cukup baik "," perlu bimbingan ")))</f>
        <v xml:space="preserve"> sangat baik </v>
      </c>
      <c r="BG15" s="524">
        <f t="shared" si="5"/>
        <v>84.5</v>
      </c>
      <c r="BH15" s="115" t="str">
        <f>IF(BG15&gt;KKM!$G$10," sangat baik ",IF(BG15&gt;KKM!$H$10," baik ",IF(BG15&gt;=KKM!$I$10," cukup baik "," perlu bimbingan ")))</f>
        <v xml:space="preserve"> baik </v>
      </c>
      <c r="BI15" s="301" t="str">
        <f t="shared" si="16"/>
        <v>Anak 11 sangat baik  dalam menjelaskan dan melakukan penaksiran dari jumlah, selisih, hasil kali, dan hasil bagi dua bilangan cacah maupun pecahan dan desimal, dan  baik  dalam menjelaskan berbagai bentuk pecahan (biasa, campuran, desimal, dan persen) dan hubungan di antaranya</v>
      </c>
      <c r="BJ15" s="306"/>
      <c r="BK15" s="307" t="str">
        <f t="shared" si="6"/>
        <v xml:space="preserve"> sangat baik  dalam menjelaskan dan melakukan penaksiran dari jumlah, selisih, hasil kali, dan hasil bagi dua bilangan cacah maupun pecahan dan desimal</v>
      </c>
      <c r="BL15" s="307" t="str">
        <f t="shared" si="7"/>
        <v xml:space="preserve"> baik  dalam menjelaskan berbagai bentuk pecahan (biasa, campuran, desimal, dan persen) dan hubungan di antaranya</v>
      </c>
      <c r="BM15"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5" s="307" t="str">
        <f t="shared" si="18"/>
        <v xml:space="preserve"> </v>
      </c>
      <c r="BO15"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5" s="301" t="str">
        <f t="shared" si="8"/>
        <v>Anak 11 sangat baik  dalam menjelaskan dan melakukan penaksiran dari jumlah, selisih, hasil kali, dan hasil bagi dua bilangan cacah maupun pecahan dan desimal, dan  baik  dalam menjelaskan berbagai bentuk pecahan (biasa, campuran, desimal, dan persen) dan hubungan di antaranya</v>
      </c>
      <c r="BQ15" s="120"/>
      <c r="BZ15" s="408">
        <f t="shared" si="20"/>
        <v>96</v>
      </c>
      <c r="CC15" s="302">
        <f t="shared" si="21"/>
        <v>89</v>
      </c>
      <c r="CD15" s="303" t="str">
        <f>IF(CC15&gt;KKM!$G$10,"A",IF(CC15&gt;KKM!$H$10,"B",IF(CC15&gt;=KKM!$I$10,"C","D")))</f>
        <v>B</v>
      </c>
      <c r="CE15" s="523">
        <f t="shared" si="22"/>
        <v>99</v>
      </c>
      <c r="CF15" s="115" t="str">
        <f>IF(CE15&gt;KKM!$G$10," sangat baik ",IF(CE15&gt;KKM!$H$10," baik ",IF(CE15&gt;=KKM!$I$10," cukup baik "," perlu bimbingan ")))</f>
        <v xml:space="preserve"> sangat baik </v>
      </c>
      <c r="CG15" s="524">
        <f t="shared" si="23"/>
        <v>69.5</v>
      </c>
      <c r="CH15" s="115" t="str">
        <f>IF(CG15&gt;KKM!$G$10," sangat baik ",IF(CG15&gt;KKM!$H$10," baik ",IF(CG15&gt;=KKM!$I$10," cukup baik "," perlu bimbingan ")))</f>
        <v xml:space="preserve"> perlu bimbingan </v>
      </c>
      <c r="CI15" s="301" t="str">
        <f t="shared" si="30"/>
        <v>Anak 11 sangat baik  dalam menjelaskan pecahan-pecahan senilai dengan gambar dan model konkret, dan  perlu bimbingan  dalam menjelaskan berbagai bentuk pecahan (biasa, campuran, desimal, dan persen) dan hubungan di antaranya</v>
      </c>
      <c r="CJ15" s="307" t="str">
        <f t="shared" si="24"/>
        <v xml:space="preserve"> sangat baik  dalam menjelaskan pecahan-pecahan senilai dengan gambar dan model konkret</v>
      </c>
      <c r="CK15" s="307" t="str">
        <f t="shared" si="25"/>
        <v xml:space="preserve"> perlu bimbingan  dalam menjelaskan berbagai bentuk pecahan (biasa, campuran, desimal, dan persen) dan hubungan di antaranya</v>
      </c>
      <c r="CL15" s="307" t="str">
        <f t="shared" si="26"/>
        <v xml:space="preserve"> sangat baik  dalam menjelaskan pecahan-pecahan senilai dengan gambar dan model konkret, dan  perlu bimbingan  dalam menjelaskan berbagai bentuk pecahan (biasa, campuran, desimal, dan persen) dan hubungan di antaranya</v>
      </c>
      <c r="CM15" s="307" t="str">
        <f t="shared" si="27"/>
        <v xml:space="preserve"> </v>
      </c>
      <c r="CN15" s="308" t="str">
        <f t="shared" si="28"/>
        <v xml:space="preserve"> sangat baik  dalam menjelaskan pecahan-pecahan senilai dengan gambar dan model konkret, dan  perlu bimbingan  dalam menjelaskan berbagai bentuk pecahan (biasa, campuran, desimal, dan persen) dan hubungan di antaranya</v>
      </c>
      <c r="CO15" s="301" t="str">
        <f t="shared" si="29"/>
        <v>Anak 11 sangat baik  dalam menjelaskan pecahan-pecahan senilai dengan gambar dan model konkret, dan  perlu bimbingan  dalam menjelaskan berbagai bentuk pecahan (biasa, campuran, desimal, dan persen) dan hubungan di antaranya</v>
      </c>
    </row>
    <row r="16" spans="1:94" ht="33.75" customHeight="1">
      <c r="B16" s="109">
        <v>12</v>
      </c>
      <c r="C16" s="110">
        <f>SISWA!B17</f>
        <v>0</v>
      </c>
      <c r="D16" s="111" t="str">
        <f>SISWA!E17</f>
        <v>Anak 12</v>
      </c>
      <c r="E16" s="631">
        <v>99</v>
      </c>
      <c r="F16" s="631">
        <v>99</v>
      </c>
      <c r="G16" s="631">
        <v>99</v>
      </c>
      <c r="H16" s="631">
        <v>99</v>
      </c>
      <c r="I16" s="631">
        <v>99</v>
      </c>
      <c r="J16" s="631">
        <v>99</v>
      </c>
      <c r="K16" s="613">
        <v>99</v>
      </c>
      <c r="L16" s="613"/>
      <c r="M16" s="613"/>
      <c r="N16" s="630"/>
      <c r="O16" s="630"/>
      <c r="P16" s="630"/>
      <c r="Q16" s="630"/>
      <c r="R16" s="630"/>
      <c r="S16" s="630"/>
      <c r="T16" s="630"/>
      <c r="U16" s="613"/>
      <c r="V16" s="610"/>
      <c r="W16" s="631">
        <v>99</v>
      </c>
      <c r="X16" s="613">
        <v>70.5</v>
      </c>
      <c r="Y16" s="631">
        <v>99</v>
      </c>
      <c r="Z16" s="631"/>
      <c r="AA16" s="631"/>
      <c r="AB16" s="631"/>
      <c r="AC16" s="609"/>
      <c r="AD16" s="610"/>
      <c r="AE16" s="613">
        <v>70.5</v>
      </c>
      <c r="AF16" s="613">
        <v>84.5</v>
      </c>
      <c r="AG16" s="613"/>
      <c r="AH16" s="613"/>
      <c r="AI16" s="613"/>
      <c r="AJ16" s="613"/>
      <c r="AK16" s="613"/>
      <c r="AL16" s="518"/>
      <c r="AM16" s="607">
        <f t="shared" si="9"/>
        <v>91.875</v>
      </c>
      <c r="AN16" s="607">
        <f t="shared" si="10"/>
        <v>88.25</v>
      </c>
      <c r="AO16" s="607">
        <f t="shared" si="11"/>
        <v>99</v>
      </c>
      <c r="AP16" s="607">
        <f t="shared" si="12"/>
        <v>99</v>
      </c>
      <c r="AQ16" s="607">
        <f t="shared" si="13"/>
        <v>99</v>
      </c>
      <c r="AR16" s="607">
        <f t="shared" si="14"/>
        <v>99</v>
      </c>
      <c r="AS16" s="607">
        <f t="shared" si="15"/>
        <v>99</v>
      </c>
      <c r="AT16" s="607"/>
      <c r="AU16" s="607"/>
      <c r="AV16" s="607"/>
      <c r="AW16" s="607"/>
      <c r="AX16" s="607"/>
      <c r="AY16" s="607"/>
      <c r="AZ16" s="607"/>
      <c r="BA16" s="607"/>
      <c r="BB16" s="607"/>
      <c r="BC16" s="302">
        <f t="shared" si="3"/>
        <v>96</v>
      </c>
      <c r="BD16" s="303" t="str">
        <f>IF(BC16&gt;KKM!$G$10,"A",IF(BC16&gt;KKM!$H$10,"B",IF(BC16&gt;=KKM!$I$10,"C","D")))</f>
        <v>A</v>
      </c>
      <c r="BE16" s="523">
        <f t="shared" si="4"/>
        <v>99</v>
      </c>
      <c r="BF16" s="115" t="str">
        <f>IF(BE16&gt;KKM!$G$10," sangat baik ",IF(BE16&gt;KKM!$H$10," baik ",IF(BE16&gt;=KKM!$I$10," cukup baik "," perlu bimbingan ")))</f>
        <v xml:space="preserve"> sangat baik </v>
      </c>
      <c r="BG16" s="524">
        <f t="shared" si="5"/>
        <v>88.25</v>
      </c>
      <c r="BH16" s="115" t="str">
        <f>IF(BG16&gt;KKM!$G$10," sangat baik ",IF(BG16&gt;KKM!$H$10," baik ",IF(BG16&gt;=KKM!$I$10," cukup baik "," perlu bimbingan ")))</f>
        <v xml:space="preserve"> baik </v>
      </c>
      <c r="BI16" s="301" t="str">
        <f t="shared" si="16"/>
        <v>Anak 12 sangat baik  dalam menjelaskan dan melakukan penaksiran dari jumlah, selisih, hasil kali, dan hasil bagi dua bilangan cacah maupun pecahan dan desimal, dan  baik  dalam menjelaskan berbagai bentuk pecahan (biasa, campuran, desimal, dan persen) dan hubungan di antaranya</v>
      </c>
      <c r="BJ16" s="306"/>
      <c r="BK16" s="307" t="str">
        <f t="shared" si="6"/>
        <v xml:space="preserve"> sangat baik  dalam menjelaskan dan melakukan penaksiran dari jumlah, selisih, hasil kali, dan hasil bagi dua bilangan cacah maupun pecahan dan desimal</v>
      </c>
      <c r="BL16" s="307" t="str">
        <f t="shared" si="7"/>
        <v xml:space="preserve"> baik  dalam menjelaskan berbagai bentuk pecahan (biasa, campuran, desimal, dan persen) dan hubungan di antaranya</v>
      </c>
      <c r="BM16"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6" s="307" t="str">
        <f t="shared" si="18"/>
        <v xml:space="preserve"> </v>
      </c>
      <c r="BO16"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6" s="301" t="str">
        <f t="shared" si="8"/>
        <v>Anak 12 sangat baik  dalam menjelaskan dan melakukan penaksiran dari jumlah, selisih, hasil kali, dan hasil bagi dua bilangan cacah maupun pecahan dan desimal, dan  baik  dalam menjelaskan berbagai bentuk pecahan (biasa, campuran, desimal, dan persen) dan hubungan di antaranya</v>
      </c>
      <c r="BQ16" s="120"/>
      <c r="BZ16" s="408">
        <f t="shared" si="20"/>
        <v>96</v>
      </c>
      <c r="CC16" s="302">
        <f t="shared" si="21"/>
        <v>90</v>
      </c>
      <c r="CD16" s="303" t="str">
        <f>IF(CC16&gt;KKM!$G$10,"A",IF(CC16&gt;KKM!$H$10,"B",IF(CC16&gt;=KKM!$I$10,"C","D")))</f>
        <v>B</v>
      </c>
      <c r="CE16" s="523">
        <f t="shared" si="22"/>
        <v>99</v>
      </c>
      <c r="CF16" s="115" t="str">
        <f>IF(CE16&gt;KKM!$G$10," sangat baik ",IF(CE16&gt;KKM!$H$10," baik ",IF(CE16&gt;=KKM!$I$10," cukup baik "," perlu bimbingan ")))</f>
        <v xml:space="preserve"> sangat baik </v>
      </c>
      <c r="CG16" s="524">
        <f t="shared" si="23"/>
        <v>70.5</v>
      </c>
      <c r="CH16" s="115" t="str">
        <f>IF(CG16&gt;KKM!$G$10," sangat baik ",IF(CG16&gt;KKM!$H$10," baik ",IF(CG16&gt;=KKM!$I$10," cukup baik "," perlu bimbingan ")))</f>
        <v xml:space="preserve"> cukup baik </v>
      </c>
      <c r="CI16" s="301" t="str">
        <f t="shared" si="30"/>
        <v>Anak 12 sangat baik  dalam menjelaskan pecahan-pecahan senilai dengan gambar dan model konkret, dan  cukup baik  dalam menjelaskan berbagai bentuk pecahan (biasa, campuran, desimal, dan persen) dan hubungan di antaranya</v>
      </c>
      <c r="CJ16" s="307" t="str">
        <f t="shared" si="24"/>
        <v xml:space="preserve"> sangat baik  dalam menjelaskan pecahan-pecahan senilai dengan gambar dan model konkret</v>
      </c>
      <c r="CK16" s="307" t="str">
        <f t="shared" si="25"/>
        <v xml:space="preserve"> cukup baik  dalam menjelaskan berbagai bentuk pecahan (biasa, campuran, desimal, dan persen) dan hubungan di antaranya</v>
      </c>
      <c r="CL16" s="307" t="str">
        <f t="shared" si="26"/>
        <v xml:space="preserve"> sangat baik  dalam menjelaskan pecahan-pecahan senilai dengan gambar dan model konkret, dan  cukup baik  dalam menjelaskan berbagai bentuk pecahan (biasa, campuran, desimal, dan persen) dan hubungan di antaranya</v>
      </c>
      <c r="CM16" s="307" t="str">
        <f t="shared" si="27"/>
        <v xml:space="preserve"> </v>
      </c>
      <c r="CN16" s="308" t="str">
        <f t="shared" si="28"/>
        <v xml:space="preserve"> sangat baik  dalam menjelaskan pecahan-pecahan senilai dengan gambar dan model konkret, dan  cukup baik  dalam menjelaskan berbagai bentuk pecahan (biasa, campuran, desimal, dan persen) dan hubungan di antaranya</v>
      </c>
      <c r="CO16" s="301" t="str">
        <f t="shared" si="29"/>
        <v>Anak 12 sangat baik  dalam menjelaskan pecahan-pecahan senilai dengan gambar dan model konkret, dan  cukup baik  dalam menjelaskan berbagai bentuk pecahan (biasa, campuran, desimal, dan persen) dan hubungan di antaranya</v>
      </c>
    </row>
    <row r="17" spans="2:93" ht="33.75" customHeight="1">
      <c r="B17" s="109">
        <v>13</v>
      </c>
      <c r="C17" s="110">
        <f>SISWA!B18</f>
        <v>0</v>
      </c>
      <c r="D17" s="111" t="str">
        <f>SISWA!E18</f>
        <v>Anak 13</v>
      </c>
      <c r="E17" s="631">
        <v>99</v>
      </c>
      <c r="F17" s="631">
        <v>99</v>
      </c>
      <c r="G17" s="631">
        <v>99</v>
      </c>
      <c r="H17" s="631">
        <v>99</v>
      </c>
      <c r="I17" s="631">
        <v>99</v>
      </c>
      <c r="J17" s="631">
        <v>99</v>
      </c>
      <c r="K17" s="613">
        <v>99</v>
      </c>
      <c r="L17" s="613"/>
      <c r="M17" s="613"/>
      <c r="N17" s="630"/>
      <c r="O17" s="630"/>
      <c r="P17" s="630"/>
      <c r="Q17" s="630"/>
      <c r="R17" s="630"/>
      <c r="S17" s="630"/>
      <c r="T17" s="630"/>
      <c r="U17" s="613"/>
      <c r="V17" s="610"/>
      <c r="W17" s="631">
        <v>99</v>
      </c>
      <c r="X17" s="613">
        <v>84.5</v>
      </c>
      <c r="Y17" s="631">
        <v>99</v>
      </c>
      <c r="Z17" s="631"/>
      <c r="AA17" s="631"/>
      <c r="AB17" s="631"/>
      <c r="AC17" s="609"/>
      <c r="AD17" s="610"/>
      <c r="AE17" s="613">
        <v>84.5</v>
      </c>
      <c r="AF17" s="613">
        <v>72.5</v>
      </c>
      <c r="AG17" s="613"/>
      <c r="AH17" s="613"/>
      <c r="AI17" s="613"/>
      <c r="AJ17" s="613"/>
      <c r="AK17" s="613"/>
      <c r="AL17" s="518"/>
      <c r="AM17" s="607">
        <f t="shared" si="9"/>
        <v>95.375</v>
      </c>
      <c r="AN17" s="607">
        <f t="shared" si="10"/>
        <v>88.75</v>
      </c>
      <c r="AO17" s="607">
        <f t="shared" si="11"/>
        <v>99</v>
      </c>
      <c r="AP17" s="607">
        <f t="shared" si="12"/>
        <v>99</v>
      </c>
      <c r="AQ17" s="607">
        <f t="shared" si="13"/>
        <v>99</v>
      </c>
      <c r="AR17" s="607">
        <f t="shared" si="14"/>
        <v>99</v>
      </c>
      <c r="AS17" s="607">
        <f t="shared" si="15"/>
        <v>99</v>
      </c>
      <c r="AT17" s="607"/>
      <c r="AU17" s="607"/>
      <c r="AV17" s="607"/>
      <c r="AW17" s="607"/>
      <c r="AX17" s="607"/>
      <c r="AY17" s="607"/>
      <c r="AZ17" s="607"/>
      <c r="BA17" s="607"/>
      <c r="BB17" s="607"/>
      <c r="BC17" s="302">
        <f t="shared" si="3"/>
        <v>97</v>
      </c>
      <c r="BD17" s="303" t="str">
        <f>IF(BC17&gt;KKM!$G$10,"A",IF(BC17&gt;KKM!$H$10,"B",IF(BC17&gt;=KKM!$I$10,"C","D")))</f>
        <v>A</v>
      </c>
      <c r="BE17" s="523">
        <f t="shared" si="4"/>
        <v>99</v>
      </c>
      <c r="BF17" s="115" t="str">
        <f>IF(BE17&gt;KKM!$G$10," sangat baik ",IF(BE17&gt;KKM!$H$10," baik ",IF(BE17&gt;=KKM!$I$10," cukup baik "," perlu bimbingan ")))</f>
        <v xml:space="preserve"> sangat baik </v>
      </c>
      <c r="BG17" s="524">
        <f t="shared" si="5"/>
        <v>88.75</v>
      </c>
      <c r="BH17" s="115" t="str">
        <f>IF(BG17&gt;KKM!$G$10," sangat baik ",IF(BG17&gt;KKM!$H$10," baik ",IF(BG17&gt;=KKM!$I$10," cukup baik "," perlu bimbingan ")))</f>
        <v xml:space="preserve"> baik </v>
      </c>
      <c r="BI17" s="301" t="str">
        <f t="shared" si="16"/>
        <v>Anak 13 sangat baik  dalam menjelaskan dan melakukan penaksiran dari jumlah, selisih, hasil kali, dan hasil bagi dua bilangan cacah maupun pecahan dan desimal, dan  baik  dalam menjelaskan berbagai bentuk pecahan (biasa, campuran, desimal, dan persen) dan hubungan di antaranya</v>
      </c>
      <c r="BJ17" s="306"/>
      <c r="BK17" s="307" t="str">
        <f t="shared" si="6"/>
        <v xml:space="preserve"> sangat baik  dalam menjelaskan dan melakukan penaksiran dari jumlah, selisih, hasil kali, dan hasil bagi dua bilangan cacah maupun pecahan dan desimal</v>
      </c>
      <c r="BL17" s="307" t="str">
        <f t="shared" si="7"/>
        <v xml:space="preserve"> baik  dalam menjelaskan berbagai bentuk pecahan (biasa, campuran, desimal, dan persen) dan hubungan di antaranya</v>
      </c>
      <c r="BM17"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7" s="307" t="str">
        <f t="shared" si="18"/>
        <v xml:space="preserve"> </v>
      </c>
      <c r="BO17"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7" s="301" t="str">
        <f t="shared" si="8"/>
        <v>Anak 13 sangat baik  dalam menjelaskan dan melakukan penaksiran dari jumlah, selisih, hasil kali, dan hasil bagi dua bilangan cacah maupun pecahan dan desimal, dan  baik  dalam menjelaskan berbagai bentuk pecahan (biasa, campuran, desimal, dan persen) dan hubungan di antaranya</v>
      </c>
      <c r="BQ17" s="120"/>
      <c r="BZ17" s="408">
        <f t="shared" si="20"/>
        <v>97</v>
      </c>
      <c r="CC17" s="302">
        <f t="shared" si="21"/>
        <v>94</v>
      </c>
      <c r="CD17" s="303" t="str">
        <f>IF(CC17&gt;KKM!$G$10,"A",IF(CC17&gt;KKM!$H$10,"B",IF(CC17&gt;=KKM!$I$10,"C","D")))</f>
        <v>A</v>
      </c>
      <c r="CE17" s="523">
        <f t="shared" si="22"/>
        <v>99</v>
      </c>
      <c r="CF17" s="115" t="str">
        <f>IF(CE17&gt;KKM!$G$10," sangat baik ",IF(CE17&gt;KKM!$H$10," baik ",IF(CE17&gt;=KKM!$I$10," cukup baik "," perlu bimbingan ")))</f>
        <v xml:space="preserve"> sangat baik </v>
      </c>
      <c r="CG17" s="524">
        <f t="shared" si="23"/>
        <v>84.5</v>
      </c>
      <c r="CH17" s="115" t="str">
        <f>IF(CG17&gt;KKM!$G$10," sangat baik ",IF(CG17&gt;KKM!$H$10," baik ",IF(CG17&gt;=KKM!$I$10," cukup baik "," perlu bimbingan ")))</f>
        <v xml:space="preserve"> baik </v>
      </c>
      <c r="CI17" s="301" t="str">
        <f t="shared" si="30"/>
        <v>Anak 13 sangat baik  dalam menjelaskan pecahan-pecahan senilai dengan gambar dan model konkret, dan  baik  dalam menjelaskan berbagai bentuk pecahan (biasa, campuran, desimal, dan persen) dan hubungan di antaranya</v>
      </c>
      <c r="CJ17" s="307" t="str">
        <f t="shared" si="24"/>
        <v xml:space="preserve"> sangat baik  dalam menjelaskan pecahan-pecahan senilai dengan gambar dan model konkret</v>
      </c>
      <c r="CK17" s="307" t="str">
        <f t="shared" si="25"/>
        <v xml:space="preserve"> baik  dalam menjelaskan berbagai bentuk pecahan (biasa, campuran, desimal, dan persen) dan hubungan di antaranya</v>
      </c>
      <c r="CL17" s="307" t="str">
        <f t="shared" si="26"/>
        <v xml:space="preserve"> sangat baik  dalam menjelaskan pecahan-pecahan senilai dengan gambar dan model konkret, dan  baik  dalam menjelaskan berbagai bentuk pecahan (biasa, campuran, desimal, dan persen) dan hubungan di antaranya</v>
      </c>
      <c r="CM17" s="307" t="str">
        <f t="shared" si="27"/>
        <v xml:space="preserve"> </v>
      </c>
      <c r="CN17" s="308" t="str">
        <f t="shared" si="28"/>
        <v xml:space="preserve"> sangat baik  dalam menjelaskan pecahan-pecahan senilai dengan gambar dan model konkret, dan  baik  dalam menjelaskan berbagai bentuk pecahan (biasa, campuran, desimal, dan persen) dan hubungan di antaranya</v>
      </c>
      <c r="CO17" s="301" t="str">
        <f t="shared" si="29"/>
        <v>Anak 13 sangat baik  dalam menjelaskan pecahan-pecahan senilai dengan gambar dan model konkret, dan  baik  dalam menjelaskan berbagai bentuk pecahan (biasa, campuran, desimal, dan persen) dan hubungan di antaranya</v>
      </c>
    </row>
    <row r="18" spans="2:93" ht="33.75" customHeight="1">
      <c r="B18" s="109">
        <v>14</v>
      </c>
      <c r="C18" s="110">
        <f>SISWA!B19</f>
        <v>0</v>
      </c>
      <c r="D18" s="111" t="str">
        <f>SISWA!E19</f>
        <v>Anak 14</v>
      </c>
      <c r="E18" s="631">
        <v>99</v>
      </c>
      <c r="F18" s="631">
        <v>99</v>
      </c>
      <c r="G18" s="631">
        <v>99</v>
      </c>
      <c r="H18" s="631">
        <v>99</v>
      </c>
      <c r="I18" s="631">
        <v>99</v>
      </c>
      <c r="J18" s="631">
        <v>99</v>
      </c>
      <c r="K18" s="613">
        <v>99</v>
      </c>
      <c r="L18" s="613"/>
      <c r="M18" s="613"/>
      <c r="N18" s="630"/>
      <c r="O18" s="630"/>
      <c r="P18" s="630"/>
      <c r="Q18" s="630"/>
      <c r="R18" s="630"/>
      <c r="S18" s="630"/>
      <c r="T18" s="630"/>
      <c r="U18" s="613"/>
      <c r="V18" s="610"/>
      <c r="W18" s="631">
        <v>99</v>
      </c>
      <c r="X18" s="613">
        <v>72.5</v>
      </c>
      <c r="Y18" s="631">
        <v>99</v>
      </c>
      <c r="Z18" s="631"/>
      <c r="AA18" s="631"/>
      <c r="AB18" s="631"/>
      <c r="AC18" s="609"/>
      <c r="AD18" s="610"/>
      <c r="AE18" s="613">
        <v>72.5</v>
      </c>
      <c r="AF18" s="613">
        <v>80</v>
      </c>
      <c r="AG18" s="613"/>
      <c r="AH18" s="613"/>
      <c r="AI18" s="613"/>
      <c r="AJ18" s="613"/>
      <c r="AK18" s="613"/>
      <c r="AL18" s="518"/>
      <c r="AM18" s="607">
        <f t="shared" si="9"/>
        <v>92.375</v>
      </c>
      <c r="AN18" s="607">
        <f t="shared" si="10"/>
        <v>87.625</v>
      </c>
      <c r="AO18" s="607">
        <f t="shared" si="11"/>
        <v>99</v>
      </c>
      <c r="AP18" s="607">
        <f t="shared" si="12"/>
        <v>99</v>
      </c>
      <c r="AQ18" s="607">
        <f t="shared" si="13"/>
        <v>99</v>
      </c>
      <c r="AR18" s="607">
        <f t="shared" si="14"/>
        <v>99</v>
      </c>
      <c r="AS18" s="607">
        <f t="shared" si="15"/>
        <v>99</v>
      </c>
      <c r="AT18" s="607"/>
      <c r="AU18" s="607"/>
      <c r="AV18" s="607"/>
      <c r="AW18" s="607"/>
      <c r="AX18" s="607"/>
      <c r="AY18" s="607"/>
      <c r="AZ18" s="607"/>
      <c r="BA18" s="607"/>
      <c r="BB18" s="607"/>
      <c r="BC18" s="302">
        <f t="shared" si="3"/>
        <v>96</v>
      </c>
      <c r="BD18" s="303" t="str">
        <f>IF(BC18&gt;KKM!$G$10,"A",IF(BC18&gt;KKM!$H$10,"B",IF(BC18&gt;=KKM!$I$10,"C","D")))</f>
        <v>A</v>
      </c>
      <c r="BE18" s="523">
        <f t="shared" si="4"/>
        <v>99</v>
      </c>
      <c r="BF18" s="115" t="str">
        <f>IF(BE18&gt;KKM!$G$10," sangat baik ",IF(BE18&gt;KKM!$H$10," baik ",IF(BE18&gt;=KKM!$I$10," cukup baik "," perlu bimbingan ")))</f>
        <v xml:space="preserve"> sangat baik </v>
      </c>
      <c r="BG18" s="524">
        <f t="shared" si="5"/>
        <v>87.625</v>
      </c>
      <c r="BH18" s="115" t="str">
        <f>IF(BG18&gt;KKM!$G$10," sangat baik ",IF(BG18&gt;KKM!$H$10," baik ",IF(BG18&gt;=KKM!$I$10," cukup baik "," perlu bimbingan ")))</f>
        <v xml:space="preserve"> baik </v>
      </c>
      <c r="BI18" s="301" t="str">
        <f t="shared" si="16"/>
        <v>Anak 14 sangat baik  dalam menjelaskan dan melakukan penaksiran dari jumlah, selisih, hasil kali, dan hasil bagi dua bilangan cacah maupun pecahan dan desimal, dan  baik  dalam menjelaskan berbagai bentuk pecahan (biasa, campuran, desimal, dan persen) dan hubungan di antaranya</v>
      </c>
      <c r="BJ18" s="306"/>
      <c r="BK18" s="307" t="str">
        <f t="shared" si="6"/>
        <v xml:space="preserve"> sangat baik  dalam menjelaskan dan melakukan penaksiran dari jumlah, selisih, hasil kali, dan hasil bagi dua bilangan cacah maupun pecahan dan desimal</v>
      </c>
      <c r="BL18" s="307" t="str">
        <f t="shared" si="7"/>
        <v xml:space="preserve"> baik  dalam menjelaskan berbagai bentuk pecahan (biasa, campuran, desimal, dan persen) dan hubungan di antaranya</v>
      </c>
      <c r="BM18"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8" s="307" t="str">
        <f t="shared" si="18"/>
        <v xml:space="preserve"> </v>
      </c>
      <c r="BO18"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8" s="301" t="str">
        <f t="shared" si="8"/>
        <v>Anak 14 sangat baik  dalam menjelaskan dan melakukan penaksiran dari jumlah, selisih, hasil kali, dan hasil bagi dua bilangan cacah maupun pecahan dan desimal, dan  baik  dalam menjelaskan berbagai bentuk pecahan (biasa, campuran, desimal, dan persen) dan hubungan di antaranya</v>
      </c>
      <c r="BQ18" s="120"/>
      <c r="BZ18" s="408">
        <f t="shared" si="20"/>
        <v>96</v>
      </c>
      <c r="CC18" s="302">
        <f t="shared" si="21"/>
        <v>90</v>
      </c>
      <c r="CD18" s="303" t="str">
        <f>IF(CC18&gt;KKM!$G$10,"A",IF(CC18&gt;KKM!$H$10,"B",IF(CC18&gt;=KKM!$I$10,"C","D")))</f>
        <v>B</v>
      </c>
      <c r="CE18" s="523">
        <f t="shared" si="22"/>
        <v>99</v>
      </c>
      <c r="CF18" s="115" t="str">
        <f>IF(CE18&gt;KKM!$G$10," sangat baik ",IF(CE18&gt;KKM!$H$10," baik ",IF(CE18&gt;=KKM!$I$10," cukup baik "," perlu bimbingan ")))</f>
        <v xml:space="preserve"> sangat baik </v>
      </c>
      <c r="CG18" s="524">
        <f t="shared" si="23"/>
        <v>72.5</v>
      </c>
      <c r="CH18" s="115" t="str">
        <f>IF(CG18&gt;KKM!$G$10," sangat baik ",IF(CG18&gt;KKM!$H$10," baik ",IF(CG18&gt;=KKM!$I$10," cukup baik "," perlu bimbingan ")))</f>
        <v xml:space="preserve"> cukup baik </v>
      </c>
      <c r="CI18" s="301" t="str">
        <f t="shared" si="30"/>
        <v>Anak 14 sangat baik  dalam menjelaskan pecahan-pecahan senilai dengan gambar dan model konkret, dan  cukup baik  dalam menjelaskan berbagai bentuk pecahan (biasa, campuran, desimal, dan persen) dan hubungan di antaranya</v>
      </c>
      <c r="CJ18" s="307" t="str">
        <f t="shared" si="24"/>
        <v xml:space="preserve"> sangat baik  dalam menjelaskan pecahan-pecahan senilai dengan gambar dan model konkret</v>
      </c>
      <c r="CK18" s="307" t="str">
        <f t="shared" si="25"/>
        <v xml:space="preserve"> cukup baik  dalam menjelaskan berbagai bentuk pecahan (biasa, campuran, desimal, dan persen) dan hubungan di antaranya</v>
      </c>
      <c r="CL18" s="307" t="str">
        <f t="shared" si="26"/>
        <v xml:space="preserve"> sangat baik  dalam menjelaskan pecahan-pecahan senilai dengan gambar dan model konkret, dan  cukup baik  dalam menjelaskan berbagai bentuk pecahan (biasa, campuran, desimal, dan persen) dan hubungan di antaranya</v>
      </c>
      <c r="CM18" s="307" t="str">
        <f t="shared" si="27"/>
        <v xml:space="preserve"> </v>
      </c>
      <c r="CN18" s="308" t="str">
        <f t="shared" si="28"/>
        <v xml:space="preserve"> sangat baik  dalam menjelaskan pecahan-pecahan senilai dengan gambar dan model konkret, dan  cukup baik  dalam menjelaskan berbagai bentuk pecahan (biasa, campuran, desimal, dan persen) dan hubungan di antaranya</v>
      </c>
      <c r="CO18" s="301" t="str">
        <f t="shared" si="29"/>
        <v>Anak 14 sangat baik  dalam menjelaskan pecahan-pecahan senilai dengan gambar dan model konkret, dan  cukup baik  dalam menjelaskan berbagai bentuk pecahan (biasa, campuran, desimal, dan persen) dan hubungan di antaranya</v>
      </c>
    </row>
    <row r="19" spans="2:93" ht="33.75" customHeight="1">
      <c r="B19" s="109">
        <v>15</v>
      </c>
      <c r="C19" s="110">
        <f>SISWA!B20</f>
        <v>0</v>
      </c>
      <c r="D19" s="111" t="str">
        <f>SISWA!E20</f>
        <v>Anak 15</v>
      </c>
      <c r="E19" s="631">
        <v>99</v>
      </c>
      <c r="F19" s="631">
        <v>99</v>
      </c>
      <c r="G19" s="631">
        <v>99</v>
      </c>
      <c r="H19" s="631">
        <v>99</v>
      </c>
      <c r="I19" s="631">
        <v>99</v>
      </c>
      <c r="J19" s="631">
        <v>99</v>
      </c>
      <c r="K19" s="613">
        <v>99</v>
      </c>
      <c r="L19" s="613"/>
      <c r="M19" s="613"/>
      <c r="N19" s="630"/>
      <c r="O19" s="630"/>
      <c r="P19" s="630"/>
      <c r="Q19" s="630"/>
      <c r="R19" s="630"/>
      <c r="S19" s="630"/>
      <c r="T19" s="630"/>
      <c r="U19" s="613"/>
      <c r="V19" s="610"/>
      <c r="W19" s="631">
        <v>99</v>
      </c>
      <c r="X19" s="613">
        <v>80</v>
      </c>
      <c r="Y19" s="631">
        <v>99</v>
      </c>
      <c r="Z19" s="631"/>
      <c r="AA19" s="631"/>
      <c r="AB19" s="631"/>
      <c r="AC19" s="609"/>
      <c r="AD19" s="610"/>
      <c r="AE19" s="613">
        <v>80</v>
      </c>
      <c r="AF19" s="613">
        <v>79.5</v>
      </c>
      <c r="AG19" s="613"/>
      <c r="AH19" s="613"/>
      <c r="AI19" s="613"/>
      <c r="AJ19" s="613"/>
      <c r="AK19" s="613"/>
      <c r="AL19" s="518"/>
      <c r="AM19" s="607">
        <f t="shared" si="9"/>
        <v>94.25</v>
      </c>
      <c r="AN19" s="607">
        <f t="shared" si="10"/>
        <v>89.375</v>
      </c>
      <c r="AO19" s="607">
        <f t="shared" si="11"/>
        <v>99</v>
      </c>
      <c r="AP19" s="607">
        <f t="shared" si="12"/>
        <v>99</v>
      </c>
      <c r="AQ19" s="607">
        <f t="shared" si="13"/>
        <v>99</v>
      </c>
      <c r="AR19" s="607">
        <f t="shared" si="14"/>
        <v>99</v>
      </c>
      <c r="AS19" s="607">
        <f t="shared" si="15"/>
        <v>99</v>
      </c>
      <c r="AT19" s="607"/>
      <c r="AU19" s="607"/>
      <c r="AV19" s="607"/>
      <c r="AW19" s="607"/>
      <c r="AX19" s="607"/>
      <c r="AY19" s="607"/>
      <c r="AZ19" s="607"/>
      <c r="BA19" s="607"/>
      <c r="BB19" s="607"/>
      <c r="BC19" s="302">
        <f t="shared" si="3"/>
        <v>97</v>
      </c>
      <c r="BD19" s="303" t="str">
        <f>IF(BC19&gt;KKM!$G$10,"A",IF(BC19&gt;KKM!$H$10,"B",IF(BC19&gt;=KKM!$I$10,"C","D")))</f>
        <v>A</v>
      </c>
      <c r="BE19" s="523">
        <f t="shared" si="4"/>
        <v>99</v>
      </c>
      <c r="BF19" s="115" t="str">
        <f>IF(BE19&gt;KKM!$G$10," sangat baik ",IF(BE19&gt;KKM!$H$10," baik ",IF(BE19&gt;=KKM!$I$10," cukup baik "," perlu bimbingan ")))</f>
        <v xml:space="preserve"> sangat baik </v>
      </c>
      <c r="BG19" s="524">
        <f t="shared" si="5"/>
        <v>89.375</v>
      </c>
      <c r="BH19" s="115" t="str">
        <f>IF(BG19&gt;KKM!$G$10," sangat baik ",IF(BG19&gt;KKM!$H$10," baik ",IF(BG19&gt;=KKM!$I$10," cukup baik "," perlu bimbingan ")))</f>
        <v xml:space="preserve"> baik </v>
      </c>
      <c r="BI19" s="301" t="str">
        <f t="shared" si="16"/>
        <v>Anak 15 sangat baik  dalam menjelaskan dan melakukan penaksiran dari jumlah, selisih, hasil kali, dan hasil bagi dua bilangan cacah maupun pecahan dan desimal, dan  baik  dalam menjelaskan berbagai bentuk pecahan (biasa, campuran, desimal, dan persen) dan hubungan di antaranya</v>
      </c>
      <c r="BJ19" s="306"/>
      <c r="BK19" s="307" t="str">
        <f t="shared" si="6"/>
        <v xml:space="preserve"> sangat baik  dalam menjelaskan dan melakukan penaksiran dari jumlah, selisih, hasil kali, dan hasil bagi dua bilangan cacah maupun pecahan dan desimal</v>
      </c>
      <c r="BL19" s="307" t="str">
        <f t="shared" si="7"/>
        <v xml:space="preserve"> baik  dalam menjelaskan berbagai bentuk pecahan (biasa, campuran, desimal, dan persen) dan hubungan di antaranya</v>
      </c>
      <c r="BM19"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19" s="307" t="str">
        <f t="shared" si="18"/>
        <v xml:space="preserve"> </v>
      </c>
      <c r="BO19"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19" s="301" t="str">
        <f t="shared" si="8"/>
        <v>Anak 15 sangat baik  dalam menjelaskan dan melakukan penaksiran dari jumlah, selisih, hasil kali, dan hasil bagi dua bilangan cacah maupun pecahan dan desimal, dan  baik  dalam menjelaskan berbagai bentuk pecahan (biasa, campuran, desimal, dan persen) dan hubungan di antaranya</v>
      </c>
      <c r="BQ19" s="120"/>
      <c r="BZ19" s="408">
        <f t="shared" si="20"/>
        <v>97</v>
      </c>
      <c r="CC19" s="302">
        <f t="shared" si="21"/>
        <v>93</v>
      </c>
      <c r="CD19" s="303" t="str">
        <f>IF(CC19&gt;KKM!$G$10,"A",IF(CC19&gt;KKM!$H$10,"B",IF(CC19&gt;=KKM!$I$10,"C","D")))</f>
        <v>A</v>
      </c>
      <c r="CE19" s="523">
        <f t="shared" si="22"/>
        <v>99</v>
      </c>
      <c r="CF19" s="115" t="str">
        <f>IF(CE19&gt;KKM!$G$10," sangat baik ",IF(CE19&gt;KKM!$H$10," baik ",IF(CE19&gt;=KKM!$I$10," cukup baik "," perlu bimbingan ")))</f>
        <v xml:space="preserve"> sangat baik </v>
      </c>
      <c r="CG19" s="524">
        <f t="shared" si="23"/>
        <v>80</v>
      </c>
      <c r="CH19" s="115" t="str">
        <f>IF(CG19&gt;KKM!$G$10," sangat baik ",IF(CG19&gt;KKM!$H$10," baik ",IF(CG19&gt;=KKM!$I$10," cukup baik "," perlu bimbingan ")))</f>
        <v xml:space="preserve"> cukup baik </v>
      </c>
      <c r="CI19" s="301" t="str">
        <f t="shared" si="30"/>
        <v>Anak 15 sangat baik  dalam menjelaskan pecahan-pecahan senilai dengan gambar dan model konkret, dan  cukup baik  dalam menjelaskan berbagai bentuk pecahan (biasa, campuran, desimal, dan persen) dan hubungan di antaranya</v>
      </c>
      <c r="CJ19" s="307" t="str">
        <f t="shared" si="24"/>
        <v xml:space="preserve"> sangat baik  dalam menjelaskan pecahan-pecahan senilai dengan gambar dan model konkret</v>
      </c>
      <c r="CK19" s="307" t="str">
        <f t="shared" si="25"/>
        <v xml:space="preserve"> cukup baik  dalam menjelaskan berbagai bentuk pecahan (biasa, campuran, desimal, dan persen) dan hubungan di antaranya</v>
      </c>
      <c r="CL19" s="307" t="str">
        <f t="shared" si="26"/>
        <v xml:space="preserve"> sangat baik  dalam menjelaskan pecahan-pecahan senilai dengan gambar dan model konkret, dan  cukup baik  dalam menjelaskan berbagai bentuk pecahan (biasa, campuran, desimal, dan persen) dan hubungan di antaranya</v>
      </c>
      <c r="CM19" s="307" t="str">
        <f t="shared" si="27"/>
        <v xml:space="preserve"> </v>
      </c>
      <c r="CN19" s="308" t="str">
        <f t="shared" si="28"/>
        <v xml:space="preserve"> sangat baik  dalam menjelaskan pecahan-pecahan senilai dengan gambar dan model konkret, dan  cukup baik  dalam menjelaskan berbagai bentuk pecahan (biasa, campuran, desimal, dan persen) dan hubungan di antaranya</v>
      </c>
      <c r="CO19" s="301" t="str">
        <f t="shared" si="29"/>
        <v>Anak 15 sangat baik  dalam menjelaskan pecahan-pecahan senilai dengan gambar dan model konkret, dan  cukup baik  dalam menjelaskan berbagai bentuk pecahan (biasa, campuran, desimal, dan persen) dan hubungan di antaranya</v>
      </c>
    </row>
    <row r="20" spans="2:93" ht="33.75" customHeight="1">
      <c r="B20" s="109">
        <v>16</v>
      </c>
      <c r="C20" s="110">
        <f>SISWA!B21</f>
        <v>0</v>
      </c>
      <c r="D20" s="111" t="str">
        <f>SISWA!E21</f>
        <v>Anak 16</v>
      </c>
      <c r="E20" s="631">
        <v>99</v>
      </c>
      <c r="F20" s="631">
        <v>99</v>
      </c>
      <c r="G20" s="631">
        <v>99</v>
      </c>
      <c r="H20" s="631">
        <v>99</v>
      </c>
      <c r="I20" s="631">
        <v>99</v>
      </c>
      <c r="J20" s="631">
        <v>99</v>
      </c>
      <c r="K20" s="613">
        <v>99</v>
      </c>
      <c r="L20" s="613"/>
      <c r="M20" s="613"/>
      <c r="N20" s="630"/>
      <c r="O20" s="630"/>
      <c r="P20" s="630"/>
      <c r="Q20" s="630"/>
      <c r="R20" s="630"/>
      <c r="S20" s="630"/>
      <c r="T20" s="630"/>
      <c r="U20" s="613"/>
      <c r="V20" s="610"/>
      <c r="W20" s="631">
        <v>99</v>
      </c>
      <c r="X20" s="613">
        <v>79.5</v>
      </c>
      <c r="Y20" s="631">
        <v>99</v>
      </c>
      <c r="Z20" s="631"/>
      <c r="AA20" s="631"/>
      <c r="AB20" s="631"/>
      <c r="AC20" s="609"/>
      <c r="AD20" s="610"/>
      <c r="AE20" s="613">
        <v>79.5</v>
      </c>
      <c r="AF20" s="613">
        <v>79.5</v>
      </c>
      <c r="AG20" s="613"/>
      <c r="AH20" s="613"/>
      <c r="AI20" s="613"/>
      <c r="AJ20" s="613"/>
      <c r="AK20" s="613"/>
      <c r="AL20" s="518"/>
      <c r="AM20" s="607">
        <f t="shared" si="9"/>
        <v>94.125</v>
      </c>
      <c r="AN20" s="607">
        <f t="shared" si="10"/>
        <v>89.25</v>
      </c>
      <c r="AO20" s="607">
        <f t="shared" si="11"/>
        <v>99</v>
      </c>
      <c r="AP20" s="607">
        <f t="shared" si="12"/>
        <v>99</v>
      </c>
      <c r="AQ20" s="607">
        <f t="shared" si="13"/>
        <v>99</v>
      </c>
      <c r="AR20" s="607">
        <f t="shared" si="14"/>
        <v>99</v>
      </c>
      <c r="AS20" s="607">
        <f t="shared" si="15"/>
        <v>99</v>
      </c>
      <c r="AT20" s="607"/>
      <c r="AU20" s="607"/>
      <c r="AV20" s="607"/>
      <c r="AW20" s="607"/>
      <c r="AX20" s="607"/>
      <c r="AY20" s="607"/>
      <c r="AZ20" s="607"/>
      <c r="BA20" s="607"/>
      <c r="BB20" s="607"/>
      <c r="BC20" s="302">
        <f t="shared" si="3"/>
        <v>97</v>
      </c>
      <c r="BD20" s="303" t="str">
        <f>IF(BC20&gt;KKM!$G$10,"A",IF(BC20&gt;KKM!$H$10,"B",IF(BC20&gt;=KKM!$I$10,"C","D")))</f>
        <v>A</v>
      </c>
      <c r="BE20" s="523">
        <f t="shared" si="4"/>
        <v>99</v>
      </c>
      <c r="BF20" s="115" t="str">
        <f>IF(BE20&gt;KKM!$G$10," sangat baik ",IF(BE20&gt;KKM!$H$10," baik ",IF(BE20&gt;=KKM!$I$10," cukup baik "," perlu bimbingan ")))</f>
        <v xml:space="preserve"> sangat baik </v>
      </c>
      <c r="BG20" s="524">
        <f t="shared" si="5"/>
        <v>89.25</v>
      </c>
      <c r="BH20" s="115" t="str">
        <f>IF(BG20&gt;KKM!$G$10," sangat baik ",IF(BG20&gt;KKM!$H$10," baik ",IF(BG20&gt;=KKM!$I$10," cukup baik "," perlu bimbingan ")))</f>
        <v xml:space="preserve"> baik </v>
      </c>
      <c r="BI20" s="301" t="str">
        <f t="shared" si="16"/>
        <v>Anak 16 sangat baik  dalam menjelaskan dan melakukan penaksiran dari jumlah, selisih, hasil kali, dan hasil bagi dua bilangan cacah maupun pecahan dan desimal, dan  baik  dalam menjelaskan berbagai bentuk pecahan (biasa, campuran, desimal, dan persen) dan hubungan di antaranya</v>
      </c>
      <c r="BJ20" s="306"/>
      <c r="BK20" s="307" t="str">
        <f t="shared" si="6"/>
        <v xml:space="preserve"> sangat baik  dalam menjelaskan dan melakukan penaksiran dari jumlah, selisih, hasil kali, dan hasil bagi dua bilangan cacah maupun pecahan dan desimal</v>
      </c>
      <c r="BL20" s="307" t="str">
        <f t="shared" si="7"/>
        <v xml:space="preserve"> baik  dalam menjelaskan berbagai bentuk pecahan (biasa, campuran, desimal, dan persen) dan hubungan di antaranya</v>
      </c>
      <c r="BM20"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20" s="307" t="str">
        <f t="shared" si="18"/>
        <v xml:space="preserve"> </v>
      </c>
      <c r="BO20"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20" s="301" t="str">
        <f t="shared" si="8"/>
        <v>Anak 16 sangat baik  dalam menjelaskan dan melakukan penaksiran dari jumlah, selisih, hasil kali, dan hasil bagi dua bilangan cacah maupun pecahan dan desimal, dan  baik  dalam menjelaskan berbagai bentuk pecahan (biasa, campuran, desimal, dan persen) dan hubungan di antaranya</v>
      </c>
      <c r="BQ20" s="120"/>
      <c r="BZ20" s="408">
        <f t="shared" si="20"/>
        <v>97</v>
      </c>
      <c r="CC20" s="302">
        <f t="shared" si="21"/>
        <v>93</v>
      </c>
      <c r="CD20" s="303" t="str">
        <f>IF(CC20&gt;KKM!$G$10,"A",IF(CC20&gt;KKM!$H$10,"B",IF(CC20&gt;=KKM!$I$10,"C","D")))</f>
        <v>A</v>
      </c>
      <c r="CE20" s="523">
        <f t="shared" si="22"/>
        <v>99</v>
      </c>
      <c r="CF20" s="115" t="str">
        <f>IF(CE20&gt;KKM!$G$10," sangat baik ",IF(CE20&gt;KKM!$H$10," baik ",IF(CE20&gt;=KKM!$I$10," cukup baik "," perlu bimbingan ")))</f>
        <v xml:space="preserve"> sangat baik </v>
      </c>
      <c r="CG20" s="524">
        <f t="shared" si="23"/>
        <v>79.5</v>
      </c>
      <c r="CH20" s="115" t="str">
        <f>IF(CG20&gt;KKM!$G$10," sangat baik ",IF(CG20&gt;KKM!$H$10," baik ",IF(CG20&gt;=KKM!$I$10," cukup baik "," perlu bimbingan ")))</f>
        <v xml:space="preserve"> cukup baik </v>
      </c>
      <c r="CI20" s="301" t="str">
        <f t="shared" si="30"/>
        <v>Anak 16 sangat baik  dalam menjelaskan pecahan-pecahan senilai dengan gambar dan model konkret, dan  cukup baik  dalam menjelaskan berbagai bentuk pecahan (biasa, campuran, desimal, dan persen) dan hubungan di antaranya</v>
      </c>
      <c r="CJ20" s="307" t="str">
        <f t="shared" si="24"/>
        <v xml:space="preserve"> sangat baik  dalam menjelaskan pecahan-pecahan senilai dengan gambar dan model konkret</v>
      </c>
      <c r="CK20" s="307" t="str">
        <f t="shared" si="25"/>
        <v xml:space="preserve"> cukup baik  dalam menjelaskan berbagai bentuk pecahan (biasa, campuran, desimal, dan persen) dan hubungan di antaranya</v>
      </c>
      <c r="CL20" s="307" t="str">
        <f t="shared" si="26"/>
        <v xml:space="preserve"> sangat baik  dalam menjelaskan pecahan-pecahan senilai dengan gambar dan model konkret, dan  cukup baik  dalam menjelaskan berbagai bentuk pecahan (biasa, campuran, desimal, dan persen) dan hubungan di antaranya</v>
      </c>
      <c r="CM20" s="307" t="str">
        <f t="shared" si="27"/>
        <v xml:space="preserve"> </v>
      </c>
      <c r="CN20" s="308" t="str">
        <f t="shared" si="28"/>
        <v xml:space="preserve"> sangat baik  dalam menjelaskan pecahan-pecahan senilai dengan gambar dan model konkret, dan  cukup baik  dalam menjelaskan berbagai bentuk pecahan (biasa, campuran, desimal, dan persen) dan hubungan di antaranya</v>
      </c>
      <c r="CO20" s="301" t="str">
        <f t="shared" si="29"/>
        <v>Anak 16 sangat baik  dalam menjelaskan pecahan-pecahan senilai dengan gambar dan model konkret, dan  cukup baik  dalam menjelaskan berbagai bentuk pecahan (biasa, campuran, desimal, dan persen) dan hubungan di antaranya</v>
      </c>
    </row>
    <row r="21" spans="2:93" ht="33.75" customHeight="1">
      <c r="B21" s="109">
        <v>17</v>
      </c>
      <c r="C21" s="110">
        <f>SISWA!B22</f>
        <v>0</v>
      </c>
      <c r="D21" s="111" t="str">
        <f>SISWA!E22</f>
        <v>Anak 17</v>
      </c>
      <c r="E21" s="631">
        <v>99</v>
      </c>
      <c r="F21" s="631">
        <v>99</v>
      </c>
      <c r="G21" s="631">
        <v>99</v>
      </c>
      <c r="H21" s="631">
        <v>99</v>
      </c>
      <c r="I21" s="631">
        <v>99</v>
      </c>
      <c r="J21" s="631">
        <v>99</v>
      </c>
      <c r="K21" s="613">
        <v>99</v>
      </c>
      <c r="L21" s="613"/>
      <c r="M21" s="613"/>
      <c r="N21" s="630"/>
      <c r="O21" s="630"/>
      <c r="P21" s="630"/>
      <c r="Q21" s="630"/>
      <c r="R21" s="630"/>
      <c r="S21" s="630"/>
      <c r="T21" s="630"/>
      <c r="U21" s="613"/>
      <c r="V21" s="610"/>
      <c r="W21" s="631">
        <v>99</v>
      </c>
      <c r="X21" s="613">
        <v>79.5</v>
      </c>
      <c r="Y21" s="631">
        <v>99</v>
      </c>
      <c r="Z21" s="631"/>
      <c r="AA21" s="631"/>
      <c r="AB21" s="631"/>
      <c r="AC21" s="609"/>
      <c r="AD21" s="610"/>
      <c r="AE21" s="613">
        <v>79.5</v>
      </c>
      <c r="AF21" s="613">
        <v>79.5</v>
      </c>
      <c r="AG21" s="613"/>
      <c r="AH21" s="613"/>
      <c r="AI21" s="613"/>
      <c r="AJ21" s="613"/>
      <c r="AK21" s="613"/>
      <c r="AL21" s="518"/>
      <c r="AM21" s="607">
        <f t="shared" si="9"/>
        <v>94.125</v>
      </c>
      <c r="AN21" s="607">
        <f t="shared" si="10"/>
        <v>89.25</v>
      </c>
      <c r="AO21" s="607">
        <f t="shared" si="11"/>
        <v>99</v>
      </c>
      <c r="AP21" s="607">
        <f t="shared" si="12"/>
        <v>99</v>
      </c>
      <c r="AQ21" s="607">
        <f t="shared" si="13"/>
        <v>99</v>
      </c>
      <c r="AR21" s="607">
        <f t="shared" si="14"/>
        <v>99</v>
      </c>
      <c r="AS21" s="607">
        <f t="shared" si="15"/>
        <v>99</v>
      </c>
      <c r="AT21" s="607"/>
      <c r="AU21" s="607"/>
      <c r="AV21" s="607"/>
      <c r="AW21" s="607"/>
      <c r="AX21" s="607"/>
      <c r="AY21" s="607"/>
      <c r="AZ21" s="607"/>
      <c r="BA21" s="607"/>
      <c r="BB21" s="607"/>
      <c r="BC21" s="302">
        <f t="shared" si="3"/>
        <v>97</v>
      </c>
      <c r="BD21" s="303" t="str">
        <f>IF(BC21&gt;KKM!$G$10,"A",IF(BC21&gt;KKM!$H$10,"B",IF(BC21&gt;=KKM!$I$10,"C","D")))</f>
        <v>A</v>
      </c>
      <c r="BE21" s="523">
        <f t="shared" si="4"/>
        <v>99</v>
      </c>
      <c r="BF21" s="115" t="str">
        <f>IF(BE21&gt;KKM!$G$10," sangat baik ",IF(BE21&gt;KKM!$H$10," baik ",IF(BE21&gt;=KKM!$I$10," cukup baik "," perlu bimbingan ")))</f>
        <v xml:space="preserve"> sangat baik </v>
      </c>
      <c r="BG21" s="524">
        <f t="shared" si="5"/>
        <v>89.25</v>
      </c>
      <c r="BH21" s="115" t="str">
        <f>IF(BG21&gt;KKM!$G$10," sangat baik ",IF(BG21&gt;KKM!$H$10," baik ",IF(BG21&gt;=KKM!$I$10," cukup baik "," perlu bimbingan ")))</f>
        <v xml:space="preserve"> baik </v>
      </c>
      <c r="BI21" s="301" t="str">
        <f t="shared" si="16"/>
        <v>Anak 17 sangat baik  dalam menjelaskan dan melakukan penaksiran dari jumlah, selisih, hasil kali, dan hasil bagi dua bilangan cacah maupun pecahan dan desimal, dan  baik  dalam menjelaskan berbagai bentuk pecahan (biasa, campuran, desimal, dan persen) dan hubungan di antaranya</v>
      </c>
      <c r="BJ21" s="306"/>
      <c r="BK21" s="307" t="str">
        <f t="shared" si="6"/>
        <v xml:space="preserve"> sangat baik  dalam menjelaskan dan melakukan penaksiran dari jumlah, selisih, hasil kali, dan hasil bagi dua bilangan cacah maupun pecahan dan desimal</v>
      </c>
      <c r="BL21" s="307" t="str">
        <f t="shared" si="7"/>
        <v xml:space="preserve"> baik  dalam menjelaskan berbagai bentuk pecahan (biasa, campuran, desimal, dan persen) dan hubungan di antaranya</v>
      </c>
      <c r="BM21"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21" s="307" t="str">
        <f t="shared" si="18"/>
        <v xml:space="preserve"> </v>
      </c>
      <c r="BO21"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21" s="301" t="str">
        <f t="shared" si="8"/>
        <v>Anak 17 sangat baik  dalam menjelaskan dan melakukan penaksiran dari jumlah, selisih, hasil kali, dan hasil bagi dua bilangan cacah maupun pecahan dan desimal, dan  baik  dalam menjelaskan berbagai bentuk pecahan (biasa, campuran, desimal, dan persen) dan hubungan di antaranya</v>
      </c>
      <c r="BQ21" s="120"/>
      <c r="BZ21" s="408">
        <f t="shared" si="20"/>
        <v>97</v>
      </c>
      <c r="CC21" s="302">
        <f t="shared" si="21"/>
        <v>93</v>
      </c>
      <c r="CD21" s="303" t="str">
        <f>IF(CC21&gt;KKM!$G$10,"A",IF(CC21&gt;KKM!$H$10,"B",IF(CC21&gt;=KKM!$I$10,"C","D")))</f>
        <v>A</v>
      </c>
      <c r="CE21" s="523">
        <f t="shared" si="22"/>
        <v>99</v>
      </c>
      <c r="CF21" s="115" t="str">
        <f>IF(CE21&gt;KKM!$G$10," sangat baik ",IF(CE21&gt;KKM!$H$10," baik ",IF(CE21&gt;=KKM!$I$10," cukup baik "," perlu bimbingan ")))</f>
        <v xml:space="preserve"> sangat baik </v>
      </c>
      <c r="CG21" s="524">
        <f t="shared" si="23"/>
        <v>79.5</v>
      </c>
      <c r="CH21" s="115" t="str">
        <f>IF(CG21&gt;KKM!$G$10," sangat baik ",IF(CG21&gt;KKM!$H$10," baik ",IF(CG21&gt;=KKM!$I$10," cukup baik "," perlu bimbingan ")))</f>
        <v xml:space="preserve"> cukup baik </v>
      </c>
      <c r="CI21" s="301" t="str">
        <f t="shared" si="30"/>
        <v>Anak 17 sangat baik  dalam menjelaskan pecahan-pecahan senilai dengan gambar dan model konkret, dan  cukup baik  dalam menjelaskan berbagai bentuk pecahan (biasa, campuran, desimal, dan persen) dan hubungan di antaranya</v>
      </c>
      <c r="CJ21" s="307" t="str">
        <f t="shared" si="24"/>
        <v xml:space="preserve"> sangat baik  dalam menjelaskan pecahan-pecahan senilai dengan gambar dan model konkret</v>
      </c>
      <c r="CK21" s="307" t="str">
        <f t="shared" si="25"/>
        <v xml:space="preserve"> cukup baik  dalam menjelaskan berbagai bentuk pecahan (biasa, campuran, desimal, dan persen) dan hubungan di antaranya</v>
      </c>
      <c r="CL21" s="307" t="str">
        <f t="shared" si="26"/>
        <v xml:space="preserve"> sangat baik  dalam menjelaskan pecahan-pecahan senilai dengan gambar dan model konkret, dan  cukup baik  dalam menjelaskan berbagai bentuk pecahan (biasa, campuran, desimal, dan persen) dan hubungan di antaranya</v>
      </c>
      <c r="CM21" s="307" t="str">
        <f t="shared" si="27"/>
        <v xml:space="preserve"> </v>
      </c>
      <c r="CN21" s="308" t="str">
        <f t="shared" si="28"/>
        <v xml:space="preserve"> sangat baik  dalam menjelaskan pecahan-pecahan senilai dengan gambar dan model konkret, dan  cukup baik  dalam menjelaskan berbagai bentuk pecahan (biasa, campuran, desimal, dan persen) dan hubungan di antaranya</v>
      </c>
      <c r="CO21" s="301" t="str">
        <f t="shared" si="29"/>
        <v>Anak 17 sangat baik  dalam menjelaskan pecahan-pecahan senilai dengan gambar dan model konkret, dan  cukup baik  dalam menjelaskan berbagai bentuk pecahan (biasa, campuran, desimal, dan persen) dan hubungan di antaranya</v>
      </c>
    </row>
    <row r="22" spans="2:93" ht="33.75" customHeight="1">
      <c r="B22" s="109">
        <v>18</v>
      </c>
      <c r="C22" s="110">
        <f>SISWA!B23</f>
        <v>0</v>
      </c>
      <c r="D22" s="111" t="str">
        <f>SISWA!E23</f>
        <v>Anak 18</v>
      </c>
      <c r="E22" s="631">
        <v>99</v>
      </c>
      <c r="F22" s="631">
        <v>99</v>
      </c>
      <c r="G22" s="631">
        <v>99</v>
      </c>
      <c r="H22" s="631">
        <v>99</v>
      </c>
      <c r="I22" s="631">
        <v>99</v>
      </c>
      <c r="J22" s="631">
        <v>99</v>
      </c>
      <c r="K22" s="613">
        <v>99</v>
      </c>
      <c r="L22" s="613"/>
      <c r="M22" s="613"/>
      <c r="N22" s="630"/>
      <c r="O22" s="630"/>
      <c r="P22" s="630"/>
      <c r="Q22" s="630"/>
      <c r="R22" s="630"/>
      <c r="S22" s="630"/>
      <c r="T22" s="630"/>
      <c r="U22" s="613"/>
      <c r="V22" s="610"/>
      <c r="W22" s="631">
        <v>99</v>
      </c>
      <c r="X22" s="613">
        <v>79.5</v>
      </c>
      <c r="Y22" s="631">
        <v>99</v>
      </c>
      <c r="Z22" s="631"/>
      <c r="AA22" s="631"/>
      <c r="AB22" s="631"/>
      <c r="AC22" s="609"/>
      <c r="AD22" s="610"/>
      <c r="AE22" s="613">
        <v>79.5</v>
      </c>
      <c r="AF22" s="613">
        <v>89</v>
      </c>
      <c r="AG22" s="613"/>
      <c r="AH22" s="613"/>
      <c r="AI22" s="613"/>
      <c r="AJ22" s="613"/>
      <c r="AK22" s="613"/>
      <c r="AL22" s="518"/>
      <c r="AM22" s="607">
        <f t="shared" si="9"/>
        <v>94.125</v>
      </c>
      <c r="AN22" s="607">
        <f t="shared" si="10"/>
        <v>91.625</v>
      </c>
      <c r="AO22" s="607">
        <f t="shared" si="11"/>
        <v>99</v>
      </c>
      <c r="AP22" s="607">
        <f t="shared" si="12"/>
        <v>99</v>
      </c>
      <c r="AQ22" s="607">
        <f t="shared" si="13"/>
        <v>99</v>
      </c>
      <c r="AR22" s="607">
        <f t="shared" si="14"/>
        <v>99</v>
      </c>
      <c r="AS22" s="607">
        <f t="shared" si="15"/>
        <v>99</v>
      </c>
      <c r="AT22" s="607"/>
      <c r="AU22" s="607"/>
      <c r="AV22" s="607"/>
      <c r="AW22" s="607"/>
      <c r="AX22" s="607"/>
      <c r="AY22" s="607"/>
      <c r="AZ22" s="607"/>
      <c r="BA22" s="607"/>
      <c r="BB22" s="607"/>
      <c r="BC22" s="302">
        <f t="shared" si="3"/>
        <v>97</v>
      </c>
      <c r="BD22" s="303" t="str">
        <f>IF(BC22&gt;KKM!$G$10,"A",IF(BC22&gt;KKM!$H$10,"B",IF(BC22&gt;=KKM!$I$10,"C","D")))</f>
        <v>A</v>
      </c>
      <c r="BE22" s="523">
        <f t="shared" si="4"/>
        <v>99</v>
      </c>
      <c r="BF22" s="115" t="str">
        <f>IF(BE22&gt;KKM!$G$10," sangat baik ",IF(BE22&gt;KKM!$H$10," baik ",IF(BE22&gt;=KKM!$I$10," cukup baik "," perlu bimbingan ")))</f>
        <v xml:space="preserve"> sangat baik </v>
      </c>
      <c r="BG22" s="524">
        <f t="shared" si="5"/>
        <v>91.625</v>
      </c>
      <c r="BH22" s="115" t="str">
        <f>IF(BG22&gt;KKM!$G$10," sangat baik ",IF(BG22&gt;KKM!$H$10," baik ",IF(BG22&gt;=KKM!$I$10," cukup baik "," perlu bimbingan ")))</f>
        <v xml:space="preserve"> sangat baik </v>
      </c>
      <c r="BI22" s="301" t="str">
        <f t="shared" si="16"/>
        <v>Anak 18 sangat baik  dalam menjelaskan dan melakukan penaksiran dari jumlah, selisih, hasil kali, dan hasil bagi dua bilangan cacah maupun pecahan dan desimal, dan  sangat baik  dalam menjelaskan berbagai bentuk pecahan (biasa, campuran, desimal, dan persen) dan hubungan di antaranya</v>
      </c>
      <c r="BJ22" s="306"/>
      <c r="BK22" s="307" t="str">
        <f t="shared" si="6"/>
        <v xml:space="preserve"> sangat baik  dalam menjelaskan dan melakukan penaksiran dari jumlah, selisih, hasil kali, dan hasil bagi dua bilangan cacah maupun pecahan dan desimal</v>
      </c>
      <c r="BL22" s="307" t="str">
        <f t="shared" si="7"/>
        <v xml:space="preserve"> sangat baik  dalam menjelaskan berbagai bentuk pecahan (biasa, campuran, desimal, dan persen) dan hubungan di antaranya</v>
      </c>
      <c r="BM22"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22" s="307" t="str">
        <f t="shared" si="18"/>
        <v xml:space="preserve"> </v>
      </c>
      <c r="BO22"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22" s="301" t="str">
        <f t="shared" si="8"/>
        <v>Anak 18 sangat baik  dalam menjelaskan dan melakukan penaksiran dari jumlah, selisih, hasil kali, dan hasil bagi dua bilangan cacah maupun pecahan dan desimal, dan  sangat baik  dalam menjelaskan berbagai bentuk pecahan (biasa, campuran, desimal, dan persen) dan hubungan di antaranya</v>
      </c>
      <c r="BQ22" s="120"/>
      <c r="BZ22" s="408">
        <f t="shared" si="20"/>
        <v>97</v>
      </c>
      <c r="CC22" s="302">
        <f t="shared" si="21"/>
        <v>93</v>
      </c>
      <c r="CD22" s="303" t="str">
        <f>IF(CC22&gt;KKM!$G$10,"A",IF(CC22&gt;KKM!$H$10,"B",IF(CC22&gt;=KKM!$I$10,"C","D")))</f>
        <v>A</v>
      </c>
      <c r="CE22" s="523">
        <f t="shared" si="22"/>
        <v>99</v>
      </c>
      <c r="CF22" s="115" t="str">
        <f>IF(CE22&gt;KKM!$G$10," sangat baik ",IF(CE22&gt;KKM!$H$10," baik ",IF(CE22&gt;=KKM!$I$10," cukup baik "," perlu bimbingan ")))</f>
        <v xml:space="preserve"> sangat baik </v>
      </c>
      <c r="CG22" s="524">
        <f t="shared" si="23"/>
        <v>79.5</v>
      </c>
      <c r="CH22" s="115" t="str">
        <f>IF(CG22&gt;KKM!$G$10," sangat baik ",IF(CG22&gt;KKM!$H$10," baik ",IF(CG22&gt;=KKM!$I$10," cukup baik "," perlu bimbingan ")))</f>
        <v xml:space="preserve"> cukup baik </v>
      </c>
      <c r="CI22" s="301" t="str">
        <f t="shared" si="30"/>
        <v>Anak 18 sangat baik  dalam menjelaskan pecahan-pecahan senilai dengan gambar dan model konkret, dan  cukup baik  dalam menjelaskan berbagai bentuk pecahan (biasa, campuran, desimal, dan persen) dan hubungan di antaranya</v>
      </c>
      <c r="CJ22" s="307" t="str">
        <f t="shared" si="24"/>
        <v xml:space="preserve"> sangat baik  dalam menjelaskan pecahan-pecahan senilai dengan gambar dan model konkret</v>
      </c>
      <c r="CK22" s="307" t="str">
        <f t="shared" si="25"/>
        <v xml:space="preserve"> cukup baik  dalam menjelaskan berbagai bentuk pecahan (biasa, campuran, desimal, dan persen) dan hubungan di antaranya</v>
      </c>
      <c r="CL22" s="307" t="str">
        <f t="shared" si="26"/>
        <v xml:space="preserve"> sangat baik  dalam menjelaskan pecahan-pecahan senilai dengan gambar dan model konkret, dan  cukup baik  dalam menjelaskan berbagai bentuk pecahan (biasa, campuran, desimal, dan persen) dan hubungan di antaranya</v>
      </c>
      <c r="CM22" s="307" t="str">
        <f t="shared" si="27"/>
        <v xml:space="preserve"> </v>
      </c>
      <c r="CN22" s="308" t="str">
        <f t="shared" si="28"/>
        <v xml:space="preserve"> sangat baik  dalam menjelaskan pecahan-pecahan senilai dengan gambar dan model konkret, dan  cukup baik  dalam menjelaskan berbagai bentuk pecahan (biasa, campuran, desimal, dan persen) dan hubungan di antaranya</v>
      </c>
      <c r="CO22" s="301" t="str">
        <f t="shared" si="29"/>
        <v>Anak 18 sangat baik  dalam menjelaskan pecahan-pecahan senilai dengan gambar dan model konkret, dan  cukup baik  dalam menjelaskan berbagai bentuk pecahan (biasa, campuran, desimal, dan persen) dan hubungan di antaranya</v>
      </c>
    </row>
    <row r="23" spans="2:93" ht="33.75" customHeight="1">
      <c r="B23" s="109">
        <v>19</v>
      </c>
      <c r="C23" s="110">
        <f>SISWA!B24</f>
        <v>0</v>
      </c>
      <c r="D23" s="111" t="str">
        <f>SISWA!E24</f>
        <v>Anak 19</v>
      </c>
      <c r="E23" s="631">
        <v>99</v>
      </c>
      <c r="F23" s="631">
        <v>99</v>
      </c>
      <c r="G23" s="631">
        <v>99</v>
      </c>
      <c r="H23" s="631">
        <v>99</v>
      </c>
      <c r="I23" s="631">
        <v>99</v>
      </c>
      <c r="J23" s="631">
        <v>99</v>
      </c>
      <c r="K23" s="613">
        <v>99</v>
      </c>
      <c r="L23" s="613"/>
      <c r="M23" s="613"/>
      <c r="N23" s="630"/>
      <c r="O23" s="630"/>
      <c r="P23" s="630"/>
      <c r="Q23" s="630"/>
      <c r="R23" s="630"/>
      <c r="S23" s="630"/>
      <c r="T23" s="630"/>
      <c r="U23" s="613"/>
      <c r="V23" s="610"/>
      <c r="W23" s="631">
        <v>99</v>
      </c>
      <c r="X23" s="613">
        <v>89</v>
      </c>
      <c r="Y23" s="631">
        <v>99</v>
      </c>
      <c r="Z23" s="631"/>
      <c r="AA23" s="631"/>
      <c r="AB23" s="631"/>
      <c r="AC23" s="609"/>
      <c r="AD23" s="610"/>
      <c r="AE23" s="613">
        <v>89</v>
      </c>
      <c r="AF23" s="613">
        <v>81</v>
      </c>
      <c r="AG23" s="613"/>
      <c r="AH23" s="613"/>
      <c r="AI23" s="613"/>
      <c r="AJ23" s="613"/>
      <c r="AK23" s="613"/>
      <c r="AL23" s="518"/>
      <c r="AM23" s="607">
        <f t="shared" si="9"/>
        <v>96.5</v>
      </c>
      <c r="AN23" s="607">
        <f t="shared" si="10"/>
        <v>92</v>
      </c>
      <c r="AO23" s="607">
        <f t="shared" si="11"/>
        <v>99</v>
      </c>
      <c r="AP23" s="607">
        <f t="shared" si="12"/>
        <v>99</v>
      </c>
      <c r="AQ23" s="607">
        <f t="shared" si="13"/>
        <v>99</v>
      </c>
      <c r="AR23" s="607">
        <f t="shared" si="14"/>
        <v>99</v>
      </c>
      <c r="AS23" s="607">
        <f t="shared" si="15"/>
        <v>99</v>
      </c>
      <c r="AT23" s="607"/>
      <c r="AU23" s="607"/>
      <c r="AV23" s="607"/>
      <c r="AW23" s="607"/>
      <c r="AX23" s="607"/>
      <c r="AY23" s="607"/>
      <c r="AZ23" s="607"/>
      <c r="BA23" s="607"/>
      <c r="BB23" s="607"/>
      <c r="BC23" s="302">
        <f t="shared" si="3"/>
        <v>98</v>
      </c>
      <c r="BD23" s="303" t="str">
        <f>IF(BC23&gt;KKM!$G$10,"A",IF(BC23&gt;KKM!$H$10,"B",IF(BC23&gt;=KKM!$I$10,"C","D")))</f>
        <v>A</v>
      </c>
      <c r="BE23" s="523">
        <f t="shared" si="4"/>
        <v>99</v>
      </c>
      <c r="BF23" s="115" t="str">
        <f>IF(BE23&gt;KKM!$G$10," sangat baik ",IF(BE23&gt;KKM!$H$10," baik ",IF(BE23&gt;=KKM!$I$10," cukup baik "," perlu bimbingan ")))</f>
        <v xml:space="preserve"> sangat baik </v>
      </c>
      <c r="BG23" s="524">
        <f t="shared" si="5"/>
        <v>92</v>
      </c>
      <c r="BH23" s="115" t="str">
        <f>IF(BG23&gt;KKM!$G$10," sangat baik ",IF(BG23&gt;KKM!$H$10," baik ",IF(BG23&gt;=KKM!$I$10," cukup baik "," perlu bimbingan ")))</f>
        <v xml:space="preserve"> sangat baik </v>
      </c>
      <c r="BI23" s="301" t="str">
        <f t="shared" si="16"/>
        <v>Anak 19 sangat baik  dalam menjelaskan dan melakukan penaksiran dari jumlah, selisih, hasil kali, dan hasil bagi dua bilangan cacah maupun pecahan dan desimal, dan  sangat baik  dalam menjelaskan berbagai bentuk pecahan (biasa, campuran, desimal, dan persen) dan hubungan di antaranya</v>
      </c>
      <c r="BJ23" s="306"/>
      <c r="BK23" s="307" t="str">
        <f t="shared" si="6"/>
        <v xml:space="preserve"> sangat baik  dalam menjelaskan dan melakukan penaksiran dari jumlah, selisih, hasil kali, dan hasil bagi dua bilangan cacah maupun pecahan dan desimal</v>
      </c>
      <c r="BL23" s="307" t="str">
        <f t="shared" si="7"/>
        <v xml:space="preserve"> sangat baik  dalam menjelaskan berbagai bentuk pecahan (biasa, campuran, desimal, dan persen) dan hubungan di antaranya</v>
      </c>
      <c r="BM23"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23" s="307" t="str">
        <f t="shared" si="18"/>
        <v xml:space="preserve"> </v>
      </c>
      <c r="BO23"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23" s="301" t="str">
        <f t="shared" si="8"/>
        <v>Anak 19 sangat baik  dalam menjelaskan dan melakukan penaksiran dari jumlah, selisih, hasil kali, dan hasil bagi dua bilangan cacah maupun pecahan dan desimal, dan  sangat baik  dalam menjelaskan berbagai bentuk pecahan (biasa, campuran, desimal, dan persen) dan hubungan di antaranya</v>
      </c>
      <c r="BQ23" s="120"/>
      <c r="BZ23" s="408">
        <f t="shared" si="20"/>
        <v>98</v>
      </c>
      <c r="CC23" s="302">
        <f t="shared" si="21"/>
        <v>96</v>
      </c>
      <c r="CD23" s="303" t="str">
        <f>IF(CC23&gt;KKM!$G$10,"A",IF(CC23&gt;KKM!$H$10,"B",IF(CC23&gt;=KKM!$I$10,"C","D")))</f>
        <v>A</v>
      </c>
      <c r="CE23" s="523">
        <f t="shared" si="22"/>
        <v>99</v>
      </c>
      <c r="CF23" s="115" t="str">
        <f>IF(CE23&gt;KKM!$G$10," sangat baik ",IF(CE23&gt;KKM!$H$10," baik ",IF(CE23&gt;=KKM!$I$10," cukup baik "," perlu bimbingan ")))</f>
        <v xml:space="preserve"> sangat baik </v>
      </c>
      <c r="CG23" s="524">
        <f t="shared" si="23"/>
        <v>89</v>
      </c>
      <c r="CH23" s="115" t="str">
        <f>IF(CG23&gt;KKM!$G$10," sangat baik ",IF(CG23&gt;KKM!$H$10," baik ",IF(CG23&gt;=KKM!$I$10," cukup baik "," perlu bimbingan ")))</f>
        <v xml:space="preserve"> baik </v>
      </c>
      <c r="CI23" s="301" t="str">
        <f t="shared" si="30"/>
        <v>Anak 19 sangat baik  dalam menjelaskan pecahan-pecahan senilai dengan gambar dan model konkret, dan  baik  dalam menjelaskan berbagai bentuk pecahan (biasa, campuran, desimal, dan persen) dan hubungan di antaranya</v>
      </c>
      <c r="CJ23" s="307" t="str">
        <f t="shared" si="24"/>
        <v xml:space="preserve"> sangat baik  dalam menjelaskan pecahan-pecahan senilai dengan gambar dan model konkret</v>
      </c>
      <c r="CK23" s="307" t="str">
        <f t="shared" si="25"/>
        <v xml:space="preserve"> baik  dalam menjelaskan berbagai bentuk pecahan (biasa, campuran, desimal, dan persen) dan hubungan di antaranya</v>
      </c>
      <c r="CL23" s="307" t="str">
        <f t="shared" si="26"/>
        <v xml:space="preserve"> sangat baik  dalam menjelaskan pecahan-pecahan senilai dengan gambar dan model konkret, dan  baik  dalam menjelaskan berbagai bentuk pecahan (biasa, campuran, desimal, dan persen) dan hubungan di antaranya</v>
      </c>
      <c r="CM23" s="307" t="str">
        <f t="shared" si="27"/>
        <v xml:space="preserve"> </v>
      </c>
      <c r="CN23" s="308" t="str">
        <f t="shared" si="28"/>
        <v xml:space="preserve"> sangat baik  dalam menjelaskan pecahan-pecahan senilai dengan gambar dan model konkret, dan  baik  dalam menjelaskan berbagai bentuk pecahan (biasa, campuran, desimal, dan persen) dan hubungan di antaranya</v>
      </c>
      <c r="CO23" s="301" t="str">
        <f t="shared" si="29"/>
        <v>Anak 19 sangat baik  dalam menjelaskan pecahan-pecahan senilai dengan gambar dan model konkret, dan  baik  dalam menjelaskan berbagai bentuk pecahan (biasa, campuran, desimal, dan persen) dan hubungan di antaranya</v>
      </c>
    </row>
    <row r="24" spans="2:93" ht="33.75" customHeight="1">
      <c r="B24" s="109">
        <v>20</v>
      </c>
      <c r="C24" s="110">
        <f>SISWA!B25</f>
        <v>0</v>
      </c>
      <c r="D24" s="111" t="str">
        <f>SISWA!E25</f>
        <v>Anak 20</v>
      </c>
      <c r="E24" s="631">
        <v>99</v>
      </c>
      <c r="F24" s="631">
        <v>99</v>
      </c>
      <c r="G24" s="631">
        <v>99</v>
      </c>
      <c r="H24" s="631">
        <v>99</v>
      </c>
      <c r="I24" s="631">
        <v>99</v>
      </c>
      <c r="J24" s="631">
        <v>99</v>
      </c>
      <c r="K24" s="613">
        <v>99</v>
      </c>
      <c r="L24" s="613"/>
      <c r="M24" s="613"/>
      <c r="N24" s="630"/>
      <c r="O24" s="630"/>
      <c r="P24" s="630"/>
      <c r="Q24" s="630"/>
      <c r="R24" s="630"/>
      <c r="S24" s="630"/>
      <c r="T24" s="630"/>
      <c r="U24" s="613"/>
      <c r="V24" s="610"/>
      <c r="W24" s="631">
        <v>99</v>
      </c>
      <c r="X24" s="613">
        <v>81</v>
      </c>
      <c r="Y24" s="631">
        <v>99</v>
      </c>
      <c r="Z24" s="631"/>
      <c r="AA24" s="631"/>
      <c r="AB24" s="631"/>
      <c r="AC24" s="609"/>
      <c r="AD24" s="610"/>
      <c r="AE24" s="613">
        <v>81</v>
      </c>
      <c r="AF24" s="613">
        <v>76.5</v>
      </c>
      <c r="AG24" s="613"/>
      <c r="AH24" s="613"/>
      <c r="AI24" s="613"/>
      <c r="AJ24" s="613"/>
      <c r="AK24" s="613"/>
      <c r="AL24" s="518"/>
      <c r="AM24" s="607">
        <f t="shared" si="9"/>
        <v>94.5</v>
      </c>
      <c r="AN24" s="607">
        <f t="shared" si="10"/>
        <v>88.875</v>
      </c>
      <c r="AO24" s="607">
        <f t="shared" si="11"/>
        <v>99</v>
      </c>
      <c r="AP24" s="607">
        <f t="shared" si="12"/>
        <v>99</v>
      </c>
      <c r="AQ24" s="607">
        <f t="shared" si="13"/>
        <v>99</v>
      </c>
      <c r="AR24" s="607">
        <f t="shared" si="14"/>
        <v>99</v>
      </c>
      <c r="AS24" s="607">
        <f t="shared" si="15"/>
        <v>99</v>
      </c>
      <c r="AT24" s="607"/>
      <c r="AU24" s="607"/>
      <c r="AV24" s="607"/>
      <c r="AW24" s="607"/>
      <c r="AX24" s="607"/>
      <c r="AY24" s="607"/>
      <c r="AZ24" s="607"/>
      <c r="BA24" s="607"/>
      <c r="BB24" s="607"/>
      <c r="BC24" s="302">
        <f t="shared" si="3"/>
        <v>97</v>
      </c>
      <c r="BD24" s="303" t="str">
        <f>IF(BC24&gt;KKM!$G$10,"A",IF(BC24&gt;KKM!$H$10,"B",IF(BC24&gt;=KKM!$I$10,"C","D")))</f>
        <v>A</v>
      </c>
      <c r="BE24" s="523">
        <f t="shared" si="4"/>
        <v>99</v>
      </c>
      <c r="BF24" s="115" t="str">
        <f>IF(BE24&gt;KKM!$G$10," sangat baik ",IF(BE24&gt;KKM!$H$10," baik ",IF(BE24&gt;=KKM!$I$10," cukup baik "," perlu bimbingan ")))</f>
        <v xml:space="preserve"> sangat baik </v>
      </c>
      <c r="BG24" s="524">
        <f t="shared" si="5"/>
        <v>88.875</v>
      </c>
      <c r="BH24" s="115" t="str">
        <f>IF(BG24&gt;KKM!$G$10," sangat baik ",IF(BG24&gt;KKM!$H$10," baik ",IF(BG24&gt;=KKM!$I$10," cukup baik "," perlu bimbingan ")))</f>
        <v xml:space="preserve"> baik </v>
      </c>
      <c r="BI24" s="301" t="str">
        <f t="shared" si="16"/>
        <v>Anak 20 sangat baik  dalam menjelaskan dan melakukan penaksiran dari jumlah, selisih, hasil kali, dan hasil bagi dua bilangan cacah maupun pecahan dan desimal, dan  baik  dalam menjelaskan berbagai bentuk pecahan (biasa, campuran, desimal, dan persen) dan hubungan di antaranya</v>
      </c>
      <c r="BJ24" s="306"/>
      <c r="BK24" s="307" t="str">
        <f t="shared" si="6"/>
        <v xml:space="preserve"> sangat baik  dalam menjelaskan dan melakukan penaksiran dari jumlah, selisih, hasil kali, dan hasil bagi dua bilangan cacah maupun pecahan dan desimal</v>
      </c>
      <c r="BL24" s="307" t="str">
        <f t="shared" si="7"/>
        <v xml:space="preserve"> baik  dalam menjelaskan berbagai bentuk pecahan (biasa, campuran, desimal, dan persen) dan hubungan di antaranya</v>
      </c>
      <c r="BM24"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24" s="307" t="str">
        <f t="shared" si="18"/>
        <v xml:space="preserve"> </v>
      </c>
      <c r="BO24"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24" s="301" t="str">
        <f t="shared" si="8"/>
        <v>Anak 20 sangat baik  dalam menjelaskan dan melakukan penaksiran dari jumlah, selisih, hasil kali, dan hasil bagi dua bilangan cacah maupun pecahan dan desimal, dan  baik  dalam menjelaskan berbagai bentuk pecahan (biasa, campuran, desimal, dan persen) dan hubungan di antaranya</v>
      </c>
      <c r="BQ24" s="120"/>
      <c r="BZ24" s="408">
        <f t="shared" si="20"/>
        <v>97</v>
      </c>
      <c r="CC24" s="302">
        <f t="shared" si="21"/>
        <v>93</v>
      </c>
      <c r="CD24" s="303" t="str">
        <f>IF(CC24&gt;KKM!$G$10,"A",IF(CC24&gt;KKM!$H$10,"B",IF(CC24&gt;=KKM!$I$10,"C","D")))</f>
        <v>A</v>
      </c>
      <c r="CE24" s="523">
        <f t="shared" si="22"/>
        <v>99</v>
      </c>
      <c r="CF24" s="115" t="str">
        <f>IF(CE24&gt;KKM!$G$10," sangat baik ",IF(CE24&gt;KKM!$H$10," baik ",IF(CE24&gt;=KKM!$I$10," cukup baik "," perlu bimbingan ")))</f>
        <v xml:space="preserve"> sangat baik </v>
      </c>
      <c r="CG24" s="524">
        <f t="shared" si="23"/>
        <v>81</v>
      </c>
      <c r="CH24" s="115" t="str">
        <f>IF(CG24&gt;KKM!$G$10," sangat baik ",IF(CG24&gt;KKM!$H$10," baik ",IF(CG24&gt;=KKM!$I$10," cukup baik "," perlu bimbingan ")))</f>
        <v xml:space="preserve"> baik </v>
      </c>
      <c r="CI24" s="301" t="str">
        <f t="shared" si="30"/>
        <v>Anak 20 sangat baik  dalam menjelaskan pecahan-pecahan senilai dengan gambar dan model konkret, dan  baik  dalam menjelaskan berbagai bentuk pecahan (biasa, campuran, desimal, dan persen) dan hubungan di antaranya</v>
      </c>
      <c r="CJ24" s="307" t="str">
        <f t="shared" si="24"/>
        <v xml:space="preserve"> sangat baik  dalam menjelaskan pecahan-pecahan senilai dengan gambar dan model konkret</v>
      </c>
      <c r="CK24" s="307" t="str">
        <f t="shared" si="25"/>
        <v xml:space="preserve"> baik  dalam menjelaskan berbagai bentuk pecahan (biasa, campuran, desimal, dan persen) dan hubungan di antaranya</v>
      </c>
      <c r="CL24" s="307" t="str">
        <f t="shared" si="26"/>
        <v xml:space="preserve"> sangat baik  dalam menjelaskan pecahan-pecahan senilai dengan gambar dan model konkret, dan  baik  dalam menjelaskan berbagai bentuk pecahan (biasa, campuran, desimal, dan persen) dan hubungan di antaranya</v>
      </c>
      <c r="CM24" s="307" t="str">
        <f t="shared" si="27"/>
        <v xml:space="preserve"> </v>
      </c>
      <c r="CN24" s="308" t="str">
        <f t="shared" si="28"/>
        <v xml:space="preserve"> sangat baik  dalam menjelaskan pecahan-pecahan senilai dengan gambar dan model konkret, dan  baik  dalam menjelaskan berbagai bentuk pecahan (biasa, campuran, desimal, dan persen) dan hubungan di antaranya</v>
      </c>
      <c r="CO24" s="301" t="str">
        <f t="shared" si="29"/>
        <v>Anak 20 sangat baik  dalam menjelaskan pecahan-pecahan senilai dengan gambar dan model konkret, dan  baik  dalam menjelaskan berbagai bentuk pecahan (biasa, campuran, desimal, dan persen) dan hubungan di antaranya</v>
      </c>
    </row>
    <row r="25" spans="2:93" ht="33.75" customHeight="1">
      <c r="B25" s="109">
        <v>21</v>
      </c>
      <c r="C25" s="110">
        <f>SISWA!B26</f>
        <v>0</v>
      </c>
      <c r="D25" s="111" t="str">
        <f>SISWA!E26</f>
        <v>Anak 21</v>
      </c>
      <c r="E25" s="631">
        <v>99</v>
      </c>
      <c r="F25" s="631">
        <v>99</v>
      </c>
      <c r="G25" s="631">
        <v>99</v>
      </c>
      <c r="H25" s="631">
        <v>99</v>
      </c>
      <c r="I25" s="631">
        <v>99</v>
      </c>
      <c r="J25" s="631">
        <v>99</v>
      </c>
      <c r="K25" s="613">
        <v>99</v>
      </c>
      <c r="L25" s="613"/>
      <c r="M25" s="613"/>
      <c r="N25" s="630"/>
      <c r="O25" s="630"/>
      <c r="P25" s="630"/>
      <c r="Q25" s="630"/>
      <c r="R25" s="630"/>
      <c r="S25" s="630"/>
      <c r="T25" s="630"/>
      <c r="U25" s="613"/>
      <c r="V25" s="610"/>
      <c r="W25" s="631">
        <v>99</v>
      </c>
      <c r="X25" s="613">
        <v>76.5</v>
      </c>
      <c r="Y25" s="631">
        <v>99</v>
      </c>
      <c r="Z25" s="631"/>
      <c r="AA25" s="631"/>
      <c r="AB25" s="631"/>
      <c r="AC25" s="609"/>
      <c r="AD25" s="610"/>
      <c r="AE25" s="613">
        <v>76.5</v>
      </c>
      <c r="AF25" s="613">
        <v>86.5</v>
      </c>
      <c r="AG25" s="613"/>
      <c r="AH25" s="613"/>
      <c r="AI25" s="613"/>
      <c r="AJ25" s="613"/>
      <c r="AK25" s="613"/>
      <c r="AL25" s="518"/>
      <c r="AM25" s="607">
        <f t="shared" si="9"/>
        <v>93.375</v>
      </c>
      <c r="AN25" s="607">
        <f t="shared" si="10"/>
        <v>90.25</v>
      </c>
      <c r="AO25" s="607">
        <f t="shared" si="11"/>
        <v>99</v>
      </c>
      <c r="AP25" s="607">
        <f t="shared" si="12"/>
        <v>99</v>
      </c>
      <c r="AQ25" s="607">
        <f t="shared" si="13"/>
        <v>99</v>
      </c>
      <c r="AR25" s="607">
        <f t="shared" si="14"/>
        <v>99</v>
      </c>
      <c r="AS25" s="607">
        <f t="shared" si="15"/>
        <v>99</v>
      </c>
      <c r="AT25" s="607"/>
      <c r="AU25" s="607"/>
      <c r="AV25" s="607"/>
      <c r="AW25" s="607"/>
      <c r="AX25" s="607"/>
      <c r="AY25" s="607"/>
      <c r="AZ25" s="607"/>
      <c r="BA25" s="607"/>
      <c r="BB25" s="607"/>
      <c r="BC25" s="302">
        <f t="shared" si="3"/>
        <v>97</v>
      </c>
      <c r="BD25" s="303" t="str">
        <f>IF(BC25&gt;KKM!$G$10,"A",IF(BC25&gt;KKM!$H$10,"B",IF(BC25&gt;=KKM!$I$10,"C","D")))</f>
        <v>A</v>
      </c>
      <c r="BE25" s="523">
        <f t="shared" si="4"/>
        <v>99</v>
      </c>
      <c r="BF25" s="115" t="str">
        <f>IF(BE25&gt;KKM!$G$10," sangat baik ",IF(BE25&gt;KKM!$H$10," baik ",IF(BE25&gt;=KKM!$I$10," cukup baik "," perlu bimbingan ")))</f>
        <v xml:space="preserve"> sangat baik </v>
      </c>
      <c r="BG25" s="524">
        <f t="shared" si="5"/>
        <v>90.25</v>
      </c>
      <c r="BH25" s="115" t="str">
        <f>IF(BG25&gt;KKM!$G$10," sangat baik ",IF(BG25&gt;KKM!$H$10," baik ",IF(BG25&gt;=KKM!$I$10," cukup baik "," perlu bimbingan ")))</f>
        <v xml:space="preserve"> sangat baik </v>
      </c>
      <c r="BI25" s="301" t="str">
        <f t="shared" si="16"/>
        <v>Anak 21 sangat baik  dalam menjelaskan dan melakukan penaksiran dari jumlah, selisih, hasil kali, dan hasil bagi dua bilangan cacah maupun pecahan dan desimal, dan  sangat baik  dalam menjelaskan berbagai bentuk pecahan (biasa, campuran, desimal, dan persen) dan hubungan di antaranya</v>
      </c>
      <c r="BJ25" s="306"/>
      <c r="BK25" s="307" t="str">
        <f t="shared" si="6"/>
        <v xml:space="preserve"> sangat baik  dalam menjelaskan dan melakukan penaksiran dari jumlah, selisih, hasil kali, dan hasil bagi dua bilangan cacah maupun pecahan dan desimal</v>
      </c>
      <c r="BL25" s="307" t="str">
        <f t="shared" si="7"/>
        <v xml:space="preserve"> sangat baik  dalam menjelaskan berbagai bentuk pecahan (biasa, campuran, desimal, dan persen) dan hubungan di antaranya</v>
      </c>
      <c r="BM25"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25" s="307" t="str">
        <f t="shared" si="18"/>
        <v xml:space="preserve"> </v>
      </c>
      <c r="BO25"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25" s="301" t="str">
        <f t="shared" si="8"/>
        <v>Anak 21 sangat baik  dalam menjelaskan dan melakukan penaksiran dari jumlah, selisih, hasil kali, dan hasil bagi dua bilangan cacah maupun pecahan dan desimal, dan  sangat baik  dalam menjelaskan berbagai bentuk pecahan (biasa, campuran, desimal, dan persen) dan hubungan di antaranya</v>
      </c>
      <c r="BQ25" s="120"/>
      <c r="BZ25" s="408">
        <f t="shared" si="20"/>
        <v>97</v>
      </c>
      <c r="CC25" s="302">
        <f t="shared" si="21"/>
        <v>92</v>
      </c>
      <c r="CD25" s="303" t="str">
        <f>IF(CC25&gt;KKM!$G$10,"A",IF(CC25&gt;KKM!$H$10,"B",IF(CC25&gt;=KKM!$I$10,"C","D")))</f>
        <v>A</v>
      </c>
      <c r="CE25" s="523">
        <f t="shared" si="22"/>
        <v>99</v>
      </c>
      <c r="CF25" s="115" t="str">
        <f>IF(CE25&gt;KKM!$G$10," sangat baik ",IF(CE25&gt;KKM!$H$10," baik ",IF(CE25&gt;=KKM!$I$10," cukup baik "," perlu bimbingan ")))</f>
        <v xml:space="preserve"> sangat baik </v>
      </c>
      <c r="CG25" s="524">
        <f t="shared" si="23"/>
        <v>76.5</v>
      </c>
      <c r="CH25" s="115" t="str">
        <f>IF(CG25&gt;KKM!$G$10," sangat baik ",IF(CG25&gt;KKM!$H$10," baik ",IF(CG25&gt;=KKM!$I$10," cukup baik "," perlu bimbingan ")))</f>
        <v xml:space="preserve"> cukup baik </v>
      </c>
      <c r="CI25" s="301" t="str">
        <f t="shared" si="30"/>
        <v>Anak 21 sangat baik  dalam menjelaskan pecahan-pecahan senilai dengan gambar dan model konkret, dan  cukup baik  dalam menjelaskan berbagai bentuk pecahan (biasa, campuran, desimal, dan persen) dan hubungan di antaranya</v>
      </c>
      <c r="CJ25" s="307" t="str">
        <f t="shared" si="24"/>
        <v xml:space="preserve"> sangat baik  dalam menjelaskan pecahan-pecahan senilai dengan gambar dan model konkret</v>
      </c>
      <c r="CK25" s="307" t="str">
        <f t="shared" si="25"/>
        <v xml:space="preserve"> cukup baik  dalam menjelaskan berbagai bentuk pecahan (biasa, campuran, desimal, dan persen) dan hubungan di antaranya</v>
      </c>
      <c r="CL25" s="307" t="str">
        <f t="shared" si="26"/>
        <v xml:space="preserve"> sangat baik  dalam menjelaskan pecahan-pecahan senilai dengan gambar dan model konkret, dan  cukup baik  dalam menjelaskan berbagai bentuk pecahan (biasa, campuran, desimal, dan persen) dan hubungan di antaranya</v>
      </c>
      <c r="CM25" s="307" t="str">
        <f t="shared" si="27"/>
        <v xml:space="preserve"> </v>
      </c>
      <c r="CN25" s="308" t="str">
        <f t="shared" si="28"/>
        <v xml:space="preserve"> sangat baik  dalam menjelaskan pecahan-pecahan senilai dengan gambar dan model konkret, dan  cukup baik  dalam menjelaskan berbagai bentuk pecahan (biasa, campuran, desimal, dan persen) dan hubungan di antaranya</v>
      </c>
      <c r="CO25" s="301" t="str">
        <f t="shared" si="29"/>
        <v>Anak 21 sangat baik  dalam menjelaskan pecahan-pecahan senilai dengan gambar dan model konkret, dan  cukup baik  dalam menjelaskan berbagai bentuk pecahan (biasa, campuran, desimal, dan persen) dan hubungan di antaranya</v>
      </c>
    </row>
    <row r="26" spans="2:93" ht="33.75" customHeight="1">
      <c r="B26" s="109">
        <v>22</v>
      </c>
      <c r="C26" s="110">
        <f>SISWA!B27</f>
        <v>0</v>
      </c>
      <c r="D26" s="111" t="str">
        <f>SISWA!E27</f>
        <v>Anak 22</v>
      </c>
      <c r="E26" s="631">
        <v>99</v>
      </c>
      <c r="F26" s="631">
        <v>99</v>
      </c>
      <c r="G26" s="631">
        <v>99</v>
      </c>
      <c r="H26" s="631">
        <v>99</v>
      </c>
      <c r="I26" s="631">
        <v>99</v>
      </c>
      <c r="J26" s="631">
        <v>99</v>
      </c>
      <c r="K26" s="613">
        <v>99</v>
      </c>
      <c r="L26" s="613"/>
      <c r="M26" s="613"/>
      <c r="N26" s="630"/>
      <c r="O26" s="630"/>
      <c r="P26" s="630"/>
      <c r="Q26" s="630"/>
      <c r="R26" s="630"/>
      <c r="S26" s="630"/>
      <c r="T26" s="630"/>
      <c r="U26" s="613"/>
      <c r="V26" s="610"/>
      <c r="W26" s="631">
        <v>99</v>
      </c>
      <c r="X26" s="613">
        <v>86.5</v>
      </c>
      <c r="Y26" s="631">
        <v>99</v>
      </c>
      <c r="Z26" s="631"/>
      <c r="AA26" s="631"/>
      <c r="AB26" s="631"/>
      <c r="AC26" s="609"/>
      <c r="AD26" s="610"/>
      <c r="AE26" s="613">
        <v>86.5</v>
      </c>
      <c r="AF26" s="613">
        <v>90</v>
      </c>
      <c r="AG26" s="613"/>
      <c r="AH26" s="613"/>
      <c r="AI26" s="613"/>
      <c r="AJ26" s="613"/>
      <c r="AK26" s="613"/>
      <c r="AL26" s="518"/>
      <c r="AM26" s="607">
        <f t="shared" si="9"/>
        <v>95.875</v>
      </c>
      <c r="AN26" s="607">
        <f t="shared" si="10"/>
        <v>93.625</v>
      </c>
      <c r="AO26" s="607">
        <f t="shared" si="11"/>
        <v>99</v>
      </c>
      <c r="AP26" s="607">
        <f t="shared" si="12"/>
        <v>99</v>
      </c>
      <c r="AQ26" s="607">
        <f t="shared" si="13"/>
        <v>99</v>
      </c>
      <c r="AR26" s="607">
        <f t="shared" si="14"/>
        <v>99</v>
      </c>
      <c r="AS26" s="607">
        <f t="shared" si="15"/>
        <v>99</v>
      </c>
      <c r="AT26" s="607"/>
      <c r="AU26" s="607"/>
      <c r="AV26" s="607"/>
      <c r="AW26" s="607"/>
      <c r="AX26" s="607"/>
      <c r="AY26" s="607"/>
      <c r="AZ26" s="607"/>
      <c r="BA26" s="607"/>
      <c r="BB26" s="607"/>
      <c r="BC26" s="302">
        <f t="shared" si="3"/>
        <v>98</v>
      </c>
      <c r="BD26" s="303" t="str">
        <f>IF(BC26&gt;KKM!$G$10,"A",IF(BC26&gt;KKM!$H$10,"B",IF(BC26&gt;=KKM!$I$10,"C","D")))</f>
        <v>A</v>
      </c>
      <c r="BE26" s="523">
        <f t="shared" si="4"/>
        <v>99</v>
      </c>
      <c r="BF26" s="115" t="str">
        <f>IF(BE26&gt;KKM!$G$10," sangat baik ",IF(BE26&gt;KKM!$H$10," baik ",IF(BE26&gt;=KKM!$I$10," cukup baik "," perlu bimbingan ")))</f>
        <v xml:space="preserve"> sangat baik </v>
      </c>
      <c r="BG26" s="524">
        <f t="shared" si="5"/>
        <v>93.625</v>
      </c>
      <c r="BH26" s="115" t="str">
        <f>IF(BG26&gt;KKM!$G$10," sangat baik ",IF(BG26&gt;KKM!$H$10," baik ",IF(BG26&gt;=KKM!$I$10," cukup baik "," perlu bimbingan ")))</f>
        <v xml:space="preserve"> sangat baik </v>
      </c>
      <c r="BI26" s="301" t="str">
        <f t="shared" si="16"/>
        <v>Anak 22 sangat baik  dalam menjelaskan dan melakukan penaksiran dari jumlah, selisih, hasil kali, dan hasil bagi dua bilangan cacah maupun pecahan dan desimal, dan  sangat baik  dalam menjelaskan berbagai bentuk pecahan (biasa, campuran, desimal, dan persen) dan hubungan di antaranya</v>
      </c>
      <c r="BJ26" s="306"/>
      <c r="BK26" s="307" t="str">
        <f t="shared" si="6"/>
        <v xml:space="preserve"> sangat baik  dalam menjelaskan dan melakukan penaksiran dari jumlah, selisih, hasil kali, dan hasil bagi dua bilangan cacah maupun pecahan dan desimal</v>
      </c>
      <c r="BL26" s="307" t="str">
        <f t="shared" si="7"/>
        <v xml:space="preserve"> sangat baik  dalam menjelaskan berbagai bentuk pecahan (biasa, campuran, desimal, dan persen) dan hubungan di antaranya</v>
      </c>
      <c r="BM26"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26" s="307" t="str">
        <f t="shared" si="18"/>
        <v xml:space="preserve"> </v>
      </c>
      <c r="BO26"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26" s="301" t="str">
        <f t="shared" si="8"/>
        <v>Anak 22 sangat baik  dalam menjelaskan dan melakukan penaksiran dari jumlah, selisih, hasil kali, dan hasil bagi dua bilangan cacah maupun pecahan dan desimal, dan  sangat baik  dalam menjelaskan berbagai bentuk pecahan (biasa, campuran, desimal, dan persen) dan hubungan di antaranya</v>
      </c>
      <c r="BQ26" s="120"/>
      <c r="BZ26" s="408">
        <f t="shared" si="20"/>
        <v>98</v>
      </c>
      <c r="CC26" s="302">
        <f t="shared" si="21"/>
        <v>95</v>
      </c>
      <c r="CD26" s="303" t="str">
        <f>IF(CC26&gt;KKM!$G$10,"A",IF(CC26&gt;KKM!$H$10,"B",IF(CC26&gt;=KKM!$I$10,"C","D")))</f>
        <v>A</v>
      </c>
      <c r="CE26" s="523">
        <f t="shared" si="22"/>
        <v>99</v>
      </c>
      <c r="CF26" s="115" t="str">
        <f>IF(CE26&gt;KKM!$G$10," sangat baik ",IF(CE26&gt;KKM!$H$10," baik ",IF(CE26&gt;=KKM!$I$10," cukup baik "," perlu bimbingan ")))</f>
        <v xml:space="preserve"> sangat baik </v>
      </c>
      <c r="CG26" s="524">
        <f t="shared" si="23"/>
        <v>86.5</v>
      </c>
      <c r="CH26" s="115" t="str">
        <f>IF(CG26&gt;KKM!$G$10," sangat baik ",IF(CG26&gt;KKM!$H$10," baik ",IF(CG26&gt;=KKM!$I$10," cukup baik "," perlu bimbingan ")))</f>
        <v xml:space="preserve"> baik </v>
      </c>
      <c r="CI26" s="301" t="str">
        <f t="shared" si="30"/>
        <v>Anak 22 sangat baik  dalam menjelaskan pecahan-pecahan senilai dengan gambar dan model konkret, dan  baik  dalam menjelaskan berbagai bentuk pecahan (biasa, campuran, desimal, dan persen) dan hubungan di antaranya</v>
      </c>
      <c r="CJ26" s="307" t="str">
        <f t="shared" si="24"/>
        <v xml:space="preserve"> sangat baik  dalam menjelaskan pecahan-pecahan senilai dengan gambar dan model konkret</v>
      </c>
      <c r="CK26" s="307" t="str">
        <f t="shared" si="25"/>
        <v xml:space="preserve"> baik  dalam menjelaskan berbagai bentuk pecahan (biasa, campuran, desimal, dan persen) dan hubungan di antaranya</v>
      </c>
      <c r="CL26" s="307" t="str">
        <f t="shared" si="26"/>
        <v xml:space="preserve"> sangat baik  dalam menjelaskan pecahan-pecahan senilai dengan gambar dan model konkret, dan  baik  dalam menjelaskan berbagai bentuk pecahan (biasa, campuran, desimal, dan persen) dan hubungan di antaranya</v>
      </c>
      <c r="CM26" s="307" t="str">
        <f t="shared" si="27"/>
        <v xml:space="preserve"> </v>
      </c>
      <c r="CN26" s="308" t="str">
        <f t="shared" si="28"/>
        <v xml:space="preserve"> sangat baik  dalam menjelaskan pecahan-pecahan senilai dengan gambar dan model konkret, dan  baik  dalam menjelaskan berbagai bentuk pecahan (biasa, campuran, desimal, dan persen) dan hubungan di antaranya</v>
      </c>
      <c r="CO26" s="301" t="str">
        <f t="shared" si="29"/>
        <v>Anak 22 sangat baik  dalam menjelaskan pecahan-pecahan senilai dengan gambar dan model konkret, dan  baik  dalam menjelaskan berbagai bentuk pecahan (biasa, campuran, desimal, dan persen) dan hubungan di antaranya</v>
      </c>
    </row>
    <row r="27" spans="2:93" ht="33.75" customHeight="1">
      <c r="B27" s="109">
        <v>23</v>
      </c>
      <c r="C27" s="110">
        <f>SISWA!B28</f>
        <v>0</v>
      </c>
      <c r="D27" s="111" t="str">
        <f>SISWA!E28</f>
        <v>Anak 23</v>
      </c>
      <c r="E27" s="631">
        <v>99</v>
      </c>
      <c r="F27" s="631">
        <v>99</v>
      </c>
      <c r="G27" s="631">
        <v>99</v>
      </c>
      <c r="H27" s="631">
        <v>99</v>
      </c>
      <c r="I27" s="631">
        <v>99</v>
      </c>
      <c r="J27" s="631">
        <v>99</v>
      </c>
      <c r="K27" s="613">
        <v>99</v>
      </c>
      <c r="L27" s="613"/>
      <c r="M27" s="613"/>
      <c r="N27" s="630"/>
      <c r="O27" s="630"/>
      <c r="P27" s="630"/>
      <c r="Q27" s="630"/>
      <c r="R27" s="630"/>
      <c r="S27" s="630"/>
      <c r="T27" s="630"/>
      <c r="U27" s="613"/>
      <c r="V27" s="610"/>
      <c r="W27" s="631">
        <v>99</v>
      </c>
      <c r="X27" s="613">
        <v>90</v>
      </c>
      <c r="Y27" s="631">
        <v>99</v>
      </c>
      <c r="Z27" s="631"/>
      <c r="AA27" s="631"/>
      <c r="AB27" s="631"/>
      <c r="AC27" s="609"/>
      <c r="AD27" s="610"/>
      <c r="AE27" s="613">
        <v>90</v>
      </c>
      <c r="AF27" s="613">
        <v>76.5</v>
      </c>
      <c r="AG27" s="613"/>
      <c r="AH27" s="613"/>
      <c r="AI27" s="613"/>
      <c r="AJ27" s="613"/>
      <c r="AK27" s="613"/>
      <c r="AL27" s="518"/>
      <c r="AM27" s="607">
        <f t="shared" si="9"/>
        <v>96.75</v>
      </c>
      <c r="AN27" s="607">
        <f t="shared" si="10"/>
        <v>91.125</v>
      </c>
      <c r="AO27" s="607">
        <f t="shared" si="11"/>
        <v>99</v>
      </c>
      <c r="AP27" s="607">
        <f t="shared" si="12"/>
        <v>99</v>
      </c>
      <c r="AQ27" s="607">
        <f t="shared" si="13"/>
        <v>99</v>
      </c>
      <c r="AR27" s="607">
        <f t="shared" si="14"/>
        <v>99</v>
      </c>
      <c r="AS27" s="607">
        <f t="shared" si="15"/>
        <v>99</v>
      </c>
      <c r="AT27" s="607"/>
      <c r="AU27" s="607"/>
      <c r="AV27" s="607"/>
      <c r="AW27" s="607"/>
      <c r="AX27" s="607"/>
      <c r="AY27" s="607"/>
      <c r="AZ27" s="607"/>
      <c r="BA27" s="607"/>
      <c r="BB27" s="607"/>
      <c r="BC27" s="302">
        <f t="shared" si="3"/>
        <v>98</v>
      </c>
      <c r="BD27" s="303" t="str">
        <f>IF(BC27&gt;KKM!$G$10,"A",IF(BC27&gt;KKM!$H$10,"B",IF(BC27&gt;=KKM!$I$10,"C","D")))</f>
        <v>A</v>
      </c>
      <c r="BE27" s="523">
        <f t="shared" si="4"/>
        <v>99</v>
      </c>
      <c r="BF27" s="115" t="str">
        <f>IF(BE27&gt;KKM!$G$10," sangat baik ",IF(BE27&gt;KKM!$H$10," baik ",IF(BE27&gt;=KKM!$I$10," cukup baik "," perlu bimbingan ")))</f>
        <v xml:space="preserve"> sangat baik </v>
      </c>
      <c r="BG27" s="524">
        <f t="shared" si="5"/>
        <v>91.125</v>
      </c>
      <c r="BH27" s="115" t="str">
        <f>IF(BG27&gt;KKM!$G$10," sangat baik ",IF(BG27&gt;KKM!$H$10," baik ",IF(BG27&gt;=KKM!$I$10," cukup baik "," perlu bimbingan ")))</f>
        <v xml:space="preserve"> sangat baik </v>
      </c>
      <c r="BI27" s="301" t="str">
        <f t="shared" si="16"/>
        <v>Anak 23 sangat baik  dalam menjelaskan dan melakukan penaksiran dari jumlah, selisih, hasil kali, dan hasil bagi dua bilangan cacah maupun pecahan dan desimal, dan  sangat baik  dalam menjelaskan berbagai bentuk pecahan (biasa, campuran, desimal, dan persen) dan hubungan di antaranya</v>
      </c>
      <c r="BJ27" s="306"/>
      <c r="BK27" s="307" t="str">
        <f t="shared" si="6"/>
        <v xml:space="preserve"> sangat baik  dalam menjelaskan dan melakukan penaksiran dari jumlah, selisih, hasil kali, dan hasil bagi dua bilangan cacah maupun pecahan dan desimal</v>
      </c>
      <c r="BL27" s="307" t="str">
        <f t="shared" si="7"/>
        <v xml:space="preserve"> sangat baik  dalam menjelaskan berbagai bentuk pecahan (biasa, campuran, desimal, dan persen) dan hubungan di antaranya</v>
      </c>
      <c r="BM27"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27" s="307" t="str">
        <f t="shared" si="18"/>
        <v xml:space="preserve"> </v>
      </c>
      <c r="BO27"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27" s="301" t="str">
        <f t="shared" si="8"/>
        <v>Anak 23 sangat baik  dalam menjelaskan dan melakukan penaksiran dari jumlah, selisih, hasil kali, dan hasil bagi dua bilangan cacah maupun pecahan dan desimal, dan  sangat baik  dalam menjelaskan berbagai bentuk pecahan (biasa, campuran, desimal, dan persen) dan hubungan di antaranya</v>
      </c>
      <c r="BQ27" s="120"/>
      <c r="BZ27" s="408">
        <f t="shared" si="20"/>
        <v>98</v>
      </c>
      <c r="CC27" s="302">
        <f t="shared" si="21"/>
        <v>96</v>
      </c>
      <c r="CD27" s="303" t="str">
        <f>IF(CC27&gt;KKM!$G$10,"A",IF(CC27&gt;KKM!$H$10,"B",IF(CC27&gt;=KKM!$I$10,"C","D")))</f>
        <v>A</v>
      </c>
      <c r="CE27" s="523">
        <f t="shared" si="22"/>
        <v>99</v>
      </c>
      <c r="CF27" s="115" t="str">
        <f>IF(CE27&gt;KKM!$G$10," sangat baik ",IF(CE27&gt;KKM!$H$10," baik ",IF(CE27&gt;=KKM!$I$10," cukup baik "," perlu bimbingan ")))</f>
        <v xml:space="preserve"> sangat baik </v>
      </c>
      <c r="CG27" s="524">
        <f t="shared" si="23"/>
        <v>90</v>
      </c>
      <c r="CH27" s="115" t="str">
        <f>IF(CG27&gt;KKM!$G$10," sangat baik ",IF(CG27&gt;KKM!$H$10," baik ",IF(CG27&gt;=KKM!$I$10," cukup baik "," perlu bimbingan ")))</f>
        <v xml:space="preserve"> baik </v>
      </c>
      <c r="CI27" s="301" t="str">
        <f t="shared" si="30"/>
        <v>Anak 23 sangat baik  dalam menjelaskan pecahan-pecahan senilai dengan gambar dan model konkret, dan  baik  dalam menjelaskan berbagai bentuk pecahan (biasa, campuran, desimal, dan persen) dan hubungan di antaranya</v>
      </c>
      <c r="CJ27" s="307" t="str">
        <f t="shared" si="24"/>
        <v xml:space="preserve"> sangat baik  dalam menjelaskan pecahan-pecahan senilai dengan gambar dan model konkret</v>
      </c>
      <c r="CK27" s="307" t="str">
        <f t="shared" si="25"/>
        <v xml:space="preserve"> baik  dalam menjelaskan berbagai bentuk pecahan (biasa, campuran, desimal, dan persen) dan hubungan di antaranya</v>
      </c>
      <c r="CL27" s="307" t="str">
        <f t="shared" si="26"/>
        <v xml:space="preserve"> sangat baik  dalam menjelaskan pecahan-pecahan senilai dengan gambar dan model konkret, dan  baik  dalam menjelaskan berbagai bentuk pecahan (biasa, campuran, desimal, dan persen) dan hubungan di antaranya</v>
      </c>
      <c r="CM27" s="307" t="str">
        <f t="shared" si="27"/>
        <v xml:space="preserve"> </v>
      </c>
      <c r="CN27" s="308" t="str">
        <f t="shared" si="28"/>
        <v xml:space="preserve"> sangat baik  dalam menjelaskan pecahan-pecahan senilai dengan gambar dan model konkret, dan  baik  dalam menjelaskan berbagai bentuk pecahan (biasa, campuran, desimal, dan persen) dan hubungan di antaranya</v>
      </c>
      <c r="CO27" s="301" t="str">
        <f t="shared" si="29"/>
        <v>Anak 23 sangat baik  dalam menjelaskan pecahan-pecahan senilai dengan gambar dan model konkret, dan  baik  dalam menjelaskan berbagai bentuk pecahan (biasa, campuran, desimal, dan persen) dan hubungan di antaranya</v>
      </c>
    </row>
    <row r="28" spans="2:93" ht="33.75" customHeight="1">
      <c r="B28" s="109">
        <v>24</v>
      </c>
      <c r="C28" s="110">
        <f>SISWA!B29</f>
        <v>0</v>
      </c>
      <c r="D28" s="111" t="str">
        <f>SISWA!E29</f>
        <v>Anak 24</v>
      </c>
      <c r="E28" s="631">
        <v>99</v>
      </c>
      <c r="F28" s="631">
        <v>99</v>
      </c>
      <c r="G28" s="631">
        <v>99</v>
      </c>
      <c r="H28" s="631">
        <v>99</v>
      </c>
      <c r="I28" s="631">
        <v>99</v>
      </c>
      <c r="J28" s="631">
        <v>99</v>
      </c>
      <c r="K28" s="613">
        <v>99</v>
      </c>
      <c r="L28" s="613"/>
      <c r="M28" s="613"/>
      <c r="N28" s="630"/>
      <c r="O28" s="630"/>
      <c r="P28" s="630"/>
      <c r="Q28" s="630"/>
      <c r="R28" s="630"/>
      <c r="S28" s="630"/>
      <c r="T28" s="630"/>
      <c r="U28" s="613"/>
      <c r="V28" s="610"/>
      <c r="W28" s="631">
        <v>99</v>
      </c>
      <c r="X28" s="613">
        <v>76.5</v>
      </c>
      <c r="Y28" s="631">
        <v>99</v>
      </c>
      <c r="Z28" s="631"/>
      <c r="AA28" s="631"/>
      <c r="AB28" s="631"/>
      <c r="AC28" s="609"/>
      <c r="AD28" s="610"/>
      <c r="AE28" s="613">
        <v>76.5</v>
      </c>
      <c r="AF28" s="613">
        <v>83</v>
      </c>
      <c r="AG28" s="613"/>
      <c r="AH28" s="613"/>
      <c r="AI28" s="613"/>
      <c r="AJ28" s="613"/>
      <c r="AK28" s="613"/>
      <c r="AL28" s="518"/>
      <c r="AM28" s="607">
        <f t="shared" si="9"/>
        <v>93.375</v>
      </c>
      <c r="AN28" s="607">
        <f t="shared" si="10"/>
        <v>89.375</v>
      </c>
      <c r="AO28" s="607">
        <f t="shared" si="11"/>
        <v>99</v>
      </c>
      <c r="AP28" s="607">
        <f t="shared" si="12"/>
        <v>99</v>
      </c>
      <c r="AQ28" s="607">
        <f t="shared" si="13"/>
        <v>99</v>
      </c>
      <c r="AR28" s="607">
        <f t="shared" si="14"/>
        <v>99</v>
      </c>
      <c r="AS28" s="607">
        <f t="shared" si="15"/>
        <v>99</v>
      </c>
      <c r="AT28" s="607"/>
      <c r="AU28" s="607"/>
      <c r="AV28" s="607"/>
      <c r="AW28" s="607"/>
      <c r="AX28" s="607"/>
      <c r="AY28" s="607"/>
      <c r="AZ28" s="607"/>
      <c r="BA28" s="607"/>
      <c r="BB28" s="607"/>
      <c r="BC28" s="302">
        <f t="shared" si="3"/>
        <v>97</v>
      </c>
      <c r="BD28" s="303" t="str">
        <f>IF(BC28&gt;KKM!$G$10,"A",IF(BC28&gt;KKM!$H$10,"B",IF(BC28&gt;=KKM!$I$10,"C","D")))</f>
        <v>A</v>
      </c>
      <c r="BE28" s="523">
        <f t="shared" si="4"/>
        <v>99</v>
      </c>
      <c r="BF28" s="115" t="str">
        <f>IF(BE28&gt;KKM!$G$10," sangat baik ",IF(BE28&gt;KKM!$H$10," baik ",IF(BE28&gt;=KKM!$I$10," cukup baik "," perlu bimbingan ")))</f>
        <v xml:space="preserve"> sangat baik </v>
      </c>
      <c r="BG28" s="524">
        <f t="shared" si="5"/>
        <v>89.375</v>
      </c>
      <c r="BH28" s="115" t="str">
        <f>IF(BG28&gt;KKM!$G$10," sangat baik ",IF(BG28&gt;KKM!$H$10," baik ",IF(BG28&gt;=KKM!$I$10," cukup baik "," perlu bimbingan ")))</f>
        <v xml:space="preserve"> baik </v>
      </c>
      <c r="BI28" s="301" t="str">
        <f t="shared" si="16"/>
        <v>Anak 24 sangat baik  dalam menjelaskan dan melakukan penaksiran dari jumlah, selisih, hasil kali, dan hasil bagi dua bilangan cacah maupun pecahan dan desimal, dan  baik  dalam menjelaskan berbagai bentuk pecahan (biasa, campuran, desimal, dan persen) dan hubungan di antaranya</v>
      </c>
      <c r="BJ28" s="306"/>
      <c r="BK28" s="307" t="str">
        <f t="shared" si="6"/>
        <v xml:space="preserve"> sangat baik  dalam menjelaskan dan melakukan penaksiran dari jumlah, selisih, hasil kali, dan hasil bagi dua bilangan cacah maupun pecahan dan desimal</v>
      </c>
      <c r="BL28" s="307" t="str">
        <f t="shared" si="7"/>
        <v xml:space="preserve"> baik  dalam menjelaskan berbagai bentuk pecahan (biasa, campuran, desimal, dan persen) dan hubungan di antaranya</v>
      </c>
      <c r="BM28"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28" s="307" t="str">
        <f t="shared" si="18"/>
        <v xml:space="preserve"> </v>
      </c>
      <c r="BO28"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28" s="301" t="str">
        <f t="shared" si="8"/>
        <v>Anak 24 sangat baik  dalam menjelaskan dan melakukan penaksiran dari jumlah, selisih, hasil kali, dan hasil bagi dua bilangan cacah maupun pecahan dan desimal, dan  baik  dalam menjelaskan berbagai bentuk pecahan (biasa, campuran, desimal, dan persen) dan hubungan di antaranya</v>
      </c>
      <c r="BQ28" s="120"/>
      <c r="BZ28" s="408">
        <f t="shared" si="20"/>
        <v>97</v>
      </c>
      <c r="CC28" s="302">
        <f t="shared" si="21"/>
        <v>92</v>
      </c>
      <c r="CD28" s="303" t="str">
        <f>IF(CC28&gt;KKM!$G$10,"A",IF(CC28&gt;KKM!$H$10,"B",IF(CC28&gt;=KKM!$I$10,"C","D")))</f>
        <v>A</v>
      </c>
      <c r="CE28" s="523">
        <f t="shared" si="22"/>
        <v>99</v>
      </c>
      <c r="CF28" s="115" t="str">
        <f>IF(CE28&gt;KKM!$G$10," sangat baik ",IF(CE28&gt;KKM!$H$10," baik ",IF(CE28&gt;=KKM!$I$10," cukup baik "," perlu bimbingan ")))</f>
        <v xml:space="preserve"> sangat baik </v>
      </c>
      <c r="CG28" s="524">
        <f t="shared" si="23"/>
        <v>76.5</v>
      </c>
      <c r="CH28" s="115" t="str">
        <f>IF(CG28&gt;KKM!$G$10," sangat baik ",IF(CG28&gt;KKM!$H$10," baik ",IF(CG28&gt;=KKM!$I$10," cukup baik "," perlu bimbingan ")))</f>
        <v xml:space="preserve"> cukup baik </v>
      </c>
      <c r="CI28" s="301" t="str">
        <f t="shared" si="30"/>
        <v>Anak 24 sangat baik  dalam menjelaskan pecahan-pecahan senilai dengan gambar dan model konkret, dan  cukup baik  dalam menjelaskan berbagai bentuk pecahan (biasa, campuran, desimal, dan persen) dan hubungan di antaranya</v>
      </c>
      <c r="CJ28" s="307" t="str">
        <f t="shared" si="24"/>
        <v xml:space="preserve"> sangat baik  dalam menjelaskan pecahan-pecahan senilai dengan gambar dan model konkret</v>
      </c>
      <c r="CK28" s="307" t="str">
        <f t="shared" si="25"/>
        <v xml:space="preserve"> cukup baik  dalam menjelaskan berbagai bentuk pecahan (biasa, campuran, desimal, dan persen) dan hubungan di antaranya</v>
      </c>
      <c r="CL28" s="307" t="str">
        <f t="shared" si="26"/>
        <v xml:space="preserve"> sangat baik  dalam menjelaskan pecahan-pecahan senilai dengan gambar dan model konkret, dan  cukup baik  dalam menjelaskan berbagai bentuk pecahan (biasa, campuran, desimal, dan persen) dan hubungan di antaranya</v>
      </c>
      <c r="CM28" s="307" t="str">
        <f t="shared" si="27"/>
        <v xml:space="preserve"> </v>
      </c>
      <c r="CN28" s="308" t="str">
        <f t="shared" si="28"/>
        <v xml:space="preserve"> sangat baik  dalam menjelaskan pecahan-pecahan senilai dengan gambar dan model konkret, dan  cukup baik  dalam menjelaskan berbagai bentuk pecahan (biasa, campuran, desimal, dan persen) dan hubungan di antaranya</v>
      </c>
      <c r="CO28" s="301" t="str">
        <f t="shared" si="29"/>
        <v>Anak 24 sangat baik  dalam menjelaskan pecahan-pecahan senilai dengan gambar dan model konkret, dan  cukup baik  dalam menjelaskan berbagai bentuk pecahan (biasa, campuran, desimal, dan persen) dan hubungan di antaranya</v>
      </c>
    </row>
    <row r="29" spans="2:93" ht="33.75" customHeight="1">
      <c r="B29" s="109">
        <v>25</v>
      </c>
      <c r="C29" s="110">
        <f>SISWA!B30</f>
        <v>0</v>
      </c>
      <c r="D29" s="111" t="str">
        <f>SISWA!E30</f>
        <v>Anak 25</v>
      </c>
      <c r="E29" s="631">
        <v>99</v>
      </c>
      <c r="F29" s="631">
        <v>99</v>
      </c>
      <c r="G29" s="631">
        <v>99</v>
      </c>
      <c r="H29" s="631">
        <v>99</v>
      </c>
      <c r="I29" s="631">
        <v>99</v>
      </c>
      <c r="J29" s="631">
        <v>99</v>
      </c>
      <c r="K29" s="613">
        <v>99</v>
      </c>
      <c r="L29" s="613"/>
      <c r="M29" s="613"/>
      <c r="N29" s="630"/>
      <c r="O29" s="630"/>
      <c r="P29" s="630"/>
      <c r="Q29" s="630"/>
      <c r="R29" s="630"/>
      <c r="S29" s="630"/>
      <c r="T29" s="630"/>
      <c r="U29" s="613"/>
      <c r="V29" s="610"/>
      <c r="W29" s="631">
        <v>99</v>
      </c>
      <c r="X29" s="613">
        <v>83</v>
      </c>
      <c r="Y29" s="631">
        <v>99</v>
      </c>
      <c r="Z29" s="631"/>
      <c r="AA29" s="631"/>
      <c r="AB29" s="631"/>
      <c r="AC29" s="609"/>
      <c r="AD29" s="610"/>
      <c r="AE29" s="613">
        <v>83</v>
      </c>
      <c r="AF29" s="613">
        <v>74.5</v>
      </c>
      <c r="AG29" s="613"/>
      <c r="AH29" s="613"/>
      <c r="AI29" s="613"/>
      <c r="AJ29" s="613"/>
      <c r="AK29" s="613"/>
      <c r="AL29" s="518"/>
      <c r="AM29" s="607">
        <f t="shared" si="9"/>
        <v>95</v>
      </c>
      <c r="AN29" s="607">
        <f t="shared" si="10"/>
        <v>88.875</v>
      </c>
      <c r="AO29" s="607">
        <f t="shared" si="11"/>
        <v>99</v>
      </c>
      <c r="AP29" s="607">
        <f t="shared" si="12"/>
        <v>99</v>
      </c>
      <c r="AQ29" s="607">
        <f t="shared" si="13"/>
        <v>99</v>
      </c>
      <c r="AR29" s="607">
        <f t="shared" si="14"/>
        <v>99</v>
      </c>
      <c r="AS29" s="607">
        <f t="shared" si="15"/>
        <v>99</v>
      </c>
      <c r="AT29" s="607"/>
      <c r="AU29" s="607"/>
      <c r="AV29" s="607"/>
      <c r="AW29" s="607"/>
      <c r="AX29" s="607"/>
      <c r="AY29" s="607"/>
      <c r="AZ29" s="607"/>
      <c r="BA29" s="607"/>
      <c r="BB29" s="607"/>
      <c r="BC29" s="302">
        <f t="shared" si="3"/>
        <v>97</v>
      </c>
      <c r="BD29" s="303" t="str">
        <f>IF(BC29&gt;KKM!$G$10,"A",IF(BC29&gt;KKM!$H$10,"B",IF(BC29&gt;=KKM!$I$10,"C","D")))</f>
        <v>A</v>
      </c>
      <c r="BE29" s="523">
        <f t="shared" si="4"/>
        <v>99</v>
      </c>
      <c r="BF29" s="115" t="str">
        <f>IF(BE29&gt;KKM!$G$10," sangat baik ",IF(BE29&gt;KKM!$H$10," baik ",IF(BE29&gt;=KKM!$I$10," cukup baik "," perlu bimbingan ")))</f>
        <v xml:space="preserve"> sangat baik </v>
      </c>
      <c r="BG29" s="524">
        <f t="shared" si="5"/>
        <v>88.875</v>
      </c>
      <c r="BH29" s="115" t="str">
        <f>IF(BG29&gt;KKM!$G$10," sangat baik ",IF(BG29&gt;KKM!$H$10," baik ",IF(BG29&gt;=KKM!$I$10," cukup baik "," perlu bimbingan ")))</f>
        <v xml:space="preserve"> baik </v>
      </c>
      <c r="BI29" s="301" t="str">
        <f t="shared" si="16"/>
        <v>Anak 25 sangat baik  dalam menjelaskan dan melakukan penaksiran dari jumlah, selisih, hasil kali, dan hasil bagi dua bilangan cacah maupun pecahan dan desimal, dan  baik  dalam menjelaskan berbagai bentuk pecahan (biasa, campuran, desimal, dan persen) dan hubungan di antaranya</v>
      </c>
      <c r="BJ29" s="306"/>
      <c r="BK29" s="307" t="str">
        <f t="shared" si="6"/>
        <v xml:space="preserve"> sangat baik  dalam menjelaskan dan melakukan penaksiran dari jumlah, selisih, hasil kali, dan hasil bagi dua bilangan cacah maupun pecahan dan desimal</v>
      </c>
      <c r="BL29" s="307" t="str">
        <f t="shared" si="7"/>
        <v xml:space="preserve"> baik  dalam menjelaskan berbagai bentuk pecahan (biasa, campuran, desimal, dan persen) dan hubungan di antaranya</v>
      </c>
      <c r="BM29"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29" s="307" t="str">
        <f t="shared" si="18"/>
        <v xml:space="preserve"> </v>
      </c>
      <c r="BO29"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29" s="301" t="str">
        <f t="shared" si="8"/>
        <v>Anak 25 sangat baik  dalam menjelaskan dan melakukan penaksiran dari jumlah, selisih, hasil kali, dan hasil bagi dua bilangan cacah maupun pecahan dan desimal, dan  baik  dalam menjelaskan berbagai bentuk pecahan (biasa, campuran, desimal, dan persen) dan hubungan di antaranya</v>
      </c>
      <c r="BQ29" s="120"/>
      <c r="BZ29" s="408">
        <f t="shared" si="20"/>
        <v>97</v>
      </c>
      <c r="CC29" s="302">
        <f t="shared" si="21"/>
        <v>94</v>
      </c>
      <c r="CD29" s="303" t="str">
        <f>IF(CC29&gt;KKM!$G$10,"A",IF(CC29&gt;KKM!$H$10,"B",IF(CC29&gt;=KKM!$I$10,"C","D")))</f>
        <v>A</v>
      </c>
      <c r="CE29" s="523">
        <f t="shared" si="22"/>
        <v>99</v>
      </c>
      <c r="CF29" s="115" t="str">
        <f>IF(CE29&gt;KKM!$G$10," sangat baik ",IF(CE29&gt;KKM!$H$10," baik ",IF(CE29&gt;=KKM!$I$10," cukup baik "," perlu bimbingan ")))</f>
        <v xml:space="preserve"> sangat baik </v>
      </c>
      <c r="CG29" s="524">
        <f t="shared" si="23"/>
        <v>83</v>
      </c>
      <c r="CH29" s="115" t="str">
        <f>IF(CG29&gt;KKM!$G$10," sangat baik ",IF(CG29&gt;KKM!$H$10," baik ",IF(CG29&gt;=KKM!$I$10," cukup baik "," perlu bimbingan ")))</f>
        <v xml:space="preserve"> baik </v>
      </c>
      <c r="CI29" s="301" t="str">
        <f t="shared" si="30"/>
        <v>Anak 25 sangat baik  dalam menjelaskan pecahan-pecahan senilai dengan gambar dan model konkret, dan  baik  dalam menjelaskan berbagai bentuk pecahan (biasa, campuran, desimal, dan persen) dan hubungan di antaranya</v>
      </c>
      <c r="CJ29" s="307" t="str">
        <f t="shared" si="24"/>
        <v xml:space="preserve"> sangat baik  dalam menjelaskan pecahan-pecahan senilai dengan gambar dan model konkret</v>
      </c>
      <c r="CK29" s="307" t="str">
        <f t="shared" si="25"/>
        <v xml:space="preserve"> baik  dalam menjelaskan berbagai bentuk pecahan (biasa, campuran, desimal, dan persen) dan hubungan di antaranya</v>
      </c>
      <c r="CL29" s="307" t="str">
        <f t="shared" si="26"/>
        <v xml:space="preserve"> sangat baik  dalam menjelaskan pecahan-pecahan senilai dengan gambar dan model konkret, dan  baik  dalam menjelaskan berbagai bentuk pecahan (biasa, campuran, desimal, dan persen) dan hubungan di antaranya</v>
      </c>
      <c r="CM29" s="307" t="str">
        <f t="shared" si="27"/>
        <v xml:space="preserve"> </v>
      </c>
      <c r="CN29" s="308" t="str">
        <f t="shared" si="28"/>
        <v xml:space="preserve"> sangat baik  dalam menjelaskan pecahan-pecahan senilai dengan gambar dan model konkret, dan  baik  dalam menjelaskan berbagai bentuk pecahan (biasa, campuran, desimal, dan persen) dan hubungan di antaranya</v>
      </c>
      <c r="CO29" s="301" t="str">
        <f t="shared" si="29"/>
        <v>Anak 25 sangat baik  dalam menjelaskan pecahan-pecahan senilai dengan gambar dan model konkret, dan  baik  dalam menjelaskan berbagai bentuk pecahan (biasa, campuran, desimal, dan persen) dan hubungan di antaranya</v>
      </c>
    </row>
    <row r="30" spans="2:93" ht="33.75" customHeight="1">
      <c r="B30" s="109">
        <v>26</v>
      </c>
      <c r="C30" s="110">
        <f>SISWA!B31</f>
        <v>0</v>
      </c>
      <c r="D30" s="111" t="str">
        <f>SISWA!E31</f>
        <v>Anak 26</v>
      </c>
      <c r="E30" s="631">
        <v>99</v>
      </c>
      <c r="F30" s="631">
        <v>99</v>
      </c>
      <c r="G30" s="631">
        <v>99</v>
      </c>
      <c r="H30" s="631">
        <v>99</v>
      </c>
      <c r="I30" s="631">
        <v>99</v>
      </c>
      <c r="J30" s="631">
        <v>99</v>
      </c>
      <c r="K30" s="613">
        <v>99</v>
      </c>
      <c r="L30" s="613"/>
      <c r="M30" s="613"/>
      <c r="N30" s="630"/>
      <c r="O30" s="630"/>
      <c r="P30" s="630"/>
      <c r="Q30" s="630"/>
      <c r="R30" s="630"/>
      <c r="S30" s="630"/>
      <c r="T30" s="630"/>
      <c r="U30" s="613"/>
      <c r="V30" s="610"/>
      <c r="W30" s="631">
        <v>99</v>
      </c>
      <c r="X30" s="613">
        <v>74.5</v>
      </c>
      <c r="Y30" s="631">
        <v>99</v>
      </c>
      <c r="Z30" s="631"/>
      <c r="AA30" s="631"/>
      <c r="AB30" s="631"/>
      <c r="AC30" s="609"/>
      <c r="AD30" s="610"/>
      <c r="AE30" s="613">
        <v>74.5</v>
      </c>
      <c r="AF30" s="613">
        <v>74.5</v>
      </c>
      <c r="AG30" s="613"/>
      <c r="AH30" s="613"/>
      <c r="AI30" s="613"/>
      <c r="AJ30" s="613"/>
      <c r="AK30" s="613"/>
      <c r="AL30" s="518"/>
      <c r="AM30" s="607">
        <f t="shared" si="9"/>
        <v>92.875</v>
      </c>
      <c r="AN30" s="607">
        <f t="shared" si="10"/>
        <v>86.75</v>
      </c>
      <c r="AO30" s="607">
        <f t="shared" si="11"/>
        <v>99</v>
      </c>
      <c r="AP30" s="607">
        <f t="shared" si="12"/>
        <v>99</v>
      </c>
      <c r="AQ30" s="607">
        <f t="shared" si="13"/>
        <v>99</v>
      </c>
      <c r="AR30" s="607">
        <f t="shared" si="14"/>
        <v>99</v>
      </c>
      <c r="AS30" s="607">
        <f t="shared" si="15"/>
        <v>99</v>
      </c>
      <c r="AT30" s="607"/>
      <c r="AU30" s="607"/>
      <c r="AV30" s="607"/>
      <c r="AW30" s="607"/>
      <c r="AX30" s="607"/>
      <c r="AY30" s="607"/>
      <c r="AZ30" s="607"/>
      <c r="BA30" s="607"/>
      <c r="BB30" s="607"/>
      <c r="BC30" s="302">
        <f t="shared" si="3"/>
        <v>96</v>
      </c>
      <c r="BD30" s="303" t="str">
        <f>IF(BC30&gt;KKM!$G$10,"A",IF(BC30&gt;KKM!$H$10,"B",IF(BC30&gt;=KKM!$I$10,"C","D")))</f>
        <v>A</v>
      </c>
      <c r="BE30" s="523">
        <f t="shared" si="4"/>
        <v>99</v>
      </c>
      <c r="BF30" s="115" t="str">
        <f>IF(BE30&gt;KKM!$G$10," sangat baik ",IF(BE30&gt;KKM!$H$10," baik ",IF(BE30&gt;=KKM!$I$10," cukup baik "," perlu bimbingan ")))</f>
        <v xml:space="preserve"> sangat baik </v>
      </c>
      <c r="BG30" s="524">
        <f t="shared" si="5"/>
        <v>86.75</v>
      </c>
      <c r="BH30" s="115" t="str">
        <f>IF(BG30&gt;KKM!$G$10," sangat baik ",IF(BG30&gt;KKM!$H$10," baik ",IF(BG30&gt;=KKM!$I$10," cukup baik "," perlu bimbingan ")))</f>
        <v xml:space="preserve"> baik </v>
      </c>
      <c r="BI30" s="301" t="str">
        <f t="shared" si="16"/>
        <v>Anak 26 sangat baik  dalam menjelaskan dan melakukan penaksiran dari jumlah, selisih, hasil kali, dan hasil bagi dua bilangan cacah maupun pecahan dan desimal, dan  baik  dalam menjelaskan berbagai bentuk pecahan (biasa, campuran, desimal, dan persen) dan hubungan di antaranya</v>
      </c>
      <c r="BJ30" s="306"/>
      <c r="BK30" s="307" t="str">
        <f t="shared" si="6"/>
        <v xml:space="preserve"> sangat baik  dalam menjelaskan dan melakukan penaksiran dari jumlah, selisih, hasil kali, dan hasil bagi dua bilangan cacah maupun pecahan dan desimal</v>
      </c>
      <c r="BL30" s="307" t="str">
        <f t="shared" si="7"/>
        <v xml:space="preserve"> baik  dalam menjelaskan berbagai bentuk pecahan (biasa, campuran, desimal, dan persen) dan hubungan di antaranya</v>
      </c>
      <c r="BM30"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0" s="307" t="str">
        <f t="shared" si="18"/>
        <v xml:space="preserve"> </v>
      </c>
      <c r="BO30"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0" s="301" t="str">
        <f t="shared" si="8"/>
        <v>Anak 26 sangat baik  dalam menjelaskan dan melakukan penaksiran dari jumlah, selisih, hasil kali, dan hasil bagi dua bilangan cacah maupun pecahan dan desimal, dan  baik  dalam menjelaskan berbagai bentuk pecahan (biasa, campuran, desimal, dan persen) dan hubungan di antaranya</v>
      </c>
      <c r="BQ30" s="120"/>
      <c r="BZ30" s="408">
        <f t="shared" si="20"/>
        <v>96</v>
      </c>
      <c r="CC30" s="302">
        <f t="shared" si="21"/>
        <v>91</v>
      </c>
      <c r="CD30" s="303" t="str">
        <f>IF(CC30&gt;KKM!$G$10,"A",IF(CC30&gt;KKM!$H$10,"B",IF(CC30&gt;=KKM!$I$10,"C","D")))</f>
        <v>A</v>
      </c>
      <c r="CE30" s="523">
        <f t="shared" si="22"/>
        <v>99</v>
      </c>
      <c r="CF30" s="115" t="str">
        <f>IF(CE30&gt;KKM!$G$10," sangat baik ",IF(CE30&gt;KKM!$H$10," baik ",IF(CE30&gt;=KKM!$I$10," cukup baik "," perlu bimbingan ")))</f>
        <v xml:space="preserve"> sangat baik </v>
      </c>
      <c r="CG30" s="524">
        <f t="shared" si="23"/>
        <v>74.5</v>
      </c>
      <c r="CH30" s="115" t="str">
        <f>IF(CG30&gt;KKM!$G$10," sangat baik ",IF(CG30&gt;KKM!$H$10," baik ",IF(CG30&gt;=KKM!$I$10," cukup baik "," perlu bimbingan ")))</f>
        <v xml:space="preserve"> cukup baik </v>
      </c>
      <c r="CI30" s="301" t="str">
        <f t="shared" si="30"/>
        <v>Anak 26 sangat baik  dalam menjelaskan pecahan-pecahan senilai dengan gambar dan model konkret, dan  cukup baik  dalam menjelaskan berbagai bentuk pecahan (biasa, campuran, desimal, dan persen) dan hubungan di antaranya</v>
      </c>
      <c r="CJ30" s="307" t="str">
        <f t="shared" si="24"/>
        <v xml:space="preserve"> sangat baik  dalam menjelaskan pecahan-pecahan senilai dengan gambar dan model konkret</v>
      </c>
      <c r="CK30" s="307" t="str">
        <f t="shared" si="25"/>
        <v xml:space="preserve"> cukup baik  dalam menjelaskan berbagai bentuk pecahan (biasa, campuran, desimal, dan persen) dan hubungan di antaranya</v>
      </c>
      <c r="CL30" s="307" t="str">
        <f t="shared" si="26"/>
        <v xml:space="preserve"> sangat baik  dalam menjelaskan pecahan-pecahan senilai dengan gambar dan model konkret, dan  cukup baik  dalam menjelaskan berbagai bentuk pecahan (biasa, campuran, desimal, dan persen) dan hubungan di antaranya</v>
      </c>
      <c r="CM30" s="307" t="str">
        <f t="shared" si="27"/>
        <v xml:space="preserve"> </v>
      </c>
      <c r="CN30" s="308" t="str">
        <f t="shared" si="28"/>
        <v xml:space="preserve"> sangat baik  dalam menjelaskan pecahan-pecahan senilai dengan gambar dan model konkret, dan  cukup baik  dalam menjelaskan berbagai bentuk pecahan (biasa, campuran, desimal, dan persen) dan hubungan di antaranya</v>
      </c>
      <c r="CO30" s="301" t="str">
        <f t="shared" si="29"/>
        <v>Anak 26 sangat baik  dalam menjelaskan pecahan-pecahan senilai dengan gambar dan model konkret, dan  cukup baik  dalam menjelaskan berbagai bentuk pecahan (biasa, campuran, desimal, dan persen) dan hubungan di antaranya</v>
      </c>
    </row>
    <row r="31" spans="2:93" ht="33.75" customHeight="1">
      <c r="B31" s="109">
        <v>27</v>
      </c>
      <c r="C31" s="110">
        <f>SISWA!B32</f>
        <v>0</v>
      </c>
      <c r="D31" s="111" t="str">
        <f>SISWA!E32</f>
        <v>Anak 27</v>
      </c>
      <c r="E31" s="631">
        <v>99</v>
      </c>
      <c r="F31" s="631">
        <v>99</v>
      </c>
      <c r="G31" s="631">
        <v>99</v>
      </c>
      <c r="H31" s="631">
        <v>99</v>
      </c>
      <c r="I31" s="631">
        <v>99</v>
      </c>
      <c r="J31" s="631">
        <v>99</v>
      </c>
      <c r="K31" s="613">
        <v>99</v>
      </c>
      <c r="L31" s="613"/>
      <c r="M31" s="613"/>
      <c r="N31" s="630"/>
      <c r="O31" s="630"/>
      <c r="P31" s="630"/>
      <c r="Q31" s="630"/>
      <c r="R31" s="630"/>
      <c r="S31" s="630"/>
      <c r="T31" s="630"/>
      <c r="U31" s="613"/>
      <c r="V31" s="610"/>
      <c r="W31" s="631">
        <v>99</v>
      </c>
      <c r="X31" s="613">
        <v>74.5</v>
      </c>
      <c r="Y31" s="631">
        <v>99</v>
      </c>
      <c r="Z31" s="631"/>
      <c r="AA31" s="631"/>
      <c r="AB31" s="631"/>
      <c r="AC31" s="609"/>
      <c r="AD31" s="610"/>
      <c r="AE31" s="613">
        <v>74.5</v>
      </c>
      <c r="AF31" s="613">
        <v>74.5</v>
      </c>
      <c r="AG31" s="613"/>
      <c r="AH31" s="613"/>
      <c r="AI31" s="613"/>
      <c r="AJ31" s="613"/>
      <c r="AK31" s="613"/>
      <c r="AL31" s="518"/>
      <c r="AM31" s="607">
        <f t="shared" si="9"/>
        <v>92.875</v>
      </c>
      <c r="AN31" s="607">
        <f t="shared" si="10"/>
        <v>86.75</v>
      </c>
      <c r="AO31" s="607">
        <f t="shared" si="11"/>
        <v>99</v>
      </c>
      <c r="AP31" s="607">
        <f t="shared" si="12"/>
        <v>99</v>
      </c>
      <c r="AQ31" s="607">
        <f t="shared" si="13"/>
        <v>99</v>
      </c>
      <c r="AR31" s="607">
        <f t="shared" si="14"/>
        <v>99</v>
      </c>
      <c r="AS31" s="607">
        <f t="shared" si="15"/>
        <v>99</v>
      </c>
      <c r="AT31" s="607"/>
      <c r="AU31" s="607"/>
      <c r="AV31" s="607"/>
      <c r="AW31" s="607"/>
      <c r="AX31" s="607"/>
      <c r="AY31" s="607"/>
      <c r="AZ31" s="607"/>
      <c r="BA31" s="607"/>
      <c r="BB31" s="607"/>
      <c r="BC31" s="302">
        <f t="shared" si="3"/>
        <v>96</v>
      </c>
      <c r="BD31" s="303" t="str">
        <f>IF(BC31&gt;KKM!$G$10,"A",IF(BC31&gt;KKM!$H$10,"B",IF(BC31&gt;=KKM!$I$10,"C","D")))</f>
        <v>A</v>
      </c>
      <c r="BE31" s="523">
        <f t="shared" si="4"/>
        <v>99</v>
      </c>
      <c r="BF31" s="115" t="str">
        <f>IF(BE31&gt;KKM!$G$10," sangat baik ",IF(BE31&gt;KKM!$H$10," baik ",IF(BE31&gt;=KKM!$I$10," cukup baik "," perlu bimbingan ")))</f>
        <v xml:space="preserve"> sangat baik </v>
      </c>
      <c r="BG31" s="524">
        <f t="shared" si="5"/>
        <v>86.75</v>
      </c>
      <c r="BH31" s="115" t="str">
        <f>IF(BG31&gt;KKM!$G$10," sangat baik ",IF(BG31&gt;KKM!$H$10," baik ",IF(BG31&gt;=KKM!$I$10," cukup baik "," perlu bimbingan ")))</f>
        <v xml:space="preserve"> baik </v>
      </c>
      <c r="BI31" s="301" t="str">
        <f t="shared" si="16"/>
        <v>Anak 27 sangat baik  dalam menjelaskan dan melakukan penaksiran dari jumlah, selisih, hasil kali, dan hasil bagi dua bilangan cacah maupun pecahan dan desimal, dan  baik  dalam menjelaskan berbagai bentuk pecahan (biasa, campuran, desimal, dan persen) dan hubungan di antaranya</v>
      </c>
      <c r="BJ31" s="306"/>
      <c r="BK31" s="307" t="str">
        <f t="shared" si="6"/>
        <v xml:space="preserve"> sangat baik  dalam menjelaskan dan melakukan penaksiran dari jumlah, selisih, hasil kali, dan hasil bagi dua bilangan cacah maupun pecahan dan desimal</v>
      </c>
      <c r="BL31" s="307" t="str">
        <f t="shared" si="7"/>
        <v xml:space="preserve"> baik  dalam menjelaskan berbagai bentuk pecahan (biasa, campuran, desimal, dan persen) dan hubungan di antaranya</v>
      </c>
      <c r="BM31"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1" s="307" t="str">
        <f t="shared" si="18"/>
        <v xml:space="preserve"> </v>
      </c>
      <c r="BO31"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1" s="301" t="str">
        <f t="shared" si="8"/>
        <v>Anak 27 sangat baik  dalam menjelaskan dan melakukan penaksiran dari jumlah, selisih, hasil kali, dan hasil bagi dua bilangan cacah maupun pecahan dan desimal, dan  baik  dalam menjelaskan berbagai bentuk pecahan (biasa, campuran, desimal, dan persen) dan hubungan di antaranya</v>
      </c>
      <c r="BQ31" s="120"/>
      <c r="BZ31" s="408">
        <f t="shared" si="20"/>
        <v>96</v>
      </c>
      <c r="CC31" s="302">
        <f t="shared" si="21"/>
        <v>91</v>
      </c>
      <c r="CD31" s="303" t="str">
        <f>IF(CC31&gt;KKM!$G$10,"A",IF(CC31&gt;KKM!$H$10,"B",IF(CC31&gt;=KKM!$I$10,"C","D")))</f>
        <v>A</v>
      </c>
      <c r="CE31" s="523">
        <f t="shared" si="22"/>
        <v>99</v>
      </c>
      <c r="CF31" s="115" t="str">
        <f>IF(CE31&gt;KKM!$G$10," sangat baik ",IF(CE31&gt;KKM!$H$10," baik ",IF(CE31&gt;=KKM!$I$10," cukup baik "," perlu bimbingan ")))</f>
        <v xml:space="preserve"> sangat baik </v>
      </c>
      <c r="CG31" s="524">
        <f t="shared" si="23"/>
        <v>74.5</v>
      </c>
      <c r="CH31" s="115" t="str">
        <f>IF(CG31&gt;KKM!$G$10," sangat baik ",IF(CG31&gt;KKM!$H$10," baik ",IF(CG31&gt;=KKM!$I$10," cukup baik "," perlu bimbingan ")))</f>
        <v xml:space="preserve"> cukup baik </v>
      </c>
      <c r="CI31" s="301" t="str">
        <f t="shared" si="30"/>
        <v>Anak 27 sangat baik  dalam menjelaskan pecahan-pecahan senilai dengan gambar dan model konkret, dan  cukup baik  dalam menjelaskan berbagai bentuk pecahan (biasa, campuran, desimal, dan persen) dan hubungan di antaranya</v>
      </c>
      <c r="CJ31" s="307" t="str">
        <f t="shared" si="24"/>
        <v xml:space="preserve"> sangat baik  dalam menjelaskan pecahan-pecahan senilai dengan gambar dan model konkret</v>
      </c>
      <c r="CK31" s="307" t="str">
        <f t="shared" si="25"/>
        <v xml:space="preserve"> cukup baik  dalam menjelaskan berbagai bentuk pecahan (biasa, campuran, desimal, dan persen) dan hubungan di antaranya</v>
      </c>
      <c r="CL31" s="307" t="str">
        <f t="shared" si="26"/>
        <v xml:space="preserve"> sangat baik  dalam menjelaskan pecahan-pecahan senilai dengan gambar dan model konkret, dan  cukup baik  dalam menjelaskan berbagai bentuk pecahan (biasa, campuran, desimal, dan persen) dan hubungan di antaranya</v>
      </c>
      <c r="CM31" s="307" t="str">
        <f t="shared" si="27"/>
        <v xml:space="preserve"> </v>
      </c>
      <c r="CN31" s="308" t="str">
        <f t="shared" si="28"/>
        <v xml:space="preserve"> sangat baik  dalam menjelaskan pecahan-pecahan senilai dengan gambar dan model konkret, dan  cukup baik  dalam menjelaskan berbagai bentuk pecahan (biasa, campuran, desimal, dan persen) dan hubungan di antaranya</v>
      </c>
      <c r="CO31" s="301" t="str">
        <f t="shared" si="29"/>
        <v>Anak 27 sangat baik  dalam menjelaskan pecahan-pecahan senilai dengan gambar dan model konkret, dan  cukup baik  dalam menjelaskan berbagai bentuk pecahan (biasa, campuran, desimal, dan persen) dan hubungan di antaranya</v>
      </c>
    </row>
    <row r="32" spans="2:93" ht="33.75" customHeight="1">
      <c r="B32" s="109">
        <v>28</v>
      </c>
      <c r="C32" s="110">
        <f>SISWA!B33</f>
        <v>0</v>
      </c>
      <c r="D32" s="111" t="str">
        <f>SISWA!E33</f>
        <v>Anak 28</v>
      </c>
      <c r="E32" s="631">
        <v>99</v>
      </c>
      <c r="F32" s="631">
        <v>99</v>
      </c>
      <c r="G32" s="631">
        <v>99</v>
      </c>
      <c r="H32" s="631">
        <v>99</v>
      </c>
      <c r="I32" s="631">
        <v>99</v>
      </c>
      <c r="J32" s="631">
        <v>99</v>
      </c>
      <c r="K32" s="613">
        <v>99</v>
      </c>
      <c r="L32" s="613"/>
      <c r="M32" s="613"/>
      <c r="N32" s="630"/>
      <c r="O32" s="630"/>
      <c r="P32" s="630"/>
      <c r="Q32" s="630"/>
      <c r="R32" s="630"/>
      <c r="S32" s="630"/>
      <c r="T32" s="630"/>
      <c r="U32" s="613"/>
      <c r="V32" s="610"/>
      <c r="W32" s="631">
        <v>99</v>
      </c>
      <c r="X32" s="613">
        <v>74.5</v>
      </c>
      <c r="Y32" s="631">
        <v>99</v>
      </c>
      <c r="Z32" s="631"/>
      <c r="AA32" s="631"/>
      <c r="AB32" s="631"/>
      <c r="AC32" s="609"/>
      <c r="AD32" s="610"/>
      <c r="AE32" s="613">
        <v>74.5</v>
      </c>
      <c r="AF32" s="613">
        <v>84</v>
      </c>
      <c r="AG32" s="613"/>
      <c r="AH32" s="613"/>
      <c r="AI32" s="613"/>
      <c r="AJ32" s="613"/>
      <c r="AK32" s="613"/>
      <c r="AL32" s="518"/>
      <c r="AM32" s="607">
        <f t="shared" si="9"/>
        <v>92.875</v>
      </c>
      <c r="AN32" s="607">
        <f t="shared" si="10"/>
        <v>89.125</v>
      </c>
      <c r="AO32" s="607">
        <f t="shared" si="11"/>
        <v>99</v>
      </c>
      <c r="AP32" s="607">
        <f t="shared" si="12"/>
        <v>99</v>
      </c>
      <c r="AQ32" s="607">
        <f t="shared" si="13"/>
        <v>99</v>
      </c>
      <c r="AR32" s="607">
        <f t="shared" si="14"/>
        <v>99</v>
      </c>
      <c r="AS32" s="607">
        <f t="shared" si="15"/>
        <v>99</v>
      </c>
      <c r="AT32" s="607"/>
      <c r="AU32" s="607"/>
      <c r="AV32" s="607"/>
      <c r="AW32" s="607"/>
      <c r="AX32" s="607"/>
      <c r="AY32" s="607"/>
      <c r="AZ32" s="607"/>
      <c r="BA32" s="607"/>
      <c r="BB32" s="607"/>
      <c r="BC32" s="302">
        <f t="shared" si="3"/>
        <v>97</v>
      </c>
      <c r="BD32" s="303" t="str">
        <f>IF(BC32&gt;KKM!$G$10,"A",IF(BC32&gt;KKM!$H$10,"B",IF(BC32&gt;=KKM!$I$10,"C","D")))</f>
        <v>A</v>
      </c>
      <c r="BE32" s="523">
        <f t="shared" si="4"/>
        <v>99</v>
      </c>
      <c r="BF32" s="115" t="str">
        <f>IF(BE32&gt;KKM!$G$10," sangat baik ",IF(BE32&gt;KKM!$H$10," baik ",IF(BE32&gt;=KKM!$I$10," cukup baik "," perlu bimbingan ")))</f>
        <v xml:space="preserve"> sangat baik </v>
      </c>
      <c r="BG32" s="524">
        <f t="shared" si="5"/>
        <v>89.125</v>
      </c>
      <c r="BH32" s="115" t="str">
        <f>IF(BG32&gt;KKM!$G$10," sangat baik ",IF(BG32&gt;KKM!$H$10," baik ",IF(BG32&gt;=KKM!$I$10," cukup baik "," perlu bimbingan ")))</f>
        <v xml:space="preserve"> baik </v>
      </c>
      <c r="BI32" s="301" t="str">
        <f t="shared" si="16"/>
        <v>Anak 28 sangat baik  dalam menjelaskan dan melakukan penaksiran dari jumlah, selisih, hasil kali, dan hasil bagi dua bilangan cacah maupun pecahan dan desimal, dan  baik  dalam menjelaskan berbagai bentuk pecahan (biasa, campuran, desimal, dan persen) dan hubungan di antaranya</v>
      </c>
      <c r="BJ32" s="306"/>
      <c r="BK32" s="307" t="str">
        <f t="shared" si="6"/>
        <v xml:space="preserve"> sangat baik  dalam menjelaskan dan melakukan penaksiran dari jumlah, selisih, hasil kali, dan hasil bagi dua bilangan cacah maupun pecahan dan desimal</v>
      </c>
      <c r="BL32" s="307" t="str">
        <f t="shared" si="7"/>
        <v xml:space="preserve"> baik  dalam menjelaskan berbagai bentuk pecahan (biasa, campuran, desimal, dan persen) dan hubungan di antaranya</v>
      </c>
      <c r="BM32"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2" s="307" t="str">
        <f t="shared" si="18"/>
        <v xml:space="preserve"> </v>
      </c>
      <c r="BO32"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2" s="301" t="str">
        <f t="shared" si="8"/>
        <v>Anak 28 sangat baik  dalam menjelaskan dan melakukan penaksiran dari jumlah, selisih, hasil kali, dan hasil bagi dua bilangan cacah maupun pecahan dan desimal, dan  baik  dalam menjelaskan berbagai bentuk pecahan (biasa, campuran, desimal, dan persen) dan hubungan di antaranya</v>
      </c>
      <c r="BQ32" s="120"/>
      <c r="BZ32" s="408">
        <f t="shared" si="20"/>
        <v>97</v>
      </c>
      <c r="CC32" s="302">
        <f t="shared" si="21"/>
        <v>91</v>
      </c>
      <c r="CD32" s="303" t="str">
        <f>IF(CC32&gt;KKM!$G$10,"A",IF(CC32&gt;KKM!$H$10,"B",IF(CC32&gt;=KKM!$I$10,"C","D")))</f>
        <v>A</v>
      </c>
      <c r="CE32" s="523">
        <f t="shared" si="22"/>
        <v>99</v>
      </c>
      <c r="CF32" s="115" t="str">
        <f>IF(CE32&gt;KKM!$G$10," sangat baik ",IF(CE32&gt;KKM!$H$10," baik ",IF(CE32&gt;=KKM!$I$10," cukup baik "," perlu bimbingan ")))</f>
        <v xml:space="preserve"> sangat baik </v>
      </c>
      <c r="CG32" s="524">
        <f t="shared" si="23"/>
        <v>74.5</v>
      </c>
      <c r="CH32" s="115" t="str">
        <f>IF(CG32&gt;KKM!$G$10," sangat baik ",IF(CG32&gt;KKM!$H$10," baik ",IF(CG32&gt;=KKM!$I$10," cukup baik "," perlu bimbingan ")))</f>
        <v xml:space="preserve"> cukup baik </v>
      </c>
      <c r="CI32" s="301" t="str">
        <f t="shared" si="30"/>
        <v>Anak 28 sangat baik  dalam menjelaskan pecahan-pecahan senilai dengan gambar dan model konkret, dan  cukup baik  dalam menjelaskan berbagai bentuk pecahan (biasa, campuran, desimal, dan persen) dan hubungan di antaranya</v>
      </c>
      <c r="CJ32" s="307" t="str">
        <f t="shared" si="24"/>
        <v xml:space="preserve"> sangat baik  dalam menjelaskan pecahan-pecahan senilai dengan gambar dan model konkret</v>
      </c>
      <c r="CK32" s="307" t="str">
        <f t="shared" si="25"/>
        <v xml:space="preserve"> cukup baik  dalam menjelaskan berbagai bentuk pecahan (biasa, campuran, desimal, dan persen) dan hubungan di antaranya</v>
      </c>
      <c r="CL32" s="307" t="str">
        <f t="shared" si="26"/>
        <v xml:space="preserve"> sangat baik  dalam menjelaskan pecahan-pecahan senilai dengan gambar dan model konkret, dan  cukup baik  dalam menjelaskan berbagai bentuk pecahan (biasa, campuran, desimal, dan persen) dan hubungan di antaranya</v>
      </c>
      <c r="CM32" s="307" t="str">
        <f t="shared" si="27"/>
        <v xml:space="preserve"> </v>
      </c>
      <c r="CN32" s="308" t="str">
        <f t="shared" si="28"/>
        <v xml:space="preserve"> sangat baik  dalam menjelaskan pecahan-pecahan senilai dengan gambar dan model konkret, dan  cukup baik  dalam menjelaskan berbagai bentuk pecahan (biasa, campuran, desimal, dan persen) dan hubungan di antaranya</v>
      </c>
      <c r="CO32" s="301" t="str">
        <f t="shared" si="29"/>
        <v>Anak 28 sangat baik  dalam menjelaskan pecahan-pecahan senilai dengan gambar dan model konkret, dan  cukup baik  dalam menjelaskan berbagai bentuk pecahan (biasa, campuran, desimal, dan persen) dan hubungan di antaranya</v>
      </c>
    </row>
    <row r="33" spans="2:93" ht="33.75" customHeight="1">
      <c r="B33" s="109">
        <v>29</v>
      </c>
      <c r="C33" s="110">
        <f>SISWA!B34</f>
        <v>0</v>
      </c>
      <c r="D33" s="111" t="str">
        <f>SISWA!E34</f>
        <v>Anak 29</v>
      </c>
      <c r="E33" s="631">
        <v>99</v>
      </c>
      <c r="F33" s="631">
        <v>99</v>
      </c>
      <c r="G33" s="631">
        <v>99</v>
      </c>
      <c r="H33" s="631">
        <v>99</v>
      </c>
      <c r="I33" s="631">
        <v>99</v>
      </c>
      <c r="J33" s="631">
        <v>99</v>
      </c>
      <c r="K33" s="613">
        <v>99</v>
      </c>
      <c r="L33" s="613"/>
      <c r="M33" s="613"/>
      <c r="N33" s="630"/>
      <c r="O33" s="630"/>
      <c r="P33" s="630"/>
      <c r="Q33" s="630"/>
      <c r="R33" s="630"/>
      <c r="S33" s="630"/>
      <c r="T33" s="630"/>
      <c r="U33" s="613"/>
      <c r="V33" s="610"/>
      <c r="W33" s="631">
        <v>99</v>
      </c>
      <c r="X33" s="613">
        <v>84</v>
      </c>
      <c r="Y33" s="631">
        <v>99</v>
      </c>
      <c r="Z33" s="631"/>
      <c r="AA33" s="631"/>
      <c r="AB33" s="631"/>
      <c r="AC33" s="609"/>
      <c r="AD33" s="610"/>
      <c r="AE33" s="613">
        <v>84</v>
      </c>
      <c r="AF33" s="613">
        <v>68.75</v>
      </c>
      <c r="AG33" s="613"/>
      <c r="AH33" s="613"/>
      <c r="AI33" s="613"/>
      <c r="AJ33" s="613"/>
      <c r="AK33" s="613"/>
      <c r="AL33" s="518"/>
      <c r="AM33" s="607">
        <f t="shared" si="9"/>
        <v>95.25</v>
      </c>
      <c r="AN33" s="607">
        <f t="shared" si="10"/>
        <v>87.6875</v>
      </c>
      <c r="AO33" s="607">
        <f t="shared" si="11"/>
        <v>99</v>
      </c>
      <c r="AP33" s="607">
        <f t="shared" si="12"/>
        <v>99</v>
      </c>
      <c r="AQ33" s="607">
        <f t="shared" si="13"/>
        <v>99</v>
      </c>
      <c r="AR33" s="607">
        <f t="shared" si="14"/>
        <v>99</v>
      </c>
      <c r="AS33" s="607">
        <f t="shared" si="15"/>
        <v>99</v>
      </c>
      <c r="AT33" s="607"/>
      <c r="AU33" s="607"/>
      <c r="AV33" s="607"/>
      <c r="AW33" s="607"/>
      <c r="AX33" s="607"/>
      <c r="AY33" s="607"/>
      <c r="AZ33" s="607"/>
      <c r="BA33" s="607"/>
      <c r="BB33" s="607"/>
      <c r="BC33" s="302">
        <f t="shared" si="3"/>
        <v>97</v>
      </c>
      <c r="BD33" s="303" t="str">
        <f>IF(BC33&gt;KKM!$G$10,"A",IF(BC33&gt;KKM!$H$10,"B",IF(BC33&gt;=KKM!$I$10,"C","D")))</f>
        <v>A</v>
      </c>
      <c r="BE33" s="523">
        <f t="shared" si="4"/>
        <v>99</v>
      </c>
      <c r="BF33" s="115" t="str">
        <f>IF(BE33&gt;KKM!$G$10," sangat baik ",IF(BE33&gt;KKM!$H$10," baik ",IF(BE33&gt;=KKM!$I$10," cukup baik "," perlu bimbingan ")))</f>
        <v xml:space="preserve"> sangat baik </v>
      </c>
      <c r="BG33" s="524">
        <f t="shared" si="5"/>
        <v>87.6875</v>
      </c>
      <c r="BH33" s="115" t="str">
        <f>IF(BG33&gt;KKM!$G$10," sangat baik ",IF(BG33&gt;KKM!$H$10," baik ",IF(BG33&gt;=KKM!$I$10," cukup baik "," perlu bimbingan ")))</f>
        <v xml:space="preserve"> baik </v>
      </c>
      <c r="BI33" s="301" t="str">
        <f t="shared" si="16"/>
        <v>Anak 29 sangat baik  dalam menjelaskan dan melakukan penaksiran dari jumlah, selisih, hasil kali, dan hasil bagi dua bilangan cacah maupun pecahan dan desimal, dan  baik  dalam menjelaskan berbagai bentuk pecahan (biasa, campuran, desimal, dan persen) dan hubungan di antaranya</v>
      </c>
      <c r="BJ33" s="306"/>
      <c r="BK33" s="307" t="str">
        <f t="shared" si="6"/>
        <v xml:space="preserve"> sangat baik  dalam menjelaskan dan melakukan penaksiran dari jumlah, selisih, hasil kali, dan hasil bagi dua bilangan cacah maupun pecahan dan desimal</v>
      </c>
      <c r="BL33" s="307" t="str">
        <f t="shared" si="7"/>
        <v xml:space="preserve"> baik  dalam menjelaskan berbagai bentuk pecahan (biasa, campuran, desimal, dan persen) dan hubungan di antaranya</v>
      </c>
      <c r="BM33"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3" s="307" t="str">
        <f t="shared" si="18"/>
        <v xml:space="preserve"> </v>
      </c>
      <c r="BO33"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3" s="301" t="str">
        <f t="shared" si="8"/>
        <v>Anak 29 sangat baik  dalam menjelaskan dan melakukan penaksiran dari jumlah, selisih, hasil kali, dan hasil bagi dua bilangan cacah maupun pecahan dan desimal, dan  baik  dalam menjelaskan berbagai bentuk pecahan (biasa, campuran, desimal, dan persen) dan hubungan di antaranya</v>
      </c>
      <c r="BQ33" s="120"/>
      <c r="BZ33" s="408">
        <f t="shared" si="20"/>
        <v>97</v>
      </c>
      <c r="CC33" s="302">
        <f t="shared" si="21"/>
        <v>94</v>
      </c>
      <c r="CD33" s="303" t="str">
        <f>IF(CC33&gt;KKM!$G$10,"A",IF(CC33&gt;KKM!$H$10,"B",IF(CC33&gt;=KKM!$I$10,"C","D")))</f>
        <v>A</v>
      </c>
      <c r="CE33" s="523">
        <f t="shared" si="22"/>
        <v>99</v>
      </c>
      <c r="CF33" s="115" t="str">
        <f>IF(CE33&gt;KKM!$G$10," sangat baik ",IF(CE33&gt;KKM!$H$10," baik ",IF(CE33&gt;=KKM!$I$10," cukup baik "," perlu bimbingan ")))</f>
        <v xml:space="preserve"> sangat baik </v>
      </c>
      <c r="CG33" s="524">
        <f t="shared" si="23"/>
        <v>84</v>
      </c>
      <c r="CH33" s="115" t="str">
        <f>IF(CG33&gt;KKM!$G$10," sangat baik ",IF(CG33&gt;KKM!$H$10," baik ",IF(CG33&gt;=KKM!$I$10," cukup baik "," perlu bimbingan ")))</f>
        <v xml:space="preserve"> baik </v>
      </c>
      <c r="CI33" s="301" t="str">
        <f t="shared" si="30"/>
        <v>Anak 29 sangat baik  dalam menjelaskan pecahan-pecahan senilai dengan gambar dan model konkret, dan  baik  dalam menjelaskan berbagai bentuk pecahan (biasa, campuran, desimal, dan persen) dan hubungan di antaranya</v>
      </c>
      <c r="CJ33" s="307" t="str">
        <f t="shared" si="24"/>
        <v xml:space="preserve"> sangat baik  dalam menjelaskan pecahan-pecahan senilai dengan gambar dan model konkret</v>
      </c>
      <c r="CK33" s="307" t="str">
        <f t="shared" si="25"/>
        <v xml:space="preserve"> baik  dalam menjelaskan berbagai bentuk pecahan (biasa, campuran, desimal, dan persen) dan hubungan di antaranya</v>
      </c>
      <c r="CL33" s="307" t="str">
        <f t="shared" si="26"/>
        <v xml:space="preserve"> sangat baik  dalam menjelaskan pecahan-pecahan senilai dengan gambar dan model konkret, dan  baik  dalam menjelaskan berbagai bentuk pecahan (biasa, campuran, desimal, dan persen) dan hubungan di antaranya</v>
      </c>
      <c r="CM33" s="307" t="str">
        <f t="shared" si="27"/>
        <v xml:space="preserve"> </v>
      </c>
      <c r="CN33" s="308" t="str">
        <f t="shared" si="28"/>
        <v xml:space="preserve"> sangat baik  dalam menjelaskan pecahan-pecahan senilai dengan gambar dan model konkret, dan  baik  dalam menjelaskan berbagai bentuk pecahan (biasa, campuran, desimal, dan persen) dan hubungan di antaranya</v>
      </c>
      <c r="CO33" s="301" t="str">
        <f t="shared" si="29"/>
        <v>Anak 29 sangat baik  dalam menjelaskan pecahan-pecahan senilai dengan gambar dan model konkret, dan  baik  dalam menjelaskan berbagai bentuk pecahan (biasa, campuran, desimal, dan persen) dan hubungan di antaranya</v>
      </c>
    </row>
    <row r="34" spans="2:93" ht="33.75" customHeight="1">
      <c r="B34" s="109">
        <v>30</v>
      </c>
      <c r="C34" s="110">
        <f>SISWA!B35</f>
        <v>0</v>
      </c>
      <c r="D34" s="111" t="str">
        <f>SISWA!E35</f>
        <v>Anak 30</v>
      </c>
      <c r="E34" s="631">
        <v>99</v>
      </c>
      <c r="F34" s="631">
        <v>99</v>
      </c>
      <c r="G34" s="631">
        <v>99</v>
      </c>
      <c r="H34" s="631">
        <v>99</v>
      </c>
      <c r="I34" s="631">
        <v>99</v>
      </c>
      <c r="J34" s="631">
        <v>99</v>
      </c>
      <c r="K34" s="613">
        <v>99</v>
      </c>
      <c r="L34" s="613"/>
      <c r="M34" s="613"/>
      <c r="N34" s="630"/>
      <c r="O34" s="630"/>
      <c r="P34" s="630"/>
      <c r="Q34" s="630"/>
      <c r="R34" s="630"/>
      <c r="S34" s="630"/>
      <c r="T34" s="630"/>
      <c r="U34" s="613"/>
      <c r="V34" s="610"/>
      <c r="W34" s="631">
        <v>99</v>
      </c>
      <c r="X34" s="613">
        <v>84.5</v>
      </c>
      <c r="Y34" s="631">
        <v>99</v>
      </c>
      <c r="Z34" s="631"/>
      <c r="AA34" s="631"/>
      <c r="AB34" s="631"/>
      <c r="AC34" s="609"/>
      <c r="AD34" s="610"/>
      <c r="AE34" s="613">
        <v>84.5</v>
      </c>
      <c r="AF34" s="613">
        <v>69.75</v>
      </c>
      <c r="AG34" s="613"/>
      <c r="AH34" s="613"/>
      <c r="AI34" s="613"/>
      <c r="AJ34" s="613"/>
      <c r="AK34" s="613"/>
      <c r="AL34" s="518"/>
      <c r="AM34" s="607">
        <f t="shared" si="9"/>
        <v>95.375</v>
      </c>
      <c r="AN34" s="607">
        <f t="shared" si="10"/>
        <v>88.0625</v>
      </c>
      <c r="AO34" s="607">
        <f t="shared" si="11"/>
        <v>99</v>
      </c>
      <c r="AP34" s="607">
        <f t="shared" si="12"/>
        <v>99</v>
      </c>
      <c r="AQ34" s="607">
        <f t="shared" si="13"/>
        <v>99</v>
      </c>
      <c r="AR34" s="607">
        <f t="shared" si="14"/>
        <v>99</v>
      </c>
      <c r="AS34" s="607">
        <f t="shared" si="15"/>
        <v>99</v>
      </c>
      <c r="AT34" s="607"/>
      <c r="AU34" s="607"/>
      <c r="AV34" s="607"/>
      <c r="AW34" s="607"/>
      <c r="AX34" s="607"/>
      <c r="AY34" s="607"/>
      <c r="AZ34" s="607"/>
      <c r="BA34" s="607"/>
      <c r="BB34" s="607"/>
      <c r="BC34" s="302">
        <f t="shared" si="3"/>
        <v>97</v>
      </c>
      <c r="BD34" s="303" t="str">
        <f>IF(BC34&gt;KKM!$G$10,"A",IF(BC34&gt;KKM!$H$10,"B",IF(BC34&gt;=KKM!$I$10,"C","D")))</f>
        <v>A</v>
      </c>
      <c r="BE34" s="523">
        <f t="shared" si="4"/>
        <v>99</v>
      </c>
      <c r="BF34" s="115" t="str">
        <f>IF(BE34&gt;KKM!$G$10," sangat baik ",IF(BE34&gt;KKM!$H$10," baik ",IF(BE34&gt;=KKM!$I$10," cukup baik "," perlu bimbingan ")))</f>
        <v xml:space="preserve"> sangat baik </v>
      </c>
      <c r="BG34" s="524">
        <f t="shared" si="5"/>
        <v>88.0625</v>
      </c>
      <c r="BH34" s="115" t="str">
        <f>IF(BG34&gt;KKM!$G$10," sangat baik ",IF(BG34&gt;KKM!$H$10," baik ",IF(BG34&gt;=KKM!$I$10," cukup baik "," perlu bimbingan ")))</f>
        <v xml:space="preserve"> baik </v>
      </c>
      <c r="BI34" s="301" t="str">
        <f t="shared" si="16"/>
        <v>Anak 30 sangat baik  dalam menjelaskan dan melakukan penaksiran dari jumlah, selisih, hasil kali, dan hasil bagi dua bilangan cacah maupun pecahan dan desimal, dan  baik  dalam menjelaskan berbagai bentuk pecahan (biasa, campuran, desimal, dan persen) dan hubungan di antaranya</v>
      </c>
      <c r="BJ34" s="306"/>
      <c r="BK34" s="307" t="str">
        <f t="shared" si="6"/>
        <v xml:space="preserve"> sangat baik  dalam menjelaskan dan melakukan penaksiran dari jumlah, selisih, hasil kali, dan hasil bagi dua bilangan cacah maupun pecahan dan desimal</v>
      </c>
      <c r="BL34" s="307" t="str">
        <f t="shared" si="7"/>
        <v xml:space="preserve"> baik  dalam menjelaskan berbagai bentuk pecahan (biasa, campuran, desimal, dan persen) dan hubungan di antaranya</v>
      </c>
      <c r="BM34"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4" s="307" t="str">
        <f t="shared" si="18"/>
        <v xml:space="preserve"> </v>
      </c>
      <c r="BO34"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4" s="301" t="str">
        <f t="shared" si="8"/>
        <v>Anak 30 sangat baik  dalam menjelaskan dan melakukan penaksiran dari jumlah, selisih, hasil kali, dan hasil bagi dua bilangan cacah maupun pecahan dan desimal, dan  baik  dalam menjelaskan berbagai bentuk pecahan (biasa, campuran, desimal, dan persen) dan hubungan di antaranya</v>
      </c>
      <c r="BQ34" s="120"/>
      <c r="BZ34" s="408">
        <f t="shared" si="20"/>
        <v>97</v>
      </c>
      <c r="CC34" s="302">
        <f t="shared" si="21"/>
        <v>94</v>
      </c>
      <c r="CD34" s="303" t="str">
        <f>IF(CC34&gt;KKM!$G$10,"A",IF(CC34&gt;KKM!$H$10,"B",IF(CC34&gt;=KKM!$I$10,"C","D")))</f>
        <v>A</v>
      </c>
      <c r="CE34" s="523">
        <f t="shared" si="22"/>
        <v>99</v>
      </c>
      <c r="CF34" s="115" t="str">
        <f>IF(CE34&gt;KKM!$G$10," sangat baik ",IF(CE34&gt;KKM!$H$10," baik ",IF(CE34&gt;=KKM!$I$10," cukup baik "," perlu bimbingan ")))</f>
        <v xml:space="preserve"> sangat baik </v>
      </c>
      <c r="CG34" s="524">
        <f t="shared" si="23"/>
        <v>84.5</v>
      </c>
      <c r="CH34" s="115" t="str">
        <f>IF(CG34&gt;KKM!$G$10," sangat baik ",IF(CG34&gt;KKM!$H$10," baik ",IF(CG34&gt;=KKM!$I$10," cukup baik "," perlu bimbingan ")))</f>
        <v xml:space="preserve"> baik </v>
      </c>
      <c r="CI34" s="301" t="str">
        <f t="shared" si="30"/>
        <v>Anak 30 sangat baik  dalam menjelaskan pecahan-pecahan senilai dengan gambar dan model konkret, dan  baik  dalam menjelaskan berbagai bentuk pecahan (biasa, campuran, desimal, dan persen) dan hubungan di antaranya</v>
      </c>
      <c r="CJ34" s="307" t="str">
        <f t="shared" si="24"/>
        <v xml:space="preserve"> sangat baik  dalam menjelaskan pecahan-pecahan senilai dengan gambar dan model konkret</v>
      </c>
      <c r="CK34" s="307" t="str">
        <f t="shared" si="25"/>
        <v xml:space="preserve"> baik  dalam menjelaskan berbagai bentuk pecahan (biasa, campuran, desimal, dan persen) dan hubungan di antaranya</v>
      </c>
      <c r="CL34" s="307" t="str">
        <f t="shared" si="26"/>
        <v xml:space="preserve"> sangat baik  dalam menjelaskan pecahan-pecahan senilai dengan gambar dan model konkret, dan  baik  dalam menjelaskan berbagai bentuk pecahan (biasa, campuran, desimal, dan persen) dan hubungan di antaranya</v>
      </c>
      <c r="CM34" s="307" t="str">
        <f t="shared" si="27"/>
        <v xml:space="preserve"> </v>
      </c>
      <c r="CN34" s="308" t="str">
        <f t="shared" si="28"/>
        <v xml:space="preserve"> sangat baik  dalam menjelaskan pecahan-pecahan senilai dengan gambar dan model konkret, dan  baik  dalam menjelaskan berbagai bentuk pecahan (biasa, campuran, desimal, dan persen) dan hubungan di antaranya</v>
      </c>
      <c r="CO34" s="301" t="str">
        <f t="shared" si="29"/>
        <v>Anak 30 sangat baik  dalam menjelaskan pecahan-pecahan senilai dengan gambar dan model konkret, dan  baik  dalam menjelaskan berbagai bentuk pecahan (biasa, campuran, desimal, dan persen) dan hubungan di antaranya</v>
      </c>
    </row>
    <row r="35" spans="2:93" ht="33.75" customHeight="1">
      <c r="B35" s="109">
        <v>31</v>
      </c>
      <c r="C35" s="110">
        <f>SISWA!B36</f>
        <v>0</v>
      </c>
      <c r="D35" s="111" t="str">
        <f>SISWA!E36</f>
        <v>Anak 31</v>
      </c>
      <c r="E35" s="631">
        <v>99</v>
      </c>
      <c r="F35" s="631">
        <v>99</v>
      </c>
      <c r="G35" s="631">
        <v>99</v>
      </c>
      <c r="H35" s="631">
        <v>99</v>
      </c>
      <c r="I35" s="631">
        <v>99</v>
      </c>
      <c r="J35" s="631">
        <v>99</v>
      </c>
      <c r="K35" s="613">
        <v>99</v>
      </c>
      <c r="L35" s="613"/>
      <c r="M35" s="613"/>
      <c r="N35" s="630"/>
      <c r="O35" s="630"/>
      <c r="P35" s="630"/>
      <c r="Q35" s="630"/>
      <c r="R35" s="630"/>
      <c r="S35" s="630"/>
      <c r="T35" s="630"/>
      <c r="U35" s="613"/>
      <c r="V35" s="610"/>
      <c r="W35" s="631">
        <v>99</v>
      </c>
      <c r="X35" s="613">
        <v>72.5</v>
      </c>
      <c r="Y35" s="631">
        <v>99</v>
      </c>
      <c r="Z35" s="631"/>
      <c r="AA35" s="631"/>
      <c r="AB35" s="631"/>
      <c r="AC35" s="609"/>
      <c r="AD35" s="610"/>
      <c r="AE35" s="613">
        <v>72.5</v>
      </c>
      <c r="AF35" s="613">
        <v>77.25</v>
      </c>
      <c r="AG35" s="613"/>
      <c r="AH35" s="613"/>
      <c r="AI35" s="613"/>
      <c r="AJ35" s="613"/>
      <c r="AK35" s="613"/>
      <c r="AL35" s="518"/>
      <c r="AM35" s="607">
        <f t="shared" si="9"/>
        <v>92.375</v>
      </c>
      <c r="AN35" s="607">
        <f t="shared" si="10"/>
        <v>86.9375</v>
      </c>
      <c r="AO35" s="607">
        <f t="shared" si="11"/>
        <v>99</v>
      </c>
      <c r="AP35" s="607">
        <f t="shared" si="12"/>
        <v>99</v>
      </c>
      <c r="AQ35" s="607">
        <f t="shared" si="13"/>
        <v>99</v>
      </c>
      <c r="AR35" s="607">
        <f t="shared" si="14"/>
        <v>99</v>
      </c>
      <c r="AS35" s="607">
        <f t="shared" si="15"/>
        <v>99</v>
      </c>
      <c r="AT35" s="607"/>
      <c r="AU35" s="607"/>
      <c r="AV35" s="607"/>
      <c r="AW35" s="607"/>
      <c r="AX35" s="607"/>
      <c r="AY35" s="607"/>
      <c r="AZ35" s="607"/>
      <c r="BA35" s="607"/>
      <c r="BB35" s="607"/>
      <c r="BC35" s="302">
        <f t="shared" si="3"/>
        <v>96</v>
      </c>
      <c r="BD35" s="303" t="str">
        <f>IF(BC35&gt;KKM!$G$10,"A",IF(BC35&gt;KKM!$H$10,"B",IF(BC35&gt;=KKM!$I$10,"C","D")))</f>
        <v>A</v>
      </c>
      <c r="BE35" s="523">
        <f t="shared" si="4"/>
        <v>99</v>
      </c>
      <c r="BF35" s="115" t="str">
        <f>IF(BE35&gt;KKM!$G$10," sangat baik ",IF(BE35&gt;KKM!$H$10," baik ",IF(BE35&gt;=KKM!$I$10," cukup baik "," perlu bimbingan ")))</f>
        <v xml:space="preserve"> sangat baik </v>
      </c>
      <c r="BG35" s="524">
        <f t="shared" si="5"/>
        <v>86.9375</v>
      </c>
      <c r="BH35" s="115" t="str">
        <f>IF(BG35&gt;KKM!$G$10," sangat baik ",IF(BG35&gt;KKM!$H$10," baik ",IF(BG35&gt;=KKM!$I$10," cukup baik "," perlu bimbingan ")))</f>
        <v xml:space="preserve"> baik </v>
      </c>
      <c r="BI35" s="301" t="str">
        <f t="shared" si="16"/>
        <v>Anak 31 sangat baik  dalam menjelaskan dan melakukan penaksiran dari jumlah, selisih, hasil kali, dan hasil bagi dua bilangan cacah maupun pecahan dan desimal, dan  baik  dalam menjelaskan berbagai bentuk pecahan (biasa, campuran, desimal, dan persen) dan hubungan di antaranya</v>
      </c>
      <c r="BJ35" s="306"/>
      <c r="BK35" s="307" t="str">
        <f t="shared" si="6"/>
        <v xml:space="preserve"> sangat baik  dalam menjelaskan dan melakukan penaksiran dari jumlah, selisih, hasil kali, dan hasil bagi dua bilangan cacah maupun pecahan dan desimal</v>
      </c>
      <c r="BL35" s="307" t="str">
        <f t="shared" si="7"/>
        <v xml:space="preserve"> baik  dalam menjelaskan berbagai bentuk pecahan (biasa, campuran, desimal, dan persen) dan hubungan di antaranya</v>
      </c>
      <c r="BM35"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5" s="307" t="str">
        <f t="shared" si="18"/>
        <v xml:space="preserve"> </v>
      </c>
      <c r="BO35"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5" s="301" t="str">
        <f t="shared" si="8"/>
        <v>Anak 31 sangat baik  dalam menjelaskan dan melakukan penaksiran dari jumlah, selisih, hasil kali, dan hasil bagi dua bilangan cacah maupun pecahan dan desimal, dan  baik  dalam menjelaskan berbagai bentuk pecahan (biasa, campuran, desimal, dan persen) dan hubungan di antaranya</v>
      </c>
      <c r="BQ35" s="120"/>
      <c r="BZ35" s="408">
        <f t="shared" si="20"/>
        <v>96</v>
      </c>
      <c r="CC35" s="302">
        <f t="shared" si="21"/>
        <v>90</v>
      </c>
      <c r="CD35" s="303" t="str">
        <f>IF(CC35&gt;KKM!$G$10,"A",IF(CC35&gt;KKM!$H$10,"B",IF(CC35&gt;=KKM!$I$10,"C","D")))</f>
        <v>B</v>
      </c>
      <c r="CE35" s="523">
        <f t="shared" si="22"/>
        <v>99</v>
      </c>
      <c r="CF35" s="115" t="str">
        <f>IF(CE35&gt;KKM!$G$10," sangat baik ",IF(CE35&gt;KKM!$H$10," baik ",IF(CE35&gt;=KKM!$I$10," cukup baik "," perlu bimbingan ")))</f>
        <v xml:space="preserve"> sangat baik </v>
      </c>
      <c r="CG35" s="524">
        <f t="shared" si="23"/>
        <v>72.5</v>
      </c>
      <c r="CH35" s="115" t="str">
        <f>IF(CG35&gt;KKM!$G$10," sangat baik ",IF(CG35&gt;KKM!$H$10," baik ",IF(CG35&gt;=KKM!$I$10," cukup baik "," perlu bimbingan ")))</f>
        <v xml:space="preserve"> cukup baik </v>
      </c>
      <c r="CI35" s="301" t="str">
        <f t="shared" si="30"/>
        <v>Anak 31 sangat baik  dalam menjelaskan pecahan-pecahan senilai dengan gambar dan model konkret, dan  cukup baik  dalam menjelaskan berbagai bentuk pecahan (biasa, campuran, desimal, dan persen) dan hubungan di antaranya</v>
      </c>
      <c r="CJ35" s="307" t="str">
        <f t="shared" si="24"/>
        <v xml:space="preserve"> sangat baik  dalam menjelaskan pecahan-pecahan senilai dengan gambar dan model konkret</v>
      </c>
      <c r="CK35" s="307" t="str">
        <f t="shared" si="25"/>
        <v xml:space="preserve"> cukup baik  dalam menjelaskan berbagai bentuk pecahan (biasa, campuran, desimal, dan persen) dan hubungan di antaranya</v>
      </c>
      <c r="CL35" s="307" t="str">
        <f t="shared" si="26"/>
        <v xml:space="preserve"> sangat baik  dalam menjelaskan pecahan-pecahan senilai dengan gambar dan model konkret, dan  cukup baik  dalam menjelaskan berbagai bentuk pecahan (biasa, campuran, desimal, dan persen) dan hubungan di antaranya</v>
      </c>
      <c r="CM35" s="307" t="str">
        <f t="shared" si="27"/>
        <v xml:space="preserve"> </v>
      </c>
      <c r="CN35" s="308" t="str">
        <f t="shared" si="28"/>
        <v xml:space="preserve"> sangat baik  dalam menjelaskan pecahan-pecahan senilai dengan gambar dan model konkret, dan  cukup baik  dalam menjelaskan berbagai bentuk pecahan (biasa, campuran, desimal, dan persen) dan hubungan di antaranya</v>
      </c>
      <c r="CO35" s="301" t="str">
        <f t="shared" si="29"/>
        <v>Anak 31 sangat baik  dalam menjelaskan pecahan-pecahan senilai dengan gambar dan model konkret, dan  cukup baik  dalam menjelaskan berbagai bentuk pecahan (biasa, campuran, desimal, dan persen) dan hubungan di antaranya</v>
      </c>
    </row>
    <row r="36" spans="2:93" ht="33.75" customHeight="1">
      <c r="B36" s="109">
        <v>32</v>
      </c>
      <c r="C36" s="110">
        <f>SISWA!B37</f>
        <v>0</v>
      </c>
      <c r="D36" s="111" t="str">
        <f>SISWA!E37</f>
        <v>Anak 32</v>
      </c>
      <c r="E36" s="631">
        <v>99</v>
      </c>
      <c r="F36" s="631">
        <v>99</v>
      </c>
      <c r="G36" s="631">
        <v>99</v>
      </c>
      <c r="H36" s="631">
        <v>99</v>
      </c>
      <c r="I36" s="631">
        <v>99</v>
      </c>
      <c r="J36" s="631">
        <v>99</v>
      </c>
      <c r="K36" s="613">
        <v>99</v>
      </c>
      <c r="L36" s="613"/>
      <c r="M36" s="613"/>
      <c r="N36" s="630"/>
      <c r="O36" s="630"/>
      <c r="P36" s="630"/>
      <c r="Q36" s="630"/>
      <c r="R36" s="630"/>
      <c r="S36" s="630"/>
      <c r="T36" s="630"/>
      <c r="U36" s="613"/>
      <c r="V36" s="610"/>
      <c r="W36" s="631">
        <v>99</v>
      </c>
      <c r="X36" s="613">
        <v>80</v>
      </c>
      <c r="Y36" s="631">
        <v>99</v>
      </c>
      <c r="Z36" s="631"/>
      <c r="AA36" s="631"/>
      <c r="AB36" s="631"/>
      <c r="AC36" s="609"/>
      <c r="AD36" s="610"/>
      <c r="AE36" s="613">
        <v>80</v>
      </c>
      <c r="AF36" s="613">
        <v>71.75</v>
      </c>
      <c r="AG36" s="613"/>
      <c r="AH36" s="613"/>
      <c r="AI36" s="613"/>
      <c r="AJ36" s="613"/>
      <c r="AK36" s="613"/>
      <c r="AL36" s="518"/>
      <c r="AM36" s="607">
        <f t="shared" si="9"/>
        <v>94.25</v>
      </c>
      <c r="AN36" s="607">
        <f t="shared" si="10"/>
        <v>87.4375</v>
      </c>
      <c r="AO36" s="607">
        <f t="shared" si="11"/>
        <v>99</v>
      </c>
      <c r="AP36" s="607">
        <f t="shared" si="12"/>
        <v>99</v>
      </c>
      <c r="AQ36" s="607">
        <f t="shared" si="13"/>
        <v>99</v>
      </c>
      <c r="AR36" s="607">
        <f t="shared" si="14"/>
        <v>99</v>
      </c>
      <c r="AS36" s="607">
        <f t="shared" si="15"/>
        <v>99</v>
      </c>
      <c r="AT36" s="607"/>
      <c r="AU36" s="607"/>
      <c r="AV36" s="607"/>
      <c r="AW36" s="607"/>
      <c r="AX36" s="607"/>
      <c r="AY36" s="607"/>
      <c r="AZ36" s="607"/>
      <c r="BA36" s="607"/>
      <c r="BB36" s="607"/>
      <c r="BC36" s="302">
        <f t="shared" si="3"/>
        <v>97</v>
      </c>
      <c r="BD36" s="303" t="str">
        <f>IF(BC36&gt;KKM!$G$10,"A",IF(BC36&gt;KKM!$H$10,"B",IF(BC36&gt;=KKM!$I$10,"C","D")))</f>
        <v>A</v>
      </c>
      <c r="BE36" s="523">
        <f t="shared" si="4"/>
        <v>99</v>
      </c>
      <c r="BF36" s="115" t="str">
        <f>IF(BE36&gt;KKM!$G$10," sangat baik ",IF(BE36&gt;KKM!$H$10," baik ",IF(BE36&gt;=KKM!$I$10," cukup baik "," perlu bimbingan ")))</f>
        <v xml:space="preserve"> sangat baik </v>
      </c>
      <c r="BG36" s="524">
        <f t="shared" si="5"/>
        <v>87.4375</v>
      </c>
      <c r="BH36" s="115" t="str">
        <f>IF(BG36&gt;KKM!$G$10," sangat baik ",IF(BG36&gt;KKM!$H$10," baik ",IF(BG36&gt;=KKM!$I$10," cukup baik "," perlu bimbingan ")))</f>
        <v xml:space="preserve"> baik </v>
      </c>
      <c r="BI36" s="301" t="str">
        <f t="shared" si="16"/>
        <v>Anak 32 sangat baik  dalam menjelaskan dan melakukan penaksiran dari jumlah, selisih, hasil kali, dan hasil bagi dua bilangan cacah maupun pecahan dan desimal, dan  baik  dalam menjelaskan berbagai bentuk pecahan (biasa, campuran, desimal, dan persen) dan hubungan di antaranya</v>
      </c>
      <c r="BJ36" s="306"/>
      <c r="BK36" s="307" t="str">
        <f t="shared" si="6"/>
        <v xml:space="preserve"> sangat baik  dalam menjelaskan dan melakukan penaksiran dari jumlah, selisih, hasil kali, dan hasil bagi dua bilangan cacah maupun pecahan dan desimal</v>
      </c>
      <c r="BL36" s="307" t="str">
        <f t="shared" si="7"/>
        <v xml:space="preserve"> baik  dalam menjelaskan berbagai bentuk pecahan (biasa, campuran, desimal, dan persen) dan hubungan di antaranya</v>
      </c>
      <c r="BM36"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6" s="307" t="str">
        <f t="shared" si="18"/>
        <v xml:space="preserve"> </v>
      </c>
      <c r="BO36"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6" s="301" t="str">
        <f t="shared" si="8"/>
        <v>Anak 32 sangat baik  dalam menjelaskan dan melakukan penaksiran dari jumlah, selisih, hasil kali, dan hasil bagi dua bilangan cacah maupun pecahan dan desimal, dan  baik  dalam menjelaskan berbagai bentuk pecahan (biasa, campuran, desimal, dan persen) dan hubungan di antaranya</v>
      </c>
      <c r="BQ36" s="120"/>
      <c r="BZ36" s="408">
        <f t="shared" si="20"/>
        <v>97</v>
      </c>
      <c r="CC36" s="302">
        <f t="shared" si="21"/>
        <v>93</v>
      </c>
      <c r="CD36" s="303" t="str">
        <f>IF(CC36&gt;KKM!$G$10,"A",IF(CC36&gt;KKM!$H$10,"B",IF(CC36&gt;=KKM!$I$10,"C","D")))</f>
        <v>A</v>
      </c>
      <c r="CE36" s="523">
        <f t="shared" si="22"/>
        <v>99</v>
      </c>
      <c r="CF36" s="115" t="str">
        <f>IF(CE36&gt;KKM!$G$10," sangat baik ",IF(CE36&gt;KKM!$H$10," baik ",IF(CE36&gt;=KKM!$I$10," cukup baik "," perlu bimbingan ")))</f>
        <v xml:space="preserve"> sangat baik </v>
      </c>
      <c r="CG36" s="524">
        <f t="shared" si="23"/>
        <v>80</v>
      </c>
      <c r="CH36" s="115" t="str">
        <f>IF(CG36&gt;KKM!$G$10," sangat baik ",IF(CG36&gt;KKM!$H$10," baik ",IF(CG36&gt;=KKM!$I$10," cukup baik "," perlu bimbingan ")))</f>
        <v xml:space="preserve"> cukup baik </v>
      </c>
      <c r="CI36" s="301" t="str">
        <f t="shared" si="30"/>
        <v>Anak 32 sangat baik  dalam menjelaskan pecahan-pecahan senilai dengan gambar dan model konkret, dan  cukup baik  dalam menjelaskan berbagai bentuk pecahan (biasa, campuran, desimal, dan persen) dan hubungan di antaranya</v>
      </c>
      <c r="CJ36" s="307" t="str">
        <f t="shared" si="24"/>
        <v xml:space="preserve"> sangat baik  dalam menjelaskan pecahan-pecahan senilai dengan gambar dan model konkret</v>
      </c>
      <c r="CK36" s="307" t="str">
        <f t="shared" si="25"/>
        <v xml:space="preserve"> cukup baik  dalam menjelaskan berbagai bentuk pecahan (biasa, campuran, desimal, dan persen) dan hubungan di antaranya</v>
      </c>
      <c r="CL36" s="307" t="str">
        <f t="shared" si="26"/>
        <v xml:space="preserve"> sangat baik  dalam menjelaskan pecahan-pecahan senilai dengan gambar dan model konkret, dan  cukup baik  dalam menjelaskan berbagai bentuk pecahan (biasa, campuran, desimal, dan persen) dan hubungan di antaranya</v>
      </c>
      <c r="CM36" s="307" t="str">
        <f t="shared" si="27"/>
        <v xml:space="preserve"> </v>
      </c>
      <c r="CN36" s="308" t="str">
        <f t="shared" si="28"/>
        <v xml:space="preserve"> sangat baik  dalam menjelaskan pecahan-pecahan senilai dengan gambar dan model konkret, dan  cukup baik  dalam menjelaskan berbagai bentuk pecahan (biasa, campuran, desimal, dan persen) dan hubungan di antaranya</v>
      </c>
      <c r="CO36" s="301" t="str">
        <f t="shared" si="29"/>
        <v>Anak 32 sangat baik  dalam menjelaskan pecahan-pecahan senilai dengan gambar dan model konkret, dan  cukup baik  dalam menjelaskan berbagai bentuk pecahan (biasa, campuran, desimal, dan persen) dan hubungan di antaranya</v>
      </c>
    </row>
    <row r="37" spans="2:93" ht="33.75" customHeight="1">
      <c r="B37" s="109">
        <v>33</v>
      </c>
      <c r="C37" s="110">
        <f>SISWA!B38</f>
        <v>0</v>
      </c>
      <c r="D37" s="111" t="str">
        <f>SISWA!E38</f>
        <v>Anak 33</v>
      </c>
      <c r="E37" s="631">
        <v>99</v>
      </c>
      <c r="F37" s="631">
        <v>99</v>
      </c>
      <c r="G37" s="631">
        <v>99</v>
      </c>
      <c r="H37" s="631">
        <v>99</v>
      </c>
      <c r="I37" s="631">
        <v>99</v>
      </c>
      <c r="J37" s="631">
        <v>99</v>
      </c>
      <c r="K37" s="613">
        <v>99</v>
      </c>
      <c r="L37" s="613"/>
      <c r="M37" s="613"/>
      <c r="N37" s="630"/>
      <c r="O37" s="630"/>
      <c r="P37" s="630"/>
      <c r="Q37" s="630"/>
      <c r="R37" s="630"/>
      <c r="S37" s="630"/>
      <c r="T37" s="630"/>
      <c r="U37" s="613"/>
      <c r="V37" s="610"/>
      <c r="W37" s="631">
        <v>99</v>
      </c>
      <c r="X37" s="613">
        <v>79.5</v>
      </c>
      <c r="Y37" s="631">
        <v>99</v>
      </c>
      <c r="Z37" s="631"/>
      <c r="AA37" s="631"/>
      <c r="AB37" s="631"/>
      <c r="AC37" s="609"/>
      <c r="AD37" s="610"/>
      <c r="AE37" s="613">
        <v>79.5</v>
      </c>
      <c r="AF37" s="613">
        <v>76</v>
      </c>
      <c r="AG37" s="613"/>
      <c r="AH37" s="613"/>
      <c r="AI37" s="613"/>
      <c r="AJ37" s="613"/>
      <c r="AK37" s="613"/>
      <c r="AL37" s="518"/>
      <c r="AM37" s="607">
        <f t="shared" si="9"/>
        <v>94.125</v>
      </c>
      <c r="AN37" s="607">
        <f t="shared" si="10"/>
        <v>88.375</v>
      </c>
      <c r="AO37" s="607">
        <f t="shared" si="11"/>
        <v>99</v>
      </c>
      <c r="AP37" s="607">
        <f t="shared" si="12"/>
        <v>99</v>
      </c>
      <c r="AQ37" s="607">
        <f t="shared" si="13"/>
        <v>99</v>
      </c>
      <c r="AR37" s="607">
        <f t="shared" si="14"/>
        <v>99</v>
      </c>
      <c r="AS37" s="607">
        <f t="shared" si="15"/>
        <v>99</v>
      </c>
      <c r="AT37" s="607"/>
      <c r="AU37" s="607"/>
      <c r="AV37" s="607"/>
      <c r="AW37" s="607"/>
      <c r="AX37" s="607"/>
      <c r="AY37" s="607"/>
      <c r="AZ37" s="607"/>
      <c r="BA37" s="607"/>
      <c r="BB37" s="607"/>
      <c r="BC37" s="302">
        <f t="shared" si="3"/>
        <v>97</v>
      </c>
      <c r="BD37" s="303" t="str">
        <f>IF(BC37&gt;KKM!$G$10,"A",IF(BC37&gt;KKM!$H$10,"B",IF(BC37&gt;=KKM!$I$10,"C","D")))</f>
        <v>A</v>
      </c>
      <c r="BE37" s="523">
        <f t="shared" si="4"/>
        <v>99</v>
      </c>
      <c r="BF37" s="115" t="str">
        <f>IF(BE37&gt;KKM!$G$10," sangat baik ",IF(BE37&gt;KKM!$H$10," baik ",IF(BE37&gt;=KKM!$I$10," cukup baik "," perlu bimbingan ")))</f>
        <v xml:space="preserve"> sangat baik </v>
      </c>
      <c r="BG37" s="524">
        <f t="shared" si="5"/>
        <v>88.375</v>
      </c>
      <c r="BH37" s="115" t="str">
        <f>IF(BG37&gt;KKM!$G$10," sangat baik ",IF(BG37&gt;KKM!$H$10," baik ",IF(BG37&gt;=KKM!$I$10," cukup baik "," perlu bimbingan ")))</f>
        <v xml:space="preserve"> baik </v>
      </c>
      <c r="BI37" s="301" t="str">
        <f t="shared" si="16"/>
        <v>Anak 33 sangat baik  dalam menjelaskan dan melakukan penaksiran dari jumlah, selisih, hasil kali, dan hasil bagi dua bilangan cacah maupun pecahan dan desimal, dan  baik  dalam menjelaskan berbagai bentuk pecahan (biasa, campuran, desimal, dan persen) dan hubungan di antaranya</v>
      </c>
      <c r="BJ37" s="306"/>
      <c r="BK37" s="307" t="str">
        <f t="shared" si="6"/>
        <v xml:space="preserve"> sangat baik  dalam menjelaskan dan melakukan penaksiran dari jumlah, selisih, hasil kali, dan hasil bagi dua bilangan cacah maupun pecahan dan desimal</v>
      </c>
      <c r="BL37" s="307" t="str">
        <f t="shared" si="7"/>
        <v xml:space="preserve"> baik  dalam menjelaskan berbagai bentuk pecahan (biasa, campuran, desimal, dan persen) dan hubungan di antaranya</v>
      </c>
      <c r="BM37"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7" s="307" t="str">
        <f t="shared" si="18"/>
        <v xml:space="preserve"> </v>
      </c>
      <c r="BO37"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7" s="301" t="str">
        <f t="shared" ref="BP37:BP54" si="31">CONCATENATE(D37,BO37)</f>
        <v>Anak 33 sangat baik  dalam menjelaskan dan melakukan penaksiran dari jumlah, selisih, hasil kali, dan hasil bagi dua bilangan cacah maupun pecahan dan desimal, dan  baik  dalam menjelaskan berbagai bentuk pecahan (biasa, campuran, desimal, dan persen) dan hubungan di antaranya</v>
      </c>
      <c r="BQ37" s="120"/>
      <c r="BZ37" s="408">
        <f t="shared" si="20"/>
        <v>97</v>
      </c>
      <c r="CC37" s="302">
        <f t="shared" si="21"/>
        <v>93</v>
      </c>
      <c r="CD37" s="303" t="str">
        <f>IF(CC37&gt;KKM!$G$10,"A",IF(CC37&gt;KKM!$H$10,"B",IF(CC37&gt;=KKM!$I$10,"C","D")))</f>
        <v>A</v>
      </c>
      <c r="CE37" s="523">
        <f t="shared" si="22"/>
        <v>99</v>
      </c>
      <c r="CF37" s="115" t="str">
        <f>IF(CE37&gt;KKM!$G$10," sangat baik ",IF(CE37&gt;KKM!$H$10," baik ",IF(CE37&gt;=KKM!$I$10," cukup baik "," perlu bimbingan ")))</f>
        <v xml:space="preserve"> sangat baik </v>
      </c>
      <c r="CG37" s="524">
        <f t="shared" si="23"/>
        <v>79.5</v>
      </c>
      <c r="CH37" s="115" t="str">
        <f>IF(CG37&gt;KKM!$G$10," sangat baik ",IF(CG37&gt;KKM!$H$10," baik ",IF(CG37&gt;=KKM!$I$10," cukup baik "," perlu bimbingan ")))</f>
        <v xml:space="preserve"> cukup baik </v>
      </c>
      <c r="CI37" s="301" t="str">
        <f t="shared" si="30"/>
        <v>Anak 33 sangat baik  dalam menjelaskan pecahan-pecahan senilai dengan gambar dan model konkret, dan  cukup baik  dalam menjelaskan berbagai bentuk pecahan (biasa, campuran, desimal, dan persen) dan hubungan di antaranya</v>
      </c>
      <c r="CJ37" s="307" t="str">
        <f t="shared" si="24"/>
        <v xml:space="preserve"> sangat baik  dalam menjelaskan pecahan-pecahan senilai dengan gambar dan model konkret</v>
      </c>
      <c r="CK37" s="307" t="str">
        <f t="shared" si="25"/>
        <v xml:space="preserve"> cukup baik  dalam menjelaskan berbagai bentuk pecahan (biasa, campuran, desimal, dan persen) dan hubungan di antaranya</v>
      </c>
      <c r="CL37" s="307" t="str">
        <f t="shared" si="26"/>
        <v xml:space="preserve"> sangat baik  dalam menjelaskan pecahan-pecahan senilai dengan gambar dan model konkret, dan  cukup baik  dalam menjelaskan berbagai bentuk pecahan (biasa, campuran, desimal, dan persen) dan hubungan di antaranya</v>
      </c>
      <c r="CM37" s="307" t="str">
        <f t="shared" si="27"/>
        <v xml:space="preserve"> </v>
      </c>
      <c r="CN37" s="308" t="str">
        <f t="shared" si="28"/>
        <v xml:space="preserve"> sangat baik  dalam menjelaskan pecahan-pecahan senilai dengan gambar dan model konkret, dan  cukup baik  dalam menjelaskan berbagai bentuk pecahan (biasa, campuran, desimal, dan persen) dan hubungan di antaranya</v>
      </c>
      <c r="CO37" s="301" t="str">
        <f t="shared" si="29"/>
        <v>Anak 33 sangat baik  dalam menjelaskan pecahan-pecahan senilai dengan gambar dan model konkret, dan  cukup baik  dalam menjelaskan berbagai bentuk pecahan (biasa, campuran, desimal, dan persen) dan hubungan di antaranya</v>
      </c>
    </row>
    <row r="38" spans="2:93" ht="33.75" customHeight="1">
      <c r="B38" s="109">
        <v>34</v>
      </c>
      <c r="C38" s="110">
        <f>SISWA!B39</f>
        <v>0</v>
      </c>
      <c r="D38" s="111" t="str">
        <f>SISWA!E39</f>
        <v>Anak 34</v>
      </c>
      <c r="E38" s="631">
        <v>99</v>
      </c>
      <c r="F38" s="631">
        <v>99</v>
      </c>
      <c r="G38" s="631">
        <v>99</v>
      </c>
      <c r="H38" s="631">
        <v>99</v>
      </c>
      <c r="I38" s="631">
        <v>99</v>
      </c>
      <c r="J38" s="631">
        <v>99</v>
      </c>
      <c r="K38" s="613">
        <v>99</v>
      </c>
      <c r="L38" s="613"/>
      <c r="M38" s="613"/>
      <c r="N38" s="630"/>
      <c r="O38" s="630"/>
      <c r="P38" s="630"/>
      <c r="Q38" s="630"/>
      <c r="R38" s="630"/>
      <c r="S38" s="630"/>
      <c r="T38" s="630"/>
      <c r="U38" s="613"/>
      <c r="V38" s="610"/>
      <c r="W38" s="631">
        <v>99</v>
      </c>
      <c r="X38" s="613">
        <v>79.5</v>
      </c>
      <c r="Y38" s="631">
        <v>99</v>
      </c>
      <c r="Z38" s="631"/>
      <c r="AA38" s="631"/>
      <c r="AB38" s="631"/>
      <c r="AC38" s="609"/>
      <c r="AD38" s="610"/>
      <c r="AE38" s="613">
        <v>79.5</v>
      </c>
      <c r="AF38" s="613">
        <v>82.75</v>
      </c>
      <c r="AG38" s="613"/>
      <c r="AH38" s="613"/>
      <c r="AI38" s="613"/>
      <c r="AJ38" s="613"/>
      <c r="AK38" s="613"/>
      <c r="AL38" s="518"/>
      <c r="AM38" s="607">
        <f t="shared" si="9"/>
        <v>94.125</v>
      </c>
      <c r="AN38" s="607">
        <f t="shared" si="10"/>
        <v>90.0625</v>
      </c>
      <c r="AO38" s="607">
        <f t="shared" si="11"/>
        <v>99</v>
      </c>
      <c r="AP38" s="607">
        <f t="shared" si="12"/>
        <v>99</v>
      </c>
      <c r="AQ38" s="607">
        <f t="shared" si="13"/>
        <v>99</v>
      </c>
      <c r="AR38" s="607">
        <f t="shared" si="14"/>
        <v>99</v>
      </c>
      <c r="AS38" s="607">
        <f t="shared" si="15"/>
        <v>99</v>
      </c>
      <c r="AT38" s="607"/>
      <c r="AU38" s="607"/>
      <c r="AV38" s="607"/>
      <c r="AW38" s="607"/>
      <c r="AX38" s="607"/>
      <c r="AY38" s="607"/>
      <c r="AZ38" s="607"/>
      <c r="BA38" s="607"/>
      <c r="BB38" s="607"/>
      <c r="BC38" s="302">
        <f t="shared" si="3"/>
        <v>97</v>
      </c>
      <c r="BD38" s="303" t="str">
        <f>IF(BC38&gt;KKM!$G$10,"A",IF(BC38&gt;KKM!$H$10,"B",IF(BC38&gt;=KKM!$I$10,"C","D")))</f>
        <v>A</v>
      </c>
      <c r="BE38" s="523">
        <f t="shared" si="4"/>
        <v>99</v>
      </c>
      <c r="BF38" s="115" t="str">
        <f>IF(BE38&gt;KKM!$G$10," sangat baik ",IF(BE38&gt;KKM!$H$10," baik ",IF(BE38&gt;=KKM!$I$10," cukup baik "," perlu bimbingan ")))</f>
        <v xml:space="preserve"> sangat baik </v>
      </c>
      <c r="BG38" s="524">
        <f t="shared" si="5"/>
        <v>90.0625</v>
      </c>
      <c r="BH38" s="115" t="str">
        <f>IF(BG38&gt;KKM!$G$10," sangat baik ",IF(BG38&gt;KKM!$H$10," baik ",IF(BG38&gt;=KKM!$I$10," cukup baik "," perlu bimbingan ")))</f>
        <v xml:space="preserve"> sangat baik </v>
      </c>
      <c r="BI38" s="301" t="str">
        <f t="shared" si="16"/>
        <v>Anak 34 sangat baik  dalam menjelaskan dan melakukan penaksiran dari jumlah, selisih, hasil kali, dan hasil bagi dua bilangan cacah maupun pecahan dan desimal, dan  sangat baik  dalam menjelaskan berbagai bentuk pecahan (biasa, campuran, desimal, dan persen) dan hubungan di antaranya</v>
      </c>
      <c r="BJ38" s="306"/>
      <c r="BK38" s="307" t="str">
        <f t="shared" si="6"/>
        <v xml:space="preserve"> sangat baik  dalam menjelaskan dan melakukan penaksiran dari jumlah, selisih, hasil kali, dan hasil bagi dua bilangan cacah maupun pecahan dan desimal</v>
      </c>
      <c r="BL38" s="307" t="str">
        <f t="shared" si="7"/>
        <v xml:space="preserve"> sangat baik  dalam menjelaskan berbagai bentuk pecahan (biasa, campuran, desimal, dan persen) dan hubungan di antaranya</v>
      </c>
      <c r="BM38"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38" s="307" t="str">
        <f t="shared" si="18"/>
        <v xml:space="preserve"> </v>
      </c>
      <c r="BO38"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38" s="301" t="str">
        <f t="shared" si="31"/>
        <v>Anak 34 sangat baik  dalam menjelaskan dan melakukan penaksiran dari jumlah, selisih, hasil kali, dan hasil bagi dua bilangan cacah maupun pecahan dan desimal, dan  sangat baik  dalam menjelaskan berbagai bentuk pecahan (biasa, campuran, desimal, dan persen) dan hubungan di antaranya</v>
      </c>
      <c r="BQ38" s="120"/>
      <c r="BZ38" s="408">
        <f t="shared" si="20"/>
        <v>97</v>
      </c>
      <c r="CC38" s="302">
        <f t="shared" si="21"/>
        <v>93</v>
      </c>
      <c r="CD38" s="303" t="str">
        <f>IF(CC38&gt;KKM!$G$10,"A",IF(CC38&gt;KKM!$H$10,"B",IF(CC38&gt;=KKM!$I$10,"C","D")))</f>
        <v>A</v>
      </c>
      <c r="CE38" s="523">
        <f t="shared" si="22"/>
        <v>99</v>
      </c>
      <c r="CF38" s="115" t="str">
        <f>IF(CE38&gt;KKM!$G$10," sangat baik ",IF(CE38&gt;KKM!$H$10," baik ",IF(CE38&gt;=KKM!$I$10," cukup baik "," perlu bimbingan ")))</f>
        <v xml:space="preserve"> sangat baik </v>
      </c>
      <c r="CG38" s="524">
        <f t="shared" si="23"/>
        <v>79.5</v>
      </c>
      <c r="CH38" s="115" t="str">
        <f>IF(CG38&gt;KKM!$G$10," sangat baik ",IF(CG38&gt;KKM!$H$10," baik ",IF(CG38&gt;=KKM!$I$10," cukup baik "," perlu bimbingan ")))</f>
        <v xml:space="preserve"> cukup baik </v>
      </c>
      <c r="CI38" s="301" t="str">
        <f t="shared" si="30"/>
        <v>Anak 34 sangat baik  dalam menjelaskan pecahan-pecahan senilai dengan gambar dan model konkret, dan  cukup baik  dalam menjelaskan berbagai bentuk pecahan (biasa, campuran, desimal, dan persen) dan hubungan di antaranya</v>
      </c>
      <c r="CJ38" s="307" t="str">
        <f t="shared" si="24"/>
        <v xml:space="preserve"> sangat baik  dalam menjelaskan pecahan-pecahan senilai dengan gambar dan model konkret</v>
      </c>
      <c r="CK38" s="307" t="str">
        <f t="shared" si="25"/>
        <v xml:space="preserve"> cukup baik  dalam menjelaskan berbagai bentuk pecahan (biasa, campuran, desimal, dan persen) dan hubungan di antaranya</v>
      </c>
      <c r="CL38" s="307" t="str">
        <f t="shared" si="26"/>
        <v xml:space="preserve"> sangat baik  dalam menjelaskan pecahan-pecahan senilai dengan gambar dan model konkret, dan  cukup baik  dalam menjelaskan berbagai bentuk pecahan (biasa, campuran, desimal, dan persen) dan hubungan di antaranya</v>
      </c>
      <c r="CM38" s="307" t="str">
        <f t="shared" si="27"/>
        <v xml:space="preserve"> </v>
      </c>
      <c r="CN38" s="308" t="str">
        <f t="shared" si="28"/>
        <v xml:space="preserve"> sangat baik  dalam menjelaskan pecahan-pecahan senilai dengan gambar dan model konkret, dan  cukup baik  dalam menjelaskan berbagai bentuk pecahan (biasa, campuran, desimal, dan persen) dan hubungan di antaranya</v>
      </c>
      <c r="CO38" s="301" t="str">
        <f t="shared" si="29"/>
        <v>Anak 34 sangat baik  dalam menjelaskan pecahan-pecahan senilai dengan gambar dan model konkret, dan  cukup baik  dalam menjelaskan berbagai bentuk pecahan (biasa, campuran, desimal, dan persen) dan hubungan di antaranya</v>
      </c>
    </row>
    <row r="39" spans="2:93" ht="33.75" customHeight="1">
      <c r="B39" s="109">
        <v>35</v>
      </c>
      <c r="C39" s="110">
        <f>SISWA!B40</f>
        <v>0</v>
      </c>
      <c r="D39" s="111" t="str">
        <f>SISWA!E40</f>
        <v>Anak 35</v>
      </c>
      <c r="E39" s="631">
        <v>99</v>
      </c>
      <c r="F39" s="631">
        <v>99</v>
      </c>
      <c r="G39" s="631">
        <v>99</v>
      </c>
      <c r="H39" s="631">
        <v>99</v>
      </c>
      <c r="I39" s="631">
        <v>99</v>
      </c>
      <c r="J39" s="631">
        <v>99</v>
      </c>
      <c r="K39" s="613">
        <v>99</v>
      </c>
      <c r="L39" s="613"/>
      <c r="M39" s="613"/>
      <c r="N39" s="630"/>
      <c r="O39" s="630"/>
      <c r="P39" s="630"/>
      <c r="Q39" s="630"/>
      <c r="R39" s="630"/>
      <c r="S39" s="630"/>
      <c r="T39" s="630"/>
      <c r="U39" s="613"/>
      <c r="V39" s="610"/>
      <c r="W39" s="631">
        <v>99</v>
      </c>
      <c r="X39" s="613">
        <v>79.5</v>
      </c>
      <c r="Y39" s="631">
        <v>99</v>
      </c>
      <c r="Z39" s="631"/>
      <c r="AA39" s="631"/>
      <c r="AB39" s="631"/>
      <c r="AC39" s="609"/>
      <c r="AD39" s="610"/>
      <c r="AE39" s="613">
        <v>79.5</v>
      </c>
      <c r="AF39" s="613">
        <v>74.75</v>
      </c>
      <c r="AG39" s="613"/>
      <c r="AH39" s="613"/>
      <c r="AI39" s="613"/>
      <c r="AJ39" s="613"/>
      <c r="AK39" s="613"/>
      <c r="AL39" s="518"/>
      <c r="AM39" s="607">
        <f t="shared" si="9"/>
        <v>94.125</v>
      </c>
      <c r="AN39" s="607">
        <f t="shared" si="10"/>
        <v>88.0625</v>
      </c>
      <c r="AO39" s="607">
        <f t="shared" si="11"/>
        <v>99</v>
      </c>
      <c r="AP39" s="607">
        <f t="shared" si="12"/>
        <v>99</v>
      </c>
      <c r="AQ39" s="607">
        <f t="shared" si="13"/>
        <v>99</v>
      </c>
      <c r="AR39" s="607">
        <f t="shared" si="14"/>
        <v>99</v>
      </c>
      <c r="AS39" s="607">
        <f t="shared" si="15"/>
        <v>99</v>
      </c>
      <c r="AT39" s="607"/>
      <c r="AU39" s="607"/>
      <c r="AV39" s="607"/>
      <c r="AW39" s="607"/>
      <c r="AX39" s="607"/>
      <c r="AY39" s="607"/>
      <c r="AZ39" s="607"/>
      <c r="BA39" s="607"/>
      <c r="BB39" s="607"/>
      <c r="BC39" s="302">
        <f t="shared" si="3"/>
        <v>97</v>
      </c>
      <c r="BD39" s="303" t="str">
        <f>IF(BC39&gt;KKM!$G$10,"A",IF(BC39&gt;KKM!$H$10,"B",IF(BC39&gt;=KKM!$I$10,"C","D")))</f>
        <v>A</v>
      </c>
      <c r="BE39" s="523">
        <f t="shared" si="4"/>
        <v>99</v>
      </c>
      <c r="BF39" s="115" t="str">
        <f>IF(BE39&gt;KKM!$G$10," sangat baik ",IF(BE39&gt;KKM!$H$10," baik ",IF(BE39&gt;=KKM!$I$10," cukup baik "," perlu bimbingan ")))</f>
        <v xml:space="preserve"> sangat baik </v>
      </c>
      <c r="BG39" s="524">
        <f t="shared" si="5"/>
        <v>88.0625</v>
      </c>
      <c r="BH39" s="115" t="str">
        <f>IF(BG39&gt;KKM!$G$10," sangat baik ",IF(BG39&gt;KKM!$H$10," baik ",IF(BG39&gt;=KKM!$I$10," cukup baik "," perlu bimbingan ")))</f>
        <v xml:space="preserve"> baik </v>
      </c>
      <c r="BI39" s="301" t="str">
        <f t="shared" si="16"/>
        <v>Anak 35 sangat baik  dalam menjelaskan dan melakukan penaksiran dari jumlah, selisih, hasil kali, dan hasil bagi dua bilangan cacah maupun pecahan dan desimal, dan  baik  dalam menjelaskan berbagai bentuk pecahan (biasa, campuran, desimal, dan persen) dan hubungan di antaranya</v>
      </c>
      <c r="BJ39" s="306"/>
      <c r="BK39" s="307" t="str">
        <f t="shared" si="6"/>
        <v xml:space="preserve"> sangat baik  dalam menjelaskan dan melakukan penaksiran dari jumlah, selisih, hasil kali, dan hasil bagi dua bilangan cacah maupun pecahan dan desimal</v>
      </c>
      <c r="BL39" s="307" t="str">
        <f t="shared" si="7"/>
        <v xml:space="preserve"> baik  dalam menjelaskan berbagai bentuk pecahan (biasa, campuran, desimal, dan persen) dan hubungan di antaranya</v>
      </c>
      <c r="BM39"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39" s="307" t="str">
        <f t="shared" si="18"/>
        <v xml:space="preserve"> </v>
      </c>
      <c r="BO39"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39" s="301" t="str">
        <f t="shared" si="31"/>
        <v>Anak 35 sangat baik  dalam menjelaskan dan melakukan penaksiran dari jumlah, selisih, hasil kali, dan hasil bagi dua bilangan cacah maupun pecahan dan desimal, dan  baik  dalam menjelaskan berbagai bentuk pecahan (biasa, campuran, desimal, dan persen) dan hubungan di antaranya</v>
      </c>
      <c r="BQ39" s="120"/>
      <c r="BZ39" s="408">
        <f t="shared" si="20"/>
        <v>97</v>
      </c>
      <c r="CC39" s="302">
        <f t="shared" si="21"/>
        <v>93</v>
      </c>
      <c r="CD39" s="303" t="str">
        <f>IF(CC39&gt;KKM!$G$10,"A",IF(CC39&gt;KKM!$H$10,"B",IF(CC39&gt;=KKM!$I$10,"C","D")))</f>
        <v>A</v>
      </c>
      <c r="CE39" s="523">
        <f t="shared" si="22"/>
        <v>99</v>
      </c>
      <c r="CF39" s="115" t="str">
        <f>IF(CE39&gt;KKM!$G$10," sangat baik ",IF(CE39&gt;KKM!$H$10," baik ",IF(CE39&gt;=KKM!$I$10," cukup baik "," perlu bimbingan ")))</f>
        <v xml:space="preserve"> sangat baik </v>
      </c>
      <c r="CG39" s="524">
        <f t="shared" si="23"/>
        <v>79.5</v>
      </c>
      <c r="CH39" s="115" t="str">
        <f>IF(CG39&gt;KKM!$G$10," sangat baik ",IF(CG39&gt;KKM!$H$10," baik ",IF(CG39&gt;=KKM!$I$10," cukup baik "," perlu bimbingan ")))</f>
        <v xml:space="preserve"> cukup baik </v>
      </c>
      <c r="CI39" s="301" t="str">
        <f t="shared" si="30"/>
        <v>Anak 35 sangat baik  dalam menjelaskan pecahan-pecahan senilai dengan gambar dan model konkret, dan  cukup baik  dalam menjelaskan berbagai bentuk pecahan (biasa, campuran, desimal, dan persen) dan hubungan di antaranya</v>
      </c>
      <c r="CJ39" s="307" t="str">
        <f t="shared" si="24"/>
        <v xml:space="preserve"> sangat baik  dalam menjelaskan pecahan-pecahan senilai dengan gambar dan model konkret</v>
      </c>
      <c r="CK39" s="307" t="str">
        <f t="shared" si="25"/>
        <v xml:space="preserve"> cukup baik  dalam menjelaskan berbagai bentuk pecahan (biasa, campuran, desimal, dan persen) dan hubungan di antaranya</v>
      </c>
      <c r="CL39" s="307" t="str">
        <f t="shared" si="26"/>
        <v xml:space="preserve"> sangat baik  dalam menjelaskan pecahan-pecahan senilai dengan gambar dan model konkret, dan  cukup baik  dalam menjelaskan berbagai bentuk pecahan (biasa, campuran, desimal, dan persen) dan hubungan di antaranya</v>
      </c>
      <c r="CM39" s="307" t="str">
        <f t="shared" si="27"/>
        <v xml:space="preserve"> </v>
      </c>
      <c r="CN39" s="308" t="str">
        <f t="shared" si="28"/>
        <v xml:space="preserve"> sangat baik  dalam menjelaskan pecahan-pecahan senilai dengan gambar dan model konkret, dan  cukup baik  dalam menjelaskan berbagai bentuk pecahan (biasa, campuran, desimal, dan persen) dan hubungan di antaranya</v>
      </c>
      <c r="CO39" s="301" t="str">
        <f t="shared" si="29"/>
        <v>Anak 35 sangat baik  dalam menjelaskan pecahan-pecahan senilai dengan gambar dan model konkret, dan  cukup baik  dalam menjelaskan berbagai bentuk pecahan (biasa, campuran, desimal, dan persen) dan hubungan di antaranya</v>
      </c>
    </row>
    <row r="40" spans="2:93" ht="33.75" customHeight="1">
      <c r="B40" s="109">
        <v>36</v>
      </c>
      <c r="C40" s="110">
        <f>SISWA!B41</f>
        <v>0</v>
      </c>
      <c r="D40" s="111" t="str">
        <f>SISWA!E41</f>
        <v>Anak 36</v>
      </c>
      <c r="E40" s="631">
        <v>99</v>
      </c>
      <c r="F40" s="631">
        <v>99</v>
      </c>
      <c r="G40" s="631">
        <v>99</v>
      </c>
      <c r="H40" s="631">
        <v>99</v>
      </c>
      <c r="I40" s="631">
        <v>99</v>
      </c>
      <c r="J40" s="631">
        <v>99</v>
      </c>
      <c r="K40" s="613">
        <v>99</v>
      </c>
      <c r="L40" s="613"/>
      <c r="M40" s="613"/>
      <c r="N40" s="630"/>
      <c r="O40" s="630"/>
      <c r="P40" s="630"/>
      <c r="Q40" s="630"/>
      <c r="R40" s="630"/>
      <c r="S40" s="630"/>
      <c r="T40" s="630"/>
      <c r="U40" s="613"/>
      <c r="V40" s="610"/>
      <c r="W40" s="631">
        <v>99</v>
      </c>
      <c r="X40" s="613">
        <v>89</v>
      </c>
      <c r="Y40" s="631">
        <v>99</v>
      </c>
      <c r="Z40" s="631"/>
      <c r="AA40" s="631"/>
      <c r="AB40" s="631"/>
      <c r="AC40" s="609"/>
      <c r="AD40" s="610"/>
      <c r="AE40" s="613">
        <v>89</v>
      </c>
      <c r="AF40" s="613">
        <v>75.25</v>
      </c>
      <c r="AG40" s="613"/>
      <c r="AH40" s="613"/>
      <c r="AI40" s="613"/>
      <c r="AJ40" s="613"/>
      <c r="AK40" s="613"/>
      <c r="AL40" s="518"/>
      <c r="AM40" s="607">
        <f t="shared" si="9"/>
        <v>96.5</v>
      </c>
      <c r="AN40" s="607">
        <f t="shared" si="10"/>
        <v>90.5625</v>
      </c>
      <c r="AO40" s="607">
        <f t="shared" si="11"/>
        <v>99</v>
      </c>
      <c r="AP40" s="607">
        <f t="shared" si="12"/>
        <v>99</v>
      </c>
      <c r="AQ40" s="607">
        <f t="shared" si="13"/>
        <v>99</v>
      </c>
      <c r="AR40" s="607">
        <f t="shared" si="14"/>
        <v>99</v>
      </c>
      <c r="AS40" s="607">
        <f t="shared" si="15"/>
        <v>99</v>
      </c>
      <c r="AT40" s="607"/>
      <c r="AU40" s="607"/>
      <c r="AV40" s="607"/>
      <c r="AW40" s="607"/>
      <c r="AX40" s="607"/>
      <c r="AY40" s="607"/>
      <c r="AZ40" s="607"/>
      <c r="BA40" s="607"/>
      <c r="BB40" s="607"/>
      <c r="BC40" s="302">
        <f t="shared" si="3"/>
        <v>97</v>
      </c>
      <c r="BD40" s="303" t="str">
        <f>IF(BC40&gt;KKM!$G$10,"A",IF(BC40&gt;KKM!$H$10,"B",IF(BC40&gt;=KKM!$I$10,"C","D")))</f>
        <v>A</v>
      </c>
      <c r="BE40" s="523">
        <f t="shared" si="4"/>
        <v>99</v>
      </c>
      <c r="BF40" s="115" t="str">
        <f>IF(BE40&gt;KKM!$G$10," sangat baik ",IF(BE40&gt;KKM!$H$10," baik ",IF(BE40&gt;=KKM!$I$10," cukup baik "," perlu bimbingan ")))</f>
        <v xml:space="preserve"> sangat baik </v>
      </c>
      <c r="BG40" s="524">
        <f t="shared" si="5"/>
        <v>90.5625</v>
      </c>
      <c r="BH40" s="115" t="str">
        <f>IF(BG40&gt;KKM!$G$10," sangat baik ",IF(BG40&gt;KKM!$H$10," baik ",IF(BG40&gt;=KKM!$I$10," cukup baik "," perlu bimbingan ")))</f>
        <v xml:space="preserve"> sangat baik </v>
      </c>
      <c r="BI40" s="301" t="str">
        <f t="shared" si="16"/>
        <v>Anak 36 sangat baik  dalam menjelaskan dan melakukan penaksiran dari jumlah, selisih, hasil kali, dan hasil bagi dua bilangan cacah maupun pecahan dan desimal, dan  sangat baik  dalam menjelaskan berbagai bentuk pecahan (biasa, campuran, desimal, dan persen) dan hubungan di antaranya</v>
      </c>
      <c r="BJ40" s="306"/>
      <c r="BK40" s="307" t="str">
        <f t="shared" si="6"/>
        <v xml:space="preserve"> sangat baik  dalam menjelaskan dan melakukan penaksiran dari jumlah, selisih, hasil kali, dan hasil bagi dua bilangan cacah maupun pecahan dan desimal</v>
      </c>
      <c r="BL40" s="307" t="str">
        <f t="shared" si="7"/>
        <v xml:space="preserve"> sangat baik  dalam menjelaskan berbagai bentuk pecahan (biasa, campuran, desimal, dan persen) dan hubungan di antaranya</v>
      </c>
      <c r="BM40"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40" s="307" t="str">
        <f t="shared" si="18"/>
        <v xml:space="preserve"> </v>
      </c>
      <c r="BO40"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40" s="301" t="str">
        <f t="shared" si="31"/>
        <v>Anak 36 sangat baik  dalam menjelaskan dan melakukan penaksiran dari jumlah, selisih, hasil kali, dan hasil bagi dua bilangan cacah maupun pecahan dan desimal, dan  sangat baik  dalam menjelaskan berbagai bentuk pecahan (biasa, campuran, desimal, dan persen) dan hubungan di antaranya</v>
      </c>
      <c r="BQ40" s="120"/>
      <c r="BZ40" s="408">
        <f t="shared" si="20"/>
        <v>97</v>
      </c>
      <c r="CC40" s="302">
        <f t="shared" si="21"/>
        <v>96</v>
      </c>
      <c r="CD40" s="303" t="str">
        <f>IF(CC40&gt;KKM!$G$10,"A",IF(CC40&gt;KKM!$H$10,"B",IF(CC40&gt;=KKM!$I$10,"C","D")))</f>
        <v>A</v>
      </c>
      <c r="CE40" s="523">
        <f t="shared" si="22"/>
        <v>99</v>
      </c>
      <c r="CF40" s="115" t="str">
        <f>IF(CE40&gt;KKM!$G$10," sangat baik ",IF(CE40&gt;KKM!$H$10," baik ",IF(CE40&gt;=KKM!$I$10," cukup baik "," perlu bimbingan ")))</f>
        <v xml:space="preserve"> sangat baik </v>
      </c>
      <c r="CG40" s="524">
        <f t="shared" si="23"/>
        <v>89</v>
      </c>
      <c r="CH40" s="115" t="str">
        <f>IF(CG40&gt;KKM!$G$10," sangat baik ",IF(CG40&gt;KKM!$H$10," baik ",IF(CG40&gt;=KKM!$I$10," cukup baik "," perlu bimbingan ")))</f>
        <v xml:space="preserve"> baik </v>
      </c>
      <c r="CI40" s="301" t="str">
        <f t="shared" si="30"/>
        <v>Anak 36 sangat baik  dalam menjelaskan pecahan-pecahan senilai dengan gambar dan model konkret, dan  baik  dalam menjelaskan berbagai bentuk pecahan (biasa, campuran, desimal, dan persen) dan hubungan di antaranya</v>
      </c>
      <c r="CJ40" s="307" t="str">
        <f t="shared" si="24"/>
        <v xml:space="preserve"> sangat baik  dalam menjelaskan pecahan-pecahan senilai dengan gambar dan model konkret</v>
      </c>
      <c r="CK40" s="307" t="str">
        <f t="shared" si="25"/>
        <v xml:space="preserve"> baik  dalam menjelaskan berbagai bentuk pecahan (biasa, campuran, desimal, dan persen) dan hubungan di antaranya</v>
      </c>
      <c r="CL40" s="307" t="str">
        <f t="shared" si="26"/>
        <v xml:space="preserve"> sangat baik  dalam menjelaskan pecahan-pecahan senilai dengan gambar dan model konkret, dan  baik  dalam menjelaskan berbagai bentuk pecahan (biasa, campuran, desimal, dan persen) dan hubungan di antaranya</v>
      </c>
      <c r="CM40" s="307" t="str">
        <f t="shared" si="27"/>
        <v xml:space="preserve"> </v>
      </c>
      <c r="CN40" s="308" t="str">
        <f t="shared" si="28"/>
        <v xml:space="preserve"> sangat baik  dalam menjelaskan pecahan-pecahan senilai dengan gambar dan model konkret, dan  baik  dalam menjelaskan berbagai bentuk pecahan (biasa, campuran, desimal, dan persen) dan hubungan di antaranya</v>
      </c>
      <c r="CO40" s="301" t="str">
        <f t="shared" si="29"/>
        <v>Anak 36 sangat baik  dalam menjelaskan pecahan-pecahan senilai dengan gambar dan model konkret, dan  baik  dalam menjelaskan berbagai bentuk pecahan (biasa, campuran, desimal, dan persen) dan hubungan di antaranya</v>
      </c>
    </row>
    <row r="41" spans="2:93" ht="33.75" customHeight="1">
      <c r="B41" s="109">
        <v>37</v>
      </c>
      <c r="C41" s="110">
        <f>SISWA!B42</f>
        <v>0</v>
      </c>
      <c r="D41" s="111" t="str">
        <f>SISWA!E42</f>
        <v>Anak 37</v>
      </c>
      <c r="E41" s="631">
        <v>99</v>
      </c>
      <c r="F41" s="631">
        <v>99</v>
      </c>
      <c r="G41" s="631">
        <v>99</v>
      </c>
      <c r="H41" s="631">
        <v>99</v>
      </c>
      <c r="I41" s="631">
        <v>99</v>
      </c>
      <c r="J41" s="631">
        <v>99</v>
      </c>
      <c r="K41" s="613">
        <v>99</v>
      </c>
      <c r="L41" s="613"/>
      <c r="M41" s="613"/>
      <c r="N41" s="630"/>
      <c r="O41" s="630"/>
      <c r="P41" s="630"/>
      <c r="Q41" s="630"/>
      <c r="R41" s="630"/>
      <c r="S41" s="630"/>
      <c r="T41" s="630"/>
      <c r="U41" s="613"/>
      <c r="V41" s="610"/>
      <c r="W41" s="631">
        <v>99</v>
      </c>
      <c r="X41" s="613">
        <v>81</v>
      </c>
      <c r="Y41" s="631">
        <v>99</v>
      </c>
      <c r="Z41" s="631"/>
      <c r="AA41" s="631"/>
      <c r="AB41" s="631"/>
      <c r="AC41" s="609"/>
      <c r="AD41" s="610"/>
      <c r="AE41" s="613">
        <v>81</v>
      </c>
      <c r="AF41" s="613">
        <v>80.5</v>
      </c>
      <c r="AG41" s="613"/>
      <c r="AH41" s="613"/>
      <c r="AI41" s="613"/>
      <c r="AJ41" s="613"/>
      <c r="AK41" s="613"/>
      <c r="AL41" s="518"/>
      <c r="AM41" s="607">
        <f t="shared" si="9"/>
        <v>94.5</v>
      </c>
      <c r="AN41" s="607">
        <f t="shared" si="10"/>
        <v>89.875</v>
      </c>
      <c r="AO41" s="607">
        <f t="shared" si="11"/>
        <v>99</v>
      </c>
      <c r="AP41" s="607">
        <f t="shared" si="12"/>
        <v>99</v>
      </c>
      <c r="AQ41" s="607">
        <f t="shared" si="13"/>
        <v>99</v>
      </c>
      <c r="AR41" s="607">
        <f t="shared" si="14"/>
        <v>99</v>
      </c>
      <c r="AS41" s="607">
        <f t="shared" si="15"/>
        <v>99</v>
      </c>
      <c r="AT41" s="607"/>
      <c r="AU41" s="607"/>
      <c r="AV41" s="607"/>
      <c r="AW41" s="607"/>
      <c r="AX41" s="607"/>
      <c r="AY41" s="607"/>
      <c r="AZ41" s="607"/>
      <c r="BA41" s="607"/>
      <c r="BB41" s="607"/>
      <c r="BC41" s="302">
        <f t="shared" si="3"/>
        <v>97</v>
      </c>
      <c r="BD41" s="303" t="str">
        <f>IF(BC41&gt;KKM!$G$10,"A",IF(BC41&gt;KKM!$H$10,"B",IF(BC41&gt;=KKM!$I$10,"C","D")))</f>
        <v>A</v>
      </c>
      <c r="BE41" s="523">
        <f t="shared" si="4"/>
        <v>99</v>
      </c>
      <c r="BF41" s="115" t="str">
        <f>IF(BE41&gt;KKM!$G$10," sangat baik ",IF(BE41&gt;KKM!$H$10," baik ",IF(BE41&gt;=KKM!$I$10," cukup baik "," perlu bimbingan ")))</f>
        <v xml:space="preserve"> sangat baik </v>
      </c>
      <c r="BG41" s="524">
        <f t="shared" si="5"/>
        <v>89.875</v>
      </c>
      <c r="BH41" s="115" t="str">
        <f>IF(BG41&gt;KKM!$G$10," sangat baik ",IF(BG41&gt;KKM!$H$10," baik ",IF(BG41&gt;=KKM!$I$10," cukup baik "," perlu bimbingan ")))</f>
        <v xml:space="preserve"> baik </v>
      </c>
      <c r="BI41" s="301" t="str">
        <f t="shared" si="16"/>
        <v>Anak 37 sangat baik  dalam menjelaskan dan melakukan penaksiran dari jumlah, selisih, hasil kali, dan hasil bagi dua bilangan cacah maupun pecahan dan desimal, dan  baik  dalam menjelaskan berbagai bentuk pecahan (biasa, campuran, desimal, dan persen) dan hubungan di antaranya</v>
      </c>
      <c r="BJ41" s="306"/>
      <c r="BK41" s="307" t="str">
        <f t="shared" si="6"/>
        <v xml:space="preserve"> sangat baik  dalam menjelaskan dan melakukan penaksiran dari jumlah, selisih, hasil kali, dan hasil bagi dua bilangan cacah maupun pecahan dan desimal</v>
      </c>
      <c r="BL41" s="307" t="str">
        <f t="shared" si="7"/>
        <v xml:space="preserve"> baik  dalam menjelaskan berbagai bentuk pecahan (biasa, campuran, desimal, dan persen) dan hubungan di antaranya</v>
      </c>
      <c r="BM41"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41" s="307" t="str">
        <f t="shared" si="18"/>
        <v xml:space="preserve"> </v>
      </c>
      <c r="BO41"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41" s="301" t="str">
        <f t="shared" si="31"/>
        <v>Anak 37 sangat baik  dalam menjelaskan dan melakukan penaksiran dari jumlah, selisih, hasil kali, dan hasil bagi dua bilangan cacah maupun pecahan dan desimal, dan  baik  dalam menjelaskan berbagai bentuk pecahan (biasa, campuran, desimal, dan persen) dan hubungan di antaranya</v>
      </c>
      <c r="BQ41" s="120"/>
      <c r="BZ41" s="408">
        <f t="shared" si="20"/>
        <v>97</v>
      </c>
      <c r="CC41" s="302">
        <f t="shared" si="21"/>
        <v>93</v>
      </c>
      <c r="CD41" s="303" t="str">
        <f>IF(CC41&gt;KKM!$G$10,"A",IF(CC41&gt;KKM!$H$10,"B",IF(CC41&gt;=KKM!$I$10,"C","D")))</f>
        <v>A</v>
      </c>
      <c r="CE41" s="523">
        <f t="shared" si="22"/>
        <v>99</v>
      </c>
      <c r="CF41" s="115" t="str">
        <f>IF(CE41&gt;KKM!$G$10," sangat baik ",IF(CE41&gt;KKM!$H$10," baik ",IF(CE41&gt;=KKM!$I$10," cukup baik "," perlu bimbingan ")))</f>
        <v xml:space="preserve"> sangat baik </v>
      </c>
      <c r="CG41" s="524">
        <f t="shared" si="23"/>
        <v>81</v>
      </c>
      <c r="CH41" s="115" t="str">
        <f>IF(CG41&gt;KKM!$G$10," sangat baik ",IF(CG41&gt;KKM!$H$10," baik ",IF(CG41&gt;=KKM!$I$10," cukup baik "," perlu bimbingan ")))</f>
        <v xml:space="preserve"> baik </v>
      </c>
      <c r="CI41" s="301" t="str">
        <f t="shared" si="30"/>
        <v>Anak 37 sangat baik  dalam menjelaskan pecahan-pecahan senilai dengan gambar dan model konkret, dan  baik  dalam menjelaskan berbagai bentuk pecahan (biasa, campuran, desimal, dan persen) dan hubungan di antaranya</v>
      </c>
      <c r="CJ41" s="307" t="str">
        <f t="shared" si="24"/>
        <v xml:space="preserve"> sangat baik  dalam menjelaskan pecahan-pecahan senilai dengan gambar dan model konkret</v>
      </c>
      <c r="CK41" s="307" t="str">
        <f t="shared" si="25"/>
        <v xml:space="preserve"> baik  dalam menjelaskan berbagai bentuk pecahan (biasa, campuran, desimal, dan persen) dan hubungan di antaranya</v>
      </c>
      <c r="CL41" s="307" t="str">
        <f t="shared" si="26"/>
        <v xml:space="preserve"> sangat baik  dalam menjelaskan pecahan-pecahan senilai dengan gambar dan model konkret, dan  baik  dalam menjelaskan berbagai bentuk pecahan (biasa, campuran, desimal, dan persen) dan hubungan di antaranya</v>
      </c>
      <c r="CM41" s="307" t="str">
        <f t="shared" si="27"/>
        <v xml:space="preserve"> </v>
      </c>
      <c r="CN41" s="308" t="str">
        <f t="shared" si="28"/>
        <v xml:space="preserve"> sangat baik  dalam menjelaskan pecahan-pecahan senilai dengan gambar dan model konkret, dan  baik  dalam menjelaskan berbagai bentuk pecahan (biasa, campuran, desimal, dan persen) dan hubungan di antaranya</v>
      </c>
      <c r="CO41" s="301" t="str">
        <f t="shared" si="29"/>
        <v>Anak 37 sangat baik  dalam menjelaskan pecahan-pecahan senilai dengan gambar dan model konkret, dan  baik  dalam menjelaskan berbagai bentuk pecahan (biasa, campuran, desimal, dan persen) dan hubungan di antaranya</v>
      </c>
    </row>
    <row r="42" spans="2:93" ht="33.75" customHeight="1">
      <c r="B42" s="109">
        <v>38</v>
      </c>
      <c r="C42" s="110">
        <f>SISWA!B43</f>
        <v>0</v>
      </c>
      <c r="D42" s="111" t="str">
        <f>SISWA!E43</f>
        <v>Anak 38</v>
      </c>
      <c r="E42" s="631">
        <v>99</v>
      </c>
      <c r="F42" s="631">
        <v>99</v>
      </c>
      <c r="G42" s="631">
        <v>99</v>
      </c>
      <c r="H42" s="631">
        <v>99</v>
      </c>
      <c r="I42" s="631">
        <v>99</v>
      </c>
      <c r="J42" s="631">
        <v>99</v>
      </c>
      <c r="K42" s="613">
        <v>99</v>
      </c>
      <c r="L42" s="613"/>
      <c r="M42" s="613"/>
      <c r="N42" s="630"/>
      <c r="O42" s="630"/>
      <c r="P42" s="630"/>
      <c r="Q42" s="630"/>
      <c r="R42" s="630"/>
      <c r="S42" s="630"/>
      <c r="T42" s="630"/>
      <c r="U42" s="613"/>
      <c r="V42" s="610"/>
      <c r="W42" s="631">
        <v>99</v>
      </c>
      <c r="X42" s="613">
        <v>76.5</v>
      </c>
      <c r="Y42" s="631">
        <v>99</v>
      </c>
      <c r="Z42" s="631"/>
      <c r="AA42" s="631"/>
      <c r="AB42" s="631"/>
      <c r="AC42" s="609"/>
      <c r="AD42" s="610"/>
      <c r="AE42" s="613">
        <v>76.5</v>
      </c>
      <c r="AF42" s="613">
        <v>86.5</v>
      </c>
      <c r="AG42" s="613"/>
      <c r="AH42" s="613"/>
      <c r="AI42" s="613"/>
      <c r="AJ42" s="613"/>
      <c r="AK42" s="613"/>
      <c r="AL42" s="518"/>
      <c r="AM42" s="607">
        <f t="shared" si="9"/>
        <v>93.375</v>
      </c>
      <c r="AN42" s="607">
        <f t="shared" si="10"/>
        <v>90.25</v>
      </c>
      <c r="AO42" s="607">
        <f t="shared" si="11"/>
        <v>99</v>
      </c>
      <c r="AP42" s="607">
        <f t="shared" si="12"/>
        <v>99</v>
      </c>
      <c r="AQ42" s="607">
        <f t="shared" si="13"/>
        <v>99</v>
      </c>
      <c r="AR42" s="607">
        <f t="shared" si="14"/>
        <v>99</v>
      </c>
      <c r="AS42" s="607">
        <f t="shared" si="15"/>
        <v>99</v>
      </c>
      <c r="AT42" s="607"/>
      <c r="AU42" s="607"/>
      <c r="AV42" s="607"/>
      <c r="AW42" s="607"/>
      <c r="AX42" s="607"/>
      <c r="AY42" s="607"/>
      <c r="AZ42" s="607"/>
      <c r="BA42" s="607"/>
      <c r="BB42" s="607"/>
      <c r="BC42" s="302">
        <f t="shared" si="3"/>
        <v>97</v>
      </c>
      <c r="BD42" s="303" t="str">
        <f>IF(BC42&gt;KKM!$G$10,"A",IF(BC42&gt;KKM!$H$10,"B",IF(BC42&gt;=KKM!$I$10,"C","D")))</f>
        <v>A</v>
      </c>
      <c r="BE42" s="523">
        <f t="shared" si="4"/>
        <v>99</v>
      </c>
      <c r="BF42" s="115" t="str">
        <f>IF(BE42&gt;KKM!$G$10," sangat baik ",IF(BE42&gt;KKM!$H$10," baik ",IF(BE42&gt;=KKM!$I$10," cukup baik "," perlu bimbingan ")))</f>
        <v xml:space="preserve"> sangat baik </v>
      </c>
      <c r="BG42" s="524">
        <f t="shared" si="5"/>
        <v>90.25</v>
      </c>
      <c r="BH42" s="115" t="str">
        <f>IF(BG42&gt;KKM!$G$10," sangat baik ",IF(BG42&gt;KKM!$H$10," baik ",IF(BG42&gt;=KKM!$I$10," cukup baik "," perlu bimbingan ")))</f>
        <v xml:space="preserve"> sangat baik </v>
      </c>
      <c r="BI42" s="301" t="str">
        <f t="shared" si="16"/>
        <v>Anak 38 sangat baik  dalam menjelaskan dan melakukan penaksiran dari jumlah, selisih, hasil kali, dan hasil bagi dua bilangan cacah maupun pecahan dan desimal, dan  sangat baik  dalam menjelaskan berbagai bentuk pecahan (biasa, campuran, desimal, dan persen) dan hubungan di antaranya</v>
      </c>
      <c r="BJ42" s="306"/>
      <c r="BK42" s="307" t="str">
        <f t="shared" si="6"/>
        <v xml:space="preserve"> sangat baik  dalam menjelaskan dan melakukan penaksiran dari jumlah, selisih, hasil kali, dan hasil bagi dua bilangan cacah maupun pecahan dan desimal</v>
      </c>
      <c r="BL42" s="307" t="str">
        <f t="shared" si="7"/>
        <v xml:space="preserve"> sangat baik  dalam menjelaskan berbagai bentuk pecahan (biasa, campuran, desimal, dan persen) dan hubungan di antaranya</v>
      </c>
      <c r="BM42"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42" s="307" t="str">
        <f t="shared" si="18"/>
        <v xml:space="preserve"> </v>
      </c>
      <c r="BO42"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42" s="301" t="str">
        <f t="shared" si="31"/>
        <v>Anak 38 sangat baik  dalam menjelaskan dan melakukan penaksiran dari jumlah, selisih, hasil kali, dan hasil bagi dua bilangan cacah maupun pecahan dan desimal, dan  sangat baik  dalam menjelaskan berbagai bentuk pecahan (biasa, campuran, desimal, dan persen) dan hubungan di antaranya</v>
      </c>
      <c r="BQ42" s="120"/>
      <c r="BZ42" s="408">
        <f t="shared" si="20"/>
        <v>97</v>
      </c>
      <c r="CC42" s="302">
        <f t="shared" si="21"/>
        <v>92</v>
      </c>
      <c r="CD42" s="303" t="str">
        <f>IF(CC42&gt;KKM!$G$10,"A",IF(CC42&gt;KKM!$H$10,"B",IF(CC42&gt;=KKM!$I$10,"C","D")))</f>
        <v>A</v>
      </c>
      <c r="CE42" s="523">
        <f t="shared" si="22"/>
        <v>99</v>
      </c>
      <c r="CF42" s="115" t="str">
        <f>IF(CE42&gt;KKM!$G$10," sangat baik ",IF(CE42&gt;KKM!$H$10," baik ",IF(CE42&gt;=KKM!$I$10," cukup baik "," perlu bimbingan ")))</f>
        <v xml:space="preserve"> sangat baik </v>
      </c>
      <c r="CG42" s="524">
        <f t="shared" si="23"/>
        <v>76.5</v>
      </c>
      <c r="CH42" s="115" t="str">
        <f>IF(CG42&gt;KKM!$G$10," sangat baik ",IF(CG42&gt;KKM!$H$10," baik ",IF(CG42&gt;=KKM!$I$10," cukup baik "," perlu bimbingan ")))</f>
        <v xml:space="preserve"> cukup baik </v>
      </c>
      <c r="CI42" s="301" t="str">
        <f t="shared" si="30"/>
        <v>Anak 38 sangat baik  dalam menjelaskan pecahan-pecahan senilai dengan gambar dan model konkret, dan  cukup baik  dalam menjelaskan berbagai bentuk pecahan (biasa, campuran, desimal, dan persen) dan hubungan di antaranya</v>
      </c>
      <c r="CJ42" s="307" t="str">
        <f t="shared" si="24"/>
        <v xml:space="preserve"> sangat baik  dalam menjelaskan pecahan-pecahan senilai dengan gambar dan model konkret</v>
      </c>
      <c r="CK42" s="307" t="str">
        <f t="shared" si="25"/>
        <v xml:space="preserve"> cukup baik  dalam menjelaskan berbagai bentuk pecahan (biasa, campuran, desimal, dan persen) dan hubungan di antaranya</v>
      </c>
      <c r="CL42" s="307" t="str">
        <f t="shared" si="26"/>
        <v xml:space="preserve"> sangat baik  dalam menjelaskan pecahan-pecahan senilai dengan gambar dan model konkret, dan  cukup baik  dalam menjelaskan berbagai bentuk pecahan (biasa, campuran, desimal, dan persen) dan hubungan di antaranya</v>
      </c>
      <c r="CM42" s="307" t="str">
        <f t="shared" si="27"/>
        <v xml:space="preserve"> </v>
      </c>
      <c r="CN42" s="308" t="str">
        <f t="shared" si="28"/>
        <v xml:space="preserve"> sangat baik  dalam menjelaskan pecahan-pecahan senilai dengan gambar dan model konkret, dan  cukup baik  dalam menjelaskan berbagai bentuk pecahan (biasa, campuran, desimal, dan persen) dan hubungan di antaranya</v>
      </c>
      <c r="CO42" s="301" t="str">
        <f t="shared" si="29"/>
        <v>Anak 38 sangat baik  dalam menjelaskan pecahan-pecahan senilai dengan gambar dan model konkret, dan  cukup baik  dalam menjelaskan berbagai bentuk pecahan (biasa, campuran, desimal, dan persen) dan hubungan di antaranya</v>
      </c>
    </row>
    <row r="43" spans="2:93" ht="33.75" customHeight="1">
      <c r="B43" s="109">
        <v>39</v>
      </c>
      <c r="C43" s="110">
        <f>SISWA!B44</f>
        <v>0</v>
      </c>
      <c r="D43" s="111" t="str">
        <f>SISWA!E44</f>
        <v>Anak 39</v>
      </c>
      <c r="E43" s="631">
        <v>99</v>
      </c>
      <c r="F43" s="631">
        <v>99</v>
      </c>
      <c r="G43" s="631">
        <v>99</v>
      </c>
      <c r="H43" s="631">
        <v>99</v>
      </c>
      <c r="I43" s="631">
        <v>99</v>
      </c>
      <c r="J43" s="631">
        <v>99</v>
      </c>
      <c r="K43" s="613">
        <v>99</v>
      </c>
      <c r="L43" s="613"/>
      <c r="M43" s="613"/>
      <c r="N43" s="630"/>
      <c r="O43" s="630"/>
      <c r="P43" s="630"/>
      <c r="Q43" s="630"/>
      <c r="R43" s="630"/>
      <c r="S43" s="630"/>
      <c r="T43" s="630"/>
      <c r="U43" s="613"/>
      <c r="V43" s="610"/>
      <c r="W43" s="631">
        <v>99</v>
      </c>
      <c r="X43" s="613">
        <v>86.5</v>
      </c>
      <c r="Y43" s="631">
        <v>99</v>
      </c>
      <c r="Z43" s="631"/>
      <c r="AA43" s="631"/>
      <c r="AB43" s="631"/>
      <c r="AC43" s="609"/>
      <c r="AD43" s="610"/>
      <c r="AE43" s="613">
        <v>86.5</v>
      </c>
      <c r="AF43" s="613">
        <v>76.75</v>
      </c>
      <c r="AG43" s="613"/>
      <c r="AH43" s="613"/>
      <c r="AI43" s="613"/>
      <c r="AJ43" s="613"/>
      <c r="AK43" s="613"/>
      <c r="AL43" s="518"/>
      <c r="AM43" s="607">
        <f t="shared" si="9"/>
        <v>95.875</v>
      </c>
      <c r="AN43" s="607">
        <f t="shared" si="10"/>
        <v>90.3125</v>
      </c>
      <c r="AO43" s="607">
        <f t="shared" si="11"/>
        <v>99</v>
      </c>
      <c r="AP43" s="607">
        <f t="shared" si="12"/>
        <v>99</v>
      </c>
      <c r="AQ43" s="607">
        <f t="shared" si="13"/>
        <v>99</v>
      </c>
      <c r="AR43" s="607">
        <f t="shared" si="14"/>
        <v>99</v>
      </c>
      <c r="AS43" s="607">
        <f t="shared" si="15"/>
        <v>99</v>
      </c>
      <c r="AT43" s="607"/>
      <c r="AU43" s="607"/>
      <c r="AV43" s="607"/>
      <c r="AW43" s="607"/>
      <c r="AX43" s="607"/>
      <c r="AY43" s="607"/>
      <c r="AZ43" s="607"/>
      <c r="BA43" s="607"/>
      <c r="BB43" s="607"/>
      <c r="BC43" s="302">
        <f t="shared" si="3"/>
        <v>97</v>
      </c>
      <c r="BD43" s="303" t="str">
        <f>IF(BC43&gt;KKM!$G$10,"A",IF(BC43&gt;KKM!$H$10,"B",IF(BC43&gt;=KKM!$I$10,"C","D")))</f>
        <v>A</v>
      </c>
      <c r="BE43" s="523">
        <f t="shared" si="4"/>
        <v>99</v>
      </c>
      <c r="BF43" s="115" t="str">
        <f>IF(BE43&gt;KKM!$G$10," sangat baik ",IF(BE43&gt;KKM!$H$10," baik ",IF(BE43&gt;=KKM!$I$10," cukup baik "," perlu bimbingan ")))</f>
        <v xml:space="preserve"> sangat baik </v>
      </c>
      <c r="BG43" s="524">
        <f t="shared" si="5"/>
        <v>90.3125</v>
      </c>
      <c r="BH43" s="115" t="str">
        <f>IF(BG43&gt;KKM!$G$10," sangat baik ",IF(BG43&gt;KKM!$H$10," baik ",IF(BG43&gt;=KKM!$I$10," cukup baik "," perlu bimbingan ")))</f>
        <v xml:space="preserve"> sangat baik </v>
      </c>
      <c r="BI43" s="301" t="str">
        <f t="shared" si="16"/>
        <v>Anak 39 sangat baik  dalam menjelaskan dan melakukan penaksiran dari jumlah, selisih, hasil kali, dan hasil bagi dua bilangan cacah maupun pecahan dan desimal, dan  sangat baik  dalam menjelaskan berbagai bentuk pecahan (biasa, campuran, desimal, dan persen) dan hubungan di antaranya</v>
      </c>
      <c r="BJ43" s="306"/>
      <c r="BK43" s="307" t="str">
        <f t="shared" si="6"/>
        <v xml:space="preserve"> sangat baik  dalam menjelaskan dan melakukan penaksiran dari jumlah, selisih, hasil kali, dan hasil bagi dua bilangan cacah maupun pecahan dan desimal</v>
      </c>
      <c r="BL43" s="307" t="str">
        <f t="shared" si="7"/>
        <v xml:space="preserve"> sangat baik  dalam menjelaskan berbagai bentuk pecahan (biasa, campuran, desimal, dan persen) dan hubungan di antaranya</v>
      </c>
      <c r="BM43"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43" s="307" t="str">
        <f t="shared" si="18"/>
        <v xml:space="preserve"> </v>
      </c>
      <c r="BO43"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43" s="301" t="str">
        <f t="shared" si="31"/>
        <v>Anak 39 sangat baik  dalam menjelaskan dan melakukan penaksiran dari jumlah, selisih, hasil kali, dan hasil bagi dua bilangan cacah maupun pecahan dan desimal, dan  sangat baik  dalam menjelaskan berbagai bentuk pecahan (biasa, campuran, desimal, dan persen) dan hubungan di antaranya</v>
      </c>
      <c r="BQ43" s="120"/>
      <c r="BZ43" s="408">
        <f t="shared" si="20"/>
        <v>97</v>
      </c>
      <c r="CC43" s="302">
        <f t="shared" si="21"/>
        <v>95</v>
      </c>
      <c r="CD43" s="303" t="str">
        <f>IF(CC43&gt;KKM!$G$10,"A",IF(CC43&gt;KKM!$H$10,"B",IF(CC43&gt;=KKM!$I$10,"C","D")))</f>
        <v>A</v>
      </c>
      <c r="CE43" s="523">
        <f t="shared" si="22"/>
        <v>99</v>
      </c>
      <c r="CF43" s="115" t="str">
        <f>IF(CE43&gt;KKM!$G$10," sangat baik ",IF(CE43&gt;KKM!$H$10," baik ",IF(CE43&gt;=KKM!$I$10," cukup baik "," perlu bimbingan ")))</f>
        <v xml:space="preserve"> sangat baik </v>
      </c>
      <c r="CG43" s="524">
        <f t="shared" si="23"/>
        <v>86.5</v>
      </c>
      <c r="CH43" s="115" t="str">
        <f>IF(CG43&gt;KKM!$G$10," sangat baik ",IF(CG43&gt;KKM!$H$10," baik ",IF(CG43&gt;=KKM!$I$10," cukup baik "," perlu bimbingan ")))</f>
        <v xml:space="preserve"> baik </v>
      </c>
      <c r="CI43" s="301" t="str">
        <f t="shared" si="30"/>
        <v>Anak 39 sangat baik  dalam menjelaskan pecahan-pecahan senilai dengan gambar dan model konkret, dan  baik  dalam menjelaskan berbagai bentuk pecahan (biasa, campuran, desimal, dan persen) dan hubungan di antaranya</v>
      </c>
      <c r="CJ43" s="307" t="str">
        <f t="shared" si="24"/>
        <v xml:space="preserve"> sangat baik  dalam menjelaskan pecahan-pecahan senilai dengan gambar dan model konkret</v>
      </c>
      <c r="CK43" s="307" t="str">
        <f t="shared" si="25"/>
        <v xml:space="preserve"> baik  dalam menjelaskan berbagai bentuk pecahan (biasa, campuran, desimal, dan persen) dan hubungan di antaranya</v>
      </c>
      <c r="CL43" s="307" t="str">
        <f t="shared" si="26"/>
        <v xml:space="preserve"> sangat baik  dalam menjelaskan pecahan-pecahan senilai dengan gambar dan model konkret, dan  baik  dalam menjelaskan berbagai bentuk pecahan (biasa, campuran, desimal, dan persen) dan hubungan di antaranya</v>
      </c>
      <c r="CM43" s="307" t="str">
        <f t="shared" si="27"/>
        <v xml:space="preserve"> </v>
      </c>
      <c r="CN43" s="308" t="str">
        <f t="shared" si="28"/>
        <v xml:space="preserve"> sangat baik  dalam menjelaskan pecahan-pecahan senilai dengan gambar dan model konkret, dan  baik  dalam menjelaskan berbagai bentuk pecahan (biasa, campuran, desimal, dan persen) dan hubungan di antaranya</v>
      </c>
      <c r="CO43" s="301" t="str">
        <f t="shared" si="29"/>
        <v>Anak 39 sangat baik  dalam menjelaskan pecahan-pecahan senilai dengan gambar dan model konkret, dan  baik  dalam menjelaskan berbagai bentuk pecahan (biasa, campuran, desimal, dan persen) dan hubungan di antaranya</v>
      </c>
    </row>
    <row r="44" spans="2:93" ht="33.75" customHeight="1">
      <c r="B44" s="109">
        <v>40</v>
      </c>
      <c r="C44" s="110">
        <f>SISWA!B45</f>
        <v>0</v>
      </c>
      <c r="D44" s="111" t="str">
        <f>SISWA!E45</f>
        <v>Anak 40</v>
      </c>
      <c r="E44" s="631">
        <v>99</v>
      </c>
      <c r="F44" s="631">
        <v>99</v>
      </c>
      <c r="G44" s="631">
        <v>99</v>
      </c>
      <c r="H44" s="631">
        <v>99</v>
      </c>
      <c r="I44" s="631">
        <v>99</v>
      </c>
      <c r="J44" s="631">
        <v>99</v>
      </c>
      <c r="K44" s="613">
        <v>99</v>
      </c>
      <c r="L44" s="613"/>
      <c r="M44" s="613"/>
      <c r="N44" s="630"/>
      <c r="O44" s="630"/>
      <c r="P44" s="630"/>
      <c r="Q44" s="630"/>
      <c r="R44" s="630"/>
      <c r="S44" s="630"/>
      <c r="T44" s="630"/>
      <c r="U44" s="613"/>
      <c r="V44" s="610"/>
      <c r="W44" s="631">
        <v>99</v>
      </c>
      <c r="X44" s="613">
        <v>90</v>
      </c>
      <c r="Y44" s="631">
        <v>99</v>
      </c>
      <c r="Z44" s="631"/>
      <c r="AA44" s="631"/>
      <c r="AB44" s="631"/>
      <c r="AC44" s="609"/>
      <c r="AD44" s="610"/>
      <c r="AE44" s="613">
        <v>90</v>
      </c>
      <c r="AF44" s="613">
        <v>77.75</v>
      </c>
      <c r="AG44" s="613"/>
      <c r="AH44" s="613"/>
      <c r="AI44" s="613"/>
      <c r="AJ44" s="613"/>
      <c r="AK44" s="613"/>
      <c r="AL44" s="518"/>
      <c r="AM44" s="607">
        <f t="shared" si="9"/>
        <v>96.75</v>
      </c>
      <c r="AN44" s="607">
        <f t="shared" si="10"/>
        <v>91.4375</v>
      </c>
      <c r="AO44" s="607">
        <f t="shared" si="11"/>
        <v>99</v>
      </c>
      <c r="AP44" s="607">
        <f t="shared" si="12"/>
        <v>99</v>
      </c>
      <c r="AQ44" s="607">
        <f t="shared" si="13"/>
        <v>99</v>
      </c>
      <c r="AR44" s="607">
        <f t="shared" si="14"/>
        <v>99</v>
      </c>
      <c r="AS44" s="607">
        <f t="shared" si="15"/>
        <v>99</v>
      </c>
      <c r="AT44" s="607"/>
      <c r="AU44" s="607"/>
      <c r="AV44" s="607"/>
      <c r="AW44" s="607"/>
      <c r="AX44" s="607"/>
      <c r="AY44" s="607"/>
      <c r="AZ44" s="607"/>
      <c r="BA44" s="607"/>
      <c r="BB44" s="607"/>
      <c r="BC44" s="302">
        <f t="shared" si="3"/>
        <v>98</v>
      </c>
      <c r="BD44" s="303" t="str">
        <f>IF(BC44&gt;KKM!$G$10,"A",IF(BC44&gt;KKM!$H$10,"B",IF(BC44&gt;=KKM!$I$10,"C","D")))</f>
        <v>A</v>
      </c>
      <c r="BE44" s="523">
        <f t="shared" si="4"/>
        <v>99</v>
      </c>
      <c r="BF44" s="115" t="str">
        <f>IF(BE44&gt;KKM!$G$10," sangat baik ",IF(BE44&gt;KKM!$H$10," baik ",IF(BE44&gt;=KKM!$I$10," cukup baik "," perlu bimbingan ")))</f>
        <v xml:space="preserve"> sangat baik </v>
      </c>
      <c r="BG44" s="524">
        <f t="shared" si="5"/>
        <v>91.4375</v>
      </c>
      <c r="BH44" s="115" t="str">
        <f>IF(BG44&gt;KKM!$G$10," sangat baik ",IF(BG44&gt;KKM!$H$10," baik ",IF(BG44&gt;=KKM!$I$10," cukup baik "," perlu bimbingan ")))</f>
        <v xml:space="preserve"> sangat baik </v>
      </c>
      <c r="BI44" s="301" t="str">
        <f t="shared" si="16"/>
        <v>Anak 40 sangat baik  dalam menjelaskan dan melakukan penaksiran dari jumlah, selisih, hasil kali, dan hasil bagi dua bilangan cacah maupun pecahan dan desimal, dan  sangat baik  dalam menjelaskan berbagai bentuk pecahan (biasa, campuran, desimal, dan persen) dan hubungan di antaranya</v>
      </c>
      <c r="BJ44" s="306"/>
      <c r="BK44" s="307" t="str">
        <f t="shared" si="6"/>
        <v xml:space="preserve"> sangat baik  dalam menjelaskan dan melakukan penaksiran dari jumlah, selisih, hasil kali, dan hasil bagi dua bilangan cacah maupun pecahan dan desimal</v>
      </c>
      <c r="BL44" s="307" t="str">
        <f t="shared" si="7"/>
        <v xml:space="preserve"> sangat baik  dalam menjelaskan berbagai bentuk pecahan (biasa, campuran, desimal, dan persen) dan hubungan di antaranya</v>
      </c>
      <c r="BM44"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44" s="307" t="str">
        <f t="shared" si="18"/>
        <v xml:space="preserve"> </v>
      </c>
      <c r="BO44"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44" s="301" t="str">
        <f t="shared" si="31"/>
        <v>Anak 40 sangat baik  dalam menjelaskan dan melakukan penaksiran dari jumlah, selisih, hasil kali, dan hasil bagi dua bilangan cacah maupun pecahan dan desimal, dan  sangat baik  dalam menjelaskan berbagai bentuk pecahan (biasa, campuran, desimal, dan persen) dan hubungan di antaranya</v>
      </c>
      <c r="BQ44" s="120"/>
      <c r="BZ44" s="408">
        <f t="shared" si="20"/>
        <v>98</v>
      </c>
      <c r="CC44" s="302">
        <f t="shared" si="21"/>
        <v>96</v>
      </c>
      <c r="CD44" s="303" t="str">
        <f>IF(CC44&gt;KKM!$G$10,"A",IF(CC44&gt;KKM!$H$10,"B",IF(CC44&gt;=KKM!$I$10,"C","D")))</f>
        <v>A</v>
      </c>
      <c r="CE44" s="523">
        <f t="shared" si="22"/>
        <v>99</v>
      </c>
      <c r="CF44" s="115" t="str">
        <f>IF(CE44&gt;KKM!$G$10," sangat baik ",IF(CE44&gt;KKM!$H$10," baik ",IF(CE44&gt;=KKM!$I$10," cukup baik "," perlu bimbingan ")))</f>
        <v xml:space="preserve"> sangat baik </v>
      </c>
      <c r="CG44" s="524">
        <f t="shared" si="23"/>
        <v>90</v>
      </c>
      <c r="CH44" s="115" t="str">
        <f>IF(CG44&gt;KKM!$G$10," sangat baik ",IF(CG44&gt;KKM!$H$10," baik ",IF(CG44&gt;=KKM!$I$10," cukup baik "," perlu bimbingan ")))</f>
        <v xml:space="preserve"> baik </v>
      </c>
      <c r="CI44" s="301" t="str">
        <f t="shared" si="30"/>
        <v>Anak 40 sangat baik  dalam menjelaskan pecahan-pecahan senilai dengan gambar dan model konkret, dan  baik  dalam menjelaskan berbagai bentuk pecahan (biasa, campuran, desimal, dan persen) dan hubungan di antaranya</v>
      </c>
      <c r="CJ44" s="307" t="str">
        <f t="shared" si="24"/>
        <v xml:space="preserve"> sangat baik  dalam menjelaskan pecahan-pecahan senilai dengan gambar dan model konkret</v>
      </c>
      <c r="CK44" s="307" t="str">
        <f t="shared" si="25"/>
        <v xml:space="preserve"> baik  dalam menjelaskan berbagai bentuk pecahan (biasa, campuran, desimal, dan persen) dan hubungan di antaranya</v>
      </c>
      <c r="CL44" s="307" t="str">
        <f t="shared" si="26"/>
        <v xml:space="preserve"> sangat baik  dalam menjelaskan pecahan-pecahan senilai dengan gambar dan model konkret, dan  baik  dalam menjelaskan berbagai bentuk pecahan (biasa, campuran, desimal, dan persen) dan hubungan di antaranya</v>
      </c>
      <c r="CM44" s="307" t="str">
        <f t="shared" si="27"/>
        <v xml:space="preserve"> </v>
      </c>
      <c r="CN44" s="308" t="str">
        <f t="shared" si="28"/>
        <v xml:space="preserve"> sangat baik  dalam menjelaskan pecahan-pecahan senilai dengan gambar dan model konkret, dan  baik  dalam menjelaskan berbagai bentuk pecahan (biasa, campuran, desimal, dan persen) dan hubungan di antaranya</v>
      </c>
      <c r="CO44" s="301" t="str">
        <f t="shared" si="29"/>
        <v>Anak 40 sangat baik  dalam menjelaskan pecahan-pecahan senilai dengan gambar dan model konkret, dan  baik  dalam menjelaskan berbagai bentuk pecahan (biasa, campuran, desimal, dan persen) dan hubungan di antaranya</v>
      </c>
    </row>
    <row r="45" spans="2:93" ht="33.75" customHeight="1">
      <c r="B45" s="109">
        <v>41</v>
      </c>
      <c r="C45" s="110">
        <f>SISWA!B46</f>
        <v>0</v>
      </c>
      <c r="D45" s="111" t="str">
        <f>SISWA!E46</f>
        <v>Anak 41</v>
      </c>
      <c r="E45" s="631">
        <v>99</v>
      </c>
      <c r="F45" s="631">
        <v>99</v>
      </c>
      <c r="G45" s="631">
        <v>99</v>
      </c>
      <c r="H45" s="631">
        <v>99</v>
      </c>
      <c r="I45" s="631">
        <v>99</v>
      </c>
      <c r="J45" s="631">
        <v>99</v>
      </c>
      <c r="K45" s="613">
        <v>99</v>
      </c>
      <c r="L45" s="613"/>
      <c r="M45" s="613"/>
      <c r="N45" s="630"/>
      <c r="O45" s="630"/>
      <c r="P45" s="630"/>
      <c r="Q45" s="630"/>
      <c r="R45" s="630"/>
      <c r="S45" s="630"/>
      <c r="T45" s="630"/>
      <c r="U45" s="613"/>
      <c r="V45" s="610"/>
      <c r="W45" s="631">
        <v>99</v>
      </c>
      <c r="X45" s="613">
        <v>76.5</v>
      </c>
      <c r="Y45" s="631">
        <v>99</v>
      </c>
      <c r="Z45" s="631"/>
      <c r="AA45" s="631"/>
      <c r="AB45" s="631"/>
      <c r="AC45" s="609"/>
      <c r="AD45" s="610"/>
      <c r="AE45" s="613">
        <v>76.5</v>
      </c>
      <c r="AF45" s="613">
        <v>90</v>
      </c>
      <c r="AG45" s="613"/>
      <c r="AH45" s="613"/>
      <c r="AI45" s="613"/>
      <c r="AJ45" s="613"/>
      <c r="AK45" s="613"/>
      <c r="AL45" s="518"/>
      <c r="AM45" s="607">
        <f t="shared" si="9"/>
        <v>93.375</v>
      </c>
      <c r="AN45" s="607">
        <f t="shared" si="10"/>
        <v>91.125</v>
      </c>
      <c r="AO45" s="607">
        <f t="shared" si="11"/>
        <v>99</v>
      </c>
      <c r="AP45" s="607">
        <f t="shared" si="12"/>
        <v>99</v>
      </c>
      <c r="AQ45" s="607">
        <f t="shared" si="13"/>
        <v>99</v>
      </c>
      <c r="AR45" s="607">
        <f t="shared" si="14"/>
        <v>99</v>
      </c>
      <c r="AS45" s="607">
        <f t="shared" si="15"/>
        <v>99</v>
      </c>
      <c r="AT45" s="607"/>
      <c r="AU45" s="607"/>
      <c r="AV45" s="607"/>
      <c r="AW45" s="607"/>
      <c r="AX45" s="607"/>
      <c r="AY45" s="607"/>
      <c r="AZ45" s="607"/>
      <c r="BA45" s="607"/>
      <c r="BB45" s="607"/>
      <c r="BC45" s="302">
        <f t="shared" si="3"/>
        <v>97</v>
      </c>
      <c r="BD45" s="303" t="str">
        <f>IF(BC45&gt;KKM!$G$10,"A",IF(BC45&gt;KKM!$H$10,"B",IF(BC45&gt;=KKM!$I$10,"C","D")))</f>
        <v>A</v>
      </c>
      <c r="BE45" s="523">
        <f t="shared" si="4"/>
        <v>99</v>
      </c>
      <c r="BF45" s="115" t="str">
        <f>IF(BE45&gt;KKM!$G$10," sangat baik ",IF(BE45&gt;KKM!$H$10," baik ",IF(BE45&gt;=KKM!$I$10," cukup baik "," perlu bimbingan ")))</f>
        <v xml:space="preserve"> sangat baik </v>
      </c>
      <c r="BG45" s="524">
        <f t="shared" si="5"/>
        <v>91.125</v>
      </c>
      <c r="BH45" s="115" t="str">
        <f>IF(BG45&gt;KKM!$G$10," sangat baik ",IF(BG45&gt;KKM!$H$10," baik ",IF(BG45&gt;=KKM!$I$10," cukup baik "," perlu bimbingan ")))</f>
        <v xml:space="preserve"> sangat baik </v>
      </c>
      <c r="BI45" s="301" t="str">
        <f t="shared" si="16"/>
        <v>Anak 41 sangat baik  dalam menjelaskan dan melakukan penaksiran dari jumlah, selisih, hasil kali, dan hasil bagi dua bilangan cacah maupun pecahan dan desimal, dan  sangat baik  dalam menjelaskan berbagai bentuk pecahan (biasa, campuran, desimal, dan persen) dan hubungan di antaranya</v>
      </c>
      <c r="BJ45" s="306"/>
      <c r="BK45" s="307" t="str">
        <f t="shared" si="6"/>
        <v xml:space="preserve"> sangat baik  dalam menjelaskan dan melakukan penaksiran dari jumlah, selisih, hasil kali, dan hasil bagi dua bilangan cacah maupun pecahan dan desimal</v>
      </c>
      <c r="BL45" s="307" t="str">
        <f t="shared" si="7"/>
        <v xml:space="preserve"> sangat baik  dalam menjelaskan berbagai bentuk pecahan (biasa, campuran, desimal, dan persen) dan hubungan di antaranya</v>
      </c>
      <c r="BM45"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45" s="307" t="str">
        <f t="shared" si="18"/>
        <v xml:space="preserve"> </v>
      </c>
      <c r="BO45"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45" s="301" t="str">
        <f t="shared" si="31"/>
        <v>Anak 41 sangat baik  dalam menjelaskan dan melakukan penaksiran dari jumlah, selisih, hasil kali, dan hasil bagi dua bilangan cacah maupun pecahan dan desimal, dan  sangat baik  dalam menjelaskan berbagai bentuk pecahan (biasa, campuran, desimal, dan persen) dan hubungan di antaranya</v>
      </c>
      <c r="BQ45" s="120"/>
      <c r="BZ45" s="408">
        <f t="shared" si="20"/>
        <v>97</v>
      </c>
      <c r="CC45" s="302">
        <f t="shared" si="21"/>
        <v>92</v>
      </c>
      <c r="CD45" s="303" t="str">
        <f>IF(CC45&gt;KKM!$G$10,"A",IF(CC45&gt;KKM!$H$10,"B",IF(CC45&gt;=KKM!$I$10,"C","D")))</f>
        <v>A</v>
      </c>
      <c r="CE45" s="523">
        <f t="shared" si="22"/>
        <v>99</v>
      </c>
      <c r="CF45" s="115" t="str">
        <f>IF(CE45&gt;KKM!$G$10," sangat baik ",IF(CE45&gt;KKM!$H$10," baik ",IF(CE45&gt;=KKM!$I$10," cukup baik "," perlu bimbingan ")))</f>
        <v xml:space="preserve"> sangat baik </v>
      </c>
      <c r="CG45" s="524">
        <f t="shared" si="23"/>
        <v>76.5</v>
      </c>
      <c r="CH45" s="115" t="str">
        <f>IF(CG45&gt;KKM!$G$10," sangat baik ",IF(CG45&gt;KKM!$H$10," baik ",IF(CG45&gt;=KKM!$I$10," cukup baik "," perlu bimbingan ")))</f>
        <v xml:space="preserve"> cukup baik </v>
      </c>
      <c r="CI45" s="301" t="str">
        <f t="shared" si="30"/>
        <v>Anak 41 sangat baik  dalam menjelaskan pecahan-pecahan senilai dengan gambar dan model konkret, dan  cukup baik  dalam menjelaskan berbagai bentuk pecahan (biasa, campuran, desimal, dan persen) dan hubungan di antaranya</v>
      </c>
      <c r="CJ45" s="307" t="str">
        <f t="shared" si="24"/>
        <v xml:space="preserve"> sangat baik  dalam menjelaskan pecahan-pecahan senilai dengan gambar dan model konkret</v>
      </c>
      <c r="CK45" s="307" t="str">
        <f t="shared" si="25"/>
        <v xml:space="preserve"> cukup baik  dalam menjelaskan berbagai bentuk pecahan (biasa, campuran, desimal, dan persen) dan hubungan di antaranya</v>
      </c>
      <c r="CL45" s="307" t="str">
        <f t="shared" si="26"/>
        <v xml:space="preserve"> sangat baik  dalam menjelaskan pecahan-pecahan senilai dengan gambar dan model konkret, dan  cukup baik  dalam menjelaskan berbagai bentuk pecahan (biasa, campuran, desimal, dan persen) dan hubungan di antaranya</v>
      </c>
      <c r="CM45" s="307" t="str">
        <f t="shared" si="27"/>
        <v xml:space="preserve"> </v>
      </c>
      <c r="CN45" s="308" t="str">
        <f t="shared" si="28"/>
        <v xml:space="preserve"> sangat baik  dalam menjelaskan pecahan-pecahan senilai dengan gambar dan model konkret, dan  cukup baik  dalam menjelaskan berbagai bentuk pecahan (biasa, campuran, desimal, dan persen) dan hubungan di antaranya</v>
      </c>
      <c r="CO45" s="301" t="str">
        <f t="shared" si="29"/>
        <v>Anak 41 sangat baik  dalam menjelaskan pecahan-pecahan senilai dengan gambar dan model konkret, dan  cukup baik  dalam menjelaskan berbagai bentuk pecahan (biasa, campuran, desimal, dan persen) dan hubungan di antaranya</v>
      </c>
    </row>
    <row r="46" spans="2:93" ht="33.75" customHeight="1">
      <c r="B46" s="109">
        <v>42</v>
      </c>
      <c r="C46" s="110">
        <f>SISWA!B47</f>
        <v>0</v>
      </c>
      <c r="D46" s="111" t="str">
        <f>SISWA!E47</f>
        <v>Anak 42</v>
      </c>
      <c r="E46" s="631">
        <v>99</v>
      </c>
      <c r="F46" s="631">
        <v>99</v>
      </c>
      <c r="G46" s="631">
        <v>99</v>
      </c>
      <c r="H46" s="631">
        <v>99</v>
      </c>
      <c r="I46" s="631">
        <v>99</v>
      </c>
      <c r="J46" s="631">
        <v>99</v>
      </c>
      <c r="K46" s="613">
        <v>99</v>
      </c>
      <c r="L46" s="613"/>
      <c r="M46" s="613"/>
      <c r="N46" s="630"/>
      <c r="O46" s="630"/>
      <c r="P46" s="630"/>
      <c r="Q46" s="630"/>
      <c r="R46" s="630"/>
      <c r="S46" s="630"/>
      <c r="T46" s="630"/>
      <c r="U46" s="613"/>
      <c r="V46" s="610"/>
      <c r="W46" s="631">
        <v>99</v>
      </c>
      <c r="X46" s="613">
        <v>83</v>
      </c>
      <c r="Y46" s="631">
        <v>99</v>
      </c>
      <c r="Z46" s="631"/>
      <c r="AA46" s="631"/>
      <c r="AB46" s="631"/>
      <c r="AC46" s="609"/>
      <c r="AD46" s="610"/>
      <c r="AE46" s="613">
        <v>83</v>
      </c>
      <c r="AF46" s="613">
        <v>87.25</v>
      </c>
      <c r="AG46" s="613"/>
      <c r="AH46" s="613"/>
      <c r="AI46" s="613"/>
      <c r="AJ46" s="613"/>
      <c r="AK46" s="613"/>
      <c r="AL46" s="518"/>
      <c r="AM46" s="607">
        <f t="shared" si="9"/>
        <v>95</v>
      </c>
      <c r="AN46" s="607">
        <f t="shared" si="10"/>
        <v>92.0625</v>
      </c>
      <c r="AO46" s="607">
        <f t="shared" si="11"/>
        <v>99</v>
      </c>
      <c r="AP46" s="607">
        <f t="shared" si="12"/>
        <v>99</v>
      </c>
      <c r="AQ46" s="607">
        <f t="shared" si="13"/>
        <v>99</v>
      </c>
      <c r="AR46" s="607">
        <f t="shared" si="14"/>
        <v>99</v>
      </c>
      <c r="AS46" s="607">
        <f t="shared" si="15"/>
        <v>99</v>
      </c>
      <c r="AT46" s="607"/>
      <c r="AU46" s="607"/>
      <c r="AV46" s="607"/>
      <c r="AW46" s="607"/>
      <c r="AX46" s="607"/>
      <c r="AY46" s="607"/>
      <c r="AZ46" s="607"/>
      <c r="BA46" s="607"/>
      <c r="BB46" s="607"/>
      <c r="BC46" s="302">
        <f t="shared" si="3"/>
        <v>97</v>
      </c>
      <c r="BD46" s="303" t="str">
        <f>IF(BC46&gt;KKM!$G$10,"A",IF(BC46&gt;KKM!$H$10,"B",IF(BC46&gt;=KKM!$I$10,"C","D")))</f>
        <v>A</v>
      </c>
      <c r="BE46" s="523">
        <f t="shared" si="4"/>
        <v>99</v>
      </c>
      <c r="BF46" s="115" t="str">
        <f>IF(BE46&gt;KKM!$G$10," sangat baik ",IF(BE46&gt;KKM!$H$10," baik ",IF(BE46&gt;=KKM!$I$10," cukup baik "," perlu bimbingan ")))</f>
        <v xml:space="preserve"> sangat baik </v>
      </c>
      <c r="BG46" s="524">
        <f t="shared" si="5"/>
        <v>92.0625</v>
      </c>
      <c r="BH46" s="115" t="str">
        <f>IF(BG46&gt;KKM!$G$10," sangat baik ",IF(BG46&gt;KKM!$H$10," baik ",IF(BG46&gt;=KKM!$I$10," cukup baik "," perlu bimbingan ")))</f>
        <v xml:space="preserve"> sangat baik </v>
      </c>
      <c r="BI46" s="301" t="str">
        <f t="shared" si="16"/>
        <v>Anak 42 sangat baik  dalam menjelaskan dan melakukan penaksiran dari jumlah, selisih, hasil kali, dan hasil bagi dua bilangan cacah maupun pecahan dan desimal, dan  sangat baik  dalam menjelaskan berbagai bentuk pecahan (biasa, campuran, desimal, dan persen) dan hubungan di antaranya</v>
      </c>
      <c r="BJ46" s="306"/>
      <c r="BK46" s="307" t="str">
        <f t="shared" si="6"/>
        <v xml:space="preserve"> sangat baik  dalam menjelaskan dan melakukan penaksiran dari jumlah, selisih, hasil kali, dan hasil bagi dua bilangan cacah maupun pecahan dan desimal</v>
      </c>
      <c r="BL46" s="307" t="str">
        <f t="shared" si="7"/>
        <v xml:space="preserve"> sangat baik  dalam menjelaskan berbagai bentuk pecahan (biasa, campuran, desimal, dan persen) dan hubungan di antaranya</v>
      </c>
      <c r="BM46"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46" s="307" t="str">
        <f t="shared" si="18"/>
        <v xml:space="preserve"> </v>
      </c>
      <c r="BO46"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46" s="301" t="str">
        <f t="shared" si="31"/>
        <v>Anak 42 sangat baik  dalam menjelaskan dan melakukan penaksiran dari jumlah, selisih, hasil kali, dan hasil bagi dua bilangan cacah maupun pecahan dan desimal, dan  sangat baik  dalam menjelaskan berbagai bentuk pecahan (biasa, campuran, desimal, dan persen) dan hubungan di antaranya</v>
      </c>
      <c r="BQ46" s="120"/>
      <c r="BZ46" s="408">
        <f t="shared" si="20"/>
        <v>97</v>
      </c>
      <c r="CC46" s="302">
        <f t="shared" si="21"/>
        <v>94</v>
      </c>
      <c r="CD46" s="303" t="str">
        <f>IF(CC46&gt;KKM!$G$10,"A",IF(CC46&gt;KKM!$H$10,"B",IF(CC46&gt;=KKM!$I$10,"C","D")))</f>
        <v>A</v>
      </c>
      <c r="CE46" s="523">
        <f t="shared" si="22"/>
        <v>99</v>
      </c>
      <c r="CF46" s="115" t="str">
        <f>IF(CE46&gt;KKM!$G$10," sangat baik ",IF(CE46&gt;KKM!$H$10," baik ",IF(CE46&gt;=KKM!$I$10," cukup baik "," perlu bimbingan ")))</f>
        <v xml:space="preserve"> sangat baik </v>
      </c>
      <c r="CG46" s="524">
        <f t="shared" si="23"/>
        <v>83</v>
      </c>
      <c r="CH46" s="115" t="str">
        <f>IF(CG46&gt;KKM!$G$10," sangat baik ",IF(CG46&gt;KKM!$H$10," baik ",IF(CG46&gt;=KKM!$I$10," cukup baik "," perlu bimbingan ")))</f>
        <v xml:space="preserve"> baik </v>
      </c>
      <c r="CI46" s="301" t="str">
        <f t="shared" si="30"/>
        <v>Anak 42 sangat baik  dalam menjelaskan pecahan-pecahan senilai dengan gambar dan model konkret, dan  baik  dalam menjelaskan berbagai bentuk pecahan (biasa, campuran, desimal, dan persen) dan hubungan di antaranya</v>
      </c>
      <c r="CJ46" s="307" t="str">
        <f t="shared" si="24"/>
        <v xml:space="preserve"> sangat baik  dalam menjelaskan pecahan-pecahan senilai dengan gambar dan model konkret</v>
      </c>
      <c r="CK46" s="307" t="str">
        <f t="shared" si="25"/>
        <v xml:space="preserve"> baik  dalam menjelaskan berbagai bentuk pecahan (biasa, campuran, desimal, dan persen) dan hubungan di antaranya</v>
      </c>
      <c r="CL46" s="307" t="str">
        <f t="shared" si="26"/>
        <v xml:space="preserve"> sangat baik  dalam menjelaskan pecahan-pecahan senilai dengan gambar dan model konkret, dan  baik  dalam menjelaskan berbagai bentuk pecahan (biasa, campuran, desimal, dan persen) dan hubungan di antaranya</v>
      </c>
      <c r="CM46" s="307" t="str">
        <f t="shared" si="27"/>
        <v xml:space="preserve"> </v>
      </c>
      <c r="CN46" s="308" t="str">
        <f t="shared" si="28"/>
        <v xml:space="preserve"> sangat baik  dalam menjelaskan pecahan-pecahan senilai dengan gambar dan model konkret, dan  baik  dalam menjelaskan berbagai bentuk pecahan (biasa, campuran, desimal, dan persen) dan hubungan di antaranya</v>
      </c>
      <c r="CO46" s="301" t="str">
        <f t="shared" si="29"/>
        <v>Anak 42 sangat baik  dalam menjelaskan pecahan-pecahan senilai dengan gambar dan model konkret, dan  baik  dalam menjelaskan berbagai bentuk pecahan (biasa, campuran, desimal, dan persen) dan hubungan di antaranya</v>
      </c>
    </row>
    <row r="47" spans="2:93" ht="33.75" customHeight="1">
      <c r="B47" s="109">
        <v>43</v>
      </c>
      <c r="C47" s="110">
        <f>SISWA!B48</f>
        <v>0</v>
      </c>
      <c r="D47" s="111" t="str">
        <f>SISWA!E48</f>
        <v>Anak 43</v>
      </c>
      <c r="E47" s="631">
        <v>99</v>
      </c>
      <c r="F47" s="631">
        <v>99</v>
      </c>
      <c r="G47" s="631">
        <v>99</v>
      </c>
      <c r="H47" s="631">
        <v>99</v>
      </c>
      <c r="I47" s="631">
        <v>99</v>
      </c>
      <c r="J47" s="631">
        <v>99</v>
      </c>
      <c r="K47" s="613">
        <v>99</v>
      </c>
      <c r="L47" s="613"/>
      <c r="M47" s="613"/>
      <c r="N47" s="630"/>
      <c r="O47" s="630"/>
      <c r="P47" s="630"/>
      <c r="Q47" s="630"/>
      <c r="R47" s="630"/>
      <c r="S47" s="630"/>
      <c r="T47" s="630"/>
      <c r="U47" s="613"/>
      <c r="V47" s="610"/>
      <c r="W47" s="631">
        <v>99</v>
      </c>
      <c r="X47" s="613">
        <v>74.5</v>
      </c>
      <c r="Y47" s="631">
        <v>99</v>
      </c>
      <c r="Z47" s="631"/>
      <c r="AA47" s="631"/>
      <c r="AB47" s="631"/>
      <c r="AC47" s="609"/>
      <c r="AD47" s="610"/>
      <c r="AE47" s="613">
        <v>74.5</v>
      </c>
      <c r="AF47" s="613">
        <v>77.5</v>
      </c>
      <c r="AG47" s="613"/>
      <c r="AH47" s="613"/>
      <c r="AI47" s="613"/>
      <c r="AJ47" s="613"/>
      <c r="AK47" s="613"/>
      <c r="AL47" s="518"/>
      <c r="AM47" s="607">
        <f t="shared" si="9"/>
        <v>92.875</v>
      </c>
      <c r="AN47" s="607">
        <f t="shared" si="10"/>
        <v>87.5</v>
      </c>
      <c r="AO47" s="607">
        <f t="shared" si="11"/>
        <v>99</v>
      </c>
      <c r="AP47" s="607">
        <f t="shared" si="12"/>
        <v>99</v>
      </c>
      <c r="AQ47" s="607">
        <f t="shared" si="13"/>
        <v>99</v>
      </c>
      <c r="AR47" s="607">
        <f t="shared" si="14"/>
        <v>99</v>
      </c>
      <c r="AS47" s="607">
        <f t="shared" si="15"/>
        <v>99</v>
      </c>
      <c r="AT47" s="607"/>
      <c r="AU47" s="607"/>
      <c r="AV47" s="607"/>
      <c r="AW47" s="607"/>
      <c r="AX47" s="607"/>
      <c r="AY47" s="607"/>
      <c r="AZ47" s="607"/>
      <c r="BA47" s="607"/>
      <c r="BB47" s="607"/>
      <c r="BC47" s="302">
        <f t="shared" si="3"/>
        <v>96</v>
      </c>
      <c r="BD47" s="303" t="str">
        <f>IF(BC47&gt;KKM!$G$10,"A",IF(BC47&gt;KKM!$H$10,"B",IF(BC47&gt;=KKM!$I$10,"C","D")))</f>
        <v>A</v>
      </c>
      <c r="BE47" s="523">
        <f t="shared" si="4"/>
        <v>99</v>
      </c>
      <c r="BF47" s="115" t="str">
        <f>IF(BE47&gt;KKM!$G$10," sangat baik ",IF(BE47&gt;KKM!$H$10," baik ",IF(BE47&gt;=KKM!$I$10," cukup baik "," perlu bimbingan ")))</f>
        <v xml:space="preserve"> sangat baik </v>
      </c>
      <c r="BG47" s="524">
        <f t="shared" si="5"/>
        <v>87.5</v>
      </c>
      <c r="BH47" s="115" t="str">
        <f>IF(BG47&gt;KKM!$G$10," sangat baik ",IF(BG47&gt;KKM!$H$10," baik ",IF(BG47&gt;=KKM!$I$10," cukup baik "," perlu bimbingan ")))</f>
        <v xml:space="preserve"> baik </v>
      </c>
      <c r="BI47" s="301" t="str">
        <f t="shared" si="16"/>
        <v>Anak 43 sangat baik  dalam menjelaskan dan melakukan penaksiran dari jumlah, selisih, hasil kali, dan hasil bagi dua bilangan cacah maupun pecahan dan desimal, dan  baik  dalam menjelaskan berbagai bentuk pecahan (biasa, campuran, desimal, dan persen) dan hubungan di antaranya</v>
      </c>
      <c r="BJ47" s="306"/>
      <c r="BK47" s="307" t="str">
        <f t="shared" si="6"/>
        <v xml:space="preserve"> sangat baik  dalam menjelaskan dan melakukan penaksiran dari jumlah, selisih, hasil kali, dan hasil bagi dua bilangan cacah maupun pecahan dan desimal</v>
      </c>
      <c r="BL47" s="307" t="str">
        <f t="shared" si="7"/>
        <v xml:space="preserve"> baik  dalam menjelaskan berbagai bentuk pecahan (biasa, campuran, desimal, dan persen) dan hubungan di antaranya</v>
      </c>
      <c r="BM47"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47" s="307" t="str">
        <f t="shared" si="18"/>
        <v xml:space="preserve"> </v>
      </c>
      <c r="BO47"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47" s="301" t="str">
        <f t="shared" si="31"/>
        <v>Anak 43 sangat baik  dalam menjelaskan dan melakukan penaksiran dari jumlah, selisih, hasil kali, dan hasil bagi dua bilangan cacah maupun pecahan dan desimal, dan  baik  dalam menjelaskan berbagai bentuk pecahan (biasa, campuran, desimal, dan persen) dan hubungan di antaranya</v>
      </c>
      <c r="BQ47" s="120"/>
      <c r="BZ47" s="408">
        <f t="shared" si="20"/>
        <v>96</v>
      </c>
      <c r="CC47" s="302">
        <f t="shared" si="21"/>
        <v>91</v>
      </c>
      <c r="CD47" s="303" t="str">
        <f>IF(CC47&gt;KKM!$G$10,"A",IF(CC47&gt;KKM!$H$10,"B",IF(CC47&gt;=KKM!$I$10,"C","D")))</f>
        <v>A</v>
      </c>
      <c r="CE47" s="523">
        <f t="shared" si="22"/>
        <v>99</v>
      </c>
      <c r="CF47" s="115" t="str">
        <f>IF(CE47&gt;KKM!$G$10," sangat baik ",IF(CE47&gt;KKM!$H$10," baik ",IF(CE47&gt;=KKM!$I$10," cukup baik "," perlu bimbingan ")))</f>
        <v xml:space="preserve"> sangat baik </v>
      </c>
      <c r="CG47" s="524">
        <f t="shared" si="23"/>
        <v>74.5</v>
      </c>
      <c r="CH47" s="115" t="str">
        <f>IF(CG47&gt;KKM!$G$10," sangat baik ",IF(CG47&gt;KKM!$H$10," baik ",IF(CG47&gt;=KKM!$I$10," cukup baik "," perlu bimbingan ")))</f>
        <v xml:space="preserve"> cukup baik </v>
      </c>
      <c r="CI47" s="301" t="str">
        <f t="shared" si="30"/>
        <v>Anak 43 sangat baik  dalam menjelaskan pecahan-pecahan senilai dengan gambar dan model konkret, dan  cukup baik  dalam menjelaskan berbagai bentuk pecahan (biasa, campuran, desimal, dan persen) dan hubungan di antaranya</v>
      </c>
      <c r="CJ47" s="307" t="str">
        <f t="shared" si="24"/>
        <v xml:space="preserve"> sangat baik  dalam menjelaskan pecahan-pecahan senilai dengan gambar dan model konkret</v>
      </c>
      <c r="CK47" s="307" t="str">
        <f t="shared" si="25"/>
        <v xml:space="preserve"> cukup baik  dalam menjelaskan berbagai bentuk pecahan (biasa, campuran, desimal, dan persen) dan hubungan di antaranya</v>
      </c>
      <c r="CL47" s="307" t="str">
        <f t="shared" si="26"/>
        <v xml:space="preserve"> sangat baik  dalam menjelaskan pecahan-pecahan senilai dengan gambar dan model konkret, dan  cukup baik  dalam menjelaskan berbagai bentuk pecahan (biasa, campuran, desimal, dan persen) dan hubungan di antaranya</v>
      </c>
      <c r="CM47" s="307" t="str">
        <f t="shared" si="27"/>
        <v xml:space="preserve"> </v>
      </c>
      <c r="CN47" s="308" t="str">
        <f t="shared" si="28"/>
        <v xml:space="preserve"> sangat baik  dalam menjelaskan pecahan-pecahan senilai dengan gambar dan model konkret, dan  cukup baik  dalam menjelaskan berbagai bentuk pecahan (biasa, campuran, desimal, dan persen) dan hubungan di antaranya</v>
      </c>
      <c r="CO47" s="301" t="str">
        <f t="shared" si="29"/>
        <v>Anak 43 sangat baik  dalam menjelaskan pecahan-pecahan senilai dengan gambar dan model konkret, dan  cukup baik  dalam menjelaskan berbagai bentuk pecahan (biasa, campuran, desimal, dan persen) dan hubungan di antaranya</v>
      </c>
    </row>
    <row r="48" spans="2:93" ht="33.75" customHeight="1">
      <c r="B48" s="109">
        <v>44</v>
      </c>
      <c r="C48" s="110">
        <f>SISWA!B49</f>
        <v>0</v>
      </c>
      <c r="D48" s="111" t="str">
        <f>SISWA!E49</f>
        <v>Anak 44</v>
      </c>
      <c r="E48" s="631">
        <v>99</v>
      </c>
      <c r="F48" s="631">
        <v>99</v>
      </c>
      <c r="G48" s="631">
        <v>99</v>
      </c>
      <c r="H48" s="631">
        <v>99</v>
      </c>
      <c r="I48" s="631">
        <v>99</v>
      </c>
      <c r="J48" s="631">
        <v>99</v>
      </c>
      <c r="K48" s="613">
        <v>99</v>
      </c>
      <c r="L48" s="613"/>
      <c r="M48" s="613"/>
      <c r="N48" s="630"/>
      <c r="O48" s="630"/>
      <c r="P48" s="630"/>
      <c r="Q48" s="630"/>
      <c r="R48" s="630"/>
      <c r="S48" s="630"/>
      <c r="T48" s="630"/>
      <c r="U48" s="613"/>
      <c r="V48" s="610"/>
      <c r="W48" s="631">
        <v>99</v>
      </c>
      <c r="X48" s="613">
        <v>74.5</v>
      </c>
      <c r="Y48" s="631">
        <v>99</v>
      </c>
      <c r="Z48" s="631"/>
      <c r="AA48" s="631"/>
      <c r="AB48" s="631"/>
      <c r="AC48" s="609"/>
      <c r="AD48" s="610"/>
      <c r="AE48" s="613">
        <v>74.5</v>
      </c>
      <c r="AF48" s="613">
        <v>80.25</v>
      </c>
      <c r="AG48" s="613"/>
      <c r="AH48" s="613"/>
      <c r="AI48" s="613"/>
      <c r="AJ48" s="613"/>
      <c r="AK48" s="613"/>
      <c r="AL48" s="518"/>
      <c r="AM48" s="607">
        <f t="shared" si="9"/>
        <v>92.875</v>
      </c>
      <c r="AN48" s="607">
        <f t="shared" si="10"/>
        <v>88.1875</v>
      </c>
      <c r="AO48" s="607">
        <f t="shared" si="11"/>
        <v>99</v>
      </c>
      <c r="AP48" s="607">
        <f t="shared" si="12"/>
        <v>99</v>
      </c>
      <c r="AQ48" s="607">
        <f t="shared" si="13"/>
        <v>99</v>
      </c>
      <c r="AR48" s="607">
        <f t="shared" si="14"/>
        <v>99</v>
      </c>
      <c r="AS48" s="607">
        <f t="shared" si="15"/>
        <v>99</v>
      </c>
      <c r="AT48" s="607"/>
      <c r="AU48" s="607"/>
      <c r="AV48" s="607"/>
      <c r="AW48" s="607"/>
      <c r="AX48" s="607"/>
      <c r="AY48" s="607"/>
      <c r="AZ48" s="607"/>
      <c r="BA48" s="607"/>
      <c r="BB48" s="607"/>
      <c r="BC48" s="302">
        <f t="shared" si="3"/>
        <v>97</v>
      </c>
      <c r="BD48" s="303" t="str">
        <f>IF(BC48&gt;KKM!$G$10,"A",IF(BC48&gt;KKM!$H$10,"B",IF(BC48&gt;=KKM!$I$10,"C","D")))</f>
        <v>A</v>
      </c>
      <c r="BE48" s="523">
        <f t="shared" si="4"/>
        <v>99</v>
      </c>
      <c r="BF48" s="115" t="str">
        <f>IF(BE48&gt;KKM!$G$10," sangat baik ",IF(BE48&gt;KKM!$H$10," baik ",IF(BE48&gt;=KKM!$I$10," cukup baik "," perlu bimbingan ")))</f>
        <v xml:space="preserve"> sangat baik </v>
      </c>
      <c r="BG48" s="524">
        <f t="shared" si="5"/>
        <v>88.1875</v>
      </c>
      <c r="BH48" s="115" t="str">
        <f>IF(BG48&gt;KKM!$G$10," sangat baik ",IF(BG48&gt;KKM!$H$10," baik ",IF(BG48&gt;=KKM!$I$10," cukup baik "," perlu bimbingan ")))</f>
        <v xml:space="preserve"> baik </v>
      </c>
      <c r="BI48" s="301" t="str">
        <f t="shared" si="16"/>
        <v>Anak 44 sangat baik  dalam menjelaskan dan melakukan penaksiran dari jumlah, selisih, hasil kali, dan hasil bagi dua bilangan cacah maupun pecahan dan desimal, dan  baik  dalam menjelaskan berbagai bentuk pecahan (biasa, campuran, desimal, dan persen) dan hubungan di antaranya</v>
      </c>
      <c r="BJ48" s="306"/>
      <c r="BK48" s="307" t="str">
        <f t="shared" si="6"/>
        <v xml:space="preserve"> sangat baik  dalam menjelaskan dan melakukan penaksiran dari jumlah, selisih, hasil kali, dan hasil bagi dua bilangan cacah maupun pecahan dan desimal</v>
      </c>
      <c r="BL48" s="307" t="str">
        <f t="shared" si="7"/>
        <v xml:space="preserve"> baik  dalam menjelaskan berbagai bentuk pecahan (biasa, campuran, desimal, dan persen) dan hubungan di antaranya</v>
      </c>
      <c r="BM48"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48" s="307" t="str">
        <f t="shared" si="18"/>
        <v xml:space="preserve"> </v>
      </c>
      <c r="BO48"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48" s="301" t="str">
        <f t="shared" si="31"/>
        <v>Anak 44 sangat baik  dalam menjelaskan dan melakukan penaksiran dari jumlah, selisih, hasil kali, dan hasil bagi dua bilangan cacah maupun pecahan dan desimal, dan  baik  dalam menjelaskan berbagai bentuk pecahan (biasa, campuran, desimal, dan persen) dan hubungan di antaranya</v>
      </c>
      <c r="BQ48" s="120"/>
      <c r="BZ48" s="408">
        <f t="shared" si="20"/>
        <v>97</v>
      </c>
      <c r="CC48" s="302">
        <f t="shared" si="21"/>
        <v>91</v>
      </c>
      <c r="CD48" s="303" t="str">
        <f>IF(CC48&gt;KKM!$G$10,"A",IF(CC48&gt;KKM!$H$10,"B",IF(CC48&gt;=KKM!$I$10,"C","D")))</f>
        <v>A</v>
      </c>
      <c r="CE48" s="523">
        <f t="shared" si="22"/>
        <v>99</v>
      </c>
      <c r="CF48" s="115" t="str">
        <f>IF(CE48&gt;KKM!$G$10," sangat baik ",IF(CE48&gt;KKM!$H$10," baik ",IF(CE48&gt;=KKM!$I$10," cukup baik "," perlu bimbingan ")))</f>
        <v xml:space="preserve"> sangat baik </v>
      </c>
      <c r="CG48" s="524">
        <f t="shared" si="23"/>
        <v>74.5</v>
      </c>
      <c r="CH48" s="115" t="str">
        <f>IF(CG48&gt;KKM!$G$10," sangat baik ",IF(CG48&gt;KKM!$H$10," baik ",IF(CG48&gt;=KKM!$I$10," cukup baik "," perlu bimbingan ")))</f>
        <v xml:space="preserve"> cukup baik </v>
      </c>
      <c r="CI48" s="301" t="str">
        <f t="shared" si="30"/>
        <v>Anak 44 sangat baik  dalam menjelaskan pecahan-pecahan senilai dengan gambar dan model konkret, dan  cukup baik  dalam menjelaskan berbagai bentuk pecahan (biasa, campuran, desimal, dan persen) dan hubungan di antaranya</v>
      </c>
      <c r="CJ48" s="307" t="str">
        <f t="shared" si="24"/>
        <v xml:space="preserve"> sangat baik  dalam menjelaskan pecahan-pecahan senilai dengan gambar dan model konkret</v>
      </c>
      <c r="CK48" s="307" t="str">
        <f t="shared" si="25"/>
        <v xml:space="preserve"> cukup baik  dalam menjelaskan berbagai bentuk pecahan (biasa, campuran, desimal, dan persen) dan hubungan di antaranya</v>
      </c>
      <c r="CL48" s="307" t="str">
        <f t="shared" si="26"/>
        <v xml:space="preserve"> sangat baik  dalam menjelaskan pecahan-pecahan senilai dengan gambar dan model konkret, dan  cukup baik  dalam menjelaskan berbagai bentuk pecahan (biasa, campuran, desimal, dan persen) dan hubungan di antaranya</v>
      </c>
      <c r="CM48" s="307" t="str">
        <f t="shared" si="27"/>
        <v xml:space="preserve"> </v>
      </c>
      <c r="CN48" s="308" t="str">
        <f t="shared" si="28"/>
        <v xml:space="preserve"> sangat baik  dalam menjelaskan pecahan-pecahan senilai dengan gambar dan model konkret, dan  cukup baik  dalam menjelaskan berbagai bentuk pecahan (biasa, campuran, desimal, dan persen) dan hubungan di antaranya</v>
      </c>
      <c r="CO48" s="301" t="str">
        <f t="shared" si="29"/>
        <v>Anak 44 sangat baik  dalam menjelaskan pecahan-pecahan senilai dengan gambar dan model konkret, dan  cukup baik  dalam menjelaskan berbagai bentuk pecahan (biasa, campuran, desimal, dan persen) dan hubungan di antaranya</v>
      </c>
    </row>
    <row r="49" spans="2:93" ht="33.75" customHeight="1">
      <c r="B49" s="109">
        <v>45</v>
      </c>
      <c r="C49" s="110">
        <f>SISWA!B50</f>
        <v>0</v>
      </c>
      <c r="D49" s="111" t="str">
        <f>SISWA!E50</f>
        <v>Anak 45</v>
      </c>
      <c r="E49" s="631">
        <v>99</v>
      </c>
      <c r="F49" s="631">
        <v>99</v>
      </c>
      <c r="G49" s="631">
        <v>99</v>
      </c>
      <c r="H49" s="631">
        <v>99</v>
      </c>
      <c r="I49" s="631">
        <v>99</v>
      </c>
      <c r="J49" s="631">
        <v>99</v>
      </c>
      <c r="K49" s="613">
        <v>99</v>
      </c>
      <c r="L49" s="613"/>
      <c r="M49" s="613"/>
      <c r="N49" s="630"/>
      <c r="O49" s="630"/>
      <c r="P49" s="630"/>
      <c r="Q49" s="630"/>
      <c r="R49" s="630"/>
      <c r="S49" s="630"/>
      <c r="T49" s="630"/>
      <c r="U49" s="613"/>
      <c r="V49" s="610"/>
      <c r="W49" s="631">
        <v>99</v>
      </c>
      <c r="X49" s="613">
        <v>74.5</v>
      </c>
      <c r="Y49" s="631">
        <v>99</v>
      </c>
      <c r="Z49" s="631"/>
      <c r="AA49" s="631"/>
      <c r="AB49" s="631"/>
      <c r="AC49" s="609"/>
      <c r="AD49" s="610"/>
      <c r="AE49" s="613">
        <v>74.5</v>
      </c>
      <c r="AF49" s="613">
        <v>72.25</v>
      </c>
      <c r="AG49" s="613"/>
      <c r="AH49" s="613"/>
      <c r="AI49" s="613"/>
      <c r="AJ49" s="613"/>
      <c r="AK49" s="613"/>
      <c r="AL49" s="518"/>
      <c r="AM49" s="607">
        <f t="shared" si="9"/>
        <v>92.875</v>
      </c>
      <c r="AN49" s="607">
        <f t="shared" si="10"/>
        <v>86.1875</v>
      </c>
      <c r="AO49" s="607">
        <f t="shared" si="11"/>
        <v>99</v>
      </c>
      <c r="AP49" s="607">
        <f t="shared" si="12"/>
        <v>99</v>
      </c>
      <c r="AQ49" s="607">
        <f t="shared" si="13"/>
        <v>99</v>
      </c>
      <c r="AR49" s="607">
        <f t="shared" si="14"/>
        <v>99</v>
      </c>
      <c r="AS49" s="607">
        <f t="shared" si="15"/>
        <v>99</v>
      </c>
      <c r="AT49" s="607"/>
      <c r="AU49" s="607"/>
      <c r="AV49" s="607"/>
      <c r="AW49" s="607"/>
      <c r="AX49" s="607"/>
      <c r="AY49" s="607"/>
      <c r="AZ49" s="607"/>
      <c r="BA49" s="607"/>
      <c r="BB49" s="607"/>
      <c r="BC49" s="302">
        <f t="shared" si="3"/>
        <v>96</v>
      </c>
      <c r="BD49" s="303" t="str">
        <f>IF(BC49&gt;KKM!$G$10,"A",IF(BC49&gt;KKM!$H$10,"B",IF(BC49&gt;=KKM!$I$10,"C","D")))</f>
        <v>A</v>
      </c>
      <c r="BE49" s="523">
        <f t="shared" si="4"/>
        <v>99</v>
      </c>
      <c r="BF49" s="115" t="str">
        <f>IF(BE49&gt;KKM!$G$10," sangat baik ",IF(BE49&gt;KKM!$H$10," baik ",IF(BE49&gt;=KKM!$I$10," cukup baik "," perlu bimbingan ")))</f>
        <v xml:space="preserve"> sangat baik </v>
      </c>
      <c r="BG49" s="524">
        <f t="shared" si="5"/>
        <v>86.1875</v>
      </c>
      <c r="BH49" s="115" t="str">
        <f>IF(BG49&gt;KKM!$G$10," sangat baik ",IF(BG49&gt;KKM!$H$10," baik ",IF(BG49&gt;=KKM!$I$10," cukup baik "," perlu bimbingan ")))</f>
        <v xml:space="preserve"> baik </v>
      </c>
      <c r="BI49" s="301" t="str">
        <f t="shared" si="16"/>
        <v>Anak 45 sangat baik  dalam menjelaskan dan melakukan penaksiran dari jumlah, selisih, hasil kali, dan hasil bagi dua bilangan cacah maupun pecahan dan desimal, dan  baik  dalam menjelaskan berbagai bentuk pecahan (biasa, campuran, desimal, dan persen) dan hubungan di antaranya</v>
      </c>
      <c r="BJ49" s="306"/>
      <c r="BK49" s="307" t="str">
        <f t="shared" si="6"/>
        <v xml:space="preserve"> sangat baik  dalam menjelaskan dan melakukan penaksiran dari jumlah, selisih, hasil kali, dan hasil bagi dua bilangan cacah maupun pecahan dan desimal</v>
      </c>
      <c r="BL49" s="307" t="str">
        <f t="shared" si="7"/>
        <v xml:space="preserve"> baik  dalam menjelaskan berbagai bentuk pecahan (biasa, campuran, desimal, dan persen) dan hubungan di antaranya</v>
      </c>
      <c r="BM49"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49" s="307" t="str">
        <f t="shared" si="18"/>
        <v xml:space="preserve"> </v>
      </c>
      <c r="BO49"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49" s="301" t="str">
        <f t="shared" si="31"/>
        <v>Anak 45 sangat baik  dalam menjelaskan dan melakukan penaksiran dari jumlah, selisih, hasil kali, dan hasil bagi dua bilangan cacah maupun pecahan dan desimal, dan  baik  dalam menjelaskan berbagai bentuk pecahan (biasa, campuran, desimal, dan persen) dan hubungan di antaranya</v>
      </c>
      <c r="BQ49" s="120"/>
      <c r="BZ49" s="408">
        <f t="shared" si="20"/>
        <v>96</v>
      </c>
      <c r="CC49" s="302">
        <f t="shared" si="21"/>
        <v>91</v>
      </c>
      <c r="CD49" s="303" t="str">
        <f>IF(CC49&gt;KKM!$G$10,"A",IF(CC49&gt;KKM!$H$10,"B",IF(CC49&gt;=KKM!$I$10,"C","D")))</f>
        <v>A</v>
      </c>
      <c r="CE49" s="523">
        <f t="shared" si="22"/>
        <v>99</v>
      </c>
      <c r="CF49" s="115" t="str">
        <f>IF(CE49&gt;KKM!$G$10," sangat baik ",IF(CE49&gt;KKM!$H$10," baik ",IF(CE49&gt;=KKM!$I$10," cukup baik "," perlu bimbingan ")))</f>
        <v xml:space="preserve"> sangat baik </v>
      </c>
      <c r="CG49" s="524">
        <f t="shared" si="23"/>
        <v>74.5</v>
      </c>
      <c r="CH49" s="115" t="str">
        <f>IF(CG49&gt;KKM!$G$10," sangat baik ",IF(CG49&gt;KKM!$H$10," baik ",IF(CG49&gt;=KKM!$I$10," cukup baik "," perlu bimbingan ")))</f>
        <v xml:space="preserve"> cukup baik </v>
      </c>
      <c r="CI49" s="301" t="str">
        <f t="shared" si="30"/>
        <v>Anak 45 sangat baik  dalam menjelaskan pecahan-pecahan senilai dengan gambar dan model konkret, dan  cukup baik  dalam menjelaskan berbagai bentuk pecahan (biasa, campuran, desimal, dan persen) dan hubungan di antaranya</v>
      </c>
      <c r="CJ49" s="307" t="str">
        <f t="shared" si="24"/>
        <v xml:space="preserve"> sangat baik  dalam menjelaskan pecahan-pecahan senilai dengan gambar dan model konkret</v>
      </c>
      <c r="CK49" s="307" t="str">
        <f t="shared" si="25"/>
        <v xml:space="preserve"> cukup baik  dalam menjelaskan berbagai bentuk pecahan (biasa, campuran, desimal, dan persen) dan hubungan di antaranya</v>
      </c>
      <c r="CL49" s="307" t="str">
        <f t="shared" si="26"/>
        <v xml:space="preserve"> sangat baik  dalam menjelaskan pecahan-pecahan senilai dengan gambar dan model konkret, dan  cukup baik  dalam menjelaskan berbagai bentuk pecahan (biasa, campuran, desimal, dan persen) dan hubungan di antaranya</v>
      </c>
      <c r="CM49" s="307" t="str">
        <f t="shared" si="27"/>
        <v xml:space="preserve"> </v>
      </c>
      <c r="CN49" s="308" t="str">
        <f t="shared" si="28"/>
        <v xml:space="preserve"> sangat baik  dalam menjelaskan pecahan-pecahan senilai dengan gambar dan model konkret, dan  cukup baik  dalam menjelaskan berbagai bentuk pecahan (biasa, campuran, desimal, dan persen) dan hubungan di antaranya</v>
      </c>
      <c r="CO49" s="301" t="str">
        <f t="shared" si="29"/>
        <v>Anak 45 sangat baik  dalam menjelaskan pecahan-pecahan senilai dengan gambar dan model konkret, dan  cukup baik  dalam menjelaskan berbagai bentuk pecahan (biasa, campuran, desimal, dan persen) dan hubungan di antaranya</v>
      </c>
    </row>
    <row r="50" spans="2:93" ht="33.75" customHeight="1">
      <c r="B50" s="109">
        <v>46</v>
      </c>
      <c r="C50" s="110">
        <f>SISWA!B51</f>
        <v>0</v>
      </c>
      <c r="D50" s="111" t="str">
        <f>SISWA!E51</f>
        <v>Anak 46</v>
      </c>
      <c r="E50" s="631">
        <v>99</v>
      </c>
      <c r="F50" s="631">
        <v>99</v>
      </c>
      <c r="G50" s="631">
        <v>99</v>
      </c>
      <c r="H50" s="631">
        <v>99</v>
      </c>
      <c r="I50" s="631">
        <v>99</v>
      </c>
      <c r="J50" s="631">
        <v>99</v>
      </c>
      <c r="K50" s="613">
        <v>99</v>
      </c>
      <c r="L50" s="613"/>
      <c r="M50" s="613"/>
      <c r="N50" s="630"/>
      <c r="O50" s="630"/>
      <c r="P50" s="630"/>
      <c r="Q50" s="630"/>
      <c r="R50" s="630"/>
      <c r="S50" s="630"/>
      <c r="T50" s="630"/>
      <c r="U50" s="613"/>
      <c r="V50" s="610"/>
      <c r="W50" s="631">
        <v>99</v>
      </c>
      <c r="X50" s="613">
        <v>84</v>
      </c>
      <c r="Y50" s="631">
        <v>99</v>
      </c>
      <c r="Z50" s="631"/>
      <c r="AA50" s="631"/>
      <c r="AB50" s="631"/>
      <c r="AC50" s="609"/>
      <c r="AD50" s="610"/>
      <c r="AE50" s="613">
        <v>84</v>
      </c>
      <c r="AF50" s="613">
        <v>84</v>
      </c>
      <c r="AG50" s="613"/>
      <c r="AH50" s="613"/>
      <c r="AI50" s="613"/>
      <c r="AJ50" s="613"/>
      <c r="AK50" s="613"/>
      <c r="AL50" s="518"/>
      <c r="AM50" s="607">
        <f t="shared" si="9"/>
        <v>95.25</v>
      </c>
      <c r="AN50" s="607">
        <f t="shared" si="10"/>
        <v>91.5</v>
      </c>
      <c r="AO50" s="607">
        <f t="shared" si="11"/>
        <v>99</v>
      </c>
      <c r="AP50" s="607">
        <f t="shared" si="12"/>
        <v>99</v>
      </c>
      <c r="AQ50" s="607">
        <f t="shared" si="13"/>
        <v>99</v>
      </c>
      <c r="AR50" s="607">
        <f t="shared" si="14"/>
        <v>99</v>
      </c>
      <c r="AS50" s="607">
        <f t="shared" si="15"/>
        <v>99</v>
      </c>
      <c r="AT50" s="607"/>
      <c r="AU50" s="607"/>
      <c r="AV50" s="607"/>
      <c r="AW50" s="607"/>
      <c r="AX50" s="607"/>
      <c r="AY50" s="607"/>
      <c r="AZ50" s="607"/>
      <c r="BA50" s="607"/>
      <c r="BB50" s="607"/>
      <c r="BC50" s="302">
        <f t="shared" si="3"/>
        <v>97</v>
      </c>
      <c r="BD50" s="303" t="str">
        <f>IF(BC50&gt;KKM!$G$10,"A",IF(BC50&gt;KKM!$H$10,"B",IF(BC50&gt;=KKM!$I$10,"C","D")))</f>
        <v>A</v>
      </c>
      <c r="BE50" s="523">
        <f t="shared" si="4"/>
        <v>99</v>
      </c>
      <c r="BF50" s="115" t="str">
        <f>IF(BE50&gt;KKM!$G$10," sangat baik ",IF(BE50&gt;KKM!$H$10," baik ",IF(BE50&gt;=KKM!$I$10," cukup baik "," perlu bimbingan ")))</f>
        <v xml:space="preserve"> sangat baik </v>
      </c>
      <c r="BG50" s="524">
        <f t="shared" si="5"/>
        <v>91.5</v>
      </c>
      <c r="BH50" s="115" t="str">
        <f>IF(BG50&gt;KKM!$G$10," sangat baik ",IF(BG50&gt;KKM!$H$10," baik ",IF(BG50&gt;=KKM!$I$10," cukup baik "," perlu bimbingan ")))</f>
        <v xml:space="preserve"> sangat baik </v>
      </c>
      <c r="BI50" s="301" t="str">
        <f t="shared" si="16"/>
        <v>Anak 46 sangat baik  dalam menjelaskan dan melakukan penaksiran dari jumlah, selisih, hasil kali, dan hasil bagi dua bilangan cacah maupun pecahan dan desimal, dan  sangat baik  dalam menjelaskan berbagai bentuk pecahan (biasa, campuran, desimal, dan persen) dan hubungan di antaranya</v>
      </c>
      <c r="BJ50" s="306"/>
      <c r="BK50" s="307" t="str">
        <f t="shared" si="6"/>
        <v xml:space="preserve"> sangat baik  dalam menjelaskan dan melakukan penaksiran dari jumlah, selisih, hasil kali, dan hasil bagi dua bilangan cacah maupun pecahan dan desimal</v>
      </c>
      <c r="BL50" s="307" t="str">
        <f t="shared" si="7"/>
        <v xml:space="preserve"> sangat baik  dalam menjelaskan berbagai bentuk pecahan (biasa, campuran, desimal, dan persen) dan hubungan di antaranya</v>
      </c>
      <c r="BM50"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50" s="307" t="str">
        <f t="shared" si="18"/>
        <v xml:space="preserve"> </v>
      </c>
      <c r="BO50"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50" s="301" t="str">
        <f t="shared" si="31"/>
        <v>Anak 46 sangat baik  dalam menjelaskan dan melakukan penaksiran dari jumlah, selisih, hasil kali, dan hasil bagi dua bilangan cacah maupun pecahan dan desimal, dan  sangat baik  dalam menjelaskan berbagai bentuk pecahan (biasa, campuran, desimal, dan persen) dan hubungan di antaranya</v>
      </c>
      <c r="BQ50" s="120"/>
      <c r="BZ50" s="408">
        <f t="shared" si="20"/>
        <v>97</v>
      </c>
      <c r="CC50" s="302">
        <f t="shared" si="21"/>
        <v>94</v>
      </c>
      <c r="CD50" s="303" t="str">
        <f>IF(CC50&gt;KKM!$G$10,"A",IF(CC50&gt;KKM!$H$10,"B",IF(CC50&gt;=KKM!$I$10,"C","D")))</f>
        <v>A</v>
      </c>
      <c r="CE50" s="523">
        <f t="shared" si="22"/>
        <v>99</v>
      </c>
      <c r="CF50" s="115" t="str">
        <f>IF(CE50&gt;KKM!$G$10," sangat baik ",IF(CE50&gt;KKM!$H$10," baik ",IF(CE50&gt;=KKM!$I$10," cukup baik "," perlu bimbingan ")))</f>
        <v xml:space="preserve"> sangat baik </v>
      </c>
      <c r="CG50" s="524">
        <f t="shared" si="23"/>
        <v>84</v>
      </c>
      <c r="CH50" s="115" t="str">
        <f>IF(CG50&gt;KKM!$G$10," sangat baik ",IF(CG50&gt;KKM!$H$10," baik ",IF(CG50&gt;=KKM!$I$10," cukup baik "," perlu bimbingan ")))</f>
        <v xml:space="preserve"> baik </v>
      </c>
      <c r="CI50" s="301" t="str">
        <f t="shared" si="30"/>
        <v>Anak 46 sangat baik  dalam menjelaskan pecahan-pecahan senilai dengan gambar dan model konkret, dan  baik  dalam menjelaskan berbagai bentuk pecahan (biasa, campuran, desimal, dan persen) dan hubungan di antaranya</v>
      </c>
      <c r="CJ50" s="307" t="str">
        <f t="shared" si="24"/>
        <v xml:space="preserve"> sangat baik  dalam menjelaskan pecahan-pecahan senilai dengan gambar dan model konkret</v>
      </c>
      <c r="CK50" s="307" t="str">
        <f t="shared" si="25"/>
        <v xml:space="preserve"> baik  dalam menjelaskan berbagai bentuk pecahan (biasa, campuran, desimal, dan persen) dan hubungan di antaranya</v>
      </c>
      <c r="CL50" s="307" t="str">
        <f t="shared" si="26"/>
        <v xml:space="preserve"> sangat baik  dalam menjelaskan pecahan-pecahan senilai dengan gambar dan model konkret, dan  baik  dalam menjelaskan berbagai bentuk pecahan (biasa, campuran, desimal, dan persen) dan hubungan di antaranya</v>
      </c>
      <c r="CM50" s="307" t="str">
        <f t="shared" si="27"/>
        <v xml:space="preserve"> </v>
      </c>
      <c r="CN50" s="308" t="str">
        <f t="shared" si="28"/>
        <v xml:space="preserve"> sangat baik  dalam menjelaskan pecahan-pecahan senilai dengan gambar dan model konkret, dan  baik  dalam menjelaskan berbagai bentuk pecahan (biasa, campuran, desimal, dan persen) dan hubungan di antaranya</v>
      </c>
      <c r="CO50" s="301" t="str">
        <f t="shared" si="29"/>
        <v>Anak 46 sangat baik  dalam menjelaskan pecahan-pecahan senilai dengan gambar dan model konkret, dan  baik  dalam menjelaskan berbagai bentuk pecahan (biasa, campuran, desimal, dan persen) dan hubungan di antaranya</v>
      </c>
    </row>
    <row r="51" spans="2:93" ht="33.75" customHeight="1">
      <c r="B51" s="109">
        <v>47</v>
      </c>
      <c r="C51" s="110">
        <f>SISWA!B52</f>
        <v>0</v>
      </c>
      <c r="D51" s="111" t="str">
        <f>SISWA!E52</f>
        <v>Anak 47</v>
      </c>
      <c r="E51" s="631">
        <v>99</v>
      </c>
      <c r="F51" s="631">
        <v>99</v>
      </c>
      <c r="G51" s="631">
        <v>99</v>
      </c>
      <c r="H51" s="631">
        <v>99</v>
      </c>
      <c r="I51" s="631">
        <v>99</v>
      </c>
      <c r="J51" s="631">
        <v>99</v>
      </c>
      <c r="K51" s="613">
        <v>99</v>
      </c>
      <c r="L51" s="613"/>
      <c r="M51" s="613"/>
      <c r="N51" s="630"/>
      <c r="O51" s="630"/>
      <c r="P51" s="630"/>
      <c r="Q51" s="630"/>
      <c r="R51" s="630"/>
      <c r="S51" s="630"/>
      <c r="T51" s="630"/>
      <c r="U51" s="613"/>
      <c r="V51" s="610"/>
      <c r="W51" s="631">
        <v>99</v>
      </c>
      <c r="X51" s="613">
        <v>68.75</v>
      </c>
      <c r="Y51" s="631">
        <v>99</v>
      </c>
      <c r="Z51" s="631"/>
      <c r="AA51" s="631"/>
      <c r="AB51" s="631"/>
      <c r="AC51" s="609"/>
      <c r="AD51" s="610"/>
      <c r="AE51" s="613">
        <v>68.75</v>
      </c>
      <c r="AF51" s="613">
        <v>68.75</v>
      </c>
      <c r="AG51" s="613"/>
      <c r="AH51" s="613"/>
      <c r="AI51" s="613"/>
      <c r="AJ51" s="613"/>
      <c r="AK51" s="613"/>
      <c r="AL51" s="518"/>
      <c r="AM51" s="607">
        <f t="shared" si="9"/>
        <v>91.4375</v>
      </c>
      <c r="AN51" s="607">
        <f t="shared" si="10"/>
        <v>83.875</v>
      </c>
      <c r="AO51" s="607">
        <f t="shared" si="11"/>
        <v>99</v>
      </c>
      <c r="AP51" s="607">
        <f t="shared" si="12"/>
        <v>99</v>
      </c>
      <c r="AQ51" s="607">
        <f t="shared" si="13"/>
        <v>99</v>
      </c>
      <c r="AR51" s="607">
        <f t="shared" si="14"/>
        <v>99</v>
      </c>
      <c r="AS51" s="607">
        <f t="shared" si="15"/>
        <v>99</v>
      </c>
      <c r="AT51" s="607"/>
      <c r="AU51" s="607"/>
      <c r="AV51" s="607"/>
      <c r="AW51" s="607"/>
      <c r="AX51" s="607"/>
      <c r="AY51" s="607"/>
      <c r="AZ51" s="607"/>
      <c r="BA51" s="607"/>
      <c r="BB51" s="607"/>
      <c r="BC51" s="302">
        <f t="shared" si="3"/>
        <v>96</v>
      </c>
      <c r="BD51" s="303" t="str">
        <f>IF(BC51&gt;KKM!$G$10,"A",IF(BC51&gt;KKM!$H$10,"B",IF(BC51&gt;=KKM!$I$10,"C","D")))</f>
        <v>A</v>
      </c>
      <c r="BE51" s="523">
        <f t="shared" si="4"/>
        <v>99</v>
      </c>
      <c r="BF51" s="115" t="str">
        <f>IF(BE51&gt;KKM!$G$10," sangat baik ",IF(BE51&gt;KKM!$H$10," baik ",IF(BE51&gt;=KKM!$I$10," cukup baik "," perlu bimbingan ")))</f>
        <v xml:space="preserve"> sangat baik </v>
      </c>
      <c r="BG51" s="524">
        <f t="shared" si="5"/>
        <v>83.875</v>
      </c>
      <c r="BH51" s="115" t="str">
        <f>IF(BG51&gt;KKM!$G$10," sangat baik ",IF(BG51&gt;KKM!$H$10," baik ",IF(BG51&gt;=KKM!$I$10," cukup baik "," perlu bimbingan ")))</f>
        <v xml:space="preserve"> baik </v>
      </c>
      <c r="BI51" s="301" t="str">
        <f t="shared" si="16"/>
        <v>Anak 47 sangat baik  dalam menjelaskan dan melakukan penaksiran dari jumlah, selisih, hasil kali, dan hasil bagi dua bilangan cacah maupun pecahan dan desimal, dan  baik  dalam menjelaskan berbagai bentuk pecahan (biasa, campuran, desimal, dan persen) dan hubungan di antaranya</v>
      </c>
      <c r="BJ51" s="306"/>
      <c r="BK51" s="307" t="str">
        <f t="shared" si="6"/>
        <v xml:space="preserve"> sangat baik  dalam menjelaskan dan melakukan penaksiran dari jumlah, selisih, hasil kali, dan hasil bagi dua bilangan cacah maupun pecahan dan desimal</v>
      </c>
      <c r="BL51" s="307" t="str">
        <f t="shared" si="7"/>
        <v xml:space="preserve"> baik  dalam menjelaskan berbagai bentuk pecahan (biasa, campuran, desimal, dan persen) dan hubungan di antaranya</v>
      </c>
      <c r="BM51"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51" s="307" t="str">
        <f t="shared" si="18"/>
        <v xml:space="preserve"> </v>
      </c>
      <c r="BO51"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51" s="301" t="str">
        <f t="shared" si="31"/>
        <v>Anak 47 sangat baik  dalam menjelaskan dan melakukan penaksiran dari jumlah, selisih, hasil kali, dan hasil bagi dua bilangan cacah maupun pecahan dan desimal, dan  baik  dalam menjelaskan berbagai bentuk pecahan (biasa, campuran, desimal, dan persen) dan hubungan di antaranya</v>
      </c>
      <c r="BQ51" s="120"/>
      <c r="BZ51" s="408">
        <f t="shared" si="20"/>
        <v>96</v>
      </c>
      <c r="CC51" s="302">
        <f t="shared" si="21"/>
        <v>89</v>
      </c>
      <c r="CD51" s="303" t="str">
        <f>IF(CC51&gt;KKM!$G$10,"A",IF(CC51&gt;KKM!$H$10,"B",IF(CC51&gt;=KKM!$I$10,"C","D")))</f>
        <v>B</v>
      </c>
      <c r="CE51" s="523">
        <f t="shared" si="22"/>
        <v>99</v>
      </c>
      <c r="CF51" s="115" t="str">
        <f>IF(CE51&gt;KKM!$G$10," sangat baik ",IF(CE51&gt;KKM!$H$10," baik ",IF(CE51&gt;=KKM!$I$10," cukup baik "," perlu bimbingan ")))</f>
        <v xml:space="preserve"> sangat baik </v>
      </c>
      <c r="CG51" s="524">
        <f t="shared" si="23"/>
        <v>68.75</v>
      </c>
      <c r="CH51" s="115" t="str">
        <f>IF(CG51&gt;KKM!$G$10," sangat baik ",IF(CG51&gt;KKM!$H$10," baik ",IF(CG51&gt;=KKM!$I$10," cukup baik "," perlu bimbingan ")))</f>
        <v xml:space="preserve"> perlu bimbingan </v>
      </c>
      <c r="CI51" s="301" t="str">
        <f t="shared" si="30"/>
        <v>Anak 47 sangat baik  dalam menjelaskan pecahan-pecahan senilai dengan gambar dan model konkret, dan  perlu bimbingan  dalam menjelaskan berbagai bentuk pecahan (biasa, campuran, desimal, dan persen) dan hubungan di antaranya</v>
      </c>
      <c r="CJ51" s="307" t="str">
        <f t="shared" si="24"/>
        <v xml:space="preserve"> sangat baik  dalam menjelaskan pecahan-pecahan senilai dengan gambar dan model konkret</v>
      </c>
      <c r="CK51" s="307" t="str">
        <f t="shared" si="25"/>
        <v xml:space="preserve"> perlu bimbingan  dalam menjelaskan berbagai bentuk pecahan (biasa, campuran, desimal, dan persen) dan hubungan di antaranya</v>
      </c>
      <c r="CL51" s="307" t="str">
        <f t="shared" si="26"/>
        <v xml:space="preserve"> sangat baik  dalam menjelaskan pecahan-pecahan senilai dengan gambar dan model konkret, dan  perlu bimbingan  dalam menjelaskan berbagai bentuk pecahan (biasa, campuran, desimal, dan persen) dan hubungan di antaranya</v>
      </c>
      <c r="CM51" s="307" t="str">
        <f t="shared" si="27"/>
        <v xml:space="preserve"> </v>
      </c>
      <c r="CN51" s="308" t="str">
        <f t="shared" si="28"/>
        <v xml:space="preserve"> sangat baik  dalam menjelaskan pecahan-pecahan senilai dengan gambar dan model konkret, dan  perlu bimbingan  dalam menjelaskan berbagai bentuk pecahan (biasa, campuran, desimal, dan persen) dan hubungan di antaranya</v>
      </c>
      <c r="CO51" s="301" t="str">
        <f t="shared" si="29"/>
        <v>Anak 47 sangat baik  dalam menjelaskan pecahan-pecahan senilai dengan gambar dan model konkret, dan  perlu bimbingan  dalam menjelaskan berbagai bentuk pecahan (biasa, campuran, desimal, dan persen) dan hubungan di antaranya</v>
      </c>
    </row>
    <row r="52" spans="2:93" ht="33.75" customHeight="1">
      <c r="B52" s="109">
        <v>48</v>
      </c>
      <c r="C52" s="110">
        <f>SISWA!B53</f>
        <v>0</v>
      </c>
      <c r="D52" s="111" t="str">
        <f>SISWA!E53</f>
        <v>Anak 48</v>
      </c>
      <c r="E52" s="631">
        <v>99</v>
      </c>
      <c r="F52" s="631">
        <v>99</v>
      </c>
      <c r="G52" s="631">
        <v>99</v>
      </c>
      <c r="H52" s="631">
        <v>99</v>
      </c>
      <c r="I52" s="631">
        <v>99</v>
      </c>
      <c r="J52" s="631">
        <v>99</v>
      </c>
      <c r="K52" s="613">
        <v>99</v>
      </c>
      <c r="L52" s="613"/>
      <c r="M52" s="613"/>
      <c r="N52" s="630"/>
      <c r="O52" s="630"/>
      <c r="P52" s="630"/>
      <c r="Q52" s="630"/>
      <c r="R52" s="630"/>
      <c r="S52" s="630"/>
      <c r="T52" s="630"/>
      <c r="U52" s="613"/>
      <c r="V52" s="610"/>
      <c r="W52" s="631">
        <v>99</v>
      </c>
      <c r="X52" s="613">
        <v>69.75</v>
      </c>
      <c r="Y52" s="631">
        <v>99</v>
      </c>
      <c r="Z52" s="631"/>
      <c r="AA52" s="631"/>
      <c r="AB52" s="631"/>
      <c r="AC52" s="609"/>
      <c r="AD52" s="610"/>
      <c r="AE52" s="613">
        <v>69.75</v>
      </c>
      <c r="AF52" s="613">
        <v>69.75</v>
      </c>
      <c r="AG52" s="613"/>
      <c r="AH52" s="613"/>
      <c r="AI52" s="613"/>
      <c r="AJ52" s="613"/>
      <c r="AK52" s="613"/>
      <c r="AL52" s="518"/>
      <c r="AM52" s="607">
        <f t="shared" si="9"/>
        <v>91.6875</v>
      </c>
      <c r="AN52" s="607">
        <f t="shared" si="10"/>
        <v>84.375</v>
      </c>
      <c r="AO52" s="607">
        <f t="shared" si="11"/>
        <v>99</v>
      </c>
      <c r="AP52" s="607">
        <f t="shared" si="12"/>
        <v>99</v>
      </c>
      <c r="AQ52" s="607">
        <f t="shared" si="13"/>
        <v>99</v>
      </c>
      <c r="AR52" s="607">
        <f t="shared" si="14"/>
        <v>99</v>
      </c>
      <c r="AS52" s="607">
        <f t="shared" si="15"/>
        <v>99</v>
      </c>
      <c r="AT52" s="607"/>
      <c r="AU52" s="607"/>
      <c r="AV52" s="607"/>
      <c r="AW52" s="607"/>
      <c r="AX52" s="607"/>
      <c r="AY52" s="607"/>
      <c r="AZ52" s="607"/>
      <c r="BA52" s="607"/>
      <c r="BB52" s="607"/>
      <c r="BC52" s="302">
        <f t="shared" si="3"/>
        <v>96</v>
      </c>
      <c r="BD52" s="303" t="str">
        <f>IF(BC52&gt;KKM!$G$10,"A",IF(BC52&gt;KKM!$H$10,"B",IF(BC52&gt;=KKM!$I$10,"C","D")))</f>
        <v>A</v>
      </c>
      <c r="BE52" s="523">
        <f t="shared" si="4"/>
        <v>99</v>
      </c>
      <c r="BF52" s="115" t="str">
        <f>IF(BE52&gt;KKM!$G$10," sangat baik ",IF(BE52&gt;KKM!$H$10," baik ",IF(BE52&gt;=KKM!$I$10," cukup baik "," perlu bimbingan ")))</f>
        <v xml:space="preserve"> sangat baik </v>
      </c>
      <c r="BG52" s="524">
        <f t="shared" si="5"/>
        <v>84.375</v>
      </c>
      <c r="BH52" s="115" t="str">
        <f>IF(BG52&gt;KKM!$G$10," sangat baik ",IF(BG52&gt;KKM!$H$10," baik ",IF(BG52&gt;=KKM!$I$10," cukup baik "," perlu bimbingan ")))</f>
        <v xml:space="preserve"> baik </v>
      </c>
      <c r="BI52" s="301" t="str">
        <f t="shared" si="16"/>
        <v>Anak 48 sangat baik  dalam menjelaskan dan melakukan penaksiran dari jumlah, selisih, hasil kali, dan hasil bagi dua bilangan cacah maupun pecahan dan desimal, dan  baik  dalam menjelaskan berbagai bentuk pecahan (biasa, campuran, desimal, dan persen) dan hubungan di antaranya</v>
      </c>
      <c r="BJ52" s="306"/>
      <c r="BK52" s="307" t="str">
        <f t="shared" si="6"/>
        <v xml:space="preserve"> sangat baik  dalam menjelaskan dan melakukan penaksiran dari jumlah, selisih, hasil kali, dan hasil bagi dua bilangan cacah maupun pecahan dan desimal</v>
      </c>
      <c r="BL52" s="307" t="str">
        <f t="shared" si="7"/>
        <v xml:space="preserve"> baik  dalam menjelaskan berbagai bentuk pecahan (biasa, campuran, desimal, dan persen) dan hubungan di antaranya</v>
      </c>
      <c r="BM52"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52" s="307" t="str">
        <f t="shared" si="18"/>
        <v xml:space="preserve"> </v>
      </c>
      <c r="BO52"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52" s="301" t="str">
        <f t="shared" si="31"/>
        <v>Anak 48 sangat baik  dalam menjelaskan dan melakukan penaksiran dari jumlah, selisih, hasil kali, dan hasil bagi dua bilangan cacah maupun pecahan dan desimal, dan  baik  dalam menjelaskan berbagai bentuk pecahan (biasa, campuran, desimal, dan persen) dan hubungan di antaranya</v>
      </c>
      <c r="BQ52" s="120"/>
      <c r="BZ52" s="408">
        <f t="shared" si="20"/>
        <v>96</v>
      </c>
      <c r="CC52" s="302">
        <f t="shared" si="21"/>
        <v>89</v>
      </c>
      <c r="CD52" s="303" t="str">
        <f>IF(CC52&gt;KKM!$G$10,"A",IF(CC52&gt;KKM!$H$10,"B",IF(CC52&gt;=KKM!$I$10,"C","D")))</f>
        <v>B</v>
      </c>
      <c r="CE52" s="523">
        <f t="shared" si="22"/>
        <v>99</v>
      </c>
      <c r="CF52" s="115" t="str">
        <f>IF(CE52&gt;KKM!$G$10," sangat baik ",IF(CE52&gt;KKM!$H$10," baik ",IF(CE52&gt;=KKM!$I$10," cukup baik "," perlu bimbingan ")))</f>
        <v xml:space="preserve"> sangat baik </v>
      </c>
      <c r="CG52" s="524">
        <f t="shared" si="23"/>
        <v>69.75</v>
      </c>
      <c r="CH52" s="115" t="str">
        <f>IF(CG52&gt;KKM!$G$10," sangat baik ",IF(CG52&gt;KKM!$H$10," baik ",IF(CG52&gt;=KKM!$I$10," cukup baik "," perlu bimbingan ")))</f>
        <v xml:space="preserve"> perlu bimbingan </v>
      </c>
      <c r="CI52" s="301" t="str">
        <f t="shared" si="30"/>
        <v>Anak 48 sangat baik  dalam menjelaskan pecahan-pecahan senilai dengan gambar dan model konkret, dan  perlu bimbingan  dalam menjelaskan berbagai bentuk pecahan (biasa, campuran, desimal, dan persen) dan hubungan di antaranya</v>
      </c>
      <c r="CJ52" s="307" t="str">
        <f t="shared" si="24"/>
        <v xml:space="preserve"> sangat baik  dalam menjelaskan pecahan-pecahan senilai dengan gambar dan model konkret</v>
      </c>
      <c r="CK52" s="307" t="str">
        <f t="shared" si="25"/>
        <v xml:space="preserve"> perlu bimbingan  dalam menjelaskan berbagai bentuk pecahan (biasa, campuran, desimal, dan persen) dan hubungan di antaranya</v>
      </c>
      <c r="CL52" s="307" t="str">
        <f t="shared" si="26"/>
        <v xml:space="preserve"> sangat baik  dalam menjelaskan pecahan-pecahan senilai dengan gambar dan model konkret, dan  perlu bimbingan  dalam menjelaskan berbagai bentuk pecahan (biasa, campuran, desimal, dan persen) dan hubungan di antaranya</v>
      </c>
      <c r="CM52" s="307" t="str">
        <f t="shared" si="27"/>
        <v xml:space="preserve"> </v>
      </c>
      <c r="CN52" s="308" t="str">
        <f t="shared" si="28"/>
        <v xml:space="preserve"> sangat baik  dalam menjelaskan pecahan-pecahan senilai dengan gambar dan model konkret, dan  perlu bimbingan  dalam menjelaskan berbagai bentuk pecahan (biasa, campuran, desimal, dan persen) dan hubungan di antaranya</v>
      </c>
      <c r="CO52" s="301" t="str">
        <f t="shared" si="29"/>
        <v>Anak 48 sangat baik  dalam menjelaskan pecahan-pecahan senilai dengan gambar dan model konkret, dan  perlu bimbingan  dalam menjelaskan berbagai bentuk pecahan (biasa, campuran, desimal, dan persen) dan hubungan di antaranya</v>
      </c>
    </row>
    <row r="53" spans="2:93" ht="33.75" customHeight="1">
      <c r="B53" s="109">
        <v>49</v>
      </c>
      <c r="C53" s="110">
        <f>SISWA!B54</f>
        <v>0</v>
      </c>
      <c r="D53" s="111" t="str">
        <f>SISWA!E54</f>
        <v>Anak 49</v>
      </c>
      <c r="E53" s="631">
        <v>99</v>
      </c>
      <c r="F53" s="631">
        <v>99</v>
      </c>
      <c r="G53" s="631">
        <v>99</v>
      </c>
      <c r="H53" s="631">
        <v>99</v>
      </c>
      <c r="I53" s="631">
        <v>99</v>
      </c>
      <c r="J53" s="631">
        <v>99</v>
      </c>
      <c r="K53" s="613">
        <v>99</v>
      </c>
      <c r="L53" s="613"/>
      <c r="M53" s="613"/>
      <c r="N53" s="630"/>
      <c r="O53" s="630"/>
      <c r="P53" s="630"/>
      <c r="Q53" s="630"/>
      <c r="R53" s="630"/>
      <c r="S53" s="630"/>
      <c r="T53" s="630"/>
      <c r="U53" s="613"/>
      <c r="V53" s="610"/>
      <c r="W53" s="631">
        <v>99</v>
      </c>
      <c r="X53" s="613">
        <v>90</v>
      </c>
      <c r="Y53" s="631">
        <v>99</v>
      </c>
      <c r="Z53" s="631"/>
      <c r="AA53" s="631"/>
      <c r="AB53" s="631"/>
      <c r="AC53" s="609"/>
      <c r="AD53" s="610"/>
      <c r="AE53" s="613">
        <v>90</v>
      </c>
      <c r="AF53" s="613">
        <v>77.25</v>
      </c>
      <c r="AG53" s="613"/>
      <c r="AH53" s="613"/>
      <c r="AI53" s="613"/>
      <c r="AJ53" s="613"/>
      <c r="AK53" s="613"/>
      <c r="AL53" s="518"/>
      <c r="AM53" s="607">
        <f t="shared" si="9"/>
        <v>96.75</v>
      </c>
      <c r="AN53" s="607">
        <f t="shared" si="10"/>
        <v>91.3125</v>
      </c>
      <c r="AO53" s="607">
        <f t="shared" si="11"/>
        <v>99</v>
      </c>
      <c r="AP53" s="607">
        <f t="shared" si="12"/>
        <v>99</v>
      </c>
      <c r="AQ53" s="607">
        <f t="shared" si="13"/>
        <v>99</v>
      </c>
      <c r="AR53" s="607">
        <f t="shared" si="14"/>
        <v>99</v>
      </c>
      <c r="AS53" s="607">
        <f t="shared" si="15"/>
        <v>99</v>
      </c>
      <c r="AT53" s="607"/>
      <c r="AU53" s="607"/>
      <c r="AV53" s="607"/>
      <c r="AW53" s="607"/>
      <c r="AX53" s="607"/>
      <c r="AY53" s="607"/>
      <c r="AZ53" s="607"/>
      <c r="BA53" s="607"/>
      <c r="BB53" s="607"/>
      <c r="BC53" s="302">
        <f t="shared" si="3"/>
        <v>98</v>
      </c>
      <c r="BD53" s="303" t="str">
        <f>IF(BC53&gt;KKM!$G$10,"A",IF(BC53&gt;KKM!$H$10,"B",IF(BC53&gt;=KKM!$I$10,"C","D")))</f>
        <v>A</v>
      </c>
      <c r="BE53" s="523">
        <f t="shared" si="4"/>
        <v>99</v>
      </c>
      <c r="BF53" s="115" t="str">
        <f>IF(BE53&gt;KKM!$G$10," sangat baik ",IF(BE53&gt;KKM!$H$10," baik ",IF(BE53&gt;=KKM!$I$10," cukup baik "," perlu bimbingan ")))</f>
        <v xml:space="preserve"> sangat baik </v>
      </c>
      <c r="BG53" s="524">
        <f t="shared" si="5"/>
        <v>91.3125</v>
      </c>
      <c r="BH53" s="115" t="str">
        <f>IF(BG53&gt;KKM!$G$10," sangat baik ",IF(BG53&gt;KKM!$H$10," baik ",IF(BG53&gt;=KKM!$I$10," cukup baik "," perlu bimbingan ")))</f>
        <v xml:space="preserve"> sangat baik </v>
      </c>
      <c r="BI53" s="301" t="str">
        <f t="shared" si="16"/>
        <v>Anak 49 sangat baik  dalam menjelaskan dan melakukan penaksiran dari jumlah, selisih, hasil kali, dan hasil bagi dua bilangan cacah maupun pecahan dan desimal, dan  sangat baik  dalam menjelaskan berbagai bentuk pecahan (biasa, campuran, desimal, dan persen) dan hubungan di antaranya</v>
      </c>
      <c r="BJ53" s="306"/>
      <c r="BK53" s="307" t="str">
        <f t="shared" si="6"/>
        <v xml:space="preserve"> sangat baik  dalam menjelaskan dan melakukan penaksiran dari jumlah, selisih, hasil kali, dan hasil bagi dua bilangan cacah maupun pecahan dan desimal</v>
      </c>
      <c r="BL53" s="307" t="str">
        <f t="shared" si="7"/>
        <v xml:space="preserve"> sangat baik  dalam menjelaskan berbagai bentuk pecahan (biasa, campuran, desimal, dan persen) dan hubungan di antaranya</v>
      </c>
      <c r="BM53" s="307" t="str">
        <f t="shared" si="17"/>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N53" s="307" t="str">
        <f t="shared" si="18"/>
        <v xml:space="preserve"> </v>
      </c>
      <c r="BO53" s="308" t="str">
        <f t="shared" si="19"/>
        <v xml:space="preserve"> sangat baik  dalam menjelaskan dan melakukan penaksiran dari jumlah, selisih, hasil kali, dan hasil bagi dua bilangan cacah maupun pecahan dan desimal, dan  sangat baik  dalam menjelaskan berbagai bentuk pecahan (biasa, campuran, desimal, dan persen) dan hubungan di antaranya</v>
      </c>
      <c r="BP53" s="301" t="str">
        <f t="shared" si="31"/>
        <v>Anak 49 sangat baik  dalam menjelaskan dan melakukan penaksiran dari jumlah, selisih, hasil kali, dan hasil bagi dua bilangan cacah maupun pecahan dan desimal, dan  sangat baik  dalam menjelaskan berbagai bentuk pecahan (biasa, campuran, desimal, dan persen) dan hubungan di antaranya</v>
      </c>
      <c r="BQ53" s="120"/>
      <c r="BZ53" s="408">
        <f t="shared" si="20"/>
        <v>98</v>
      </c>
      <c r="CC53" s="302">
        <f t="shared" si="21"/>
        <v>96</v>
      </c>
      <c r="CD53" s="303" t="str">
        <f>IF(CC53&gt;KKM!$G$10,"A",IF(CC53&gt;KKM!$H$10,"B",IF(CC53&gt;=KKM!$I$10,"C","D")))</f>
        <v>A</v>
      </c>
      <c r="CE53" s="523">
        <f t="shared" si="22"/>
        <v>99</v>
      </c>
      <c r="CF53" s="115" t="str">
        <f>IF(CE53&gt;KKM!$G$10," sangat baik ",IF(CE53&gt;KKM!$H$10," baik ",IF(CE53&gt;=KKM!$I$10," cukup baik "," perlu bimbingan ")))</f>
        <v xml:space="preserve"> sangat baik </v>
      </c>
      <c r="CG53" s="524">
        <f t="shared" si="23"/>
        <v>90</v>
      </c>
      <c r="CH53" s="115" t="str">
        <f>IF(CG53&gt;KKM!$G$10," sangat baik ",IF(CG53&gt;KKM!$H$10," baik ",IF(CG53&gt;=KKM!$I$10," cukup baik "," perlu bimbingan ")))</f>
        <v xml:space="preserve"> baik </v>
      </c>
      <c r="CI53" s="301" t="str">
        <f t="shared" si="30"/>
        <v>Anak 49 sangat baik  dalam menjelaskan pecahan-pecahan senilai dengan gambar dan model konkret, dan  baik  dalam menjelaskan berbagai bentuk pecahan (biasa, campuran, desimal, dan persen) dan hubungan di antaranya</v>
      </c>
      <c r="CJ53" s="307" t="str">
        <f t="shared" si="24"/>
        <v xml:space="preserve"> sangat baik  dalam menjelaskan pecahan-pecahan senilai dengan gambar dan model konkret</v>
      </c>
      <c r="CK53" s="307" t="str">
        <f t="shared" si="25"/>
        <v xml:space="preserve"> baik  dalam menjelaskan berbagai bentuk pecahan (biasa, campuran, desimal, dan persen) dan hubungan di antaranya</v>
      </c>
      <c r="CL53" s="307" t="str">
        <f t="shared" si="26"/>
        <v xml:space="preserve"> sangat baik  dalam menjelaskan pecahan-pecahan senilai dengan gambar dan model konkret, dan  baik  dalam menjelaskan berbagai bentuk pecahan (biasa, campuran, desimal, dan persen) dan hubungan di antaranya</v>
      </c>
      <c r="CM53" s="307" t="str">
        <f t="shared" si="27"/>
        <v xml:space="preserve"> </v>
      </c>
      <c r="CN53" s="308" t="str">
        <f t="shared" si="28"/>
        <v xml:space="preserve"> sangat baik  dalam menjelaskan pecahan-pecahan senilai dengan gambar dan model konkret, dan  baik  dalam menjelaskan berbagai bentuk pecahan (biasa, campuran, desimal, dan persen) dan hubungan di antaranya</v>
      </c>
      <c r="CO53" s="301" t="str">
        <f t="shared" si="29"/>
        <v>Anak 49 sangat baik  dalam menjelaskan pecahan-pecahan senilai dengan gambar dan model konkret, dan  baik  dalam menjelaskan berbagai bentuk pecahan (biasa, campuran, desimal, dan persen) dan hubungan di antaranya</v>
      </c>
    </row>
    <row r="54" spans="2:93" ht="33.75" customHeight="1">
      <c r="B54" s="109">
        <v>50</v>
      </c>
      <c r="C54" s="110">
        <f>SISWA!B55</f>
        <v>0</v>
      </c>
      <c r="D54" s="111" t="str">
        <f>SISWA!E55</f>
        <v>Anak 50</v>
      </c>
      <c r="E54" s="631">
        <v>99</v>
      </c>
      <c r="F54" s="631">
        <v>99</v>
      </c>
      <c r="G54" s="631">
        <v>99</v>
      </c>
      <c r="H54" s="631">
        <v>99</v>
      </c>
      <c r="I54" s="631">
        <v>99</v>
      </c>
      <c r="J54" s="631">
        <v>99</v>
      </c>
      <c r="K54" s="613">
        <v>99</v>
      </c>
      <c r="L54" s="613"/>
      <c r="M54" s="613"/>
      <c r="N54" s="630"/>
      <c r="O54" s="630"/>
      <c r="P54" s="630"/>
      <c r="Q54" s="630"/>
      <c r="R54" s="630"/>
      <c r="S54" s="630"/>
      <c r="T54" s="630"/>
      <c r="U54" s="613"/>
      <c r="V54" s="610"/>
      <c r="W54" s="631">
        <v>99</v>
      </c>
      <c r="X54" s="613">
        <v>87.25</v>
      </c>
      <c r="Y54" s="631">
        <v>99</v>
      </c>
      <c r="Z54" s="631"/>
      <c r="AA54" s="631"/>
      <c r="AB54" s="631"/>
      <c r="AC54" s="609"/>
      <c r="AD54" s="610"/>
      <c r="AE54" s="613">
        <v>87.25</v>
      </c>
      <c r="AF54" s="613">
        <v>71.75</v>
      </c>
      <c r="AG54" s="613"/>
      <c r="AH54" s="613"/>
      <c r="AI54" s="613"/>
      <c r="AJ54" s="613"/>
      <c r="AK54" s="613"/>
      <c r="AL54" s="518"/>
      <c r="AM54" s="607">
        <f t="shared" si="9"/>
        <v>96.0625</v>
      </c>
      <c r="AN54" s="607">
        <f t="shared" si="10"/>
        <v>89.25</v>
      </c>
      <c r="AO54" s="607">
        <f t="shared" si="11"/>
        <v>99</v>
      </c>
      <c r="AP54" s="607">
        <f t="shared" si="12"/>
        <v>99</v>
      </c>
      <c r="AQ54" s="607">
        <f t="shared" si="13"/>
        <v>99</v>
      </c>
      <c r="AR54" s="607">
        <f t="shared" si="14"/>
        <v>99</v>
      </c>
      <c r="AS54" s="607">
        <f t="shared" si="15"/>
        <v>99</v>
      </c>
      <c r="AT54" s="607"/>
      <c r="AU54" s="607"/>
      <c r="AV54" s="607"/>
      <c r="AW54" s="607"/>
      <c r="AX54" s="607"/>
      <c r="AY54" s="607"/>
      <c r="AZ54" s="607"/>
      <c r="BA54" s="607"/>
      <c r="BB54" s="607"/>
      <c r="BC54" s="302">
        <f t="shared" si="3"/>
        <v>97</v>
      </c>
      <c r="BD54" s="303" t="str">
        <f>IF(BC54&gt;KKM!$G$10,"A",IF(BC54&gt;KKM!$H$10,"B",IF(BC54&gt;=KKM!$I$10,"C","D")))</f>
        <v>A</v>
      </c>
      <c r="BE54" s="523">
        <f t="shared" si="4"/>
        <v>99</v>
      </c>
      <c r="BF54" s="115" t="str">
        <f>IF(BE54&gt;KKM!$G$10," sangat baik ",IF(BE54&gt;KKM!$H$10," baik ",IF(BE54&gt;=KKM!$I$10," cukup baik "," perlu bimbingan ")))</f>
        <v xml:space="preserve"> sangat baik </v>
      </c>
      <c r="BG54" s="524">
        <f t="shared" si="5"/>
        <v>89.25</v>
      </c>
      <c r="BH54" s="115" t="str">
        <f>IF(BG54&gt;KKM!$G$10," sangat baik ",IF(BG54&gt;KKM!$H$10," baik ",IF(BG54&gt;=KKM!$I$10," cukup baik "," perlu bimbingan ")))</f>
        <v xml:space="preserve"> baik </v>
      </c>
      <c r="BI54" s="301" t="str">
        <f t="shared" si="16"/>
        <v>Anak 50 sangat baik  dalam menjelaskan dan melakukan penaksiran dari jumlah, selisih, hasil kali, dan hasil bagi dua bilangan cacah maupun pecahan dan desimal, dan  baik  dalam menjelaskan berbagai bentuk pecahan (biasa, campuran, desimal, dan persen) dan hubungan di antaranya</v>
      </c>
      <c r="BJ54" s="306"/>
      <c r="BK54" s="307" t="str">
        <f t="shared" si="6"/>
        <v xml:space="preserve"> sangat baik  dalam menjelaskan dan melakukan penaksiran dari jumlah, selisih, hasil kali, dan hasil bagi dua bilangan cacah maupun pecahan dan desimal</v>
      </c>
      <c r="BL54" s="307" t="str">
        <f t="shared" si="7"/>
        <v xml:space="preserve"> baik  dalam menjelaskan berbagai bentuk pecahan (biasa, campuran, desimal, dan persen) dan hubungan di antaranya</v>
      </c>
      <c r="BM54" s="307" t="str">
        <f t="shared" si="17"/>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N54" s="307" t="str">
        <f t="shared" si="18"/>
        <v xml:space="preserve"> </v>
      </c>
      <c r="BO54" s="308" t="str">
        <f t="shared" si="19"/>
        <v xml:space="preserve"> sangat baik  dalam menjelaskan dan melakukan penaksiran dari jumlah, selisih, hasil kali, dan hasil bagi dua bilangan cacah maupun pecahan dan desimal, dan  baik  dalam menjelaskan berbagai bentuk pecahan (biasa, campuran, desimal, dan persen) dan hubungan di antaranya</v>
      </c>
      <c r="BP54" s="301" t="str">
        <f t="shared" si="31"/>
        <v>Anak 50 sangat baik  dalam menjelaskan dan melakukan penaksiran dari jumlah, selisih, hasil kali, dan hasil bagi dua bilangan cacah maupun pecahan dan desimal, dan  baik  dalam menjelaskan berbagai bentuk pecahan (biasa, campuran, desimal, dan persen) dan hubungan di antaranya</v>
      </c>
      <c r="BQ54" s="120"/>
      <c r="BZ54" s="408">
        <f t="shared" si="20"/>
        <v>97</v>
      </c>
      <c r="CC54" s="302">
        <f t="shared" si="21"/>
        <v>95</v>
      </c>
      <c r="CD54" s="303" t="str">
        <f>IF(CC54&gt;KKM!$G$10,"A",IF(CC54&gt;KKM!$H$10,"B",IF(CC54&gt;=KKM!$I$10,"C","D")))</f>
        <v>A</v>
      </c>
      <c r="CE54" s="523">
        <f t="shared" si="22"/>
        <v>99</v>
      </c>
      <c r="CF54" s="115" t="str">
        <f>IF(CE54&gt;KKM!$G$10," sangat baik ",IF(CE54&gt;KKM!$H$10," baik ",IF(CE54&gt;=KKM!$I$10," cukup baik "," perlu bimbingan ")))</f>
        <v xml:space="preserve"> sangat baik </v>
      </c>
      <c r="CG54" s="524">
        <f t="shared" si="23"/>
        <v>87.25</v>
      </c>
      <c r="CH54" s="115" t="str">
        <f>IF(CG54&gt;KKM!$G$10," sangat baik ",IF(CG54&gt;KKM!$H$10," baik ",IF(CG54&gt;=KKM!$I$10," cukup baik "," perlu bimbingan ")))</f>
        <v xml:space="preserve"> baik </v>
      </c>
      <c r="CI54" s="301" t="str">
        <f t="shared" si="30"/>
        <v>Anak 50 sangat baik  dalam menjelaskan pecahan-pecahan senilai dengan gambar dan model konkret, dan  baik  dalam menjelaskan berbagai bentuk pecahan (biasa, campuran, desimal, dan persen) dan hubungan di antaranya</v>
      </c>
      <c r="CJ54" s="307" t="str">
        <f t="shared" si="24"/>
        <v xml:space="preserve"> sangat baik  dalam menjelaskan pecahan-pecahan senilai dengan gambar dan model konkret</v>
      </c>
      <c r="CK54" s="307" t="str">
        <f t="shared" si="25"/>
        <v xml:space="preserve"> baik  dalam menjelaskan berbagai bentuk pecahan (biasa, campuran, desimal, dan persen) dan hubungan di antaranya</v>
      </c>
      <c r="CL54" s="307" t="str">
        <f t="shared" si="26"/>
        <v xml:space="preserve"> sangat baik  dalam menjelaskan pecahan-pecahan senilai dengan gambar dan model konkret, dan  baik  dalam menjelaskan berbagai bentuk pecahan (biasa, campuran, desimal, dan persen) dan hubungan di antaranya</v>
      </c>
      <c r="CM54" s="307" t="str">
        <f t="shared" si="27"/>
        <v xml:space="preserve"> </v>
      </c>
      <c r="CN54" s="308" t="str">
        <f t="shared" si="28"/>
        <v xml:space="preserve"> sangat baik  dalam menjelaskan pecahan-pecahan senilai dengan gambar dan model konkret, dan  baik  dalam menjelaskan berbagai bentuk pecahan (biasa, campuran, desimal, dan persen) dan hubungan di antaranya</v>
      </c>
      <c r="CO54" s="301" t="str">
        <f t="shared" si="29"/>
        <v>Anak 50 sangat baik  dalam menjelaskan pecahan-pecahan senilai dengan gambar dan model konkret, dan  baik  dalam menjelaskan berbagai bentuk pecahan (biasa, campuran, desimal, dan persen) dan hubungan di antaranya</v>
      </c>
    </row>
    <row r="55" spans="2:93" ht="15.75">
      <c r="B55" s="121"/>
      <c r="C55" s="121"/>
      <c r="D55" s="121"/>
      <c r="E55" s="121"/>
      <c r="F55" s="121"/>
      <c r="G55" s="121"/>
      <c r="H55" s="121"/>
      <c r="I55" s="121"/>
      <c r="J55" s="121"/>
      <c r="K55" s="121"/>
      <c r="L55" s="121"/>
      <c r="M55" s="121"/>
      <c r="N55" s="121"/>
      <c r="O55" s="121"/>
      <c r="P55" s="121"/>
      <c r="Q55" s="121"/>
      <c r="R55" s="121"/>
      <c r="S55" s="121"/>
      <c r="T55" s="121"/>
      <c r="U55" s="121"/>
      <c r="V55" s="518"/>
      <c r="W55" s="521"/>
      <c r="X55" s="521"/>
      <c r="Y55" s="521"/>
      <c r="Z55" s="521"/>
      <c r="AA55" s="521"/>
      <c r="AB55" s="521"/>
      <c r="AC55" s="521"/>
      <c r="AD55" s="518"/>
      <c r="AE55" s="521"/>
      <c r="AF55" s="521"/>
      <c r="AG55" s="521"/>
      <c r="AH55" s="521"/>
      <c r="AI55" s="521"/>
      <c r="AJ55" s="521"/>
      <c r="AK55" s="521"/>
      <c r="AL55" s="518"/>
      <c r="AM55" s="528"/>
      <c r="AN55" s="529"/>
      <c r="AO55" s="529"/>
      <c r="AP55" s="529"/>
      <c r="AQ55" s="529"/>
      <c r="AR55" s="528"/>
      <c r="AS55" s="528"/>
      <c r="AT55" s="528"/>
      <c r="AU55" s="528"/>
      <c r="AV55" s="528"/>
      <c r="AW55" s="528"/>
      <c r="AX55" s="528"/>
      <c r="AY55" s="528"/>
      <c r="AZ55" s="529"/>
      <c r="BA55" s="529"/>
      <c r="BB55" s="528"/>
      <c r="BC55" s="114"/>
      <c r="BD55" s="115"/>
      <c r="BE55" s="116"/>
      <c r="BF55" s="116"/>
      <c r="BG55" s="116"/>
      <c r="BH55" s="116"/>
      <c r="BI55" s="117"/>
      <c r="BJ55" s="118"/>
      <c r="BK55" s="119"/>
      <c r="BL55" s="122"/>
      <c r="BM55" s="122"/>
      <c r="BN55" s="122"/>
      <c r="BO55" s="122"/>
      <c r="BP55" s="122"/>
      <c r="BQ55" s="120"/>
      <c r="CC55" s="302"/>
      <c r="CD55" s="303"/>
      <c r="CE55" s="523"/>
      <c r="CF55" s="115"/>
      <c r="CG55" s="524"/>
      <c r="CH55" s="115"/>
      <c r="CI55" s="301"/>
      <c r="CJ55" s="307"/>
      <c r="CK55" s="307"/>
      <c r="CL55" s="307"/>
      <c r="CM55" s="307"/>
      <c r="CN55" s="308"/>
      <c r="CO55" s="301"/>
    </row>
    <row r="56" spans="2:93">
      <c r="CC56" s="302"/>
      <c r="CJ56" s="119"/>
      <c r="CK56" s="122"/>
      <c r="CL56" s="122"/>
      <c r="CM56" s="122"/>
      <c r="CN56" s="122"/>
      <c r="CO56" s="122"/>
    </row>
  </sheetData>
  <sheetProtection sheet="1" objects="1" scenarios="1"/>
  <mergeCells count="52">
    <mergeCell ref="CJ3:CO3"/>
    <mergeCell ref="CC2:CC4"/>
    <mergeCell ref="CD2:CD4"/>
    <mergeCell ref="CE2:CH2"/>
    <mergeCell ref="CI2:CI4"/>
    <mergeCell ref="CE3:CF3"/>
    <mergeCell ref="CG3:CH3"/>
    <mergeCell ref="N3:N4"/>
    <mergeCell ref="O3:O4"/>
    <mergeCell ref="P3:P4"/>
    <mergeCell ref="Q3:Q4"/>
    <mergeCell ref="R3:R4"/>
    <mergeCell ref="U3:U4"/>
    <mergeCell ref="S3:S4"/>
    <mergeCell ref="T3:T4"/>
    <mergeCell ref="E2:U2"/>
    <mergeCell ref="BI2:BI4"/>
    <mergeCell ref="BE3:BF3"/>
    <mergeCell ref="BG3:BH3"/>
    <mergeCell ref="AE3:AE4"/>
    <mergeCell ref="AF3:AF4"/>
    <mergeCell ref="AG3:AG4"/>
    <mergeCell ref="AH3:AH4"/>
    <mergeCell ref="AI3:AI4"/>
    <mergeCell ref="AK3:AK4"/>
    <mergeCell ref="AJ3:AJ4"/>
    <mergeCell ref="AB3:AB4"/>
    <mergeCell ref="E3:E4"/>
    <mergeCell ref="B1:BH1"/>
    <mergeCell ref="B2:B4"/>
    <mergeCell ref="C2:C4"/>
    <mergeCell ref="D2:D4"/>
    <mergeCell ref="AM2:BB2"/>
    <mergeCell ref="BC2:BC4"/>
    <mergeCell ref="BD2:BD4"/>
    <mergeCell ref="BE2:BH2"/>
    <mergeCell ref="W2:AC2"/>
    <mergeCell ref="AC3:AC4"/>
    <mergeCell ref="W3:W4"/>
    <mergeCell ref="X3:X4"/>
    <mergeCell ref="Y3:Y4"/>
    <mergeCell ref="Z3:Z4"/>
    <mergeCell ref="AA3:AA4"/>
    <mergeCell ref="AE2:AK2"/>
    <mergeCell ref="F3:F4"/>
    <mergeCell ref="G3:G4"/>
    <mergeCell ref="H3:H4"/>
    <mergeCell ref="I3:I4"/>
    <mergeCell ref="M3:M4"/>
    <mergeCell ref="J3:J4"/>
    <mergeCell ref="K3:K4"/>
    <mergeCell ref="L3:L4"/>
  </mergeCell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H56"/>
  <sheetViews>
    <sheetView zoomScale="70" zoomScaleNormal="7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446" customWidth="1"/>
    <col min="2" max="2" width="4.42578125" style="104" customWidth="1"/>
    <col min="3" max="3" width="6.42578125" style="104" customWidth="1"/>
    <col min="4" max="4" width="28.7109375" style="104" customWidth="1"/>
    <col min="5" max="9" width="5.42578125" style="104" customWidth="1"/>
    <col min="10" max="16" width="5.42578125" style="104" hidden="1" customWidth="1"/>
    <col min="17" max="17" width="2" style="104" customWidth="1"/>
    <col min="18" max="23" width="5.42578125" style="104" customWidth="1"/>
    <col min="24" max="24" width="2.140625" style="104" customWidth="1"/>
    <col min="25" max="30" width="6" style="104" customWidth="1"/>
    <col min="31" max="31" width="2.140625" style="104" customWidth="1"/>
    <col min="32" max="38" width="6.7109375" style="104" customWidth="1"/>
    <col min="39" max="40" width="4.7109375" style="104" customWidth="1"/>
    <col min="41" max="41" width="5.140625" style="104" customWidth="1"/>
    <col min="42" max="42" width="9.85546875" style="104" customWidth="1"/>
    <col min="43" max="43" width="5.140625" style="104" customWidth="1"/>
    <col min="44" max="44" width="10.7109375" style="104" customWidth="1"/>
    <col min="45" max="45" width="84.42578125" style="104" customWidth="1"/>
    <col min="46" max="46" width="29.85546875" style="104" hidden="1" customWidth="1"/>
    <col min="47" max="52" width="10.7109375" style="104" hidden="1" customWidth="1"/>
    <col min="53" max="64" width="9.140625" style="104" hidden="1" customWidth="1"/>
    <col min="65" max="67" width="6.5703125" style="104" hidden="1" customWidth="1"/>
    <col min="68" max="68" width="12.42578125" style="104" hidden="1" customWidth="1"/>
    <col min="69" max="69" width="6.5703125" style="104" hidden="1" customWidth="1"/>
    <col min="70" max="70" width="13.5703125" style="104" hidden="1" customWidth="1"/>
    <col min="71" max="71" width="65.85546875" style="104" hidden="1" customWidth="1"/>
    <col min="72" max="72" width="18.7109375" style="104" hidden="1" customWidth="1"/>
    <col min="73" max="79" width="9.140625" style="104" hidden="1" customWidth="1"/>
    <col min="80" max="80" width="9.140625" style="104" customWidth="1"/>
    <col min="81" max="86" width="5" style="104" hidden="1" customWidth="1"/>
    <col min="87" max="88" width="0" style="104" hidden="1" customWidth="1"/>
    <col min="89" max="102" width="10.7109375" style="104" hidden="1" customWidth="1"/>
    <col min="103" max="164" width="0" style="104" hidden="1" customWidth="1"/>
    <col min="165" max="16384" width="9.140625" style="104" hidden="1"/>
  </cols>
  <sheetData>
    <row r="1" spans="1:79" s="449" customFormat="1" ht="45.75" customHeight="1">
      <c r="B1" s="1040" t="s">
        <v>256</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row>
    <row r="2" spans="1:79" ht="23.25" customHeight="1">
      <c r="B2" s="1071" t="s">
        <v>2</v>
      </c>
      <c r="C2" s="1072" t="s">
        <v>3</v>
      </c>
      <c r="D2" s="1073" t="s">
        <v>48</v>
      </c>
      <c r="E2" s="1095" t="s">
        <v>699</v>
      </c>
      <c r="F2" s="1096"/>
      <c r="G2" s="1096"/>
      <c r="H2" s="1096"/>
      <c r="I2" s="1096"/>
      <c r="J2" s="1096"/>
      <c r="K2" s="1096"/>
      <c r="L2" s="1096"/>
      <c r="M2" s="1096"/>
      <c r="N2" s="1096"/>
      <c r="O2" s="1096"/>
      <c r="P2" s="1096"/>
      <c r="Q2" s="515"/>
      <c r="R2" s="1100" t="s">
        <v>692</v>
      </c>
      <c r="S2" s="1100"/>
      <c r="T2" s="1100"/>
      <c r="U2" s="1100"/>
      <c r="V2" s="1100"/>
      <c r="W2" s="1100"/>
      <c r="X2" s="515"/>
      <c r="Y2" s="1085" t="s">
        <v>693</v>
      </c>
      <c r="Z2" s="1086"/>
      <c r="AA2" s="1086"/>
      <c r="AB2" s="1086"/>
      <c r="AC2" s="1086"/>
      <c r="AD2" s="1086"/>
      <c r="AE2" s="515"/>
      <c r="AF2" s="1098" t="s">
        <v>694</v>
      </c>
      <c r="AG2" s="1098"/>
      <c r="AH2" s="1098"/>
      <c r="AI2" s="1098"/>
      <c r="AJ2" s="1098"/>
      <c r="AK2" s="1098"/>
      <c r="AL2" s="1098"/>
      <c r="AM2" s="1045" t="s">
        <v>5</v>
      </c>
      <c r="AN2" s="1046" t="s">
        <v>6</v>
      </c>
      <c r="AO2" s="1047" t="s">
        <v>314</v>
      </c>
      <c r="AP2" s="1048"/>
      <c r="AQ2" s="1048"/>
      <c r="AR2" s="1048"/>
      <c r="AS2" s="1027" t="s">
        <v>1</v>
      </c>
      <c r="AZ2" s="294"/>
      <c r="BK2" s="441">
        <f>DEPAN!$E$23</f>
        <v>50</v>
      </c>
      <c r="BL2" s="441"/>
      <c r="BM2" s="1091" t="s">
        <v>5</v>
      </c>
      <c r="BN2" s="1093" t="s">
        <v>6</v>
      </c>
      <c r="BO2" s="1047" t="s">
        <v>314</v>
      </c>
      <c r="BP2" s="1048"/>
      <c r="BQ2" s="1048"/>
      <c r="BR2" s="1048"/>
      <c r="BS2" s="1027" t="s">
        <v>1</v>
      </c>
      <c r="BZ2" s="441"/>
      <c r="CA2" s="441"/>
    </row>
    <row r="3" spans="1:79" ht="94.5" customHeight="1">
      <c r="B3" s="1071"/>
      <c r="C3" s="1072"/>
      <c r="D3" s="1073"/>
      <c r="E3" s="1079" t="str">
        <f>""&amp;'KI-KD'!$B70</f>
        <v>3.2</v>
      </c>
      <c r="F3" s="1079" t="str">
        <f>""&amp;'KI-KD'!$B71</f>
        <v>3.3</v>
      </c>
      <c r="G3" s="1079" t="str">
        <f>""&amp;'KI-KD'!$B72</f>
        <v>3.4</v>
      </c>
      <c r="H3" s="1079" t="str">
        <f>""&amp;'KI-KD'!$B73</f>
        <v>3.5</v>
      </c>
      <c r="I3" s="1079" t="str">
        <f>""&amp;'KI-KD'!$B74</f>
        <v/>
      </c>
      <c r="J3" s="1079" t="str">
        <f>""&amp;'KI-KD'!$B75</f>
        <v/>
      </c>
      <c r="K3" s="1099"/>
      <c r="L3" s="1099"/>
      <c r="M3" s="1099"/>
      <c r="N3" s="1099"/>
      <c r="O3" s="1099"/>
      <c r="P3" s="1099" t="str">
        <f t="shared" ref="P3" si="0">J3</f>
        <v/>
      </c>
      <c r="Q3" s="516"/>
      <c r="R3" s="1101" t="str">
        <f>E3</f>
        <v>3.2</v>
      </c>
      <c r="S3" s="1101" t="str">
        <f t="shared" ref="S3:W3" si="1">F3</f>
        <v>3.3</v>
      </c>
      <c r="T3" s="1081" t="str">
        <f t="shared" ref="T3" si="2">G3</f>
        <v>3.4</v>
      </c>
      <c r="U3" s="1081" t="str">
        <f t="shared" ref="U3" si="3">H3</f>
        <v>3.5</v>
      </c>
      <c r="V3" s="1081" t="str">
        <f t="shared" ref="V3" si="4">I3</f>
        <v/>
      </c>
      <c r="W3" s="1081" t="str">
        <f t="shared" si="1"/>
        <v/>
      </c>
      <c r="X3" s="516"/>
      <c r="Y3" s="1088" t="str">
        <f>E3</f>
        <v>3.2</v>
      </c>
      <c r="Z3" s="1088" t="str">
        <f t="shared" ref="Z3:AC3" si="5">F3</f>
        <v>3.3</v>
      </c>
      <c r="AA3" s="1088" t="str">
        <f t="shared" si="5"/>
        <v>3.4</v>
      </c>
      <c r="AB3" s="1088" t="str">
        <f t="shared" si="5"/>
        <v>3.5</v>
      </c>
      <c r="AC3" s="1088" t="str">
        <f t="shared" si="5"/>
        <v/>
      </c>
      <c r="AD3" s="1088" t="str">
        <f>J3</f>
        <v/>
      </c>
      <c r="AE3" s="516"/>
      <c r="AF3" s="510" t="str">
        <f>'KI-KD'!$C70</f>
        <v>membandingkan siklus hidup beberapa jenis makhluk hidup serta mengaitkan dengan upaya pelestariannya.</v>
      </c>
      <c r="AG3" s="510" t="str">
        <f>'KI-KD'!$C71</f>
        <v>mengidentifikasi macam-macam gaya, antara lain: gaya otot, gaya listrik, gaya magnet, gaya gravitasi, dan gaya gesekan.</v>
      </c>
      <c r="AH3" s="510" t="str">
        <f>'KI-KD'!$C72</f>
        <v>menghubungkan gaya dengan gerak pada peristiwa di lingkungan sekitar.</v>
      </c>
      <c r="AI3" s="510" t="str">
        <f>'KI-KD'!$C73</f>
        <v>mengidentifikasi berbagai sumber energi, perubahan bentuk energi, dan sumber energi alternatif (angin, air, matahari, panas bumi, bahan bakar organik, dan nuklir) dalam kehidupan sehari-hari.</v>
      </c>
      <c r="AJ3" s="510">
        <f>'KI-KD'!$C74</f>
        <v>0</v>
      </c>
      <c r="AK3" s="510">
        <f>'KI-KD'!$C75</f>
        <v>0</v>
      </c>
      <c r="AL3" s="511"/>
      <c r="AM3" s="1045"/>
      <c r="AN3" s="1046"/>
      <c r="AO3" s="1030" t="s">
        <v>315</v>
      </c>
      <c r="AP3" s="1031"/>
      <c r="AQ3" s="1032" t="s">
        <v>316</v>
      </c>
      <c r="AR3" s="1033"/>
      <c r="AS3" s="1028"/>
      <c r="AZ3" s="294"/>
      <c r="BK3" s="408">
        <f>BK4-BK5</f>
        <v>50</v>
      </c>
      <c r="BL3" s="408"/>
      <c r="BM3" s="1092"/>
      <c r="BN3" s="1094"/>
      <c r="BO3" s="1067" t="s">
        <v>315</v>
      </c>
      <c r="BP3" s="1068"/>
      <c r="BQ3" s="1069" t="s">
        <v>316</v>
      </c>
      <c r="BR3" s="1070"/>
      <c r="BS3" s="1028"/>
      <c r="BT3" s="1090" t="s">
        <v>730</v>
      </c>
      <c r="BU3" s="1090"/>
      <c r="BV3" s="1090"/>
      <c r="BW3" s="1090"/>
      <c r="BX3" s="1090"/>
      <c r="BY3" s="1090"/>
      <c r="BZ3" s="408"/>
      <c r="CA3" s="408"/>
    </row>
    <row r="4" spans="1:79" s="108" customFormat="1" ht="25.5" customHeight="1">
      <c r="A4" s="448"/>
      <c r="B4" s="1071"/>
      <c r="C4" s="1072"/>
      <c r="D4" s="1073"/>
      <c r="E4" s="1080"/>
      <c r="F4" s="1080"/>
      <c r="G4" s="1080"/>
      <c r="H4" s="1080"/>
      <c r="I4" s="1080"/>
      <c r="J4" s="1080"/>
      <c r="K4" s="1099"/>
      <c r="L4" s="1099"/>
      <c r="M4" s="1099"/>
      <c r="N4" s="1099"/>
      <c r="O4" s="1099"/>
      <c r="P4" s="1099"/>
      <c r="Q4" s="517"/>
      <c r="R4" s="1102"/>
      <c r="S4" s="1102"/>
      <c r="T4" s="1082"/>
      <c r="U4" s="1082"/>
      <c r="V4" s="1082"/>
      <c r="W4" s="1082"/>
      <c r="X4" s="517"/>
      <c r="Y4" s="1089"/>
      <c r="Z4" s="1089"/>
      <c r="AA4" s="1089"/>
      <c r="AB4" s="1089"/>
      <c r="AC4" s="1089"/>
      <c r="AD4" s="1089"/>
      <c r="AE4" s="517"/>
      <c r="AF4" s="512" t="str">
        <f>'KI-KD'!$B70</f>
        <v>3.2</v>
      </c>
      <c r="AG4" s="512" t="str">
        <f>'KI-KD'!$B71</f>
        <v>3.3</v>
      </c>
      <c r="AH4" s="512" t="str">
        <f>'KI-KD'!$B72</f>
        <v>3.4</v>
      </c>
      <c r="AI4" s="512" t="str">
        <f>'KI-KD'!$B73</f>
        <v>3.5</v>
      </c>
      <c r="AJ4" s="512">
        <f>'KI-KD'!$B74</f>
        <v>0</v>
      </c>
      <c r="AK4" s="512">
        <f>'KI-KD'!$B75</f>
        <v>0</v>
      </c>
      <c r="AL4" s="512"/>
      <c r="AM4" s="1045"/>
      <c r="AN4" s="1046"/>
      <c r="AO4" s="295" t="s">
        <v>317</v>
      </c>
      <c r="AP4" s="296" t="s">
        <v>1</v>
      </c>
      <c r="AQ4" s="297" t="s">
        <v>317</v>
      </c>
      <c r="AR4" s="298" t="s">
        <v>1</v>
      </c>
      <c r="AS4" s="1029"/>
      <c r="AT4" s="104"/>
      <c r="AU4" s="299" t="s">
        <v>318</v>
      </c>
      <c r="AV4" s="299" t="s">
        <v>319</v>
      </c>
      <c r="AW4" s="299" t="s">
        <v>320</v>
      </c>
      <c r="AX4" s="299" t="s">
        <v>321</v>
      </c>
      <c r="AY4" s="300" t="s">
        <v>314</v>
      </c>
      <c r="AZ4" s="301"/>
      <c r="BK4" s="108">
        <v>50</v>
      </c>
      <c r="BM4" s="1092"/>
      <c r="BN4" s="1094"/>
      <c r="BO4" s="295" t="s">
        <v>317</v>
      </c>
      <c r="BP4" s="296" t="s">
        <v>1</v>
      </c>
      <c r="BQ4" s="297" t="s">
        <v>317</v>
      </c>
      <c r="BR4" s="298" t="s">
        <v>1</v>
      </c>
      <c r="BS4" s="1028"/>
      <c r="BT4" s="299" t="s">
        <v>318</v>
      </c>
      <c r="BU4" s="299" t="s">
        <v>319</v>
      </c>
      <c r="BV4" s="299" t="s">
        <v>320</v>
      </c>
      <c r="BW4" s="299" t="s">
        <v>321</v>
      </c>
      <c r="BX4" s="300" t="s">
        <v>314</v>
      </c>
      <c r="BY4" s="301"/>
    </row>
    <row r="5" spans="1:79" ht="41.25" customHeight="1">
      <c r="B5" s="109">
        <v>1</v>
      </c>
      <c r="C5" s="110">
        <f>SISWA!B6</f>
        <v>4822</v>
      </c>
      <c r="D5" s="111" t="str">
        <f>SISWA!E6</f>
        <v>Anak 1</v>
      </c>
      <c r="E5" s="613">
        <v>87</v>
      </c>
      <c r="F5" s="613">
        <v>89</v>
      </c>
      <c r="G5" s="613">
        <v>97</v>
      </c>
      <c r="H5" s="613">
        <v>99</v>
      </c>
      <c r="I5" s="730"/>
      <c r="J5" s="730"/>
      <c r="K5" s="731"/>
      <c r="L5" s="731"/>
      <c r="M5" s="731"/>
      <c r="N5" s="731"/>
      <c r="O5" s="730"/>
      <c r="P5" s="730"/>
      <c r="Q5" s="610"/>
      <c r="R5" s="613">
        <v>87</v>
      </c>
      <c r="S5" s="613">
        <v>89</v>
      </c>
      <c r="T5" s="631"/>
      <c r="U5" s="631"/>
      <c r="V5" s="631"/>
      <c r="W5" s="631"/>
      <c r="X5" s="610"/>
      <c r="Y5" s="613">
        <v>87</v>
      </c>
      <c r="Z5" s="613">
        <v>89</v>
      </c>
      <c r="AA5" s="613">
        <v>97</v>
      </c>
      <c r="AB5" s="613">
        <v>99</v>
      </c>
      <c r="AC5" s="609"/>
      <c r="AD5" s="609"/>
      <c r="AE5" s="518"/>
      <c r="AF5" s="607">
        <f>IFERROR(AVERAGE(E5,E5,R5,Y5),"")</f>
        <v>87</v>
      </c>
      <c r="AG5" s="607">
        <f t="shared" ref="AG5:AI5" si="6">IFERROR(AVERAGE(F5,F5,S5,Z5),"")</f>
        <v>89</v>
      </c>
      <c r="AH5" s="607">
        <f t="shared" si="6"/>
        <v>97</v>
      </c>
      <c r="AI5" s="607">
        <f t="shared" si="6"/>
        <v>99</v>
      </c>
      <c r="AJ5" s="608" t="str">
        <f>IFERROR(((2*V5)+#REF!)/3,"")</f>
        <v/>
      </c>
      <c r="AK5" s="529"/>
      <c r="AL5" s="528"/>
      <c r="AM5" s="302">
        <f t="shared" ref="AM5:AM36" si="7">ROUND((AVERAGE(AF5:AL5)),0)</f>
        <v>93</v>
      </c>
      <c r="AN5" s="303" t="str">
        <f>IF(AM5&gt;KKM!$G$10,"A",IF(AM5&gt;KKM!$H$10,"B",IF(AM5&gt;=KKM!$I$10,"C","D")))</f>
        <v>A</v>
      </c>
      <c r="AO5" s="523">
        <f t="shared" ref="AO5:AO36" si="8">MAX(AF5:AL5)</f>
        <v>99</v>
      </c>
      <c r="AP5" s="115" t="str">
        <f>IF(AO5&gt;KKM!$G$10," sangat baik ",IF(AO5&gt;KKM!$H$10," baik ",IF(AO5&gt;=KKM!$I$10," cukup baik "," perlu bimbingan ")))</f>
        <v xml:space="preserve"> sangat baik </v>
      </c>
      <c r="AQ5" s="524">
        <f t="shared" ref="AQ5:AQ36" si="9">MIN(AF5:AL5)</f>
        <v>87</v>
      </c>
      <c r="AR5" s="115" t="str">
        <f>IF(AQ5&gt;KKM!$G$10," sangat baik ",IF(AQ5&gt;KKM!$H$10," baik ",IF(AQ5&gt;=KKM!$I$10," cukup baik "," perlu bimbingan ")))</f>
        <v xml:space="preserve"> baik </v>
      </c>
      <c r="AS5" s="301" t="str">
        <f>IFERROR(AZ5," ")</f>
        <v>Anak 1 sangat baik  dalam mengidentifikasi berbagai sumber energi, perubahan bentuk energi, dan sumber energi alternatif (angin, air, matahari, panas bumi, bahan bakar organik, dan nuklir) dalam kehidupan sehari-hari., dan  baik  dalam membandingkan siklus hidup beberapa jenis makhluk hidup serta mengaitkan dengan upaya pelestariannya.</v>
      </c>
      <c r="AT5" s="306"/>
      <c r="AU5" s="307" t="str">
        <f t="shared" ref="AU5:AU36" si="10">AP5&amp;" dalam "&amp;INDEX($AF$3:$AL$3,MATCH(AO5,$AF5:$AL5,0))</f>
        <v xml:space="preserve"> sangat baik  dalam mengidentifikasi berbagai sumber energi, perubahan bentuk energi, dan sumber energi alternatif (angin, air, matahari, panas bumi, bahan bakar organik, dan nuklir) dalam kehidupan sehari-hari.</v>
      </c>
      <c r="AV5" s="307" t="str">
        <f t="shared" ref="AV5:AV36" si="11">AR5&amp;" dalam "&amp;INDEX($AF$3:$AL$3,MATCH(AQ5,$AF5:$AL5,0))</f>
        <v xml:space="preserve"> baik  dalam membandingkan siklus hidup beberapa jenis makhluk hidup serta mengaitkan dengan upaya pelestariannya.</v>
      </c>
      <c r="AW5" s="307" t="str">
        <f>AU5&amp;", dan "&amp;AV5</f>
        <v xml:space="preserve"> sangat baik  dalam mengidentifikasi berbagai sumber energi, perubahan bentuk energi, dan sumber energi alternatif (angin, air, matahari, panas bumi, bahan bakar organik, dan nuklir) dalam kehidupan sehari-hari., dan  baik  dalam membandingkan siklus hidup beberapa jenis makhluk hidup serta mengaitkan dengan upaya pelestariannya.</v>
      </c>
      <c r="AX5" s="307" t="str">
        <f>IF(AU5=AV5,AU5," ")</f>
        <v xml:space="preserve"> </v>
      </c>
      <c r="AY5" s="308" t="str">
        <f>IF(AX5=" ",AW5,AX5)</f>
        <v xml:space="preserve"> sangat baik  dalam mengidentifikasi berbagai sumber energi, perubahan bentuk energi, dan sumber energi alternatif (angin, air, matahari, panas bumi, bahan bakar organik, dan nuklir) dalam kehidupan sehari-hari., dan  baik  dalam membandingkan siklus hidup beberapa jenis makhluk hidup serta mengaitkan dengan upaya pelestariannya.</v>
      </c>
      <c r="AZ5" s="301" t="str">
        <f t="shared" ref="AZ5:AZ36" si="12">CONCATENATE(D5,AY5)</f>
        <v>Anak 1 sangat baik  dalam mengidentifikasi berbagai sumber energi, perubahan bentuk energi, dan sumber energi alternatif (angin, air, matahari, panas bumi, bahan bakar organik, dan nuklir) dalam kehidupan sehari-hari., dan  baik  dalam membandingkan siklus hidup beberapa jenis makhluk hidup serta mengaitkan dengan upaya pelestariannya.</v>
      </c>
      <c r="BA5" s="120"/>
      <c r="BJ5" s="408">
        <f>IFERROR(AM5,"")</f>
        <v>93</v>
      </c>
      <c r="BK5" s="408">
        <f>COUNTBLANK(BJ5:BJ54)</f>
        <v>0</v>
      </c>
      <c r="BL5" s="408"/>
      <c r="BM5" s="302">
        <f>ROUND((AVERAGE(R5:W5)),0)</f>
        <v>88</v>
      </c>
      <c r="BN5" s="303" t="str">
        <f>IF(BM5&gt;KKM!$G$10,"A",IF(BM5&gt;KKM!$H$10,"B",IF(BM5&gt;=KKM!$I$10,"C","D")))</f>
        <v>B</v>
      </c>
      <c r="BO5" s="523">
        <f>MAX(R5:W5)</f>
        <v>89</v>
      </c>
      <c r="BP5" s="115" t="str">
        <f>IF(BO5&gt;KKM!$G$10," sangat baik ",IF(BO5&gt;KKM!$H$10," baik ",IF(BO5&gt;=KKM!$I$10," cukup baik "," perlu bimbingan ")))</f>
        <v xml:space="preserve"> baik </v>
      </c>
      <c r="BQ5" s="524">
        <f>MIN(R5:W5)</f>
        <v>87</v>
      </c>
      <c r="BR5" s="115" t="str">
        <f>IF(BQ5&gt;KKM!$G$10," sangat baik ",IF(BQ5&gt;KKM!$H$10," baik ",IF(BQ5&gt;=KKM!$I$10," cukup baik "," perlu bimbingan ")))</f>
        <v xml:space="preserve"> baik </v>
      </c>
      <c r="BS5" s="301" t="str">
        <f>IFERROR(BY5," ")</f>
        <v>Anak 1 baik  dalam mengidentifikasi macam-macam gaya, antara lain: gaya otot, gaya listrik, gaya magnet, gaya gravitasi, dan gaya gesekan., dan  baik  dalam membandingkan siklus hidup beberapa jenis makhluk hidup serta mengaitkan dengan upaya pelestariannya.</v>
      </c>
      <c r="BT5" s="307" t="str">
        <f>BP5&amp;" dalam "&amp;INDEX($AF$3:$AL$3,MATCH(BO5,$R5:$W5,0))</f>
        <v xml:space="preserve"> baik  dalam mengidentifikasi macam-macam gaya, antara lain: gaya otot, gaya listrik, gaya magnet, gaya gravitasi, dan gaya gesekan.</v>
      </c>
      <c r="BU5" s="307" t="str">
        <f>BR5&amp;" dalam "&amp;INDEX($AF$3:$AL$3,MATCH(BQ5,$R5:$W5,0))</f>
        <v xml:space="preserve"> baik  dalam membandingkan siklus hidup beberapa jenis makhluk hidup serta mengaitkan dengan upaya pelestariannya.</v>
      </c>
      <c r="BV5" s="307" t="str">
        <f>BT5&amp;", dan "&amp;BU5</f>
        <v xml:space="preserve"> baik  dalam mengidentifikasi macam-macam gaya, antara lain: gaya otot, gaya listrik, gaya magnet, gaya gravitasi, dan gaya gesekan., dan  baik  dalam membandingkan siklus hidup beberapa jenis makhluk hidup serta mengaitkan dengan upaya pelestariannya.</v>
      </c>
      <c r="BW5" s="307" t="str">
        <f>IF(BT5=BU5,BT5," ")</f>
        <v xml:space="preserve"> </v>
      </c>
      <c r="BX5" s="308" t="str">
        <f>IF(BW5=" ",BV5,BW5)</f>
        <v xml:space="preserve"> baik  dalam mengidentifikasi macam-macam gaya, antara lain: gaya otot, gaya listrik, gaya magnet, gaya gravitasi, dan gaya gesekan., dan  baik  dalam membandingkan siklus hidup beberapa jenis makhluk hidup serta mengaitkan dengan upaya pelestariannya.</v>
      </c>
      <c r="BY5" s="301" t="str">
        <f>CONCATENATE(D5,BX5)</f>
        <v>Anak 1 baik  dalam mengidentifikasi macam-macam gaya, antara lain: gaya otot, gaya listrik, gaya magnet, gaya gravitasi, dan gaya gesekan., dan  baik  dalam membandingkan siklus hidup beberapa jenis makhluk hidup serta mengaitkan dengan upaya pelestariannya.</v>
      </c>
      <c r="BZ5" s="408"/>
      <c r="CA5" s="408"/>
    </row>
    <row r="6" spans="1:79" ht="41.25" customHeight="1">
      <c r="B6" s="109">
        <v>2</v>
      </c>
      <c r="C6" s="110">
        <f>SISWA!B7</f>
        <v>0</v>
      </c>
      <c r="D6" s="111" t="str">
        <f>SISWA!E7</f>
        <v>Anak 2</v>
      </c>
      <c r="E6" s="613">
        <v>87</v>
      </c>
      <c r="F6" s="613">
        <v>88</v>
      </c>
      <c r="G6" s="613">
        <v>98</v>
      </c>
      <c r="H6" s="613">
        <v>98</v>
      </c>
      <c r="I6" s="730"/>
      <c r="J6" s="730"/>
      <c r="K6" s="731"/>
      <c r="L6" s="731"/>
      <c r="M6" s="731"/>
      <c r="N6" s="731"/>
      <c r="O6" s="730"/>
      <c r="P6" s="730"/>
      <c r="Q6" s="610"/>
      <c r="R6" s="613">
        <v>87</v>
      </c>
      <c r="S6" s="613">
        <v>88</v>
      </c>
      <c r="T6" s="631"/>
      <c r="U6" s="631"/>
      <c r="V6" s="631"/>
      <c r="W6" s="631"/>
      <c r="X6" s="610"/>
      <c r="Y6" s="613">
        <v>87</v>
      </c>
      <c r="Z6" s="613">
        <v>88</v>
      </c>
      <c r="AA6" s="613">
        <v>98</v>
      </c>
      <c r="AB6" s="613">
        <v>98</v>
      </c>
      <c r="AC6" s="609"/>
      <c r="AD6" s="609"/>
      <c r="AE6" s="518"/>
      <c r="AF6" s="607">
        <f t="shared" ref="AF6:AF54" si="13">IFERROR(AVERAGE(E6,E6,R6,Y6),"")</f>
        <v>87</v>
      </c>
      <c r="AG6" s="607">
        <f t="shared" ref="AG6:AG54" si="14">IFERROR(AVERAGE(F6,F6,S6,Z6),"")</f>
        <v>88</v>
      </c>
      <c r="AH6" s="607">
        <f t="shared" ref="AH6:AH54" si="15">IFERROR(AVERAGE(G6,G6,T6,AA6),"")</f>
        <v>98</v>
      </c>
      <c r="AI6" s="607">
        <f t="shared" ref="AI6:AI54" si="16">IFERROR(AVERAGE(H6,H6,U6,AB6),"")</f>
        <v>98</v>
      </c>
      <c r="AJ6" s="608" t="str">
        <f>IFERROR(((2*V6)+#REF!)/3,"")</f>
        <v/>
      </c>
      <c r="AK6" s="529"/>
      <c r="AL6" s="528"/>
      <c r="AM6" s="302">
        <f t="shared" si="7"/>
        <v>93</v>
      </c>
      <c r="AN6" s="303" t="str">
        <f>IF(AM6&gt;KKM!$G$10,"A",IF(AM6&gt;KKM!$H$10,"B",IF(AM6&gt;=KKM!$I$10,"C","D")))</f>
        <v>A</v>
      </c>
      <c r="AO6" s="523">
        <f t="shared" si="8"/>
        <v>98</v>
      </c>
      <c r="AP6" s="115" t="str">
        <f>IF(AO6&gt;KKM!$G$10," sangat baik ",IF(AO6&gt;KKM!$H$10," baik ",IF(AO6&gt;=KKM!$I$10," cukup baik "," perlu bimbingan ")))</f>
        <v xml:space="preserve"> sangat baik </v>
      </c>
      <c r="AQ6" s="524">
        <f t="shared" si="9"/>
        <v>87</v>
      </c>
      <c r="AR6" s="115" t="str">
        <f>IF(AQ6&gt;KKM!$G$10," sangat baik ",IF(AQ6&gt;KKM!$H$10," baik ",IF(AQ6&gt;=KKM!$I$10," cukup baik "," perlu bimbingan ")))</f>
        <v xml:space="preserve"> baik </v>
      </c>
      <c r="AS6" s="301" t="str">
        <f t="shared" ref="AS6:AS54" si="17">IFERROR(AZ6," ")</f>
        <v>Anak 2 sangat baik  dalam menghubungkan gaya dengan gerak pada peristiwa di lingkungan sekitar., dan  baik  dalam membandingkan siklus hidup beberapa jenis makhluk hidup serta mengaitkan dengan upaya pelestariannya.</v>
      </c>
      <c r="AT6" s="306"/>
      <c r="AU6" s="307" t="str">
        <f t="shared" si="10"/>
        <v xml:space="preserve"> sangat baik  dalam menghubungkan gaya dengan gerak pada peristiwa di lingkungan sekitar.</v>
      </c>
      <c r="AV6" s="307" t="str">
        <f t="shared" si="11"/>
        <v xml:space="preserve"> baik  dalam membandingkan siklus hidup beberapa jenis makhluk hidup serta mengaitkan dengan upaya pelestariannya.</v>
      </c>
      <c r="AW6" s="307" t="str">
        <f t="shared" ref="AW6:AW54" si="18">AU6&amp;", dan "&amp;AV6</f>
        <v xml:space="preserve"> sangat baik  dalam menghubungkan gaya dengan gerak pada peristiwa di lingkungan sekitar., dan  baik  dalam membandingkan siklus hidup beberapa jenis makhluk hidup serta mengaitkan dengan upaya pelestariannya.</v>
      </c>
      <c r="AX6" s="307" t="str">
        <f t="shared" ref="AX6:AX54" si="19">IF(AU6=AV6,AU6," ")</f>
        <v xml:space="preserve"> </v>
      </c>
      <c r="AY6" s="308" t="str">
        <f t="shared" ref="AY6:AY54" si="20">IF(AX6=" ",AW6,AX6)</f>
        <v xml:space="preserve"> sangat baik  dalam menghubungkan gaya dengan gerak pada peristiwa di lingkungan sekitar., dan  baik  dalam membandingkan siklus hidup beberapa jenis makhluk hidup serta mengaitkan dengan upaya pelestariannya.</v>
      </c>
      <c r="AZ6" s="301" t="str">
        <f t="shared" si="12"/>
        <v>Anak 2 sangat baik  dalam menghubungkan gaya dengan gerak pada peristiwa di lingkungan sekitar., dan  baik  dalam membandingkan siklus hidup beberapa jenis makhluk hidup serta mengaitkan dengan upaya pelestariannya.</v>
      </c>
      <c r="BA6" s="120"/>
      <c r="BJ6" s="408">
        <f t="shared" ref="BJ6:BJ54" si="21">IFERROR(AM6,"")</f>
        <v>93</v>
      </c>
      <c r="BK6" s="442">
        <f>IFERROR(BK3/BK2,"0%")</f>
        <v>1</v>
      </c>
      <c r="BL6" s="442"/>
      <c r="BM6" s="302">
        <f t="shared" ref="BM6:BM54" si="22">ROUND((AVERAGE(R6:W6)),0)</f>
        <v>88</v>
      </c>
      <c r="BN6" s="303" t="str">
        <f>IF(BM6&gt;KKM!$G$10,"A",IF(BM6&gt;KKM!$H$10,"B",IF(BM6&gt;=KKM!$I$10,"C","D")))</f>
        <v>B</v>
      </c>
      <c r="BO6" s="523">
        <f t="shared" ref="BO6:BO54" si="23">MAX(R6:W6)</f>
        <v>88</v>
      </c>
      <c r="BP6" s="115" t="str">
        <f>IF(BO6&gt;KKM!$G$10," sangat baik ",IF(BO6&gt;KKM!$H$10," baik ",IF(BO6&gt;=KKM!$I$10," cukup baik "," perlu bimbingan ")))</f>
        <v xml:space="preserve"> baik </v>
      </c>
      <c r="BQ6" s="524">
        <f t="shared" ref="BQ6:BQ54" si="24">MIN(R6:W6)</f>
        <v>87</v>
      </c>
      <c r="BR6" s="115" t="str">
        <f>IF(BQ6&gt;KKM!$G$10," sangat baik ",IF(BQ6&gt;KKM!$H$10," baik ",IF(BQ6&gt;=KKM!$I$10," cukup baik "," perlu bimbingan ")))</f>
        <v xml:space="preserve"> baik </v>
      </c>
      <c r="BS6" s="301" t="str">
        <f>IFERROR(BY6," ")</f>
        <v>Anak 2 baik  dalam mengidentifikasi macam-macam gaya, antara lain: gaya otot, gaya listrik, gaya magnet, gaya gravitasi, dan gaya gesekan., dan  baik  dalam membandingkan siklus hidup beberapa jenis makhluk hidup serta mengaitkan dengan upaya pelestariannya.</v>
      </c>
      <c r="BT6" s="307" t="str">
        <f t="shared" ref="BT6:BT54" si="25">BP6&amp;" dalam "&amp;INDEX($AF$3:$AL$3,MATCH(BO6,$R6:$W6,0))</f>
        <v xml:space="preserve"> baik  dalam mengidentifikasi macam-macam gaya, antara lain: gaya otot, gaya listrik, gaya magnet, gaya gravitasi, dan gaya gesekan.</v>
      </c>
      <c r="BU6" s="307" t="str">
        <f t="shared" ref="BU6:BU54" si="26">BR6&amp;" dalam "&amp;INDEX($AF$3:$AL$3,MATCH(BQ6,$R6:$W6,0))</f>
        <v xml:space="preserve"> baik  dalam membandingkan siklus hidup beberapa jenis makhluk hidup serta mengaitkan dengan upaya pelestariannya.</v>
      </c>
      <c r="BV6" s="307" t="str">
        <f t="shared" ref="BV6:BV54" si="27">BT6&amp;", dan "&amp;BU6</f>
        <v xml:space="preserve"> baik  dalam mengidentifikasi macam-macam gaya, antara lain: gaya otot, gaya listrik, gaya magnet, gaya gravitasi, dan gaya gesekan., dan  baik  dalam membandingkan siklus hidup beberapa jenis makhluk hidup serta mengaitkan dengan upaya pelestariannya.</v>
      </c>
      <c r="BW6" s="307" t="str">
        <f t="shared" ref="BW6:BW54" si="28">IF(BT6=BU6,BT6," ")</f>
        <v xml:space="preserve"> </v>
      </c>
      <c r="BX6" s="308" t="str">
        <f t="shared" ref="BX6:BX54" si="29">IF(BW6=" ",BV6,BW6)</f>
        <v xml:space="preserve"> baik  dalam mengidentifikasi macam-macam gaya, antara lain: gaya otot, gaya listrik, gaya magnet, gaya gravitasi, dan gaya gesekan., dan  baik  dalam membandingkan siklus hidup beberapa jenis makhluk hidup serta mengaitkan dengan upaya pelestariannya.</v>
      </c>
      <c r="BY6" s="301" t="str">
        <f t="shared" ref="BY6:BY54" si="30">CONCATENATE(D6,BX6)</f>
        <v>Anak 2 baik  dalam mengidentifikasi macam-macam gaya, antara lain: gaya otot, gaya listrik, gaya magnet, gaya gravitasi, dan gaya gesekan., dan  baik  dalam membandingkan siklus hidup beberapa jenis makhluk hidup serta mengaitkan dengan upaya pelestariannya.</v>
      </c>
      <c r="BZ6" s="442"/>
      <c r="CA6" s="442"/>
    </row>
    <row r="7" spans="1:79" ht="41.25" customHeight="1">
      <c r="B7" s="109">
        <v>3</v>
      </c>
      <c r="C7" s="110">
        <f>SISWA!B8</f>
        <v>0</v>
      </c>
      <c r="D7" s="111" t="str">
        <f>SISWA!E8</f>
        <v>Anak 3</v>
      </c>
      <c r="E7" s="631">
        <v>99</v>
      </c>
      <c r="F7" s="631">
        <v>99</v>
      </c>
      <c r="G7" s="631">
        <v>99</v>
      </c>
      <c r="H7" s="631">
        <v>99</v>
      </c>
      <c r="I7" s="730"/>
      <c r="J7" s="730"/>
      <c r="K7" s="731"/>
      <c r="L7" s="731"/>
      <c r="M7" s="731"/>
      <c r="N7" s="731"/>
      <c r="O7" s="730"/>
      <c r="P7" s="730"/>
      <c r="Q7" s="610"/>
      <c r="R7" s="631">
        <v>99</v>
      </c>
      <c r="S7" s="631">
        <v>99</v>
      </c>
      <c r="T7" s="631"/>
      <c r="U7" s="631"/>
      <c r="V7" s="631"/>
      <c r="W7" s="631"/>
      <c r="X7" s="610"/>
      <c r="Y7" s="631">
        <v>99</v>
      </c>
      <c r="Z7" s="631">
        <v>99</v>
      </c>
      <c r="AA7" s="631">
        <v>99</v>
      </c>
      <c r="AB7" s="631">
        <v>99</v>
      </c>
      <c r="AC7" s="609"/>
      <c r="AD7" s="609"/>
      <c r="AE7" s="518"/>
      <c r="AF7" s="607">
        <f t="shared" si="13"/>
        <v>99</v>
      </c>
      <c r="AG7" s="607">
        <f t="shared" si="14"/>
        <v>99</v>
      </c>
      <c r="AH7" s="607">
        <f t="shared" si="15"/>
        <v>99</v>
      </c>
      <c r="AI7" s="607">
        <f t="shared" si="16"/>
        <v>99</v>
      </c>
      <c r="AJ7" s="608" t="str">
        <f>IFERROR(((2*V7)+#REF!)/3,"")</f>
        <v/>
      </c>
      <c r="AK7" s="528"/>
      <c r="AL7" s="528"/>
      <c r="AM7" s="302">
        <f t="shared" si="7"/>
        <v>99</v>
      </c>
      <c r="AN7" s="303" t="str">
        <f>IF(AM7&gt;KKM!$G$10,"A",IF(AM7&gt;KKM!$H$10,"B",IF(AM7&gt;=KKM!$I$10,"C","D")))</f>
        <v>A</v>
      </c>
      <c r="AO7" s="523">
        <f t="shared" si="8"/>
        <v>99</v>
      </c>
      <c r="AP7" s="115" t="str">
        <f>IF(AO7&gt;KKM!$G$10," sangat baik ",IF(AO7&gt;KKM!$H$10," baik ",IF(AO7&gt;=KKM!$I$10," cukup baik "," perlu bimbingan ")))</f>
        <v xml:space="preserve"> sangat baik </v>
      </c>
      <c r="AQ7" s="524">
        <f t="shared" si="9"/>
        <v>99</v>
      </c>
      <c r="AR7" s="115" t="str">
        <f>IF(AQ7&gt;KKM!$G$10," sangat baik ",IF(AQ7&gt;KKM!$H$10," baik ",IF(AQ7&gt;=KKM!$I$10," cukup baik "," perlu bimbingan ")))</f>
        <v xml:space="preserve"> sangat baik </v>
      </c>
      <c r="AS7" s="301" t="str">
        <f t="shared" si="17"/>
        <v>Anak 3 sangat baik  dalam membandingkan siklus hidup beberapa jenis makhluk hidup serta mengaitkan dengan upaya pelestariannya.</v>
      </c>
      <c r="AT7" s="306"/>
      <c r="AU7" s="307" t="str">
        <f t="shared" si="10"/>
        <v xml:space="preserve"> sangat baik  dalam membandingkan siklus hidup beberapa jenis makhluk hidup serta mengaitkan dengan upaya pelestariannya.</v>
      </c>
      <c r="AV7" s="307" t="str">
        <f t="shared" si="11"/>
        <v xml:space="preserve"> sangat baik  dalam membandingkan siklus hidup beberapa jenis makhluk hidup serta mengaitkan dengan upaya pelestariannya.</v>
      </c>
      <c r="AW7"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7" s="307" t="str">
        <f t="shared" si="19"/>
        <v xml:space="preserve"> sangat baik  dalam membandingkan siklus hidup beberapa jenis makhluk hidup serta mengaitkan dengan upaya pelestariannya.</v>
      </c>
      <c r="AY7" s="308" t="str">
        <f t="shared" si="20"/>
        <v xml:space="preserve"> sangat baik  dalam membandingkan siklus hidup beberapa jenis makhluk hidup serta mengaitkan dengan upaya pelestariannya.</v>
      </c>
      <c r="AZ7" s="301" t="str">
        <f t="shared" si="12"/>
        <v>Anak 3 sangat baik  dalam membandingkan siklus hidup beberapa jenis makhluk hidup serta mengaitkan dengan upaya pelestariannya.</v>
      </c>
      <c r="BA7" s="120"/>
      <c r="BJ7" s="408">
        <f t="shared" si="21"/>
        <v>99</v>
      </c>
      <c r="BM7" s="302">
        <f t="shared" si="22"/>
        <v>99</v>
      </c>
      <c r="BN7" s="303" t="str">
        <f>IF(BM7&gt;KKM!$G$10,"A",IF(BM7&gt;KKM!$H$10,"B",IF(BM7&gt;=KKM!$I$10,"C","D")))</f>
        <v>A</v>
      </c>
      <c r="BO7" s="523">
        <f t="shared" si="23"/>
        <v>99</v>
      </c>
      <c r="BP7" s="115" t="str">
        <f>IF(BO7&gt;KKM!$G$10," sangat baik ",IF(BO7&gt;KKM!$H$10," baik ",IF(BO7&gt;=KKM!$I$10," cukup baik "," perlu bimbingan ")))</f>
        <v xml:space="preserve"> sangat baik </v>
      </c>
      <c r="BQ7" s="524">
        <f t="shared" si="24"/>
        <v>99</v>
      </c>
      <c r="BR7" s="115" t="str">
        <f>IF(BQ7&gt;KKM!$G$10," sangat baik ",IF(BQ7&gt;KKM!$H$10," baik ",IF(BQ7&gt;=KKM!$I$10," cukup baik "," perlu bimbingan ")))</f>
        <v xml:space="preserve"> sangat baik </v>
      </c>
      <c r="BS7" s="301" t="str">
        <f t="shared" ref="BS7:BS54" si="31">IFERROR(BY7," ")</f>
        <v>Anak 3 sangat baik  dalam membandingkan siklus hidup beberapa jenis makhluk hidup serta mengaitkan dengan upaya pelestariannya.</v>
      </c>
      <c r="BT7" s="307" t="str">
        <f t="shared" si="25"/>
        <v xml:space="preserve"> sangat baik  dalam membandingkan siklus hidup beberapa jenis makhluk hidup serta mengaitkan dengan upaya pelestariannya.</v>
      </c>
      <c r="BU7" s="307" t="str">
        <f t="shared" si="26"/>
        <v xml:space="preserve"> sangat baik  dalam membandingkan siklus hidup beberapa jenis makhluk hidup serta mengaitkan dengan upaya pelestariannya.</v>
      </c>
      <c r="BV7"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7" s="307" t="str">
        <f t="shared" si="28"/>
        <v xml:space="preserve"> sangat baik  dalam membandingkan siklus hidup beberapa jenis makhluk hidup serta mengaitkan dengan upaya pelestariannya.</v>
      </c>
      <c r="BX7" s="308" t="str">
        <f t="shared" si="29"/>
        <v xml:space="preserve"> sangat baik  dalam membandingkan siklus hidup beberapa jenis makhluk hidup serta mengaitkan dengan upaya pelestariannya.</v>
      </c>
      <c r="BY7" s="301" t="str">
        <f t="shared" si="30"/>
        <v>Anak 3 sangat baik  dalam membandingkan siklus hidup beberapa jenis makhluk hidup serta mengaitkan dengan upaya pelestariannya.</v>
      </c>
    </row>
    <row r="8" spans="1:79" ht="41.25" customHeight="1">
      <c r="B8" s="109">
        <v>4</v>
      </c>
      <c r="C8" s="110">
        <f>SISWA!B9</f>
        <v>0</v>
      </c>
      <c r="D8" s="111" t="str">
        <f>SISWA!E9</f>
        <v>Anak 4</v>
      </c>
      <c r="E8" s="631"/>
      <c r="F8" s="631">
        <v>78</v>
      </c>
      <c r="G8" s="631"/>
      <c r="H8" s="631">
        <v>88</v>
      </c>
      <c r="I8" s="730"/>
      <c r="J8" s="730"/>
      <c r="K8" s="731"/>
      <c r="L8" s="731"/>
      <c r="M8" s="731"/>
      <c r="N8" s="731"/>
      <c r="O8" s="730"/>
      <c r="P8" s="730"/>
      <c r="Q8" s="610"/>
      <c r="R8" s="631">
        <v>68</v>
      </c>
      <c r="S8" s="631">
        <v>79</v>
      </c>
      <c r="T8" s="631"/>
      <c r="U8" s="631"/>
      <c r="V8" s="631"/>
      <c r="W8" s="631"/>
      <c r="X8" s="610"/>
      <c r="Y8" s="631"/>
      <c r="Z8" s="631"/>
      <c r="AA8" s="631"/>
      <c r="AB8" s="631"/>
      <c r="AC8" s="609"/>
      <c r="AD8" s="609"/>
      <c r="AE8" s="518"/>
      <c r="AF8" s="607">
        <f t="shared" si="13"/>
        <v>68</v>
      </c>
      <c r="AG8" s="607">
        <f t="shared" si="14"/>
        <v>78.333333333333329</v>
      </c>
      <c r="AH8" s="607" t="str">
        <f t="shared" si="15"/>
        <v/>
      </c>
      <c r="AI8" s="607">
        <f t="shared" si="16"/>
        <v>88</v>
      </c>
      <c r="AJ8" s="608" t="str">
        <f>IFERROR(((2*V8)+#REF!)/3,"")</f>
        <v/>
      </c>
      <c r="AK8" s="528"/>
      <c r="AL8" s="528"/>
      <c r="AM8" s="302">
        <f t="shared" si="7"/>
        <v>78</v>
      </c>
      <c r="AN8" s="303" t="str">
        <f>IF(AM8&gt;KKM!$G$10,"A",IF(AM8&gt;KKM!$H$10,"B",IF(AM8&gt;=KKM!$I$10,"C","D")))</f>
        <v>C</v>
      </c>
      <c r="AO8" s="523">
        <f t="shared" si="8"/>
        <v>88</v>
      </c>
      <c r="AP8" s="115" t="str">
        <f>IF(AO8&gt;KKM!$G$10," sangat baik ",IF(AO8&gt;KKM!$H$10," baik ",IF(AO8&gt;=KKM!$I$10," cukup baik "," perlu bimbingan ")))</f>
        <v xml:space="preserve"> baik </v>
      </c>
      <c r="AQ8" s="524">
        <f t="shared" si="9"/>
        <v>68</v>
      </c>
      <c r="AR8" s="115" t="str">
        <f>IF(AQ8&gt;KKM!$G$10," sangat baik ",IF(AQ8&gt;KKM!$H$10," baik ",IF(AQ8&gt;=KKM!$I$10," cukup baik "," perlu bimbingan ")))</f>
        <v xml:space="preserve"> perlu bimbingan </v>
      </c>
      <c r="AS8" s="301" t="str">
        <f t="shared" si="17"/>
        <v>Anak 4 baik  dalam mengidentifikasi berbagai sumber energi, perubahan bentuk energi, dan sumber energi alternatif (angin, air, matahari, panas bumi, bahan bakar organik, dan nuklir) dalam kehidupan sehari-hari., dan  perlu bimbingan  dalam membandingkan siklus hidup beberapa jenis makhluk hidup serta mengaitkan dengan upaya pelestariannya.</v>
      </c>
      <c r="AT8" s="306"/>
      <c r="AU8" s="307" t="str">
        <f t="shared" si="10"/>
        <v xml:space="preserve"> baik  dalam mengidentifikasi berbagai sumber energi, perubahan bentuk energi, dan sumber energi alternatif (angin, air, matahari, panas bumi, bahan bakar organik, dan nuklir) dalam kehidupan sehari-hari.</v>
      </c>
      <c r="AV8" s="307" t="str">
        <f t="shared" si="11"/>
        <v xml:space="preserve"> perlu bimbingan  dalam membandingkan siklus hidup beberapa jenis makhluk hidup serta mengaitkan dengan upaya pelestariannya.</v>
      </c>
      <c r="AW8" s="307" t="str">
        <f t="shared" si="18"/>
        <v xml:space="preserve"> baik  dalam mengidentifikasi berbagai sumber energi, perubahan bentuk energi, dan sumber energi alternatif (angin, air, matahari, panas bumi, bahan bakar organik, dan nuklir) dalam kehidupan sehari-hari., dan  perlu bimbingan  dalam membandingkan siklus hidup beberapa jenis makhluk hidup serta mengaitkan dengan upaya pelestariannya.</v>
      </c>
      <c r="AX8" s="307" t="str">
        <f t="shared" si="19"/>
        <v xml:space="preserve"> </v>
      </c>
      <c r="AY8" s="308" t="str">
        <f t="shared" si="20"/>
        <v xml:space="preserve"> baik  dalam mengidentifikasi berbagai sumber energi, perubahan bentuk energi, dan sumber energi alternatif (angin, air, matahari, panas bumi, bahan bakar organik, dan nuklir) dalam kehidupan sehari-hari., dan  perlu bimbingan  dalam membandingkan siklus hidup beberapa jenis makhluk hidup serta mengaitkan dengan upaya pelestariannya.</v>
      </c>
      <c r="AZ8" s="301" t="str">
        <f t="shared" si="12"/>
        <v>Anak 4 baik  dalam mengidentifikasi berbagai sumber energi, perubahan bentuk energi, dan sumber energi alternatif (angin, air, matahari, panas bumi, bahan bakar organik, dan nuklir) dalam kehidupan sehari-hari., dan  perlu bimbingan  dalam membandingkan siklus hidup beberapa jenis makhluk hidup serta mengaitkan dengan upaya pelestariannya.</v>
      </c>
      <c r="BA8" s="120"/>
      <c r="BJ8" s="408">
        <f t="shared" si="21"/>
        <v>78</v>
      </c>
      <c r="BM8" s="302">
        <f t="shared" si="22"/>
        <v>74</v>
      </c>
      <c r="BN8" s="303" t="str">
        <f>IF(BM8&gt;KKM!$G$10,"A",IF(BM8&gt;KKM!$H$10,"B",IF(BM8&gt;=KKM!$I$10,"C","D")))</f>
        <v>C</v>
      </c>
      <c r="BO8" s="523">
        <f t="shared" si="23"/>
        <v>79</v>
      </c>
      <c r="BP8" s="115" t="str">
        <f>IF(BO8&gt;KKM!$G$10," sangat baik ",IF(BO8&gt;KKM!$H$10," baik ",IF(BO8&gt;=KKM!$I$10," cukup baik "," perlu bimbingan ")))</f>
        <v xml:space="preserve"> cukup baik </v>
      </c>
      <c r="BQ8" s="524">
        <f t="shared" si="24"/>
        <v>68</v>
      </c>
      <c r="BR8" s="115" t="str">
        <f>IF(BQ8&gt;KKM!$G$10," sangat baik ",IF(BQ8&gt;KKM!$H$10," baik ",IF(BQ8&gt;=KKM!$I$10," cukup baik "," perlu bimbingan ")))</f>
        <v xml:space="preserve"> perlu bimbingan </v>
      </c>
      <c r="BS8" s="301" t="str">
        <f t="shared" si="31"/>
        <v>Anak 4 cukup baik  dalam mengidentifikasi macam-macam gaya, antara lain: gaya otot, gaya listrik, gaya magnet, gaya gravitasi, dan gaya gesekan., dan  perlu bimbingan  dalam membandingkan siklus hidup beberapa jenis makhluk hidup serta mengaitkan dengan upaya pelestariannya.</v>
      </c>
      <c r="BT8" s="307" t="str">
        <f t="shared" si="25"/>
        <v xml:space="preserve"> cukup baik  dalam mengidentifikasi macam-macam gaya, antara lain: gaya otot, gaya listrik, gaya magnet, gaya gravitasi, dan gaya gesekan.</v>
      </c>
      <c r="BU8" s="307" t="str">
        <f t="shared" si="26"/>
        <v xml:space="preserve"> perlu bimbingan  dalam membandingkan siklus hidup beberapa jenis makhluk hidup serta mengaitkan dengan upaya pelestariannya.</v>
      </c>
      <c r="BV8" s="307" t="str">
        <f t="shared" si="27"/>
        <v xml:space="preserve"> cukup baik  dalam mengidentifikasi macam-macam gaya, antara lain: gaya otot, gaya listrik, gaya magnet, gaya gravitasi, dan gaya gesekan., dan  perlu bimbingan  dalam membandingkan siklus hidup beberapa jenis makhluk hidup serta mengaitkan dengan upaya pelestariannya.</v>
      </c>
      <c r="BW8" s="307" t="str">
        <f t="shared" si="28"/>
        <v xml:space="preserve"> </v>
      </c>
      <c r="BX8" s="308" t="str">
        <f t="shared" si="29"/>
        <v xml:space="preserve"> cukup baik  dalam mengidentifikasi macam-macam gaya, antara lain: gaya otot, gaya listrik, gaya magnet, gaya gravitasi, dan gaya gesekan., dan  perlu bimbingan  dalam membandingkan siklus hidup beberapa jenis makhluk hidup serta mengaitkan dengan upaya pelestariannya.</v>
      </c>
      <c r="BY8" s="301" t="str">
        <f t="shared" si="30"/>
        <v>Anak 4 cukup baik  dalam mengidentifikasi macam-macam gaya, antara lain: gaya otot, gaya listrik, gaya magnet, gaya gravitasi, dan gaya gesekan., dan  perlu bimbingan  dalam membandingkan siklus hidup beberapa jenis makhluk hidup serta mengaitkan dengan upaya pelestariannya.</v>
      </c>
    </row>
    <row r="9" spans="1:79" ht="41.25" customHeight="1">
      <c r="B9" s="109">
        <v>5</v>
      </c>
      <c r="C9" s="110">
        <f>SISWA!B10</f>
        <v>0</v>
      </c>
      <c r="D9" s="111" t="str">
        <f>SISWA!E10</f>
        <v>Anak 5</v>
      </c>
      <c r="E9" s="631">
        <v>99</v>
      </c>
      <c r="F9" s="631">
        <v>99</v>
      </c>
      <c r="G9" s="631">
        <v>99</v>
      </c>
      <c r="H9" s="631">
        <v>99</v>
      </c>
      <c r="I9" s="730"/>
      <c r="J9" s="730"/>
      <c r="K9" s="731"/>
      <c r="L9" s="731"/>
      <c r="M9" s="731"/>
      <c r="N9" s="731"/>
      <c r="O9" s="730"/>
      <c r="P9" s="730"/>
      <c r="Q9" s="610"/>
      <c r="R9" s="631">
        <v>99</v>
      </c>
      <c r="S9" s="631">
        <v>99</v>
      </c>
      <c r="T9" s="631"/>
      <c r="U9" s="631"/>
      <c r="V9" s="631"/>
      <c r="W9" s="631"/>
      <c r="X9" s="610"/>
      <c r="Y9" s="631">
        <v>99</v>
      </c>
      <c r="Z9" s="631">
        <v>99</v>
      </c>
      <c r="AA9" s="631">
        <v>99</v>
      </c>
      <c r="AB9" s="631">
        <v>99</v>
      </c>
      <c r="AC9" s="609"/>
      <c r="AD9" s="609"/>
      <c r="AE9" s="518"/>
      <c r="AF9" s="607">
        <f t="shared" si="13"/>
        <v>99</v>
      </c>
      <c r="AG9" s="607">
        <f t="shared" si="14"/>
        <v>99</v>
      </c>
      <c r="AH9" s="607">
        <f t="shared" si="15"/>
        <v>99</v>
      </c>
      <c r="AI9" s="607">
        <f t="shared" si="16"/>
        <v>99</v>
      </c>
      <c r="AJ9" s="608" t="str">
        <f>IFERROR(((2*V9)+#REF!)/3,"")</f>
        <v/>
      </c>
      <c r="AK9" s="528"/>
      <c r="AL9" s="528"/>
      <c r="AM9" s="302">
        <f t="shared" si="7"/>
        <v>99</v>
      </c>
      <c r="AN9" s="303" t="str">
        <f>IF(AM9&gt;KKM!$G$10,"A",IF(AM9&gt;KKM!$H$10,"B",IF(AM9&gt;=KKM!$I$10,"C","D")))</f>
        <v>A</v>
      </c>
      <c r="AO9" s="523">
        <f t="shared" si="8"/>
        <v>99</v>
      </c>
      <c r="AP9" s="115" t="str">
        <f>IF(AO9&gt;KKM!$G$10," sangat baik ",IF(AO9&gt;KKM!$H$10," baik ",IF(AO9&gt;=KKM!$I$10," cukup baik "," perlu bimbingan ")))</f>
        <v xml:space="preserve"> sangat baik </v>
      </c>
      <c r="AQ9" s="524">
        <f t="shared" si="9"/>
        <v>99</v>
      </c>
      <c r="AR9" s="115" t="str">
        <f>IF(AQ9&gt;KKM!$G$10," sangat baik ",IF(AQ9&gt;KKM!$H$10," baik ",IF(AQ9&gt;=KKM!$I$10," cukup baik "," perlu bimbingan ")))</f>
        <v xml:space="preserve"> sangat baik </v>
      </c>
      <c r="AS9" s="301" t="str">
        <f t="shared" si="17"/>
        <v>Anak 5 sangat baik  dalam membandingkan siklus hidup beberapa jenis makhluk hidup serta mengaitkan dengan upaya pelestariannya.</v>
      </c>
      <c r="AT9" s="306"/>
      <c r="AU9" s="307" t="str">
        <f t="shared" si="10"/>
        <v xml:space="preserve"> sangat baik  dalam membandingkan siklus hidup beberapa jenis makhluk hidup serta mengaitkan dengan upaya pelestariannya.</v>
      </c>
      <c r="AV9" s="307" t="str">
        <f t="shared" si="11"/>
        <v xml:space="preserve"> sangat baik  dalam membandingkan siklus hidup beberapa jenis makhluk hidup serta mengaitkan dengan upaya pelestariannya.</v>
      </c>
      <c r="AW9"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9" s="307" t="str">
        <f t="shared" si="19"/>
        <v xml:space="preserve"> sangat baik  dalam membandingkan siklus hidup beberapa jenis makhluk hidup serta mengaitkan dengan upaya pelestariannya.</v>
      </c>
      <c r="AY9" s="308" t="str">
        <f t="shared" si="20"/>
        <v xml:space="preserve"> sangat baik  dalam membandingkan siklus hidup beberapa jenis makhluk hidup serta mengaitkan dengan upaya pelestariannya.</v>
      </c>
      <c r="AZ9" s="301" t="str">
        <f t="shared" si="12"/>
        <v>Anak 5 sangat baik  dalam membandingkan siklus hidup beberapa jenis makhluk hidup serta mengaitkan dengan upaya pelestariannya.</v>
      </c>
      <c r="BA9" s="120"/>
      <c r="BJ9" s="408">
        <f t="shared" si="21"/>
        <v>99</v>
      </c>
      <c r="BM9" s="302">
        <f t="shared" si="22"/>
        <v>99</v>
      </c>
      <c r="BN9" s="303" t="str">
        <f>IF(BM9&gt;KKM!$G$10,"A",IF(BM9&gt;KKM!$H$10,"B",IF(BM9&gt;=KKM!$I$10,"C","D")))</f>
        <v>A</v>
      </c>
      <c r="BO9" s="523">
        <f t="shared" si="23"/>
        <v>99</v>
      </c>
      <c r="BP9" s="115" t="str">
        <f>IF(BO9&gt;KKM!$G$10," sangat baik ",IF(BO9&gt;KKM!$H$10," baik ",IF(BO9&gt;=KKM!$I$10," cukup baik "," perlu bimbingan ")))</f>
        <v xml:space="preserve"> sangat baik </v>
      </c>
      <c r="BQ9" s="524">
        <f t="shared" si="24"/>
        <v>99</v>
      </c>
      <c r="BR9" s="115" t="str">
        <f>IF(BQ9&gt;KKM!$G$10," sangat baik ",IF(BQ9&gt;KKM!$H$10," baik ",IF(BQ9&gt;=KKM!$I$10," cukup baik "," perlu bimbingan ")))</f>
        <v xml:space="preserve"> sangat baik </v>
      </c>
      <c r="BS9" s="301" t="str">
        <f t="shared" si="31"/>
        <v>Anak 5 sangat baik  dalam membandingkan siklus hidup beberapa jenis makhluk hidup serta mengaitkan dengan upaya pelestariannya.</v>
      </c>
      <c r="BT9" s="307" t="str">
        <f t="shared" si="25"/>
        <v xml:space="preserve"> sangat baik  dalam membandingkan siklus hidup beberapa jenis makhluk hidup serta mengaitkan dengan upaya pelestariannya.</v>
      </c>
      <c r="BU9" s="307" t="str">
        <f t="shared" si="26"/>
        <v xml:space="preserve"> sangat baik  dalam membandingkan siklus hidup beberapa jenis makhluk hidup serta mengaitkan dengan upaya pelestariannya.</v>
      </c>
      <c r="BV9"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9" s="307" t="str">
        <f t="shared" si="28"/>
        <v xml:space="preserve"> sangat baik  dalam membandingkan siklus hidup beberapa jenis makhluk hidup serta mengaitkan dengan upaya pelestariannya.</v>
      </c>
      <c r="BX9" s="308" t="str">
        <f t="shared" si="29"/>
        <v xml:space="preserve"> sangat baik  dalam membandingkan siklus hidup beberapa jenis makhluk hidup serta mengaitkan dengan upaya pelestariannya.</v>
      </c>
      <c r="BY9" s="301" t="str">
        <f t="shared" si="30"/>
        <v>Anak 5 sangat baik  dalam membandingkan siklus hidup beberapa jenis makhluk hidup serta mengaitkan dengan upaya pelestariannya.</v>
      </c>
    </row>
    <row r="10" spans="1:79" ht="41.25" customHeight="1">
      <c r="B10" s="109">
        <v>6</v>
      </c>
      <c r="C10" s="110">
        <f>SISWA!B11</f>
        <v>0</v>
      </c>
      <c r="D10" s="111" t="str">
        <f>SISWA!E11</f>
        <v>Anak 6</v>
      </c>
      <c r="E10" s="631">
        <v>99</v>
      </c>
      <c r="F10" s="631">
        <v>99</v>
      </c>
      <c r="G10" s="631">
        <v>99</v>
      </c>
      <c r="H10" s="631">
        <v>99</v>
      </c>
      <c r="I10" s="730"/>
      <c r="J10" s="730"/>
      <c r="K10" s="731"/>
      <c r="L10" s="731"/>
      <c r="M10" s="731"/>
      <c r="N10" s="731"/>
      <c r="O10" s="730"/>
      <c r="P10" s="730"/>
      <c r="Q10" s="610"/>
      <c r="R10" s="631">
        <v>99</v>
      </c>
      <c r="S10" s="631">
        <v>99</v>
      </c>
      <c r="T10" s="631"/>
      <c r="U10" s="631"/>
      <c r="V10" s="631"/>
      <c r="W10" s="631"/>
      <c r="X10" s="610"/>
      <c r="Y10" s="631">
        <v>99</v>
      </c>
      <c r="Z10" s="631">
        <v>99</v>
      </c>
      <c r="AA10" s="631">
        <v>99</v>
      </c>
      <c r="AB10" s="631">
        <v>99</v>
      </c>
      <c r="AC10" s="609"/>
      <c r="AD10" s="609"/>
      <c r="AE10" s="518"/>
      <c r="AF10" s="607">
        <f t="shared" si="13"/>
        <v>99</v>
      </c>
      <c r="AG10" s="607">
        <f t="shared" si="14"/>
        <v>99</v>
      </c>
      <c r="AH10" s="607">
        <f t="shared" si="15"/>
        <v>99</v>
      </c>
      <c r="AI10" s="607">
        <f t="shared" si="16"/>
        <v>99</v>
      </c>
      <c r="AJ10" s="608" t="str">
        <f>IFERROR(((2*V10)+#REF!)/3,"")</f>
        <v/>
      </c>
      <c r="AK10" s="528"/>
      <c r="AL10" s="528"/>
      <c r="AM10" s="302">
        <f t="shared" si="7"/>
        <v>99</v>
      </c>
      <c r="AN10" s="303" t="str">
        <f>IF(AM10&gt;KKM!$G$10,"A",IF(AM10&gt;KKM!$H$10,"B",IF(AM10&gt;=KKM!$I$10,"C","D")))</f>
        <v>A</v>
      </c>
      <c r="AO10" s="523">
        <f t="shared" si="8"/>
        <v>99</v>
      </c>
      <c r="AP10" s="115" t="str">
        <f>IF(AO10&gt;KKM!$G$10," sangat baik ",IF(AO10&gt;KKM!$H$10," baik ",IF(AO10&gt;=KKM!$I$10," cukup baik "," perlu bimbingan ")))</f>
        <v xml:space="preserve"> sangat baik </v>
      </c>
      <c r="AQ10" s="524">
        <f t="shared" si="9"/>
        <v>99</v>
      </c>
      <c r="AR10" s="115" t="str">
        <f>IF(AQ10&gt;KKM!$G$10," sangat baik ",IF(AQ10&gt;KKM!$H$10," baik ",IF(AQ10&gt;=KKM!$I$10," cukup baik "," perlu bimbingan ")))</f>
        <v xml:space="preserve"> sangat baik </v>
      </c>
      <c r="AS10" s="301" t="str">
        <f t="shared" si="17"/>
        <v>Anak 6 sangat baik  dalam membandingkan siklus hidup beberapa jenis makhluk hidup serta mengaitkan dengan upaya pelestariannya.</v>
      </c>
      <c r="AT10" s="306"/>
      <c r="AU10" s="307" t="str">
        <f t="shared" si="10"/>
        <v xml:space="preserve"> sangat baik  dalam membandingkan siklus hidup beberapa jenis makhluk hidup serta mengaitkan dengan upaya pelestariannya.</v>
      </c>
      <c r="AV10" s="307" t="str">
        <f t="shared" si="11"/>
        <v xml:space="preserve"> sangat baik  dalam membandingkan siklus hidup beberapa jenis makhluk hidup serta mengaitkan dengan upaya pelestariannya.</v>
      </c>
      <c r="AW10"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0" s="307" t="str">
        <f t="shared" si="19"/>
        <v xml:space="preserve"> sangat baik  dalam membandingkan siklus hidup beberapa jenis makhluk hidup serta mengaitkan dengan upaya pelestariannya.</v>
      </c>
      <c r="AY10" s="308" t="str">
        <f t="shared" si="20"/>
        <v xml:space="preserve"> sangat baik  dalam membandingkan siklus hidup beberapa jenis makhluk hidup serta mengaitkan dengan upaya pelestariannya.</v>
      </c>
      <c r="AZ10" s="301" t="str">
        <f t="shared" si="12"/>
        <v>Anak 6 sangat baik  dalam membandingkan siklus hidup beberapa jenis makhluk hidup serta mengaitkan dengan upaya pelestariannya.</v>
      </c>
      <c r="BA10" s="120"/>
      <c r="BJ10" s="408">
        <f t="shared" si="21"/>
        <v>99</v>
      </c>
      <c r="BM10" s="302">
        <f t="shared" si="22"/>
        <v>99</v>
      </c>
      <c r="BN10" s="303" t="str">
        <f>IF(BM10&gt;KKM!$G$10,"A",IF(BM10&gt;KKM!$H$10,"B",IF(BM10&gt;=KKM!$I$10,"C","D")))</f>
        <v>A</v>
      </c>
      <c r="BO10" s="523">
        <f t="shared" si="23"/>
        <v>99</v>
      </c>
      <c r="BP10" s="115" t="str">
        <f>IF(BO10&gt;KKM!$G$10," sangat baik ",IF(BO10&gt;KKM!$H$10," baik ",IF(BO10&gt;=KKM!$I$10," cukup baik "," perlu bimbingan ")))</f>
        <v xml:space="preserve"> sangat baik </v>
      </c>
      <c r="BQ10" s="524">
        <f t="shared" si="24"/>
        <v>99</v>
      </c>
      <c r="BR10" s="115" t="str">
        <f>IF(BQ10&gt;KKM!$G$10," sangat baik ",IF(BQ10&gt;KKM!$H$10," baik ",IF(BQ10&gt;=KKM!$I$10," cukup baik "," perlu bimbingan ")))</f>
        <v xml:space="preserve"> sangat baik </v>
      </c>
      <c r="BS10" s="301" t="str">
        <f t="shared" si="31"/>
        <v>Anak 6 sangat baik  dalam membandingkan siklus hidup beberapa jenis makhluk hidup serta mengaitkan dengan upaya pelestariannya.</v>
      </c>
      <c r="BT10" s="307" t="str">
        <f t="shared" si="25"/>
        <v xml:space="preserve"> sangat baik  dalam membandingkan siklus hidup beberapa jenis makhluk hidup serta mengaitkan dengan upaya pelestariannya.</v>
      </c>
      <c r="BU10" s="307" t="str">
        <f t="shared" si="26"/>
        <v xml:space="preserve"> sangat baik  dalam membandingkan siklus hidup beberapa jenis makhluk hidup serta mengaitkan dengan upaya pelestariannya.</v>
      </c>
      <c r="BV10"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0" s="307" t="str">
        <f t="shared" si="28"/>
        <v xml:space="preserve"> sangat baik  dalam membandingkan siklus hidup beberapa jenis makhluk hidup serta mengaitkan dengan upaya pelestariannya.</v>
      </c>
      <c r="BX10" s="308" t="str">
        <f t="shared" si="29"/>
        <v xml:space="preserve"> sangat baik  dalam membandingkan siklus hidup beberapa jenis makhluk hidup serta mengaitkan dengan upaya pelestariannya.</v>
      </c>
      <c r="BY10" s="301" t="str">
        <f t="shared" si="30"/>
        <v>Anak 6 sangat baik  dalam membandingkan siklus hidup beberapa jenis makhluk hidup serta mengaitkan dengan upaya pelestariannya.</v>
      </c>
    </row>
    <row r="11" spans="1:79" ht="41.25" customHeight="1">
      <c r="B11" s="109">
        <v>7</v>
      </c>
      <c r="C11" s="110">
        <f>SISWA!B12</f>
        <v>0</v>
      </c>
      <c r="D11" s="111" t="str">
        <f>SISWA!E12</f>
        <v>Anak 7</v>
      </c>
      <c r="E11" s="631">
        <v>99</v>
      </c>
      <c r="F11" s="631">
        <v>99</v>
      </c>
      <c r="G11" s="631">
        <v>99</v>
      </c>
      <c r="H11" s="631">
        <v>99</v>
      </c>
      <c r="I11" s="730"/>
      <c r="J11" s="730"/>
      <c r="K11" s="731"/>
      <c r="L11" s="731"/>
      <c r="M11" s="731"/>
      <c r="N11" s="731"/>
      <c r="O11" s="730"/>
      <c r="P11" s="730"/>
      <c r="Q11" s="610"/>
      <c r="R11" s="631">
        <v>99</v>
      </c>
      <c r="S11" s="631">
        <v>99</v>
      </c>
      <c r="T11" s="631"/>
      <c r="U11" s="631"/>
      <c r="V11" s="631"/>
      <c r="W11" s="631"/>
      <c r="X11" s="610"/>
      <c r="Y11" s="631">
        <v>99</v>
      </c>
      <c r="Z11" s="631">
        <v>99</v>
      </c>
      <c r="AA11" s="631">
        <v>99</v>
      </c>
      <c r="AB11" s="631">
        <v>99</v>
      </c>
      <c r="AC11" s="609"/>
      <c r="AD11" s="609"/>
      <c r="AE11" s="518"/>
      <c r="AF11" s="607">
        <f t="shared" si="13"/>
        <v>99</v>
      </c>
      <c r="AG11" s="607">
        <f t="shared" si="14"/>
        <v>99</v>
      </c>
      <c r="AH11" s="607">
        <f t="shared" si="15"/>
        <v>99</v>
      </c>
      <c r="AI11" s="607">
        <f t="shared" si="16"/>
        <v>99</v>
      </c>
      <c r="AJ11" s="608" t="str">
        <f>IFERROR(((2*V11)+#REF!)/3,"")</f>
        <v/>
      </c>
      <c r="AK11" s="528"/>
      <c r="AL11" s="528"/>
      <c r="AM11" s="302">
        <f t="shared" si="7"/>
        <v>99</v>
      </c>
      <c r="AN11" s="303" t="str">
        <f>IF(AM11&gt;KKM!$G$10,"A",IF(AM11&gt;KKM!$H$10,"B",IF(AM11&gt;=KKM!$I$10,"C","D")))</f>
        <v>A</v>
      </c>
      <c r="AO11" s="523">
        <f t="shared" si="8"/>
        <v>99</v>
      </c>
      <c r="AP11" s="115" t="str">
        <f>IF(AO11&gt;KKM!$G$10," sangat baik ",IF(AO11&gt;KKM!$H$10," baik ",IF(AO11&gt;=KKM!$I$10," cukup baik "," perlu bimbingan ")))</f>
        <v xml:space="preserve"> sangat baik </v>
      </c>
      <c r="AQ11" s="524">
        <f t="shared" si="9"/>
        <v>99</v>
      </c>
      <c r="AR11" s="115" t="str">
        <f>IF(AQ11&gt;KKM!$G$10," sangat baik ",IF(AQ11&gt;KKM!$H$10," baik ",IF(AQ11&gt;=KKM!$I$10," cukup baik "," perlu bimbingan ")))</f>
        <v xml:space="preserve"> sangat baik </v>
      </c>
      <c r="AS11" s="301" t="str">
        <f t="shared" si="17"/>
        <v>Anak 7 sangat baik  dalam membandingkan siklus hidup beberapa jenis makhluk hidup serta mengaitkan dengan upaya pelestariannya.</v>
      </c>
      <c r="AT11" s="306"/>
      <c r="AU11" s="307" t="str">
        <f t="shared" si="10"/>
        <v xml:space="preserve"> sangat baik  dalam membandingkan siklus hidup beberapa jenis makhluk hidup serta mengaitkan dengan upaya pelestariannya.</v>
      </c>
      <c r="AV11" s="307" t="str">
        <f t="shared" si="11"/>
        <v xml:space="preserve"> sangat baik  dalam membandingkan siklus hidup beberapa jenis makhluk hidup serta mengaitkan dengan upaya pelestariannya.</v>
      </c>
      <c r="AW11"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1" s="307" t="str">
        <f t="shared" si="19"/>
        <v xml:space="preserve"> sangat baik  dalam membandingkan siklus hidup beberapa jenis makhluk hidup serta mengaitkan dengan upaya pelestariannya.</v>
      </c>
      <c r="AY11" s="308" t="str">
        <f t="shared" si="20"/>
        <v xml:space="preserve"> sangat baik  dalam membandingkan siklus hidup beberapa jenis makhluk hidup serta mengaitkan dengan upaya pelestariannya.</v>
      </c>
      <c r="AZ11" s="301" t="str">
        <f t="shared" si="12"/>
        <v>Anak 7 sangat baik  dalam membandingkan siklus hidup beberapa jenis makhluk hidup serta mengaitkan dengan upaya pelestariannya.</v>
      </c>
      <c r="BA11" s="120"/>
      <c r="BJ11" s="408">
        <f t="shared" si="21"/>
        <v>99</v>
      </c>
      <c r="BM11" s="302">
        <f t="shared" si="22"/>
        <v>99</v>
      </c>
      <c r="BN11" s="303" t="str">
        <f>IF(BM11&gt;KKM!$G$10,"A",IF(BM11&gt;KKM!$H$10,"B",IF(BM11&gt;=KKM!$I$10,"C","D")))</f>
        <v>A</v>
      </c>
      <c r="BO11" s="523">
        <f t="shared" si="23"/>
        <v>99</v>
      </c>
      <c r="BP11" s="115" t="str">
        <f>IF(BO11&gt;KKM!$G$10," sangat baik ",IF(BO11&gt;KKM!$H$10," baik ",IF(BO11&gt;=KKM!$I$10," cukup baik "," perlu bimbingan ")))</f>
        <v xml:space="preserve"> sangat baik </v>
      </c>
      <c r="BQ11" s="524">
        <f t="shared" si="24"/>
        <v>99</v>
      </c>
      <c r="BR11" s="115" t="str">
        <f>IF(BQ11&gt;KKM!$G$10," sangat baik ",IF(BQ11&gt;KKM!$H$10," baik ",IF(BQ11&gt;=KKM!$I$10," cukup baik "," perlu bimbingan ")))</f>
        <v xml:space="preserve"> sangat baik </v>
      </c>
      <c r="BS11" s="301" t="str">
        <f t="shared" si="31"/>
        <v>Anak 7 sangat baik  dalam membandingkan siklus hidup beberapa jenis makhluk hidup serta mengaitkan dengan upaya pelestariannya.</v>
      </c>
      <c r="BT11" s="307" t="str">
        <f t="shared" si="25"/>
        <v xml:space="preserve"> sangat baik  dalam membandingkan siklus hidup beberapa jenis makhluk hidup serta mengaitkan dengan upaya pelestariannya.</v>
      </c>
      <c r="BU11" s="307" t="str">
        <f t="shared" si="26"/>
        <v xml:space="preserve"> sangat baik  dalam membandingkan siklus hidup beberapa jenis makhluk hidup serta mengaitkan dengan upaya pelestariannya.</v>
      </c>
      <c r="BV11"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1" s="307" t="str">
        <f t="shared" si="28"/>
        <v xml:space="preserve"> sangat baik  dalam membandingkan siklus hidup beberapa jenis makhluk hidup serta mengaitkan dengan upaya pelestariannya.</v>
      </c>
      <c r="BX11" s="308" t="str">
        <f t="shared" si="29"/>
        <v xml:space="preserve"> sangat baik  dalam membandingkan siklus hidup beberapa jenis makhluk hidup serta mengaitkan dengan upaya pelestariannya.</v>
      </c>
      <c r="BY11" s="301" t="str">
        <f t="shared" si="30"/>
        <v>Anak 7 sangat baik  dalam membandingkan siklus hidup beberapa jenis makhluk hidup serta mengaitkan dengan upaya pelestariannya.</v>
      </c>
    </row>
    <row r="12" spans="1:79" ht="41.25" customHeight="1">
      <c r="B12" s="109">
        <v>8</v>
      </c>
      <c r="C12" s="110">
        <f>SISWA!B13</f>
        <v>0</v>
      </c>
      <c r="D12" s="111" t="str">
        <f>SISWA!E13</f>
        <v>Anak 8</v>
      </c>
      <c r="E12" s="631">
        <v>99</v>
      </c>
      <c r="F12" s="631">
        <v>99</v>
      </c>
      <c r="G12" s="631">
        <v>99</v>
      </c>
      <c r="H12" s="631">
        <v>99</v>
      </c>
      <c r="I12" s="730"/>
      <c r="J12" s="730"/>
      <c r="K12" s="731"/>
      <c r="L12" s="731"/>
      <c r="M12" s="731"/>
      <c r="N12" s="731"/>
      <c r="O12" s="730"/>
      <c r="P12" s="730"/>
      <c r="Q12" s="610"/>
      <c r="R12" s="631">
        <v>99</v>
      </c>
      <c r="S12" s="631">
        <v>99</v>
      </c>
      <c r="T12" s="631"/>
      <c r="U12" s="631"/>
      <c r="V12" s="631"/>
      <c r="W12" s="631"/>
      <c r="X12" s="610"/>
      <c r="Y12" s="631">
        <v>99</v>
      </c>
      <c r="Z12" s="631">
        <v>99</v>
      </c>
      <c r="AA12" s="631">
        <v>99</v>
      </c>
      <c r="AB12" s="631">
        <v>99</v>
      </c>
      <c r="AC12" s="609"/>
      <c r="AD12" s="609"/>
      <c r="AE12" s="518"/>
      <c r="AF12" s="607">
        <f t="shared" si="13"/>
        <v>99</v>
      </c>
      <c r="AG12" s="607">
        <f t="shared" si="14"/>
        <v>99</v>
      </c>
      <c r="AH12" s="607">
        <f t="shared" si="15"/>
        <v>99</v>
      </c>
      <c r="AI12" s="607">
        <f t="shared" si="16"/>
        <v>99</v>
      </c>
      <c r="AJ12" s="608" t="str">
        <f>IFERROR(((2*V12)+#REF!)/3,"")</f>
        <v/>
      </c>
      <c r="AK12" s="528"/>
      <c r="AL12" s="528"/>
      <c r="AM12" s="302">
        <f t="shared" si="7"/>
        <v>99</v>
      </c>
      <c r="AN12" s="303" t="str">
        <f>IF(AM12&gt;KKM!$G$10,"A",IF(AM12&gt;KKM!$H$10,"B",IF(AM12&gt;=KKM!$I$10,"C","D")))</f>
        <v>A</v>
      </c>
      <c r="AO12" s="523">
        <f t="shared" si="8"/>
        <v>99</v>
      </c>
      <c r="AP12" s="115" t="str">
        <f>IF(AO12&gt;KKM!$G$10," sangat baik ",IF(AO12&gt;KKM!$H$10," baik ",IF(AO12&gt;=KKM!$I$10," cukup baik "," perlu bimbingan ")))</f>
        <v xml:space="preserve"> sangat baik </v>
      </c>
      <c r="AQ12" s="524">
        <f t="shared" si="9"/>
        <v>99</v>
      </c>
      <c r="AR12" s="115" t="str">
        <f>IF(AQ12&gt;KKM!$G$10," sangat baik ",IF(AQ12&gt;KKM!$H$10," baik ",IF(AQ12&gt;=KKM!$I$10," cukup baik "," perlu bimbingan ")))</f>
        <v xml:space="preserve"> sangat baik </v>
      </c>
      <c r="AS12" s="301" t="str">
        <f t="shared" si="17"/>
        <v>Anak 8 sangat baik  dalam membandingkan siklus hidup beberapa jenis makhluk hidup serta mengaitkan dengan upaya pelestariannya.</v>
      </c>
      <c r="AT12" s="306"/>
      <c r="AU12" s="307" t="str">
        <f t="shared" si="10"/>
        <v xml:space="preserve"> sangat baik  dalam membandingkan siklus hidup beberapa jenis makhluk hidup serta mengaitkan dengan upaya pelestariannya.</v>
      </c>
      <c r="AV12" s="307" t="str">
        <f t="shared" si="11"/>
        <v xml:space="preserve"> sangat baik  dalam membandingkan siklus hidup beberapa jenis makhluk hidup serta mengaitkan dengan upaya pelestariannya.</v>
      </c>
      <c r="AW12"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2" s="307" t="str">
        <f t="shared" si="19"/>
        <v xml:space="preserve"> sangat baik  dalam membandingkan siklus hidup beberapa jenis makhluk hidup serta mengaitkan dengan upaya pelestariannya.</v>
      </c>
      <c r="AY12" s="308" t="str">
        <f t="shared" si="20"/>
        <v xml:space="preserve"> sangat baik  dalam membandingkan siklus hidup beberapa jenis makhluk hidup serta mengaitkan dengan upaya pelestariannya.</v>
      </c>
      <c r="AZ12" s="301" t="str">
        <f t="shared" si="12"/>
        <v>Anak 8 sangat baik  dalam membandingkan siklus hidup beberapa jenis makhluk hidup serta mengaitkan dengan upaya pelestariannya.</v>
      </c>
      <c r="BA12" s="120"/>
      <c r="BJ12" s="408">
        <f t="shared" si="21"/>
        <v>99</v>
      </c>
      <c r="BM12" s="302">
        <f t="shared" si="22"/>
        <v>99</v>
      </c>
      <c r="BN12" s="303" t="str">
        <f>IF(BM12&gt;KKM!$G$10,"A",IF(BM12&gt;KKM!$H$10,"B",IF(BM12&gt;=KKM!$I$10,"C","D")))</f>
        <v>A</v>
      </c>
      <c r="BO12" s="523">
        <f t="shared" si="23"/>
        <v>99</v>
      </c>
      <c r="BP12" s="115" t="str">
        <f>IF(BO12&gt;KKM!$G$10," sangat baik ",IF(BO12&gt;KKM!$H$10," baik ",IF(BO12&gt;=KKM!$I$10," cukup baik "," perlu bimbingan ")))</f>
        <v xml:space="preserve"> sangat baik </v>
      </c>
      <c r="BQ12" s="524">
        <f t="shared" si="24"/>
        <v>99</v>
      </c>
      <c r="BR12" s="115" t="str">
        <f>IF(BQ12&gt;KKM!$G$10," sangat baik ",IF(BQ12&gt;KKM!$H$10," baik ",IF(BQ12&gt;=KKM!$I$10," cukup baik "," perlu bimbingan ")))</f>
        <v xml:space="preserve"> sangat baik </v>
      </c>
      <c r="BS12" s="301" t="str">
        <f t="shared" si="31"/>
        <v>Anak 8 sangat baik  dalam membandingkan siklus hidup beberapa jenis makhluk hidup serta mengaitkan dengan upaya pelestariannya.</v>
      </c>
      <c r="BT12" s="307" t="str">
        <f t="shared" si="25"/>
        <v xml:space="preserve"> sangat baik  dalam membandingkan siklus hidup beberapa jenis makhluk hidup serta mengaitkan dengan upaya pelestariannya.</v>
      </c>
      <c r="BU12" s="307" t="str">
        <f t="shared" si="26"/>
        <v xml:space="preserve"> sangat baik  dalam membandingkan siklus hidup beberapa jenis makhluk hidup serta mengaitkan dengan upaya pelestariannya.</v>
      </c>
      <c r="BV12"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2" s="307" t="str">
        <f t="shared" si="28"/>
        <v xml:space="preserve"> sangat baik  dalam membandingkan siklus hidup beberapa jenis makhluk hidup serta mengaitkan dengan upaya pelestariannya.</v>
      </c>
      <c r="BX12" s="308" t="str">
        <f t="shared" si="29"/>
        <v xml:space="preserve"> sangat baik  dalam membandingkan siklus hidup beberapa jenis makhluk hidup serta mengaitkan dengan upaya pelestariannya.</v>
      </c>
      <c r="BY12" s="301" t="str">
        <f t="shared" si="30"/>
        <v>Anak 8 sangat baik  dalam membandingkan siklus hidup beberapa jenis makhluk hidup serta mengaitkan dengan upaya pelestariannya.</v>
      </c>
    </row>
    <row r="13" spans="1:79" ht="41.25" customHeight="1">
      <c r="B13" s="109">
        <v>9</v>
      </c>
      <c r="C13" s="110">
        <f>SISWA!B14</f>
        <v>0</v>
      </c>
      <c r="D13" s="111" t="str">
        <f>SISWA!E14</f>
        <v>Anak 9</v>
      </c>
      <c r="E13" s="631">
        <v>99</v>
      </c>
      <c r="F13" s="631">
        <v>99</v>
      </c>
      <c r="G13" s="631">
        <v>99</v>
      </c>
      <c r="H13" s="631">
        <v>99</v>
      </c>
      <c r="I13" s="730"/>
      <c r="J13" s="730"/>
      <c r="K13" s="731"/>
      <c r="L13" s="731"/>
      <c r="M13" s="731"/>
      <c r="N13" s="731"/>
      <c r="O13" s="730"/>
      <c r="P13" s="730"/>
      <c r="Q13" s="610"/>
      <c r="R13" s="631">
        <v>99</v>
      </c>
      <c r="S13" s="631">
        <v>99</v>
      </c>
      <c r="T13" s="631"/>
      <c r="U13" s="631"/>
      <c r="V13" s="631"/>
      <c r="W13" s="631"/>
      <c r="X13" s="610"/>
      <c r="Y13" s="631">
        <v>99</v>
      </c>
      <c r="Z13" s="631">
        <v>99</v>
      </c>
      <c r="AA13" s="631">
        <v>99</v>
      </c>
      <c r="AB13" s="631">
        <v>99</v>
      </c>
      <c r="AC13" s="609"/>
      <c r="AD13" s="609"/>
      <c r="AE13" s="518"/>
      <c r="AF13" s="607">
        <f t="shared" si="13"/>
        <v>99</v>
      </c>
      <c r="AG13" s="607">
        <f t="shared" si="14"/>
        <v>99</v>
      </c>
      <c r="AH13" s="607">
        <f t="shared" si="15"/>
        <v>99</v>
      </c>
      <c r="AI13" s="607">
        <f t="shared" si="16"/>
        <v>99</v>
      </c>
      <c r="AJ13" s="608" t="str">
        <f>IFERROR(((2*V13)+#REF!)/3,"")</f>
        <v/>
      </c>
      <c r="AK13" s="528"/>
      <c r="AL13" s="528"/>
      <c r="AM13" s="302">
        <f t="shared" si="7"/>
        <v>99</v>
      </c>
      <c r="AN13" s="303" t="str">
        <f>IF(AM13&gt;KKM!$G$10,"A",IF(AM13&gt;KKM!$H$10,"B",IF(AM13&gt;=KKM!$I$10,"C","D")))</f>
        <v>A</v>
      </c>
      <c r="AO13" s="523">
        <f t="shared" si="8"/>
        <v>99</v>
      </c>
      <c r="AP13" s="115" t="str">
        <f>IF(AO13&gt;KKM!$G$10," sangat baik ",IF(AO13&gt;KKM!$H$10," baik ",IF(AO13&gt;=KKM!$I$10," cukup baik "," perlu bimbingan ")))</f>
        <v xml:space="preserve"> sangat baik </v>
      </c>
      <c r="AQ13" s="524">
        <f t="shared" si="9"/>
        <v>99</v>
      </c>
      <c r="AR13" s="115" t="str">
        <f>IF(AQ13&gt;KKM!$G$10," sangat baik ",IF(AQ13&gt;KKM!$H$10," baik ",IF(AQ13&gt;=KKM!$I$10," cukup baik "," perlu bimbingan ")))</f>
        <v xml:space="preserve"> sangat baik </v>
      </c>
      <c r="AS13" s="301" t="str">
        <f t="shared" si="17"/>
        <v>Anak 9 sangat baik  dalam membandingkan siklus hidup beberapa jenis makhluk hidup serta mengaitkan dengan upaya pelestariannya.</v>
      </c>
      <c r="AT13" s="306"/>
      <c r="AU13" s="307" t="str">
        <f t="shared" si="10"/>
        <v xml:space="preserve"> sangat baik  dalam membandingkan siklus hidup beberapa jenis makhluk hidup serta mengaitkan dengan upaya pelestariannya.</v>
      </c>
      <c r="AV13" s="307" t="str">
        <f t="shared" si="11"/>
        <v xml:space="preserve"> sangat baik  dalam membandingkan siklus hidup beberapa jenis makhluk hidup serta mengaitkan dengan upaya pelestariannya.</v>
      </c>
      <c r="AW13"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3" s="307" t="str">
        <f t="shared" si="19"/>
        <v xml:space="preserve"> sangat baik  dalam membandingkan siklus hidup beberapa jenis makhluk hidup serta mengaitkan dengan upaya pelestariannya.</v>
      </c>
      <c r="AY13" s="308" t="str">
        <f t="shared" si="20"/>
        <v xml:space="preserve"> sangat baik  dalam membandingkan siklus hidup beberapa jenis makhluk hidup serta mengaitkan dengan upaya pelestariannya.</v>
      </c>
      <c r="AZ13" s="301" t="str">
        <f t="shared" si="12"/>
        <v>Anak 9 sangat baik  dalam membandingkan siklus hidup beberapa jenis makhluk hidup serta mengaitkan dengan upaya pelestariannya.</v>
      </c>
      <c r="BA13" s="120"/>
      <c r="BJ13" s="408">
        <f t="shared" si="21"/>
        <v>99</v>
      </c>
      <c r="BM13" s="302">
        <f t="shared" si="22"/>
        <v>99</v>
      </c>
      <c r="BN13" s="303" t="str">
        <f>IF(BM13&gt;KKM!$G$10,"A",IF(BM13&gt;KKM!$H$10,"B",IF(BM13&gt;=KKM!$I$10,"C","D")))</f>
        <v>A</v>
      </c>
      <c r="BO13" s="523">
        <f t="shared" si="23"/>
        <v>99</v>
      </c>
      <c r="BP13" s="115" t="str">
        <f>IF(BO13&gt;KKM!$G$10," sangat baik ",IF(BO13&gt;KKM!$H$10," baik ",IF(BO13&gt;=KKM!$I$10," cukup baik "," perlu bimbingan ")))</f>
        <v xml:space="preserve"> sangat baik </v>
      </c>
      <c r="BQ13" s="524">
        <f t="shared" si="24"/>
        <v>99</v>
      </c>
      <c r="BR13" s="115" t="str">
        <f>IF(BQ13&gt;KKM!$G$10," sangat baik ",IF(BQ13&gt;KKM!$H$10," baik ",IF(BQ13&gt;=KKM!$I$10," cukup baik "," perlu bimbingan ")))</f>
        <v xml:space="preserve"> sangat baik </v>
      </c>
      <c r="BS13" s="301" t="str">
        <f t="shared" si="31"/>
        <v>Anak 9 sangat baik  dalam membandingkan siklus hidup beberapa jenis makhluk hidup serta mengaitkan dengan upaya pelestariannya.</v>
      </c>
      <c r="BT13" s="307" t="str">
        <f t="shared" si="25"/>
        <v xml:space="preserve"> sangat baik  dalam membandingkan siklus hidup beberapa jenis makhluk hidup serta mengaitkan dengan upaya pelestariannya.</v>
      </c>
      <c r="BU13" s="307" t="str">
        <f t="shared" si="26"/>
        <v xml:space="preserve"> sangat baik  dalam membandingkan siklus hidup beberapa jenis makhluk hidup serta mengaitkan dengan upaya pelestariannya.</v>
      </c>
      <c r="BV13"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3" s="307" t="str">
        <f t="shared" si="28"/>
        <v xml:space="preserve"> sangat baik  dalam membandingkan siklus hidup beberapa jenis makhluk hidup serta mengaitkan dengan upaya pelestariannya.</v>
      </c>
      <c r="BX13" s="308" t="str">
        <f t="shared" si="29"/>
        <v xml:space="preserve"> sangat baik  dalam membandingkan siklus hidup beberapa jenis makhluk hidup serta mengaitkan dengan upaya pelestariannya.</v>
      </c>
      <c r="BY13" s="301" t="str">
        <f t="shared" si="30"/>
        <v>Anak 9 sangat baik  dalam membandingkan siklus hidup beberapa jenis makhluk hidup serta mengaitkan dengan upaya pelestariannya.</v>
      </c>
    </row>
    <row r="14" spans="1:79" ht="41.25" customHeight="1">
      <c r="B14" s="109">
        <v>10</v>
      </c>
      <c r="C14" s="110">
        <f>SISWA!B15</f>
        <v>0</v>
      </c>
      <c r="D14" s="111" t="str">
        <f>SISWA!E15</f>
        <v>Anak 10</v>
      </c>
      <c r="E14" s="631">
        <v>99</v>
      </c>
      <c r="F14" s="631">
        <v>99</v>
      </c>
      <c r="G14" s="631">
        <v>99</v>
      </c>
      <c r="H14" s="631">
        <v>99</v>
      </c>
      <c r="I14" s="730"/>
      <c r="J14" s="730"/>
      <c r="K14" s="731"/>
      <c r="L14" s="731"/>
      <c r="M14" s="731"/>
      <c r="N14" s="731"/>
      <c r="O14" s="730"/>
      <c r="P14" s="730"/>
      <c r="Q14" s="610"/>
      <c r="R14" s="631">
        <v>99</v>
      </c>
      <c r="S14" s="631">
        <v>99</v>
      </c>
      <c r="T14" s="631"/>
      <c r="U14" s="631"/>
      <c r="V14" s="631"/>
      <c r="W14" s="631"/>
      <c r="X14" s="610"/>
      <c r="Y14" s="631">
        <v>99</v>
      </c>
      <c r="Z14" s="631">
        <v>99</v>
      </c>
      <c r="AA14" s="631">
        <v>99</v>
      </c>
      <c r="AB14" s="631">
        <v>99</v>
      </c>
      <c r="AC14" s="609"/>
      <c r="AD14" s="609"/>
      <c r="AE14" s="518"/>
      <c r="AF14" s="607">
        <f t="shared" si="13"/>
        <v>99</v>
      </c>
      <c r="AG14" s="607">
        <f t="shared" si="14"/>
        <v>99</v>
      </c>
      <c r="AH14" s="607">
        <f t="shared" si="15"/>
        <v>99</v>
      </c>
      <c r="AI14" s="607">
        <f t="shared" si="16"/>
        <v>99</v>
      </c>
      <c r="AJ14" s="608" t="str">
        <f>IFERROR(((2*V14)+#REF!)/3,"")</f>
        <v/>
      </c>
      <c r="AK14" s="528"/>
      <c r="AL14" s="528"/>
      <c r="AM14" s="302">
        <f t="shared" si="7"/>
        <v>99</v>
      </c>
      <c r="AN14" s="303" t="str">
        <f>IF(AM14&gt;KKM!$G$10,"A",IF(AM14&gt;KKM!$H$10,"B",IF(AM14&gt;=KKM!$I$10,"C","D")))</f>
        <v>A</v>
      </c>
      <c r="AO14" s="523">
        <f t="shared" si="8"/>
        <v>99</v>
      </c>
      <c r="AP14" s="115" t="str">
        <f>IF(AO14&gt;KKM!$G$10," sangat baik ",IF(AO14&gt;KKM!$H$10," baik ",IF(AO14&gt;=KKM!$I$10," cukup baik "," perlu bimbingan ")))</f>
        <v xml:space="preserve"> sangat baik </v>
      </c>
      <c r="AQ14" s="524">
        <f t="shared" si="9"/>
        <v>99</v>
      </c>
      <c r="AR14" s="115" t="str">
        <f>IF(AQ14&gt;KKM!$G$10," sangat baik ",IF(AQ14&gt;KKM!$H$10," baik ",IF(AQ14&gt;=KKM!$I$10," cukup baik "," perlu bimbingan ")))</f>
        <v xml:space="preserve"> sangat baik </v>
      </c>
      <c r="AS14" s="301" t="str">
        <f t="shared" si="17"/>
        <v>Anak 10 sangat baik  dalam membandingkan siklus hidup beberapa jenis makhluk hidup serta mengaitkan dengan upaya pelestariannya.</v>
      </c>
      <c r="AT14" s="306"/>
      <c r="AU14" s="307" t="str">
        <f t="shared" si="10"/>
        <v xml:space="preserve"> sangat baik  dalam membandingkan siklus hidup beberapa jenis makhluk hidup serta mengaitkan dengan upaya pelestariannya.</v>
      </c>
      <c r="AV14" s="307" t="str">
        <f t="shared" si="11"/>
        <v xml:space="preserve"> sangat baik  dalam membandingkan siklus hidup beberapa jenis makhluk hidup serta mengaitkan dengan upaya pelestariannya.</v>
      </c>
      <c r="AW14"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4" s="307" t="str">
        <f t="shared" si="19"/>
        <v xml:space="preserve"> sangat baik  dalam membandingkan siklus hidup beberapa jenis makhluk hidup serta mengaitkan dengan upaya pelestariannya.</v>
      </c>
      <c r="AY14" s="308" t="str">
        <f t="shared" si="20"/>
        <v xml:space="preserve"> sangat baik  dalam membandingkan siklus hidup beberapa jenis makhluk hidup serta mengaitkan dengan upaya pelestariannya.</v>
      </c>
      <c r="AZ14" s="301" t="str">
        <f t="shared" si="12"/>
        <v>Anak 10 sangat baik  dalam membandingkan siklus hidup beberapa jenis makhluk hidup serta mengaitkan dengan upaya pelestariannya.</v>
      </c>
      <c r="BA14" s="120"/>
      <c r="BJ14" s="408">
        <f t="shared" si="21"/>
        <v>99</v>
      </c>
      <c r="BM14" s="302">
        <f t="shared" si="22"/>
        <v>99</v>
      </c>
      <c r="BN14" s="303" t="str">
        <f>IF(BM14&gt;KKM!$G$10,"A",IF(BM14&gt;KKM!$H$10,"B",IF(BM14&gt;=KKM!$I$10,"C","D")))</f>
        <v>A</v>
      </c>
      <c r="BO14" s="523">
        <f t="shared" si="23"/>
        <v>99</v>
      </c>
      <c r="BP14" s="115" t="str">
        <f>IF(BO14&gt;KKM!$G$10," sangat baik ",IF(BO14&gt;KKM!$H$10," baik ",IF(BO14&gt;=KKM!$I$10," cukup baik "," perlu bimbingan ")))</f>
        <v xml:space="preserve"> sangat baik </v>
      </c>
      <c r="BQ14" s="524">
        <f t="shared" si="24"/>
        <v>99</v>
      </c>
      <c r="BR14" s="115" t="str">
        <f>IF(BQ14&gt;KKM!$G$10," sangat baik ",IF(BQ14&gt;KKM!$H$10," baik ",IF(BQ14&gt;=KKM!$I$10," cukup baik "," perlu bimbingan ")))</f>
        <v xml:space="preserve"> sangat baik </v>
      </c>
      <c r="BS14" s="301" t="str">
        <f t="shared" si="31"/>
        <v>Anak 10 sangat baik  dalam membandingkan siklus hidup beberapa jenis makhluk hidup serta mengaitkan dengan upaya pelestariannya.</v>
      </c>
      <c r="BT14" s="307" t="str">
        <f t="shared" si="25"/>
        <v xml:space="preserve"> sangat baik  dalam membandingkan siklus hidup beberapa jenis makhluk hidup serta mengaitkan dengan upaya pelestariannya.</v>
      </c>
      <c r="BU14" s="307" t="str">
        <f t="shared" si="26"/>
        <v xml:space="preserve"> sangat baik  dalam membandingkan siklus hidup beberapa jenis makhluk hidup serta mengaitkan dengan upaya pelestariannya.</v>
      </c>
      <c r="BV14"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4" s="307" t="str">
        <f t="shared" si="28"/>
        <v xml:space="preserve"> sangat baik  dalam membandingkan siklus hidup beberapa jenis makhluk hidup serta mengaitkan dengan upaya pelestariannya.</v>
      </c>
      <c r="BX14" s="308" t="str">
        <f t="shared" si="29"/>
        <v xml:space="preserve"> sangat baik  dalam membandingkan siklus hidup beberapa jenis makhluk hidup serta mengaitkan dengan upaya pelestariannya.</v>
      </c>
      <c r="BY14" s="301" t="str">
        <f t="shared" si="30"/>
        <v>Anak 10 sangat baik  dalam membandingkan siklus hidup beberapa jenis makhluk hidup serta mengaitkan dengan upaya pelestariannya.</v>
      </c>
    </row>
    <row r="15" spans="1:79" ht="41.25" customHeight="1">
      <c r="B15" s="109">
        <v>11</v>
      </c>
      <c r="C15" s="110">
        <f>SISWA!B16</f>
        <v>0</v>
      </c>
      <c r="D15" s="111" t="str">
        <f>SISWA!E16</f>
        <v>Anak 11</v>
      </c>
      <c r="E15" s="631">
        <v>99</v>
      </c>
      <c r="F15" s="631">
        <v>99</v>
      </c>
      <c r="G15" s="631">
        <v>99</v>
      </c>
      <c r="H15" s="631">
        <v>99</v>
      </c>
      <c r="I15" s="730"/>
      <c r="J15" s="730"/>
      <c r="K15" s="731"/>
      <c r="L15" s="731"/>
      <c r="M15" s="731"/>
      <c r="N15" s="731"/>
      <c r="O15" s="730"/>
      <c r="P15" s="730"/>
      <c r="Q15" s="610"/>
      <c r="R15" s="631">
        <v>99</v>
      </c>
      <c r="S15" s="631">
        <v>99</v>
      </c>
      <c r="T15" s="631"/>
      <c r="U15" s="631"/>
      <c r="V15" s="631"/>
      <c r="W15" s="631"/>
      <c r="X15" s="610"/>
      <c r="Y15" s="631">
        <v>99</v>
      </c>
      <c r="Z15" s="631">
        <v>99</v>
      </c>
      <c r="AA15" s="631">
        <v>99</v>
      </c>
      <c r="AB15" s="631">
        <v>99</v>
      </c>
      <c r="AC15" s="609"/>
      <c r="AD15" s="609"/>
      <c r="AE15" s="518"/>
      <c r="AF15" s="607">
        <f t="shared" si="13"/>
        <v>99</v>
      </c>
      <c r="AG15" s="607">
        <f t="shared" si="14"/>
        <v>99</v>
      </c>
      <c r="AH15" s="607">
        <f t="shared" si="15"/>
        <v>99</v>
      </c>
      <c r="AI15" s="607">
        <f t="shared" si="16"/>
        <v>99</v>
      </c>
      <c r="AJ15" s="608" t="str">
        <f>IFERROR(((2*V15)+#REF!)/3,"")</f>
        <v/>
      </c>
      <c r="AK15" s="528"/>
      <c r="AL15" s="528"/>
      <c r="AM15" s="302">
        <f t="shared" si="7"/>
        <v>99</v>
      </c>
      <c r="AN15" s="303" t="str">
        <f>IF(AM15&gt;KKM!$G$10,"A",IF(AM15&gt;KKM!$H$10,"B",IF(AM15&gt;=KKM!$I$10,"C","D")))</f>
        <v>A</v>
      </c>
      <c r="AO15" s="523">
        <f t="shared" si="8"/>
        <v>99</v>
      </c>
      <c r="AP15" s="115" t="str">
        <f>IF(AO15&gt;KKM!$G$10," sangat baik ",IF(AO15&gt;KKM!$H$10," baik ",IF(AO15&gt;=KKM!$I$10," cukup baik "," perlu bimbingan ")))</f>
        <v xml:space="preserve"> sangat baik </v>
      </c>
      <c r="AQ15" s="524">
        <f t="shared" si="9"/>
        <v>99</v>
      </c>
      <c r="AR15" s="115" t="str">
        <f>IF(AQ15&gt;KKM!$G$10," sangat baik ",IF(AQ15&gt;KKM!$H$10," baik ",IF(AQ15&gt;=KKM!$I$10," cukup baik "," perlu bimbingan ")))</f>
        <v xml:space="preserve"> sangat baik </v>
      </c>
      <c r="AS15" s="301" t="str">
        <f t="shared" si="17"/>
        <v>Anak 11 sangat baik  dalam membandingkan siklus hidup beberapa jenis makhluk hidup serta mengaitkan dengan upaya pelestariannya.</v>
      </c>
      <c r="AT15" s="306"/>
      <c r="AU15" s="307" t="str">
        <f t="shared" si="10"/>
        <v xml:space="preserve"> sangat baik  dalam membandingkan siklus hidup beberapa jenis makhluk hidup serta mengaitkan dengan upaya pelestariannya.</v>
      </c>
      <c r="AV15" s="307" t="str">
        <f t="shared" si="11"/>
        <v xml:space="preserve"> sangat baik  dalam membandingkan siklus hidup beberapa jenis makhluk hidup serta mengaitkan dengan upaya pelestariannya.</v>
      </c>
      <c r="AW15"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5" s="307" t="str">
        <f t="shared" si="19"/>
        <v xml:space="preserve"> sangat baik  dalam membandingkan siklus hidup beberapa jenis makhluk hidup serta mengaitkan dengan upaya pelestariannya.</v>
      </c>
      <c r="AY15" s="308" t="str">
        <f t="shared" si="20"/>
        <v xml:space="preserve"> sangat baik  dalam membandingkan siklus hidup beberapa jenis makhluk hidup serta mengaitkan dengan upaya pelestariannya.</v>
      </c>
      <c r="AZ15" s="301" t="str">
        <f t="shared" si="12"/>
        <v>Anak 11 sangat baik  dalam membandingkan siklus hidup beberapa jenis makhluk hidup serta mengaitkan dengan upaya pelestariannya.</v>
      </c>
      <c r="BA15" s="120"/>
      <c r="BJ15" s="408">
        <f t="shared" si="21"/>
        <v>99</v>
      </c>
      <c r="BM15" s="302">
        <f t="shared" si="22"/>
        <v>99</v>
      </c>
      <c r="BN15" s="303" t="str">
        <f>IF(BM15&gt;KKM!$G$10,"A",IF(BM15&gt;KKM!$H$10,"B",IF(BM15&gt;=KKM!$I$10,"C","D")))</f>
        <v>A</v>
      </c>
      <c r="BO15" s="523">
        <f t="shared" si="23"/>
        <v>99</v>
      </c>
      <c r="BP15" s="115" t="str">
        <f>IF(BO15&gt;KKM!$G$10," sangat baik ",IF(BO15&gt;KKM!$H$10," baik ",IF(BO15&gt;=KKM!$I$10," cukup baik "," perlu bimbingan ")))</f>
        <v xml:space="preserve"> sangat baik </v>
      </c>
      <c r="BQ15" s="524">
        <f t="shared" si="24"/>
        <v>99</v>
      </c>
      <c r="BR15" s="115" t="str">
        <f>IF(BQ15&gt;KKM!$G$10," sangat baik ",IF(BQ15&gt;KKM!$H$10," baik ",IF(BQ15&gt;=KKM!$I$10," cukup baik "," perlu bimbingan ")))</f>
        <v xml:space="preserve"> sangat baik </v>
      </c>
      <c r="BS15" s="301" t="str">
        <f t="shared" si="31"/>
        <v>Anak 11 sangat baik  dalam membandingkan siklus hidup beberapa jenis makhluk hidup serta mengaitkan dengan upaya pelestariannya.</v>
      </c>
      <c r="BT15" s="307" t="str">
        <f t="shared" si="25"/>
        <v xml:space="preserve"> sangat baik  dalam membandingkan siklus hidup beberapa jenis makhluk hidup serta mengaitkan dengan upaya pelestariannya.</v>
      </c>
      <c r="BU15" s="307" t="str">
        <f t="shared" si="26"/>
        <v xml:space="preserve"> sangat baik  dalam membandingkan siklus hidup beberapa jenis makhluk hidup serta mengaitkan dengan upaya pelestariannya.</v>
      </c>
      <c r="BV15"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5" s="307" t="str">
        <f t="shared" si="28"/>
        <v xml:space="preserve"> sangat baik  dalam membandingkan siklus hidup beberapa jenis makhluk hidup serta mengaitkan dengan upaya pelestariannya.</v>
      </c>
      <c r="BX15" s="308" t="str">
        <f t="shared" si="29"/>
        <v xml:space="preserve"> sangat baik  dalam membandingkan siklus hidup beberapa jenis makhluk hidup serta mengaitkan dengan upaya pelestariannya.</v>
      </c>
      <c r="BY15" s="301" t="str">
        <f t="shared" si="30"/>
        <v>Anak 11 sangat baik  dalam membandingkan siklus hidup beberapa jenis makhluk hidup serta mengaitkan dengan upaya pelestariannya.</v>
      </c>
    </row>
    <row r="16" spans="1:79" ht="41.25" customHeight="1">
      <c r="B16" s="109">
        <v>12</v>
      </c>
      <c r="C16" s="110">
        <f>SISWA!B17</f>
        <v>0</v>
      </c>
      <c r="D16" s="111" t="str">
        <f>SISWA!E17</f>
        <v>Anak 12</v>
      </c>
      <c r="E16" s="631">
        <v>99</v>
      </c>
      <c r="F16" s="631">
        <v>99</v>
      </c>
      <c r="G16" s="631">
        <v>99</v>
      </c>
      <c r="H16" s="631">
        <v>99</v>
      </c>
      <c r="I16" s="730"/>
      <c r="J16" s="730"/>
      <c r="K16" s="731"/>
      <c r="L16" s="731"/>
      <c r="M16" s="731"/>
      <c r="N16" s="731"/>
      <c r="O16" s="730"/>
      <c r="P16" s="730"/>
      <c r="Q16" s="610"/>
      <c r="R16" s="631">
        <v>99</v>
      </c>
      <c r="S16" s="631">
        <v>99</v>
      </c>
      <c r="T16" s="631"/>
      <c r="U16" s="631"/>
      <c r="V16" s="631"/>
      <c r="W16" s="631"/>
      <c r="X16" s="610"/>
      <c r="Y16" s="631">
        <v>99</v>
      </c>
      <c r="Z16" s="631">
        <v>99</v>
      </c>
      <c r="AA16" s="631">
        <v>99</v>
      </c>
      <c r="AB16" s="631">
        <v>99</v>
      </c>
      <c r="AC16" s="609"/>
      <c r="AD16" s="609"/>
      <c r="AE16" s="518"/>
      <c r="AF16" s="607">
        <f t="shared" si="13"/>
        <v>99</v>
      </c>
      <c r="AG16" s="607">
        <f t="shared" si="14"/>
        <v>99</v>
      </c>
      <c r="AH16" s="607">
        <f t="shared" si="15"/>
        <v>99</v>
      </c>
      <c r="AI16" s="607">
        <f t="shared" si="16"/>
        <v>99</v>
      </c>
      <c r="AJ16" s="608" t="str">
        <f>IFERROR(((2*V16)+#REF!)/3,"")</f>
        <v/>
      </c>
      <c r="AK16" s="528"/>
      <c r="AL16" s="528"/>
      <c r="AM16" s="302">
        <f t="shared" si="7"/>
        <v>99</v>
      </c>
      <c r="AN16" s="303" t="str">
        <f>IF(AM16&gt;KKM!$G$10,"A",IF(AM16&gt;KKM!$H$10,"B",IF(AM16&gt;=KKM!$I$10,"C","D")))</f>
        <v>A</v>
      </c>
      <c r="AO16" s="523">
        <f t="shared" si="8"/>
        <v>99</v>
      </c>
      <c r="AP16" s="115" t="str">
        <f>IF(AO16&gt;KKM!$G$10," sangat baik ",IF(AO16&gt;KKM!$H$10," baik ",IF(AO16&gt;=KKM!$I$10," cukup baik "," perlu bimbingan ")))</f>
        <v xml:space="preserve"> sangat baik </v>
      </c>
      <c r="AQ16" s="524">
        <f t="shared" si="9"/>
        <v>99</v>
      </c>
      <c r="AR16" s="115" t="str">
        <f>IF(AQ16&gt;KKM!$G$10," sangat baik ",IF(AQ16&gt;KKM!$H$10," baik ",IF(AQ16&gt;=KKM!$I$10," cukup baik "," perlu bimbingan ")))</f>
        <v xml:space="preserve"> sangat baik </v>
      </c>
      <c r="AS16" s="301" t="str">
        <f t="shared" si="17"/>
        <v>Anak 12 sangat baik  dalam membandingkan siklus hidup beberapa jenis makhluk hidup serta mengaitkan dengan upaya pelestariannya.</v>
      </c>
      <c r="AT16" s="306"/>
      <c r="AU16" s="307" t="str">
        <f t="shared" si="10"/>
        <v xml:space="preserve"> sangat baik  dalam membandingkan siklus hidup beberapa jenis makhluk hidup serta mengaitkan dengan upaya pelestariannya.</v>
      </c>
      <c r="AV16" s="307" t="str">
        <f t="shared" si="11"/>
        <v xml:space="preserve"> sangat baik  dalam membandingkan siklus hidup beberapa jenis makhluk hidup serta mengaitkan dengan upaya pelestariannya.</v>
      </c>
      <c r="AW16"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6" s="307" t="str">
        <f t="shared" si="19"/>
        <v xml:space="preserve"> sangat baik  dalam membandingkan siklus hidup beberapa jenis makhluk hidup serta mengaitkan dengan upaya pelestariannya.</v>
      </c>
      <c r="AY16" s="308" t="str">
        <f t="shared" si="20"/>
        <v xml:space="preserve"> sangat baik  dalam membandingkan siklus hidup beberapa jenis makhluk hidup serta mengaitkan dengan upaya pelestariannya.</v>
      </c>
      <c r="AZ16" s="301" t="str">
        <f t="shared" si="12"/>
        <v>Anak 12 sangat baik  dalam membandingkan siklus hidup beberapa jenis makhluk hidup serta mengaitkan dengan upaya pelestariannya.</v>
      </c>
      <c r="BA16" s="120"/>
      <c r="BJ16" s="408">
        <f t="shared" si="21"/>
        <v>99</v>
      </c>
      <c r="BM16" s="302">
        <f t="shared" si="22"/>
        <v>99</v>
      </c>
      <c r="BN16" s="303" t="str">
        <f>IF(BM16&gt;KKM!$G$10,"A",IF(BM16&gt;KKM!$H$10,"B",IF(BM16&gt;=KKM!$I$10,"C","D")))</f>
        <v>A</v>
      </c>
      <c r="BO16" s="523">
        <f t="shared" si="23"/>
        <v>99</v>
      </c>
      <c r="BP16" s="115" t="str">
        <f>IF(BO16&gt;KKM!$G$10," sangat baik ",IF(BO16&gt;KKM!$H$10," baik ",IF(BO16&gt;=KKM!$I$10," cukup baik "," perlu bimbingan ")))</f>
        <v xml:space="preserve"> sangat baik </v>
      </c>
      <c r="BQ16" s="524">
        <f t="shared" si="24"/>
        <v>99</v>
      </c>
      <c r="BR16" s="115" t="str">
        <f>IF(BQ16&gt;KKM!$G$10," sangat baik ",IF(BQ16&gt;KKM!$H$10," baik ",IF(BQ16&gt;=KKM!$I$10," cukup baik "," perlu bimbingan ")))</f>
        <v xml:space="preserve"> sangat baik </v>
      </c>
      <c r="BS16" s="301" t="str">
        <f t="shared" si="31"/>
        <v>Anak 12 sangat baik  dalam membandingkan siklus hidup beberapa jenis makhluk hidup serta mengaitkan dengan upaya pelestariannya.</v>
      </c>
      <c r="BT16" s="307" t="str">
        <f t="shared" si="25"/>
        <v xml:space="preserve"> sangat baik  dalam membandingkan siklus hidup beberapa jenis makhluk hidup serta mengaitkan dengan upaya pelestariannya.</v>
      </c>
      <c r="BU16" s="307" t="str">
        <f t="shared" si="26"/>
        <v xml:space="preserve"> sangat baik  dalam membandingkan siklus hidup beberapa jenis makhluk hidup serta mengaitkan dengan upaya pelestariannya.</v>
      </c>
      <c r="BV16"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6" s="307" t="str">
        <f t="shared" si="28"/>
        <v xml:space="preserve"> sangat baik  dalam membandingkan siklus hidup beberapa jenis makhluk hidup serta mengaitkan dengan upaya pelestariannya.</v>
      </c>
      <c r="BX16" s="308" t="str">
        <f t="shared" si="29"/>
        <v xml:space="preserve"> sangat baik  dalam membandingkan siklus hidup beberapa jenis makhluk hidup serta mengaitkan dengan upaya pelestariannya.</v>
      </c>
      <c r="BY16" s="301" t="str">
        <f t="shared" si="30"/>
        <v>Anak 12 sangat baik  dalam membandingkan siklus hidup beberapa jenis makhluk hidup serta mengaitkan dengan upaya pelestariannya.</v>
      </c>
    </row>
    <row r="17" spans="2:77" ht="41.25" customHeight="1">
      <c r="B17" s="109">
        <v>13</v>
      </c>
      <c r="C17" s="110">
        <f>SISWA!B18</f>
        <v>0</v>
      </c>
      <c r="D17" s="111" t="str">
        <f>SISWA!E18</f>
        <v>Anak 13</v>
      </c>
      <c r="E17" s="631">
        <v>99</v>
      </c>
      <c r="F17" s="631">
        <v>99</v>
      </c>
      <c r="G17" s="631">
        <v>99</v>
      </c>
      <c r="H17" s="631">
        <v>99</v>
      </c>
      <c r="I17" s="730"/>
      <c r="J17" s="730"/>
      <c r="K17" s="731"/>
      <c r="L17" s="731"/>
      <c r="M17" s="731"/>
      <c r="N17" s="731"/>
      <c r="O17" s="730"/>
      <c r="P17" s="730"/>
      <c r="Q17" s="610"/>
      <c r="R17" s="631">
        <v>99</v>
      </c>
      <c r="S17" s="631">
        <v>99</v>
      </c>
      <c r="T17" s="631"/>
      <c r="U17" s="631"/>
      <c r="V17" s="631"/>
      <c r="W17" s="631"/>
      <c r="X17" s="610"/>
      <c r="Y17" s="631">
        <v>99</v>
      </c>
      <c r="Z17" s="631">
        <v>99</v>
      </c>
      <c r="AA17" s="631">
        <v>99</v>
      </c>
      <c r="AB17" s="631">
        <v>99</v>
      </c>
      <c r="AC17" s="609"/>
      <c r="AD17" s="609"/>
      <c r="AE17" s="518"/>
      <c r="AF17" s="607">
        <f t="shared" si="13"/>
        <v>99</v>
      </c>
      <c r="AG17" s="607">
        <f t="shared" si="14"/>
        <v>99</v>
      </c>
      <c r="AH17" s="607">
        <f t="shared" si="15"/>
        <v>99</v>
      </c>
      <c r="AI17" s="607">
        <f t="shared" si="16"/>
        <v>99</v>
      </c>
      <c r="AJ17" s="608" t="str">
        <f>IFERROR(((2*V17)+#REF!)/3,"")</f>
        <v/>
      </c>
      <c r="AK17" s="528"/>
      <c r="AL17" s="528"/>
      <c r="AM17" s="302">
        <f t="shared" si="7"/>
        <v>99</v>
      </c>
      <c r="AN17" s="303" t="str">
        <f>IF(AM17&gt;KKM!$G$10,"A",IF(AM17&gt;KKM!$H$10,"B",IF(AM17&gt;=KKM!$I$10,"C","D")))</f>
        <v>A</v>
      </c>
      <c r="AO17" s="523">
        <f t="shared" si="8"/>
        <v>99</v>
      </c>
      <c r="AP17" s="115" t="str">
        <f>IF(AO17&gt;KKM!$G$10," sangat baik ",IF(AO17&gt;KKM!$H$10," baik ",IF(AO17&gt;=KKM!$I$10," cukup baik "," perlu bimbingan ")))</f>
        <v xml:space="preserve"> sangat baik </v>
      </c>
      <c r="AQ17" s="524">
        <f t="shared" si="9"/>
        <v>99</v>
      </c>
      <c r="AR17" s="115" t="str">
        <f>IF(AQ17&gt;KKM!$G$10," sangat baik ",IF(AQ17&gt;KKM!$H$10," baik ",IF(AQ17&gt;=KKM!$I$10," cukup baik "," perlu bimbingan ")))</f>
        <v xml:space="preserve"> sangat baik </v>
      </c>
      <c r="AS17" s="301" t="str">
        <f t="shared" si="17"/>
        <v>Anak 13 sangat baik  dalam membandingkan siklus hidup beberapa jenis makhluk hidup serta mengaitkan dengan upaya pelestariannya.</v>
      </c>
      <c r="AT17" s="306"/>
      <c r="AU17" s="307" t="str">
        <f t="shared" si="10"/>
        <v xml:space="preserve"> sangat baik  dalam membandingkan siklus hidup beberapa jenis makhluk hidup serta mengaitkan dengan upaya pelestariannya.</v>
      </c>
      <c r="AV17" s="307" t="str">
        <f t="shared" si="11"/>
        <v xml:space="preserve"> sangat baik  dalam membandingkan siklus hidup beberapa jenis makhluk hidup serta mengaitkan dengan upaya pelestariannya.</v>
      </c>
      <c r="AW17"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7" s="307" t="str">
        <f t="shared" si="19"/>
        <v xml:space="preserve"> sangat baik  dalam membandingkan siklus hidup beberapa jenis makhluk hidup serta mengaitkan dengan upaya pelestariannya.</v>
      </c>
      <c r="AY17" s="308" t="str">
        <f t="shared" si="20"/>
        <v xml:space="preserve"> sangat baik  dalam membandingkan siklus hidup beberapa jenis makhluk hidup serta mengaitkan dengan upaya pelestariannya.</v>
      </c>
      <c r="AZ17" s="301" t="str">
        <f t="shared" si="12"/>
        <v>Anak 13 sangat baik  dalam membandingkan siklus hidup beberapa jenis makhluk hidup serta mengaitkan dengan upaya pelestariannya.</v>
      </c>
      <c r="BA17" s="120"/>
      <c r="BJ17" s="408">
        <f t="shared" si="21"/>
        <v>99</v>
      </c>
      <c r="BM17" s="302">
        <f t="shared" si="22"/>
        <v>99</v>
      </c>
      <c r="BN17" s="303" t="str">
        <f>IF(BM17&gt;KKM!$G$10,"A",IF(BM17&gt;KKM!$H$10,"B",IF(BM17&gt;=KKM!$I$10,"C","D")))</f>
        <v>A</v>
      </c>
      <c r="BO17" s="523">
        <f t="shared" si="23"/>
        <v>99</v>
      </c>
      <c r="BP17" s="115" t="str">
        <f>IF(BO17&gt;KKM!$G$10," sangat baik ",IF(BO17&gt;KKM!$H$10," baik ",IF(BO17&gt;=KKM!$I$10," cukup baik "," perlu bimbingan ")))</f>
        <v xml:space="preserve"> sangat baik </v>
      </c>
      <c r="BQ17" s="524">
        <f t="shared" si="24"/>
        <v>99</v>
      </c>
      <c r="BR17" s="115" t="str">
        <f>IF(BQ17&gt;KKM!$G$10," sangat baik ",IF(BQ17&gt;KKM!$H$10," baik ",IF(BQ17&gt;=KKM!$I$10," cukup baik "," perlu bimbingan ")))</f>
        <v xml:space="preserve"> sangat baik </v>
      </c>
      <c r="BS17" s="301" t="str">
        <f t="shared" si="31"/>
        <v>Anak 13 sangat baik  dalam membandingkan siklus hidup beberapa jenis makhluk hidup serta mengaitkan dengan upaya pelestariannya.</v>
      </c>
      <c r="BT17" s="307" t="str">
        <f t="shared" si="25"/>
        <v xml:space="preserve"> sangat baik  dalam membandingkan siklus hidup beberapa jenis makhluk hidup serta mengaitkan dengan upaya pelestariannya.</v>
      </c>
      <c r="BU17" s="307" t="str">
        <f t="shared" si="26"/>
        <v xml:space="preserve"> sangat baik  dalam membandingkan siklus hidup beberapa jenis makhluk hidup serta mengaitkan dengan upaya pelestariannya.</v>
      </c>
      <c r="BV17"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7" s="307" t="str">
        <f t="shared" si="28"/>
        <v xml:space="preserve"> sangat baik  dalam membandingkan siklus hidup beberapa jenis makhluk hidup serta mengaitkan dengan upaya pelestariannya.</v>
      </c>
      <c r="BX17" s="308" t="str">
        <f t="shared" si="29"/>
        <v xml:space="preserve"> sangat baik  dalam membandingkan siklus hidup beberapa jenis makhluk hidup serta mengaitkan dengan upaya pelestariannya.</v>
      </c>
      <c r="BY17" s="301" t="str">
        <f t="shared" si="30"/>
        <v>Anak 13 sangat baik  dalam membandingkan siklus hidup beberapa jenis makhluk hidup serta mengaitkan dengan upaya pelestariannya.</v>
      </c>
    </row>
    <row r="18" spans="2:77" ht="41.25" customHeight="1">
      <c r="B18" s="109">
        <v>14</v>
      </c>
      <c r="C18" s="110">
        <f>SISWA!B19</f>
        <v>0</v>
      </c>
      <c r="D18" s="111" t="str">
        <f>SISWA!E19</f>
        <v>Anak 14</v>
      </c>
      <c r="E18" s="631">
        <v>99</v>
      </c>
      <c r="F18" s="631">
        <v>99</v>
      </c>
      <c r="G18" s="631">
        <v>99</v>
      </c>
      <c r="H18" s="631">
        <v>99</v>
      </c>
      <c r="I18" s="730"/>
      <c r="J18" s="730"/>
      <c r="K18" s="731"/>
      <c r="L18" s="731"/>
      <c r="M18" s="731"/>
      <c r="N18" s="731"/>
      <c r="O18" s="730"/>
      <c r="P18" s="730"/>
      <c r="Q18" s="610"/>
      <c r="R18" s="631">
        <v>99</v>
      </c>
      <c r="S18" s="631">
        <v>99</v>
      </c>
      <c r="T18" s="631"/>
      <c r="U18" s="631"/>
      <c r="V18" s="631"/>
      <c r="W18" s="631"/>
      <c r="X18" s="610"/>
      <c r="Y18" s="631">
        <v>99</v>
      </c>
      <c r="Z18" s="631">
        <v>99</v>
      </c>
      <c r="AA18" s="631">
        <v>99</v>
      </c>
      <c r="AB18" s="631">
        <v>99</v>
      </c>
      <c r="AC18" s="609"/>
      <c r="AD18" s="609"/>
      <c r="AE18" s="518"/>
      <c r="AF18" s="607">
        <f t="shared" si="13"/>
        <v>99</v>
      </c>
      <c r="AG18" s="607">
        <f t="shared" si="14"/>
        <v>99</v>
      </c>
      <c r="AH18" s="607">
        <f t="shared" si="15"/>
        <v>99</v>
      </c>
      <c r="AI18" s="607">
        <f t="shared" si="16"/>
        <v>99</v>
      </c>
      <c r="AJ18" s="608" t="str">
        <f>IFERROR(((2*V18)+#REF!)/3,"")</f>
        <v/>
      </c>
      <c r="AK18" s="528"/>
      <c r="AL18" s="528"/>
      <c r="AM18" s="302">
        <f t="shared" si="7"/>
        <v>99</v>
      </c>
      <c r="AN18" s="303" t="str">
        <f>IF(AM18&gt;KKM!$G$10,"A",IF(AM18&gt;KKM!$H$10,"B",IF(AM18&gt;=KKM!$I$10,"C","D")))</f>
        <v>A</v>
      </c>
      <c r="AO18" s="523">
        <f t="shared" si="8"/>
        <v>99</v>
      </c>
      <c r="AP18" s="115" t="str">
        <f>IF(AO18&gt;KKM!$G$10," sangat baik ",IF(AO18&gt;KKM!$H$10," baik ",IF(AO18&gt;=KKM!$I$10," cukup baik "," perlu bimbingan ")))</f>
        <v xml:space="preserve"> sangat baik </v>
      </c>
      <c r="AQ18" s="524">
        <f t="shared" si="9"/>
        <v>99</v>
      </c>
      <c r="AR18" s="115" t="str">
        <f>IF(AQ18&gt;KKM!$G$10," sangat baik ",IF(AQ18&gt;KKM!$H$10," baik ",IF(AQ18&gt;=KKM!$I$10," cukup baik "," perlu bimbingan ")))</f>
        <v xml:space="preserve"> sangat baik </v>
      </c>
      <c r="AS18" s="301" t="str">
        <f t="shared" si="17"/>
        <v>Anak 14 sangat baik  dalam membandingkan siklus hidup beberapa jenis makhluk hidup serta mengaitkan dengan upaya pelestariannya.</v>
      </c>
      <c r="AT18" s="306"/>
      <c r="AU18" s="307" t="str">
        <f t="shared" si="10"/>
        <v xml:space="preserve"> sangat baik  dalam membandingkan siklus hidup beberapa jenis makhluk hidup serta mengaitkan dengan upaya pelestariannya.</v>
      </c>
      <c r="AV18" s="307" t="str">
        <f t="shared" si="11"/>
        <v xml:space="preserve"> sangat baik  dalam membandingkan siklus hidup beberapa jenis makhluk hidup serta mengaitkan dengan upaya pelestariannya.</v>
      </c>
      <c r="AW18"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8" s="307" t="str">
        <f t="shared" si="19"/>
        <v xml:space="preserve"> sangat baik  dalam membandingkan siklus hidup beberapa jenis makhluk hidup serta mengaitkan dengan upaya pelestariannya.</v>
      </c>
      <c r="AY18" s="308" t="str">
        <f t="shared" si="20"/>
        <v xml:space="preserve"> sangat baik  dalam membandingkan siklus hidup beberapa jenis makhluk hidup serta mengaitkan dengan upaya pelestariannya.</v>
      </c>
      <c r="AZ18" s="301" t="str">
        <f t="shared" si="12"/>
        <v>Anak 14 sangat baik  dalam membandingkan siklus hidup beberapa jenis makhluk hidup serta mengaitkan dengan upaya pelestariannya.</v>
      </c>
      <c r="BA18" s="120"/>
      <c r="BJ18" s="408">
        <f t="shared" si="21"/>
        <v>99</v>
      </c>
      <c r="BM18" s="302">
        <f t="shared" si="22"/>
        <v>99</v>
      </c>
      <c r="BN18" s="303" t="str">
        <f>IF(BM18&gt;KKM!$G$10,"A",IF(BM18&gt;KKM!$H$10,"B",IF(BM18&gt;=KKM!$I$10,"C","D")))</f>
        <v>A</v>
      </c>
      <c r="BO18" s="523">
        <f t="shared" si="23"/>
        <v>99</v>
      </c>
      <c r="BP18" s="115" t="str">
        <f>IF(BO18&gt;KKM!$G$10," sangat baik ",IF(BO18&gt;KKM!$H$10," baik ",IF(BO18&gt;=KKM!$I$10," cukup baik "," perlu bimbingan ")))</f>
        <v xml:space="preserve"> sangat baik </v>
      </c>
      <c r="BQ18" s="524">
        <f t="shared" si="24"/>
        <v>99</v>
      </c>
      <c r="BR18" s="115" t="str">
        <f>IF(BQ18&gt;KKM!$G$10," sangat baik ",IF(BQ18&gt;KKM!$H$10," baik ",IF(BQ18&gt;=KKM!$I$10," cukup baik "," perlu bimbingan ")))</f>
        <v xml:space="preserve"> sangat baik </v>
      </c>
      <c r="BS18" s="301" t="str">
        <f t="shared" si="31"/>
        <v>Anak 14 sangat baik  dalam membandingkan siklus hidup beberapa jenis makhluk hidup serta mengaitkan dengan upaya pelestariannya.</v>
      </c>
      <c r="BT18" s="307" t="str">
        <f t="shared" si="25"/>
        <v xml:space="preserve"> sangat baik  dalam membandingkan siklus hidup beberapa jenis makhluk hidup serta mengaitkan dengan upaya pelestariannya.</v>
      </c>
      <c r="BU18" s="307" t="str">
        <f t="shared" si="26"/>
        <v xml:space="preserve"> sangat baik  dalam membandingkan siklus hidup beberapa jenis makhluk hidup serta mengaitkan dengan upaya pelestariannya.</v>
      </c>
      <c r="BV18"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8" s="307" t="str">
        <f t="shared" si="28"/>
        <v xml:space="preserve"> sangat baik  dalam membandingkan siklus hidup beberapa jenis makhluk hidup serta mengaitkan dengan upaya pelestariannya.</v>
      </c>
      <c r="BX18" s="308" t="str">
        <f t="shared" si="29"/>
        <v xml:space="preserve"> sangat baik  dalam membandingkan siklus hidup beberapa jenis makhluk hidup serta mengaitkan dengan upaya pelestariannya.</v>
      </c>
      <c r="BY18" s="301" t="str">
        <f t="shared" si="30"/>
        <v>Anak 14 sangat baik  dalam membandingkan siklus hidup beberapa jenis makhluk hidup serta mengaitkan dengan upaya pelestariannya.</v>
      </c>
    </row>
    <row r="19" spans="2:77" ht="41.25" customHeight="1">
      <c r="B19" s="109">
        <v>15</v>
      </c>
      <c r="C19" s="110">
        <f>SISWA!B20</f>
        <v>0</v>
      </c>
      <c r="D19" s="111" t="str">
        <f>SISWA!E20</f>
        <v>Anak 15</v>
      </c>
      <c r="E19" s="631">
        <v>99</v>
      </c>
      <c r="F19" s="631">
        <v>99</v>
      </c>
      <c r="G19" s="631">
        <v>99</v>
      </c>
      <c r="H19" s="631">
        <v>99</v>
      </c>
      <c r="I19" s="730"/>
      <c r="J19" s="730"/>
      <c r="K19" s="731"/>
      <c r="L19" s="731"/>
      <c r="M19" s="731"/>
      <c r="N19" s="731"/>
      <c r="O19" s="730"/>
      <c r="P19" s="730"/>
      <c r="Q19" s="610"/>
      <c r="R19" s="631">
        <v>99</v>
      </c>
      <c r="S19" s="631">
        <v>99</v>
      </c>
      <c r="T19" s="631"/>
      <c r="U19" s="631"/>
      <c r="V19" s="631"/>
      <c r="W19" s="631"/>
      <c r="X19" s="610"/>
      <c r="Y19" s="631">
        <v>99</v>
      </c>
      <c r="Z19" s="631">
        <v>99</v>
      </c>
      <c r="AA19" s="631">
        <v>99</v>
      </c>
      <c r="AB19" s="631">
        <v>99</v>
      </c>
      <c r="AC19" s="609"/>
      <c r="AD19" s="609"/>
      <c r="AE19" s="518"/>
      <c r="AF19" s="607">
        <f t="shared" si="13"/>
        <v>99</v>
      </c>
      <c r="AG19" s="607">
        <f t="shared" si="14"/>
        <v>99</v>
      </c>
      <c r="AH19" s="607">
        <f t="shared" si="15"/>
        <v>99</v>
      </c>
      <c r="AI19" s="607">
        <f t="shared" si="16"/>
        <v>99</v>
      </c>
      <c r="AJ19" s="608" t="str">
        <f>IFERROR(((2*V19)+#REF!)/3,"")</f>
        <v/>
      </c>
      <c r="AK19" s="528"/>
      <c r="AL19" s="528"/>
      <c r="AM19" s="302">
        <f t="shared" si="7"/>
        <v>99</v>
      </c>
      <c r="AN19" s="303" t="str">
        <f>IF(AM19&gt;KKM!$G$10,"A",IF(AM19&gt;KKM!$H$10,"B",IF(AM19&gt;=KKM!$I$10,"C","D")))</f>
        <v>A</v>
      </c>
      <c r="AO19" s="523">
        <f t="shared" si="8"/>
        <v>99</v>
      </c>
      <c r="AP19" s="115" t="str">
        <f>IF(AO19&gt;KKM!$G$10," sangat baik ",IF(AO19&gt;KKM!$H$10," baik ",IF(AO19&gt;=KKM!$I$10," cukup baik "," perlu bimbingan ")))</f>
        <v xml:space="preserve"> sangat baik </v>
      </c>
      <c r="AQ19" s="524">
        <f t="shared" si="9"/>
        <v>99</v>
      </c>
      <c r="AR19" s="115" t="str">
        <f>IF(AQ19&gt;KKM!$G$10," sangat baik ",IF(AQ19&gt;KKM!$H$10," baik ",IF(AQ19&gt;=KKM!$I$10," cukup baik "," perlu bimbingan ")))</f>
        <v xml:space="preserve"> sangat baik </v>
      </c>
      <c r="AS19" s="301" t="str">
        <f t="shared" si="17"/>
        <v>Anak 15 sangat baik  dalam membandingkan siklus hidup beberapa jenis makhluk hidup serta mengaitkan dengan upaya pelestariannya.</v>
      </c>
      <c r="AT19" s="306"/>
      <c r="AU19" s="307" t="str">
        <f t="shared" si="10"/>
        <v xml:space="preserve"> sangat baik  dalam membandingkan siklus hidup beberapa jenis makhluk hidup serta mengaitkan dengan upaya pelestariannya.</v>
      </c>
      <c r="AV19" s="307" t="str">
        <f t="shared" si="11"/>
        <v xml:space="preserve"> sangat baik  dalam membandingkan siklus hidup beberapa jenis makhluk hidup serta mengaitkan dengan upaya pelestariannya.</v>
      </c>
      <c r="AW19"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19" s="307" t="str">
        <f t="shared" si="19"/>
        <v xml:space="preserve"> sangat baik  dalam membandingkan siklus hidup beberapa jenis makhluk hidup serta mengaitkan dengan upaya pelestariannya.</v>
      </c>
      <c r="AY19" s="308" t="str">
        <f t="shared" si="20"/>
        <v xml:space="preserve"> sangat baik  dalam membandingkan siklus hidup beberapa jenis makhluk hidup serta mengaitkan dengan upaya pelestariannya.</v>
      </c>
      <c r="AZ19" s="301" t="str">
        <f t="shared" si="12"/>
        <v>Anak 15 sangat baik  dalam membandingkan siklus hidup beberapa jenis makhluk hidup serta mengaitkan dengan upaya pelestariannya.</v>
      </c>
      <c r="BA19" s="120"/>
      <c r="BJ19" s="408">
        <f t="shared" si="21"/>
        <v>99</v>
      </c>
      <c r="BM19" s="302">
        <f t="shared" si="22"/>
        <v>99</v>
      </c>
      <c r="BN19" s="303" t="str">
        <f>IF(BM19&gt;KKM!$G$10,"A",IF(BM19&gt;KKM!$H$10,"B",IF(BM19&gt;=KKM!$I$10,"C","D")))</f>
        <v>A</v>
      </c>
      <c r="BO19" s="523">
        <f t="shared" si="23"/>
        <v>99</v>
      </c>
      <c r="BP19" s="115" t="str">
        <f>IF(BO19&gt;KKM!$G$10," sangat baik ",IF(BO19&gt;KKM!$H$10," baik ",IF(BO19&gt;=KKM!$I$10," cukup baik "," perlu bimbingan ")))</f>
        <v xml:space="preserve"> sangat baik </v>
      </c>
      <c r="BQ19" s="524">
        <f t="shared" si="24"/>
        <v>99</v>
      </c>
      <c r="BR19" s="115" t="str">
        <f>IF(BQ19&gt;KKM!$G$10," sangat baik ",IF(BQ19&gt;KKM!$H$10," baik ",IF(BQ19&gt;=KKM!$I$10," cukup baik "," perlu bimbingan ")))</f>
        <v xml:space="preserve"> sangat baik </v>
      </c>
      <c r="BS19" s="301" t="str">
        <f t="shared" si="31"/>
        <v>Anak 15 sangat baik  dalam membandingkan siklus hidup beberapa jenis makhluk hidup serta mengaitkan dengan upaya pelestariannya.</v>
      </c>
      <c r="BT19" s="307" t="str">
        <f t="shared" si="25"/>
        <v xml:space="preserve"> sangat baik  dalam membandingkan siklus hidup beberapa jenis makhluk hidup serta mengaitkan dengan upaya pelestariannya.</v>
      </c>
      <c r="BU19" s="307" t="str">
        <f t="shared" si="26"/>
        <v xml:space="preserve"> sangat baik  dalam membandingkan siklus hidup beberapa jenis makhluk hidup serta mengaitkan dengan upaya pelestariannya.</v>
      </c>
      <c r="BV19"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19" s="307" t="str">
        <f t="shared" si="28"/>
        <v xml:space="preserve"> sangat baik  dalam membandingkan siklus hidup beberapa jenis makhluk hidup serta mengaitkan dengan upaya pelestariannya.</v>
      </c>
      <c r="BX19" s="308" t="str">
        <f t="shared" si="29"/>
        <v xml:space="preserve"> sangat baik  dalam membandingkan siklus hidup beberapa jenis makhluk hidup serta mengaitkan dengan upaya pelestariannya.</v>
      </c>
      <c r="BY19" s="301" t="str">
        <f t="shared" si="30"/>
        <v>Anak 15 sangat baik  dalam membandingkan siklus hidup beberapa jenis makhluk hidup serta mengaitkan dengan upaya pelestariannya.</v>
      </c>
    </row>
    <row r="20" spans="2:77" ht="41.25" customHeight="1">
      <c r="B20" s="109">
        <v>16</v>
      </c>
      <c r="C20" s="110">
        <f>SISWA!B21</f>
        <v>0</v>
      </c>
      <c r="D20" s="111" t="str">
        <f>SISWA!E21</f>
        <v>Anak 16</v>
      </c>
      <c r="E20" s="631">
        <v>99</v>
      </c>
      <c r="F20" s="631">
        <v>99</v>
      </c>
      <c r="G20" s="631">
        <v>99</v>
      </c>
      <c r="H20" s="631">
        <v>99</v>
      </c>
      <c r="I20" s="730"/>
      <c r="J20" s="730"/>
      <c r="K20" s="731"/>
      <c r="L20" s="731"/>
      <c r="M20" s="731"/>
      <c r="N20" s="731"/>
      <c r="O20" s="730"/>
      <c r="P20" s="730"/>
      <c r="Q20" s="610"/>
      <c r="R20" s="631">
        <v>99</v>
      </c>
      <c r="S20" s="631">
        <v>99</v>
      </c>
      <c r="T20" s="631"/>
      <c r="U20" s="631"/>
      <c r="V20" s="631"/>
      <c r="W20" s="631"/>
      <c r="X20" s="610"/>
      <c r="Y20" s="631">
        <v>99</v>
      </c>
      <c r="Z20" s="631">
        <v>99</v>
      </c>
      <c r="AA20" s="631">
        <v>99</v>
      </c>
      <c r="AB20" s="631">
        <v>99</v>
      </c>
      <c r="AC20" s="609"/>
      <c r="AD20" s="609"/>
      <c r="AE20" s="518"/>
      <c r="AF20" s="607">
        <f t="shared" si="13"/>
        <v>99</v>
      </c>
      <c r="AG20" s="607">
        <f t="shared" si="14"/>
        <v>99</v>
      </c>
      <c r="AH20" s="607">
        <f t="shared" si="15"/>
        <v>99</v>
      </c>
      <c r="AI20" s="607">
        <f t="shared" si="16"/>
        <v>99</v>
      </c>
      <c r="AJ20" s="608" t="str">
        <f>IFERROR(((2*V20)+#REF!)/3,"")</f>
        <v/>
      </c>
      <c r="AK20" s="528"/>
      <c r="AL20" s="528"/>
      <c r="AM20" s="302">
        <f t="shared" si="7"/>
        <v>99</v>
      </c>
      <c r="AN20" s="303" t="str">
        <f>IF(AM20&gt;KKM!$G$10,"A",IF(AM20&gt;KKM!$H$10,"B",IF(AM20&gt;=KKM!$I$10,"C","D")))</f>
        <v>A</v>
      </c>
      <c r="AO20" s="523">
        <f t="shared" si="8"/>
        <v>99</v>
      </c>
      <c r="AP20" s="115" t="str">
        <f>IF(AO20&gt;KKM!$G$10," sangat baik ",IF(AO20&gt;KKM!$H$10," baik ",IF(AO20&gt;=KKM!$I$10," cukup baik "," perlu bimbingan ")))</f>
        <v xml:space="preserve"> sangat baik </v>
      </c>
      <c r="AQ20" s="524">
        <f t="shared" si="9"/>
        <v>99</v>
      </c>
      <c r="AR20" s="115" t="str">
        <f>IF(AQ20&gt;KKM!$G$10," sangat baik ",IF(AQ20&gt;KKM!$H$10," baik ",IF(AQ20&gt;=KKM!$I$10," cukup baik "," perlu bimbingan ")))</f>
        <v xml:space="preserve"> sangat baik </v>
      </c>
      <c r="AS20" s="301" t="str">
        <f t="shared" si="17"/>
        <v>Anak 16 sangat baik  dalam membandingkan siklus hidup beberapa jenis makhluk hidup serta mengaitkan dengan upaya pelestariannya.</v>
      </c>
      <c r="AT20" s="306"/>
      <c r="AU20" s="307" t="str">
        <f t="shared" si="10"/>
        <v xml:space="preserve"> sangat baik  dalam membandingkan siklus hidup beberapa jenis makhluk hidup serta mengaitkan dengan upaya pelestariannya.</v>
      </c>
      <c r="AV20" s="307" t="str">
        <f t="shared" si="11"/>
        <v xml:space="preserve"> sangat baik  dalam membandingkan siklus hidup beberapa jenis makhluk hidup serta mengaitkan dengan upaya pelestariannya.</v>
      </c>
      <c r="AW20"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0" s="307" t="str">
        <f t="shared" si="19"/>
        <v xml:space="preserve"> sangat baik  dalam membandingkan siklus hidup beberapa jenis makhluk hidup serta mengaitkan dengan upaya pelestariannya.</v>
      </c>
      <c r="AY20" s="308" t="str">
        <f t="shared" si="20"/>
        <v xml:space="preserve"> sangat baik  dalam membandingkan siklus hidup beberapa jenis makhluk hidup serta mengaitkan dengan upaya pelestariannya.</v>
      </c>
      <c r="AZ20" s="301" t="str">
        <f t="shared" si="12"/>
        <v>Anak 16 sangat baik  dalam membandingkan siklus hidup beberapa jenis makhluk hidup serta mengaitkan dengan upaya pelestariannya.</v>
      </c>
      <c r="BA20" s="120"/>
      <c r="BJ20" s="408">
        <f t="shared" si="21"/>
        <v>99</v>
      </c>
      <c r="BM20" s="302">
        <f t="shared" si="22"/>
        <v>99</v>
      </c>
      <c r="BN20" s="303" t="str">
        <f>IF(BM20&gt;KKM!$G$10,"A",IF(BM20&gt;KKM!$H$10,"B",IF(BM20&gt;=KKM!$I$10,"C","D")))</f>
        <v>A</v>
      </c>
      <c r="BO20" s="523">
        <f t="shared" si="23"/>
        <v>99</v>
      </c>
      <c r="BP20" s="115" t="str">
        <f>IF(BO20&gt;KKM!$G$10," sangat baik ",IF(BO20&gt;KKM!$H$10," baik ",IF(BO20&gt;=KKM!$I$10," cukup baik "," perlu bimbingan ")))</f>
        <v xml:space="preserve"> sangat baik </v>
      </c>
      <c r="BQ20" s="524">
        <f t="shared" si="24"/>
        <v>99</v>
      </c>
      <c r="BR20" s="115" t="str">
        <f>IF(BQ20&gt;KKM!$G$10," sangat baik ",IF(BQ20&gt;KKM!$H$10," baik ",IF(BQ20&gt;=KKM!$I$10," cukup baik "," perlu bimbingan ")))</f>
        <v xml:space="preserve"> sangat baik </v>
      </c>
      <c r="BS20" s="301" t="str">
        <f t="shared" si="31"/>
        <v>Anak 16 sangat baik  dalam membandingkan siklus hidup beberapa jenis makhluk hidup serta mengaitkan dengan upaya pelestariannya.</v>
      </c>
      <c r="BT20" s="307" t="str">
        <f t="shared" si="25"/>
        <v xml:space="preserve"> sangat baik  dalam membandingkan siklus hidup beberapa jenis makhluk hidup serta mengaitkan dengan upaya pelestariannya.</v>
      </c>
      <c r="BU20" s="307" t="str">
        <f t="shared" si="26"/>
        <v xml:space="preserve"> sangat baik  dalam membandingkan siklus hidup beberapa jenis makhluk hidup serta mengaitkan dengan upaya pelestariannya.</v>
      </c>
      <c r="BV20"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0" s="307" t="str">
        <f t="shared" si="28"/>
        <v xml:space="preserve"> sangat baik  dalam membandingkan siklus hidup beberapa jenis makhluk hidup serta mengaitkan dengan upaya pelestariannya.</v>
      </c>
      <c r="BX20" s="308" t="str">
        <f t="shared" si="29"/>
        <v xml:space="preserve"> sangat baik  dalam membandingkan siklus hidup beberapa jenis makhluk hidup serta mengaitkan dengan upaya pelestariannya.</v>
      </c>
      <c r="BY20" s="301" t="str">
        <f t="shared" si="30"/>
        <v>Anak 16 sangat baik  dalam membandingkan siklus hidup beberapa jenis makhluk hidup serta mengaitkan dengan upaya pelestariannya.</v>
      </c>
    </row>
    <row r="21" spans="2:77" ht="41.25" customHeight="1">
      <c r="B21" s="109">
        <v>17</v>
      </c>
      <c r="C21" s="110">
        <f>SISWA!B22</f>
        <v>0</v>
      </c>
      <c r="D21" s="111" t="str">
        <f>SISWA!E22</f>
        <v>Anak 17</v>
      </c>
      <c r="E21" s="631">
        <v>99</v>
      </c>
      <c r="F21" s="631">
        <v>99</v>
      </c>
      <c r="G21" s="631">
        <v>99</v>
      </c>
      <c r="H21" s="631">
        <v>99</v>
      </c>
      <c r="I21" s="730"/>
      <c r="J21" s="730"/>
      <c r="K21" s="731"/>
      <c r="L21" s="731"/>
      <c r="M21" s="731"/>
      <c r="N21" s="731"/>
      <c r="O21" s="730"/>
      <c r="P21" s="730"/>
      <c r="Q21" s="610"/>
      <c r="R21" s="631">
        <v>99</v>
      </c>
      <c r="S21" s="631">
        <v>99</v>
      </c>
      <c r="T21" s="631"/>
      <c r="U21" s="631"/>
      <c r="V21" s="631"/>
      <c r="W21" s="631"/>
      <c r="X21" s="610"/>
      <c r="Y21" s="631">
        <v>99</v>
      </c>
      <c r="Z21" s="631">
        <v>99</v>
      </c>
      <c r="AA21" s="631">
        <v>99</v>
      </c>
      <c r="AB21" s="631">
        <v>99</v>
      </c>
      <c r="AC21" s="609"/>
      <c r="AD21" s="609"/>
      <c r="AE21" s="518"/>
      <c r="AF21" s="607">
        <f t="shared" si="13"/>
        <v>99</v>
      </c>
      <c r="AG21" s="607">
        <f t="shared" si="14"/>
        <v>99</v>
      </c>
      <c r="AH21" s="607">
        <f t="shared" si="15"/>
        <v>99</v>
      </c>
      <c r="AI21" s="607">
        <f t="shared" si="16"/>
        <v>99</v>
      </c>
      <c r="AJ21" s="608" t="str">
        <f>IFERROR(((2*V21)+#REF!)/3,"")</f>
        <v/>
      </c>
      <c r="AK21" s="528"/>
      <c r="AL21" s="528"/>
      <c r="AM21" s="302">
        <f t="shared" si="7"/>
        <v>99</v>
      </c>
      <c r="AN21" s="303" t="str">
        <f>IF(AM21&gt;KKM!$G$10,"A",IF(AM21&gt;KKM!$H$10,"B",IF(AM21&gt;=KKM!$I$10,"C","D")))</f>
        <v>A</v>
      </c>
      <c r="AO21" s="523">
        <f t="shared" si="8"/>
        <v>99</v>
      </c>
      <c r="AP21" s="115" t="str">
        <f>IF(AO21&gt;KKM!$G$10," sangat baik ",IF(AO21&gt;KKM!$H$10," baik ",IF(AO21&gt;=KKM!$I$10," cukup baik "," perlu bimbingan ")))</f>
        <v xml:space="preserve"> sangat baik </v>
      </c>
      <c r="AQ21" s="524">
        <f t="shared" si="9"/>
        <v>99</v>
      </c>
      <c r="AR21" s="115" t="str">
        <f>IF(AQ21&gt;KKM!$G$10," sangat baik ",IF(AQ21&gt;KKM!$H$10," baik ",IF(AQ21&gt;=KKM!$I$10," cukup baik "," perlu bimbingan ")))</f>
        <v xml:space="preserve"> sangat baik </v>
      </c>
      <c r="AS21" s="301" t="str">
        <f t="shared" si="17"/>
        <v>Anak 17 sangat baik  dalam membandingkan siklus hidup beberapa jenis makhluk hidup serta mengaitkan dengan upaya pelestariannya.</v>
      </c>
      <c r="AT21" s="306"/>
      <c r="AU21" s="307" t="str">
        <f t="shared" si="10"/>
        <v xml:space="preserve"> sangat baik  dalam membandingkan siklus hidup beberapa jenis makhluk hidup serta mengaitkan dengan upaya pelestariannya.</v>
      </c>
      <c r="AV21" s="307" t="str">
        <f t="shared" si="11"/>
        <v xml:space="preserve"> sangat baik  dalam membandingkan siklus hidup beberapa jenis makhluk hidup serta mengaitkan dengan upaya pelestariannya.</v>
      </c>
      <c r="AW21"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1" s="307" t="str">
        <f t="shared" si="19"/>
        <v xml:space="preserve"> sangat baik  dalam membandingkan siklus hidup beberapa jenis makhluk hidup serta mengaitkan dengan upaya pelestariannya.</v>
      </c>
      <c r="AY21" s="308" t="str">
        <f t="shared" si="20"/>
        <v xml:space="preserve"> sangat baik  dalam membandingkan siklus hidup beberapa jenis makhluk hidup serta mengaitkan dengan upaya pelestariannya.</v>
      </c>
      <c r="AZ21" s="301" t="str">
        <f t="shared" si="12"/>
        <v>Anak 17 sangat baik  dalam membandingkan siklus hidup beberapa jenis makhluk hidup serta mengaitkan dengan upaya pelestariannya.</v>
      </c>
      <c r="BA21" s="120"/>
      <c r="BJ21" s="408">
        <f t="shared" si="21"/>
        <v>99</v>
      </c>
      <c r="BM21" s="302">
        <f t="shared" si="22"/>
        <v>99</v>
      </c>
      <c r="BN21" s="303" t="str">
        <f>IF(BM21&gt;KKM!$G$10,"A",IF(BM21&gt;KKM!$H$10,"B",IF(BM21&gt;=KKM!$I$10,"C","D")))</f>
        <v>A</v>
      </c>
      <c r="BO21" s="523">
        <f t="shared" si="23"/>
        <v>99</v>
      </c>
      <c r="BP21" s="115" t="str">
        <f>IF(BO21&gt;KKM!$G$10," sangat baik ",IF(BO21&gt;KKM!$H$10," baik ",IF(BO21&gt;=KKM!$I$10," cukup baik "," perlu bimbingan ")))</f>
        <v xml:space="preserve"> sangat baik </v>
      </c>
      <c r="BQ21" s="524">
        <f t="shared" si="24"/>
        <v>99</v>
      </c>
      <c r="BR21" s="115" t="str">
        <f>IF(BQ21&gt;KKM!$G$10," sangat baik ",IF(BQ21&gt;KKM!$H$10," baik ",IF(BQ21&gt;=KKM!$I$10," cukup baik "," perlu bimbingan ")))</f>
        <v xml:space="preserve"> sangat baik </v>
      </c>
      <c r="BS21" s="301" t="str">
        <f t="shared" si="31"/>
        <v>Anak 17 sangat baik  dalam membandingkan siklus hidup beberapa jenis makhluk hidup serta mengaitkan dengan upaya pelestariannya.</v>
      </c>
      <c r="BT21" s="307" t="str">
        <f t="shared" si="25"/>
        <v xml:space="preserve"> sangat baik  dalam membandingkan siklus hidup beberapa jenis makhluk hidup serta mengaitkan dengan upaya pelestariannya.</v>
      </c>
      <c r="BU21" s="307" t="str">
        <f t="shared" si="26"/>
        <v xml:space="preserve"> sangat baik  dalam membandingkan siklus hidup beberapa jenis makhluk hidup serta mengaitkan dengan upaya pelestariannya.</v>
      </c>
      <c r="BV21"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1" s="307" t="str">
        <f t="shared" si="28"/>
        <v xml:space="preserve"> sangat baik  dalam membandingkan siklus hidup beberapa jenis makhluk hidup serta mengaitkan dengan upaya pelestariannya.</v>
      </c>
      <c r="BX21" s="308" t="str">
        <f t="shared" si="29"/>
        <v xml:space="preserve"> sangat baik  dalam membandingkan siklus hidup beberapa jenis makhluk hidup serta mengaitkan dengan upaya pelestariannya.</v>
      </c>
      <c r="BY21" s="301" t="str">
        <f t="shared" si="30"/>
        <v>Anak 17 sangat baik  dalam membandingkan siklus hidup beberapa jenis makhluk hidup serta mengaitkan dengan upaya pelestariannya.</v>
      </c>
    </row>
    <row r="22" spans="2:77" ht="41.25" customHeight="1">
      <c r="B22" s="109">
        <v>18</v>
      </c>
      <c r="C22" s="110">
        <f>SISWA!B23</f>
        <v>0</v>
      </c>
      <c r="D22" s="111" t="str">
        <f>SISWA!E23</f>
        <v>Anak 18</v>
      </c>
      <c r="E22" s="631">
        <v>99</v>
      </c>
      <c r="F22" s="631">
        <v>99</v>
      </c>
      <c r="G22" s="631">
        <v>99</v>
      </c>
      <c r="H22" s="631">
        <v>99</v>
      </c>
      <c r="I22" s="730"/>
      <c r="J22" s="730"/>
      <c r="K22" s="731"/>
      <c r="L22" s="731"/>
      <c r="M22" s="731"/>
      <c r="N22" s="731"/>
      <c r="O22" s="730"/>
      <c r="P22" s="730"/>
      <c r="Q22" s="610"/>
      <c r="R22" s="631">
        <v>99</v>
      </c>
      <c r="S22" s="631">
        <v>99</v>
      </c>
      <c r="T22" s="631"/>
      <c r="U22" s="631"/>
      <c r="V22" s="631"/>
      <c r="W22" s="631"/>
      <c r="X22" s="610"/>
      <c r="Y22" s="631">
        <v>99</v>
      </c>
      <c r="Z22" s="631">
        <v>99</v>
      </c>
      <c r="AA22" s="631">
        <v>99</v>
      </c>
      <c r="AB22" s="631">
        <v>99</v>
      </c>
      <c r="AC22" s="609"/>
      <c r="AD22" s="609"/>
      <c r="AE22" s="518"/>
      <c r="AF22" s="607">
        <f t="shared" si="13"/>
        <v>99</v>
      </c>
      <c r="AG22" s="607">
        <f t="shared" si="14"/>
        <v>99</v>
      </c>
      <c r="AH22" s="607">
        <f t="shared" si="15"/>
        <v>99</v>
      </c>
      <c r="AI22" s="607">
        <f t="shared" si="16"/>
        <v>99</v>
      </c>
      <c r="AJ22" s="608" t="str">
        <f>IFERROR(((2*V22)+#REF!)/3,"")</f>
        <v/>
      </c>
      <c r="AK22" s="528"/>
      <c r="AL22" s="528"/>
      <c r="AM22" s="302">
        <f t="shared" si="7"/>
        <v>99</v>
      </c>
      <c r="AN22" s="303" t="str">
        <f>IF(AM22&gt;KKM!$G$10,"A",IF(AM22&gt;KKM!$H$10,"B",IF(AM22&gt;=KKM!$I$10,"C","D")))</f>
        <v>A</v>
      </c>
      <c r="AO22" s="523">
        <f t="shared" si="8"/>
        <v>99</v>
      </c>
      <c r="AP22" s="115" t="str">
        <f>IF(AO22&gt;KKM!$G$10," sangat baik ",IF(AO22&gt;KKM!$H$10," baik ",IF(AO22&gt;=KKM!$I$10," cukup baik "," perlu bimbingan ")))</f>
        <v xml:space="preserve"> sangat baik </v>
      </c>
      <c r="AQ22" s="524">
        <f t="shared" si="9"/>
        <v>99</v>
      </c>
      <c r="AR22" s="115" t="str">
        <f>IF(AQ22&gt;KKM!$G$10," sangat baik ",IF(AQ22&gt;KKM!$H$10," baik ",IF(AQ22&gt;=KKM!$I$10," cukup baik "," perlu bimbingan ")))</f>
        <v xml:space="preserve"> sangat baik </v>
      </c>
      <c r="AS22" s="301" t="str">
        <f t="shared" si="17"/>
        <v>Anak 18 sangat baik  dalam membandingkan siklus hidup beberapa jenis makhluk hidup serta mengaitkan dengan upaya pelestariannya.</v>
      </c>
      <c r="AT22" s="306"/>
      <c r="AU22" s="307" t="str">
        <f t="shared" si="10"/>
        <v xml:space="preserve"> sangat baik  dalam membandingkan siklus hidup beberapa jenis makhluk hidup serta mengaitkan dengan upaya pelestariannya.</v>
      </c>
      <c r="AV22" s="307" t="str">
        <f t="shared" si="11"/>
        <v xml:space="preserve"> sangat baik  dalam membandingkan siklus hidup beberapa jenis makhluk hidup serta mengaitkan dengan upaya pelestariannya.</v>
      </c>
      <c r="AW22"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2" s="307" t="str">
        <f t="shared" si="19"/>
        <v xml:space="preserve"> sangat baik  dalam membandingkan siklus hidup beberapa jenis makhluk hidup serta mengaitkan dengan upaya pelestariannya.</v>
      </c>
      <c r="AY22" s="308" t="str">
        <f t="shared" si="20"/>
        <v xml:space="preserve"> sangat baik  dalam membandingkan siklus hidup beberapa jenis makhluk hidup serta mengaitkan dengan upaya pelestariannya.</v>
      </c>
      <c r="AZ22" s="301" t="str">
        <f t="shared" si="12"/>
        <v>Anak 18 sangat baik  dalam membandingkan siklus hidup beberapa jenis makhluk hidup serta mengaitkan dengan upaya pelestariannya.</v>
      </c>
      <c r="BA22" s="120"/>
      <c r="BJ22" s="408">
        <f t="shared" si="21"/>
        <v>99</v>
      </c>
      <c r="BM22" s="302">
        <f t="shared" si="22"/>
        <v>99</v>
      </c>
      <c r="BN22" s="303" t="str">
        <f>IF(BM22&gt;KKM!$G$10,"A",IF(BM22&gt;KKM!$H$10,"B",IF(BM22&gt;=KKM!$I$10,"C","D")))</f>
        <v>A</v>
      </c>
      <c r="BO22" s="523">
        <f t="shared" si="23"/>
        <v>99</v>
      </c>
      <c r="BP22" s="115" t="str">
        <f>IF(BO22&gt;KKM!$G$10," sangat baik ",IF(BO22&gt;KKM!$H$10," baik ",IF(BO22&gt;=KKM!$I$10," cukup baik "," perlu bimbingan ")))</f>
        <v xml:space="preserve"> sangat baik </v>
      </c>
      <c r="BQ22" s="524">
        <f t="shared" si="24"/>
        <v>99</v>
      </c>
      <c r="BR22" s="115" t="str">
        <f>IF(BQ22&gt;KKM!$G$10," sangat baik ",IF(BQ22&gt;KKM!$H$10," baik ",IF(BQ22&gt;=KKM!$I$10," cukup baik "," perlu bimbingan ")))</f>
        <v xml:space="preserve"> sangat baik </v>
      </c>
      <c r="BS22" s="301" t="str">
        <f t="shared" si="31"/>
        <v>Anak 18 sangat baik  dalam membandingkan siklus hidup beberapa jenis makhluk hidup serta mengaitkan dengan upaya pelestariannya.</v>
      </c>
      <c r="BT22" s="307" t="str">
        <f t="shared" si="25"/>
        <v xml:space="preserve"> sangat baik  dalam membandingkan siklus hidup beberapa jenis makhluk hidup serta mengaitkan dengan upaya pelestariannya.</v>
      </c>
      <c r="BU22" s="307" t="str">
        <f t="shared" si="26"/>
        <v xml:space="preserve"> sangat baik  dalam membandingkan siklus hidup beberapa jenis makhluk hidup serta mengaitkan dengan upaya pelestariannya.</v>
      </c>
      <c r="BV22"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2" s="307" t="str">
        <f t="shared" si="28"/>
        <v xml:space="preserve"> sangat baik  dalam membandingkan siklus hidup beberapa jenis makhluk hidup serta mengaitkan dengan upaya pelestariannya.</v>
      </c>
      <c r="BX22" s="308" t="str">
        <f t="shared" si="29"/>
        <v xml:space="preserve"> sangat baik  dalam membandingkan siklus hidup beberapa jenis makhluk hidup serta mengaitkan dengan upaya pelestariannya.</v>
      </c>
      <c r="BY22" s="301" t="str">
        <f t="shared" si="30"/>
        <v>Anak 18 sangat baik  dalam membandingkan siklus hidup beberapa jenis makhluk hidup serta mengaitkan dengan upaya pelestariannya.</v>
      </c>
    </row>
    <row r="23" spans="2:77" ht="41.25" customHeight="1">
      <c r="B23" s="109">
        <v>19</v>
      </c>
      <c r="C23" s="110">
        <f>SISWA!B24</f>
        <v>0</v>
      </c>
      <c r="D23" s="111" t="str">
        <f>SISWA!E24</f>
        <v>Anak 19</v>
      </c>
      <c r="E23" s="631">
        <v>99</v>
      </c>
      <c r="F23" s="631">
        <v>99</v>
      </c>
      <c r="G23" s="631">
        <v>99</v>
      </c>
      <c r="H23" s="631">
        <v>99</v>
      </c>
      <c r="I23" s="730"/>
      <c r="J23" s="730"/>
      <c r="K23" s="731"/>
      <c r="L23" s="731"/>
      <c r="M23" s="731"/>
      <c r="N23" s="731"/>
      <c r="O23" s="730"/>
      <c r="P23" s="730"/>
      <c r="Q23" s="610"/>
      <c r="R23" s="631">
        <v>99</v>
      </c>
      <c r="S23" s="631">
        <v>99</v>
      </c>
      <c r="T23" s="631"/>
      <c r="U23" s="631"/>
      <c r="V23" s="631"/>
      <c r="W23" s="631"/>
      <c r="X23" s="610"/>
      <c r="Y23" s="631">
        <v>99</v>
      </c>
      <c r="Z23" s="631">
        <v>99</v>
      </c>
      <c r="AA23" s="631">
        <v>99</v>
      </c>
      <c r="AB23" s="631">
        <v>99</v>
      </c>
      <c r="AC23" s="609"/>
      <c r="AD23" s="609"/>
      <c r="AE23" s="518"/>
      <c r="AF23" s="607">
        <f t="shared" si="13"/>
        <v>99</v>
      </c>
      <c r="AG23" s="607">
        <f t="shared" si="14"/>
        <v>99</v>
      </c>
      <c r="AH23" s="607">
        <f t="shared" si="15"/>
        <v>99</v>
      </c>
      <c r="AI23" s="607">
        <f t="shared" si="16"/>
        <v>99</v>
      </c>
      <c r="AJ23" s="608" t="str">
        <f>IFERROR(((2*V23)+#REF!)/3,"")</f>
        <v/>
      </c>
      <c r="AK23" s="528"/>
      <c r="AL23" s="528"/>
      <c r="AM23" s="302">
        <f t="shared" si="7"/>
        <v>99</v>
      </c>
      <c r="AN23" s="303" t="str">
        <f>IF(AM23&gt;KKM!$G$10,"A",IF(AM23&gt;KKM!$H$10,"B",IF(AM23&gt;=KKM!$I$10,"C","D")))</f>
        <v>A</v>
      </c>
      <c r="AO23" s="523">
        <f t="shared" si="8"/>
        <v>99</v>
      </c>
      <c r="AP23" s="115" t="str">
        <f>IF(AO23&gt;KKM!$G$10," sangat baik ",IF(AO23&gt;KKM!$H$10," baik ",IF(AO23&gt;=KKM!$I$10," cukup baik "," perlu bimbingan ")))</f>
        <v xml:space="preserve"> sangat baik </v>
      </c>
      <c r="AQ23" s="524">
        <f t="shared" si="9"/>
        <v>99</v>
      </c>
      <c r="AR23" s="115" t="str">
        <f>IF(AQ23&gt;KKM!$G$10," sangat baik ",IF(AQ23&gt;KKM!$H$10," baik ",IF(AQ23&gt;=KKM!$I$10," cukup baik "," perlu bimbingan ")))</f>
        <v xml:space="preserve"> sangat baik </v>
      </c>
      <c r="AS23" s="301" t="str">
        <f t="shared" si="17"/>
        <v>Anak 19 sangat baik  dalam membandingkan siklus hidup beberapa jenis makhluk hidup serta mengaitkan dengan upaya pelestariannya.</v>
      </c>
      <c r="AT23" s="306"/>
      <c r="AU23" s="307" t="str">
        <f t="shared" si="10"/>
        <v xml:space="preserve"> sangat baik  dalam membandingkan siklus hidup beberapa jenis makhluk hidup serta mengaitkan dengan upaya pelestariannya.</v>
      </c>
      <c r="AV23" s="307" t="str">
        <f t="shared" si="11"/>
        <v xml:space="preserve"> sangat baik  dalam membandingkan siklus hidup beberapa jenis makhluk hidup serta mengaitkan dengan upaya pelestariannya.</v>
      </c>
      <c r="AW23"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3" s="307" t="str">
        <f t="shared" si="19"/>
        <v xml:space="preserve"> sangat baik  dalam membandingkan siklus hidup beberapa jenis makhluk hidup serta mengaitkan dengan upaya pelestariannya.</v>
      </c>
      <c r="AY23" s="308" t="str">
        <f t="shared" si="20"/>
        <v xml:space="preserve"> sangat baik  dalam membandingkan siklus hidup beberapa jenis makhluk hidup serta mengaitkan dengan upaya pelestariannya.</v>
      </c>
      <c r="AZ23" s="301" t="str">
        <f t="shared" si="12"/>
        <v>Anak 19 sangat baik  dalam membandingkan siklus hidup beberapa jenis makhluk hidup serta mengaitkan dengan upaya pelestariannya.</v>
      </c>
      <c r="BA23" s="120"/>
      <c r="BJ23" s="408">
        <f t="shared" si="21"/>
        <v>99</v>
      </c>
      <c r="BM23" s="302">
        <f t="shared" si="22"/>
        <v>99</v>
      </c>
      <c r="BN23" s="303" t="str">
        <f>IF(BM23&gt;KKM!$G$10,"A",IF(BM23&gt;KKM!$H$10,"B",IF(BM23&gt;=KKM!$I$10,"C","D")))</f>
        <v>A</v>
      </c>
      <c r="BO23" s="523">
        <f t="shared" si="23"/>
        <v>99</v>
      </c>
      <c r="BP23" s="115" t="str">
        <f>IF(BO23&gt;KKM!$G$10," sangat baik ",IF(BO23&gt;KKM!$H$10," baik ",IF(BO23&gt;=KKM!$I$10," cukup baik "," perlu bimbingan ")))</f>
        <v xml:space="preserve"> sangat baik </v>
      </c>
      <c r="BQ23" s="524">
        <f t="shared" si="24"/>
        <v>99</v>
      </c>
      <c r="BR23" s="115" t="str">
        <f>IF(BQ23&gt;KKM!$G$10," sangat baik ",IF(BQ23&gt;KKM!$H$10," baik ",IF(BQ23&gt;=KKM!$I$10," cukup baik "," perlu bimbingan ")))</f>
        <v xml:space="preserve"> sangat baik </v>
      </c>
      <c r="BS23" s="301" t="str">
        <f t="shared" si="31"/>
        <v>Anak 19 sangat baik  dalam membandingkan siklus hidup beberapa jenis makhluk hidup serta mengaitkan dengan upaya pelestariannya.</v>
      </c>
      <c r="BT23" s="307" t="str">
        <f t="shared" si="25"/>
        <v xml:space="preserve"> sangat baik  dalam membandingkan siklus hidup beberapa jenis makhluk hidup serta mengaitkan dengan upaya pelestariannya.</v>
      </c>
      <c r="BU23" s="307" t="str">
        <f t="shared" si="26"/>
        <v xml:space="preserve"> sangat baik  dalam membandingkan siklus hidup beberapa jenis makhluk hidup serta mengaitkan dengan upaya pelestariannya.</v>
      </c>
      <c r="BV23"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3" s="307" t="str">
        <f t="shared" si="28"/>
        <v xml:space="preserve"> sangat baik  dalam membandingkan siklus hidup beberapa jenis makhluk hidup serta mengaitkan dengan upaya pelestariannya.</v>
      </c>
      <c r="BX23" s="308" t="str">
        <f t="shared" si="29"/>
        <v xml:space="preserve"> sangat baik  dalam membandingkan siklus hidup beberapa jenis makhluk hidup serta mengaitkan dengan upaya pelestariannya.</v>
      </c>
      <c r="BY23" s="301" t="str">
        <f t="shared" si="30"/>
        <v>Anak 19 sangat baik  dalam membandingkan siklus hidup beberapa jenis makhluk hidup serta mengaitkan dengan upaya pelestariannya.</v>
      </c>
    </row>
    <row r="24" spans="2:77" ht="41.25" customHeight="1">
      <c r="B24" s="109">
        <v>20</v>
      </c>
      <c r="C24" s="110">
        <f>SISWA!B25</f>
        <v>0</v>
      </c>
      <c r="D24" s="111" t="str">
        <f>SISWA!E25</f>
        <v>Anak 20</v>
      </c>
      <c r="E24" s="631">
        <v>99</v>
      </c>
      <c r="F24" s="631">
        <v>99</v>
      </c>
      <c r="G24" s="631">
        <v>99</v>
      </c>
      <c r="H24" s="631">
        <v>99</v>
      </c>
      <c r="I24" s="730"/>
      <c r="J24" s="730"/>
      <c r="K24" s="731"/>
      <c r="L24" s="731"/>
      <c r="M24" s="731"/>
      <c r="N24" s="731"/>
      <c r="O24" s="730"/>
      <c r="P24" s="730"/>
      <c r="Q24" s="610"/>
      <c r="R24" s="631">
        <v>99</v>
      </c>
      <c r="S24" s="631">
        <v>99</v>
      </c>
      <c r="T24" s="631"/>
      <c r="U24" s="631"/>
      <c r="V24" s="631"/>
      <c r="W24" s="631"/>
      <c r="X24" s="610"/>
      <c r="Y24" s="631">
        <v>99</v>
      </c>
      <c r="Z24" s="631">
        <v>99</v>
      </c>
      <c r="AA24" s="631">
        <v>99</v>
      </c>
      <c r="AB24" s="631">
        <v>99</v>
      </c>
      <c r="AC24" s="609"/>
      <c r="AD24" s="609"/>
      <c r="AE24" s="518"/>
      <c r="AF24" s="607">
        <f t="shared" si="13"/>
        <v>99</v>
      </c>
      <c r="AG24" s="607">
        <f t="shared" si="14"/>
        <v>99</v>
      </c>
      <c r="AH24" s="607">
        <f t="shared" si="15"/>
        <v>99</v>
      </c>
      <c r="AI24" s="607">
        <f t="shared" si="16"/>
        <v>99</v>
      </c>
      <c r="AJ24" s="608" t="str">
        <f>IFERROR(((2*V24)+#REF!)/3,"")</f>
        <v/>
      </c>
      <c r="AK24" s="528"/>
      <c r="AL24" s="528"/>
      <c r="AM24" s="302">
        <f t="shared" si="7"/>
        <v>99</v>
      </c>
      <c r="AN24" s="303" t="str">
        <f>IF(AM24&gt;KKM!$G$10,"A",IF(AM24&gt;KKM!$H$10,"B",IF(AM24&gt;=KKM!$I$10,"C","D")))</f>
        <v>A</v>
      </c>
      <c r="AO24" s="523">
        <f t="shared" si="8"/>
        <v>99</v>
      </c>
      <c r="AP24" s="115" t="str">
        <f>IF(AO24&gt;KKM!$G$10," sangat baik ",IF(AO24&gt;KKM!$H$10," baik ",IF(AO24&gt;=KKM!$I$10," cukup baik "," perlu bimbingan ")))</f>
        <v xml:space="preserve"> sangat baik </v>
      </c>
      <c r="AQ24" s="524">
        <f t="shared" si="9"/>
        <v>99</v>
      </c>
      <c r="AR24" s="115" t="str">
        <f>IF(AQ24&gt;KKM!$G$10," sangat baik ",IF(AQ24&gt;KKM!$H$10," baik ",IF(AQ24&gt;=KKM!$I$10," cukup baik "," perlu bimbingan ")))</f>
        <v xml:space="preserve"> sangat baik </v>
      </c>
      <c r="AS24" s="301" t="str">
        <f t="shared" si="17"/>
        <v>Anak 20 sangat baik  dalam membandingkan siklus hidup beberapa jenis makhluk hidup serta mengaitkan dengan upaya pelestariannya.</v>
      </c>
      <c r="AT24" s="306"/>
      <c r="AU24" s="307" t="str">
        <f t="shared" si="10"/>
        <v xml:space="preserve"> sangat baik  dalam membandingkan siklus hidup beberapa jenis makhluk hidup serta mengaitkan dengan upaya pelestariannya.</v>
      </c>
      <c r="AV24" s="307" t="str">
        <f t="shared" si="11"/>
        <v xml:space="preserve"> sangat baik  dalam membandingkan siklus hidup beberapa jenis makhluk hidup serta mengaitkan dengan upaya pelestariannya.</v>
      </c>
      <c r="AW24"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4" s="307" t="str">
        <f t="shared" si="19"/>
        <v xml:space="preserve"> sangat baik  dalam membandingkan siklus hidup beberapa jenis makhluk hidup serta mengaitkan dengan upaya pelestariannya.</v>
      </c>
      <c r="AY24" s="308" t="str">
        <f t="shared" si="20"/>
        <v xml:space="preserve"> sangat baik  dalam membandingkan siklus hidup beberapa jenis makhluk hidup serta mengaitkan dengan upaya pelestariannya.</v>
      </c>
      <c r="AZ24" s="301" t="str">
        <f t="shared" si="12"/>
        <v>Anak 20 sangat baik  dalam membandingkan siklus hidup beberapa jenis makhluk hidup serta mengaitkan dengan upaya pelestariannya.</v>
      </c>
      <c r="BA24" s="120"/>
      <c r="BJ24" s="408">
        <f t="shared" si="21"/>
        <v>99</v>
      </c>
      <c r="BM24" s="302">
        <f t="shared" si="22"/>
        <v>99</v>
      </c>
      <c r="BN24" s="303" t="str">
        <f>IF(BM24&gt;KKM!$G$10,"A",IF(BM24&gt;KKM!$H$10,"B",IF(BM24&gt;=KKM!$I$10,"C","D")))</f>
        <v>A</v>
      </c>
      <c r="BO24" s="523">
        <f t="shared" si="23"/>
        <v>99</v>
      </c>
      <c r="BP24" s="115" t="str">
        <f>IF(BO24&gt;KKM!$G$10," sangat baik ",IF(BO24&gt;KKM!$H$10," baik ",IF(BO24&gt;=KKM!$I$10," cukup baik "," perlu bimbingan ")))</f>
        <v xml:space="preserve"> sangat baik </v>
      </c>
      <c r="BQ24" s="524">
        <f t="shared" si="24"/>
        <v>99</v>
      </c>
      <c r="BR24" s="115" t="str">
        <f>IF(BQ24&gt;KKM!$G$10," sangat baik ",IF(BQ24&gt;KKM!$H$10," baik ",IF(BQ24&gt;=KKM!$I$10," cukup baik "," perlu bimbingan ")))</f>
        <v xml:space="preserve"> sangat baik </v>
      </c>
      <c r="BS24" s="301" t="str">
        <f t="shared" si="31"/>
        <v>Anak 20 sangat baik  dalam membandingkan siklus hidup beberapa jenis makhluk hidup serta mengaitkan dengan upaya pelestariannya.</v>
      </c>
      <c r="BT24" s="307" t="str">
        <f t="shared" si="25"/>
        <v xml:space="preserve"> sangat baik  dalam membandingkan siklus hidup beberapa jenis makhluk hidup serta mengaitkan dengan upaya pelestariannya.</v>
      </c>
      <c r="BU24" s="307" t="str">
        <f t="shared" si="26"/>
        <v xml:space="preserve"> sangat baik  dalam membandingkan siklus hidup beberapa jenis makhluk hidup serta mengaitkan dengan upaya pelestariannya.</v>
      </c>
      <c r="BV24"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4" s="307" t="str">
        <f t="shared" si="28"/>
        <v xml:space="preserve"> sangat baik  dalam membandingkan siklus hidup beberapa jenis makhluk hidup serta mengaitkan dengan upaya pelestariannya.</v>
      </c>
      <c r="BX24" s="308" t="str">
        <f t="shared" si="29"/>
        <v xml:space="preserve"> sangat baik  dalam membandingkan siklus hidup beberapa jenis makhluk hidup serta mengaitkan dengan upaya pelestariannya.</v>
      </c>
      <c r="BY24" s="301" t="str">
        <f t="shared" si="30"/>
        <v>Anak 20 sangat baik  dalam membandingkan siklus hidup beberapa jenis makhluk hidup serta mengaitkan dengan upaya pelestariannya.</v>
      </c>
    </row>
    <row r="25" spans="2:77" ht="41.25" customHeight="1">
      <c r="B25" s="109">
        <v>21</v>
      </c>
      <c r="C25" s="110">
        <f>SISWA!B26</f>
        <v>0</v>
      </c>
      <c r="D25" s="111" t="str">
        <f>SISWA!E26</f>
        <v>Anak 21</v>
      </c>
      <c r="E25" s="631">
        <v>99</v>
      </c>
      <c r="F25" s="631">
        <v>99</v>
      </c>
      <c r="G25" s="631">
        <v>99</v>
      </c>
      <c r="H25" s="631">
        <v>99</v>
      </c>
      <c r="I25" s="730"/>
      <c r="J25" s="730"/>
      <c r="K25" s="731"/>
      <c r="L25" s="731"/>
      <c r="M25" s="731"/>
      <c r="N25" s="731"/>
      <c r="O25" s="730"/>
      <c r="P25" s="730"/>
      <c r="Q25" s="610"/>
      <c r="R25" s="631">
        <v>99</v>
      </c>
      <c r="S25" s="631">
        <v>99</v>
      </c>
      <c r="T25" s="631"/>
      <c r="U25" s="631"/>
      <c r="V25" s="631"/>
      <c r="W25" s="631"/>
      <c r="X25" s="610"/>
      <c r="Y25" s="631">
        <v>99</v>
      </c>
      <c r="Z25" s="631">
        <v>99</v>
      </c>
      <c r="AA25" s="631">
        <v>99</v>
      </c>
      <c r="AB25" s="631">
        <v>99</v>
      </c>
      <c r="AC25" s="609"/>
      <c r="AD25" s="609"/>
      <c r="AE25" s="518"/>
      <c r="AF25" s="607">
        <f t="shared" si="13"/>
        <v>99</v>
      </c>
      <c r="AG25" s="607">
        <f t="shared" si="14"/>
        <v>99</v>
      </c>
      <c r="AH25" s="607">
        <f t="shared" si="15"/>
        <v>99</v>
      </c>
      <c r="AI25" s="607">
        <f t="shared" si="16"/>
        <v>99</v>
      </c>
      <c r="AJ25" s="608" t="str">
        <f>IFERROR(((2*V25)+#REF!)/3,"")</f>
        <v/>
      </c>
      <c r="AK25" s="528"/>
      <c r="AL25" s="528"/>
      <c r="AM25" s="302">
        <f t="shared" si="7"/>
        <v>99</v>
      </c>
      <c r="AN25" s="303" t="str">
        <f>IF(AM25&gt;KKM!$G$10,"A",IF(AM25&gt;KKM!$H$10,"B",IF(AM25&gt;=KKM!$I$10,"C","D")))</f>
        <v>A</v>
      </c>
      <c r="AO25" s="523">
        <f t="shared" si="8"/>
        <v>99</v>
      </c>
      <c r="AP25" s="115" t="str">
        <f>IF(AO25&gt;KKM!$G$10," sangat baik ",IF(AO25&gt;KKM!$H$10," baik ",IF(AO25&gt;=KKM!$I$10," cukup baik "," perlu bimbingan ")))</f>
        <v xml:space="preserve"> sangat baik </v>
      </c>
      <c r="AQ25" s="524">
        <f t="shared" si="9"/>
        <v>99</v>
      </c>
      <c r="AR25" s="115" t="str">
        <f>IF(AQ25&gt;KKM!$G$10," sangat baik ",IF(AQ25&gt;KKM!$H$10," baik ",IF(AQ25&gt;=KKM!$I$10," cukup baik "," perlu bimbingan ")))</f>
        <v xml:space="preserve"> sangat baik </v>
      </c>
      <c r="AS25" s="301" t="str">
        <f t="shared" si="17"/>
        <v>Anak 21 sangat baik  dalam membandingkan siklus hidup beberapa jenis makhluk hidup serta mengaitkan dengan upaya pelestariannya.</v>
      </c>
      <c r="AT25" s="306"/>
      <c r="AU25" s="307" t="str">
        <f t="shared" si="10"/>
        <v xml:space="preserve"> sangat baik  dalam membandingkan siklus hidup beberapa jenis makhluk hidup serta mengaitkan dengan upaya pelestariannya.</v>
      </c>
      <c r="AV25" s="307" t="str">
        <f t="shared" si="11"/>
        <v xml:space="preserve"> sangat baik  dalam membandingkan siklus hidup beberapa jenis makhluk hidup serta mengaitkan dengan upaya pelestariannya.</v>
      </c>
      <c r="AW25"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5" s="307" t="str">
        <f t="shared" si="19"/>
        <v xml:space="preserve"> sangat baik  dalam membandingkan siklus hidup beberapa jenis makhluk hidup serta mengaitkan dengan upaya pelestariannya.</v>
      </c>
      <c r="AY25" s="308" t="str">
        <f t="shared" si="20"/>
        <v xml:space="preserve"> sangat baik  dalam membandingkan siklus hidup beberapa jenis makhluk hidup serta mengaitkan dengan upaya pelestariannya.</v>
      </c>
      <c r="AZ25" s="301" t="str">
        <f t="shared" si="12"/>
        <v>Anak 21 sangat baik  dalam membandingkan siklus hidup beberapa jenis makhluk hidup serta mengaitkan dengan upaya pelestariannya.</v>
      </c>
      <c r="BA25" s="120"/>
      <c r="BJ25" s="408">
        <f t="shared" si="21"/>
        <v>99</v>
      </c>
      <c r="BM25" s="302">
        <f t="shared" si="22"/>
        <v>99</v>
      </c>
      <c r="BN25" s="303" t="str">
        <f>IF(BM25&gt;KKM!$G$10,"A",IF(BM25&gt;KKM!$H$10,"B",IF(BM25&gt;=KKM!$I$10,"C","D")))</f>
        <v>A</v>
      </c>
      <c r="BO25" s="523">
        <f t="shared" si="23"/>
        <v>99</v>
      </c>
      <c r="BP25" s="115" t="str">
        <f>IF(BO25&gt;KKM!$G$10," sangat baik ",IF(BO25&gt;KKM!$H$10," baik ",IF(BO25&gt;=KKM!$I$10," cukup baik "," perlu bimbingan ")))</f>
        <v xml:space="preserve"> sangat baik </v>
      </c>
      <c r="BQ25" s="524">
        <f t="shared" si="24"/>
        <v>99</v>
      </c>
      <c r="BR25" s="115" t="str">
        <f>IF(BQ25&gt;KKM!$G$10," sangat baik ",IF(BQ25&gt;KKM!$H$10," baik ",IF(BQ25&gt;=KKM!$I$10," cukup baik "," perlu bimbingan ")))</f>
        <v xml:space="preserve"> sangat baik </v>
      </c>
      <c r="BS25" s="301" t="str">
        <f t="shared" si="31"/>
        <v>Anak 21 sangat baik  dalam membandingkan siklus hidup beberapa jenis makhluk hidup serta mengaitkan dengan upaya pelestariannya.</v>
      </c>
      <c r="BT25" s="307" t="str">
        <f t="shared" si="25"/>
        <v xml:space="preserve"> sangat baik  dalam membandingkan siklus hidup beberapa jenis makhluk hidup serta mengaitkan dengan upaya pelestariannya.</v>
      </c>
      <c r="BU25" s="307" t="str">
        <f t="shared" si="26"/>
        <v xml:space="preserve"> sangat baik  dalam membandingkan siklus hidup beberapa jenis makhluk hidup serta mengaitkan dengan upaya pelestariannya.</v>
      </c>
      <c r="BV25"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5" s="307" t="str">
        <f t="shared" si="28"/>
        <v xml:space="preserve"> sangat baik  dalam membandingkan siklus hidup beberapa jenis makhluk hidup serta mengaitkan dengan upaya pelestariannya.</v>
      </c>
      <c r="BX25" s="308" t="str">
        <f t="shared" si="29"/>
        <v xml:space="preserve"> sangat baik  dalam membandingkan siklus hidup beberapa jenis makhluk hidup serta mengaitkan dengan upaya pelestariannya.</v>
      </c>
      <c r="BY25" s="301" t="str">
        <f t="shared" si="30"/>
        <v>Anak 21 sangat baik  dalam membandingkan siklus hidup beberapa jenis makhluk hidup serta mengaitkan dengan upaya pelestariannya.</v>
      </c>
    </row>
    <row r="26" spans="2:77" ht="41.25" customHeight="1">
      <c r="B26" s="109">
        <v>22</v>
      </c>
      <c r="C26" s="110">
        <f>SISWA!B27</f>
        <v>0</v>
      </c>
      <c r="D26" s="111" t="str">
        <f>SISWA!E27</f>
        <v>Anak 22</v>
      </c>
      <c r="E26" s="631">
        <v>99</v>
      </c>
      <c r="F26" s="631">
        <v>99</v>
      </c>
      <c r="G26" s="631">
        <v>99</v>
      </c>
      <c r="H26" s="631">
        <v>99</v>
      </c>
      <c r="I26" s="730"/>
      <c r="J26" s="730"/>
      <c r="K26" s="731"/>
      <c r="L26" s="731"/>
      <c r="M26" s="731"/>
      <c r="N26" s="731"/>
      <c r="O26" s="730"/>
      <c r="P26" s="730"/>
      <c r="Q26" s="610"/>
      <c r="R26" s="631">
        <v>99</v>
      </c>
      <c r="S26" s="631">
        <v>99</v>
      </c>
      <c r="T26" s="631"/>
      <c r="U26" s="631"/>
      <c r="V26" s="631"/>
      <c r="W26" s="631"/>
      <c r="X26" s="610"/>
      <c r="Y26" s="631">
        <v>99</v>
      </c>
      <c r="Z26" s="631">
        <v>99</v>
      </c>
      <c r="AA26" s="631">
        <v>99</v>
      </c>
      <c r="AB26" s="631">
        <v>99</v>
      </c>
      <c r="AC26" s="609"/>
      <c r="AD26" s="609"/>
      <c r="AE26" s="518"/>
      <c r="AF26" s="607">
        <f t="shared" si="13"/>
        <v>99</v>
      </c>
      <c r="AG26" s="607">
        <f t="shared" si="14"/>
        <v>99</v>
      </c>
      <c r="AH26" s="607">
        <f t="shared" si="15"/>
        <v>99</v>
      </c>
      <c r="AI26" s="607">
        <f t="shared" si="16"/>
        <v>99</v>
      </c>
      <c r="AJ26" s="608" t="str">
        <f>IFERROR(((2*V26)+#REF!)/3,"")</f>
        <v/>
      </c>
      <c r="AK26" s="528"/>
      <c r="AL26" s="528"/>
      <c r="AM26" s="302">
        <f t="shared" si="7"/>
        <v>99</v>
      </c>
      <c r="AN26" s="303" t="str">
        <f>IF(AM26&gt;KKM!$G$10,"A",IF(AM26&gt;KKM!$H$10,"B",IF(AM26&gt;=KKM!$I$10,"C","D")))</f>
        <v>A</v>
      </c>
      <c r="AO26" s="523">
        <f t="shared" si="8"/>
        <v>99</v>
      </c>
      <c r="AP26" s="115" t="str">
        <f>IF(AO26&gt;KKM!$G$10," sangat baik ",IF(AO26&gt;KKM!$H$10," baik ",IF(AO26&gt;=KKM!$I$10," cukup baik "," perlu bimbingan ")))</f>
        <v xml:space="preserve"> sangat baik </v>
      </c>
      <c r="AQ26" s="524">
        <f t="shared" si="9"/>
        <v>99</v>
      </c>
      <c r="AR26" s="115" t="str">
        <f>IF(AQ26&gt;KKM!$G$10," sangat baik ",IF(AQ26&gt;KKM!$H$10," baik ",IF(AQ26&gt;=KKM!$I$10," cukup baik "," perlu bimbingan ")))</f>
        <v xml:space="preserve"> sangat baik </v>
      </c>
      <c r="AS26" s="301" t="str">
        <f t="shared" si="17"/>
        <v>Anak 22 sangat baik  dalam membandingkan siklus hidup beberapa jenis makhluk hidup serta mengaitkan dengan upaya pelestariannya.</v>
      </c>
      <c r="AT26" s="306"/>
      <c r="AU26" s="307" t="str">
        <f t="shared" si="10"/>
        <v xml:space="preserve"> sangat baik  dalam membandingkan siklus hidup beberapa jenis makhluk hidup serta mengaitkan dengan upaya pelestariannya.</v>
      </c>
      <c r="AV26" s="307" t="str">
        <f t="shared" si="11"/>
        <v xml:space="preserve"> sangat baik  dalam membandingkan siklus hidup beberapa jenis makhluk hidup serta mengaitkan dengan upaya pelestariannya.</v>
      </c>
      <c r="AW26"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6" s="307" t="str">
        <f t="shared" si="19"/>
        <v xml:space="preserve"> sangat baik  dalam membandingkan siklus hidup beberapa jenis makhluk hidup serta mengaitkan dengan upaya pelestariannya.</v>
      </c>
      <c r="AY26" s="308" t="str">
        <f t="shared" si="20"/>
        <v xml:space="preserve"> sangat baik  dalam membandingkan siklus hidup beberapa jenis makhluk hidup serta mengaitkan dengan upaya pelestariannya.</v>
      </c>
      <c r="AZ26" s="301" t="str">
        <f t="shared" si="12"/>
        <v>Anak 22 sangat baik  dalam membandingkan siklus hidup beberapa jenis makhluk hidup serta mengaitkan dengan upaya pelestariannya.</v>
      </c>
      <c r="BA26" s="120"/>
      <c r="BJ26" s="408">
        <f t="shared" si="21"/>
        <v>99</v>
      </c>
      <c r="BM26" s="302">
        <f t="shared" si="22"/>
        <v>99</v>
      </c>
      <c r="BN26" s="303" t="str">
        <f>IF(BM26&gt;KKM!$G$10,"A",IF(BM26&gt;KKM!$H$10,"B",IF(BM26&gt;=KKM!$I$10,"C","D")))</f>
        <v>A</v>
      </c>
      <c r="BO26" s="523">
        <f t="shared" si="23"/>
        <v>99</v>
      </c>
      <c r="BP26" s="115" t="str">
        <f>IF(BO26&gt;KKM!$G$10," sangat baik ",IF(BO26&gt;KKM!$H$10," baik ",IF(BO26&gt;=KKM!$I$10," cukup baik "," perlu bimbingan ")))</f>
        <v xml:space="preserve"> sangat baik </v>
      </c>
      <c r="BQ26" s="524">
        <f t="shared" si="24"/>
        <v>99</v>
      </c>
      <c r="BR26" s="115" t="str">
        <f>IF(BQ26&gt;KKM!$G$10," sangat baik ",IF(BQ26&gt;KKM!$H$10," baik ",IF(BQ26&gt;=KKM!$I$10," cukup baik "," perlu bimbingan ")))</f>
        <v xml:space="preserve"> sangat baik </v>
      </c>
      <c r="BS26" s="301" t="str">
        <f t="shared" si="31"/>
        <v>Anak 22 sangat baik  dalam membandingkan siklus hidup beberapa jenis makhluk hidup serta mengaitkan dengan upaya pelestariannya.</v>
      </c>
      <c r="BT26" s="307" t="str">
        <f t="shared" si="25"/>
        <v xml:space="preserve"> sangat baik  dalam membandingkan siklus hidup beberapa jenis makhluk hidup serta mengaitkan dengan upaya pelestariannya.</v>
      </c>
      <c r="BU26" s="307" t="str">
        <f t="shared" si="26"/>
        <v xml:space="preserve"> sangat baik  dalam membandingkan siklus hidup beberapa jenis makhluk hidup serta mengaitkan dengan upaya pelestariannya.</v>
      </c>
      <c r="BV26"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6" s="307" t="str">
        <f t="shared" si="28"/>
        <v xml:space="preserve"> sangat baik  dalam membandingkan siklus hidup beberapa jenis makhluk hidup serta mengaitkan dengan upaya pelestariannya.</v>
      </c>
      <c r="BX26" s="308" t="str">
        <f t="shared" si="29"/>
        <v xml:space="preserve"> sangat baik  dalam membandingkan siklus hidup beberapa jenis makhluk hidup serta mengaitkan dengan upaya pelestariannya.</v>
      </c>
      <c r="BY26" s="301" t="str">
        <f t="shared" si="30"/>
        <v>Anak 22 sangat baik  dalam membandingkan siklus hidup beberapa jenis makhluk hidup serta mengaitkan dengan upaya pelestariannya.</v>
      </c>
    </row>
    <row r="27" spans="2:77" ht="41.25" customHeight="1">
      <c r="B27" s="109">
        <v>23</v>
      </c>
      <c r="C27" s="110">
        <f>SISWA!B28</f>
        <v>0</v>
      </c>
      <c r="D27" s="111" t="str">
        <f>SISWA!E28</f>
        <v>Anak 23</v>
      </c>
      <c r="E27" s="631">
        <v>99</v>
      </c>
      <c r="F27" s="631">
        <v>99</v>
      </c>
      <c r="G27" s="631">
        <v>99</v>
      </c>
      <c r="H27" s="631">
        <v>99</v>
      </c>
      <c r="I27" s="730"/>
      <c r="J27" s="730"/>
      <c r="K27" s="731"/>
      <c r="L27" s="731"/>
      <c r="M27" s="731"/>
      <c r="N27" s="731"/>
      <c r="O27" s="730"/>
      <c r="P27" s="730"/>
      <c r="Q27" s="610"/>
      <c r="R27" s="631">
        <v>99</v>
      </c>
      <c r="S27" s="631">
        <v>99</v>
      </c>
      <c r="T27" s="631"/>
      <c r="U27" s="631"/>
      <c r="V27" s="631"/>
      <c r="W27" s="631"/>
      <c r="X27" s="610"/>
      <c r="Y27" s="631">
        <v>99</v>
      </c>
      <c r="Z27" s="631">
        <v>99</v>
      </c>
      <c r="AA27" s="631">
        <v>99</v>
      </c>
      <c r="AB27" s="631">
        <v>99</v>
      </c>
      <c r="AC27" s="609"/>
      <c r="AD27" s="609"/>
      <c r="AE27" s="518"/>
      <c r="AF27" s="607">
        <f t="shared" si="13"/>
        <v>99</v>
      </c>
      <c r="AG27" s="607">
        <f t="shared" si="14"/>
        <v>99</v>
      </c>
      <c r="AH27" s="607">
        <f t="shared" si="15"/>
        <v>99</v>
      </c>
      <c r="AI27" s="607">
        <f t="shared" si="16"/>
        <v>99</v>
      </c>
      <c r="AJ27" s="608" t="str">
        <f>IFERROR(((2*V27)+#REF!)/3,"")</f>
        <v/>
      </c>
      <c r="AK27" s="528"/>
      <c r="AL27" s="528"/>
      <c r="AM27" s="302">
        <f t="shared" si="7"/>
        <v>99</v>
      </c>
      <c r="AN27" s="303" t="str">
        <f>IF(AM27&gt;KKM!$G$10,"A",IF(AM27&gt;KKM!$H$10,"B",IF(AM27&gt;=KKM!$I$10,"C","D")))</f>
        <v>A</v>
      </c>
      <c r="AO27" s="523">
        <f t="shared" si="8"/>
        <v>99</v>
      </c>
      <c r="AP27" s="115" t="str">
        <f>IF(AO27&gt;KKM!$G$10," sangat baik ",IF(AO27&gt;KKM!$H$10," baik ",IF(AO27&gt;=KKM!$I$10," cukup baik "," perlu bimbingan ")))</f>
        <v xml:space="preserve"> sangat baik </v>
      </c>
      <c r="AQ27" s="524">
        <f t="shared" si="9"/>
        <v>99</v>
      </c>
      <c r="AR27" s="115" t="str">
        <f>IF(AQ27&gt;KKM!$G$10," sangat baik ",IF(AQ27&gt;KKM!$H$10," baik ",IF(AQ27&gt;=KKM!$I$10," cukup baik "," perlu bimbingan ")))</f>
        <v xml:space="preserve"> sangat baik </v>
      </c>
      <c r="AS27" s="301" t="str">
        <f t="shared" si="17"/>
        <v>Anak 23 sangat baik  dalam membandingkan siklus hidup beberapa jenis makhluk hidup serta mengaitkan dengan upaya pelestariannya.</v>
      </c>
      <c r="AT27" s="306"/>
      <c r="AU27" s="307" t="str">
        <f t="shared" si="10"/>
        <v xml:space="preserve"> sangat baik  dalam membandingkan siklus hidup beberapa jenis makhluk hidup serta mengaitkan dengan upaya pelestariannya.</v>
      </c>
      <c r="AV27" s="307" t="str">
        <f t="shared" si="11"/>
        <v xml:space="preserve"> sangat baik  dalam membandingkan siklus hidup beberapa jenis makhluk hidup serta mengaitkan dengan upaya pelestariannya.</v>
      </c>
      <c r="AW27"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7" s="307" t="str">
        <f t="shared" si="19"/>
        <v xml:space="preserve"> sangat baik  dalam membandingkan siklus hidup beberapa jenis makhluk hidup serta mengaitkan dengan upaya pelestariannya.</v>
      </c>
      <c r="AY27" s="308" t="str">
        <f t="shared" si="20"/>
        <v xml:space="preserve"> sangat baik  dalam membandingkan siklus hidup beberapa jenis makhluk hidup serta mengaitkan dengan upaya pelestariannya.</v>
      </c>
      <c r="AZ27" s="301" t="str">
        <f t="shared" si="12"/>
        <v>Anak 23 sangat baik  dalam membandingkan siklus hidup beberapa jenis makhluk hidup serta mengaitkan dengan upaya pelestariannya.</v>
      </c>
      <c r="BA27" s="120"/>
      <c r="BJ27" s="408">
        <f t="shared" si="21"/>
        <v>99</v>
      </c>
      <c r="BM27" s="302">
        <f t="shared" si="22"/>
        <v>99</v>
      </c>
      <c r="BN27" s="303" t="str">
        <f>IF(BM27&gt;KKM!$G$10,"A",IF(BM27&gt;KKM!$H$10,"B",IF(BM27&gt;=KKM!$I$10,"C","D")))</f>
        <v>A</v>
      </c>
      <c r="BO27" s="523">
        <f t="shared" si="23"/>
        <v>99</v>
      </c>
      <c r="BP27" s="115" t="str">
        <f>IF(BO27&gt;KKM!$G$10," sangat baik ",IF(BO27&gt;KKM!$H$10," baik ",IF(BO27&gt;=KKM!$I$10," cukup baik "," perlu bimbingan ")))</f>
        <v xml:space="preserve"> sangat baik </v>
      </c>
      <c r="BQ27" s="524">
        <f t="shared" si="24"/>
        <v>99</v>
      </c>
      <c r="BR27" s="115" t="str">
        <f>IF(BQ27&gt;KKM!$G$10," sangat baik ",IF(BQ27&gt;KKM!$H$10," baik ",IF(BQ27&gt;=KKM!$I$10," cukup baik "," perlu bimbingan ")))</f>
        <v xml:space="preserve"> sangat baik </v>
      </c>
      <c r="BS27" s="301" t="str">
        <f t="shared" si="31"/>
        <v>Anak 23 sangat baik  dalam membandingkan siklus hidup beberapa jenis makhluk hidup serta mengaitkan dengan upaya pelestariannya.</v>
      </c>
      <c r="BT27" s="307" t="str">
        <f t="shared" si="25"/>
        <v xml:space="preserve"> sangat baik  dalam membandingkan siklus hidup beberapa jenis makhluk hidup serta mengaitkan dengan upaya pelestariannya.</v>
      </c>
      <c r="BU27" s="307" t="str">
        <f t="shared" si="26"/>
        <v xml:space="preserve"> sangat baik  dalam membandingkan siklus hidup beberapa jenis makhluk hidup serta mengaitkan dengan upaya pelestariannya.</v>
      </c>
      <c r="BV27"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7" s="307" t="str">
        <f t="shared" si="28"/>
        <v xml:space="preserve"> sangat baik  dalam membandingkan siklus hidup beberapa jenis makhluk hidup serta mengaitkan dengan upaya pelestariannya.</v>
      </c>
      <c r="BX27" s="308" t="str">
        <f t="shared" si="29"/>
        <v xml:space="preserve"> sangat baik  dalam membandingkan siklus hidup beberapa jenis makhluk hidup serta mengaitkan dengan upaya pelestariannya.</v>
      </c>
      <c r="BY27" s="301" t="str">
        <f t="shared" si="30"/>
        <v>Anak 23 sangat baik  dalam membandingkan siklus hidup beberapa jenis makhluk hidup serta mengaitkan dengan upaya pelestariannya.</v>
      </c>
    </row>
    <row r="28" spans="2:77" ht="41.25" customHeight="1">
      <c r="B28" s="109">
        <v>24</v>
      </c>
      <c r="C28" s="110">
        <f>SISWA!B29</f>
        <v>0</v>
      </c>
      <c r="D28" s="111" t="str">
        <f>SISWA!E29</f>
        <v>Anak 24</v>
      </c>
      <c r="E28" s="631">
        <v>99</v>
      </c>
      <c r="F28" s="631">
        <v>99</v>
      </c>
      <c r="G28" s="631">
        <v>99</v>
      </c>
      <c r="H28" s="631">
        <v>99</v>
      </c>
      <c r="I28" s="730"/>
      <c r="J28" s="730"/>
      <c r="K28" s="731"/>
      <c r="L28" s="731"/>
      <c r="M28" s="731"/>
      <c r="N28" s="731"/>
      <c r="O28" s="730"/>
      <c r="P28" s="730"/>
      <c r="Q28" s="610"/>
      <c r="R28" s="631">
        <v>99</v>
      </c>
      <c r="S28" s="631">
        <v>99</v>
      </c>
      <c r="T28" s="631"/>
      <c r="U28" s="631"/>
      <c r="V28" s="631"/>
      <c r="W28" s="631"/>
      <c r="X28" s="610"/>
      <c r="Y28" s="631">
        <v>99</v>
      </c>
      <c r="Z28" s="631">
        <v>99</v>
      </c>
      <c r="AA28" s="631">
        <v>99</v>
      </c>
      <c r="AB28" s="631">
        <v>99</v>
      </c>
      <c r="AC28" s="609"/>
      <c r="AD28" s="609"/>
      <c r="AE28" s="518"/>
      <c r="AF28" s="607">
        <f t="shared" si="13"/>
        <v>99</v>
      </c>
      <c r="AG28" s="607">
        <f t="shared" si="14"/>
        <v>99</v>
      </c>
      <c r="AH28" s="607">
        <f t="shared" si="15"/>
        <v>99</v>
      </c>
      <c r="AI28" s="607">
        <f t="shared" si="16"/>
        <v>99</v>
      </c>
      <c r="AJ28" s="608" t="str">
        <f>IFERROR(((2*V28)+#REF!)/3,"")</f>
        <v/>
      </c>
      <c r="AK28" s="528"/>
      <c r="AL28" s="528"/>
      <c r="AM28" s="302">
        <f t="shared" si="7"/>
        <v>99</v>
      </c>
      <c r="AN28" s="303" t="str">
        <f>IF(AM28&gt;KKM!$G$10,"A",IF(AM28&gt;KKM!$H$10,"B",IF(AM28&gt;=KKM!$I$10,"C","D")))</f>
        <v>A</v>
      </c>
      <c r="AO28" s="523">
        <f t="shared" si="8"/>
        <v>99</v>
      </c>
      <c r="AP28" s="115" t="str">
        <f>IF(AO28&gt;KKM!$G$10," sangat baik ",IF(AO28&gt;KKM!$H$10," baik ",IF(AO28&gt;=KKM!$I$10," cukup baik "," perlu bimbingan ")))</f>
        <v xml:space="preserve"> sangat baik </v>
      </c>
      <c r="AQ28" s="524">
        <f t="shared" si="9"/>
        <v>99</v>
      </c>
      <c r="AR28" s="115" t="str">
        <f>IF(AQ28&gt;KKM!$G$10," sangat baik ",IF(AQ28&gt;KKM!$H$10," baik ",IF(AQ28&gt;=KKM!$I$10," cukup baik "," perlu bimbingan ")))</f>
        <v xml:space="preserve"> sangat baik </v>
      </c>
      <c r="AS28" s="301" t="str">
        <f t="shared" si="17"/>
        <v>Anak 24 sangat baik  dalam membandingkan siklus hidup beberapa jenis makhluk hidup serta mengaitkan dengan upaya pelestariannya.</v>
      </c>
      <c r="AT28" s="306"/>
      <c r="AU28" s="307" t="str">
        <f t="shared" si="10"/>
        <v xml:space="preserve"> sangat baik  dalam membandingkan siklus hidup beberapa jenis makhluk hidup serta mengaitkan dengan upaya pelestariannya.</v>
      </c>
      <c r="AV28" s="307" t="str">
        <f t="shared" si="11"/>
        <v xml:space="preserve"> sangat baik  dalam membandingkan siklus hidup beberapa jenis makhluk hidup serta mengaitkan dengan upaya pelestariannya.</v>
      </c>
      <c r="AW28"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8" s="307" t="str">
        <f t="shared" si="19"/>
        <v xml:space="preserve"> sangat baik  dalam membandingkan siklus hidup beberapa jenis makhluk hidup serta mengaitkan dengan upaya pelestariannya.</v>
      </c>
      <c r="AY28" s="308" t="str">
        <f t="shared" si="20"/>
        <v xml:space="preserve"> sangat baik  dalam membandingkan siklus hidup beberapa jenis makhluk hidup serta mengaitkan dengan upaya pelestariannya.</v>
      </c>
      <c r="AZ28" s="301" t="str">
        <f t="shared" si="12"/>
        <v>Anak 24 sangat baik  dalam membandingkan siklus hidup beberapa jenis makhluk hidup serta mengaitkan dengan upaya pelestariannya.</v>
      </c>
      <c r="BA28" s="120"/>
      <c r="BJ28" s="408">
        <f t="shared" si="21"/>
        <v>99</v>
      </c>
      <c r="BM28" s="302">
        <f t="shared" si="22"/>
        <v>99</v>
      </c>
      <c r="BN28" s="303" t="str">
        <f>IF(BM28&gt;KKM!$G$10,"A",IF(BM28&gt;KKM!$H$10,"B",IF(BM28&gt;=KKM!$I$10,"C","D")))</f>
        <v>A</v>
      </c>
      <c r="BO28" s="523">
        <f t="shared" si="23"/>
        <v>99</v>
      </c>
      <c r="BP28" s="115" t="str">
        <f>IF(BO28&gt;KKM!$G$10," sangat baik ",IF(BO28&gt;KKM!$H$10," baik ",IF(BO28&gt;=KKM!$I$10," cukup baik "," perlu bimbingan ")))</f>
        <v xml:space="preserve"> sangat baik </v>
      </c>
      <c r="BQ28" s="524">
        <f t="shared" si="24"/>
        <v>99</v>
      </c>
      <c r="BR28" s="115" t="str">
        <f>IF(BQ28&gt;KKM!$G$10," sangat baik ",IF(BQ28&gt;KKM!$H$10," baik ",IF(BQ28&gt;=KKM!$I$10," cukup baik "," perlu bimbingan ")))</f>
        <v xml:space="preserve"> sangat baik </v>
      </c>
      <c r="BS28" s="301" t="str">
        <f t="shared" si="31"/>
        <v>Anak 24 sangat baik  dalam membandingkan siklus hidup beberapa jenis makhluk hidup serta mengaitkan dengan upaya pelestariannya.</v>
      </c>
      <c r="BT28" s="307" t="str">
        <f t="shared" si="25"/>
        <v xml:space="preserve"> sangat baik  dalam membandingkan siklus hidup beberapa jenis makhluk hidup serta mengaitkan dengan upaya pelestariannya.</v>
      </c>
      <c r="BU28" s="307" t="str">
        <f t="shared" si="26"/>
        <v xml:space="preserve"> sangat baik  dalam membandingkan siklus hidup beberapa jenis makhluk hidup serta mengaitkan dengan upaya pelestariannya.</v>
      </c>
      <c r="BV28"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8" s="307" t="str">
        <f t="shared" si="28"/>
        <v xml:space="preserve"> sangat baik  dalam membandingkan siklus hidup beberapa jenis makhluk hidup serta mengaitkan dengan upaya pelestariannya.</v>
      </c>
      <c r="BX28" s="308" t="str">
        <f t="shared" si="29"/>
        <v xml:space="preserve"> sangat baik  dalam membandingkan siklus hidup beberapa jenis makhluk hidup serta mengaitkan dengan upaya pelestariannya.</v>
      </c>
      <c r="BY28" s="301" t="str">
        <f t="shared" si="30"/>
        <v>Anak 24 sangat baik  dalam membandingkan siklus hidup beberapa jenis makhluk hidup serta mengaitkan dengan upaya pelestariannya.</v>
      </c>
    </row>
    <row r="29" spans="2:77" ht="41.25" customHeight="1">
      <c r="B29" s="109">
        <v>25</v>
      </c>
      <c r="C29" s="110">
        <f>SISWA!B30</f>
        <v>0</v>
      </c>
      <c r="D29" s="111" t="str">
        <f>SISWA!E30</f>
        <v>Anak 25</v>
      </c>
      <c r="E29" s="631">
        <v>99</v>
      </c>
      <c r="F29" s="631">
        <v>99</v>
      </c>
      <c r="G29" s="631">
        <v>99</v>
      </c>
      <c r="H29" s="631">
        <v>99</v>
      </c>
      <c r="I29" s="730"/>
      <c r="J29" s="730"/>
      <c r="K29" s="731"/>
      <c r="L29" s="731"/>
      <c r="M29" s="731"/>
      <c r="N29" s="731"/>
      <c r="O29" s="730"/>
      <c r="P29" s="730"/>
      <c r="Q29" s="610"/>
      <c r="R29" s="631">
        <v>99</v>
      </c>
      <c r="S29" s="631">
        <v>99</v>
      </c>
      <c r="T29" s="631"/>
      <c r="U29" s="631"/>
      <c r="V29" s="631"/>
      <c r="W29" s="631"/>
      <c r="X29" s="610"/>
      <c r="Y29" s="631">
        <v>99</v>
      </c>
      <c r="Z29" s="631">
        <v>99</v>
      </c>
      <c r="AA29" s="631">
        <v>99</v>
      </c>
      <c r="AB29" s="631">
        <v>99</v>
      </c>
      <c r="AC29" s="609"/>
      <c r="AD29" s="609"/>
      <c r="AE29" s="518"/>
      <c r="AF29" s="607">
        <f t="shared" si="13"/>
        <v>99</v>
      </c>
      <c r="AG29" s="607">
        <f t="shared" si="14"/>
        <v>99</v>
      </c>
      <c r="AH29" s="607">
        <f t="shared" si="15"/>
        <v>99</v>
      </c>
      <c r="AI29" s="607">
        <f t="shared" si="16"/>
        <v>99</v>
      </c>
      <c r="AJ29" s="608" t="str">
        <f>IFERROR(((2*V29)+#REF!)/3,"")</f>
        <v/>
      </c>
      <c r="AK29" s="528"/>
      <c r="AL29" s="528"/>
      <c r="AM29" s="302">
        <f t="shared" si="7"/>
        <v>99</v>
      </c>
      <c r="AN29" s="303" t="str">
        <f>IF(AM29&gt;KKM!$G$10,"A",IF(AM29&gt;KKM!$H$10,"B",IF(AM29&gt;=KKM!$I$10,"C","D")))</f>
        <v>A</v>
      </c>
      <c r="AO29" s="523">
        <f t="shared" si="8"/>
        <v>99</v>
      </c>
      <c r="AP29" s="115" t="str">
        <f>IF(AO29&gt;KKM!$G$10," sangat baik ",IF(AO29&gt;KKM!$H$10," baik ",IF(AO29&gt;=KKM!$I$10," cukup baik "," perlu bimbingan ")))</f>
        <v xml:space="preserve"> sangat baik </v>
      </c>
      <c r="AQ29" s="524">
        <f t="shared" si="9"/>
        <v>99</v>
      </c>
      <c r="AR29" s="115" t="str">
        <f>IF(AQ29&gt;KKM!$G$10," sangat baik ",IF(AQ29&gt;KKM!$H$10," baik ",IF(AQ29&gt;=KKM!$I$10," cukup baik "," perlu bimbingan ")))</f>
        <v xml:space="preserve"> sangat baik </v>
      </c>
      <c r="AS29" s="301" t="str">
        <f t="shared" si="17"/>
        <v>Anak 25 sangat baik  dalam membandingkan siklus hidup beberapa jenis makhluk hidup serta mengaitkan dengan upaya pelestariannya.</v>
      </c>
      <c r="AT29" s="306"/>
      <c r="AU29" s="307" t="str">
        <f t="shared" si="10"/>
        <v xml:space="preserve"> sangat baik  dalam membandingkan siklus hidup beberapa jenis makhluk hidup serta mengaitkan dengan upaya pelestariannya.</v>
      </c>
      <c r="AV29" s="307" t="str">
        <f t="shared" si="11"/>
        <v xml:space="preserve"> sangat baik  dalam membandingkan siklus hidup beberapa jenis makhluk hidup serta mengaitkan dengan upaya pelestariannya.</v>
      </c>
      <c r="AW29"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29" s="307" t="str">
        <f t="shared" si="19"/>
        <v xml:space="preserve"> sangat baik  dalam membandingkan siklus hidup beberapa jenis makhluk hidup serta mengaitkan dengan upaya pelestariannya.</v>
      </c>
      <c r="AY29" s="308" t="str">
        <f t="shared" si="20"/>
        <v xml:space="preserve"> sangat baik  dalam membandingkan siklus hidup beberapa jenis makhluk hidup serta mengaitkan dengan upaya pelestariannya.</v>
      </c>
      <c r="AZ29" s="301" t="str">
        <f t="shared" si="12"/>
        <v>Anak 25 sangat baik  dalam membandingkan siklus hidup beberapa jenis makhluk hidup serta mengaitkan dengan upaya pelestariannya.</v>
      </c>
      <c r="BA29" s="120"/>
      <c r="BJ29" s="408">
        <f t="shared" si="21"/>
        <v>99</v>
      </c>
      <c r="BM29" s="302">
        <f t="shared" si="22"/>
        <v>99</v>
      </c>
      <c r="BN29" s="303" t="str">
        <f>IF(BM29&gt;KKM!$G$10,"A",IF(BM29&gt;KKM!$H$10,"B",IF(BM29&gt;=KKM!$I$10,"C","D")))</f>
        <v>A</v>
      </c>
      <c r="BO29" s="523">
        <f t="shared" si="23"/>
        <v>99</v>
      </c>
      <c r="BP29" s="115" t="str">
        <f>IF(BO29&gt;KKM!$G$10," sangat baik ",IF(BO29&gt;KKM!$H$10," baik ",IF(BO29&gt;=KKM!$I$10," cukup baik "," perlu bimbingan ")))</f>
        <v xml:space="preserve"> sangat baik </v>
      </c>
      <c r="BQ29" s="524">
        <f t="shared" si="24"/>
        <v>99</v>
      </c>
      <c r="BR29" s="115" t="str">
        <f>IF(BQ29&gt;KKM!$G$10," sangat baik ",IF(BQ29&gt;KKM!$H$10," baik ",IF(BQ29&gt;=KKM!$I$10," cukup baik "," perlu bimbingan ")))</f>
        <v xml:space="preserve"> sangat baik </v>
      </c>
      <c r="BS29" s="301" t="str">
        <f t="shared" si="31"/>
        <v>Anak 25 sangat baik  dalam membandingkan siklus hidup beberapa jenis makhluk hidup serta mengaitkan dengan upaya pelestariannya.</v>
      </c>
      <c r="BT29" s="307" t="str">
        <f t="shared" si="25"/>
        <v xml:space="preserve"> sangat baik  dalam membandingkan siklus hidup beberapa jenis makhluk hidup serta mengaitkan dengan upaya pelestariannya.</v>
      </c>
      <c r="BU29" s="307" t="str">
        <f t="shared" si="26"/>
        <v xml:space="preserve"> sangat baik  dalam membandingkan siklus hidup beberapa jenis makhluk hidup serta mengaitkan dengan upaya pelestariannya.</v>
      </c>
      <c r="BV29"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29" s="307" t="str">
        <f t="shared" si="28"/>
        <v xml:space="preserve"> sangat baik  dalam membandingkan siklus hidup beberapa jenis makhluk hidup serta mengaitkan dengan upaya pelestariannya.</v>
      </c>
      <c r="BX29" s="308" t="str">
        <f t="shared" si="29"/>
        <v xml:space="preserve"> sangat baik  dalam membandingkan siklus hidup beberapa jenis makhluk hidup serta mengaitkan dengan upaya pelestariannya.</v>
      </c>
      <c r="BY29" s="301" t="str">
        <f t="shared" si="30"/>
        <v>Anak 25 sangat baik  dalam membandingkan siklus hidup beberapa jenis makhluk hidup serta mengaitkan dengan upaya pelestariannya.</v>
      </c>
    </row>
    <row r="30" spans="2:77" ht="41.25" customHeight="1">
      <c r="B30" s="109">
        <v>26</v>
      </c>
      <c r="C30" s="110">
        <f>SISWA!B31</f>
        <v>0</v>
      </c>
      <c r="D30" s="111" t="str">
        <f>SISWA!E31</f>
        <v>Anak 26</v>
      </c>
      <c r="E30" s="631">
        <v>99</v>
      </c>
      <c r="F30" s="631">
        <v>99</v>
      </c>
      <c r="G30" s="631">
        <v>99</v>
      </c>
      <c r="H30" s="631">
        <v>99</v>
      </c>
      <c r="I30" s="730"/>
      <c r="J30" s="730"/>
      <c r="K30" s="731"/>
      <c r="L30" s="731"/>
      <c r="M30" s="731"/>
      <c r="N30" s="731"/>
      <c r="O30" s="730"/>
      <c r="P30" s="730"/>
      <c r="Q30" s="610"/>
      <c r="R30" s="631">
        <v>99</v>
      </c>
      <c r="S30" s="631">
        <v>99</v>
      </c>
      <c r="T30" s="631"/>
      <c r="U30" s="631"/>
      <c r="V30" s="631"/>
      <c r="W30" s="631"/>
      <c r="X30" s="610"/>
      <c r="Y30" s="631">
        <v>99</v>
      </c>
      <c r="Z30" s="631">
        <v>99</v>
      </c>
      <c r="AA30" s="631">
        <v>99</v>
      </c>
      <c r="AB30" s="631">
        <v>99</v>
      </c>
      <c r="AC30" s="609"/>
      <c r="AD30" s="609"/>
      <c r="AE30" s="518"/>
      <c r="AF30" s="607">
        <f t="shared" si="13"/>
        <v>99</v>
      </c>
      <c r="AG30" s="607">
        <f t="shared" si="14"/>
        <v>99</v>
      </c>
      <c r="AH30" s="607">
        <f t="shared" si="15"/>
        <v>99</v>
      </c>
      <c r="AI30" s="607">
        <f t="shared" si="16"/>
        <v>99</v>
      </c>
      <c r="AJ30" s="608" t="str">
        <f>IFERROR(((2*V30)+#REF!)/3,"")</f>
        <v/>
      </c>
      <c r="AK30" s="528"/>
      <c r="AL30" s="528"/>
      <c r="AM30" s="302">
        <f t="shared" si="7"/>
        <v>99</v>
      </c>
      <c r="AN30" s="303" t="str">
        <f>IF(AM30&gt;KKM!$G$10,"A",IF(AM30&gt;KKM!$H$10,"B",IF(AM30&gt;=KKM!$I$10,"C","D")))</f>
        <v>A</v>
      </c>
      <c r="AO30" s="523">
        <f t="shared" si="8"/>
        <v>99</v>
      </c>
      <c r="AP30" s="115" t="str">
        <f>IF(AO30&gt;KKM!$G$10," sangat baik ",IF(AO30&gt;KKM!$H$10," baik ",IF(AO30&gt;=KKM!$I$10," cukup baik "," perlu bimbingan ")))</f>
        <v xml:space="preserve"> sangat baik </v>
      </c>
      <c r="AQ30" s="524">
        <f t="shared" si="9"/>
        <v>99</v>
      </c>
      <c r="AR30" s="115" t="str">
        <f>IF(AQ30&gt;KKM!$G$10," sangat baik ",IF(AQ30&gt;KKM!$H$10," baik ",IF(AQ30&gt;=KKM!$I$10," cukup baik "," perlu bimbingan ")))</f>
        <v xml:space="preserve"> sangat baik </v>
      </c>
      <c r="AS30" s="301" t="str">
        <f t="shared" si="17"/>
        <v>Anak 26 sangat baik  dalam membandingkan siklus hidup beberapa jenis makhluk hidup serta mengaitkan dengan upaya pelestariannya.</v>
      </c>
      <c r="AT30" s="306"/>
      <c r="AU30" s="307" t="str">
        <f t="shared" si="10"/>
        <v xml:space="preserve"> sangat baik  dalam membandingkan siklus hidup beberapa jenis makhluk hidup serta mengaitkan dengan upaya pelestariannya.</v>
      </c>
      <c r="AV30" s="307" t="str">
        <f t="shared" si="11"/>
        <v xml:space="preserve"> sangat baik  dalam membandingkan siklus hidup beberapa jenis makhluk hidup serta mengaitkan dengan upaya pelestariannya.</v>
      </c>
      <c r="AW30"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0" s="307" t="str">
        <f t="shared" si="19"/>
        <v xml:space="preserve"> sangat baik  dalam membandingkan siklus hidup beberapa jenis makhluk hidup serta mengaitkan dengan upaya pelestariannya.</v>
      </c>
      <c r="AY30" s="308" t="str">
        <f t="shared" si="20"/>
        <v xml:space="preserve"> sangat baik  dalam membandingkan siklus hidup beberapa jenis makhluk hidup serta mengaitkan dengan upaya pelestariannya.</v>
      </c>
      <c r="AZ30" s="301" t="str">
        <f t="shared" si="12"/>
        <v>Anak 26 sangat baik  dalam membandingkan siklus hidup beberapa jenis makhluk hidup serta mengaitkan dengan upaya pelestariannya.</v>
      </c>
      <c r="BA30" s="120"/>
      <c r="BJ30" s="408">
        <f t="shared" si="21"/>
        <v>99</v>
      </c>
      <c r="BM30" s="302">
        <f t="shared" si="22"/>
        <v>99</v>
      </c>
      <c r="BN30" s="303" t="str">
        <f>IF(BM30&gt;KKM!$G$10,"A",IF(BM30&gt;KKM!$H$10,"B",IF(BM30&gt;=KKM!$I$10,"C","D")))</f>
        <v>A</v>
      </c>
      <c r="BO30" s="523">
        <f t="shared" si="23"/>
        <v>99</v>
      </c>
      <c r="BP30" s="115" t="str">
        <f>IF(BO30&gt;KKM!$G$10," sangat baik ",IF(BO30&gt;KKM!$H$10," baik ",IF(BO30&gt;=KKM!$I$10," cukup baik "," perlu bimbingan ")))</f>
        <v xml:space="preserve"> sangat baik </v>
      </c>
      <c r="BQ30" s="524">
        <f t="shared" si="24"/>
        <v>99</v>
      </c>
      <c r="BR30" s="115" t="str">
        <f>IF(BQ30&gt;KKM!$G$10," sangat baik ",IF(BQ30&gt;KKM!$H$10," baik ",IF(BQ30&gt;=KKM!$I$10," cukup baik "," perlu bimbingan ")))</f>
        <v xml:space="preserve"> sangat baik </v>
      </c>
      <c r="BS30" s="301" t="str">
        <f t="shared" si="31"/>
        <v>Anak 26 sangat baik  dalam membandingkan siklus hidup beberapa jenis makhluk hidup serta mengaitkan dengan upaya pelestariannya.</v>
      </c>
      <c r="BT30" s="307" t="str">
        <f t="shared" si="25"/>
        <v xml:space="preserve"> sangat baik  dalam membandingkan siklus hidup beberapa jenis makhluk hidup serta mengaitkan dengan upaya pelestariannya.</v>
      </c>
      <c r="BU30" s="307" t="str">
        <f t="shared" si="26"/>
        <v xml:space="preserve"> sangat baik  dalam membandingkan siklus hidup beberapa jenis makhluk hidup serta mengaitkan dengan upaya pelestariannya.</v>
      </c>
      <c r="BV30"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0" s="307" t="str">
        <f t="shared" si="28"/>
        <v xml:space="preserve"> sangat baik  dalam membandingkan siklus hidup beberapa jenis makhluk hidup serta mengaitkan dengan upaya pelestariannya.</v>
      </c>
      <c r="BX30" s="308" t="str">
        <f t="shared" si="29"/>
        <v xml:space="preserve"> sangat baik  dalam membandingkan siklus hidup beberapa jenis makhluk hidup serta mengaitkan dengan upaya pelestariannya.</v>
      </c>
      <c r="BY30" s="301" t="str">
        <f t="shared" si="30"/>
        <v>Anak 26 sangat baik  dalam membandingkan siklus hidup beberapa jenis makhluk hidup serta mengaitkan dengan upaya pelestariannya.</v>
      </c>
    </row>
    <row r="31" spans="2:77" ht="41.25" customHeight="1">
      <c r="B31" s="109">
        <v>27</v>
      </c>
      <c r="C31" s="110">
        <f>SISWA!B32</f>
        <v>0</v>
      </c>
      <c r="D31" s="111" t="str">
        <f>SISWA!E32</f>
        <v>Anak 27</v>
      </c>
      <c r="E31" s="631">
        <v>99</v>
      </c>
      <c r="F31" s="631">
        <v>99</v>
      </c>
      <c r="G31" s="631">
        <v>99</v>
      </c>
      <c r="H31" s="631">
        <v>99</v>
      </c>
      <c r="I31" s="730"/>
      <c r="J31" s="730"/>
      <c r="K31" s="731"/>
      <c r="L31" s="731"/>
      <c r="M31" s="731"/>
      <c r="N31" s="731"/>
      <c r="O31" s="730"/>
      <c r="P31" s="730"/>
      <c r="Q31" s="610"/>
      <c r="R31" s="631">
        <v>99</v>
      </c>
      <c r="S31" s="631">
        <v>99</v>
      </c>
      <c r="T31" s="631"/>
      <c r="U31" s="631"/>
      <c r="V31" s="631"/>
      <c r="W31" s="631"/>
      <c r="X31" s="610"/>
      <c r="Y31" s="631">
        <v>99</v>
      </c>
      <c r="Z31" s="631">
        <v>99</v>
      </c>
      <c r="AA31" s="631">
        <v>99</v>
      </c>
      <c r="AB31" s="631">
        <v>99</v>
      </c>
      <c r="AC31" s="609"/>
      <c r="AD31" s="609"/>
      <c r="AE31" s="518"/>
      <c r="AF31" s="607">
        <f t="shared" si="13"/>
        <v>99</v>
      </c>
      <c r="AG31" s="607">
        <f t="shared" si="14"/>
        <v>99</v>
      </c>
      <c r="AH31" s="607">
        <f t="shared" si="15"/>
        <v>99</v>
      </c>
      <c r="AI31" s="607">
        <f t="shared" si="16"/>
        <v>99</v>
      </c>
      <c r="AJ31" s="608" t="str">
        <f>IFERROR(((2*V31)+#REF!)/3,"")</f>
        <v/>
      </c>
      <c r="AK31" s="528"/>
      <c r="AL31" s="528"/>
      <c r="AM31" s="302">
        <f t="shared" si="7"/>
        <v>99</v>
      </c>
      <c r="AN31" s="303" t="str">
        <f>IF(AM31&gt;KKM!$G$10,"A",IF(AM31&gt;KKM!$H$10,"B",IF(AM31&gt;=KKM!$I$10,"C","D")))</f>
        <v>A</v>
      </c>
      <c r="AO31" s="523">
        <f t="shared" si="8"/>
        <v>99</v>
      </c>
      <c r="AP31" s="115" t="str">
        <f>IF(AO31&gt;KKM!$G$10," sangat baik ",IF(AO31&gt;KKM!$H$10," baik ",IF(AO31&gt;=KKM!$I$10," cukup baik "," perlu bimbingan ")))</f>
        <v xml:space="preserve"> sangat baik </v>
      </c>
      <c r="AQ31" s="524">
        <f t="shared" si="9"/>
        <v>99</v>
      </c>
      <c r="AR31" s="115" t="str">
        <f>IF(AQ31&gt;KKM!$G$10," sangat baik ",IF(AQ31&gt;KKM!$H$10," baik ",IF(AQ31&gt;=KKM!$I$10," cukup baik "," perlu bimbingan ")))</f>
        <v xml:space="preserve"> sangat baik </v>
      </c>
      <c r="AS31" s="301" t="str">
        <f t="shared" si="17"/>
        <v>Anak 27 sangat baik  dalam membandingkan siklus hidup beberapa jenis makhluk hidup serta mengaitkan dengan upaya pelestariannya.</v>
      </c>
      <c r="AT31" s="306"/>
      <c r="AU31" s="307" t="str">
        <f t="shared" si="10"/>
        <v xml:space="preserve"> sangat baik  dalam membandingkan siklus hidup beberapa jenis makhluk hidup serta mengaitkan dengan upaya pelestariannya.</v>
      </c>
      <c r="AV31" s="307" t="str">
        <f t="shared" si="11"/>
        <v xml:space="preserve"> sangat baik  dalam membandingkan siklus hidup beberapa jenis makhluk hidup serta mengaitkan dengan upaya pelestariannya.</v>
      </c>
      <c r="AW31"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1" s="307" t="str">
        <f t="shared" si="19"/>
        <v xml:space="preserve"> sangat baik  dalam membandingkan siklus hidup beberapa jenis makhluk hidup serta mengaitkan dengan upaya pelestariannya.</v>
      </c>
      <c r="AY31" s="308" t="str">
        <f t="shared" si="20"/>
        <v xml:space="preserve"> sangat baik  dalam membandingkan siklus hidup beberapa jenis makhluk hidup serta mengaitkan dengan upaya pelestariannya.</v>
      </c>
      <c r="AZ31" s="301" t="str">
        <f t="shared" si="12"/>
        <v>Anak 27 sangat baik  dalam membandingkan siklus hidup beberapa jenis makhluk hidup serta mengaitkan dengan upaya pelestariannya.</v>
      </c>
      <c r="BA31" s="120"/>
      <c r="BJ31" s="408">
        <f t="shared" si="21"/>
        <v>99</v>
      </c>
      <c r="BM31" s="302">
        <f t="shared" si="22"/>
        <v>99</v>
      </c>
      <c r="BN31" s="303" t="str">
        <f>IF(BM31&gt;KKM!$G$10,"A",IF(BM31&gt;KKM!$H$10,"B",IF(BM31&gt;=KKM!$I$10,"C","D")))</f>
        <v>A</v>
      </c>
      <c r="BO31" s="523">
        <f t="shared" si="23"/>
        <v>99</v>
      </c>
      <c r="BP31" s="115" t="str">
        <f>IF(BO31&gt;KKM!$G$10," sangat baik ",IF(BO31&gt;KKM!$H$10," baik ",IF(BO31&gt;=KKM!$I$10," cukup baik "," perlu bimbingan ")))</f>
        <v xml:space="preserve"> sangat baik </v>
      </c>
      <c r="BQ31" s="524">
        <f t="shared" si="24"/>
        <v>99</v>
      </c>
      <c r="BR31" s="115" t="str">
        <f>IF(BQ31&gt;KKM!$G$10," sangat baik ",IF(BQ31&gt;KKM!$H$10," baik ",IF(BQ31&gt;=KKM!$I$10," cukup baik "," perlu bimbingan ")))</f>
        <v xml:space="preserve"> sangat baik </v>
      </c>
      <c r="BS31" s="301" t="str">
        <f t="shared" si="31"/>
        <v>Anak 27 sangat baik  dalam membandingkan siklus hidup beberapa jenis makhluk hidup serta mengaitkan dengan upaya pelestariannya.</v>
      </c>
      <c r="BT31" s="307" t="str">
        <f t="shared" si="25"/>
        <v xml:space="preserve"> sangat baik  dalam membandingkan siklus hidup beberapa jenis makhluk hidup serta mengaitkan dengan upaya pelestariannya.</v>
      </c>
      <c r="BU31" s="307" t="str">
        <f t="shared" si="26"/>
        <v xml:space="preserve"> sangat baik  dalam membandingkan siklus hidup beberapa jenis makhluk hidup serta mengaitkan dengan upaya pelestariannya.</v>
      </c>
      <c r="BV31"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1" s="307" t="str">
        <f t="shared" si="28"/>
        <v xml:space="preserve"> sangat baik  dalam membandingkan siklus hidup beberapa jenis makhluk hidup serta mengaitkan dengan upaya pelestariannya.</v>
      </c>
      <c r="BX31" s="308" t="str">
        <f t="shared" si="29"/>
        <v xml:space="preserve"> sangat baik  dalam membandingkan siklus hidup beberapa jenis makhluk hidup serta mengaitkan dengan upaya pelestariannya.</v>
      </c>
      <c r="BY31" s="301" t="str">
        <f t="shared" si="30"/>
        <v>Anak 27 sangat baik  dalam membandingkan siklus hidup beberapa jenis makhluk hidup serta mengaitkan dengan upaya pelestariannya.</v>
      </c>
    </row>
    <row r="32" spans="2:77" ht="41.25" customHeight="1">
      <c r="B32" s="109">
        <v>28</v>
      </c>
      <c r="C32" s="110">
        <f>SISWA!B33</f>
        <v>0</v>
      </c>
      <c r="D32" s="111" t="str">
        <f>SISWA!E33</f>
        <v>Anak 28</v>
      </c>
      <c r="E32" s="631">
        <v>99</v>
      </c>
      <c r="F32" s="631">
        <v>99</v>
      </c>
      <c r="G32" s="631">
        <v>99</v>
      </c>
      <c r="H32" s="631">
        <v>99</v>
      </c>
      <c r="I32" s="730"/>
      <c r="J32" s="730"/>
      <c r="K32" s="731"/>
      <c r="L32" s="731"/>
      <c r="M32" s="731"/>
      <c r="N32" s="731"/>
      <c r="O32" s="730"/>
      <c r="P32" s="730"/>
      <c r="Q32" s="610"/>
      <c r="R32" s="631">
        <v>99</v>
      </c>
      <c r="S32" s="631">
        <v>99</v>
      </c>
      <c r="T32" s="631"/>
      <c r="U32" s="631"/>
      <c r="V32" s="631"/>
      <c r="W32" s="631"/>
      <c r="X32" s="610"/>
      <c r="Y32" s="631">
        <v>99</v>
      </c>
      <c r="Z32" s="631">
        <v>99</v>
      </c>
      <c r="AA32" s="631">
        <v>99</v>
      </c>
      <c r="AB32" s="631">
        <v>99</v>
      </c>
      <c r="AC32" s="609"/>
      <c r="AD32" s="609"/>
      <c r="AE32" s="518"/>
      <c r="AF32" s="607">
        <f t="shared" si="13"/>
        <v>99</v>
      </c>
      <c r="AG32" s="607">
        <f t="shared" si="14"/>
        <v>99</v>
      </c>
      <c r="AH32" s="607">
        <f t="shared" si="15"/>
        <v>99</v>
      </c>
      <c r="AI32" s="607">
        <f t="shared" si="16"/>
        <v>99</v>
      </c>
      <c r="AJ32" s="608" t="str">
        <f>IFERROR(((2*V32)+#REF!)/3,"")</f>
        <v/>
      </c>
      <c r="AK32" s="528"/>
      <c r="AL32" s="528"/>
      <c r="AM32" s="302">
        <f t="shared" si="7"/>
        <v>99</v>
      </c>
      <c r="AN32" s="303" t="str">
        <f>IF(AM32&gt;KKM!$G$10,"A",IF(AM32&gt;KKM!$H$10,"B",IF(AM32&gt;=KKM!$I$10,"C","D")))</f>
        <v>A</v>
      </c>
      <c r="AO32" s="523">
        <f t="shared" si="8"/>
        <v>99</v>
      </c>
      <c r="AP32" s="115" t="str">
        <f>IF(AO32&gt;KKM!$G$10," sangat baik ",IF(AO32&gt;KKM!$H$10," baik ",IF(AO32&gt;=KKM!$I$10," cukup baik "," perlu bimbingan ")))</f>
        <v xml:space="preserve"> sangat baik </v>
      </c>
      <c r="AQ32" s="524">
        <f t="shared" si="9"/>
        <v>99</v>
      </c>
      <c r="AR32" s="115" t="str">
        <f>IF(AQ32&gt;KKM!$G$10," sangat baik ",IF(AQ32&gt;KKM!$H$10," baik ",IF(AQ32&gt;=KKM!$I$10," cukup baik "," perlu bimbingan ")))</f>
        <v xml:space="preserve"> sangat baik </v>
      </c>
      <c r="AS32" s="301" t="str">
        <f t="shared" si="17"/>
        <v>Anak 28 sangat baik  dalam membandingkan siklus hidup beberapa jenis makhluk hidup serta mengaitkan dengan upaya pelestariannya.</v>
      </c>
      <c r="AT32" s="306"/>
      <c r="AU32" s="307" t="str">
        <f t="shared" si="10"/>
        <v xml:space="preserve"> sangat baik  dalam membandingkan siklus hidup beberapa jenis makhluk hidup serta mengaitkan dengan upaya pelestariannya.</v>
      </c>
      <c r="AV32" s="307" t="str">
        <f t="shared" si="11"/>
        <v xml:space="preserve"> sangat baik  dalam membandingkan siklus hidup beberapa jenis makhluk hidup serta mengaitkan dengan upaya pelestariannya.</v>
      </c>
      <c r="AW32"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2" s="307" t="str">
        <f t="shared" si="19"/>
        <v xml:space="preserve"> sangat baik  dalam membandingkan siklus hidup beberapa jenis makhluk hidup serta mengaitkan dengan upaya pelestariannya.</v>
      </c>
      <c r="AY32" s="308" t="str">
        <f t="shared" si="20"/>
        <v xml:space="preserve"> sangat baik  dalam membandingkan siklus hidup beberapa jenis makhluk hidup serta mengaitkan dengan upaya pelestariannya.</v>
      </c>
      <c r="AZ32" s="301" t="str">
        <f t="shared" si="12"/>
        <v>Anak 28 sangat baik  dalam membandingkan siklus hidup beberapa jenis makhluk hidup serta mengaitkan dengan upaya pelestariannya.</v>
      </c>
      <c r="BA32" s="120"/>
      <c r="BJ32" s="408">
        <f t="shared" si="21"/>
        <v>99</v>
      </c>
      <c r="BM32" s="302">
        <f t="shared" si="22"/>
        <v>99</v>
      </c>
      <c r="BN32" s="303" t="str">
        <f>IF(BM32&gt;KKM!$G$10,"A",IF(BM32&gt;KKM!$H$10,"B",IF(BM32&gt;=KKM!$I$10,"C","D")))</f>
        <v>A</v>
      </c>
      <c r="BO32" s="523">
        <f t="shared" si="23"/>
        <v>99</v>
      </c>
      <c r="BP32" s="115" t="str">
        <f>IF(BO32&gt;KKM!$G$10," sangat baik ",IF(BO32&gt;KKM!$H$10," baik ",IF(BO32&gt;=KKM!$I$10," cukup baik "," perlu bimbingan ")))</f>
        <v xml:space="preserve"> sangat baik </v>
      </c>
      <c r="BQ32" s="524">
        <f t="shared" si="24"/>
        <v>99</v>
      </c>
      <c r="BR32" s="115" t="str">
        <f>IF(BQ32&gt;KKM!$G$10," sangat baik ",IF(BQ32&gt;KKM!$H$10," baik ",IF(BQ32&gt;=KKM!$I$10," cukup baik "," perlu bimbingan ")))</f>
        <v xml:space="preserve"> sangat baik </v>
      </c>
      <c r="BS32" s="301" t="str">
        <f t="shared" si="31"/>
        <v>Anak 28 sangat baik  dalam membandingkan siklus hidup beberapa jenis makhluk hidup serta mengaitkan dengan upaya pelestariannya.</v>
      </c>
      <c r="BT32" s="307" t="str">
        <f t="shared" si="25"/>
        <v xml:space="preserve"> sangat baik  dalam membandingkan siklus hidup beberapa jenis makhluk hidup serta mengaitkan dengan upaya pelestariannya.</v>
      </c>
      <c r="BU32" s="307" t="str">
        <f t="shared" si="26"/>
        <v xml:space="preserve"> sangat baik  dalam membandingkan siklus hidup beberapa jenis makhluk hidup serta mengaitkan dengan upaya pelestariannya.</v>
      </c>
      <c r="BV32"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2" s="307" t="str">
        <f t="shared" si="28"/>
        <v xml:space="preserve"> sangat baik  dalam membandingkan siklus hidup beberapa jenis makhluk hidup serta mengaitkan dengan upaya pelestariannya.</v>
      </c>
      <c r="BX32" s="308" t="str">
        <f t="shared" si="29"/>
        <v xml:space="preserve"> sangat baik  dalam membandingkan siklus hidup beberapa jenis makhluk hidup serta mengaitkan dengan upaya pelestariannya.</v>
      </c>
      <c r="BY32" s="301" t="str">
        <f t="shared" si="30"/>
        <v>Anak 28 sangat baik  dalam membandingkan siklus hidup beberapa jenis makhluk hidup serta mengaitkan dengan upaya pelestariannya.</v>
      </c>
    </row>
    <row r="33" spans="2:77" ht="41.25" customHeight="1">
      <c r="B33" s="109">
        <v>29</v>
      </c>
      <c r="C33" s="110">
        <f>SISWA!B34</f>
        <v>0</v>
      </c>
      <c r="D33" s="111" t="str">
        <f>SISWA!E34</f>
        <v>Anak 29</v>
      </c>
      <c r="E33" s="631">
        <v>99</v>
      </c>
      <c r="F33" s="631">
        <v>99</v>
      </c>
      <c r="G33" s="631">
        <v>99</v>
      </c>
      <c r="H33" s="631">
        <v>99</v>
      </c>
      <c r="I33" s="730"/>
      <c r="J33" s="730"/>
      <c r="K33" s="731"/>
      <c r="L33" s="731"/>
      <c r="M33" s="731"/>
      <c r="N33" s="731"/>
      <c r="O33" s="730"/>
      <c r="P33" s="730"/>
      <c r="Q33" s="610"/>
      <c r="R33" s="631">
        <v>99</v>
      </c>
      <c r="S33" s="631">
        <v>99</v>
      </c>
      <c r="T33" s="631"/>
      <c r="U33" s="631"/>
      <c r="V33" s="631"/>
      <c r="W33" s="631"/>
      <c r="X33" s="610"/>
      <c r="Y33" s="631">
        <v>99</v>
      </c>
      <c r="Z33" s="631">
        <v>99</v>
      </c>
      <c r="AA33" s="631">
        <v>99</v>
      </c>
      <c r="AB33" s="631">
        <v>99</v>
      </c>
      <c r="AC33" s="609"/>
      <c r="AD33" s="609"/>
      <c r="AE33" s="518"/>
      <c r="AF33" s="607">
        <f t="shared" si="13"/>
        <v>99</v>
      </c>
      <c r="AG33" s="607">
        <f t="shared" si="14"/>
        <v>99</v>
      </c>
      <c r="AH33" s="607">
        <f t="shared" si="15"/>
        <v>99</v>
      </c>
      <c r="AI33" s="607">
        <f t="shared" si="16"/>
        <v>99</v>
      </c>
      <c r="AJ33" s="608" t="str">
        <f>IFERROR(((2*V33)+#REF!)/3,"")</f>
        <v/>
      </c>
      <c r="AK33" s="528"/>
      <c r="AL33" s="528"/>
      <c r="AM33" s="302">
        <f t="shared" si="7"/>
        <v>99</v>
      </c>
      <c r="AN33" s="303" t="str">
        <f>IF(AM33&gt;KKM!$G$10,"A",IF(AM33&gt;KKM!$H$10,"B",IF(AM33&gt;=KKM!$I$10,"C","D")))</f>
        <v>A</v>
      </c>
      <c r="AO33" s="523">
        <f t="shared" si="8"/>
        <v>99</v>
      </c>
      <c r="AP33" s="115" t="str">
        <f>IF(AO33&gt;KKM!$G$10," sangat baik ",IF(AO33&gt;KKM!$H$10," baik ",IF(AO33&gt;=KKM!$I$10," cukup baik "," perlu bimbingan ")))</f>
        <v xml:space="preserve"> sangat baik </v>
      </c>
      <c r="AQ33" s="524">
        <f t="shared" si="9"/>
        <v>99</v>
      </c>
      <c r="AR33" s="115" t="str">
        <f>IF(AQ33&gt;KKM!$G$10," sangat baik ",IF(AQ33&gt;KKM!$H$10," baik ",IF(AQ33&gt;=KKM!$I$10," cukup baik "," perlu bimbingan ")))</f>
        <v xml:space="preserve"> sangat baik </v>
      </c>
      <c r="AS33" s="301" t="str">
        <f t="shared" si="17"/>
        <v>Anak 29 sangat baik  dalam membandingkan siklus hidup beberapa jenis makhluk hidup serta mengaitkan dengan upaya pelestariannya.</v>
      </c>
      <c r="AT33" s="306"/>
      <c r="AU33" s="307" t="str">
        <f t="shared" si="10"/>
        <v xml:space="preserve"> sangat baik  dalam membandingkan siklus hidup beberapa jenis makhluk hidup serta mengaitkan dengan upaya pelestariannya.</v>
      </c>
      <c r="AV33" s="307" t="str">
        <f t="shared" si="11"/>
        <v xml:space="preserve"> sangat baik  dalam membandingkan siklus hidup beberapa jenis makhluk hidup serta mengaitkan dengan upaya pelestariannya.</v>
      </c>
      <c r="AW33"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3" s="307" t="str">
        <f t="shared" si="19"/>
        <v xml:space="preserve"> sangat baik  dalam membandingkan siklus hidup beberapa jenis makhluk hidup serta mengaitkan dengan upaya pelestariannya.</v>
      </c>
      <c r="AY33" s="308" t="str">
        <f t="shared" si="20"/>
        <v xml:space="preserve"> sangat baik  dalam membandingkan siklus hidup beberapa jenis makhluk hidup serta mengaitkan dengan upaya pelestariannya.</v>
      </c>
      <c r="AZ33" s="301" t="str">
        <f t="shared" si="12"/>
        <v>Anak 29 sangat baik  dalam membandingkan siklus hidup beberapa jenis makhluk hidup serta mengaitkan dengan upaya pelestariannya.</v>
      </c>
      <c r="BA33" s="120"/>
      <c r="BJ33" s="408">
        <f t="shared" si="21"/>
        <v>99</v>
      </c>
      <c r="BM33" s="302">
        <f t="shared" si="22"/>
        <v>99</v>
      </c>
      <c r="BN33" s="303" t="str">
        <f>IF(BM33&gt;KKM!$G$10,"A",IF(BM33&gt;KKM!$H$10,"B",IF(BM33&gt;=KKM!$I$10,"C","D")))</f>
        <v>A</v>
      </c>
      <c r="BO33" s="523">
        <f t="shared" si="23"/>
        <v>99</v>
      </c>
      <c r="BP33" s="115" t="str">
        <f>IF(BO33&gt;KKM!$G$10," sangat baik ",IF(BO33&gt;KKM!$H$10," baik ",IF(BO33&gt;=KKM!$I$10," cukup baik "," perlu bimbingan ")))</f>
        <v xml:space="preserve"> sangat baik </v>
      </c>
      <c r="BQ33" s="524">
        <f t="shared" si="24"/>
        <v>99</v>
      </c>
      <c r="BR33" s="115" t="str">
        <f>IF(BQ33&gt;KKM!$G$10," sangat baik ",IF(BQ33&gt;KKM!$H$10," baik ",IF(BQ33&gt;=KKM!$I$10," cukup baik "," perlu bimbingan ")))</f>
        <v xml:space="preserve"> sangat baik </v>
      </c>
      <c r="BS33" s="301" t="str">
        <f t="shared" si="31"/>
        <v>Anak 29 sangat baik  dalam membandingkan siklus hidup beberapa jenis makhluk hidup serta mengaitkan dengan upaya pelestariannya.</v>
      </c>
      <c r="BT33" s="307" t="str">
        <f t="shared" si="25"/>
        <v xml:space="preserve"> sangat baik  dalam membandingkan siklus hidup beberapa jenis makhluk hidup serta mengaitkan dengan upaya pelestariannya.</v>
      </c>
      <c r="BU33" s="307" t="str">
        <f t="shared" si="26"/>
        <v xml:space="preserve"> sangat baik  dalam membandingkan siklus hidup beberapa jenis makhluk hidup serta mengaitkan dengan upaya pelestariannya.</v>
      </c>
      <c r="BV33"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3" s="307" t="str">
        <f t="shared" si="28"/>
        <v xml:space="preserve"> sangat baik  dalam membandingkan siklus hidup beberapa jenis makhluk hidup serta mengaitkan dengan upaya pelestariannya.</v>
      </c>
      <c r="BX33" s="308" t="str">
        <f t="shared" si="29"/>
        <v xml:space="preserve"> sangat baik  dalam membandingkan siklus hidup beberapa jenis makhluk hidup serta mengaitkan dengan upaya pelestariannya.</v>
      </c>
      <c r="BY33" s="301" t="str">
        <f t="shared" si="30"/>
        <v>Anak 29 sangat baik  dalam membandingkan siklus hidup beberapa jenis makhluk hidup serta mengaitkan dengan upaya pelestariannya.</v>
      </c>
    </row>
    <row r="34" spans="2:77" ht="41.25" customHeight="1">
      <c r="B34" s="109">
        <v>30</v>
      </c>
      <c r="C34" s="110">
        <f>SISWA!B35</f>
        <v>0</v>
      </c>
      <c r="D34" s="111" t="str">
        <f>SISWA!E35</f>
        <v>Anak 30</v>
      </c>
      <c r="E34" s="631">
        <v>99</v>
      </c>
      <c r="F34" s="631">
        <v>99</v>
      </c>
      <c r="G34" s="631">
        <v>99</v>
      </c>
      <c r="H34" s="631">
        <v>99</v>
      </c>
      <c r="I34" s="730"/>
      <c r="J34" s="730"/>
      <c r="K34" s="731"/>
      <c r="L34" s="731"/>
      <c r="M34" s="731"/>
      <c r="N34" s="731"/>
      <c r="O34" s="730"/>
      <c r="P34" s="730"/>
      <c r="Q34" s="610"/>
      <c r="R34" s="631">
        <v>99</v>
      </c>
      <c r="S34" s="631">
        <v>99</v>
      </c>
      <c r="T34" s="631"/>
      <c r="U34" s="631"/>
      <c r="V34" s="631"/>
      <c r="W34" s="631"/>
      <c r="X34" s="610"/>
      <c r="Y34" s="631">
        <v>99</v>
      </c>
      <c r="Z34" s="631">
        <v>99</v>
      </c>
      <c r="AA34" s="631">
        <v>99</v>
      </c>
      <c r="AB34" s="631">
        <v>99</v>
      </c>
      <c r="AC34" s="609"/>
      <c r="AD34" s="609"/>
      <c r="AE34" s="518"/>
      <c r="AF34" s="607">
        <f t="shared" si="13"/>
        <v>99</v>
      </c>
      <c r="AG34" s="607">
        <f t="shared" si="14"/>
        <v>99</v>
      </c>
      <c r="AH34" s="607">
        <f t="shared" si="15"/>
        <v>99</v>
      </c>
      <c r="AI34" s="607">
        <f t="shared" si="16"/>
        <v>99</v>
      </c>
      <c r="AJ34" s="608" t="str">
        <f>IFERROR(((2*V34)+#REF!)/3,"")</f>
        <v/>
      </c>
      <c r="AK34" s="528"/>
      <c r="AL34" s="528"/>
      <c r="AM34" s="302">
        <f t="shared" si="7"/>
        <v>99</v>
      </c>
      <c r="AN34" s="303" t="str">
        <f>IF(AM34&gt;KKM!$G$10,"A",IF(AM34&gt;KKM!$H$10,"B",IF(AM34&gt;=KKM!$I$10,"C","D")))</f>
        <v>A</v>
      </c>
      <c r="AO34" s="523">
        <f t="shared" si="8"/>
        <v>99</v>
      </c>
      <c r="AP34" s="115" t="str">
        <f>IF(AO34&gt;KKM!$G$10," sangat baik ",IF(AO34&gt;KKM!$H$10," baik ",IF(AO34&gt;=KKM!$I$10," cukup baik "," perlu bimbingan ")))</f>
        <v xml:space="preserve"> sangat baik </v>
      </c>
      <c r="AQ34" s="524">
        <f t="shared" si="9"/>
        <v>99</v>
      </c>
      <c r="AR34" s="115" t="str">
        <f>IF(AQ34&gt;KKM!$G$10," sangat baik ",IF(AQ34&gt;KKM!$H$10," baik ",IF(AQ34&gt;=KKM!$I$10," cukup baik "," perlu bimbingan ")))</f>
        <v xml:space="preserve"> sangat baik </v>
      </c>
      <c r="AS34" s="301" t="str">
        <f t="shared" si="17"/>
        <v>Anak 30 sangat baik  dalam membandingkan siklus hidup beberapa jenis makhluk hidup serta mengaitkan dengan upaya pelestariannya.</v>
      </c>
      <c r="AT34" s="306"/>
      <c r="AU34" s="307" t="str">
        <f t="shared" si="10"/>
        <v xml:space="preserve"> sangat baik  dalam membandingkan siklus hidup beberapa jenis makhluk hidup serta mengaitkan dengan upaya pelestariannya.</v>
      </c>
      <c r="AV34" s="307" t="str">
        <f t="shared" si="11"/>
        <v xml:space="preserve"> sangat baik  dalam membandingkan siklus hidup beberapa jenis makhluk hidup serta mengaitkan dengan upaya pelestariannya.</v>
      </c>
      <c r="AW34"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4" s="307" t="str">
        <f t="shared" si="19"/>
        <v xml:space="preserve"> sangat baik  dalam membandingkan siklus hidup beberapa jenis makhluk hidup serta mengaitkan dengan upaya pelestariannya.</v>
      </c>
      <c r="AY34" s="308" t="str">
        <f t="shared" si="20"/>
        <v xml:space="preserve"> sangat baik  dalam membandingkan siklus hidup beberapa jenis makhluk hidup serta mengaitkan dengan upaya pelestariannya.</v>
      </c>
      <c r="AZ34" s="301" t="str">
        <f t="shared" si="12"/>
        <v>Anak 30 sangat baik  dalam membandingkan siklus hidup beberapa jenis makhluk hidup serta mengaitkan dengan upaya pelestariannya.</v>
      </c>
      <c r="BA34" s="120"/>
      <c r="BJ34" s="408">
        <f t="shared" si="21"/>
        <v>99</v>
      </c>
      <c r="BM34" s="302">
        <f t="shared" si="22"/>
        <v>99</v>
      </c>
      <c r="BN34" s="303" t="str">
        <f>IF(BM34&gt;KKM!$G$10,"A",IF(BM34&gt;KKM!$H$10,"B",IF(BM34&gt;=KKM!$I$10,"C","D")))</f>
        <v>A</v>
      </c>
      <c r="BO34" s="523">
        <f t="shared" si="23"/>
        <v>99</v>
      </c>
      <c r="BP34" s="115" t="str">
        <f>IF(BO34&gt;KKM!$G$10," sangat baik ",IF(BO34&gt;KKM!$H$10," baik ",IF(BO34&gt;=KKM!$I$10," cukup baik "," perlu bimbingan ")))</f>
        <v xml:space="preserve"> sangat baik </v>
      </c>
      <c r="BQ34" s="524">
        <f t="shared" si="24"/>
        <v>99</v>
      </c>
      <c r="BR34" s="115" t="str">
        <f>IF(BQ34&gt;KKM!$G$10," sangat baik ",IF(BQ34&gt;KKM!$H$10," baik ",IF(BQ34&gt;=KKM!$I$10," cukup baik "," perlu bimbingan ")))</f>
        <v xml:space="preserve"> sangat baik </v>
      </c>
      <c r="BS34" s="301" t="str">
        <f t="shared" si="31"/>
        <v>Anak 30 sangat baik  dalam membandingkan siklus hidup beberapa jenis makhluk hidup serta mengaitkan dengan upaya pelestariannya.</v>
      </c>
      <c r="BT34" s="307" t="str">
        <f t="shared" si="25"/>
        <v xml:space="preserve"> sangat baik  dalam membandingkan siklus hidup beberapa jenis makhluk hidup serta mengaitkan dengan upaya pelestariannya.</v>
      </c>
      <c r="BU34" s="307" t="str">
        <f t="shared" si="26"/>
        <v xml:space="preserve"> sangat baik  dalam membandingkan siklus hidup beberapa jenis makhluk hidup serta mengaitkan dengan upaya pelestariannya.</v>
      </c>
      <c r="BV34"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4" s="307" t="str">
        <f t="shared" si="28"/>
        <v xml:space="preserve"> sangat baik  dalam membandingkan siklus hidup beberapa jenis makhluk hidup serta mengaitkan dengan upaya pelestariannya.</v>
      </c>
      <c r="BX34" s="308" t="str">
        <f t="shared" si="29"/>
        <v xml:space="preserve"> sangat baik  dalam membandingkan siklus hidup beberapa jenis makhluk hidup serta mengaitkan dengan upaya pelestariannya.</v>
      </c>
      <c r="BY34" s="301" t="str">
        <f t="shared" si="30"/>
        <v>Anak 30 sangat baik  dalam membandingkan siklus hidup beberapa jenis makhluk hidup serta mengaitkan dengan upaya pelestariannya.</v>
      </c>
    </row>
    <row r="35" spans="2:77" ht="41.25" customHeight="1">
      <c r="B35" s="109">
        <v>31</v>
      </c>
      <c r="C35" s="110">
        <f>SISWA!B36</f>
        <v>0</v>
      </c>
      <c r="D35" s="111" t="str">
        <f>SISWA!E36</f>
        <v>Anak 31</v>
      </c>
      <c r="E35" s="631">
        <v>99</v>
      </c>
      <c r="F35" s="631">
        <v>99</v>
      </c>
      <c r="G35" s="631">
        <v>99</v>
      </c>
      <c r="H35" s="631">
        <v>99</v>
      </c>
      <c r="I35" s="730"/>
      <c r="J35" s="730"/>
      <c r="K35" s="731"/>
      <c r="L35" s="731"/>
      <c r="M35" s="731"/>
      <c r="N35" s="731"/>
      <c r="O35" s="730"/>
      <c r="P35" s="730"/>
      <c r="Q35" s="610"/>
      <c r="R35" s="631">
        <v>99</v>
      </c>
      <c r="S35" s="631">
        <v>99</v>
      </c>
      <c r="T35" s="631"/>
      <c r="U35" s="631"/>
      <c r="V35" s="631"/>
      <c r="W35" s="631"/>
      <c r="X35" s="610"/>
      <c r="Y35" s="631">
        <v>99</v>
      </c>
      <c r="Z35" s="631">
        <v>99</v>
      </c>
      <c r="AA35" s="631">
        <v>99</v>
      </c>
      <c r="AB35" s="631">
        <v>99</v>
      </c>
      <c r="AC35" s="609"/>
      <c r="AD35" s="609"/>
      <c r="AE35" s="518"/>
      <c r="AF35" s="607">
        <f t="shared" si="13"/>
        <v>99</v>
      </c>
      <c r="AG35" s="607">
        <f t="shared" si="14"/>
        <v>99</v>
      </c>
      <c r="AH35" s="607">
        <f t="shared" si="15"/>
        <v>99</v>
      </c>
      <c r="AI35" s="607">
        <f t="shared" si="16"/>
        <v>99</v>
      </c>
      <c r="AJ35" s="608" t="str">
        <f>IFERROR(((2*V35)+#REF!)/3,"")</f>
        <v/>
      </c>
      <c r="AK35" s="528"/>
      <c r="AL35" s="528"/>
      <c r="AM35" s="302">
        <f t="shared" si="7"/>
        <v>99</v>
      </c>
      <c r="AN35" s="303" t="str">
        <f>IF(AM35&gt;KKM!$G$10,"A",IF(AM35&gt;KKM!$H$10,"B",IF(AM35&gt;=KKM!$I$10,"C","D")))</f>
        <v>A</v>
      </c>
      <c r="AO35" s="523">
        <f t="shared" si="8"/>
        <v>99</v>
      </c>
      <c r="AP35" s="115" t="str">
        <f>IF(AO35&gt;KKM!$G$10," sangat baik ",IF(AO35&gt;KKM!$H$10," baik ",IF(AO35&gt;=KKM!$I$10," cukup baik "," perlu bimbingan ")))</f>
        <v xml:space="preserve"> sangat baik </v>
      </c>
      <c r="AQ35" s="524">
        <f t="shared" si="9"/>
        <v>99</v>
      </c>
      <c r="AR35" s="115" t="str">
        <f>IF(AQ35&gt;KKM!$G$10," sangat baik ",IF(AQ35&gt;KKM!$H$10," baik ",IF(AQ35&gt;=KKM!$I$10," cukup baik "," perlu bimbingan ")))</f>
        <v xml:space="preserve"> sangat baik </v>
      </c>
      <c r="AS35" s="301" t="str">
        <f t="shared" si="17"/>
        <v>Anak 31 sangat baik  dalam membandingkan siklus hidup beberapa jenis makhluk hidup serta mengaitkan dengan upaya pelestariannya.</v>
      </c>
      <c r="AT35" s="306"/>
      <c r="AU35" s="307" t="str">
        <f t="shared" si="10"/>
        <v xml:space="preserve"> sangat baik  dalam membandingkan siklus hidup beberapa jenis makhluk hidup serta mengaitkan dengan upaya pelestariannya.</v>
      </c>
      <c r="AV35" s="307" t="str">
        <f t="shared" si="11"/>
        <v xml:space="preserve"> sangat baik  dalam membandingkan siklus hidup beberapa jenis makhluk hidup serta mengaitkan dengan upaya pelestariannya.</v>
      </c>
      <c r="AW35"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5" s="307" t="str">
        <f t="shared" si="19"/>
        <v xml:space="preserve"> sangat baik  dalam membandingkan siklus hidup beberapa jenis makhluk hidup serta mengaitkan dengan upaya pelestariannya.</v>
      </c>
      <c r="AY35" s="308" t="str">
        <f t="shared" si="20"/>
        <v xml:space="preserve"> sangat baik  dalam membandingkan siklus hidup beberapa jenis makhluk hidup serta mengaitkan dengan upaya pelestariannya.</v>
      </c>
      <c r="AZ35" s="301" t="str">
        <f t="shared" si="12"/>
        <v>Anak 31 sangat baik  dalam membandingkan siklus hidup beberapa jenis makhluk hidup serta mengaitkan dengan upaya pelestariannya.</v>
      </c>
      <c r="BA35" s="120"/>
      <c r="BJ35" s="408">
        <f t="shared" si="21"/>
        <v>99</v>
      </c>
      <c r="BM35" s="302">
        <f t="shared" si="22"/>
        <v>99</v>
      </c>
      <c r="BN35" s="303" t="str">
        <f>IF(BM35&gt;KKM!$G$10,"A",IF(BM35&gt;KKM!$H$10,"B",IF(BM35&gt;=KKM!$I$10,"C","D")))</f>
        <v>A</v>
      </c>
      <c r="BO35" s="523">
        <f t="shared" si="23"/>
        <v>99</v>
      </c>
      <c r="BP35" s="115" t="str">
        <f>IF(BO35&gt;KKM!$G$10," sangat baik ",IF(BO35&gt;KKM!$H$10," baik ",IF(BO35&gt;=KKM!$I$10," cukup baik "," perlu bimbingan ")))</f>
        <v xml:space="preserve"> sangat baik </v>
      </c>
      <c r="BQ35" s="524">
        <f t="shared" si="24"/>
        <v>99</v>
      </c>
      <c r="BR35" s="115" t="str">
        <f>IF(BQ35&gt;KKM!$G$10," sangat baik ",IF(BQ35&gt;KKM!$H$10," baik ",IF(BQ35&gt;=KKM!$I$10," cukup baik "," perlu bimbingan ")))</f>
        <v xml:space="preserve"> sangat baik </v>
      </c>
      <c r="BS35" s="301" t="str">
        <f t="shared" si="31"/>
        <v>Anak 31 sangat baik  dalam membandingkan siklus hidup beberapa jenis makhluk hidup serta mengaitkan dengan upaya pelestariannya.</v>
      </c>
      <c r="BT35" s="307" t="str">
        <f t="shared" si="25"/>
        <v xml:space="preserve"> sangat baik  dalam membandingkan siklus hidup beberapa jenis makhluk hidup serta mengaitkan dengan upaya pelestariannya.</v>
      </c>
      <c r="BU35" s="307" t="str">
        <f t="shared" si="26"/>
        <v xml:space="preserve"> sangat baik  dalam membandingkan siklus hidup beberapa jenis makhluk hidup serta mengaitkan dengan upaya pelestariannya.</v>
      </c>
      <c r="BV35"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5" s="307" t="str">
        <f t="shared" si="28"/>
        <v xml:space="preserve"> sangat baik  dalam membandingkan siklus hidup beberapa jenis makhluk hidup serta mengaitkan dengan upaya pelestariannya.</v>
      </c>
      <c r="BX35" s="308" t="str">
        <f t="shared" si="29"/>
        <v xml:space="preserve"> sangat baik  dalam membandingkan siklus hidup beberapa jenis makhluk hidup serta mengaitkan dengan upaya pelestariannya.</v>
      </c>
      <c r="BY35" s="301" t="str">
        <f t="shared" si="30"/>
        <v>Anak 31 sangat baik  dalam membandingkan siklus hidup beberapa jenis makhluk hidup serta mengaitkan dengan upaya pelestariannya.</v>
      </c>
    </row>
    <row r="36" spans="2:77" ht="41.25" customHeight="1">
      <c r="B36" s="109">
        <v>32</v>
      </c>
      <c r="C36" s="110">
        <f>SISWA!B37</f>
        <v>0</v>
      </c>
      <c r="D36" s="111" t="str">
        <f>SISWA!E37</f>
        <v>Anak 32</v>
      </c>
      <c r="E36" s="631">
        <v>99</v>
      </c>
      <c r="F36" s="631">
        <v>99</v>
      </c>
      <c r="G36" s="631">
        <v>99</v>
      </c>
      <c r="H36" s="631">
        <v>99</v>
      </c>
      <c r="I36" s="730"/>
      <c r="J36" s="730"/>
      <c r="K36" s="731"/>
      <c r="L36" s="731"/>
      <c r="M36" s="731"/>
      <c r="N36" s="731"/>
      <c r="O36" s="730"/>
      <c r="P36" s="730"/>
      <c r="Q36" s="610"/>
      <c r="R36" s="631">
        <v>99</v>
      </c>
      <c r="S36" s="631">
        <v>99</v>
      </c>
      <c r="T36" s="631"/>
      <c r="U36" s="631"/>
      <c r="V36" s="631"/>
      <c r="W36" s="631"/>
      <c r="X36" s="610"/>
      <c r="Y36" s="631">
        <v>99</v>
      </c>
      <c r="Z36" s="631">
        <v>99</v>
      </c>
      <c r="AA36" s="631">
        <v>99</v>
      </c>
      <c r="AB36" s="631">
        <v>99</v>
      </c>
      <c r="AC36" s="609"/>
      <c r="AD36" s="609"/>
      <c r="AE36" s="518"/>
      <c r="AF36" s="607">
        <f t="shared" si="13"/>
        <v>99</v>
      </c>
      <c r="AG36" s="607">
        <f t="shared" si="14"/>
        <v>99</v>
      </c>
      <c r="AH36" s="607">
        <f t="shared" si="15"/>
        <v>99</v>
      </c>
      <c r="AI36" s="607">
        <f t="shared" si="16"/>
        <v>99</v>
      </c>
      <c r="AJ36" s="608" t="str">
        <f>IFERROR(((2*V36)+#REF!)/3,"")</f>
        <v/>
      </c>
      <c r="AK36" s="528"/>
      <c r="AL36" s="528"/>
      <c r="AM36" s="302">
        <f t="shared" si="7"/>
        <v>99</v>
      </c>
      <c r="AN36" s="303" t="str">
        <f>IF(AM36&gt;KKM!$G$10,"A",IF(AM36&gt;KKM!$H$10,"B",IF(AM36&gt;=KKM!$I$10,"C","D")))</f>
        <v>A</v>
      </c>
      <c r="AO36" s="523">
        <f t="shared" si="8"/>
        <v>99</v>
      </c>
      <c r="AP36" s="115" t="str">
        <f>IF(AO36&gt;KKM!$G$10," sangat baik ",IF(AO36&gt;KKM!$H$10," baik ",IF(AO36&gt;=KKM!$I$10," cukup baik "," perlu bimbingan ")))</f>
        <v xml:space="preserve"> sangat baik </v>
      </c>
      <c r="AQ36" s="524">
        <f t="shared" si="9"/>
        <v>99</v>
      </c>
      <c r="AR36" s="115" t="str">
        <f>IF(AQ36&gt;KKM!$G$10," sangat baik ",IF(AQ36&gt;KKM!$H$10," baik ",IF(AQ36&gt;=KKM!$I$10," cukup baik "," perlu bimbingan ")))</f>
        <v xml:space="preserve"> sangat baik </v>
      </c>
      <c r="AS36" s="301" t="str">
        <f t="shared" si="17"/>
        <v>Anak 32 sangat baik  dalam membandingkan siklus hidup beberapa jenis makhluk hidup serta mengaitkan dengan upaya pelestariannya.</v>
      </c>
      <c r="AT36" s="306"/>
      <c r="AU36" s="307" t="str">
        <f t="shared" si="10"/>
        <v xml:space="preserve"> sangat baik  dalam membandingkan siklus hidup beberapa jenis makhluk hidup serta mengaitkan dengan upaya pelestariannya.</v>
      </c>
      <c r="AV36" s="307" t="str">
        <f t="shared" si="11"/>
        <v xml:space="preserve"> sangat baik  dalam membandingkan siklus hidup beberapa jenis makhluk hidup serta mengaitkan dengan upaya pelestariannya.</v>
      </c>
      <c r="AW36"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6" s="307" t="str">
        <f t="shared" si="19"/>
        <v xml:space="preserve"> sangat baik  dalam membandingkan siklus hidup beberapa jenis makhluk hidup serta mengaitkan dengan upaya pelestariannya.</v>
      </c>
      <c r="AY36" s="308" t="str">
        <f t="shared" si="20"/>
        <v xml:space="preserve"> sangat baik  dalam membandingkan siklus hidup beberapa jenis makhluk hidup serta mengaitkan dengan upaya pelestariannya.</v>
      </c>
      <c r="AZ36" s="301" t="str">
        <f t="shared" si="12"/>
        <v>Anak 32 sangat baik  dalam membandingkan siklus hidup beberapa jenis makhluk hidup serta mengaitkan dengan upaya pelestariannya.</v>
      </c>
      <c r="BA36" s="120"/>
      <c r="BJ36" s="408">
        <f t="shared" si="21"/>
        <v>99</v>
      </c>
      <c r="BM36" s="302">
        <f t="shared" si="22"/>
        <v>99</v>
      </c>
      <c r="BN36" s="303" t="str">
        <f>IF(BM36&gt;KKM!$G$10,"A",IF(BM36&gt;KKM!$H$10,"B",IF(BM36&gt;=KKM!$I$10,"C","D")))</f>
        <v>A</v>
      </c>
      <c r="BO36" s="523">
        <f t="shared" si="23"/>
        <v>99</v>
      </c>
      <c r="BP36" s="115" t="str">
        <f>IF(BO36&gt;KKM!$G$10," sangat baik ",IF(BO36&gt;KKM!$H$10," baik ",IF(BO36&gt;=KKM!$I$10," cukup baik "," perlu bimbingan ")))</f>
        <v xml:space="preserve"> sangat baik </v>
      </c>
      <c r="BQ36" s="524">
        <f t="shared" si="24"/>
        <v>99</v>
      </c>
      <c r="BR36" s="115" t="str">
        <f>IF(BQ36&gt;KKM!$G$10," sangat baik ",IF(BQ36&gt;KKM!$H$10," baik ",IF(BQ36&gt;=KKM!$I$10," cukup baik "," perlu bimbingan ")))</f>
        <v xml:space="preserve"> sangat baik </v>
      </c>
      <c r="BS36" s="301" t="str">
        <f t="shared" si="31"/>
        <v>Anak 32 sangat baik  dalam membandingkan siklus hidup beberapa jenis makhluk hidup serta mengaitkan dengan upaya pelestariannya.</v>
      </c>
      <c r="BT36" s="307" t="str">
        <f t="shared" si="25"/>
        <v xml:space="preserve"> sangat baik  dalam membandingkan siklus hidup beberapa jenis makhluk hidup serta mengaitkan dengan upaya pelestariannya.</v>
      </c>
      <c r="BU36" s="307" t="str">
        <f t="shared" si="26"/>
        <v xml:space="preserve"> sangat baik  dalam membandingkan siklus hidup beberapa jenis makhluk hidup serta mengaitkan dengan upaya pelestariannya.</v>
      </c>
      <c r="BV36"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6" s="307" t="str">
        <f t="shared" si="28"/>
        <v xml:space="preserve"> sangat baik  dalam membandingkan siklus hidup beberapa jenis makhluk hidup serta mengaitkan dengan upaya pelestariannya.</v>
      </c>
      <c r="BX36" s="308" t="str">
        <f t="shared" si="29"/>
        <v xml:space="preserve"> sangat baik  dalam membandingkan siklus hidup beberapa jenis makhluk hidup serta mengaitkan dengan upaya pelestariannya.</v>
      </c>
      <c r="BY36" s="301" t="str">
        <f t="shared" si="30"/>
        <v>Anak 32 sangat baik  dalam membandingkan siklus hidup beberapa jenis makhluk hidup serta mengaitkan dengan upaya pelestariannya.</v>
      </c>
    </row>
    <row r="37" spans="2:77" ht="41.25" customHeight="1">
      <c r="B37" s="109">
        <v>33</v>
      </c>
      <c r="C37" s="110">
        <f>SISWA!B38</f>
        <v>0</v>
      </c>
      <c r="D37" s="111" t="str">
        <f>SISWA!E38</f>
        <v>Anak 33</v>
      </c>
      <c r="E37" s="631">
        <v>99</v>
      </c>
      <c r="F37" s="631">
        <v>99</v>
      </c>
      <c r="G37" s="631">
        <v>99</v>
      </c>
      <c r="H37" s="631">
        <v>99</v>
      </c>
      <c r="I37" s="730"/>
      <c r="J37" s="730"/>
      <c r="K37" s="731"/>
      <c r="L37" s="731"/>
      <c r="M37" s="731"/>
      <c r="N37" s="731"/>
      <c r="O37" s="730"/>
      <c r="P37" s="730"/>
      <c r="Q37" s="610"/>
      <c r="R37" s="631">
        <v>99</v>
      </c>
      <c r="S37" s="631">
        <v>99</v>
      </c>
      <c r="T37" s="631"/>
      <c r="U37" s="631"/>
      <c r="V37" s="631"/>
      <c r="W37" s="631"/>
      <c r="X37" s="610"/>
      <c r="Y37" s="631">
        <v>99</v>
      </c>
      <c r="Z37" s="631">
        <v>99</v>
      </c>
      <c r="AA37" s="631">
        <v>99</v>
      </c>
      <c r="AB37" s="631">
        <v>99</v>
      </c>
      <c r="AC37" s="609"/>
      <c r="AD37" s="609"/>
      <c r="AE37" s="518"/>
      <c r="AF37" s="607">
        <f t="shared" si="13"/>
        <v>99</v>
      </c>
      <c r="AG37" s="607">
        <f t="shared" si="14"/>
        <v>99</v>
      </c>
      <c r="AH37" s="607">
        <f t="shared" si="15"/>
        <v>99</v>
      </c>
      <c r="AI37" s="607">
        <f t="shared" si="16"/>
        <v>99</v>
      </c>
      <c r="AJ37" s="608" t="str">
        <f>IFERROR(((2*V37)+#REF!)/3,"")</f>
        <v/>
      </c>
      <c r="AK37" s="528"/>
      <c r="AL37" s="528"/>
      <c r="AM37" s="302">
        <f t="shared" ref="AM37:AM54" si="32">ROUND((AVERAGE(AF37:AL37)),0)</f>
        <v>99</v>
      </c>
      <c r="AN37" s="303" t="str">
        <f>IF(AM37&gt;KKM!$G$10,"A",IF(AM37&gt;KKM!$H$10,"B",IF(AM37&gt;=KKM!$I$10,"C","D")))</f>
        <v>A</v>
      </c>
      <c r="AO37" s="523">
        <f t="shared" ref="AO37:AO54" si="33">MAX(AF37:AL37)</f>
        <v>99</v>
      </c>
      <c r="AP37" s="115" t="str">
        <f>IF(AO37&gt;KKM!$G$10," sangat baik ",IF(AO37&gt;KKM!$H$10," baik ",IF(AO37&gt;=KKM!$I$10," cukup baik "," perlu bimbingan ")))</f>
        <v xml:space="preserve"> sangat baik </v>
      </c>
      <c r="AQ37" s="524">
        <f t="shared" ref="AQ37:AQ54" si="34">MIN(AF37:AL37)</f>
        <v>99</v>
      </c>
      <c r="AR37" s="115" t="str">
        <f>IF(AQ37&gt;KKM!$G$10," sangat baik ",IF(AQ37&gt;KKM!$H$10," baik ",IF(AQ37&gt;=KKM!$I$10," cukup baik "," perlu bimbingan ")))</f>
        <v xml:space="preserve"> sangat baik </v>
      </c>
      <c r="AS37" s="301" t="str">
        <f t="shared" si="17"/>
        <v>Anak 33 sangat baik  dalam membandingkan siklus hidup beberapa jenis makhluk hidup serta mengaitkan dengan upaya pelestariannya.</v>
      </c>
      <c r="AT37" s="306"/>
      <c r="AU37" s="307" t="str">
        <f t="shared" ref="AU37:AU54" si="35">AP37&amp;" dalam "&amp;INDEX($AF$3:$AL$3,MATCH(AO37,$AF37:$AL37,0))</f>
        <v xml:space="preserve"> sangat baik  dalam membandingkan siklus hidup beberapa jenis makhluk hidup serta mengaitkan dengan upaya pelestariannya.</v>
      </c>
      <c r="AV37" s="307" t="str">
        <f t="shared" ref="AV37:AV54" si="36">AR37&amp;" dalam "&amp;INDEX($AF$3:$AL$3,MATCH(AQ37,$AF37:$AL37,0))</f>
        <v xml:space="preserve"> sangat baik  dalam membandingkan siklus hidup beberapa jenis makhluk hidup serta mengaitkan dengan upaya pelestariannya.</v>
      </c>
      <c r="AW37"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7" s="307" t="str">
        <f t="shared" si="19"/>
        <v xml:space="preserve"> sangat baik  dalam membandingkan siklus hidup beberapa jenis makhluk hidup serta mengaitkan dengan upaya pelestariannya.</v>
      </c>
      <c r="AY37" s="308" t="str">
        <f t="shared" si="20"/>
        <v xml:space="preserve"> sangat baik  dalam membandingkan siklus hidup beberapa jenis makhluk hidup serta mengaitkan dengan upaya pelestariannya.</v>
      </c>
      <c r="AZ37" s="301" t="str">
        <f t="shared" ref="AZ37:AZ54" si="37">CONCATENATE(D37,AY37)</f>
        <v>Anak 33 sangat baik  dalam membandingkan siklus hidup beberapa jenis makhluk hidup serta mengaitkan dengan upaya pelestariannya.</v>
      </c>
      <c r="BA37" s="120"/>
      <c r="BJ37" s="408">
        <f t="shared" si="21"/>
        <v>99</v>
      </c>
      <c r="BM37" s="302">
        <f t="shared" si="22"/>
        <v>99</v>
      </c>
      <c r="BN37" s="303" t="str">
        <f>IF(BM37&gt;KKM!$G$10,"A",IF(BM37&gt;KKM!$H$10,"B",IF(BM37&gt;=KKM!$I$10,"C","D")))</f>
        <v>A</v>
      </c>
      <c r="BO37" s="523">
        <f t="shared" si="23"/>
        <v>99</v>
      </c>
      <c r="BP37" s="115" t="str">
        <f>IF(BO37&gt;KKM!$G$10," sangat baik ",IF(BO37&gt;KKM!$H$10," baik ",IF(BO37&gt;=KKM!$I$10," cukup baik "," perlu bimbingan ")))</f>
        <v xml:space="preserve"> sangat baik </v>
      </c>
      <c r="BQ37" s="524">
        <f t="shared" si="24"/>
        <v>99</v>
      </c>
      <c r="BR37" s="115" t="str">
        <f>IF(BQ37&gt;KKM!$G$10," sangat baik ",IF(BQ37&gt;KKM!$H$10," baik ",IF(BQ37&gt;=KKM!$I$10," cukup baik "," perlu bimbingan ")))</f>
        <v xml:space="preserve"> sangat baik </v>
      </c>
      <c r="BS37" s="301" t="str">
        <f t="shared" si="31"/>
        <v>Anak 33 sangat baik  dalam membandingkan siklus hidup beberapa jenis makhluk hidup serta mengaitkan dengan upaya pelestariannya.</v>
      </c>
      <c r="BT37" s="307" t="str">
        <f t="shared" si="25"/>
        <v xml:space="preserve"> sangat baik  dalam membandingkan siklus hidup beberapa jenis makhluk hidup serta mengaitkan dengan upaya pelestariannya.</v>
      </c>
      <c r="BU37" s="307" t="str">
        <f t="shared" si="26"/>
        <v xml:space="preserve"> sangat baik  dalam membandingkan siklus hidup beberapa jenis makhluk hidup serta mengaitkan dengan upaya pelestariannya.</v>
      </c>
      <c r="BV37"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7" s="307" t="str">
        <f t="shared" si="28"/>
        <v xml:space="preserve"> sangat baik  dalam membandingkan siklus hidup beberapa jenis makhluk hidup serta mengaitkan dengan upaya pelestariannya.</v>
      </c>
      <c r="BX37" s="308" t="str">
        <f t="shared" si="29"/>
        <v xml:space="preserve"> sangat baik  dalam membandingkan siklus hidup beberapa jenis makhluk hidup serta mengaitkan dengan upaya pelestariannya.</v>
      </c>
      <c r="BY37" s="301" t="str">
        <f t="shared" si="30"/>
        <v>Anak 33 sangat baik  dalam membandingkan siklus hidup beberapa jenis makhluk hidup serta mengaitkan dengan upaya pelestariannya.</v>
      </c>
    </row>
    <row r="38" spans="2:77" ht="41.25" customHeight="1">
      <c r="B38" s="109">
        <v>34</v>
      </c>
      <c r="C38" s="110">
        <f>SISWA!B39</f>
        <v>0</v>
      </c>
      <c r="D38" s="111" t="str">
        <f>SISWA!E39</f>
        <v>Anak 34</v>
      </c>
      <c r="E38" s="631">
        <v>99</v>
      </c>
      <c r="F38" s="631">
        <v>99</v>
      </c>
      <c r="G38" s="631">
        <v>99</v>
      </c>
      <c r="H38" s="631">
        <v>99</v>
      </c>
      <c r="I38" s="730"/>
      <c r="J38" s="730"/>
      <c r="K38" s="731"/>
      <c r="L38" s="731"/>
      <c r="M38" s="731"/>
      <c r="N38" s="731"/>
      <c r="O38" s="730"/>
      <c r="P38" s="730"/>
      <c r="Q38" s="610"/>
      <c r="R38" s="631">
        <v>99</v>
      </c>
      <c r="S38" s="631">
        <v>99</v>
      </c>
      <c r="T38" s="631"/>
      <c r="U38" s="631"/>
      <c r="V38" s="631"/>
      <c r="W38" s="631"/>
      <c r="X38" s="610"/>
      <c r="Y38" s="631">
        <v>99</v>
      </c>
      <c r="Z38" s="631">
        <v>99</v>
      </c>
      <c r="AA38" s="631">
        <v>99</v>
      </c>
      <c r="AB38" s="631">
        <v>99</v>
      </c>
      <c r="AC38" s="609"/>
      <c r="AD38" s="609"/>
      <c r="AE38" s="518"/>
      <c r="AF38" s="607">
        <f t="shared" si="13"/>
        <v>99</v>
      </c>
      <c r="AG38" s="607">
        <f t="shared" si="14"/>
        <v>99</v>
      </c>
      <c r="AH38" s="607">
        <f t="shared" si="15"/>
        <v>99</v>
      </c>
      <c r="AI38" s="607">
        <f t="shared" si="16"/>
        <v>99</v>
      </c>
      <c r="AJ38" s="608" t="str">
        <f>IFERROR(((2*V38)+#REF!)/3,"")</f>
        <v/>
      </c>
      <c r="AK38" s="528"/>
      <c r="AL38" s="528"/>
      <c r="AM38" s="302">
        <f t="shared" si="32"/>
        <v>99</v>
      </c>
      <c r="AN38" s="303" t="str">
        <f>IF(AM38&gt;KKM!$G$10,"A",IF(AM38&gt;KKM!$H$10,"B",IF(AM38&gt;=KKM!$I$10,"C","D")))</f>
        <v>A</v>
      </c>
      <c r="AO38" s="523">
        <f t="shared" si="33"/>
        <v>99</v>
      </c>
      <c r="AP38" s="115" t="str">
        <f>IF(AO38&gt;KKM!$G$10," sangat baik ",IF(AO38&gt;KKM!$H$10," baik ",IF(AO38&gt;=KKM!$I$10," cukup baik "," perlu bimbingan ")))</f>
        <v xml:space="preserve"> sangat baik </v>
      </c>
      <c r="AQ38" s="524">
        <f t="shared" si="34"/>
        <v>99</v>
      </c>
      <c r="AR38" s="115" t="str">
        <f>IF(AQ38&gt;KKM!$G$10," sangat baik ",IF(AQ38&gt;KKM!$H$10," baik ",IF(AQ38&gt;=KKM!$I$10," cukup baik "," perlu bimbingan ")))</f>
        <v xml:space="preserve"> sangat baik </v>
      </c>
      <c r="AS38" s="301" t="str">
        <f t="shared" si="17"/>
        <v>Anak 34 sangat baik  dalam membandingkan siklus hidup beberapa jenis makhluk hidup serta mengaitkan dengan upaya pelestariannya.</v>
      </c>
      <c r="AT38" s="306"/>
      <c r="AU38" s="307" t="str">
        <f t="shared" si="35"/>
        <v xml:space="preserve"> sangat baik  dalam membandingkan siklus hidup beberapa jenis makhluk hidup serta mengaitkan dengan upaya pelestariannya.</v>
      </c>
      <c r="AV38" s="307" t="str">
        <f t="shared" si="36"/>
        <v xml:space="preserve"> sangat baik  dalam membandingkan siklus hidup beberapa jenis makhluk hidup serta mengaitkan dengan upaya pelestariannya.</v>
      </c>
      <c r="AW38"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8" s="307" t="str">
        <f t="shared" si="19"/>
        <v xml:space="preserve"> sangat baik  dalam membandingkan siklus hidup beberapa jenis makhluk hidup serta mengaitkan dengan upaya pelestariannya.</v>
      </c>
      <c r="AY38" s="308" t="str">
        <f t="shared" si="20"/>
        <v xml:space="preserve"> sangat baik  dalam membandingkan siklus hidup beberapa jenis makhluk hidup serta mengaitkan dengan upaya pelestariannya.</v>
      </c>
      <c r="AZ38" s="301" t="str">
        <f t="shared" si="37"/>
        <v>Anak 34 sangat baik  dalam membandingkan siklus hidup beberapa jenis makhluk hidup serta mengaitkan dengan upaya pelestariannya.</v>
      </c>
      <c r="BA38" s="120"/>
      <c r="BJ38" s="408">
        <f t="shared" si="21"/>
        <v>99</v>
      </c>
      <c r="BM38" s="302">
        <f t="shared" si="22"/>
        <v>99</v>
      </c>
      <c r="BN38" s="303" t="str">
        <f>IF(BM38&gt;KKM!$G$10,"A",IF(BM38&gt;KKM!$H$10,"B",IF(BM38&gt;=KKM!$I$10,"C","D")))</f>
        <v>A</v>
      </c>
      <c r="BO38" s="523">
        <f t="shared" si="23"/>
        <v>99</v>
      </c>
      <c r="BP38" s="115" t="str">
        <f>IF(BO38&gt;KKM!$G$10," sangat baik ",IF(BO38&gt;KKM!$H$10," baik ",IF(BO38&gt;=KKM!$I$10," cukup baik "," perlu bimbingan ")))</f>
        <v xml:space="preserve"> sangat baik </v>
      </c>
      <c r="BQ38" s="524">
        <f t="shared" si="24"/>
        <v>99</v>
      </c>
      <c r="BR38" s="115" t="str">
        <f>IF(BQ38&gt;KKM!$G$10," sangat baik ",IF(BQ38&gt;KKM!$H$10," baik ",IF(BQ38&gt;=KKM!$I$10," cukup baik "," perlu bimbingan ")))</f>
        <v xml:space="preserve"> sangat baik </v>
      </c>
      <c r="BS38" s="301" t="str">
        <f t="shared" si="31"/>
        <v>Anak 34 sangat baik  dalam membandingkan siklus hidup beberapa jenis makhluk hidup serta mengaitkan dengan upaya pelestariannya.</v>
      </c>
      <c r="BT38" s="307" t="str">
        <f t="shared" si="25"/>
        <v xml:space="preserve"> sangat baik  dalam membandingkan siklus hidup beberapa jenis makhluk hidup serta mengaitkan dengan upaya pelestariannya.</v>
      </c>
      <c r="BU38" s="307" t="str">
        <f t="shared" si="26"/>
        <v xml:space="preserve"> sangat baik  dalam membandingkan siklus hidup beberapa jenis makhluk hidup serta mengaitkan dengan upaya pelestariannya.</v>
      </c>
      <c r="BV38"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8" s="307" t="str">
        <f t="shared" si="28"/>
        <v xml:space="preserve"> sangat baik  dalam membandingkan siklus hidup beberapa jenis makhluk hidup serta mengaitkan dengan upaya pelestariannya.</v>
      </c>
      <c r="BX38" s="308" t="str">
        <f t="shared" si="29"/>
        <v xml:space="preserve"> sangat baik  dalam membandingkan siklus hidup beberapa jenis makhluk hidup serta mengaitkan dengan upaya pelestariannya.</v>
      </c>
      <c r="BY38" s="301" t="str">
        <f t="shared" si="30"/>
        <v>Anak 34 sangat baik  dalam membandingkan siklus hidup beberapa jenis makhluk hidup serta mengaitkan dengan upaya pelestariannya.</v>
      </c>
    </row>
    <row r="39" spans="2:77" ht="41.25" customHeight="1">
      <c r="B39" s="109">
        <v>35</v>
      </c>
      <c r="C39" s="110">
        <f>SISWA!B40</f>
        <v>0</v>
      </c>
      <c r="D39" s="111" t="str">
        <f>SISWA!E40</f>
        <v>Anak 35</v>
      </c>
      <c r="E39" s="631">
        <v>99</v>
      </c>
      <c r="F39" s="631">
        <v>99</v>
      </c>
      <c r="G39" s="631">
        <v>99</v>
      </c>
      <c r="H39" s="631">
        <v>99</v>
      </c>
      <c r="I39" s="730"/>
      <c r="J39" s="730"/>
      <c r="K39" s="731"/>
      <c r="L39" s="731"/>
      <c r="M39" s="731"/>
      <c r="N39" s="731"/>
      <c r="O39" s="730"/>
      <c r="P39" s="730"/>
      <c r="Q39" s="610"/>
      <c r="R39" s="631">
        <v>99</v>
      </c>
      <c r="S39" s="631">
        <v>99</v>
      </c>
      <c r="T39" s="631"/>
      <c r="U39" s="631"/>
      <c r="V39" s="631"/>
      <c r="W39" s="631"/>
      <c r="X39" s="610"/>
      <c r="Y39" s="631">
        <v>99</v>
      </c>
      <c r="Z39" s="631">
        <v>99</v>
      </c>
      <c r="AA39" s="631">
        <v>99</v>
      </c>
      <c r="AB39" s="631">
        <v>99</v>
      </c>
      <c r="AC39" s="609"/>
      <c r="AD39" s="609"/>
      <c r="AE39" s="518"/>
      <c r="AF39" s="607">
        <f t="shared" si="13"/>
        <v>99</v>
      </c>
      <c r="AG39" s="607">
        <f t="shared" si="14"/>
        <v>99</v>
      </c>
      <c r="AH39" s="607">
        <f t="shared" si="15"/>
        <v>99</v>
      </c>
      <c r="AI39" s="607">
        <f t="shared" si="16"/>
        <v>99</v>
      </c>
      <c r="AJ39" s="608" t="str">
        <f>IFERROR(((2*V39)+#REF!)/3,"")</f>
        <v/>
      </c>
      <c r="AK39" s="528"/>
      <c r="AL39" s="528"/>
      <c r="AM39" s="302">
        <f t="shared" si="32"/>
        <v>99</v>
      </c>
      <c r="AN39" s="303" t="str">
        <f>IF(AM39&gt;KKM!$G$10,"A",IF(AM39&gt;KKM!$H$10,"B",IF(AM39&gt;=KKM!$I$10,"C","D")))</f>
        <v>A</v>
      </c>
      <c r="AO39" s="523">
        <f t="shared" si="33"/>
        <v>99</v>
      </c>
      <c r="AP39" s="115" t="str">
        <f>IF(AO39&gt;KKM!$G$10," sangat baik ",IF(AO39&gt;KKM!$H$10," baik ",IF(AO39&gt;=KKM!$I$10," cukup baik "," perlu bimbingan ")))</f>
        <v xml:space="preserve"> sangat baik </v>
      </c>
      <c r="AQ39" s="524">
        <f t="shared" si="34"/>
        <v>99</v>
      </c>
      <c r="AR39" s="115" t="str">
        <f>IF(AQ39&gt;KKM!$G$10," sangat baik ",IF(AQ39&gt;KKM!$H$10," baik ",IF(AQ39&gt;=KKM!$I$10," cukup baik "," perlu bimbingan ")))</f>
        <v xml:space="preserve"> sangat baik </v>
      </c>
      <c r="AS39" s="301" t="str">
        <f t="shared" si="17"/>
        <v>Anak 35 sangat baik  dalam membandingkan siklus hidup beberapa jenis makhluk hidup serta mengaitkan dengan upaya pelestariannya.</v>
      </c>
      <c r="AT39" s="306"/>
      <c r="AU39" s="307" t="str">
        <f t="shared" si="35"/>
        <v xml:space="preserve"> sangat baik  dalam membandingkan siklus hidup beberapa jenis makhluk hidup serta mengaitkan dengan upaya pelestariannya.</v>
      </c>
      <c r="AV39" s="307" t="str">
        <f t="shared" si="36"/>
        <v xml:space="preserve"> sangat baik  dalam membandingkan siklus hidup beberapa jenis makhluk hidup serta mengaitkan dengan upaya pelestariannya.</v>
      </c>
      <c r="AW39"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39" s="307" t="str">
        <f t="shared" si="19"/>
        <v xml:space="preserve"> sangat baik  dalam membandingkan siklus hidup beberapa jenis makhluk hidup serta mengaitkan dengan upaya pelestariannya.</v>
      </c>
      <c r="AY39" s="308" t="str">
        <f t="shared" si="20"/>
        <v xml:space="preserve"> sangat baik  dalam membandingkan siklus hidup beberapa jenis makhluk hidup serta mengaitkan dengan upaya pelestariannya.</v>
      </c>
      <c r="AZ39" s="301" t="str">
        <f t="shared" si="37"/>
        <v>Anak 35 sangat baik  dalam membandingkan siklus hidup beberapa jenis makhluk hidup serta mengaitkan dengan upaya pelestariannya.</v>
      </c>
      <c r="BA39" s="120"/>
      <c r="BJ39" s="408">
        <f t="shared" si="21"/>
        <v>99</v>
      </c>
      <c r="BM39" s="302">
        <f t="shared" si="22"/>
        <v>99</v>
      </c>
      <c r="BN39" s="303" t="str">
        <f>IF(BM39&gt;KKM!$G$10,"A",IF(BM39&gt;KKM!$H$10,"B",IF(BM39&gt;=KKM!$I$10,"C","D")))</f>
        <v>A</v>
      </c>
      <c r="BO39" s="523">
        <f t="shared" si="23"/>
        <v>99</v>
      </c>
      <c r="BP39" s="115" t="str">
        <f>IF(BO39&gt;KKM!$G$10," sangat baik ",IF(BO39&gt;KKM!$H$10," baik ",IF(BO39&gt;=KKM!$I$10," cukup baik "," perlu bimbingan ")))</f>
        <v xml:space="preserve"> sangat baik </v>
      </c>
      <c r="BQ39" s="524">
        <f t="shared" si="24"/>
        <v>99</v>
      </c>
      <c r="BR39" s="115" t="str">
        <f>IF(BQ39&gt;KKM!$G$10," sangat baik ",IF(BQ39&gt;KKM!$H$10," baik ",IF(BQ39&gt;=KKM!$I$10," cukup baik "," perlu bimbingan ")))</f>
        <v xml:space="preserve"> sangat baik </v>
      </c>
      <c r="BS39" s="301" t="str">
        <f t="shared" si="31"/>
        <v>Anak 35 sangat baik  dalam membandingkan siklus hidup beberapa jenis makhluk hidup serta mengaitkan dengan upaya pelestariannya.</v>
      </c>
      <c r="BT39" s="307" t="str">
        <f t="shared" si="25"/>
        <v xml:space="preserve"> sangat baik  dalam membandingkan siklus hidup beberapa jenis makhluk hidup serta mengaitkan dengan upaya pelestariannya.</v>
      </c>
      <c r="BU39" s="307" t="str">
        <f t="shared" si="26"/>
        <v xml:space="preserve"> sangat baik  dalam membandingkan siklus hidup beberapa jenis makhluk hidup serta mengaitkan dengan upaya pelestariannya.</v>
      </c>
      <c r="BV39"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39" s="307" t="str">
        <f t="shared" si="28"/>
        <v xml:space="preserve"> sangat baik  dalam membandingkan siklus hidup beberapa jenis makhluk hidup serta mengaitkan dengan upaya pelestariannya.</v>
      </c>
      <c r="BX39" s="308" t="str">
        <f t="shared" si="29"/>
        <v xml:space="preserve"> sangat baik  dalam membandingkan siklus hidup beberapa jenis makhluk hidup serta mengaitkan dengan upaya pelestariannya.</v>
      </c>
      <c r="BY39" s="301" t="str">
        <f t="shared" si="30"/>
        <v>Anak 35 sangat baik  dalam membandingkan siklus hidup beberapa jenis makhluk hidup serta mengaitkan dengan upaya pelestariannya.</v>
      </c>
    </row>
    <row r="40" spans="2:77" ht="41.25" customHeight="1">
      <c r="B40" s="109">
        <v>36</v>
      </c>
      <c r="C40" s="110">
        <f>SISWA!B41</f>
        <v>0</v>
      </c>
      <c r="D40" s="111" t="str">
        <f>SISWA!E41</f>
        <v>Anak 36</v>
      </c>
      <c r="E40" s="631">
        <v>99</v>
      </c>
      <c r="F40" s="631">
        <v>99</v>
      </c>
      <c r="G40" s="631">
        <v>99</v>
      </c>
      <c r="H40" s="631">
        <v>99</v>
      </c>
      <c r="I40" s="730"/>
      <c r="J40" s="730"/>
      <c r="K40" s="731"/>
      <c r="L40" s="731"/>
      <c r="M40" s="731"/>
      <c r="N40" s="731"/>
      <c r="O40" s="730"/>
      <c r="P40" s="730"/>
      <c r="Q40" s="610"/>
      <c r="R40" s="631">
        <v>99</v>
      </c>
      <c r="S40" s="631">
        <v>99</v>
      </c>
      <c r="T40" s="631"/>
      <c r="U40" s="631"/>
      <c r="V40" s="631"/>
      <c r="W40" s="631"/>
      <c r="X40" s="610"/>
      <c r="Y40" s="631">
        <v>99</v>
      </c>
      <c r="Z40" s="631">
        <v>99</v>
      </c>
      <c r="AA40" s="631">
        <v>99</v>
      </c>
      <c r="AB40" s="631">
        <v>99</v>
      </c>
      <c r="AC40" s="609"/>
      <c r="AD40" s="609"/>
      <c r="AE40" s="518"/>
      <c r="AF40" s="607">
        <f t="shared" si="13"/>
        <v>99</v>
      </c>
      <c r="AG40" s="607">
        <f t="shared" si="14"/>
        <v>99</v>
      </c>
      <c r="AH40" s="607">
        <f t="shared" si="15"/>
        <v>99</v>
      </c>
      <c r="AI40" s="607">
        <f t="shared" si="16"/>
        <v>99</v>
      </c>
      <c r="AJ40" s="608" t="str">
        <f>IFERROR(((2*V40)+#REF!)/3,"")</f>
        <v/>
      </c>
      <c r="AK40" s="528"/>
      <c r="AL40" s="528"/>
      <c r="AM40" s="302">
        <f t="shared" si="32"/>
        <v>99</v>
      </c>
      <c r="AN40" s="303" t="str">
        <f>IF(AM40&gt;KKM!$G$10,"A",IF(AM40&gt;KKM!$H$10,"B",IF(AM40&gt;=KKM!$I$10,"C","D")))</f>
        <v>A</v>
      </c>
      <c r="AO40" s="523">
        <f t="shared" si="33"/>
        <v>99</v>
      </c>
      <c r="AP40" s="115" t="str">
        <f>IF(AO40&gt;KKM!$G$10," sangat baik ",IF(AO40&gt;KKM!$H$10," baik ",IF(AO40&gt;=KKM!$I$10," cukup baik "," perlu bimbingan ")))</f>
        <v xml:space="preserve"> sangat baik </v>
      </c>
      <c r="AQ40" s="524">
        <f t="shared" si="34"/>
        <v>99</v>
      </c>
      <c r="AR40" s="115" t="str">
        <f>IF(AQ40&gt;KKM!$G$10," sangat baik ",IF(AQ40&gt;KKM!$H$10," baik ",IF(AQ40&gt;=KKM!$I$10," cukup baik "," perlu bimbingan ")))</f>
        <v xml:space="preserve"> sangat baik </v>
      </c>
      <c r="AS40" s="301" t="str">
        <f t="shared" si="17"/>
        <v>Anak 36 sangat baik  dalam membandingkan siklus hidup beberapa jenis makhluk hidup serta mengaitkan dengan upaya pelestariannya.</v>
      </c>
      <c r="AT40" s="306"/>
      <c r="AU40" s="307" t="str">
        <f t="shared" si="35"/>
        <v xml:space="preserve"> sangat baik  dalam membandingkan siklus hidup beberapa jenis makhluk hidup serta mengaitkan dengan upaya pelestariannya.</v>
      </c>
      <c r="AV40" s="307" t="str">
        <f t="shared" si="36"/>
        <v xml:space="preserve"> sangat baik  dalam membandingkan siklus hidup beberapa jenis makhluk hidup serta mengaitkan dengan upaya pelestariannya.</v>
      </c>
      <c r="AW40"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0" s="307" t="str">
        <f t="shared" si="19"/>
        <v xml:space="preserve"> sangat baik  dalam membandingkan siklus hidup beberapa jenis makhluk hidup serta mengaitkan dengan upaya pelestariannya.</v>
      </c>
      <c r="AY40" s="308" t="str">
        <f t="shared" si="20"/>
        <v xml:space="preserve"> sangat baik  dalam membandingkan siklus hidup beberapa jenis makhluk hidup serta mengaitkan dengan upaya pelestariannya.</v>
      </c>
      <c r="AZ40" s="301" t="str">
        <f t="shared" si="37"/>
        <v>Anak 36 sangat baik  dalam membandingkan siklus hidup beberapa jenis makhluk hidup serta mengaitkan dengan upaya pelestariannya.</v>
      </c>
      <c r="BA40" s="120"/>
      <c r="BJ40" s="408">
        <f t="shared" si="21"/>
        <v>99</v>
      </c>
      <c r="BM40" s="302">
        <f t="shared" si="22"/>
        <v>99</v>
      </c>
      <c r="BN40" s="303" t="str">
        <f>IF(BM40&gt;KKM!$G$10,"A",IF(BM40&gt;KKM!$H$10,"B",IF(BM40&gt;=KKM!$I$10,"C","D")))</f>
        <v>A</v>
      </c>
      <c r="BO40" s="523">
        <f t="shared" si="23"/>
        <v>99</v>
      </c>
      <c r="BP40" s="115" t="str">
        <f>IF(BO40&gt;KKM!$G$10," sangat baik ",IF(BO40&gt;KKM!$H$10," baik ",IF(BO40&gt;=KKM!$I$10," cukup baik "," perlu bimbingan ")))</f>
        <v xml:space="preserve"> sangat baik </v>
      </c>
      <c r="BQ40" s="524">
        <f t="shared" si="24"/>
        <v>99</v>
      </c>
      <c r="BR40" s="115" t="str">
        <f>IF(BQ40&gt;KKM!$G$10," sangat baik ",IF(BQ40&gt;KKM!$H$10," baik ",IF(BQ40&gt;=KKM!$I$10," cukup baik "," perlu bimbingan ")))</f>
        <v xml:space="preserve"> sangat baik </v>
      </c>
      <c r="BS40" s="301" t="str">
        <f t="shared" si="31"/>
        <v>Anak 36 sangat baik  dalam membandingkan siklus hidup beberapa jenis makhluk hidup serta mengaitkan dengan upaya pelestariannya.</v>
      </c>
      <c r="BT40" s="307" t="str">
        <f t="shared" si="25"/>
        <v xml:space="preserve"> sangat baik  dalam membandingkan siklus hidup beberapa jenis makhluk hidup serta mengaitkan dengan upaya pelestariannya.</v>
      </c>
      <c r="BU40" s="307" t="str">
        <f t="shared" si="26"/>
        <v xml:space="preserve"> sangat baik  dalam membandingkan siklus hidup beberapa jenis makhluk hidup serta mengaitkan dengan upaya pelestariannya.</v>
      </c>
      <c r="BV40"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0" s="307" t="str">
        <f t="shared" si="28"/>
        <v xml:space="preserve"> sangat baik  dalam membandingkan siklus hidup beberapa jenis makhluk hidup serta mengaitkan dengan upaya pelestariannya.</v>
      </c>
      <c r="BX40" s="308" t="str">
        <f t="shared" si="29"/>
        <v xml:space="preserve"> sangat baik  dalam membandingkan siklus hidup beberapa jenis makhluk hidup serta mengaitkan dengan upaya pelestariannya.</v>
      </c>
      <c r="BY40" s="301" t="str">
        <f t="shared" si="30"/>
        <v>Anak 36 sangat baik  dalam membandingkan siklus hidup beberapa jenis makhluk hidup serta mengaitkan dengan upaya pelestariannya.</v>
      </c>
    </row>
    <row r="41" spans="2:77" ht="41.25" customHeight="1">
      <c r="B41" s="109">
        <v>37</v>
      </c>
      <c r="C41" s="110">
        <f>SISWA!B42</f>
        <v>0</v>
      </c>
      <c r="D41" s="111" t="str">
        <f>SISWA!E42</f>
        <v>Anak 37</v>
      </c>
      <c r="E41" s="631">
        <v>99</v>
      </c>
      <c r="F41" s="631">
        <v>99</v>
      </c>
      <c r="G41" s="631">
        <v>99</v>
      </c>
      <c r="H41" s="631">
        <v>99</v>
      </c>
      <c r="I41" s="730"/>
      <c r="J41" s="730"/>
      <c r="K41" s="731"/>
      <c r="L41" s="731"/>
      <c r="M41" s="731"/>
      <c r="N41" s="731"/>
      <c r="O41" s="730"/>
      <c r="P41" s="730"/>
      <c r="Q41" s="610"/>
      <c r="R41" s="631">
        <v>99</v>
      </c>
      <c r="S41" s="631">
        <v>99</v>
      </c>
      <c r="T41" s="631"/>
      <c r="U41" s="631"/>
      <c r="V41" s="631"/>
      <c r="W41" s="631"/>
      <c r="X41" s="610"/>
      <c r="Y41" s="631">
        <v>99</v>
      </c>
      <c r="Z41" s="631">
        <v>99</v>
      </c>
      <c r="AA41" s="631">
        <v>99</v>
      </c>
      <c r="AB41" s="631">
        <v>99</v>
      </c>
      <c r="AC41" s="609"/>
      <c r="AD41" s="609"/>
      <c r="AE41" s="518"/>
      <c r="AF41" s="607">
        <f t="shared" si="13"/>
        <v>99</v>
      </c>
      <c r="AG41" s="607">
        <f t="shared" si="14"/>
        <v>99</v>
      </c>
      <c r="AH41" s="607">
        <f t="shared" si="15"/>
        <v>99</v>
      </c>
      <c r="AI41" s="607">
        <f t="shared" si="16"/>
        <v>99</v>
      </c>
      <c r="AJ41" s="608" t="str">
        <f>IFERROR(((2*V41)+#REF!)/3,"")</f>
        <v/>
      </c>
      <c r="AK41" s="528"/>
      <c r="AL41" s="528"/>
      <c r="AM41" s="302">
        <f t="shared" si="32"/>
        <v>99</v>
      </c>
      <c r="AN41" s="303" t="str">
        <f>IF(AM41&gt;KKM!$G$10,"A",IF(AM41&gt;KKM!$H$10,"B",IF(AM41&gt;=KKM!$I$10,"C","D")))</f>
        <v>A</v>
      </c>
      <c r="AO41" s="523">
        <f t="shared" si="33"/>
        <v>99</v>
      </c>
      <c r="AP41" s="115" t="str">
        <f>IF(AO41&gt;KKM!$G$10," sangat baik ",IF(AO41&gt;KKM!$H$10," baik ",IF(AO41&gt;=KKM!$I$10," cukup baik "," perlu bimbingan ")))</f>
        <v xml:space="preserve"> sangat baik </v>
      </c>
      <c r="AQ41" s="524">
        <f t="shared" si="34"/>
        <v>99</v>
      </c>
      <c r="AR41" s="115" t="str">
        <f>IF(AQ41&gt;KKM!$G$10," sangat baik ",IF(AQ41&gt;KKM!$H$10," baik ",IF(AQ41&gt;=KKM!$I$10," cukup baik "," perlu bimbingan ")))</f>
        <v xml:space="preserve"> sangat baik </v>
      </c>
      <c r="AS41" s="301" t="str">
        <f t="shared" si="17"/>
        <v>Anak 37 sangat baik  dalam membandingkan siklus hidup beberapa jenis makhluk hidup serta mengaitkan dengan upaya pelestariannya.</v>
      </c>
      <c r="AT41" s="306"/>
      <c r="AU41" s="307" t="str">
        <f t="shared" si="35"/>
        <v xml:space="preserve"> sangat baik  dalam membandingkan siklus hidup beberapa jenis makhluk hidup serta mengaitkan dengan upaya pelestariannya.</v>
      </c>
      <c r="AV41" s="307" t="str">
        <f t="shared" si="36"/>
        <v xml:space="preserve"> sangat baik  dalam membandingkan siklus hidup beberapa jenis makhluk hidup serta mengaitkan dengan upaya pelestariannya.</v>
      </c>
      <c r="AW41"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1" s="307" t="str">
        <f t="shared" si="19"/>
        <v xml:space="preserve"> sangat baik  dalam membandingkan siklus hidup beberapa jenis makhluk hidup serta mengaitkan dengan upaya pelestariannya.</v>
      </c>
      <c r="AY41" s="308" t="str">
        <f t="shared" si="20"/>
        <v xml:space="preserve"> sangat baik  dalam membandingkan siklus hidup beberapa jenis makhluk hidup serta mengaitkan dengan upaya pelestariannya.</v>
      </c>
      <c r="AZ41" s="301" t="str">
        <f t="shared" si="37"/>
        <v>Anak 37 sangat baik  dalam membandingkan siklus hidup beberapa jenis makhluk hidup serta mengaitkan dengan upaya pelestariannya.</v>
      </c>
      <c r="BA41" s="120"/>
      <c r="BJ41" s="408">
        <f t="shared" si="21"/>
        <v>99</v>
      </c>
      <c r="BM41" s="302">
        <f t="shared" si="22"/>
        <v>99</v>
      </c>
      <c r="BN41" s="303" t="str">
        <f>IF(BM41&gt;KKM!$G$10,"A",IF(BM41&gt;KKM!$H$10,"B",IF(BM41&gt;=KKM!$I$10,"C","D")))</f>
        <v>A</v>
      </c>
      <c r="BO41" s="523">
        <f t="shared" si="23"/>
        <v>99</v>
      </c>
      <c r="BP41" s="115" t="str">
        <f>IF(BO41&gt;KKM!$G$10," sangat baik ",IF(BO41&gt;KKM!$H$10," baik ",IF(BO41&gt;=KKM!$I$10," cukup baik "," perlu bimbingan ")))</f>
        <v xml:space="preserve"> sangat baik </v>
      </c>
      <c r="BQ41" s="524">
        <f t="shared" si="24"/>
        <v>99</v>
      </c>
      <c r="BR41" s="115" t="str">
        <f>IF(BQ41&gt;KKM!$G$10," sangat baik ",IF(BQ41&gt;KKM!$H$10," baik ",IF(BQ41&gt;=KKM!$I$10," cukup baik "," perlu bimbingan ")))</f>
        <v xml:space="preserve"> sangat baik </v>
      </c>
      <c r="BS41" s="301" t="str">
        <f t="shared" si="31"/>
        <v>Anak 37 sangat baik  dalam membandingkan siklus hidup beberapa jenis makhluk hidup serta mengaitkan dengan upaya pelestariannya.</v>
      </c>
      <c r="BT41" s="307" t="str">
        <f t="shared" si="25"/>
        <v xml:space="preserve"> sangat baik  dalam membandingkan siklus hidup beberapa jenis makhluk hidup serta mengaitkan dengan upaya pelestariannya.</v>
      </c>
      <c r="BU41" s="307" t="str">
        <f t="shared" si="26"/>
        <v xml:space="preserve"> sangat baik  dalam membandingkan siklus hidup beberapa jenis makhluk hidup serta mengaitkan dengan upaya pelestariannya.</v>
      </c>
      <c r="BV41"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1" s="307" t="str">
        <f t="shared" si="28"/>
        <v xml:space="preserve"> sangat baik  dalam membandingkan siklus hidup beberapa jenis makhluk hidup serta mengaitkan dengan upaya pelestariannya.</v>
      </c>
      <c r="BX41" s="308" t="str">
        <f t="shared" si="29"/>
        <v xml:space="preserve"> sangat baik  dalam membandingkan siklus hidup beberapa jenis makhluk hidup serta mengaitkan dengan upaya pelestariannya.</v>
      </c>
      <c r="BY41" s="301" t="str">
        <f t="shared" si="30"/>
        <v>Anak 37 sangat baik  dalam membandingkan siklus hidup beberapa jenis makhluk hidup serta mengaitkan dengan upaya pelestariannya.</v>
      </c>
    </row>
    <row r="42" spans="2:77" ht="41.25" customHeight="1">
      <c r="B42" s="109">
        <v>38</v>
      </c>
      <c r="C42" s="110">
        <f>SISWA!B43</f>
        <v>0</v>
      </c>
      <c r="D42" s="111" t="str">
        <f>SISWA!E43</f>
        <v>Anak 38</v>
      </c>
      <c r="E42" s="631">
        <v>99</v>
      </c>
      <c r="F42" s="631">
        <v>99</v>
      </c>
      <c r="G42" s="631">
        <v>99</v>
      </c>
      <c r="H42" s="631">
        <v>99</v>
      </c>
      <c r="I42" s="730"/>
      <c r="J42" s="730"/>
      <c r="K42" s="731"/>
      <c r="L42" s="731"/>
      <c r="M42" s="731"/>
      <c r="N42" s="731"/>
      <c r="O42" s="730"/>
      <c r="P42" s="730"/>
      <c r="Q42" s="610"/>
      <c r="R42" s="631">
        <v>99</v>
      </c>
      <c r="S42" s="631">
        <v>99</v>
      </c>
      <c r="T42" s="631"/>
      <c r="U42" s="631"/>
      <c r="V42" s="631"/>
      <c r="W42" s="631"/>
      <c r="X42" s="610"/>
      <c r="Y42" s="631">
        <v>99</v>
      </c>
      <c r="Z42" s="631">
        <v>99</v>
      </c>
      <c r="AA42" s="631">
        <v>99</v>
      </c>
      <c r="AB42" s="631">
        <v>99</v>
      </c>
      <c r="AC42" s="609"/>
      <c r="AD42" s="609"/>
      <c r="AE42" s="518"/>
      <c r="AF42" s="607">
        <f t="shared" si="13"/>
        <v>99</v>
      </c>
      <c r="AG42" s="607">
        <f t="shared" si="14"/>
        <v>99</v>
      </c>
      <c r="AH42" s="607">
        <f t="shared" si="15"/>
        <v>99</v>
      </c>
      <c r="AI42" s="607">
        <f t="shared" si="16"/>
        <v>99</v>
      </c>
      <c r="AJ42" s="608" t="str">
        <f>IFERROR(((2*V42)+#REF!)/3,"")</f>
        <v/>
      </c>
      <c r="AK42" s="528"/>
      <c r="AL42" s="528"/>
      <c r="AM42" s="302">
        <f t="shared" si="32"/>
        <v>99</v>
      </c>
      <c r="AN42" s="303" t="str">
        <f>IF(AM42&gt;KKM!$G$10,"A",IF(AM42&gt;KKM!$H$10,"B",IF(AM42&gt;=KKM!$I$10,"C","D")))</f>
        <v>A</v>
      </c>
      <c r="AO42" s="523">
        <f t="shared" si="33"/>
        <v>99</v>
      </c>
      <c r="AP42" s="115" t="str">
        <f>IF(AO42&gt;KKM!$G$10," sangat baik ",IF(AO42&gt;KKM!$H$10," baik ",IF(AO42&gt;=KKM!$I$10," cukup baik "," perlu bimbingan ")))</f>
        <v xml:space="preserve"> sangat baik </v>
      </c>
      <c r="AQ42" s="524">
        <f t="shared" si="34"/>
        <v>99</v>
      </c>
      <c r="AR42" s="115" t="str">
        <f>IF(AQ42&gt;KKM!$G$10," sangat baik ",IF(AQ42&gt;KKM!$H$10," baik ",IF(AQ42&gt;=KKM!$I$10," cukup baik "," perlu bimbingan ")))</f>
        <v xml:space="preserve"> sangat baik </v>
      </c>
      <c r="AS42" s="301" t="str">
        <f t="shared" si="17"/>
        <v>Anak 38 sangat baik  dalam membandingkan siklus hidup beberapa jenis makhluk hidup serta mengaitkan dengan upaya pelestariannya.</v>
      </c>
      <c r="AT42" s="306"/>
      <c r="AU42" s="307" t="str">
        <f t="shared" si="35"/>
        <v xml:space="preserve"> sangat baik  dalam membandingkan siklus hidup beberapa jenis makhluk hidup serta mengaitkan dengan upaya pelestariannya.</v>
      </c>
      <c r="AV42" s="307" t="str">
        <f t="shared" si="36"/>
        <v xml:space="preserve"> sangat baik  dalam membandingkan siklus hidup beberapa jenis makhluk hidup serta mengaitkan dengan upaya pelestariannya.</v>
      </c>
      <c r="AW42"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2" s="307" t="str">
        <f t="shared" si="19"/>
        <v xml:space="preserve"> sangat baik  dalam membandingkan siklus hidup beberapa jenis makhluk hidup serta mengaitkan dengan upaya pelestariannya.</v>
      </c>
      <c r="AY42" s="308" t="str">
        <f t="shared" si="20"/>
        <v xml:space="preserve"> sangat baik  dalam membandingkan siklus hidup beberapa jenis makhluk hidup serta mengaitkan dengan upaya pelestariannya.</v>
      </c>
      <c r="AZ42" s="301" t="str">
        <f t="shared" si="37"/>
        <v>Anak 38 sangat baik  dalam membandingkan siklus hidup beberapa jenis makhluk hidup serta mengaitkan dengan upaya pelestariannya.</v>
      </c>
      <c r="BA42" s="120"/>
      <c r="BJ42" s="408">
        <f t="shared" si="21"/>
        <v>99</v>
      </c>
      <c r="BM42" s="302">
        <f t="shared" si="22"/>
        <v>99</v>
      </c>
      <c r="BN42" s="303" t="str">
        <f>IF(BM42&gt;KKM!$G$10,"A",IF(BM42&gt;KKM!$H$10,"B",IF(BM42&gt;=KKM!$I$10,"C","D")))</f>
        <v>A</v>
      </c>
      <c r="BO42" s="523">
        <f t="shared" si="23"/>
        <v>99</v>
      </c>
      <c r="BP42" s="115" t="str">
        <f>IF(BO42&gt;KKM!$G$10," sangat baik ",IF(BO42&gt;KKM!$H$10," baik ",IF(BO42&gt;=KKM!$I$10," cukup baik "," perlu bimbingan ")))</f>
        <v xml:space="preserve"> sangat baik </v>
      </c>
      <c r="BQ42" s="524">
        <f t="shared" si="24"/>
        <v>99</v>
      </c>
      <c r="BR42" s="115" t="str">
        <f>IF(BQ42&gt;KKM!$G$10," sangat baik ",IF(BQ42&gt;KKM!$H$10," baik ",IF(BQ42&gt;=KKM!$I$10," cukup baik "," perlu bimbingan ")))</f>
        <v xml:space="preserve"> sangat baik </v>
      </c>
      <c r="BS42" s="301" t="str">
        <f t="shared" si="31"/>
        <v>Anak 38 sangat baik  dalam membandingkan siklus hidup beberapa jenis makhluk hidup serta mengaitkan dengan upaya pelestariannya.</v>
      </c>
      <c r="BT42" s="307" t="str">
        <f t="shared" si="25"/>
        <v xml:space="preserve"> sangat baik  dalam membandingkan siklus hidup beberapa jenis makhluk hidup serta mengaitkan dengan upaya pelestariannya.</v>
      </c>
      <c r="BU42" s="307" t="str">
        <f t="shared" si="26"/>
        <v xml:space="preserve"> sangat baik  dalam membandingkan siklus hidup beberapa jenis makhluk hidup serta mengaitkan dengan upaya pelestariannya.</v>
      </c>
      <c r="BV42"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2" s="307" t="str">
        <f t="shared" si="28"/>
        <v xml:space="preserve"> sangat baik  dalam membandingkan siklus hidup beberapa jenis makhluk hidup serta mengaitkan dengan upaya pelestariannya.</v>
      </c>
      <c r="BX42" s="308" t="str">
        <f t="shared" si="29"/>
        <v xml:space="preserve"> sangat baik  dalam membandingkan siklus hidup beberapa jenis makhluk hidup serta mengaitkan dengan upaya pelestariannya.</v>
      </c>
      <c r="BY42" s="301" t="str">
        <f t="shared" si="30"/>
        <v>Anak 38 sangat baik  dalam membandingkan siklus hidup beberapa jenis makhluk hidup serta mengaitkan dengan upaya pelestariannya.</v>
      </c>
    </row>
    <row r="43" spans="2:77" ht="41.25" customHeight="1">
      <c r="B43" s="109">
        <v>39</v>
      </c>
      <c r="C43" s="110">
        <f>SISWA!B44</f>
        <v>0</v>
      </c>
      <c r="D43" s="111" t="str">
        <f>SISWA!E44</f>
        <v>Anak 39</v>
      </c>
      <c r="E43" s="631">
        <v>99</v>
      </c>
      <c r="F43" s="631">
        <v>99</v>
      </c>
      <c r="G43" s="631">
        <v>99</v>
      </c>
      <c r="H43" s="631">
        <v>99</v>
      </c>
      <c r="I43" s="730"/>
      <c r="J43" s="730"/>
      <c r="K43" s="731"/>
      <c r="L43" s="731"/>
      <c r="M43" s="731"/>
      <c r="N43" s="731"/>
      <c r="O43" s="730"/>
      <c r="P43" s="730"/>
      <c r="Q43" s="610"/>
      <c r="R43" s="631">
        <v>99</v>
      </c>
      <c r="S43" s="631">
        <v>99</v>
      </c>
      <c r="T43" s="631"/>
      <c r="U43" s="631"/>
      <c r="V43" s="631"/>
      <c r="W43" s="631"/>
      <c r="X43" s="610"/>
      <c r="Y43" s="631">
        <v>99</v>
      </c>
      <c r="Z43" s="631">
        <v>99</v>
      </c>
      <c r="AA43" s="631">
        <v>99</v>
      </c>
      <c r="AB43" s="631">
        <v>99</v>
      </c>
      <c r="AC43" s="609"/>
      <c r="AD43" s="609"/>
      <c r="AE43" s="518"/>
      <c r="AF43" s="607">
        <f t="shared" si="13"/>
        <v>99</v>
      </c>
      <c r="AG43" s="607">
        <f t="shared" si="14"/>
        <v>99</v>
      </c>
      <c r="AH43" s="607">
        <f t="shared" si="15"/>
        <v>99</v>
      </c>
      <c r="AI43" s="607">
        <f t="shared" si="16"/>
        <v>99</v>
      </c>
      <c r="AJ43" s="608" t="str">
        <f>IFERROR(((2*V43)+#REF!)/3,"")</f>
        <v/>
      </c>
      <c r="AK43" s="528"/>
      <c r="AL43" s="528"/>
      <c r="AM43" s="302">
        <f t="shared" si="32"/>
        <v>99</v>
      </c>
      <c r="AN43" s="303" t="str">
        <f>IF(AM43&gt;KKM!$G$10,"A",IF(AM43&gt;KKM!$H$10,"B",IF(AM43&gt;=KKM!$I$10,"C","D")))</f>
        <v>A</v>
      </c>
      <c r="AO43" s="523">
        <f t="shared" si="33"/>
        <v>99</v>
      </c>
      <c r="AP43" s="115" t="str">
        <f>IF(AO43&gt;KKM!$G$10," sangat baik ",IF(AO43&gt;KKM!$H$10," baik ",IF(AO43&gt;=KKM!$I$10," cukup baik "," perlu bimbingan ")))</f>
        <v xml:space="preserve"> sangat baik </v>
      </c>
      <c r="AQ43" s="524">
        <f t="shared" si="34"/>
        <v>99</v>
      </c>
      <c r="AR43" s="115" t="str">
        <f>IF(AQ43&gt;KKM!$G$10," sangat baik ",IF(AQ43&gt;KKM!$H$10," baik ",IF(AQ43&gt;=KKM!$I$10," cukup baik "," perlu bimbingan ")))</f>
        <v xml:space="preserve"> sangat baik </v>
      </c>
      <c r="AS43" s="301" t="str">
        <f t="shared" si="17"/>
        <v>Anak 39 sangat baik  dalam membandingkan siklus hidup beberapa jenis makhluk hidup serta mengaitkan dengan upaya pelestariannya.</v>
      </c>
      <c r="AT43" s="306"/>
      <c r="AU43" s="307" t="str">
        <f t="shared" si="35"/>
        <v xml:space="preserve"> sangat baik  dalam membandingkan siklus hidup beberapa jenis makhluk hidup serta mengaitkan dengan upaya pelestariannya.</v>
      </c>
      <c r="AV43" s="307" t="str">
        <f t="shared" si="36"/>
        <v xml:space="preserve"> sangat baik  dalam membandingkan siklus hidup beberapa jenis makhluk hidup serta mengaitkan dengan upaya pelestariannya.</v>
      </c>
      <c r="AW43"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3" s="307" t="str">
        <f t="shared" si="19"/>
        <v xml:space="preserve"> sangat baik  dalam membandingkan siklus hidup beberapa jenis makhluk hidup serta mengaitkan dengan upaya pelestariannya.</v>
      </c>
      <c r="AY43" s="308" t="str">
        <f t="shared" si="20"/>
        <v xml:space="preserve"> sangat baik  dalam membandingkan siklus hidup beberapa jenis makhluk hidup serta mengaitkan dengan upaya pelestariannya.</v>
      </c>
      <c r="AZ43" s="301" t="str">
        <f t="shared" si="37"/>
        <v>Anak 39 sangat baik  dalam membandingkan siklus hidup beberapa jenis makhluk hidup serta mengaitkan dengan upaya pelestariannya.</v>
      </c>
      <c r="BA43" s="120"/>
      <c r="BJ43" s="408">
        <f t="shared" si="21"/>
        <v>99</v>
      </c>
      <c r="BM43" s="302">
        <f t="shared" si="22"/>
        <v>99</v>
      </c>
      <c r="BN43" s="303" t="str">
        <f>IF(BM43&gt;KKM!$G$10,"A",IF(BM43&gt;KKM!$H$10,"B",IF(BM43&gt;=KKM!$I$10,"C","D")))</f>
        <v>A</v>
      </c>
      <c r="BO43" s="523">
        <f t="shared" si="23"/>
        <v>99</v>
      </c>
      <c r="BP43" s="115" t="str">
        <f>IF(BO43&gt;KKM!$G$10," sangat baik ",IF(BO43&gt;KKM!$H$10," baik ",IF(BO43&gt;=KKM!$I$10," cukup baik "," perlu bimbingan ")))</f>
        <v xml:space="preserve"> sangat baik </v>
      </c>
      <c r="BQ43" s="524">
        <f t="shared" si="24"/>
        <v>99</v>
      </c>
      <c r="BR43" s="115" t="str">
        <f>IF(BQ43&gt;KKM!$G$10," sangat baik ",IF(BQ43&gt;KKM!$H$10," baik ",IF(BQ43&gt;=KKM!$I$10," cukup baik "," perlu bimbingan ")))</f>
        <v xml:space="preserve"> sangat baik </v>
      </c>
      <c r="BS43" s="301" t="str">
        <f t="shared" si="31"/>
        <v>Anak 39 sangat baik  dalam membandingkan siklus hidup beberapa jenis makhluk hidup serta mengaitkan dengan upaya pelestariannya.</v>
      </c>
      <c r="BT43" s="307" t="str">
        <f t="shared" si="25"/>
        <v xml:space="preserve"> sangat baik  dalam membandingkan siklus hidup beberapa jenis makhluk hidup serta mengaitkan dengan upaya pelestariannya.</v>
      </c>
      <c r="BU43" s="307" t="str">
        <f t="shared" si="26"/>
        <v xml:space="preserve"> sangat baik  dalam membandingkan siklus hidup beberapa jenis makhluk hidup serta mengaitkan dengan upaya pelestariannya.</v>
      </c>
      <c r="BV43"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3" s="307" t="str">
        <f t="shared" si="28"/>
        <v xml:space="preserve"> sangat baik  dalam membandingkan siklus hidup beberapa jenis makhluk hidup serta mengaitkan dengan upaya pelestariannya.</v>
      </c>
      <c r="BX43" s="308" t="str">
        <f t="shared" si="29"/>
        <v xml:space="preserve"> sangat baik  dalam membandingkan siklus hidup beberapa jenis makhluk hidup serta mengaitkan dengan upaya pelestariannya.</v>
      </c>
      <c r="BY43" s="301" t="str">
        <f t="shared" si="30"/>
        <v>Anak 39 sangat baik  dalam membandingkan siklus hidup beberapa jenis makhluk hidup serta mengaitkan dengan upaya pelestariannya.</v>
      </c>
    </row>
    <row r="44" spans="2:77" ht="41.25" customHeight="1">
      <c r="B44" s="109">
        <v>40</v>
      </c>
      <c r="C44" s="110">
        <f>SISWA!B45</f>
        <v>0</v>
      </c>
      <c r="D44" s="111" t="str">
        <f>SISWA!E45</f>
        <v>Anak 40</v>
      </c>
      <c r="E44" s="631">
        <v>99</v>
      </c>
      <c r="F44" s="631">
        <v>99</v>
      </c>
      <c r="G44" s="631">
        <v>99</v>
      </c>
      <c r="H44" s="631">
        <v>99</v>
      </c>
      <c r="I44" s="730"/>
      <c r="J44" s="730"/>
      <c r="K44" s="731"/>
      <c r="L44" s="731"/>
      <c r="M44" s="731"/>
      <c r="N44" s="731"/>
      <c r="O44" s="730"/>
      <c r="P44" s="730"/>
      <c r="Q44" s="610"/>
      <c r="R44" s="631">
        <v>99</v>
      </c>
      <c r="S44" s="631">
        <v>99</v>
      </c>
      <c r="T44" s="631"/>
      <c r="U44" s="631"/>
      <c r="V44" s="631"/>
      <c r="W44" s="631"/>
      <c r="X44" s="610"/>
      <c r="Y44" s="631">
        <v>99</v>
      </c>
      <c r="Z44" s="631">
        <v>99</v>
      </c>
      <c r="AA44" s="631">
        <v>99</v>
      </c>
      <c r="AB44" s="631">
        <v>99</v>
      </c>
      <c r="AC44" s="609"/>
      <c r="AD44" s="609"/>
      <c r="AE44" s="518"/>
      <c r="AF44" s="607">
        <f t="shared" si="13"/>
        <v>99</v>
      </c>
      <c r="AG44" s="607">
        <f t="shared" si="14"/>
        <v>99</v>
      </c>
      <c r="AH44" s="607">
        <f t="shared" si="15"/>
        <v>99</v>
      </c>
      <c r="AI44" s="607">
        <f t="shared" si="16"/>
        <v>99</v>
      </c>
      <c r="AJ44" s="608" t="str">
        <f>IFERROR(((2*V44)+#REF!)/3,"")</f>
        <v/>
      </c>
      <c r="AK44" s="528"/>
      <c r="AL44" s="528"/>
      <c r="AM44" s="302">
        <f t="shared" si="32"/>
        <v>99</v>
      </c>
      <c r="AN44" s="303" t="str">
        <f>IF(AM44&gt;KKM!$G$10,"A",IF(AM44&gt;KKM!$H$10,"B",IF(AM44&gt;=KKM!$I$10,"C","D")))</f>
        <v>A</v>
      </c>
      <c r="AO44" s="523">
        <f t="shared" si="33"/>
        <v>99</v>
      </c>
      <c r="AP44" s="115" t="str">
        <f>IF(AO44&gt;KKM!$G$10," sangat baik ",IF(AO44&gt;KKM!$H$10," baik ",IF(AO44&gt;=KKM!$I$10," cukup baik "," perlu bimbingan ")))</f>
        <v xml:space="preserve"> sangat baik </v>
      </c>
      <c r="AQ44" s="524">
        <f t="shared" si="34"/>
        <v>99</v>
      </c>
      <c r="AR44" s="115" t="str">
        <f>IF(AQ44&gt;KKM!$G$10," sangat baik ",IF(AQ44&gt;KKM!$H$10," baik ",IF(AQ44&gt;=KKM!$I$10," cukup baik "," perlu bimbingan ")))</f>
        <v xml:space="preserve"> sangat baik </v>
      </c>
      <c r="AS44" s="301" t="str">
        <f t="shared" si="17"/>
        <v>Anak 40 sangat baik  dalam membandingkan siklus hidup beberapa jenis makhluk hidup serta mengaitkan dengan upaya pelestariannya.</v>
      </c>
      <c r="AT44" s="306"/>
      <c r="AU44" s="307" t="str">
        <f t="shared" si="35"/>
        <v xml:space="preserve"> sangat baik  dalam membandingkan siklus hidup beberapa jenis makhluk hidup serta mengaitkan dengan upaya pelestariannya.</v>
      </c>
      <c r="AV44" s="307" t="str">
        <f t="shared" si="36"/>
        <v xml:space="preserve"> sangat baik  dalam membandingkan siklus hidup beberapa jenis makhluk hidup serta mengaitkan dengan upaya pelestariannya.</v>
      </c>
      <c r="AW44"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4" s="307" t="str">
        <f t="shared" si="19"/>
        <v xml:space="preserve"> sangat baik  dalam membandingkan siklus hidup beberapa jenis makhluk hidup serta mengaitkan dengan upaya pelestariannya.</v>
      </c>
      <c r="AY44" s="308" t="str">
        <f t="shared" si="20"/>
        <v xml:space="preserve"> sangat baik  dalam membandingkan siklus hidup beberapa jenis makhluk hidup serta mengaitkan dengan upaya pelestariannya.</v>
      </c>
      <c r="AZ44" s="301" t="str">
        <f t="shared" si="37"/>
        <v>Anak 40 sangat baik  dalam membandingkan siklus hidup beberapa jenis makhluk hidup serta mengaitkan dengan upaya pelestariannya.</v>
      </c>
      <c r="BA44" s="120"/>
      <c r="BJ44" s="408">
        <f t="shared" si="21"/>
        <v>99</v>
      </c>
      <c r="BM44" s="302">
        <f t="shared" si="22"/>
        <v>99</v>
      </c>
      <c r="BN44" s="303" t="str">
        <f>IF(BM44&gt;KKM!$G$10,"A",IF(BM44&gt;KKM!$H$10,"B",IF(BM44&gt;=KKM!$I$10,"C","D")))</f>
        <v>A</v>
      </c>
      <c r="BO44" s="523">
        <f t="shared" si="23"/>
        <v>99</v>
      </c>
      <c r="BP44" s="115" t="str">
        <f>IF(BO44&gt;KKM!$G$10," sangat baik ",IF(BO44&gt;KKM!$H$10," baik ",IF(BO44&gt;=KKM!$I$10," cukup baik "," perlu bimbingan ")))</f>
        <v xml:space="preserve"> sangat baik </v>
      </c>
      <c r="BQ44" s="524">
        <f t="shared" si="24"/>
        <v>99</v>
      </c>
      <c r="BR44" s="115" t="str">
        <f>IF(BQ44&gt;KKM!$G$10," sangat baik ",IF(BQ44&gt;KKM!$H$10," baik ",IF(BQ44&gt;=KKM!$I$10," cukup baik "," perlu bimbingan ")))</f>
        <v xml:space="preserve"> sangat baik </v>
      </c>
      <c r="BS44" s="301" t="str">
        <f t="shared" si="31"/>
        <v>Anak 40 sangat baik  dalam membandingkan siklus hidup beberapa jenis makhluk hidup serta mengaitkan dengan upaya pelestariannya.</v>
      </c>
      <c r="BT44" s="307" t="str">
        <f t="shared" si="25"/>
        <v xml:space="preserve"> sangat baik  dalam membandingkan siklus hidup beberapa jenis makhluk hidup serta mengaitkan dengan upaya pelestariannya.</v>
      </c>
      <c r="BU44" s="307" t="str">
        <f t="shared" si="26"/>
        <v xml:space="preserve"> sangat baik  dalam membandingkan siklus hidup beberapa jenis makhluk hidup serta mengaitkan dengan upaya pelestariannya.</v>
      </c>
      <c r="BV44"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4" s="307" t="str">
        <f t="shared" si="28"/>
        <v xml:space="preserve"> sangat baik  dalam membandingkan siklus hidup beberapa jenis makhluk hidup serta mengaitkan dengan upaya pelestariannya.</v>
      </c>
      <c r="BX44" s="308" t="str">
        <f t="shared" si="29"/>
        <v xml:space="preserve"> sangat baik  dalam membandingkan siklus hidup beberapa jenis makhluk hidup serta mengaitkan dengan upaya pelestariannya.</v>
      </c>
      <c r="BY44" s="301" t="str">
        <f t="shared" si="30"/>
        <v>Anak 40 sangat baik  dalam membandingkan siklus hidup beberapa jenis makhluk hidup serta mengaitkan dengan upaya pelestariannya.</v>
      </c>
    </row>
    <row r="45" spans="2:77" ht="41.25" customHeight="1">
      <c r="B45" s="109">
        <v>41</v>
      </c>
      <c r="C45" s="110">
        <f>SISWA!B46</f>
        <v>0</v>
      </c>
      <c r="D45" s="111" t="str">
        <f>SISWA!E46</f>
        <v>Anak 41</v>
      </c>
      <c r="E45" s="631">
        <v>99</v>
      </c>
      <c r="F45" s="631">
        <v>99</v>
      </c>
      <c r="G45" s="631">
        <v>99</v>
      </c>
      <c r="H45" s="631">
        <v>99</v>
      </c>
      <c r="I45" s="730"/>
      <c r="J45" s="730"/>
      <c r="K45" s="731"/>
      <c r="L45" s="731"/>
      <c r="M45" s="731"/>
      <c r="N45" s="731"/>
      <c r="O45" s="730"/>
      <c r="P45" s="730"/>
      <c r="Q45" s="610"/>
      <c r="R45" s="631">
        <v>99</v>
      </c>
      <c r="S45" s="631">
        <v>99</v>
      </c>
      <c r="T45" s="631"/>
      <c r="U45" s="631"/>
      <c r="V45" s="631"/>
      <c r="W45" s="631"/>
      <c r="X45" s="610"/>
      <c r="Y45" s="631">
        <v>99</v>
      </c>
      <c r="Z45" s="631">
        <v>99</v>
      </c>
      <c r="AA45" s="631">
        <v>99</v>
      </c>
      <c r="AB45" s="631">
        <v>99</v>
      </c>
      <c r="AC45" s="609"/>
      <c r="AD45" s="609"/>
      <c r="AE45" s="518"/>
      <c r="AF45" s="607">
        <f t="shared" si="13"/>
        <v>99</v>
      </c>
      <c r="AG45" s="607">
        <f t="shared" si="14"/>
        <v>99</v>
      </c>
      <c r="AH45" s="607">
        <f t="shared" si="15"/>
        <v>99</v>
      </c>
      <c r="AI45" s="607">
        <f t="shared" si="16"/>
        <v>99</v>
      </c>
      <c r="AJ45" s="608" t="str">
        <f>IFERROR(((2*V45)+#REF!)/3,"")</f>
        <v/>
      </c>
      <c r="AK45" s="528"/>
      <c r="AL45" s="528"/>
      <c r="AM45" s="302">
        <f t="shared" si="32"/>
        <v>99</v>
      </c>
      <c r="AN45" s="303" t="str">
        <f>IF(AM45&gt;KKM!$G$10,"A",IF(AM45&gt;KKM!$H$10,"B",IF(AM45&gt;=KKM!$I$10,"C","D")))</f>
        <v>A</v>
      </c>
      <c r="AO45" s="523">
        <f t="shared" si="33"/>
        <v>99</v>
      </c>
      <c r="AP45" s="115" t="str">
        <f>IF(AO45&gt;KKM!$G$10," sangat baik ",IF(AO45&gt;KKM!$H$10," baik ",IF(AO45&gt;=KKM!$I$10," cukup baik "," perlu bimbingan ")))</f>
        <v xml:space="preserve"> sangat baik </v>
      </c>
      <c r="AQ45" s="524">
        <f t="shared" si="34"/>
        <v>99</v>
      </c>
      <c r="AR45" s="115" t="str">
        <f>IF(AQ45&gt;KKM!$G$10," sangat baik ",IF(AQ45&gt;KKM!$H$10," baik ",IF(AQ45&gt;=KKM!$I$10," cukup baik "," perlu bimbingan ")))</f>
        <v xml:space="preserve"> sangat baik </v>
      </c>
      <c r="AS45" s="301" t="str">
        <f t="shared" si="17"/>
        <v>Anak 41 sangat baik  dalam membandingkan siklus hidup beberapa jenis makhluk hidup serta mengaitkan dengan upaya pelestariannya.</v>
      </c>
      <c r="AT45" s="306"/>
      <c r="AU45" s="307" t="str">
        <f t="shared" si="35"/>
        <v xml:space="preserve"> sangat baik  dalam membandingkan siklus hidup beberapa jenis makhluk hidup serta mengaitkan dengan upaya pelestariannya.</v>
      </c>
      <c r="AV45" s="307" t="str">
        <f t="shared" si="36"/>
        <v xml:space="preserve"> sangat baik  dalam membandingkan siklus hidup beberapa jenis makhluk hidup serta mengaitkan dengan upaya pelestariannya.</v>
      </c>
      <c r="AW45"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5" s="307" t="str">
        <f t="shared" si="19"/>
        <v xml:space="preserve"> sangat baik  dalam membandingkan siklus hidup beberapa jenis makhluk hidup serta mengaitkan dengan upaya pelestariannya.</v>
      </c>
      <c r="AY45" s="308" t="str">
        <f t="shared" si="20"/>
        <v xml:space="preserve"> sangat baik  dalam membandingkan siklus hidup beberapa jenis makhluk hidup serta mengaitkan dengan upaya pelestariannya.</v>
      </c>
      <c r="AZ45" s="301" t="str">
        <f t="shared" si="37"/>
        <v>Anak 41 sangat baik  dalam membandingkan siklus hidup beberapa jenis makhluk hidup serta mengaitkan dengan upaya pelestariannya.</v>
      </c>
      <c r="BA45" s="120"/>
      <c r="BJ45" s="408">
        <f t="shared" si="21"/>
        <v>99</v>
      </c>
      <c r="BM45" s="302">
        <f t="shared" si="22"/>
        <v>99</v>
      </c>
      <c r="BN45" s="303" t="str">
        <f>IF(BM45&gt;KKM!$G$10,"A",IF(BM45&gt;KKM!$H$10,"B",IF(BM45&gt;=KKM!$I$10,"C","D")))</f>
        <v>A</v>
      </c>
      <c r="BO45" s="523">
        <f t="shared" si="23"/>
        <v>99</v>
      </c>
      <c r="BP45" s="115" t="str">
        <f>IF(BO45&gt;KKM!$G$10," sangat baik ",IF(BO45&gt;KKM!$H$10," baik ",IF(BO45&gt;=KKM!$I$10," cukup baik "," perlu bimbingan ")))</f>
        <v xml:space="preserve"> sangat baik </v>
      </c>
      <c r="BQ45" s="524">
        <f t="shared" si="24"/>
        <v>99</v>
      </c>
      <c r="BR45" s="115" t="str">
        <f>IF(BQ45&gt;KKM!$G$10," sangat baik ",IF(BQ45&gt;KKM!$H$10," baik ",IF(BQ45&gt;=KKM!$I$10," cukup baik "," perlu bimbingan ")))</f>
        <v xml:space="preserve"> sangat baik </v>
      </c>
      <c r="BS45" s="301" t="str">
        <f t="shared" si="31"/>
        <v>Anak 41 sangat baik  dalam membandingkan siklus hidup beberapa jenis makhluk hidup serta mengaitkan dengan upaya pelestariannya.</v>
      </c>
      <c r="BT45" s="307" t="str">
        <f t="shared" si="25"/>
        <v xml:space="preserve"> sangat baik  dalam membandingkan siklus hidup beberapa jenis makhluk hidup serta mengaitkan dengan upaya pelestariannya.</v>
      </c>
      <c r="BU45" s="307" t="str">
        <f t="shared" si="26"/>
        <v xml:space="preserve"> sangat baik  dalam membandingkan siklus hidup beberapa jenis makhluk hidup serta mengaitkan dengan upaya pelestariannya.</v>
      </c>
      <c r="BV45"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5" s="307" t="str">
        <f t="shared" si="28"/>
        <v xml:space="preserve"> sangat baik  dalam membandingkan siklus hidup beberapa jenis makhluk hidup serta mengaitkan dengan upaya pelestariannya.</v>
      </c>
      <c r="BX45" s="308" t="str">
        <f t="shared" si="29"/>
        <v xml:space="preserve"> sangat baik  dalam membandingkan siklus hidup beberapa jenis makhluk hidup serta mengaitkan dengan upaya pelestariannya.</v>
      </c>
      <c r="BY45" s="301" t="str">
        <f t="shared" si="30"/>
        <v>Anak 41 sangat baik  dalam membandingkan siklus hidup beberapa jenis makhluk hidup serta mengaitkan dengan upaya pelestariannya.</v>
      </c>
    </row>
    <row r="46" spans="2:77" ht="41.25" customHeight="1">
      <c r="B46" s="109">
        <v>42</v>
      </c>
      <c r="C46" s="110">
        <f>SISWA!B47</f>
        <v>0</v>
      </c>
      <c r="D46" s="111" t="str">
        <f>SISWA!E47</f>
        <v>Anak 42</v>
      </c>
      <c r="E46" s="631">
        <v>99</v>
      </c>
      <c r="F46" s="631">
        <v>99</v>
      </c>
      <c r="G46" s="631">
        <v>99</v>
      </c>
      <c r="H46" s="631">
        <v>99</v>
      </c>
      <c r="I46" s="730"/>
      <c r="J46" s="730"/>
      <c r="K46" s="731"/>
      <c r="L46" s="731"/>
      <c r="M46" s="731"/>
      <c r="N46" s="731"/>
      <c r="O46" s="730"/>
      <c r="P46" s="730"/>
      <c r="Q46" s="610"/>
      <c r="R46" s="631">
        <v>99</v>
      </c>
      <c r="S46" s="631">
        <v>99</v>
      </c>
      <c r="T46" s="631"/>
      <c r="U46" s="631"/>
      <c r="V46" s="631"/>
      <c r="W46" s="631"/>
      <c r="X46" s="610"/>
      <c r="Y46" s="631">
        <v>99</v>
      </c>
      <c r="Z46" s="631">
        <v>99</v>
      </c>
      <c r="AA46" s="631">
        <v>99</v>
      </c>
      <c r="AB46" s="631">
        <v>99</v>
      </c>
      <c r="AC46" s="609"/>
      <c r="AD46" s="609"/>
      <c r="AE46" s="518"/>
      <c r="AF46" s="607">
        <f t="shared" si="13"/>
        <v>99</v>
      </c>
      <c r="AG46" s="607">
        <f t="shared" si="14"/>
        <v>99</v>
      </c>
      <c r="AH46" s="607">
        <f t="shared" si="15"/>
        <v>99</v>
      </c>
      <c r="AI46" s="607">
        <f t="shared" si="16"/>
        <v>99</v>
      </c>
      <c r="AJ46" s="608" t="str">
        <f>IFERROR(((2*V46)+#REF!)/3,"")</f>
        <v/>
      </c>
      <c r="AK46" s="528"/>
      <c r="AL46" s="528"/>
      <c r="AM46" s="302">
        <f t="shared" si="32"/>
        <v>99</v>
      </c>
      <c r="AN46" s="303" t="str">
        <f>IF(AM46&gt;KKM!$G$10,"A",IF(AM46&gt;KKM!$H$10,"B",IF(AM46&gt;=KKM!$I$10,"C","D")))</f>
        <v>A</v>
      </c>
      <c r="AO46" s="523">
        <f t="shared" si="33"/>
        <v>99</v>
      </c>
      <c r="AP46" s="115" t="str">
        <f>IF(AO46&gt;KKM!$G$10," sangat baik ",IF(AO46&gt;KKM!$H$10," baik ",IF(AO46&gt;=KKM!$I$10," cukup baik "," perlu bimbingan ")))</f>
        <v xml:space="preserve"> sangat baik </v>
      </c>
      <c r="AQ46" s="524">
        <f t="shared" si="34"/>
        <v>99</v>
      </c>
      <c r="AR46" s="115" t="str">
        <f>IF(AQ46&gt;KKM!$G$10," sangat baik ",IF(AQ46&gt;KKM!$H$10," baik ",IF(AQ46&gt;=KKM!$I$10," cukup baik "," perlu bimbingan ")))</f>
        <v xml:space="preserve"> sangat baik </v>
      </c>
      <c r="AS46" s="301" t="str">
        <f t="shared" si="17"/>
        <v>Anak 42 sangat baik  dalam membandingkan siklus hidup beberapa jenis makhluk hidup serta mengaitkan dengan upaya pelestariannya.</v>
      </c>
      <c r="AT46" s="306"/>
      <c r="AU46" s="307" t="str">
        <f t="shared" si="35"/>
        <v xml:space="preserve"> sangat baik  dalam membandingkan siklus hidup beberapa jenis makhluk hidup serta mengaitkan dengan upaya pelestariannya.</v>
      </c>
      <c r="AV46" s="307" t="str">
        <f t="shared" si="36"/>
        <v xml:space="preserve"> sangat baik  dalam membandingkan siklus hidup beberapa jenis makhluk hidup serta mengaitkan dengan upaya pelestariannya.</v>
      </c>
      <c r="AW46"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6" s="307" t="str">
        <f t="shared" si="19"/>
        <v xml:space="preserve"> sangat baik  dalam membandingkan siklus hidup beberapa jenis makhluk hidup serta mengaitkan dengan upaya pelestariannya.</v>
      </c>
      <c r="AY46" s="308" t="str">
        <f t="shared" si="20"/>
        <v xml:space="preserve"> sangat baik  dalam membandingkan siklus hidup beberapa jenis makhluk hidup serta mengaitkan dengan upaya pelestariannya.</v>
      </c>
      <c r="AZ46" s="301" t="str">
        <f t="shared" si="37"/>
        <v>Anak 42 sangat baik  dalam membandingkan siklus hidup beberapa jenis makhluk hidup serta mengaitkan dengan upaya pelestariannya.</v>
      </c>
      <c r="BA46" s="120"/>
      <c r="BJ46" s="408">
        <f t="shared" si="21"/>
        <v>99</v>
      </c>
      <c r="BM46" s="302">
        <f t="shared" si="22"/>
        <v>99</v>
      </c>
      <c r="BN46" s="303" t="str">
        <f>IF(BM46&gt;KKM!$G$10,"A",IF(BM46&gt;KKM!$H$10,"B",IF(BM46&gt;=KKM!$I$10,"C","D")))</f>
        <v>A</v>
      </c>
      <c r="BO46" s="523">
        <f t="shared" si="23"/>
        <v>99</v>
      </c>
      <c r="BP46" s="115" t="str">
        <f>IF(BO46&gt;KKM!$G$10," sangat baik ",IF(BO46&gt;KKM!$H$10," baik ",IF(BO46&gt;=KKM!$I$10," cukup baik "," perlu bimbingan ")))</f>
        <v xml:space="preserve"> sangat baik </v>
      </c>
      <c r="BQ46" s="524">
        <f t="shared" si="24"/>
        <v>99</v>
      </c>
      <c r="BR46" s="115" t="str">
        <f>IF(BQ46&gt;KKM!$G$10," sangat baik ",IF(BQ46&gt;KKM!$H$10," baik ",IF(BQ46&gt;=KKM!$I$10," cukup baik "," perlu bimbingan ")))</f>
        <v xml:space="preserve"> sangat baik </v>
      </c>
      <c r="BS46" s="301" t="str">
        <f t="shared" si="31"/>
        <v>Anak 42 sangat baik  dalam membandingkan siklus hidup beberapa jenis makhluk hidup serta mengaitkan dengan upaya pelestariannya.</v>
      </c>
      <c r="BT46" s="307" t="str">
        <f t="shared" si="25"/>
        <v xml:space="preserve"> sangat baik  dalam membandingkan siklus hidup beberapa jenis makhluk hidup serta mengaitkan dengan upaya pelestariannya.</v>
      </c>
      <c r="BU46" s="307" t="str">
        <f t="shared" si="26"/>
        <v xml:space="preserve"> sangat baik  dalam membandingkan siklus hidup beberapa jenis makhluk hidup serta mengaitkan dengan upaya pelestariannya.</v>
      </c>
      <c r="BV46"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6" s="307" t="str">
        <f t="shared" si="28"/>
        <v xml:space="preserve"> sangat baik  dalam membandingkan siklus hidup beberapa jenis makhluk hidup serta mengaitkan dengan upaya pelestariannya.</v>
      </c>
      <c r="BX46" s="308" t="str">
        <f t="shared" si="29"/>
        <v xml:space="preserve"> sangat baik  dalam membandingkan siklus hidup beberapa jenis makhluk hidup serta mengaitkan dengan upaya pelestariannya.</v>
      </c>
      <c r="BY46" s="301" t="str">
        <f t="shared" si="30"/>
        <v>Anak 42 sangat baik  dalam membandingkan siklus hidup beberapa jenis makhluk hidup serta mengaitkan dengan upaya pelestariannya.</v>
      </c>
    </row>
    <row r="47" spans="2:77" ht="41.25" customHeight="1">
      <c r="B47" s="109">
        <v>43</v>
      </c>
      <c r="C47" s="110">
        <f>SISWA!B48</f>
        <v>0</v>
      </c>
      <c r="D47" s="111" t="str">
        <f>SISWA!E48</f>
        <v>Anak 43</v>
      </c>
      <c r="E47" s="631">
        <v>99</v>
      </c>
      <c r="F47" s="631">
        <v>99</v>
      </c>
      <c r="G47" s="631">
        <v>99</v>
      </c>
      <c r="H47" s="631">
        <v>99</v>
      </c>
      <c r="I47" s="730"/>
      <c r="J47" s="730"/>
      <c r="K47" s="731"/>
      <c r="L47" s="731"/>
      <c r="M47" s="731"/>
      <c r="N47" s="731"/>
      <c r="O47" s="730"/>
      <c r="P47" s="730"/>
      <c r="Q47" s="610"/>
      <c r="R47" s="631">
        <v>99</v>
      </c>
      <c r="S47" s="631">
        <v>99</v>
      </c>
      <c r="T47" s="631"/>
      <c r="U47" s="631"/>
      <c r="V47" s="631"/>
      <c r="W47" s="631"/>
      <c r="X47" s="610"/>
      <c r="Y47" s="631">
        <v>99</v>
      </c>
      <c r="Z47" s="631">
        <v>99</v>
      </c>
      <c r="AA47" s="631">
        <v>99</v>
      </c>
      <c r="AB47" s="631">
        <v>99</v>
      </c>
      <c r="AC47" s="609"/>
      <c r="AD47" s="609"/>
      <c r="AE47" s="518"/>
      <c r="AF47" s="607">
        <f t="shared" si="13"/>
        <v>99</v>
      </c>
      <c r="AG47" s="607">
        <f t="shared" si="14"/>
        <v>99</v>
      </c>
      <c r="AH47" s="607">
        <f t="shared" si="15"/>
        <v>99</v>
      </c>
      <c r="AI47" s="607">
        <f t="shared" si="16"/>
        <v>99</v>
      </c>
      <c r="AJ47" s="608" t="str">
        <f>IFERROR(((2*V47)+#REF!)/3,"")</f>
        <v/>
      </c>
      <c r="AK47" s="528"/>
      <c r="AL47" s="528"/>
      <c r="AM47" s="302">
        <f t="shared" si="32"/>
        <v>99</v>
      </c>
      <c r="AN47" s="303" t="str">
        <f>IF(AM47&gt;KKM!$G$10,"A",IF(AM47&gt;KKM!$H$10,"B",IF(AM47&gt;=KKM!$I$10,"C","D")))</f>
        <v>A</v>
      </c>
      <c r="AO47" s="523">
        <f t="shared" si="33"/>
        <v>99</v>
      </c>
      <c r="AP47" s="115" t="str">
        <f>IF(AO47&gt;KKM!$G$10," sangat baik ",IF(AO47&gt;KKM!$H$10," baik ",IF(AO47&gt;=KKM!$I$10," cukup baik "," perlu bimbingan ")))</f>
        <v xml:space="preserve"> sangat baik </v>
      </c>
      <c r="AQ47" s="524">
        <f t="shared" si="34"/>
        <v>99</v>
      </c>
      <c r="AR47" s="115" t="str">
        <f>IF(AQ47&gt;KKM!$G$10," sangat baik ",IF(AQ47&gt;KKM!$H$10," baik ",IF(AQ47&gt;=KKM!$I$10," cukup baik "," perlu bimbingan ")))</f>
        <v xml:space="preserve"> sangat baik </v>
      </c>
      <c r="AS47" s="301" t="str">
        <f t="shared" si="17"/>
        <v>Anak 43 sangat baik  dalam membandingkan siklus hidup beberapa jenis makhluk hidup serta mengaitkan dengan upaya pelestariannya.</v>
      </c>
      <c r="AT47" s="306"/>
      <c r="AU47" s="307" t="str">
        <f t="shared" si="35"/>
        <v xml:space="preserve"> sangat baik  dalam membandingkan siklus hidup beberapa jenis makhluk hidup serta mengaitkan dengan upaya pelestariannya.</v>
      </c>
      <c r="AV47" s="307" t="str">
        <f t="shared" si="36"/>
        <v xml:space="preserve"> sangat baik  dalam membandingkan siklus hidup beberapa jenis makhluk hidup serta mengaitkan dengan upaya pelestariannya.</v>
      </c>
      <c r="AW47"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7" s="307" t="str">
        <f t="shared" si="19"/>
        <v xml:space="preserve"> sangat baik  dalam membandingkan siklus hidup beberapa jenis makhluk hidup serta mengaitkan dengan upaya pelestariannya.</v>
      </c>
      <c r="AY47" s="308" t="str">
        <f t="shared" si="20"/>
        <v xml:space="preserve"> sangat baik  dalam membandingkan siklus hidup beberapa jenis makhluk hidup serta mengaitkan dengan upaya pelestariannya.</v>
      </c>
      <c r="AZ47" s="301" t="str">
        <f t="shared" si="37"/>
        <v>Anak 43 sangat baik  dalam membandingkan siklus hidup beberapa jenis makhluk hidup serta mengaitkan dengan upaya pelestariannya.</v>
      </c>
      <c r="BA47" s="120"/>
      <c r="BJ47" s="408">
        <f t="shared" si="21"/>
        <v>99</v>
      </c>
      <c r="BM47" s="302">
        <f t="shared" si="22"/>
        <v>99</v>
      </c>
      <c r="BN47" s="303" t="str">
        <f>IF(BM47&gt;KKM!$G$10,"A",IF(BM47&gt;KKM!$H$10,"B",IF(BM47&gt;=KKM!$I$10,"C","D")))</f>
        <v>A</v>
      </c>
      <c r="BO47" s="523">
        <f t="shared" si="23"/>
        <v>99</v>
      </c>
      <c r="BP47" s="115" t="str">
        <f>IF(BO47&gt;KKM!$G$10," sangat baik ",IF(BO47&gt;KKM!$H$10," baik ",IF(BO47&gt;=KKM!$I$10," cukup baik "," perlu bimbingan ")))</f>
        <v xml:space="preserve"> sangat baik </v>
      </c>
      <c r="BQ47" s="524">
        <f t="shared" si="24"/>
        <v>99</v>
      </c>
      <c r="BR47" s="115" t="str">
        <f>IF(BQ47&gt;KKM!$G$10," sangat baik ",IF(BQ47&gt;KKM!$H$10," baik ",IF(BQ47&gt;=KKM!$I$10," cukup baik "," perlu bimbingan ")))</f>
        <v xml:space="preserve"> sangat baik </v>
      </c>
      <c r="BS47" s="301" t="str">
        <f t="shared" si="31"/>
        <v>Anak 43 sangat baik  dalam membandingkan siklus hidup beberapa jenis makhluk hidup serta mengaitkan dengan upaya pelestariannya.</v>
      </c>
      <c r="BT47" s="307" t="str">
        <f t="shared" si="25"/>
        <v xml:space="preserve"> sangat baik  dalam membandingkan siklus hidup beberapa jenis makhluk hidup serta mengaitkan dengan upaya pelestariannya.</v>
      </c>
      <c r="BU47" s="307" t="str">
        <f t="shared" si="26"/>
        <v xml:space="preserve"> sangat baik  dalam membandingkan siklus hidup beberapa jenis makhluk hidup serta mengaitkan dengan upaya pelestariannya.</v>
      </c>
      <c r="BV47"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7" s="307" t="str">
        <f t="shared" si="28"/>
        <v xml:space="preserve"> sangat baik  dalam membandingkan siklus hidup beberapa jenis makhluk hidup serta mengaitkan dengan upaya pelestariannya.</v>
      </c>
      <c r="BX47" s="308" t="str">
        <f t="shared" si="29"/>
        <v xml:space="preserve"> sangat baik  dalam membandingkan siklus hidup beberapa jenis makhluk hidup serta mengaitkan dengan upaya pelestariannya.</v>
      </c>
      <c r="BY47" s="301" t="str">
        <f t="shared" si="30"/>
        <v>Anak 43 sangat baik  dalam membandingkan siklus hidup beberapa jenis makhluk hidup serta mengaitkan dengan upaya pelestariannya.</v>
      </c>
    </row>
    <row r="48" spans="2:77" ht="41.25" customHeight="1">
      <c r="B48" s="109">
        <v>44</v>
      </c>
      <c r="C48" s="110">
        <f>SISWA!B49</f>
        <v>0</v>
      </c>
      <c r="D48" s="111" t="str">
        <f>SISWA!E49</f>
        <v>Anak 44</v>
      </c>
      <c r="E48" s="631">
        <v>99</v>
      </c>
      <c r="F48" s="631">
        <v>99</v>
      </c>
      <c r="G48" s="631">
        <v>99</v>
      </c>
      <c r="H48" s="631">
        <v>99</v>
      </c>
      <c r="I48" s="730"/>
      <c r="J48" s="730"/>
      <c r="K48" s="731"/>
      <c r="L48" s="731"/>
      <c r="M48" s="731"/>
      <c r="N48" s="731"/>
      <c r="O48" s="730"/>
      <c r="P48" s="730"/>
      <c r="Q48" s="610"/>
      <c r="R48" s="631">
        <v>99</v>
      </c>
      <c r="S48" s="631">
        <v>99</v>
      </c>
      <c r="T48" s="631"/>
      <c r="U48" s="631"/>
      <c r="V48" s="631"/>
      <c r="W48" s="631"/>
      <c r="X48" s="610"/>
      <c r="Y48" s="631">
        <v>99</v>
      </c>
      <c r="Z48" s="631">
        <v>99</v>
      </c>
      <c r="AA48" s="631">
        <v>99</v>
      </c>
      <c r="AB48" s="631">
        <v>99</v>
      </c>
      <c r="AC48" s="609"/>
      <c r="AD48" s="609"/>
      <c r="AE48" s="518"/>
      <c r="AF48" s="607">
        <f t="shared" si="13"/>
        <v>99</v>
      </c>
      <c r="AG48" s="607">
        <f t="shared" si="14"/>
        <v>99</v>
      </c>
      <c r="AH48" s="607">
        <f t="shared" si="15"/>
        <v>99</v>
      </c>
      <c r="AI48" s="607">
        <f t="shared" si="16"/>
        <v>99</v>
      </c>
      <c r="AJ48" s="608" t="str">
        <f>IFERROR(((2*V48)+#REF!)/3,"")</f>
        <v/>
      </c>
      <c r="AK48" s="528"/>
      <c r="AL48" s="528"/>
      <c r="AM48" s="302">
        <f t="shared" si="32"/>
        <v>99</v>
      </c>
      <c r="AN48" s="303" t="str">
        <f>IF(AM48&gt;KKM!$G$10,"A",IF(AM48&gt;KKM!$H$10,"B",IF(AM48&gt;=KKM!$I$10,"C","D")))</f>
        <v>A</v>
      </c>
      <c r="AO48" s="523">
        <f t="shared" si="33"/>
        <v>99</v>
      </c>
      <c r="AP48" s="115" t="str">
        <f>IF(AO48&gt;KKM!$G$10," sangat baik ",IF(AO48&gt;KKM!$H$10," baik ",IF(AO48&gt;=KKM!$I$10," cukup baik "," perlu bimbingan ")))</f>
        <v xml:space="preserve"> sangat baik </v>
      </c>
      <c r="AQ48" s="524">
        <f t="shared" si="34"/>
        <v>99</v>
      </c>
      <c r="AR48" s="115" t="str">
        <f>IF(AQ48&gt;KKM!$G$10," sangat baik ",IF(AQ48&gt;KKM!$H$10," baik ",IF(AQ48&gt;=KKM!$I$10," cukup baik "," perlu bimbingan ")))</f>
        <v xml:space="preserve"> sangat baik </v>
      </c>
      <c r="AS48" s="301" t="str">
        <f t="shared" si="17"/>
        <v>Anak 44 sangat baik  dalam membandingkan siklus hidup beberapa jenis makhluk hidup serta mengaitkan dengan upaya pelestariannya.</v>
      </c>
      <c r="AT48" s="306"/>
      <c r="AU48" s="307" t="str">
        <f t="shared" si="35"/>
        <v xml:space="preserve"> sangat baik  dalam membandingkan siklus hidup beberapa jenis makhluk hidup serta mengaitkan dengan upaya pelestariannya.</v>
      </c>
      <c r="AV48" s="307" t="str">
        <f t="shared" si="36"/>
        <v xml:space="preserve"> sangat baik  dalam membandingkan siklus hidup beberapa jenis makhluk hidup serta mengaitkan dengan upaya pelestariannya.</v>
      </c>
      <c r="AW48"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8" s="307" t="str">
        <f t="shared" si="19"/>
        <v xml:space="preserve"> sangat baik  dalam membandingkan siklus hidup beberapa jenis makhluk hidup serta mengaitkan dengan upaya pelestariannya.</v>
      </c>
      <c r="AY48" s="308" t="str">
        <f t="shared" si="20"/>
        <v xml:space="preserve"> sangat baik  dalam membandingkan siklus hidup beberapa jenis makhluk hidup serta mengaitkan dengan upaya pelestariannya.</v>
      </c>
      <c r="AZ48" s="301" t="str">
        <f t="shared" si="37"/>
        <v>Anak 44 sangat baik  dalam membandingkan siklus hidup beberapa jenis makhluk hidup serta mengaitkan dengan upaya pelestariannya.</v>
      </c>
      <c r="BA48" s="120"/>
      <c r="BJ48" s="408">
        <f t="shared" si="21"/>
        <v>99</v>
      </c>
      <c r="BM48" s="302">
        <f t="shared" si="22"/>
        <v>99</v>
      </c>
      <c r="BN48" s="303" t="str">
        <f>IF(BM48&gt;KKM!$G$10,"A",IF(BM48&gt;KKM!$H$10,"B",IF(BM48&gt;=KKM!$I$10,"C","D")))</f>
        <v>A</v>
      </c>
      <c r="BO48" s="523">
        <f t="shared" si="23"/>
        <v>99</v>
      </c>
      <c r="BP48" s="115" t="str">
        <f>IF(BO48&gt;KKM!$G$10," sangat baik ",IF(BO48&gt;KKM!$H$10," baik ",IF(BO48&gt;=KKM!$I$10," cukup baik "," perlu bimbingan ")))</f>
        <v xml:space="preserve"> sangat baik </v>
      </c>
      <c r="BQ48" s="524">
        <f t="shared" si="24"/>
        <v>99</v>
      </c>
      <c r="BR48" s="115" t="str">
        <f>IF(BQ48&gt;KKM!$G$10," sangat baik ",IF(BQ48&gt;KKM!$H$10," baik ",IF(BQ48&gt;=KKM!$I$10," cukup baik "," perlu bimbingan ")))</f>
        <v xml:space="preserve"> sangat baik </v>
      </c>
      <c r="BS48" s="301" t="str">
        <f t="shared" si="31"/>
        <v>Anak 44 sangat baik  dalam membandingkan siklus hidup beberapa jenis makhluk hidup serta mengaitkan dengan upaya pelestariannya.</v>
      </c>
      <c r="BT48" s="307" t="str">
        <f t="shared" si="25"/>
        <v xml:space="preserve"> sangat baik  dalam membandingkan siklus hidup beberapa jenis makhluk hidup serta mengaitkan dengan upaya pelestariannya.</v>
      </c>
      <c r="BU48" s="307" t="str">
        <f t="shared" si="26"/>
        <v xml:space="preserve"> sangat baik  dalam membandingkan siklus hidup beberapa jenis makhluk hidup serta mengaitkan dengan upaya pelestariannya.</v>
      </c>
      <c r="BV48"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8" s="307" t="str">
        <f t="shared" si="28"/>
        <v xml:space="preserve"> sangat baik  dalam membandingkan siklus hidup beberapa jenis makhluk hidup serta mengaitkan dengan upaya pelestariannya.</v>
      </c>
      <c r="BX48" s="308" t="str">
        <f t="shared" si="29"/>
        <v xml:space="preserve"> sangat baik  dalam membandingkan siklus hidup beberapa jenis makhluk hidup serta mengaitkan dengan upaya pelestariannya.</v>
      </c>
      <c r="BY48" s="301" t="str">
        <f t="shared" si="30"/>
        <v>Anak 44 sangat baik  dalam membandingkan siklus hidup beberapa jenis makhluk hidup serta mengaitkan dengan upaya pelestariannya.</v>
      </c>
    </row>
    <row r="49" spans="2:77" ht="41.25" customHeight="1">
      <c r="B49" s="109">
        <v>45</v>
      </c>
      <c r="C49" s="110">
        <f>SISWA!B50</f>
        <v>0</v>
      </c>
      <c r="D49" s="111" t="str">
        <f>SISWA!E50</f>
        <v>Anak 45</v>
      </c>
      <c r="E49" s="631">
        <v>99</v>
      </c>
      <c r="F49" s="631">
        <v>99</v>
      </c>
      <c r="G49" s="631">
        <v>99</v>
      </c>
      <c r="H49" s="631">
        <v>99</v>
      </c>
      <c r="I49" s="730"/>
      <c r="J49" s="730"/>
      <c r="K49" s="731"/>
      <c r="L49" s="731"/>
      <c r="M49" s="731"/>
      <c r="N49" s="731"/>
      <c r="O49" s="730"/>
      <c r="P49" s="730"/>
      <c r="Q49" s="610"/>
      <c r="R49" s="631">
        <v>99</v>
      </c>
      <c r="S49" s="631">
        <v>99</v>
      </c>
      <c r="T49" s="631"/>
      <c r="U49" s="631"/>
      <c r="V49" s="631"/>
      <c r="W49" s="631"/>
      <c r="X49" s="610"/>
      <c r="Y49" s="631">
        <v>99</v>
      </c>
      <c r="Z49" s="631">
        <v>99</v>
      </c>
      <c r="AA49" s="631">
        <v>99</v>
      </c>
      <c r="AB49" s="631">
        <v>99</v>
      </c>
      <c r="AC49" s="609"/>
      <c r="AD49" s="609"/>
      <c r="AE49" s="518"/>
      <c r="AF49" s="607">
        <f t="shared" si="13"/>
        <v>99</v>
      </c>
      <c r="AG49" s="607">
        <f t="shared" si="14"/>
        <v>99</v>
      </c>
      <c r="AH49" s="607">
        <f t="shared" si="15"/>
        <v>99</v>
      </c>
      <c r="AI49" s="607">
        <f t="shared" si="16"/>
        <v>99</v>
      </c>
      <c r="AJ49" s="608" t="str">
        <f>IFERROR(((2*V49)+#REF!)/3,"")</f>
        <v/>
      </c>
      <c r="AK49" s="528"/>
      <c r="AL49" s="528"/>
      <c r="AM49" s="302">
        <f t="shared" si="32"/>
        <v>99</v>
      </c>
      <c r="AN49" s="303" t="str">
        <f>IF(AM49&gt;KKM!$G$10,"A",IF(AM49&gt;KKM!$H$10,"B",IF(AM49&gt;=KKM!$I$10,"C","D")))</f>
        <v>A</v>
      </c>
      <c r="AO49" s="523">
        <f t="shared" si="33"/>
        <v>99</v>
      </c>
      <c r="AP49" s="115" t="str">
        <f>IF(AO49&gt;KKM!$G$10," sangat baik ",IF(AO49&gt;KKM!$H$10," baik ",IF(AO49&gt;=KKM!$I$10," cukup baik "," perlu bimbingan ")))</f>
        <v xml:space="preserve"> sangat baik </v>
      </c>
      <c r="AQ49" s="524">
        <f t="shared" si="34"/>
        <v>99</v>
      </c>
      <c r="AR49" s="115" t="str">
        <f>IF(AQ49&gt;KKM!$G$10," sangat baik ",IF(AQ49&gt;KKM!$H$10," baik ",IF(AQ49&gt;=KKM!$I$10," cukup baik "," perlu bimbingan ")))</f>
        <v xml:space="preserve"> sangat baik </v>
      </c>
      <c r="AS49" s="301" t="str">
        <f t="shared" si="17"/>
        <v>Anak 45 sangat baik  dalam membandingkan siklus hidup beberapa jenis makhluk hidup serta mengaitkan dengan upaya pelestariannya.</v>
      </c>
      <c r="AT49" s="306"/>
      <c r="AU49" s="307" t="str">
        <f t="shared" si="35"/>
        <v xml:space="preserve"> sangat baik  dalam membandingkan siklus hidup beberapa jenis makhluk hidup serta mengaitkan dengan upaya pelestariannya.</v>
      </c>
      <c r="AV49" s="307" t="str">
        <f t="shared" si="36"/>
        <v xml:space="preserve"> sangat baik  dalam membandingkan siklus hidup beberapa jenis makhluk hidup serta mengaitkan dengan upaya pelestariannya.</v>
      </c>
      <c r="AW49"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49" s="307" t="str">
        <f t="shared" si="19"/>
        <v xml:space="preserve"> sangat baik  dalam membandingkan siklus hidup beberapa jenis makhluk hidup serta mengaitkan dengan upaya pelestariannya.</v>
      </c>
      <c r="AY49" s="308" t="str">
        <f t="shared" si="20"/>
        <v xml:space="preserve"> sangat baik  dalam membandingkan siklus hidup beberapa jenis makhluk hidup serta mengaitkan dengan upaya pelestariannya.</v>
      </c>
      <c r="AZ49" s="301" t="str">
        <f t="shared" si="37"/>
        <v>Anak 45 sangat baik  dalam membandingkan siklus hidup beberapa jenis makhluk hidup serta mengaitkan dengan upaya pelestariannya.</v>
      </c>
      <c r="BA49" s="120"/>
      <c r="BJ49" s="408">
        <f t="shared" si="21"/>
        <v>99</v>
      </c>
      <c r="BM49" s="302">
        <f t="shared" si="22"/>
        <v>99</v>
      </c>
      <c r="BN49" s="303" t="str">
        <f>IF(BM49&gt;KKM!$G$10,"A",IF(BM49&gt;KKM!$H$10,"B",IF(BM49&gt;=KKM!$I$10,"C","D")))</f>
        <v>A</v>
      </c>
      <c r="BO49" s="523">
        <f t="shared" si="23"/>
        <v>99</v>
      </c>
      <c r="BP49" s="115" t="str">
        <f>IF(BO49&gt;KKM!$G$10," sangat baik ",IF(BO49&gt;KKM!$H$10," baik ",IF(BO49&gt;=KKM!$I$10," cukup baik "," perlu bimbingan ")))</f>
        <v xml:space="preserve"> sangat baik </v>
      </c>
      <c r="BQ49" s="524">
        <f t="shared" si="24"/>
        <v>99</v>
      </c>
      <c r="BR49" s="115" t="str">
        <f>IF(BQ49&gt;KKM!$G$10," sangat baik ",IF(BQ49&gt;KKM!$H$10," baik ",IF(BQ49&gt;=KKM!$I$10," cukup baik "," perlu bimbingan ")))</f>
        <v xml:space="preserve"> sangat baik </v>
      </c>
      <c r="BS49" s="301" t="str">
        <f t="shared" si="31"/>
        <v>Anak 45 sangat baik  dalam membandingkan siklus hidup beberapa jenis makhluk hidup serta mengaitkan dengan upaya pelestariannya.</v>
      </c>
      <c r="BT49" s="307" t="str">
        <f t="shared" si="25"/>
        <v xml:space="preserve"> sangat baik  dalam membandingkan siklus hidup beberapa jenis makhluk hidup serta mengaitkan dengan upaya pelestariannya.</v>
      </c>
      <c r="BU49" s="307" t="str">
        <f t="shared" si="26"/>
        <v xml:space="preserve"> sangat baik  dalam membandingkan siklus hidup beberapa jenis makhluk hidup serta mengaitkan dengan upaya pelestariannya.</v>
      </c>
      <c r="BV49"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49" s="307" t="str">
        <f t="shared" si="28"/>
        <v xml:space="preserve"> sangat baik  dalam membandingkan siklus hidup beberapa jenis makhluk hidup serta mengaitkan dengan upaya pelestariannya.</v>
      </c>
      <c r="BX49" s="308" t="str">
        <f t="shared" si="29"/>
        <v xml:space="preserve"> sangat baik  dalam membandingkan siklus hidup beberapa jenis makhluk hidup serta mengaitkan dengan upaya pelestariannya.</v>
      </c>
      <c r="BY49" s="301" t="str">
        <f t="shared" si="30"/>
        <v>Anak 45 sangat baik  dalam membandingkan siklus hidup beberapa jenis makhluk hidup serta mengaitkan dengan upaya pelestariannya.</v>
      </c>
    </row>
    <row r="50" spans="2:77" ht="41.25" customHeight="1">
      <c r="B50" s="109">
        <v>46</v>
      </c>
      <c r="C50" s="110">
        <f>SISWA!B51</f>
        <v>0</v>
      </c>
      <c r="D50" s="111" t="str">
        <f>SISWA!E51</f>
        <v>Anak 46</v>
      </c>
      <c r="E50" s="631">
        <v>99</v>
      </c>
      <c r="F50" s="631">
        <v>99</v>
      </c>
      <c r="G50" s="631">
        <v>99</v>
      </c>
      <c r="H50" s="631">
        <v>99</v>
      </c>
      <c r="I50" s="730"/>
      <c r="J50" s="730"/>
      <c r="K50" s="731"/>
      <c r="L50" s="731"/>
      <c r="M50" s="731"/>
      <c r="N50" s="731"/>
      <c r="O50" s="730"/>
      <c r="P50" s="730"/>
      <c r="Q50" s="610"/>
      <c r="R50" s="631">
        <v>99</v>
      </c>
      <c r="S50" s="631">
        <v>99</v>
      </c>
      <c r="T50" s="631"/>
      <c r="U50" s="631"/>
      <c r="V50" s="631"/>
      <c r="W50" s="631"/>
      <c r="X50" s="610"/>
      <c r="Y50" s="631">
        <v>99</v>
      </c>
      <c r="Z50" s="631">
        <v>99</v>
      </c>
      <c r="AA50" s="631">
        <v>99</v>
      </c>
      <c r="AB50" s="631">
        <v>99</v>
      </c>
      <c r="AC50" s="609"/>
      <c r="AD50" s="609"/>
      <c r="AE50" s="518"/>
      <c r="AF50" s="607">
        <f t="shared" si="13"/>
        <v>99</v>
      </c>
      <c r="AG50" s="607">
        <f t="shared" si="14"/>
        <v>99</v>
      </c>
      <c r="AH50" s="607">
        <f t="shared" si="15"/>
        <v>99</v>
      </c>
      <c r="AI50" s="607">
        <f t="shared" si="16"/>
        <v>99</v>
      </c>
      <c r="AJ50" s="608" t="str">
        <f>IFERROR(((2*V50)+#REF!)/3,"")</f>
        <v/>
      </c>
      <c r="AK50" s="528"/>
      <c r="AL50" s="528"/>
      <c r="AM50" s="302">
        <f t="shared" si="32"/>
        <v>99</v>
      </c>
      <c r="AN50" s="303" t="str">
        <f>IF(AM50&gt;KKM!$G$10,"A",IF(AM50&gt;KKM!$H$10,"B",IF(AM50&gt;=KKM!$I$10,"C","D")))</f>
        <v>A</v>
      </c>
      <c r="AO50" s="523">
        <f t="shared" si="33"/>
        <v>99</v>
      </c>
      <c r="AP50" s="115" t="str">
        <f>IF(AO50&gt;KKM!$G$10," sangat baik ",IF(AO50&gt;KKM!$H$10," baik ",IF(AO50&gt;=KKM!$I$10," cukup baik "," perlu bimbingan ")))</f>
        <v xml:space="preserve"> sangat baik </v>
      </c>
      <c r="AQ50" s="524">
        <f t="shared" si="34"/>
        <v>99</v>
      </c>
      <c r="AR50" s="115" t="str">
        <f>IF(AQ50&gt;KKM!$G$10," sangat baik ",IF(AQ50&gt;KKM!$H$10," baik ",IF(AQ50&gt;=KKM!$I$10," cukup baik "," perlu bimbingan ")))</f>
        <v xml:space="preserve"> sangat baik </v>
      </c>
      <c r="AS50" s="301" t="str">
        <f t="shared" si="17"/>
        <v>Anak 46 sangat baik  dalam membandingkan siklus hidup beberapa jenis makhluk hidup serta mengaitkan dengan upaya pelestariannya.</v>
      </c>
      <c r="AT50" s="306"/>
      <c r="AU50" s="307" t="str">
        <f t="shared" si="35"/>
        <v xml:space="preserve"> sangat baik  dalam membandingkan siklus hidup beberapa jenis makhluk hidup serta mengaitkan dengan upaya pelestariannya.</v>
      </c>
      <c r="AV50" s="307" t="str">
        <f t="shared" si="36"/>
        <v xml:space="preserve"> sangat baik  dalam membandingkan siklus hidup beberapa jenis makhluk hidup serta mengaitkan dengan upaya pelestariannya.</v>
      </c>
      <c r="AW50"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50" s="307" t="str">
        <f t="shared" si="19"/>
        <v xml:space="preserve"> sangat baik  dalam membandingkan siklus hidup beberapa jenis makhluk hidup serta mengaitkan dengan upaya pelestariannya.</v>
      </c>
      <c r="AY50" s="308" t="str">
        <f t="shared" si="20"/>
        <v xml:space="preserve"> sangat baik  dalam membandingkan siklus hidup beberapa jenis makhluk hidup serta mengaitkan dengan upaya pelestariannya.</v>
      </c>
      <c r="AZ50" s="301" t="str">
        <f t="shared" si="37"/>
        <v>Anak 46 sangat baik  dalam membandingkan siklus hidup beberapa jenis makhluk hidup serta mengaitkan dengan upaya pelestariannya.</v>
      </c>
      <c r="BA50" s="120"/>
      <c r="BJ50" s="408">
        <f t="shared" si="21"/>
        <v>99</v>
      </c>
      <c r="BM50" s="302">
        <f t="shared" si="22"/>
        <v>99</v>
      </c>
      <c r="BN50" s="303" t="str">
        <f>IF(BM50&gt;KKM!$G$10,"A",IF(BM50&gt;KKM!$H$10,"B",IF(BM50&gt;=KKM!$I$10,"C","D")))</f>
        <v>A</v>
      </c>
      <c r="BO50" s="523">
        <f t="shared" si="23"/>
        <v>99</v>
      </c>
      <c r="BP50" s="115" t="str">
        <f>IF(BO50&gt;KKM!$G$10," sangat baik ",IF(BO50&gt;KKM!$H$10," baik ",IF(BO50&gt;=KKM!$I$10," cukup baik "," perlu bimbingan ")))</f>
        <v xml:space="preserve"> sangat baik </v>
      </c>
      <c r="BQ50" s="524">
        <f t="shared" si="24"/>
        <v>99</v>
      </c>
      <c r="BR50" s="115" t="str">
        <f>IF(BQ50&gt;KKM!$G$10," sangat baik ",IF(BQ50&gt;KKM!$H$10," baik ",IF(BQ50&gt;=KKM!$I$10," cukup baik "," perlu bimbingan ")))</f>
        <v xml:space="preserve"> sangat baik </v>
      </c>
      <c r="BS50" s="301" t="str">
        <f t="shared" si="31"/>
        <v>Anak 46 sangat baik  dalam membandingkan siklus hidup beberapa jenis makhluk hidup serta mengaitkan dengan upaya pelestariannya.</v>
      </c>
      <c r="BT50" s="307" t="str">
        <f t="shared" si="25"/>
        <v xml:space="preserve"> sangat baik  dalam membandingkan siklus hidup beberapa jenis makhluk hidup serta mengaitkan dengan upaya pelestariannya.</v>
      </c>
      <c r="BU50" s="307" t="str">
        <f t="shared" si="26"/>
        <v xml:space="preserve"> sangat baik  dalam membandingkan siklus hidup beberapa jenis makhluk hidup serta mengaitkan dengan upaya pelestariannya.</v>
      </c>
      <c r="BV50"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50" s="307" t="str">
        <f t="shared" si="28"/>
        <v xml:space="preserve"> sangat baik  dalam membandingkan siklus hidup beberapa jenis makhluk hidup serta mengaitkan dengan upaya pelestariannya.</v>
      </c>
      <c r="BX50" s="308" t="str">
        <f t="shared" si="29"/>
        <v xml:space="preserve"> sangat baik  dalam membandingkan siklus hidup beberapa jenis makhluk hidup serta mengaitkan dengan upaya pelestariannya.</v>
      </c>
      <c r="BY50" s="301" t="str">
        <f t="shared" si="30"/>
        <v>Anak 46 sangat baik  dalam membandingkan siklus hidup beberapa jenis makhluk hidup serta mengaitkan dengan upaya pelestariannya.</v>
      </c>
    </row>
    <row r="51" spans="2:77" ht="41.25" customHeight="1">
      <c r="B51" s="109">
        <v>47</v>
      </c>
      <c r="C51" s="110">
        <f>SISWA!B52</f>
        <v>0</v>
      </c>
      <c r="D51" s="111" t="str">
        <f>SISWA!E52</f>
        <v>Anak 47</v>
      </c>
      <c r="E51" s="631">
        <v>99</v>
      </c>
      <c r="F51" s="631">
        <v>99</v>
      </c>
      <c r="G51" s="631">
        <v>99</v>
      </c>
      <c r="H51" s="631">
        <v>99</v>
      </c>
      <c r="I51" s="730"/>
      <c r="J51" s="730"/>
      <c r="K51" s="731"/>
      <c r="L51" s="731"/>
      <c r="M51" s="731"/>
      <c r="N51" s="731"/>
      <c r="O51" s="730"/>
      <c r="P51" s="730"/>
      <c r="Q51" s="610"/>
      <c r="R51" s="631">
        <v>99</v>
      </c>
      <c r="S51" s="631">
        <v>99</v>
      </c>
      <c r="T51" s="631"/>
      <c r="U51" s="631"/>
      <c r="V51" s="631"/>
      <c r="W51" s="631"/>
      <c r="X51" s="610"/>
      <c r="Y51" s="631">
        <v>99</v>
      </c>
      <c r="Z51" s="631">
        <v>99</v>
      </c>
      <c r="AA51" s="631">
        <v>99</v>
      </c>
      <c r="AB51" s="631">
        <v>99</v>
      </c>
      <c r="AC51" s="609"/>
      <c r="AD51" s="609"/>
      <c r="AE51" s="518"/>
      <c r="AF51" s="607">
        <f t="shared" si="13"/>
        <v>99</v>
      </c>
      <c r="AG51" s="607">
        <f t="shared" si="14"/>
        <v>99</v>
      </c>
      <c r="AH51" s="607">
        <f t="shared" si="15"/>
        <v>99</v>
      </c>
      <c r="AI51" s="607">
        <f t="shared" si="16"/>
        <v>99</v>
      </c>
      <c r="AJ51" s="608" t="str">
        <f>IFERROR(((2*V51)+#REF!)/3,"")</f>
        <v/>
      </c>
      <c r="AK51" s="528"/>
      <c r="AL51" s="528"/>
      <c r="AM51" s="302">
        <f t="shared" si="32"/>
        <v>99</v>
      </c>
      <c r="AN51" s="303" t="str">
        <f>IF(AM51&gt;KKM!$G$10,"A",IF(AM51&gt;KKM!$H$10,"B",IF(AM51&gt;=KKM!$I$10,"C","D")))</f>
        <v>A</v>
      </c>
      <c r="AO51" s="523">
        <f t="shared" si="33"/>
        <v>99</v>
      </c>
      <c r="AP51" s="115" t="str">
        <f>IF(AO51&gt;KKM!$G$10," sangat baik ",IF(AO51&gt;KKM!$H$10," baik ",IF(AO51&gt;=KKM!$I$10," cukup baik "," perlu bimbingan ")))</f>
        <v xml:space="preserve"> sangat baik </v>
      </c>
      <c r="AQ51" s="524">
        <f t="shared" si="34"/>
        <v>99</v>
      </c>
      <c r="AR51" s="115" t="str">
        <f>IF(AQ51&gt;KKM!$G$10," sangat baik ",IF(AQ51&gt;KKM!$H$10," baik ",IF(AQ51&gt;=KKM!$I$10," cukup baik "," perlu bimbingan ")))</f>
        <v xml:space="preserve"> sangat baik </v>
      </c>
      <c r="AS51" s="301" t="str">
        <f t="shared" si="17"/>
        <v>Anak 47 sangat baik  dalam membandingkan siklus hidup beberapa jenis makhluk hidup serta mengaitkan dengan upaya pelestariannya.</v>
      </c>
      <c r="AT51" s="306"/>
      <c r="AU51" s="307" t="str">
        <f t="shared" si="35"/>
        <v xml:space="preserve"> sangat baik  dalam membandingkan siklus hidup beberapa jenis makhluk hidup serta mengaitkan dengan upaya pelestariannya.</v>
      </c>
      <c r="AV51" s="307" t="str">
        <f t="shared" si="36"/>
        <v xml:space="preserve"> sangat baik  dalam membandingkan siklus hidup beberapa jenis makhluk hidup serta mengaitkan dengan upaya pelestariannya.</v>
      </c>
      <c r="AW51"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51" s="307" t="str">
        <f t="shared" si="19"/>
        <v xml:space="preserve"> sangat baik  dalam membandingkan siklus hidup beberapa jenis makhluk hidup serta mengaitkan dengan upaya pelestariannya.</v>
      </c>
      <c r="AY51" s="308" t="str">
        <f t="shared" si="20"/>
        <v xml:space="preserve"> sangat baik  dalam membandingkan siklus hidup beberapa jenis makhluk hidup serta mengaitkan dengan upaya pelestariannya.</v>
      </c>
      <c r="AZ51" s="301" t="str">
        <f t="shared" si="37"/>
        <v>Anak 47 sangat baik  dalam membandingkan siklus hidup beberapa jenis makhluk hidup serta mengaitkan dengan upaya pelestariannya.</v>
      </c>
      <c r="BA51" s="120"/>
      <c r="BJ51" s="408">
        <f t="shared" si="21"/>
        <v>99</v>
      </c>
      <c r="BM51" s="302">
        <f t="shared" si="22"/>
        <v>99</v>
      </c>
      <c r="BN51" s="303" t="str">
        <f>IF(BM51&gt;KKM!$G$10,"A",IF(BM51&gt;KKM!$H$10,"B",IF(BM51&gt;=KKM!$I$10,"C","D")))</f>
        <v>A</v>
      </c>
      <c r="BO51" s="523">
        <f t="shared" si="23"/>
        <v>99</v>
      </c>
      <c r="BP51" s="115" t="str">
        <f>IF(BO51&gt;KKM!$G$10," sangat baik ",IF(BO51&gt;KKM!$H$10," baik ",IF(BO51&gt;=KKM!$I$10," cukup baik "," perlu bimbingan ")))</f>
        <v xml:space="preserve"> sangat baik </v>
      </c>
      <c r="BQ51" s="524">
        <f t="shared" si="24"/>
        <v>99</v>
      </c>
      <c r="BR51" s="115" t="str">
        <f>IF(BQ51&gt;KKM!$G$10," sangat baik ",IF(BQ51&gt;KKM!$H$10," baik ",IF(BQ51&gt;=KKM!$I$10," cukup baik "," perlu bimbingan ")))</f>
        <v xml:space="preserve"> sangat baik </v>
      </c>
      <c r="BS51" s="301" t="str">
        <f t="shared" si="31"/>
        <v>Anak 47 sangat baik  dalam membandingkan siklus hidup beberapa jenis makhluk hidup serta mengaitkan dengan upaya pelestariannya.</v>
      </c>
      <c r="BT51" s="307" t="str">
        <f t="shared" si="25"/>
        <v xml:space="preserve"> sangat baik  dalam membandingkan siklus hidup beberapa jenis makhluk hidup serta mengaitkan dengan upaya pelestariannya.</v>
      </c>
      <c r="BU51" s="307" t="str">
        <f t="shared" si="26"/>
        <v xml:space="preserve"> sangat baik  dalam membandingkan siklus hidup beberapa jenis makhluk hidup serta mengaitkan dengan upaya pelestariannya.</v>
      </c>
      <c r="BV51"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51" s="307" t="str">
        <f t="shared" si="28"/>
        <v xml:space="preserve"> sangat baik  dalam membandingkan siklus hidup beberapa jenis makhluk hidup serta mengaitkan dengan upaya pelestariannya.</v>
      </c>
      <c r="BX51" s="308" t="str">
        <f t="shared" si="29"/>
        <v xml:space="preserve"> sangat baik  dalam membandingkan siklus hidup beberapa jenis makhluk hidup serta mengaitkan dengan upaya pelestariannya.</v>
      </c>
      <c r="BY51" s="301" t="str">
        <f t="shared" si="30"/>
        <v>Anak 47 sangat baik  dalam membandingkan siklus hidup beberapa jenis makhluk hidup serta mengaitkan dengan upaya pelestariannya.</v>
      </c>
    </row>
    <row r="52" spans="2:77" ht="41.25" customHeight="1">
      <c r="B52" s="109">
        <v>48</v>
      </c>
      <c r="C52" s="110">
        <f>SISWA!B53</f>
        <v>0</v>
      </c>
      <c r="D52" s="111" t="str">
        <f>SISWA!E53</f>
        <v>Anak 48</v>
      </c>
      <c r="E52" s="631">
        <v>99</v>
      </c>
      <c r="F52" s="631">
        <v>99</v>
      </c>
      <c r="G52" s="631">
        <v>99</v>
      </c>
      <c r="H52" s="631">
        <v>99</v>
      </c>
      <c r="I52" s="730"/>
      <c r="J52" s="730"/>
      <c r="K52" s="731"/>
      <c r="L52" s="731"/>
      <c r="M52" s="731"/>
      <c r="N52" s="731"/>
      <c r="O52" s="730"/>
      <c r="P52" s="730"/>
      <c r="Q52" s="610"/>
      <c r="R52" s="631">
        <v>99</v>
      </c>
      <c r="S52" s="631">
        <v>99</v>
      </c>
      <c r="T52" s="631"/>
      <c r="U52" s="631"/>
      <c r="V52" s="631"/>
      <c r="W52" s="631"/>
      <c r="X52" s="610"/>
      <c r="Y52" s="631">
        <v>99</v>
      </c>
      <c r="Z52" s="631">
        <v>99</v>
      </c>
      <c r="AA52" s="631">
        <v>99</v>
      </c>
      <c r="AB52" s="631">
        <v>99</v>
      </c>
      <c r="AC52" s="609"/>
      <c r="AD52" s="609"/>
      <c r="AE52" s="518"/>
      <c r="AF52" s="607">
        <f t="shared" si="13"/>
        <v>99</v>
      </c>
      <c r="AG52" s="607">
        <f t="shared" si="14"/>
        <v>99</v>
      </c>
      <c r="AH52" s="607">
        <f t="shared" si="15"/>
        <v>99</v>
      </c>
      <c r="AI52" s="607">
        <f t="shared" si="16"/>
        <v>99</v>
      </c>
      <c r="AJ52" s="608" t="str">
        <f>IFERROR(((2*V52)+#REF!)/3,"")</f>
        <v/>
      </c>
      <c r="AK52" s="528"/>
      <c r="AL52" s="528"/>
      <c r="AM52" s="302">
        <f t="shared" si="32"/>
        <v>99</v>
      </c>
      <c r="AN52" s="303" t="str">
        <f>IF(AM52&gt;KKM!$G$10,"A",IF(AM52&gt;KKM!$H$10,"B",IF(AM52&gt;=KKM!$I$10,"C","D")))</f>
        <v>A</v>
      </c>
      <c r="AO52" s="523">
        <f t="shared" si="33"/>
        <v>99</v>
      </c>
      <c r="AP52" s="115" t="str">
        <f>IF(AO52&gt;KKM!$G$10," sangat baik ",IF(AO52&gt;KKM!$H$10," baik ",IF(AO52&gt;=KKM!$I$10," cukup baik "," perlu bimbingan ")))</f>
        <v xml:space="preserve"> sangat baik </v>
      </c>
      <c r="AQ52" s="524">
        <f t="shared" si="34"/>
        <v>99</v>
      </c>
      <c r="AR52" s="115" t="str">
        <f>IF(AQ52&gt;KKM!$G$10," sangat baik ",IF(AQ52&gt;KKM!$H$10," baik ",IF(AQ52&gt;=KKM!$I$10," cukup baik "," perlu bimbingan ")))</f>
        <v xml:space="preserve"> sangat baik </v>
      </c>
      <c r="AS52" s="301" t="str">
        <f t="shared" si="17"/>
        <v>Anak 48 sangat baik  dalam membandingkan siklus hidup beberapa jenis makhluk hidup serta mengaitkan dengan upaya pelestariannya.</v>
      </c>
      <c r="AT52" s="306"/>
      <c r="AU52" s="307" t="str">
        <f t="shared" si="35"/>
        <v xml:space="preserve"> sangat baik  dalam membandingkan siklus hidup beberapa jenis makhluk hidup serta mengaitkan dengan upaya pelestariannya.</v>
      </c>
      <c r="AV52" s="307" t="str">
        <f t="shared" si="36"/>
        <v xml:space="preserve"> sangat baik  dalam membandingkan siklus hidup beberapa jenis makhluk hidup serta mengaitkan dengan upaya pelestariannya.</v>
      </c>
      <c r="AW52"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52" s="307" t="str">
        <f t="shared" si="19"/>
        <v xml:space="preserve"> sangat baik  dalam membandingkan siklus hidup beberapa jenis makhluk hidup serta mengaitkan dengan upaya pelestariannya.</v>
      </c>
      <c r="AY52" s="308" t="str">
        <f t="shared" si="20"/>
        <v xml:space="preserve"> sangat baik  dalam membandingkan siklus hidup beberapa jenis makhluk hidup serta mengaitkan dengan upaya pelestariannya.</v>
      </c>
      <c r="AZ52" s="301" t="str">
        <f t="shared" si="37"/>
        <v>Anak 48 sangat baik  dalam membandingkan siklus hidup beberapa jenis makhluk hidup serta mengaitkan dengan upaya pelestariannya.</v>
      </c>
      <c r="BA52" s="120"/>
      <c r="BJ52" s="408">
        <f t="shared" si="21"/>
        <v>99</v>
      </c>
      <c r="BM52" s="302">
        <f t="shared" si="22"/>
        <v>99</v>
      </c>
      <c r="BN52" s="303" t="str">
        <f>IF(BM52&gt;KKM!$G$10,"A",IF(BM52&gt;KKM!$H$10,"B",IF(BM52&gt;=KKM!$I$10,"C","D")))</f>
        <v>A</v>
      </c>
      <c r="BO52" s="523">
        <f t="shared" si="23"/>
        <v>99</v>
      </c>
      <c r="BP52" s="115" t="str">
        <f>IF(BO52&gt;KKM!$G$10," sangat baik ",IF(BO52&gt;KKM!$H$10," baik ",IF(BO52&gt;=KKM!$I$10," cukup baik "," perlu bimbingan ")))</f>
        <v xml:space="preserve"> sangat baik </v>
      </c>
      <c r="BQ52" s="524">
        <f t="shared" si="24"/>
        <v>99</v>
      </c>
      <c r="BR52" s="115" t="str">
        <f>IF(BQ52&gt;KKM!$G$10," sangat baik ",IF(BQ52&gt;KKM!$H$10," baik ",IF(BQ52&gt;=KKM!$I$10," cukup baik "," perlu bimbingan ")))</f>
        <v xml:space="preserve"> sangat baik </v>
      </c>
      <c r="BS52" s="301" t="str">
        <f t="shared" si="31"/>
        <v>Anak 48 sangat baik  dalam membandingkan siklus hidup beberapa jenis makhluk hidup serta mengaitkan dengan upaya pelestariannya.</v>
      </c>
      <c r="BT52" s="307" t="str">
        <f t="shared" si="25"/>
        <v xml:space="preserve"> sangat baik  dalam membandingkan siklus hidup beberapa jenis makhluk hidup serta mengaitkan dengan upaya pelestariannya.</v>
      </c>
      <c r="BU52" s="307" t="str">
        <f t="shared" si="26"/>
        <v xml:space="preserve"> sangat baik  dalam membandingkan siklus hidup beberapa jenis makhluk hidup serta mengaitkan dengan upaya pelestariannya.</v>
      </c>
      <c r="BV52"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52" s="307" t="str">
        <f t="shared" si="28"/>
        <v xml:space="preserve"> sangat baik  dalam membandingkan siklus hidup beberapa jenis makhluk hidup serta mengaitkan dengan upaya pelestariannya.</v>
      </c>
      <c r="BX52" s="308" t="str">
        <f t="shared" si="29"/>
        <v xml:space="preserve"> sangat baik  dalam membandingkan siklus hidup beberapa jenis makhluk hidup serta mengaitkan dengan upaya pelestariannya.</v>
      </c>
      <c r="BY52" s="301" t="str">
        <f t="shared" si="30"/>
        <v>Anak 48 sangat baik  dalam membandingkan siklus hidup beberapa jenis makhluk hidup serta mengaitkan dengan upaya pelestariannya.</v>
      </c>
    </row>
    <row r="53" spans="2:77" ht="41.25" customHeight="1">
      <c r="B53" s="109">
        <v>49</v>
      </c>
      <c r="C53" s="110">
        <f>SISWA!B54</f>
        <v>0</v>
      </c>
      <c r="D53" s="111" t="str">
        <f>SISWA!E54</f>
        <v>Anak 49</v>
      </c>
      <c r="E53" s="631">
        <v>99</v>
      </c>
      <c r="F53" s="631">
        <v>99</v>
      </c>
      <c r="G53" s="631">
        <v>99</v>
      </c>
      <c r="H53" s="631">
        <v>99</v>
      </c>
      <c r="I53" s="730"/>
      <c r="J53" s="730"/>
      <c r="K53" s="731"/>
      <c r="L53" s="731"/>
      <c r="M53" s="731"/>
      <c r="N53" s="731"/>
      <c r="O53" s="730"/>
      <c r="P53" s="730"/>
      <c r="Q53" s="610"/>
      <c r="R53" s="631">
        <v>99</v>
      </c>
      <c r="S53" s="631">
        <v>99</v>
      </c>
      <c r="T53" s="631"/>
      <c r="U53" s="631"/>
      <c r="V53" s="631"/>
      <c r="W53" s="631"/>
      <c r="X53" s="610"/>
      <c r="Y53" s="631">
        <v>99</v>
      </c>
      <c r="Z53" s="631">
        <v>99</v>
      </c>
      <c r="AA53" s="631">
        <v>99</v>
      </c>
      <c r="AB53" s="631">
        <v>99</v>
      </c>
      <c r="AC53" s="609"/>
      <c r="AD53" s="609"/>
      <c r="AE53" s="518"/>
      <c r="AF53" s="607">
        <f t="shared" si="13"/>
        <v>99</v>
      </c>
      <c r="AG53" s="607">
        <f t="shared" si="14"/>
        <v>99</v>
      </c>
      <c r="AH53" s="607">
        <f t="shared" si="15"/>
        <v>99</v>
      </c>
      <c r="AI53" s="607">
        <f t="shared" si="16"/>
        <v>99</v>
      </c>
      <c r="AJ53" s="608" t="str">
        <f>IFERROR(((2*V53)+#REF!)/3,"")</f>
        <v/>
      </c>
      <c r="AK53" s="528"/>
      <c r="AL53" s="528"/>
      <c r="AM53" s="302">
        <f t="shared" si="32"/>
        <v>99</v>
      </c>
      <c r="AN53" s="303" t="str">
        <f>IF(AM53&gt;KKM!$G$10,"A",IF(AM53&gt;KKM!$H$10,"B",IF(AM53&gt;=KKM!$I$10,"C","D")))</f>
        <v>A</v>
      </c>
      <c r="AO53" s="523">
        <f t="shared" si="33"/>
        <v>99</v>
      </c>
      <c r="AP53" s="115" t="str">
        <f>IF(AO53&gt;KKM!$G$10," sangat baik ",IF(AO53&gt;KKM!$H$10," baik ",IF(AO53&gt;=KKM!$I$10," cukup baik "," perlu bimbingan ")))</f>
        <v xml:space="preserve"> sangat baik </v>
      </c>
      <c r="AQ53" s="524">
        <f t="shared" si="34"/>
        <v>99</v>
      </c>
      <c r="AR53" s="115" t="str">
        <f>IF(AQ53&gt;KKM!$G$10," sangat baik ",IF(AQ53&gt;KKM!$H$10," baik ",IF(AQ53&gt;=KKM!$I$10," cukup baik "," perlu bimbingan ")))</f>
        <v xml:space="preserve"> sangat baik </v>
      </c>
      <c r="AS53" s="301" t="str">
        <f t="shared" si="17"/>
        <v>Anak 49 sangat baik  dalam membandingkan siklus hidup beberapa jenis makhluk hidup serta mengaitkan dengan upaya pelestariannya.</v>
      </c>
      <c r="AT53" s="306"/>
      <c r="AU53" s="307" t="str">
        <f t="shared" si="35"/>
        <v xml:space="preserve"> sangat baik  dalam membandingkan siklus hidup beberapa jenis makhluk hidup serta mengaitkan dengan upaya pelestariannya.</v>
      </c>
      <c r="AV53" s="307" t="str">
        <f t="shared" si="36"/>
        <v xml:space="preserve"> sangat baik  dalam membandingkan siklus hidup beberapa jenis makhluk hidup serta mengaitkan dengan upaya pelestariannya.</v>
      </c>
      <c r="AW53"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53" s="307" t="str">
        <f t="shared" si="19"/>
        <v xml:space="preserve"> sangat baik  dalam membandingkan siklus hidup beberapa jenis makhluk hidup serta mengaitkan dengan upaya pelestariannya.</v>
      </c>
      <c r="AY53" s="308" t="str">
        <f t="shared" si="20"/>
        <v xml:space="preserve"> sangat baik  dalam membandingkan siklus hidup beberapa jenis makhluk hidup serta mengaitkan dengan upaya pelestariannya.</v>
      </c>
      <c r="AZ53" s="301" t="str">
        <f t="shared" si="37"/>
        <v>Anak 49 sangat baik  dalam membandingkan siklus hidup beberapa jenis makhluk hidup serta mengaitkan dengan upaya pelestariannya.</v>
      </c>
      <c r="BA53" s="120"/>
      <c r="BJ53" s="408">
        <f t="shared" si="21"/>
        <v>99</v>
      </c>
      <c r="BM53" s="302">
        <f t="shared" si="22"/>
        <v>99</v>
      </c>
      <c r="BN53" s="303" t="str">
        <f>IF(BM53&gt;KKM!$G$10,"A",IF(BM53&gt;KKM!$H$10,"B",IF(BM53&gt;=KKM!$I$10,"C","D")))</f>
        <v>A</v>
      </c>
      <c r="BO53" s="523">
        <f t="shared" si="23"/>
        <v>99</v>
      </c>
      <c r="BP53" s="115" t="str">
        <f>IF(BO53&gt;KKM!$G$10," sangat baik ",IF(BO53&gt;KKM!$H$10," baik ",IF(BO53&gt;=KKM!$I$10," cukup baik "," perlu bimbingan ")))</f>
        <v xml:space="preserve"> sangat baik </v>
      </c>
      <c r="BQ53" s="524">
        <f t="shared" si="24"/>
        <v>99</v>
      </c>
      <c r="BR53" s="115" t="str">
        <f>IF(BQ53&gt;KKM!$G$10," sangat baik ",IF(BQ53&gt;KKM!$H$10," baik ",IF(BQ53&gt;=KKM!$I$10," cukup baik "," perlu bimbingan ")))</f>
        <v xml:space="preserve"> sangat baik </v>
      </c>
      <c r="BS53" s="301" t="str">
        <f t="shared" si="31"/>
        <v>Anak 49 sangat baik  dalam membandingkan siklus hidup beberapa jenis makhluk hidup serta mengaitkan dengan upaya pelestariannya.</v>
      </c>
      <c r="BT53" s="307" t="str">
        <f t="shared" si="25"/>
        <v xml:space="preserve"> sangat baik  dalam membandingkan siklus hidup beberapa jenis makhluk hidup serta mengaitkan dengan upaya pelestariannya.</v>
      </c>
      <c r="BU53" s="307" t="str">
        <f t="shared" si="26"/>
        <v xml:space="preserve"> sangat baik  dalam membandingkan siklus hidup beberapa jenis makhluk hidup serta mengaitkan dengan upaya pelestariannya.</v>
      </c>
      <c r="BV53"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53" s="307" t="str">
        <f t="shared" si="28"/>
        <v xml:space="preserve"> sangat baik  dalam membandingkan siklus hidup beberapa jenis makhluk hidup serta mengaitkan dengan upaya pelestariannya.</v>
      </c>
      <c r="BX53" s="308" t="str">
        <f t="shared" si="29"/>
        <v xml:space="preserve"> sangat baik  dalam membandingkan siklus hidup beberapa jenis makhluk hidup serta mengaitkan dengan upaya pelestariannya.</v>
      </c>
      <c r="BY53" s="301" t="str">
        <f t="shared" si="30"/>
        <v>Anak 49 sangat baik  dalam membandingkan siklus hidup beberapa jenis makhluk hidup serta mengaitkan dengan upaya pelestariannya.</v>
      </c>
    </row>
    <row r="54" spans="2:77" ht="41.25" customHeight="1">
      <c r="B54" s="109">
        <v>50</v>
      </c>
      <c r="C54" s="110">
        <f>SISWA!B55</f>
        <v>0</v>
      </c>
      <c r="D54" s="111" t="str">
        <f>SISWA!E55</f>
        <v>Anak 50</v>
      </c>
      <c r="E54" s="631">
        <v>99</v>
      </c>
      <c r="F54" s="631">
        <v>99</v>
      </c>
      <c r="G54" s="631">
        <v>99</v>
      </c>
      <c r="H54" s="631">
        <v>99</v>
      </c>
      <c r="I54" s="730"/>
      <c r="J54" s="730"/>
      <c r="K54" s="731"/>
      <c r="L54" s="731"/>
      <c r="M54" s="731"/>
      <c r="N54" s="731"/>
      <c r="O54" s="730"/>
      <c r="P54" s="730"/>
      <c r="Q54" s="610"/>
      <c r="R54" s="631">
        <v>99</v>
      </c>
      <c r="S54" s="631">
        <v>99</v>
      </c>
      <c r="T54" s="631"/>
      <c r="U54" s="631"/>
      <c r="V54" s="631"/>
      <c r="W54" s="631"/>
      <c r="X54" s="610"/>
      <c r="Y54" s="631">
        <v>99</v>
      </c>
      <c r="Z54" s="631">
        <v>99</v>
      </c>
      <c r="AA54" s="631">
        <v>99</v>
      </c>
      <c r="AB54" s="631">
        <v>99</v>
      </c>
      <c r="AC54" s="609"/>
      <c r="AD54" s="609"/>
      <c r="AE54" s="518"/>
      <c r="AF54" s="607">
        <f t="shared" si="13"/>
        <v>99</v>
      </c>
      <c r="AG54" s="607">
        <f t="shared" si="14"/>
        <v>99</v>
      </c>
      <c r="AH54" s="607">
        <f t="shared" si="15"/>
        <v>99</v>
      </c>
      <c r="AI54" s="607">
        <f t="shared" si="16"/>
        <v>99</v>
      </c>
      <c r="AJ54" s="608" t="str">
        <f>IFERROR(((2*V54)+#REF!)/3,"")</f>
        <v/>
      </c>
      <c r="AK54" s="528"/>
      <c r="AL54" s="528"/>
      <c r="AM54" s="302">
        <f t="shared" si="32"/>
        <v>99</v>
      </c>
      <c r="AN54" s="303" t="str">
        <f>IF(AM54&gt;KKM!$G$10,"A",IF(AM54&gt;KKM!$H$10,"B",IF(AM54&gt;=KKM!$I$10,"C","D")))</f>
        <v>A</v>
      </c>
      <c r="AO54" s="523">
        <f t="shared" si="33"/>
        <v>99</v>
      </c>
      <c r="AP54" s="115" t="str">
        <f>IF(AO54&gt;KKM!$G$10," sangat baik ",IF(AO54&gt;KKM!$H$10," baik ",IF(AO54&gt;=KKM!$I$10," cukup baik "," perlu bimbingan ")))</f>
        <v xml:space="preserve"> sangat baik </v>
      </c>
      <c r="AQ54" s="524">
        <f t="shared" si="34"/>
        <v>99</v>
      </c>
      <c r="AR54" s="115" t="str">
        <f>IF(AQ54&gt;KKM!$G$10," sangat baik ",IF(AQ54&gt;KKM!$H$10," baik ",IF(AQ54&gt;=KKM!$I$10," cukup baik "," perlu bimbingan ")))</f>
        <v xml:space="preserve"> sangat baik </v>
      </c>
      <c r="AS54" s="301" t="str">
        <f t="shared" si="17"/>
        <v>Anak 50 sangat baik  dalam membandingkan siklus hidup beberapa jenis makhluk hidup serta mengaitkan dengan upaya pelestariannya.</v>
      </c>
      <c r="AT54" s="306"/>
      <c r="AU54" s="307" t="str">
        <f t="shared" si="35"/>
        <v xml:space="preserve"> sangat baik  dalam membandingkan siklus hidup beberapa jenis makhluk hidup serta mengaitkan dengan upaya pelestariannya.</v>
      </c>
      <c r="AV54" s="307" t="str">
        <f t="shared" si="36"/>
        <v xml:space="preserve"> sangat baik  dalam membandingkan siklus hidup beberapa jenis makhluk hidup serta mengaitkan dengan upaya pelestariannya.</v>
      </c>
      <c r="AW54" s="307" t="str">
        <f t="shared" si="18"/>
        <v xml:space="preserve"> sangat baik  dalam membandingkan siklus hidup beberapa jenis makhluk hidup serta mengaitkan dengan upaya pelestariannya., dan  sangat baik  dalam membandingkan siklus hidup beberapa jenis makhluk hidup serta mengaitkan dengan upaya pelestariannya.</v>
      </c>
      <c r="AX54" s="307" t="str">
        <f t="shared" si="19"/>
        <v xml:space="preserve"> sangat baik  dalam membandingkan siklus hidup beberapa jenis makhluk hidup serta mengaitkan dengan upaya pelestariannya.</v>
      </c>
      <c r="AY54" s="308" t="str">
        <f t="shared" si="20"/>
        <v xml:space="preserve"> sangat baik  dalam membandingkan siklus hidup beberapa jenis makhluk hidup serta mengaitkan dengan upaya pelestariannya.</v>
      </c>
      <c r="AZ54" s="301" t="str">
        <f t="shared" si="37"/>
        <v>Anak 50 sangat baik  dalam membandingkan siklus hidup beberapa jenis makhluk hidup serta mengaitkan dengan upaya pelestariannya.</v>
      </c>
      <c r="BA54" s="120"/>
      <c r="BJ54" s="408">
        <f t="shared" si="21"/>
        <v>99</v>
      </c>
      <c r="BM54" s="302">
        <f t="shared" si="22"/>
        <v>99</v>
      </c>
      <c r="BN54" s="303" t="str">
        <f>IF(BM54&gt;KKM!$G$10,"A",IF(BM54&gt;KKM!$H$10,"B",IF(BM54&gt;=KKM!$I$10,"C","D")))</f>
        <v>A</v>
      </c>
      <c r="BO54" s="523">
        <f t="shared" si="23"/>
        <v>99</v>
      </c>
      <c r="BP54" s="115" t="str">
        <f>IF(BO54&gt;KKM!$G$10," sangat baik ",IF(BO54&gt;KKM!$H$10," baik ",IF(BO54&gt;=KKM!$I$10," cukup baik "," perlu bimbingan ")))</f>
        <v xml:space="preserve"> sangat baik </v>
      </c>
      <c r="BQ54" s="524">
        <f t="shared" si="24"/>
        <v>99</v>
      </c>
      <c r="BR54" s="115" t="str">
        <f>IF(BQ54&gt;KKM!$G$10," sangat baik ",IF(BQ54&gt;KKM!$H$10," baik ",IF(BQ54&gt;=KKM!$I$10," cukup baik "," perlu bimbingan ")))</f>
        <v xml:space="preserve"> sangat baik </v>
      </c>
      <c r="BS54" s="301" t="str">
        <f t="shared" si="31"/>
        <v>Anak 50 sangat baik  dalam membandingkan siklus hidup beberapa jenis makhluk hidup serta mengaitkan dengan upaya pelestariannya.</v>
      </c>
      <c r="BT54" s="307" t="str">
        <f t="shared" si="25"/>
        <v xml:space="preserve"> sangat baik  dalam membandingkan siklus hidup beberapa jenis makhluk hidup serta mengaitkan dengan upaya pelestariannya.</v>
      </c>
      <c r="BU54" s="307" t="str">
        <f t="shared" si="26"/>
        <v xml:space="preserve"> sangat baik  dalam membandingkan siklus hidup beberapa jenis makhluk hidup serta mengaitkan dengan upaya pelestariannya.</v>
      </c>
      <c r="BV54" s="307" t="str">
        <f t="shared" si="27"/>
        <v xml:space="preserve"> sangat baik  dalam membandingkan siklus hidup beberapa jenis makhluk hidup serta mengaitkan dengan upaya pelestariannya., dan  sangat baik  dalam membandingkan siklus hidup beberapa jenis makhluk hidup serta mengaitkan dengan upaya pelestariannya.</v>
      </c>
      <c r="BW54" s="307" t="str">
        <f t="shared" si="28"/>
        <v xml:space="preserve"> sangat baik  dalam membandingkan siklus hidup beberapa jenis makhluk hidup serta mengaitkan dengan upaya pelestariannya.</v>
      </c>
      <c r="BX54" s="308" t="str">
        <f t="shared" si="29"/>
        <v xml:space="preserve"> sangat baik  dalam membandingkan siklus hidup beberapa jenis makhluk hidup serta mengaitkan dengan upaya pelestariannya.</v>
      </c>
      <c r="BY54" s="301" t="str">
        <f t="shared" si="30"/>
        <v>Anak 50 sangat baik  dalam membandingkan siklus hidup beberapa jenis makhluk hidup serta mengaitkan dengan upaya pelestariannya.</v>
      </c>
    </row>
    <row r="55" spans="2:77" ht="15.75">
      <c r="B55" s="121"/>
      <c r="C55" s="121"/>
      <c r="D55" s="121"/>
      <c r="E55" s="121"/>
      <c r="F55" s="121"/>
      <c r="G55" s="121"/>
      <c r="H55" s="121"/>
      <c r="I55" s="121"/>
      <c r="J55" s="121"/>
      <c r="K55" s="121"/>
      <c r="L55" s="121"/>
      <c r="M55" s="121"/>
      <c r="N55" s="121"/>
      <c r="O55" s="121"/>
      <c r="P55" s="121"/>
      <c r="Q55" s="518"/>
      <c r="R55" s="121"/>
      <c r="S55" s="121"/>
      <c r="T55" s="121"/>
      <c r="U55" s="121"/>
      <c r="V55" s="121"/>
      <c r="W55" s="121"/>
      <c r="X55" s="518"/>
      <c r="Y55" s="521"/>
      <c r="Z55" s="521"/>
      <c r="AA55" s="521"/>
      <c r="AB55" s="521"/>
      <c r="AC55" s="521"/>
      <c r="AD55" s="521"/>
      <c r="AE55" s="518"/>
      <c r="AF55" s="528"/>
      <c r="AG55" s="529"/>
      <c r="AH55" s="529"/>
      <c r="AI55" s="529"/>
      <c r="AJ55" s="529"/>
      <c r="AK55" s="528"/>
      <c r="AL55" s="528"/>
      <c r="AM55" s="114"/>
      <c r="AN55" s="115"/>
      <c r="AO55" s="116"/>
      <c r="AP55" s="116"/>
      <c r="AQ55" s="116"/>
      <c r="AR55" s="116"/>
      <c r="AS55" s="117"/>
      <c r="AT55" s="118"/>
      <c r="AU55" s="119"/>
      <c r="AV55" s="122"/>
      <c r="AW55" s="122"/>
      <c r="AX55" s="122"/>
      <c r="AY55" s="122"/>
      <c r="AZ55" s="122"/>
      <c r="BA55" s="120"/>
      <c r="BM55" s="302"/>
      <c r="BN55" s="303"/>
      <c r="BO55" s="523"/>
      <c r="BP55" s="115"/>
      <c r="BQ55" s="524"/>
      <c r="BR55" s="115"/>
      <c r="BS55" s="301"/>
      <c r="BT55" s="307"/>
      <c r="BU55" s="307"/>
      <c r="BV55" s="307"/>
      <c r="BW55" s="307"/>
      <c r="BX55" s="308"/>
      <c r="BY55" s="301"/>
    </row>
    <row r="56" spans="2:77">
      <c r="BM56" s="302"/>
      <c r="BT56" s="119"/>
      <c r="BU56" s="122"/>
      <c r="BV56" s="122"/>
      <c r="BW56" s="122"/>
      <c r="BX56" s="122"/>
      <c r="BY56" s="122"/>
    </row>
  </sheetData>
  <sheetProtection sheet="1" objects="1" scenarios="1"/>
  <mergeCells count="45">
    <mergeCell ref="BT3:BY3"/>
    <mergeCell ref="BM2:BM4"/>
    <mergeCell ref="BN2:BN4"/>
    <mergeCell ref="BO2:BR2"/>
    <mergeCell ref="BS2:BS4"/>
    <mergeCell ref="BO3:BP3"/>
    <mergeCell ref="BQ3:BR3"/>
    <mergeCell ref="R2:W2"/>
    <mergeCell ref="T3:T4"/>
    <mergeCell ref="U3:U4"/>
    <mergeCell ref="V3:V4"/>
    <mergeCell ref="W3:W4"/>
    <mergeCell ref="S3:S4"/>
    <mergeCell ref="AS2:AS4"/>
    <mergeCell ref="AO3:AP3"/>
    <mergeCell ref="AQ3:AR3"/>
    <mergeCell ref="E3:E4"/>
    <mergeCell ref="F3:F4"/>
    <mergeCell ref="G3:G4"/>
    <mergeCell ref="H3:H4"/>
    <mergeCell ref="I3:I4"/>
    <mergeCell ref="K3:K4"/>
    <mergeCell ref="L3:L4"/>
    <mergeCell ref="M3:M4"/>
    <mergeCell ref="N3:N4"/>
    <mergeCell ref="O3:O4"/>
    <mergeCell ref="Y2:AD2"/>
    <mergeCell ref="Y3:Y4"/>
    <mergeCell ref="Z3:Z4"/>
    <mergeCell ref="B1:AR1"/>
    <mergeCell ref="B2:B4"/>
    <mergeCell ref="C2:C4"/>
    <mergeCell ref="D2:D4"/>
    <mergeCell ref="AF2:AL2"/>
    <mergeCell ref="AM2:AM4"/>
    <mergeCell ref="AN2:AN4"/>
    <mergeCell ref="AO2:AR2"/>
    <mergeCell ref="AA3:AA4"/>
    <mergeCell ref="AB3:AB4"/>
    <mergeCell ref="AC3:AC4"/>
    <mergeCell ref="P3:P4"/>
    <mergeCell ref="R3:R4"/>
    <mergeCell ref="J3:J4"/>
    <mergeCell ref="E2:P2"/>
    <mergeCell ref="AD3:AD4"/>
  </mergeCell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A56"/>
  <sheetViews>
    <sheetView zoomScale="70" zoomScaleNormal="70" workbookViewId="0">
      <pane xSplit="4" ySplit="4" topLeftCell="E5" activePane="bottomRight" state="frozen"/>
      <selection pane="topRight" activeCell="E1" sqref="E1"/>
      <selection pane="bottomLeft" activeCell="A5" sqref="A5"/>
      <selection pane="bottomRight" activeCell="AA6" sqref="AA6"/>
    </sheetView>
  </sheetViews>
  <sheetFormatPr defaultColWidth="0" defaultRowHeight="15"/>
  <cols>
    <col min="1" max="1" width="23.42578125" style="446" customWidth="1"/>
    <col min="2" max="2" width="4.42578125" style="104" customWidth="1"/>
    <col min="3" max="3" width="6.42578125" style="104" customWidth="1"/>
    <col min="4" max="4" width="28.7109375" style="104" customWidth="1"/>
    <col min="5" max="9" width="5.42578125" style="104" customWidth="1"/>
    <col min="10" max="16" width="5.42578125" style="104" hidden="1" customWidth="1"/>
    <col min="17" max="17" width="1.140625" style="104" customWidth="1"/>
    <col min="18" max="23" width="5.42578125" style="104" customWidth="1"/>
    <col min="24" max="24" width="1.140625" style="104" customWidth="1"/>
    <col min="25" max="30" width="5.42578125" style="104" customWidth="1"/>
    <col min="31" max="31" width="1.5703125" style="104" customWidth="1"/>
    <col min="32" max="39" width="6.7109375" style="104" customWidth="1"/>
    <col min="40" max="41" width="4.7109375" style="104" customWidth="1"/>
    <col min="42" max="42" width="5.140625" style="104" customWidth="1"/>
    <col min="43" max="43" width="10.85546875" style="104" customWidth="1"/>
    <col min="44" max="44" width="5.140625" style="104" customWidth="1"/>
    <col min="45" max="45" width="11.42578125" style="104" customWidth="1"/>
    <col min="46" max="46" width="84.42578125" style="104" customWidth="1"/>
    <col min="47" max="47" width="29.85546875" style="104" hidden="1" customWidth="1"/>
    <col min="48" max="53" width="10.7109375" style="104" hidden="1" customWidth="1"/>
    <col min="54" max="64" width="9.140625" style="104" hidden="1" customWidth="1"/>
    <col min="65" max="67" width="6.5703125" style="104" hidden="1" customWidth="1"/>
    <col min="68" max="68" width="12.42578125" style="104" hidden="1" customWidth="1"/>
    <col min="69" max="69" width="6.5703125" style="104" hidden="1" customWidth="1"/>
    <col min="70" max="70" width="13.5703125" style="104" hidden="1" customWidth="1"/>
    <col min="71" max="71" width="65.85546875" style="104" hidden="1" customWidth="1"/>
    <col min="72" max="72" width="18.7109375" style="104" hidden="1" customWidth="1"/>
    <col min="73" max="78" width="9.140625" style="104" hidden="1" customWidth="1"/>
    <col min="79" max="79" width="9.140625" style="104" customWidth="1"/>
    <col min="80" max="87" width="5" style="104" hidden="1" customWidth="1"/>
    <col min="88" max="89" width="0" style="104" hidden="1" customWidth="1"/>
    <col min="90" max="103" width="10.7109375" style="104" hidden="1" customWidth="1"/>
    <col min="104" max="157" width="0" style="104" hidden="1" customWidth="1"/>
    <col min="158" max="16384" width="9.140625" style="104" hidden="1"/>
  </cols>
  <sheetData>
    <row r="1" spans="1:78" s="449" customFormat="1" ht="45.75" customHeight="1">
      <c r="B1" s="1040" t="s">
        <v>257</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row>
    <row r="2" spans="1:78" ht="23.25" customHeight="1">
      <c r="B2" s="1071" t="s">
        <v>2</v>
      </c>
      <c r="C2" s="1072" t="s">
        <v>3</v>
      </c>
      <c r="D2" s="1073" t="s">
        <v>48</v>
      </c>
      <c r="E2" s="1095" t="s">
        <v>699</v>
      </c>
      <c r="F2" s="1096"/>
      <c r="G2" s="1096"/>
      <c r="H2" s="1096"/>
      <c r="I2" s="1096"/>
      <c r="J2" s="1096"/>
      <c r="K2" s="1096"/>
      <c r="L2" s="1096"/>
      <c r="M2" s="1096"/>
      <c r="N2" s="1096"/>
      <c r="O2" s="1096"/>
      <c r="P2" s="1096"/>
      <c r="Q2" s="515"/>
      <c r="R2" s="1100" t="s">
        <v>692</v>
      </c>
      <c r="S2" s="1100"/>
      <c r="T2" s="1100"/>
      <c r="U2" s="1100"/>
      <c r="V2" s="1100"/>
      <c r="W2" s="1100"/>
      <c r="X2" s="515"/>
      <c r="Y2" s="1085" t="s">
        <v>693</v>
      </c>
      <c r="Z2" s="1086"/>
      <c r="AA2" s="1086"/>
      <c r="AB2" s="1086"/>
      <c r="AC2" s="1086"/>
      <c r="AD2" s="1086"/>
      <c r="AE2" s="515"/>
      <c r="AF2" s="1106" t="s">
        <v>694</v>
      </c>
      <c r="AG2" s="1106"/>
      <c r="AH2" s="1106"/>
      <c r="AI2" s="1106"/>
      <c r="AJ2" s="1106"/>
      <c r="AK2" s="1106"/>
      <c r="AL2" s="1106"/>
      <c r="AM2" s="1106"/>
      <c r="AN2" s="1045" t="s">
        <v>5</v>
      </c>
      <c r="AO2" s="1046" t="s">
        <v>6</v>
      </c>
      <c r="AP2" s="1047" t="s">
        <v>314</v>
      </c>
      <c r="AQ2" s="1048"/>
      <c r="AR2" s="1048"/>
      <c r="AS2" s="1048"/>
      <c r="AT2" s="1027" t="s">
        <v>1</v>
      </c>
      <c r="BA2" s="294"/>
      <c r="BK2" s="441">
        <f>DEPAN!$E$23</f>
        <v>50</v>
      </c>
      <c r="BL2" s="441"/>
      <c r="BM2" s="1091" t="s">
        <v>5</v>
      </c>
      <c r="BN2" s="1093" t="s">
        <v>6</v>
      </c>
      <c r="BO2" s="1047" t="s">
        <v>314</v>
      </c>
      <c r="BP2" s="1048"/>
      <c r="BQ2" s="1048"/>
      <c r="BR2" s="1048"/>
      <c r="BS2" s="1027" t="s">
        <v>1</v>
      </c>
      <c r="BZ2" s="441"/>
    </row>
    <row r="3" spans="1:78" ht="94.5" customHeight="1">
      <c r="B3" s="1071"/>
      <c r="C3" s="1072"/>
      <c r="D3" s="1073"/>
      <c r="E3" s="1079" t="str">
        <f>""&amp;'KI-KD'!$B84</f>
        <v>3.1</v>
      </c>
      <c r="F3" s="1079" t="str">
        <f>""&amp;'KI-KD'!$B85</f>
        <v>3.2</v>
      </c>
      <c r="G3" s="1079" t="str">
        <f>""&amp;'KI-KD'!$B86</f>
        <v>3.3</v>
      </c>
      <c r="H3" s="1079" t="str">
        <f>""&amp;'KI-KD'!$B87</f>
        <v/>
      </c>
      <c r="I3" s="1079" t="str">
        <f>""&amp;'KI-KD'!$B88</f>
        <v/>
      </c>
      <c r="J3" s="1079" t="str">
        <f>""&amp;'KI-KD'!$B89</f>
        <v/>
      </c>
      <c r="K3" s="1099"/>
      <c r="L3" s="1099"/>
      <c r="M3" s="1099"/>
      <c r="N3" s="1099"/>
      <c r="O3" s="1099"/>
      <c r="P3" s="1099"/>
      <c r="Q3" s="516"/>
      <c r="R3" s="1101" t="str">
        <f>E3</f>
        <v>3.1</v>
      </c>
      <c r="S3" s="1101" t="str">
        <f t="shared" ref="S3" si="0">F3</f>
        <v>3.2</v>
      </c>
      <c r="T3" s="1081" t="str">
        <f t="shared" ref="T3" si="1">G3</f>
        <v>3.3</v>
      </c>
      <c r="U3" s="1081" t="str">
        <f t="shared" ref="U3" si="2">H3</f>
        <v/>
      </c>
      <c r="V3" s="1081" t="str">
        <f t="shared" ref="V3" si="3">I3</f>
        <v/>
      </c>
      <c r="W3" s="1081" t="str">
        <f t="shared" ref="W3" si="4">J3</f>
        <v/>
      </c>
      <c r="X3" s="516"/>
      <c r="Y3" s="1088" t="str">
        <f>E3</f>
        <v>3.1</v>
      </c>
      <c r="Z3" s="1088" t="str">
        <f t="shared" ref="Z3:AC3" si="5">F3</f>
        <v>3.2</v>
      </c>
      <c r="AA3" s="1088" t="str">
        <f t="shared" si="5"/>
        <v>3.3</v>
      </c>
      <c r="AB3" s="1088" t="str">
        <f t="shared" si="5"/>
        <v/>
      </c>
      <c r="AC3" s="1088" t="str">
        <f t="shared" si="5"/>
        <v/>
      </c>
      <c r="AD3" s="1088" t="str">
        <f>J3</f>
        <v/>
      </c>
      <c r="AE3" s="516"/>
      <c r="AF3" s="510" t="str">
        <f>'KI-KD'!$C84</f>
        <v>mengidentifikasi karakteristik ruang dan pemanfaatan sumberdaya alam untuk kesejahteraan masyarakat dari tingkatkota/kabupaten sampai tingkat provinsi.</v>
      </c>
      <c r="AG3" s="510" t="str">
        <f>'KI-KD'!$C85</f>
        <v>mengidentifikasi keragaman sosial, ekonomi, budaya, etnis, dan agama di provinsi setempat sebagai identitas bangsa Indonesia serta hubungannya dengan karakteristik ruang.</v>
      </c>
      <c r="AH3" s="510" t="str">
        <f>'KI-KD'!$C86</f>
        <v>mengidentifikasi kegiatan ekonomi dan hubungannya dengan berbagai bidang pekerjaan serta kehidupan sosial dan budaya di lingkungan sekitar sampai provinsi.</v>
      </c>
      <c r="AI3" s="510">
        <f>'KI-KD'!$C87</f>
        <v>0</v>
      </c>
      <c r="AJ3" s="510">
        <f>'KI-KD'!$C88</f>
        <v>0</v>
      </c>
      <c r="AK3" s="510">
        <f>'KI-KD'!$C89</f>
        <v>0</v>
      </c>
      <c r="AL3" s="510">
        <f>'KI-KD'!$C90</f>
        <v>0</v>
      </c>
      <c r="AM3" s="511"/>
      <c r="AN3" s="1045"/>
      <c r="AO3" s="1046"/>
      <c r="AP3" s="1030" t="s">
        <v>315</v>
      </c>
      <c r="AQ3" s="1031"/>
      <c r="AR3" s="1032" t="s">
        <v>316</v>
      </c>
      <c r="AS3" s="1033"/>
      <c r="AT3" s="1028"/>
      <c r="BA3" s="294"/>
      <c r="BK3" s="408">
        <f>BK4-BK5</f>
        <v>50</v>
      </c>
      <c r="BL3" s="408"/>
      <c r="BM3" s="1092"/>
      <c r="BN3" s="1094"/>
      <c r="BO3" s="1067" t="s">
        <v>315</v>
      </c>
      <c r="BP3" s="1068"/>
      <c r="BQ3" s="1069" t="s">
        <v>316</v>
      </c>
      <c r="BR3" s="1070"/>
      <c r="BS3" s="1028"/>
      <c r="BT3" s="1090" t="s">
        <v>730</v>
      </c>
      <c r="BU3" s="1090"/>
      <c r="BV3" s="1090"/>
      <c r="BW3" s="1090"/>
      <c r="BX3" s="1090"/>
      <c r="BY3" s="1090"/>
      <c r="BZ3" s="408"/>
    </row>
    <row r="4" spans="1:78" s="108" customFormat="1" ht="25.5" customHeight="1">
      <c r="A4" s="448"/>
      <c r="B4" s="1071"/>
      <c r="C4" s="1072"/>
      <c r="D4" s="1073"/>
      <c r="E4" s="1080"/>
      <c r="F4" s="1080"/>
      <c r="G4" s="1080"/>
      <c r="H4" s="1080"/>
      <c r="I4" s="1080"/>
      <c r="J4" s="1080"/>
      <c r="K4" s="1099"/>
      <c r="L4" s="1099"/>
      <c r="M4" s="1099"/>
      <c r="N4" s="1099"/>
      <c r="O4" s="1099"/>
      <c r="P4" s="1099"/>
      <c r="Q4" s="517"/>
      <c r="R4" s="1102"/>
      <c r="S4" s="1102"/>
      <c r="T4" s="1082"/>
      <c r="U4" s="1082"/>
      <c r="V4" s="1082"/>
      <c r="W4" s="1082"/>
      <c r="X4" s="517"/>
      <c r="Y4" s="1089"/>
      <c r="Z4" s="1089"/>
      <c r="AA4" s="1089"/>
      <c r="AB4" s="1089"/>
      <c r="AC4" s="1089"/>
      <c r="AD4" s="1089"/>
      <c r="AE4" s="517"/>
      <c r="AF4" s="512" t="str">
        <f>'KI-KD'!$B84</f>
        <v>3.1</v>
      </c>
      <c r="AG4" s="512" t="str">
        <f>'KI-KD'!$B85</f>
        <v>3.2</v>
      </c>
      <c r="AH4" s="512" t="str">
        <f>'KI-KD'!$B86</f>
        <v>3.3</v>
      </c>
      <c r="AI4" s="512">
        <f>'KI-KD'!$B87</f>
        <v>0</v>
      </c>
      <c r="AJ4" s="512">
        <f>'KI-KD'!$B88</f>
        <v>0</v>
      </c>
      <c r="AK4" s="512">
        <f>'KI-KD'!$B89</f>
        <v>0</v>
      </c>
      <c r="AL4" s="512">
        <f>'KI-KD'!$B90</f>
        <v>0</v>
      </c>
      <c r="AM4" s="512"/>
      <c r="AN4" s="1045"/>
      <c r="AO4" s="1046"/>
      <c r="AP4" s="295" t="s">
        <v>317</v>
      </c>
      <c r="AQ4" s="296" t="s">
        <v>1</v>
      </c>
      <c r="AR4" s="297" t="s">
        <v>317</v>
      </c>
      <c r="AS4" s="298" t="s">
        <v>1</v>
      </c>
      <c r="AT4" s="1029"/>
      <c r="AU4" s="104"/>
      <c r="AV4" s="299" t="s">
        <v>318</v>
      </c>
      <c r="AW4" s="299" t="s">
        <v>319</v>
      </c>
      <c r="AX4" s="299" t="s">
        <v>320</v>
      </c>
      <c r="AY4" s="299" t="s">
        <v>321</v>
      </c>
      <c r="AZ4" s="300" t="s">
        <v>314</v>
      </c>
      <c r="BA4" s="301"/>
      <c r="BK4" s="108">
        <v>50</v>
      </c>
      <c r="BM4" s="1092"/>
      <c r="BN4" s="1094"/>
      <c r="BO4" s="295" t="s">
        <v>317</v>
      </c>
      <c r="BP4" s="296" t="s">
        <v>1</v>
      </c>
      <c r="BQ4" s="297" t="s">
        <v>317</v>
      </c>
      <c r="BR4" s="298" t="s">
        <v>1</v>
      </c>
      <c r="BS4" s="1028"/>
      <c r="BT4" s="299" t="s">
        <v>318</v>
      </c>
      <c r="BU4" s="299" t="s">
        <v>319</v>
      </c>
      <c r="BV4" s="299" t="s">
        <v>320</v>
      </c>
      <c r="BW4" s="299" t="s">
        <v>321</v>
      </c>
      <c r="BX4" s="300" t="s">
        <v>314</v>
      </c>
      <c r="BY4" s="301"/>
    </row>
    <row r="5" spans="1:78" ht="38.25" customHeight="1">
      <c r="B5" s="109">
        <v>1</v>
      </c>
      <c r="C5" s="110">
        <f>SISWA!B6</f>
        <v>4822</v>
      </c>
      <c r="D5" s="111" t="str">
        <f>SISWA!E6</f>
        <v>Anak 1</v>
      </c>
      <c r="E5" s="613"/>
      <c r="F5" s="613"/>
      <c r="G5" s="613"/>
      <c r="H5" s="730"/>
      <c r="I5" s="730"/>
      <c r="J5" s="730"/>
      <c r="K5" s="732"/>
      <c r="L5" s="732"/>
      <c r="M5" s="732"/>
      <c r="N5" s="730"/>
      <c r="O5" s="730"/>
      <c r="P5" s="730"/>
      <c r="Q5" s="610"/>
      <c r="R5" s="613">
        <v>98</v>
      </c>
      <c r="S5" s="613">
        <v>77</v>
      </c>
      <c r="T5" s="631"/>
      <c r="U5" s="631"/>
      <c r="V5" s="631"/>
      <c r="W5" s="631"/>
      <c r="X5" s="610"/>
      <c r="Y5" s="613"/>
      <c r="Z5" s="613"/>
      <c r="AA5" s="613"/>
      <c r="AB5" s="609"/>
      <c r="AC5" s="609"/>
      <c r="AD5" s="609"/>
      <c r="AE5" s="518"/>
      <c r="AF5" s="607">
        <f>IFERROR(AVERAGE(E5,E5,R5,Y5),"")</f>
        <v>98</v>
      </c>
      <c r="AG5" s="607">
        <f t="shared" ref="AG5:AH5" si="6">IFERROR(AVERAGE(F5,F5,S5,Z5),"")</f>
        <v>77</v>
      </c>
      <c r="AH5" s="607" t="str">
        <f t="shared" si="6"/>
        <v/>
      </c>
      <c r="AI5" s="607" t="str">
        <f>IFERROR(((2*#REF!)+#REF!)/3,"")</f>
        <v/>
      </c>
      <c r="AJ5" s="529"/>
      <c r="AK5" s="528"/>
      <c r="AL5" s="528"/>
      <c r="AM5" s="528"/>
      <c r="AN5" s="302">
        <f t="shared" ref="AN5:AN36" si="7">ROUND((AVERAGE(AF5:AM5)),0)</f>
        <v>88</v>
      </c>
      <c r="AO5" s="303" t="str">
        <f>IF(AN5&gt;KKM!$G$10,"A",IF(AN5&gt;KKM!$H$10,"B",IF(AN5&gt;=KKM!$I$10,"C","D")))</f>
        <v>B</v>
      </c>
      <c r="AP5" s="523">
        <f t="shared" ref="AP5:AP36" si="8">MAX(AF5:AM5)</f>
        <v>98</v>
      </c>
      <c r="AQ5" s="115" t="str">
        <f>IF(AP5&gt;KKM!$G$10," sangat baik ",IF(AP5&gt;KKM!$H$10," baik ",IF(AP5&gt;=KKM!$I$10," cukup baik "," perlu bimbingan ")))</f>
        <v xml:space="preserve"> sangat baik </v>
      </c>
      <c r="AR5" s="524">
        <f t="shared" ref="AR5:AR36" si="9">MIN(AF5:AM5)</f>
        <v>77</v>
      </c>
      <c r="AS5" s="115" t="str">
        <f>IF(AR5&gt;KKM!$G$10," sangat baik ",IF(AR5&gt;KKM!$H$10," baik ",IF(AR5&gt;=KKM!$I$10," cukup baik "," perlu bimbingan ")))</f>
        <v xml:space="preserve"> cukup baik </v>
      </c>
      <c r="AT5" s="301" t="str">
        <f>IFERROR(BA5," ")</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AU5" s="306"/>
      <c r="AV5" s="307" t="str">
        <f t="shared" ref="AV5:AV36" si="10">AQ5&amp;" dalam "&amp;INDEX($AF$3:$AM$3,MATCH(AP5,$AF5:$AM5,0))</f>
        <v xml:space="preserve"> sangat baik  dalam mengidentifikasi karakteristik ruang dan pemanfaatan sumberdaya alam untuk kesejahteraan masyarakat dari tingkatkota/kabupaten sampai tingkat provinsi.</v>
      </c>
      <c r="AW5" s="307" t="str">
        <f t="shared" ref="AW5:AW36" si="11">AS5&amp;" dalam "&amp;INDEX($AF$3:$AM$3,MATCH(AR5,$AF5:$AM5,0))</f>
        <v xml:space="preserve"> cukup baik  dalam mengidentifikasi keragaman sosial, ekonomi, budaya, etnis, dan agama di provinsi setempat sebagai identitas bangsa Indonesia serta hubungannya dengan karakteristik ruang.</v>
      </c>
      <c r="AX5" s="307" t="str">
        <f>AV5&amp;", dan "&amp;AW5</f>
        <v xml:space="preserve">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AY5" s="307" t="str">
        <f>IF(AV5=AW5,AV5," ")</f>
        <v xml:space="preserve"> </v>
      </c>
      <c r="AZ5" s="308" t="str">
        <f>IF(AY5=" ",AX5,AY5)</f>
        <v xml:space="preserve">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BA5" s="301" t="str">
        <f t="shared" ref="BA5:BA36" si="12">CONCATENATE(D5,AZ5)</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BB5" s="120"/>
      <c r="BJ5" s="408">
        <f>IFERROR(AN5,"")</f>
        <v>88</v>
      </c>
      <c r="BK5" s="408">
        <f>COUNTBLANK(BJ5:BJ54)</f>
        <v>0</v>
      </c>
      <c r="BL5" s="408"/>
      <c r="BM5" s="302">
        <f>ROUND((AVERAGE(R5:W5)),0)</f>
        <v>88</v>
      </c>
      <c r="BN5" s="303" t="str">
        <f>IF(BM5&gt;KKM!$G$10,"A",IF(BM5&gt;KKM!$H$10,"B",IF(BM5&gt;=KKM!$I$10,"C","D")))</f>
        <v>B</v>
      </c>
      <c r="BO5" s="523">
        <f>MAX(R5:W5)</f>
        <v>98</v>
      </c>
      <c r="BP5" s="115" t="str">
        <f>IF(BO5&gt;KKM!$G$10," sangat baik ",IF(BO5&gt;KKM!$H$10," baik ",IF(BO5&gt;=KKM!$I$10," cukup baik "," perlu bimbingan ")))</f>
        <v xml:space="preserve"> sangat baik </v>
      </c>
      <c r="BQ5" s="524">
        <f>MIN(R5:W5)</f>
        <v>77</v>
      </c>
      <c r="BR5" s="115" t="str">
        <f>IF(BQ5&gt;KKM!$G$10," sangat baik ",IF(BQ5&gt;KKM!$H$10," baik ",IF(BQ5&gt;=KKM!$I$10," cukup baik "," perlu bimbingan ")))</f>
        <v xml:space="preserve"> cukup baik </v>
      </c>
      <c r="BS5" s="301" t="str">
        <f>IFERROR(BY5," ")</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BT5" s="307" t="str">
        <f>BP5&amp;" dalam "&amp;INDEX($AF$3:$AL$3,MATCH(BO5,$R5:$W5,0))</f>
        <v xml:space="preserve"> sangat baik  dalam mengidentifikasi karakteristik ruang dan pemanfaatan sumberdaya alam untuk kesejahteraan masyarakat dari tingkatkota/kabupaten sampai tingkat provinsi.</v>
      </c>
      <c r="BU5" s="307" t="str">
        <f>BR5&amp;" dalam "&amp;INDEX($AF$3:$AL$3,MATCH(BQ5,$R5:$W5,0))</f>
        <v xml:space="preserve"> cukup baik  dalam mengidentifikasi keragaman sosial, ekonomi, budaya, etnis, dan agama di provinsi setempat sebagai identitas bangsa Indonesia serta hubungannya dengan karakteristik ruang.</v>
      </c>
      <c r="BV5" s="307" t="str">
        <f>BT5&amp;", dan "&amp;BU5</f>
        <v xml:space="preserve">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BW5" s="307" t="str">
        <f>IF(BT5=BU5,BT5," ")</f>
        <v xml:space="preserve"> </v>
      </c>
      <c r="BX5" s="308" t="str">
        <f>IF(BW5=" ",BV5,BW5)</f>
        <v xml:space="preserve">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BY5" s="301" t="str">
        <f>CONCATENATE(D5,BX5)</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BZ5" s="408"/>
    </row>
    <row r="6" spans="1:78" ht="38.25" customHeight="1">
      <c r="B6" s="109">
        <v>2</v>
      </c>
      <c r="C6" s="110">
        <f>SISWA!B7</f>
        <v>0</v>
      </c>
      <c r="D6" s="111" t="str">
        <f>SISWA!E7</f>
        <v>Anak 2</v>
      </c>
      <c r="E6" s="613">
        <v>87</v>
      </c>
      <c r="F6" s="613">
        <v>88</v>
      </c>
      <c r="G6" s="613">
        <v>98</v>
      </c>
      <c r="H6" s="730"/>
      <c r="I6" s="730"/>
      <c r="J6" s="730"/>
      <c r="K6" s="732"/>
      <c r="L6" s="732"/>
      <c r="M6" s="732"/>
      <c r="N6" s="730"/>
      <c r="O6" s="730"/>
      <c r="P6" s="730"/>
      <c r="Q6" s="610"/>
      <c r="R6" s="613">
        <v>87</v>
      </c>
      <c r="S6" s="613">
        <v>88</v>
      </c>
      <c r="T6" s="631"/>
      <c r="U6" s="631"/>
      <c r="V6" s="631"/>
      <c r="W6" s="631"/>
      <c r="X6" s="610"/>
      <c r="Y6" s="613">
        <v>87</v>
      </c>
      <c r="Z6" s="613">
        <v>88</v>
      </c>
      <c r="AA6" s="613">
        <v>98</v>
      </c>
      <c r="AB6" s="609"/>
      <c r="AC6" s="609"/>
      <c r="AD6" s="609"/>
      <c r="AE6" s="518"/>
      <c r="AF6" s="607">
        <f t="shared" ref="AF6:AF54" si="13">IFERROR(AVERAGE(E6,E6,R6,Y6),"")</f>
        <v>87</v>
      </c>
      <c r="AG6" s="607">
        <f t="shared" ref="AG6:AG54" si="14">IFERROR(AVERAGE(F6,F6,S6,Z6),"")</f>
        <v>88</v>
      </c>
      <c r="AH6" s="607">
        <f t="shared" ref="AH6:AH54" si="15">IFERROR(AVERAGE(G6,G6,T6,AA6),"")</f>
        <v>98</v>
      </c>
      <c r="AI6" s="607" t="str">
        <f>IFERROR(((2*#REF!)+#REF!)/3,"")</f>
        <v/>
      </c>
      <c r="AJ6" s="529"/>
      <c r="AK6" s="528"/>
      <c r="AL6" s="528"/>
      <c r="AM6" s="528"/>
      <c r="AN6" s="302">
        <f t="shared" si="7"/>
        <v>91</v>
      </c>
      <c r="AO6" s="303" t="str">
        <f>IF(AN6&gt;KKM!$G$10,"A",IF(AN6&gt;KKM!$H$10,"B",IF(AN6&gt;=KKM!$I$10,"C","D")))</f>
        <v>A</v>
      </c>
      <c r="AP6" s="523">
        <f t="shared" si="8"/>
        <v>98</v>
      </c>
      <c r="AQ6" s="115" t="str">
        <f>IF(AP6&gt;KKM!$G$10," sangat baik ",IF(AP6&gt;KKM!$H$10," baik ",IF(AP6&gt;=KKM!$I$10," cukup baik "," perlu bimbingan ")))</f>
        <v xml:space="preserve"> sangat baik </v>
      </c>
      <c r="AR6" s="524">
        <f t="shared" si="9"/>
        <v>87</v>
      </c>
      <c r="AS6" s="115" t="str">
        <f>IF(AR6&gt;KKM!$G$10," sangat baik ",IF(AR6&gt;KKM!$H$10," baik ",IF(AR6&gt;=KKM!$I$10," cukup baik "," perlu bimbingan ")))</f>
        <v xml:space="preserve"> baik </v>
      </c>
      <c r="AT6" s="301" t="str">
        <f t="shared" ref="AT6:AT54" si="16">IFERROR(BA6," ")</f>
        <v>Anak 2 sangat baik  dalam mengidentifikasi kegiatan ekonomi dan hubungannya dengan berbagai bidang pekerjaan serta kehidupan sosial dan budaya di lingkungan sekitar sampai provinsi., dan  baik  dalam mengidentifikasi karakteristik ruang dan pemanfaatan sumberdaya alam untuk kesejahteraan masyarakat dari tingkatkota/kabupaten sampai tingkat provinsi.</v>
      </c>
      <c r="AU6" s="306"/>
      <c r="AV6" s="307" t="str">
        <f t="shared" si="10"/>
        <v xml:space="preserve"> sangat baik  dalam mengidentifikasi kegiatan ekonomi dan hubungannya dengan berbagai bidang pekerjaan serta kehidupan sosial dan budaya di lingkungan sekitar sampai provinsi.</v>
      </c>
      <c r="AW6" s="307" t="str">
        <f t="shared" si="11"/>
        <v xml:space="preserve"> baik  dalam mengidentifikasi karakteristik ruang dan pemanfaatan sumberdaya alam untuk kesejahteraan masyarakat dari tingkatkota/kabupaten sampai tingkat provinsi.</v>
      </c>
      <c r="AX6" s="307" t="str">
        <f t="shared" ref="AX6:AX54" si="17">AV6&amp;", dan "&amp;AW6</f>
        <v xml:space="preserve"> sangat baik  dalam mengidentifikasi kegiatan ekonomi dan hubungannya dengan berbagai bidang pekerjaan serta kehidupan sosial dan budaya di lingkungan sekitar sampai provinsi., dan  baik  dalam mengidentifikasi karakteristik ruang dan pemanfaatan sumberdaya alam untuk kesejahteraan masyarakat dari tingkatkota/kabupaten sampai tingkat provinsi.</v>
      </c>
      <c r="AY6" s="307" t="str">
        <f t="shared" ref="AY6:AY54" si="18">IF(AV6=AW6,AV6," ")</f>
        <v xml:space="preserve"> </v>
      </c>
      <c r="AZ6" s="308" t="str">
        <f t="shared" ref="AZ6:AZ54" si="19">IF(AY6=" ",AX6,AY6)</f>
        <v xml:space="preserve"> sangat baik  dalam mengidentifikasi kegiatan ekonomi dan hubungannya dengan berbagai bidang pekerjaan serta kehidupan sosial dan budaya di lingkungan sekitar sampai provinsi., dan  baik  dalam mengidentifikasi karakteristik ruang dan pemanfaatan sumberdaya alam untuk kesejahteraan masyarakat dari tingkatkota/kabupaten sampai tingkat provinsi.</v>
      </c>
      <c r="BA6" s="301" t="str">
        <f t="shared" si="12"/>
        <v>Anak 2 sangat baik  dalam mengidentifikasi kegiatan ekonomi dan hubungannya dengan berbagai bidang pekerjaan serta kehidupan sosial dan budaya di lingkungan sekitar sampai provinsi., dan  baik  dalam mengidentifikasi karakteristik ruang dan pemanfaatan sumberdaya alam untuk kesejahteraan masyarakat dari tingkatkota/kabupaten sampai tingkat provinsi.</v>
      </c>
      <c r="BB6" s="120"/>
      <c r="BJ6" s="408">
        <f t="shared" ref="BJ6:BJ54" si="20">IFERROR(AN6,"")</f>
        <v>91</v>
      </c>
      <c r="BK6" s="442">
        <f>IFERROR(BK3/BK2,"0%")</f>
        <v>1</v>
      </c>
      <c r="BL6" s="442"/>
      <c r="BM6" s="302">
        <f t="shared" ref="BM6:BM54" si="21">ROUND((AVERAGE(R6:W6)),0)</f>
        <v>88</v>
      </c>
      <c r="BN6" s="303" t="str">
        <f>IF(BM6&gt;KKM!$G$10,"A",IF(BM6&gt;KKM!$H$10,"B",IF(BM6&gt;=KKM!$I$10,"C","D")))</f>
        <v>B</v>
      </c>
      <c r="BO6" s="523">
        <f t="shared" ref="BO6:BO54" si="22">MAX(R6:W6)</f>
        <v>88</v>
      </c>
      <c r="BP6" s="115" t="str">
        <f>IF(BO6&gt;KKM!$G$10," sangat baik ",IF(BO6&gt;KKM!$H$10," baik ",IF(BO6&gt;=KKM!$I$10," cukup baik "," perlu bimbingan ")))</f>
        <v xml:space="preserve"> baik </v>
      </c>
      <c r="BQ6" s="524">
        <f t="shared" ref="BQ6:BQ54" si="23">MIN(R6:W6)</f>
        <v>87</v>
      </c>
      <c r="BR6" s="115" t="str">
        <f>IF(BQ6&gt;KKM!$G$10," sangat baik ",IF(BQ6&gt;KKM!$H$10," baik ",IF(BQ6&gt;=KKM!$I$10," cukup baik "," perlu bimbingan ")))</f>
        <v xml:space="preserve"> baik </v>
      </c>
      <c r="BS6" s="301" t="str">
        <f>IFERROR(BY6," ")</f>
        <v>Anak 2 baik  dalam mengidentifikasi keragaman sosial, ekonomi, budaya, etnis, dan agama di provinsi setempat sebagai identitas bangsa Indonesia serta hubungannya dengan karakteristik ruang., dan  baik  dalam mengidentifikasi karakteristik ruang dan pemanfaatan sumberdaya alam untuk kesejahteraan masyarakat dari tingkatkota/kabupaten sampai tingkat provinsi.</v>
      </c>
      <c r="BT6" s="307" t="str">
        <f t="shared" ref="BT6:BT54" si="24">BP6&amp;" dalam "&amp;INDEX($AF$3:$AL$3,MATCH(BO6,$R6:$W6,0))</f>
        <v xml:space="preserve"> baik  dalam mengidentifikasi keragaman sosial, ekonomi, budaya, etnis, dan agama di provinsi setempat sebagai identitas bangsa Indonesia serta hubungannya dengan karakteristik ruang.</v>
      </c>
      <c r="BU6" s="307" t="str">
        <f t="shared" ref="BU6:BU54" si="25">BR6&amp;" dalam "&amp;INDEX($AF$3:$AL$3,MATCH(BQ6,$R6:$W6,0))</f>
        <v xml:space="preserve"> baik  dalam mengidentifikasi karakteristik ruang dan pemanfaatan sumberdaya alam untuk kesejahteraan masyarakat dari tingkatkota/kabupaten sampai tingkat provinsi.</v>
      </c>
      <c r="BV6" s="307" t="str">
        <f t="shared" ref="BV6:BV54" si="26">BT6&amp;", dan "&amp;BU6</f>
        <v xml:space="preserve"> baik  dalam mengidentifikasi keragaman sosial, ekonomi, budaya, etnis, dan agama di provinsi setempat sebagai identitas bangsa Indonesia serta hubungannya dengan karakteristik ruang., dan  baik  dalam mengidentifikasi karakteristik ruang dan pemanfaatan sumberdaya alam untuk kesejahteraan masyarakat dari tingkatkota/kabupaten sampai tingkat provinsi.</v>
      </c>
      <c r="BW6" s="307" t="str">
        <f t="shared" ref="BW6:BW54" si="27">IF(BT6=BU6,BT6," ")</f>
        <v xml:space="preserve"> </v>
      </c>
      <c r="BX6" s="308" t="str">
        <f t="shared" ref="BX6:BX54" si="28">IF(BW6=" ",BV6,BW6)</f>
        <v xml:space="preserve"> baik  dalam mengidentifikasi keragaman sosial, ekonomi, budaya, etnis, dan agama di provinsi setempat sebagai identitas bangsa Indonesia serta hubungannya dengan karakteristik ruang., dan  baik  dalam mengidentifikasi karakteristik ruang dan pemanfaatan sumberdaya alam untuk kesejahteraan masyarakat dari tingkatkota/kabupaten sampai tingkat provinsi.</v>
      </c>
      <c r="BY6" s="301" t="str">
        <f t="shared" ref="BY6:BY54" si="29">CONCATENATE(D6,BX6)</f>
        <v>Anak 2 baik  dalam mengidentifikasi keragaman sosial, ekonomi, budaya, etnis, dan agama di provinsi setempat sebagai identitas bangsa Indonesia serta hubungannya dengan karakteristik ruang., dan  baik  dalam mengidentifikasi karakteristik ruang dan pemanfaatan sumberdaya alam untuk kesejahteraan masyarakat dari tingkatkota/kabupaten sampai tingkat provinsi.</v>
      </c>
      <c r="BZ6" s="442"/>
    </row>
    <row r="7" spans="1:78" ht="38.25" customHeight="1">
      <c r="B7" s="109">
        <v>3</v>
      </c>
      <c r="C7" s="110">
        <f>SISWA!B8</f>
        <v>0</v>
      </c>
      <c r="D7" s="111" t="str">
        <f>SISWA!E8</f>
        <v>Anak 3</v>
      </c>
      <c r="E7" s="631">
        <v>99</v>
      </c>
      <c r="F7" s="631">
        <v>99</v>
      </c>
      <c r="G7" s="631">
        <v>99</v>
      </c>
      <c r="H7" s="730"/>
      <c r="I7" s="730"/>
      <c r="J7" s="730"/>
      <c r="K7" s="732"/>
      <c r="L7" s="732"/>
      <c r="M7" s="732"/>
      <c r="N7" s="730"/>
      <c r="O7" s="730"/>
      <c r="P7" s="730"/>
      <c r="Q7" s="610"/>
      <c r="R7" s="631">
        <v>99</v>
      </c>
      <c r="S7" s="631">
        <v>99</v>
      </c>
      <c r="T7" s="631"/>
      <c r="U7" s="631"/>
      <c r="V7" s="631"/>
      <c r="W7" s="631"/>
      <c r="X7" s="610"/>
      <c r="Y7" s="631">
        <v>99</v>
      </c>
      <c r="Z7" s="631">
        <v>99</v>
      </c>
      <c r="AA7" s="631">
        <v>99</v>
      </c>
      <c r="AB7" s="609"/>
      <c r="AC7" s="609"/>
      <c r="AD7" s="609"/>
      <c r="AE7" s="518"/>
      <c r="AF7" s="607">
        <f t="shared" si="13"/>
        <v>99</v>
      </c>
      <c r="AG7" s="607">
        <f t="shared" si="14"/>
        <v>99</v>
      </c>
      <c r="AH7" s="607">
        <f t="shared" si="15"/>
        <v>99</v>
      </c>
      <c r="AI7" s="607" t="str">
        <f>IFERROR(((2*#REF!)+#REF!)/3,"")</f>
        <v/>
      </c>
      <c r="AJ7" s="529"/>
      <c r="AK7" s="528"/>
      <c r="AL7" s="528"/>
      <c r="AM7" s="528"/>
      <c r="AN7" s="302">
        <f t="shared" si="7"/>
        <v>99</v>
      </c>
      <c r="AO7" s="303" t="str">
        <f>IF(AN7&gt;KKM!$G$10,"A",IF(AN7&gt;KKM!$H$10,"B",IF(AN7&gt;=KKM!$I$10,"C","D")))</f>
        <v>A</v>
      </c>
      <c r="AP7" s="523">
        <f t="shared" si="8"/>
        <v>99</v>
      </c>
      <c r="AQ7" s="115" t="str">
        <f>IF(AP7&gt;KKM!$G$10," sangat baik ",IF(AP7&gt;KKM!$H$10," baik ",IF(AP7&gt;=KKM!$I$10," cukup baik "," perlu bimbingan ")))</f>
        <v xml:space="preserve"> sangat baik </v>
      </c>
      <c r="AR7" s="524">
        <f t="shared" si="9"/>
        <v>99</v>
      </c>
      <c r="AS7" s="115" t="str">
        <f>IF(AR7&gt;KKM!$G$10," sangat baik ",IF(AR7&gt;KKM!$H$10," baik ",IF(AR7&gt;=KKM!$I$10," cukup baik "," perlu bimbingan ")))</f>
        <v xml:space="preserve"> sangat baik </v>
      </c>
      <c r="AT7" s="301" t="str">
        <f t="shared" si="16"/>
        <v>Anak 3 sangat baik  dalam mengidentifikasi karakteristik ruang dan pemanfaatan sumberdaya alam untuk kesejahteraan masyarakat dari tingkatkota/kabupaten sampai tingkat provinsi.</v>
      </c>
      <c r="AU7" s="306"/>
      <c r="AV7" s="307" t="str">
        <f t="shared" si="10"/>
        <v xml:space="preserve"> sangat baik  dalam mengidentifikasi karakteristik ruang dan pemanfaatan sumberdaya alam untuk kesejahteraan masyarakat dari tingkatkota/kabupaten sampai tingkat provinsi.</v>
      </c>
      <c r="AW7" s="307" t="str">
        <f t="shared" si="11"/>
        <v xml:space="preserve"> sangat baik  dalam mengidentifikasi karakteristik ruang dan pemanfaatan sumberdaya alam untuk kesejahteraan masyarakat dari tingkatkota/kabupaten sampai tingkat provinsi.</v>
      </c>
      <c r="AX7"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7" s="307" t="str">
        <f t="shared" si="18"/>
        <v xml:space="preserve"> sangat baik  dalam mengidentifikasi karakteristik ruang dan pemanfaatan sumberdaya alam untuk kesejahteraan masyarakat dari tingkatkota/kabupaten sampai tingkat provinsi.</v>
      </c>
      <c r="AZ7" s="308" t="str">
        <f t="shared" si="19"/>
        <v xml:space="preserve"> sangat baik  dalam mengidentifikasi karakteristik ruang dan pemanfaatan sumberdaya alam untuk kesejahteraan masyarakat dari tingkatkota/kabupaten sampai tingkat provinsi.</v>
      </c>
      <c r="BA7" s="301" t="str">
        <f t="shared" si="12"/>
        <v>Anak 3 sangat baik  dalam mengidentifikasi karakteristik ruang dan pemanfaatan sumberdaya alam untuk kesejahteraan masyarakat dari tingkatkota/kabupaten sampai tingkat provinsi.</v>
      </c>
      <c r="BB7" s="120"/>
      <c r="BJ7" s="408">
        <f t="shared" si="20"/>
        <v>99</v>
      </c>
      <c r="BM7" s="302">
        <f t="shared" si="21"/>
        <v>99</v>
      </c>
      <c r="BN7" s="303" t="str">
        <f>IF(BM7&gt;KKM!$G$10,"A",IF(BM7&gt;KKM!$H$10,"B",IF(BM7&gt;=KKM!$I$10,"C","D")))</f>
        <v>A</v>
      </c>
      <c r="BO7" s="523">
        <f t="shared" si="22"/>
        <v>99</v>
      </c>
      <c r="BP7" s="115" t="str">
        <f>IF(BO7&gt;KKM!$G$10," sangat baik ",IF(BO7&gt;KKM!$H$10," baik ",IF(BO7&gt;=KKM!$I$10," cukup baik "," perlu bimbingan ")))</f>
        <v xml:space="preserve"> sangat baik </v>
      </c>
      <c r="BQ7" s="524">
        <f t="shared" si="23"/>
        <v>99</v>
      </c>
      <c r="BR7" s="115" t="str">
        <f>IF(BQ7&gt;KKM!$G$10," sangat baik ",IF(BQ7&gt;KKM!$H$10," baik ",IF(BQ7&gt;=KKM!$I$10," cukup baik "," perlu bimbingan ")))</f>
        <v xml:space="preserve"> sangat baik </v>
      </c>
      <c r="BS7" s="301" t="str">
        <f t="shared" ref="BS7:BS54" si="30">IFERROR(BY7," ")</f>
        <v>Anak 3 sangat baik  dalam mengidentifikasi karakteristik ruang dan pemanfaatan sumberdaya alam untuk kesejahteraan masyarakat dari tingkatkota/kabupaten sampai tingkat provinsi.</v>
      </c>
      <c r="BT7" s="307" t="str">
        <f t="shared" si="24"/>
        <v xml:space="preserve"> sangat baik  dalam mengidentifikasi karakteristik ruang dan pemanfaatan sumberdaya alam untuk kesejahteraan masyarakat dari tingkatkota/kabupaten sampai tingkat provinsi.</v>
      </c>
      <c r="BU7" s="307" t="str">
        <f t="shared" si="25"/>
        <v xml:space="preserve"> sangat baik  dalam mengidentifikasi karakteristik ruang dan pemanfaatan sumberdaya alam untuk kesejahteraan masyarakat dari tingkatkota/kabupaten sampai tingkat provinsi.</v>
      </c>
      <c r="BV7"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7" s="307" t="str">
        <f t="shared" si="27"/>
        <v xml:space="preserve"> sangat baik  dalam mengidentifikasi karakteristik ruang dan pemanfaatan sumberdaya alam untuk kesejahteraan masyarakat dari tingkatkota/kabupaten sampai tingkat provinsi.</v>
      </c>
      <c r="BX7" s="308" t="str">
        <f t="shared" si="28"/>
        <v xml:space="preserve"> sangat baik  dalam mengidentifikasi karakteristik ruang dan pemanfaatan sumberdaya alam untuk kesejahteraan masyarakat dari tingkatkota/kabupaten sampai tingkat provinsi.</v>
      </c>
      <c r="BY7" s="301" t="str">
        <f t="shared" si="29"/>
        <v>Anak 3 sangat baik  dalam mengidentifikasi karakteristik ruang dan pemanfaatan sumberdaya alam untuk kesejahteraan masyarakat dari tingkatkota/kabupaten sampai tingkat provinsi.</v>
      </c>
    </row>
    <row r="8" spans="1:78" ht="38.25" customHeight="1">
      <c r="B8" s="109">
        <v>4</v>
      </c>
      <c r="C8" s="110">
        <f>SISWA!B9</f>
        <v>0</v>
      </c>
      <c r="D8" s="111" t="str">
        <f>SISWA!E9</f>
        <v>Anak 4</v>
      </c>
      <c r="E8" s="631">
        <v>99</v>
      </c>
      <c r="F8" s="631">
        <v>99</v>
      </c>
      <c r="G8" s="631">
        <v>99</v>
      </c>
      <c r="H8" s="730"/>
      <c r="I8" s="730"/>
      <c r="J8" s="730"/>
      <c r="K8" s="732"/>
      <c r="L8" s="732"/>
      <c r="M8" s="732"/>
      <c r="N8" s="730"/>
      <c r="O8" s="730"/>
      <c r="P8" s="730"/>
      <c r="Q8" s="610"/>
      <c r="R8" s="631">
        <v>99</v>
      </c>
      <c r="S8" s="631">
        <v>99</v>
      </c>
      <c r="T8" s="631"/>
      <c r="U8" s="631"/>
      <c r="V8" s="631"/>
      <c r="W8" s="631"/>
      <c r="X8" s="610"/>
      <c r="Y8" s="631">
        <v>99</v>
      </c>
      <c r="Z8" s="631">
        <v>99</v>
      </c>
      <c r="AA8" s="631">
        <v>99</v>
      </c>
      <c r="AB8" s="609"/>
      <c r="AC8" s="609"/>
      <c r="AD8" s="609"/>
      <c r="AE8" s="518"/>
      <c r="AF8" s="607">
        <f t="shared" si="13"/>
        <v>99</v>
      </c>
      <c r="AG8" s="607">
        <f t="shared" si="14"/>
        <v>99</v>
      </c>
      <c r="AH8" s="607">
        <f t="shared" si="15"/>
        <v>99</v>
      </c>
      <c r="AI8" s="607" t="str">
        <f>IFERROR(((2*#REF!)+#REF!)/3,"")</f>
        <v/>
      </c>
      <c r="AJ8" s="529"/>
      <c r="AK8" s="528"/>
      <c r="AL8" s="528"/>
      <c r="AM8" s="528"/>
      <c r="AN8" s="302">
        <f t="shared" si="7"/>
        <v>99</v>
      </c>
      <c r="AO8" s="303" t="str">
        <f>IF(AN8&gt;KKM!$G$10,"A",IF(AN8&gt;KKM!$H$10,"B",IF(AN8&gt;=KKM!$I$10,"C","D")))</f>
        <v>A</v>
      </c>
      <c r="AP8" s="523">
        <f t="shared" si="8"/>
        <v>99</v>
      </c>
      <c r="AQ8" s="115" t="str">
        <f>IF(AP8&gt;KKM!$G$10," sangat baik ",IF(AP8&gt;KKM!$H$10," baik ",IF(AP8&gt;=KKM!$I$10," cukup baik "," perlu bimbingan ")))</f>
        <v xml:space="preserve"> sangat baik </v>
      </c>
      <c r="AR8" s="524">
        <f t="shared" si="9"/>
        <v>99</v>
      </c>
      <c r="AS8" s="115" t="str">
        <f>IF(AR8&gt;KKM!$G$10," sangat baik ",IF(AR8&gt;KKM!$H$10," baik ",IF(AR8&gt;=KKM!$I$10," cukup baik "," perlu bimbingan ")))</f>
        <v xml:space="preserve"> sangat baik </v>
      </c>
      <c r="AT8" s="301" t="str">
        <f t="shared" si="16"/>
        <v>Anak 4 sangat baik  dalam mengidentifikasi karakteristik ruang dan pemanfaatan sumberdaya alam untuk kesejahteraan masyarakat dari tingkatkota/kabupaten sampai tingkat provinsi.</v>
      </c>
      <c r="AU8" s="306"/>
      <c r="AV8" s="307" t="str">
        <f t="shared" si="10"/>
        <v xml:space="preserve"> sangat baik  dalam mengidentifikasi karakteristik ruang dan pemanfaatan sumberdaya alam untuk kesejahteraan masyarakat dari tingkatkota/kabupaten sampai tingkat provinsi.</v>
      </c>
      <c r="AW8" s="307" t="str">
        <f t="shared" si="11"/>
        <v xml:space="preserve"> sangat baik  dalam mengidentifikasi karakteristik ruang dan pemanfaatan sumberdaya alam untuk kesejahteraan masyarakat dari tingkatkota/kabupaten sampai tingkat provinsi.</v>
      </c>
      <c r="AX8"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8" s="307" t="str">
        <f t="shared" si="18"/>
        <v xml:space="preserve"> sangat baik  dalam mengidentifikasi karakteristik ruang dan pemanfaatan sumberdaya alam untuk kesejahteraan masyarakat dari tingkatkota/kabupaten sampai tingkat provinsi.</v>
      </c>
      <c r="AZ8" s="308" t="str">
        <f t="shared" si="19"/>
        <v xml:space="preserve"> sangat baik  dalam mengidentifikasi karakteristik ruang dan pemanfaatan sumberdaya alam untuk kesejahteraan masyarakat dari tingkatkota/kabupaten sampai tingkat provinsi.</v>
      </c>
      <c r="BA8" s="301" t="str">
        <f t="shared" si="12"/>
        <v>Anak 4 sangat baik  dalam mengidentifikasi karakteristik ruang dan pemanfaatan sumberdaya alam untuk kesejahteraan masyarakat dari tingkatkota/kabupaten sampai tingkat provinsi.</v>
      </c>
      <c r="BB8" s="120"/>
      <c r="BJ8" s="408">
        <f t="shared" si="20"/>
        <v>99</v>
      </c>
      <c r="BM8" s="302">
        <f t="shared" si="21"/>
        <v>99</v>
      </c>
      <c r="BN8" s="303" t="str">
        <f>IF(BM8&gt;KKM!$G$10,"A",IF(BM8&gt;KKM!$H$10,"B",IF(BM8&gt;=KKM!$I$10,"C","D")))</f>
        <v>A</v>
      </c>
      <c r="BO8" s="523">
        <f t="shared" si="22"/>
        <v>99</v>
      </c>
      <c r="BP8" s="115" t="str">
        <f>IF(BO8&gt;KKM!$G$10," sangat baik ",IF(BO8&gt;KKM!$H$10," baik ",IF(BO8&gt;=KKM!$I$10," cukup baik "," perlu bimbingan ")))</f>
        <v xml:space="preserve"> sangat baik </v>
      </c>
      <c r="BQ8" s="524">
        <f t="shared" si="23"/>
        <v>99</v>
      </c>
      <c r="BR8" s="115" t="str">
        <f>IF(BQ8&gt;KKM!$G$10," sangat baik ",IF(BQ8&gt;KKM!$H$10," baik ",IF(BQ8&gt;=KKM!$I$10," cukup baik "," perlu bimbingan ")))</f>
        <v xml:space="preserve"> sangat baik </v>
      </c>
      <c r="BS8" s="301" t="str">
        <f t="shared" si="30"/>
        <v>Anak 4 sangat baik  dalam mengidentifikasi karakteristik ruang dan pemanfaatan sumberdaya alam untuk kesejahteraan masyarakat dari tingkatkota/kabupaten sampai tingkat provinsi.</v>
      </c>
      <c r="BT8" s="307" t="str">
        <f t="shared" si="24"/>
        <v xml:space="preserve"> sangat baik  dalam mengidentifikasi karakteristik ruang dan pemanfaatan sumberdaya alam untuk kesejahteraan masyarakat dari tingkatkota/kabupaten sampai tingkat provinsi.</v>
      </c>
      <c r="BU8" s="307" t="str">
        <f t="shared" si="25"/>
        <v xml:space="preserve"> sangat baik  dalam mengidentifikasi karakteristik ruang dan pemanfaatan sumberdaya alam untuk kesejahteraan masyarakat dari tingkatkota/kabupaten sampai tingkat provinsi.</v>
      </c>
      <c r="BV8"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8" s="307" t="str">
        <f t="shared" si="27"/>
        <v xml:space="preserve"> sangat baik  dalam mengidentifikasi karakteristik ruang dan pemanfaatan sumberdaya alam untuk kesejahteraan masyarakat dari tingkatkota/kabupaten sampai tingkat provinsi.</v>
      </c>
      <c r="BX8" s="308" t="str">
        <f t="shared" si="28"/>
        <v xml:space="preserve"> sangat baik  dalam mengidentifikasi karakteristik ruang dan pemanfaatan sumberdaya alam untuk kesejahteraan masyarakat dari tingkatkota/kabupaten sampai tingkat provinsi.</v>
      </c>
      <c r="BY8" s="301" t="str">
        <f t="shared" si="29"/>
        <v>Anak 4 sangat baik  dalam mengidentifikasi karakteristik ruang dan pemanfaatan sumberdaya alam untuk kesejahteraan masyarakat dari tingkatkota/kabupaten sampai tingkat provinsi.</v>
      </c>
    </row>
    <row r="9" spans="1:78" ht="38.25" customHeight="1">
      <c r="B9" s="109">
        <v>5</v>
      </c>
      <c r="C9" s="110">
        <f>SISWA!B10</f>
        <v>0</v>
      </c>
      <c r="D9" s="111" t="str">
        <f>SISWA!E10</f>
        <v>Anak 5</v>
      </c>
      <c r="E9" s="631">
        <v>99</v>
      </c>
      <c r="F9" s="631">
        <v>99</v>
      </c>
      <c r="G9" s="631">
        <v>99</v>
      </c>
      <c r="H9" s="730"/>
      <c r="I9" s="730"/>
      <c r="J9" s="730"/>
      <c r="K9" s="732"/>
      <c r="L9" s="732"/>
      <c r="M9" s="732"/>
      <c r="N9" s="730"/>
      <c r="O9" s="730"/>
      <c r="P9" s="730"/>
      <c r="Q9" s="610"/>
      <c r="R9" s="631">
        <v>99</v>
      </c>
      <c r="S9" s="631">
        <v>99</v>
      </c>
      <c r="T9" s="631"/>
      <c r="U9" s="631"/>
      <c r="V9" s="631"/>
      <c r="W9" s="631"/>
      <c r="X9" s="610"/>
      <c r="Y9" s="631">
        <v>99</v>
      </c>
      <c r="Z9" s="631">
        <v>99</v>
      </c>
      <c r="AA9" s="631">
        <v>99</v>
      </c>
      <c r="AB9" s="609"/>
      <c r="AC9" s="609"/>
      <c r="AD9" s="609"/>
      <c r="AE9" s="518"/>
      <c r="AF9" s="607">
        <f t="shared" si="13"/>
        <v>99</v>
      </c>
      <c r="AG9" s="607">
        <f t="shared" si="14"/>
        <v>99</v>
      </c>
      <c r="AH9" s="607">
        <f t="shared" si="15"/>
        <v>99</v>
      </c>
      <c r="AI9" s="607" t="str">
        <f>IFERROR(((2*#REF!)+#REF!)/3,"")</f>
        <v/>
      </c>
      <c r="AJ9" s="529"/>
      <c r="AK9" s="528"/>
      <c r="AL9" s="528"/>
      <c r="AM9" s="528"/>
      <c r="AN9" s="302">
        <f t="shared" si="7"/>
        <v>99</v>
      </c>
      <c r="AO9" s="303" t="str">
        <f>IF(AN9&gt;KKM!$G$10,"A",IF(AN9&gt;KKM!$H$10,"B",IF(AN9&gt;=KKM!$I$10,"C","D")))</f>
        <v>A</v>
      </c>
      <c r="AP9" s="523">
        <f t="shared" si="8"/>
        <v>99</v>
      </c>
      <c r="AQ9" s="115" t="str">
        <f>IF(AP9&gt;KKM!$G$10," sangat baik ",IF(AP9&gt;KKM!$H$10," baik ",IF(AP9&gt;=KKM!$I$10," cukup baik "," perlu bimbingan ")))</f>
        <v xml:space="preserve"> sangat baik </v>
      </c>
      <c r="AR9" s="524">
        <f t="shared" si="9"/>
        <v>99</v>
      </c>
      <c r="AS9" s="115" t="str">
        <f>IF(AR9&gt;KKM!$G$10," sangat baik ",IF(AR9&gt;KKM!$H$10," baik ",IF(AR9&gt;=KKM!$I$10," cukup baik "," perlu bimbingan ")))</f>
        <v xml:space="preserve"> sangat baik </v>
      </c>
      <c r="AT9" s="301" t="str">
        <f t="shared" si="16"/>
        <v>Anak 5 sangat baik  dalam mengidentifikasi karakteristik ruang dan pemanfaatan sumberdaya alam untuk kesejahteraan masyarakat dari tingkatkota/kabupaten sampai tingkat provinsi.</v>
      </c>
      <c r="AU9" s="306"/>
      <c r="AV9" s="307" t="str">
        <f t="shared" si="10"/>
        <v xml:space="preserve"> sangat baik  dalam mengidentifikasi karakteristik ruang dan pemanfaatan sumberdaya alam untuk kesejahteraan masyarakat dari tingkatkota/kabupaten sampai tingkat provinsi.</v>
      </c>
      <c r="AW9" s="307" t="str">
        <f t="shared" si="11"/>
        <v xml:space="preserve"> sangat baik  dalam mengidentifikasi karakteristik ruang dan pemanfaatan sumberdaya alam untuk kesejahteraan masyarakat dari tingkatkota/kabupaten sampai tingkat provinsi.</v>
      </c>
      <c r="AX9"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9" s="307" t="str">
        <f t="shared" si="18"/>
        <v xml:space="preserve"> sangat baik  dalam mengidentifikasi karakteristik ruang dan pemanfaatan sumberdaya alam untuk kesejahteraan masyarakat dari tingkatkota/kabupaten sampai tingkat provinsi.</v>
      </c>
      <c r="AZ9" s="308" t="str">
        <f t="shared" si="19"/>
        <v xml:space="preserve"> sangat baik  dalam mengidentifikasi karakteristik ruang dan pemanfaatan sumberdaya alam untuk kesejahteraan masyarakat dari tingkatkota/kabupaten sampai tingkat provinsi.</v>
      </c>
      <c r="BA9" s="301" t="str">
        <f t="shared" si="12"/>
        <v>Anak 5 sangat baik  dalam mengidentifikasi karakteristik ruang dan pemanfaatan sumberdaya alam untuk kesejahteraan masyarakat dari tingkatkota/kabupaten sampai tingkat provinsi.</v>
      </c>
      <c r="BB9" s="120"/>
      <c r="BJ9" s="408">
        <f t="shared" si="20"/>
        <v>99</v>
      </c>
      <c r="BM9" s="302">
        <f t="shared" si="21"/>
        <v>99</v>
      </c>
      <c r="BN9" s="303" t="str">
        <f>IF(BM9&gt;KKM!$G$10,"A",IF(BM9&gt;KKM!$H$10,"B",IF(BM9&gt;=KKM!$I$10,"C","D")))</f>
        <v>A</v>
      </c>
      <c r="BO9" s="523">
        <f t="shared" si="22"/>
        <v>99</v>
      </c>
      <c r="BP9" s="115" t="str">
        <f>IF(BO9&gt;KKM!$G$10," sangat baik ",IF(BO9&gt;KKM!$H$10," baik ",IF(BO9&gt;=KKM!$I$10," cukup baik "," perlu bimbingan ")))</f>
        <v xml:space="preserve"> sangat baik </v>
      </c>
      <c r="BQ9" s="524">
        <f t="shared" si="23"/>
        <v>99</v>
      </c>
      <c r="BR9" s="115" t="str">
        <f>IF(BQ9&gt;KKM!$G$10," sangat baik ",IF(BQ9&gt;KKM!$H$10," baik ",IF(BQ9&gt;=KKM!$I$10," cukup baik "," perlu bimbingan ")))</f>
        <v xml:space="preserve"> sangat baik </v>
      </c>
      <c r="BS9" s="301" t="str">
        <f t="shared" si="30"/>
        <v>Anak 5 sangat baik  dalam mengidentifikasi karakteristik ruang dan pemanfaatan sumberdaya alam untuk kesejahteraan masyarakat dari tingkatkota/kabupaten sampai tingkat provinsi.</v>
      </c>
      <c r="BT9" s="307" t="str">
        <f t="shared" si="24"/>
        <v xml:space="preserve"> sangat baik  dalam mengidentifikasi karakteristik ruang dan pemanfaatan sumberdaya alam untuk kesejahteraan masyarakat dari tingkatkota/kabupaten sampai tingkat provinsi.</v>
      </c>
      <c r="BU9" s="307" t="str">
        <f t="shared" si="25"/>
        <v xml:space="preserve"> sangat baik  dalam mengidentifikasi karakteristik ruang dan pemanfaatan sumberdaya alam untuk kesejahteraan masyarakat dari tingkatkota/kabupaten sampai tingkat provinsi.</v>
      </c>
      <c r="BV9"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9" s="307" t="str">
        <f t="shared" si="27"/>
        <v xml:space="preserve"> sangat baik  dalam mengidentifikasi karakteristik ruang dan pemanfaatan sumberdaya alam untuk kesejahteraan masyarakat dari tingkatkota/kabupaten sampai tingkat provinsi.</v>
      </c>
      <c r="BX9" s="308" t="str">
        <f t="shared" si="28"/>
        <v xml:space="preserve"> sangat baik  dalam mengidentifikasi karakteristik ruang dan pemanfaatan sumberdaya alam untuk kesejahteraan masyarakat dari tingkatkota/kabupaten sampai tingkat provinsi.</v>
      </c>
      <c r="BY9" s="301" t="str">
        <f t="shared" si="29"/>
        <v>Anak 5 sangat baik  dalam mengidentifikasi karakteristik ruang dan pemanfaatan sumberdaya alam untuk kesejahteraan masyarakat dari tingkatkota/kabupaten sampai tingkat provinsi.</v>
      </c>
    </row>
    <row r="10" spans="1:78" ht="38.25" customHeight="1">
      <c r="B10" s="109">
        <v>6</v>
      </c>
      <c r="C10" s="110">
        <f>SISWA!B11</f>
        <v>0</v>
      </c>
      <c r="D10" s="111" t="str">
        <f>SISWA!E11</f>
        <v>Anak 6</v>
      </c>
      <c r="E10" s="631">
        <v>99</v>
      </c>
      <c r="F10" s="631">
        <v>99</v>
      </c>
      <c r="G10" s="631">
        <v>99</v>
      </c>
      <c r="H10" s="730"/>
      <c r="I10" s="730"/>
      <c r="J10" s="730"/>
      <c r="K10" s="732"/>
      <c r="L10" s="732"/>
      <c r="M10" s="732"/>
      <c r="N10" s="730"/>
      <c r="O10" s="730"/>
      <c r="P10" s="730"/>
      <c r="Q10" s="610"/>
      <c r="R10" s="631">
        <v>99</v>
      </c>
      <c r="S10" s="631">
        <v>99</v>
      </c>
      <c r="T10" s="631"/>
      <c r="U10" s="631"/>
      <c r="V10" s="631"/>
      <c r="W10" s="631"/>
      <c r="X10" s="610"/>
      <c r="Y10" s="631">
        <v>99</v>
      </c>
      <c r="Z10" s="631">
        <v>99</v>
      </c>
      <c r="AA10" s="631">
        <v>99</v>
      </c>
      <c r="AB10" s="609"/>
      <c r="AC10" s="609"/>
      <c r="AD10" s="609"/>
      <c r="AE10" s="518"/>
      <c r="AF10" s="607">
        <f t="shared" si="13"/>
        <v>99</v>
      </c>
      <c r="AG10" s="607">
        <f t="shared" si="14"/>
        <v>99</v>
      </c>
      <c r="AH10" s="607">
        <f t="shared" si="15"/>
        <v>99</v>
      </c>
      <c r="AI10" s="607" t="str">
        <f>IFERROR(((2*#REF!)+#REF!)/3,"")</f>
        <v/>
      </c>
      <c r="AJ10" s="529"/>
      <c r="AK10" s="528"/>
      <c r="AL10" s="528"/>
      <c r="AM10" s="528"/>
      <c r="AN10" s="302">
        <f t="shared" si="7"/>
        <v>99</v>
      </c>
      <c r="AO10" s="303" t="str">
        <f>IF(AN10&gt;KKM!$G$10,"A",IF(AN10&gt;KKM!$H$10,"B",IF(AN10&gt;=KKM!$I$10,"C","D")))</f>
        <v>A</v>
      </c>
      <c r="AP10" s="523">
        <f t="shared" si="8"/>
        <v>99</v>
      </c>
      <c r="AQ10" s="115" t="str">
        <f>IF(AP10&gt;KKM!$G$10," sangat baik ",IF(AP10&gt;KKM!$H$10," baik ",IF(AP10&gt;=KKM!$I$10," cukup baik "," perlu bimbingan ")))</f>
        <v xml:space="preserve"> sangat baik </v>
      </c>
      <c r="AR10" s="524">
        <f t="shared" si="9"/>
        <v>99</v>
      </c>
      <c r="AS10" s="115" t="str">
        <f>IF(AR10&gt;KKM!$G$10," sangat baik ",IF(AR10&gt;KKM!$H$10," baik ",IF(AR10&gt;=KKM!$I$10," cukup baik "," perlu bimbingan ")))</f>
        <v xml:space="preserve"> sangat baik </v>
      </c>
      <c r="AT10" s="301" t="str">
        <f t="shared" si="16"/>
        <v>Anak 6 sangat baik  dalam mengidentifikasi karakteristik ruang dan pemanfaatan sumberdaya alam untuk kesejahteraan masyarakat dari tingkatkota/kabupaten sampai tingkat provinsi.</v>
      </c>
      <c r="AU10" s="306"/>
      <c r="AV10" s="307" t="str">
        <f t="shared" si="10"/>
        <v xml:space="preserve"> sangat baik  dalam mengidentifikasi karakteristik ruang dan pemanfaatan sumberdaya alam untuk kesejahteraan masyarakat dari tingkatkota/kabupaten sampai tingkat provinsi.</v>
      </c>
      <c r="AW10" s="307" t="str">
        <f t="shared" si="11"/>
        <v xml:space="preserve"> sangat baik  dalam mengidentifikasi karakteristik ruang dan pemanfaatan sumberdaya alam untuk kesejahteraan masyarakat dari tingkatkota/kabupaten sampai tingkat provinsi.</v>
      </c>
      <c r="AX10"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0" s="307" t="str">
        <f t="shared" si="18"/>
        <v xml:space="preserve"> sangat baik  dalam mengidentifikasi karakteristik ruang dan pemanfaatan sumberdaya alam untuk kesejahteraan masyarakat dari tingkatkota/kabupaten sampai tingkat provinsi.</v>
      </c>
      <c r="AZ10" s="308" t="str">
        <f t="shared" si="19"/>
        <v xml:space="preserve"> sangat baik  dalam mengidentifikasi karakteristik ruang dan pemanfaatan sumberdaya alam untuk kesejahteraan masyarakat dari tingkatkota/kabupaten sampai tingkat provinsi.</v>
      </c>
      <c r="BA10" s="301" t="str">
        <f t="shared" si="12"/>
        <v>Anak 6 sangat baik  dalam mengidentifikasi karakteristik ruang dan pemanfaatan sumberdaya alam untuk kesejahteraan masyarakat dari tingkatkota/kabupaten sampai tingkat provinsi.</v>
      </c>
      <c r="BB10" s="120"/>
      <c r="BJ10" s="408">
        <f t="shared" si="20"/>
        <v>99</v>
      </c>
      <c r="BM10" s="302">
        <f t="shared" si="21"/>
        <v>99</v>
      </c>
      <c r="BN10" s="303" t="str">
        <f>IF(BM10&gt;KKM!$G$10,"A",IF(BM10&gt;KKM!$H$10,"B",IF(BM10&gt;=KKM!$I$10,"C","D")))</f>
        <v>A</v>
      </c>
      <c r="BO10" s="523">
        <f t="shared" si="22"/>
        <v>99</v>
      </c>
      <c r="BP10" s="115" t="str">
        <f>IF(BO10&gt;KKM!$G$10," sangat baik ",IF(BO10&gt;KKM!$H$10," baik ",IF(BO10&gt;=KKM!$I$10," cukup baik "," perlu bimbingan ")))</f>
        <v xml:space="preserve"> sangat baik </v>
      </c>
      <c r="BQ10" s="524">
        <f t="shared" si="23"/>
        <v>99</v>
      </c>
      <c r="BR10" s="115" t="str">
        <f>IF(BQ10&gt;KKM!$G$10," sangat baik ",IF(BQ10&gt;KKM!$H$10," baik ",IF(BQ10&gt;=KKM!$I$10," cukup baik "," perlu bimbingan ")))</f>
        <v xml:space="preserve"> sangat baik </v>
      </c>
      <c r="BS10" s="301" t="str">
        <f t="shared" si="30"/>
        <v>Anak 6 sangat baik  dalam mengidentifikasi karakteristik ruang dan pemanfaatan sumberdaya alam untuk kesejahteraan masyarakat dari tingkatkota/kabupaten sampai tingkat provinsi.</v>
      </c>
      <c r="BT10" s="307" t="str">
        <f t="shared" si="24"/>
        <v xml:space="preserve"> sangat baik  dalam mengidentifikasi karakteristik ruang dan pemanfaatan sumberdaya alam untuk kesejahteraan masyarakat dari tingkatkota/kabupaten sampai tingkat provinsi.</v>
      </c>
      <c r="BU10" s="307" t="str">
        <f t="shared" si="25"/>
        <v xml:space="preserve"> sangat baik  dalam mengidentifikasi karakteristik ruang dan pemanfaatan sumberdaya alam untuk kesejahteraan masyarakat dari tingkatkota/kabupaten sampai tingkat provinsi.</v>
      </c>
      <c r="BV10"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0" s="307" t="str">
        <f t="shared" si="27"/>
        <v xml:space="preserve"> sangat baik  dalam mengidentifikasi karakteristik ruang dan pemanfaatan sumberdaya alam untuk kesejahteraan masyarakat dari tingkatkota/kabupaten sampai tingkat provinsi.</v>
      </c>
      <c r="BX10" s="308" t="str">
        <f t="shared" si="28"/>
        <v xml:space="preserve"> sangat baik  dalam mengidentifikasi karakteristik ruang dan pemanfaatan sumberdaya alam untuk kesejahteraan masyarakat dari tingkatkota/kabupaten sampai tingkat provinsi.</v>
      </c>
      <c r="BY10" s="301" t="str">
        <f t="shared" si="29"/>
        <v>Anak 6 sangat baik  dalam mengidentifikasi karakteristik ruang dan pemanfaatan sumberdaya alam untuk kesejahteraan masyarakat dari tingkatkota/kabupaten sampai tingkat provinsi.</v>
      </c>
    </row>
    <row r="11" spans="1:78" ht="38.25" customHeight="1">
      <c r="B11" s="109">
        <v>7</v>
      </c>
      <c r="C11" s="110">
        <f>SISWA!B12</f>
        <v>0</v>
      </c>
      <c r="D11" s="111" t="str">
        <f>SISWA!E12</f>
        <v>Anak 7</v>
      </c>
      <c r="E11" s="631">
        <v>99</v>
      </c>
      <c r="F11" s="631">
        <v>99</v>
      </c>
      <c r="G11" s="631">
        <v>99</v>
      </c>
      <c r="H11" s="730"/>
      <c r="I11" s="730"/>
      <c r="J11" s="730"/>
      <c r="K11" s="732"/>
      <c r="L11" s="732"/>
      <c r="M11" s="732"/>
      <c r="N11" s="730"/>
      <c r="O11" s="730"/>
      <c r="P11" s="730"/>
      <c r="Q11" s="610"/>
      <c r="R11" s="631">
        <v>99</v>
      </c>
      <c r="S11" s="631">
        <v>99</v>
      </c>
      <c r="T11" s="631"/>
      <c r="U11" s="631"/>
      <c r="V11" s="631"/>
      <c r="W11" s="631"/>
      <c r="X11" s="610"/>
      <c r="Y11" s="631">
        <v>99</v>
      </c>
      <c r="Z11" s="631">
        <v>99</v>
      </c>
      <c r="AA11" s="631">
        <v>99</v>
      </c>
      <c r="AB11" s="609"/>
      <c r="AC11" s="609"/>
      <c r="AD11" s="609"/>
      <c r="AE11" s="518"/>
      <c r="AF11" s="607">
        <f t="shared" si="13"/>
        <v>99</v>
      </c>
      <c r="AG11" s="607">
        <f t="shared" si="14"/>
        <v>99</v>
      </c>
      <c r="AH11" s="607">
        <f t="shared" si="15"/>
        <v>99</v>
      </c>
      <c r="AI11" s="607" t="str">
        <f>IFERROR(((2*#REF!)+#REF!)/3,"")</f>
        <v/>
      </c>
      <c r="AJ11" s="529"/>
      <c r="AK11" s="528"/>
      <c r="AL11" s="528"/>
      <c r="AM11" s="528"/>
      <c r="AN11" s="302">
        <f t="shared" si="7"/>
        <v>99</v>
      </c>
      <c r="AO11" s="303" t="str">
        <f>IF(AN11&gt;KKM!$G$10,"A",IF(AN11&gt;KKM!$H$10,"B",IF(AN11&gt;=KKM!$I$10,"C","D")))</f>
        <v>A</v>
      </c>
      <c r="AP11" s="523">
        <f t="shared" si="8"/>
        <v>99</v>
      </c>
      <c r="AQ11" s="115" t="str">
        <f>IF(AP11&gt;KKM!$G$10," sangat baik ",IF(AP11&gt;KKM!$H$10," baik ",IF(AP11&gt;=KKM!$I$10," cukup baik "," perlu bimbingan ")))</f>
        <v xml:space="preserve"> sangat baik </v>
      </c>
      <c r="AR11" s="524">
        <f t="shared" si="9"/>
        <v>99</v>
      </c>
      <c r="AS11" s="115" t="str">
        <f>IF(AR11&gt;KKM!$G$10," sangat baik ",IF(AR11&gt;KKM!$H$10," baik ",IF(AR11&gt;=KKM!$I$10," cukup baik "," perlu bimbingan ")))</f>
        <v xml:space="preserve"> sangat baik </v>
      </c>
      <c r="AT11" s="301" t="str">
        <f t="shared" si="16"/>
        <v>Anak 7 sangat baik  dalam mengidentifikasi karakteristik ruang dan pemanfaatan sumberdaya alam untuk kesejahteraan masyarakat dari tingkatkota/kabupaten sampai tingkat provinsi.</v>
      </c>
      <c r="AU11" s="306"/>
      <c r="AV11" s="307" t="str">
        <f t="shared" si="10"/>
        <v xml:space="preserve"> sangat baik  dalam mengidentifikasi karakteristik ruang dan pemanfaatan sumberdaya alam untuk kesejahteraan masyarakat dari tingkatkota/kabupaten sampai tingkat provinsi.</v>
      </c>
      <c r="AW11" s="307" t="str">
        <f t="shared" si="11"/>
        <v xml:space="preserve"> sangat baik  dalam mengidentifikasi karakteristik ruang dan pemanfaatan sumberdaya alam untuk kesejahteraan masyarakat dari tingkatkota/kabupaten sampai tingkat provinsi.</v>
      </c>
      <c r="AX11"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1" s="307" t="str">
        <f t="shared" si="18"/>
        <v xml:space="preserve"> sangat baik  dalam mengidentifikasi karakteristik ruang dan pemanfaatan sumberdaya alam untuk kesejahteraan masyarakat dari tingkatkota/kabupaten sampai tingkat provinsi.</v>
      </c>
      <c r="AZ11" s="308" t="str">
        <f t="shared" si="19"/>
        <v xml:space="preserve"> sangat baik  dalam mengidentifikasi karakteristik ruang dan pemanfaatan sumberdaya alam untuk kesejahteraan masyarakat dari tingkatkota/kabupaten sampai tingkat provinsi.</v>
      </c>
      <c r="BA11" s="301" t="str">
        <f t="shared" si="12"/>
        <v>Anak 7 sangat baik  dalam mengidentifikasi karakteristik ruang dan pemanfaatan sumberdaya alam untuk kesejahteraan masyarakat dari tingkatkota/kabupaten sampai tingkat provinsi.</v>
      </c>
      <c r="BB11" s="120"/>
      <c r="BJ11" s="408">
        <f t="shared" si="20"/>
        <v>99</v>
      </c>
      <c r="BM11" s="302">
        <f t="shared" si="21"/>
        <v>99</v>
      </c>
      <c r="BN11" s="303" t="str">
        <f>IF(BM11&gt;KKM!$G$10,"A",IF(BM11&gt;KKM!$H$10,"B",IF(BM11&gt;=KKM!$I$10,"C","D")))</f>
        <v>A</v>
      </c>
      <c r="BO11" s="523">
        <f t="shared" si="22"/>
        <v>99</v>
      </c>
      <c r="BP11" s="115" t="str">
        <f>IF(BO11&gt;KKM!$G$10," sangat baik ",IF(BO11&gt;KKM!$H$10," baik ",IF(BO11&gt;=KKM!$I$10," cukup baik "," perlu bimbingan ")))</f>
        <v xml:space="preserve"> sangat baik </v>
      </c>
      <c r="BQ11" s="524">
        <f t="shared" si="23"/>
        <v>99</v>
      </c>
      <c r="BR11" s="115" t="str">
        <f>IF(BQ11&gt;KKM!$G$10," sangat baik ",IF(BQ11&gt;KKM!$H$10," baik ",IF(BQ11&gt;=KKM!$I$10," cukup baik "," perlu bimbingan ")))</f>
        <v xml:space="preserve"> sangat baik </v>
      </c>
      <c r="BS11" s="301" t="str">
        <f t="shared" si="30"/>
        <v>Anak 7 sangat baik  dalam mengidentifikasi karakteristik ruang dan pemanfaatan sumberdaya alam untuk kesejahteraan masyarakat dari tingkatkota/kabupaten sampai tingkat provinsi.</v>
      </c>
      <c r="BT11" s="307" t="str">
        <f t="shared" si="24"/>
        <v xml:space="preserve"> sangat baik  dalam mengidentifikasi karakteristik ruang dan pemanfaatan sumberdaya alam untuk kesejahteraan masyarakat dari tingkatkota/kabupaten sampai tingkat provinsi.</v>
      </c>
      <c r="BU11" s="307" t="str">
        <f t="shared" si="25"/>
        <v xml:space="preserve"> sangat baik  dalam mengidentifikasi karakteristik ruang dan pemanfaatan sumberdaya alam untuk kesejahteraan masyarakat dari tingkatkota/kabupaten sampai tingkat provinsi.</v>
      </c>
      <c r="BV11"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1" s="307" t="str">
        <f t="shared" si="27"/>
        <v xml:space="preserve"> sangat baik  dalam mengidentifikasi karakteristik ruang dan pemanfaatan sumberdaya alam untuk kesejahteraan masyarakat dari tingkatkota/kabupaten sampai tingkat provinsi.</v>
      </c>
      <c r="BX11" s="308" t="str">
        <f t="shared" si="28"/>
        <v xml:space="preserve"> sangat baik  dalam mengidentifikasi karakteristik ruang dan pemanfaatan sumberdaya alam untuk kesejahteraan masyarakat dari tingkatkota/kabupaten sampai tingkat provinsi.</v>
      </c>
      <c r="BY11" s="301" t="str">
        <f t="shared" si="29"/>
        <v>Anak 7 sangat baik  dalam mengidentifikasi karakteristik ruang dan pemanfaatan sumberdaya alam untuk kesejahteraan masyarakat dari tingkatkota/kabupaten sampai tingkat provinsi.</v>
      </c>
    </row>
    <row r="12" spans="1:78" ht="38.25" customHeight="1">
      <c r="B12" s="109">
        <v>8</v>
      </c>
      <c r="C12" s="110">
        <f>SISWA!B13</f>
        <v>0</v>
      </c>
      <c r="D12" s="111" t="str">
        <f>SISWA!E13</f>
        <v>Anak 8</v>
      </c>
      <c r="E12" s="631">
        <v>99</v>
      </c>
      <c r="F12" s="631">
        <v>99</v>
      </c>
      <c r="G12" s="631">
        <v>99</v>
      </c>
      <c r="H12" s="730"/>
      <c r="I12" s="730"/>
      <c r="J12" s="730"/>
      <c r="K12" s="732"/>
      <c r="L12" s="732"/>
      <c r="M12" s="732"/>
      <c r="N12" s="730"/>
      <c r="O12" s="730"/>
      <c r="P12" s="730"/>
      <c r="Q12" s="610"/>
      <c r="R12" s="631">
        <v>99</v>
      </c>
      <c r="S12" s="631">
        <v>99</v>
      </c>
      <c r="T12" s="631"/>
      <c r="U12" s="631"/>
      <c r="V12" s="631"/>
      <c r="W12" s="631"/>
      <c r="X12" s="610"/>
      <c r="Y12" s="631">
        <v>99</v>
      </c>
      <c r="Z12" s="631">
        <v>99</v>
      </c>
      <c r="AA12" s="631">
        <v>99</v>
      </c>
      <c r="AB12" s="609"/>
      <c r="AC12" s="609"/>
      <c r="AD12" s="609"/>
      <c r="AE12" s="518"/>
      <c r="AF12" s="607">
        <f t="shared" si="13"/>
        <v>99</v>
      </c>
      <c r="AG12" s="607">
        <f t="shared" si="14"/>
        <v>99</v>
      </c>
      <c r="AH12" s="607">
        <f t="shared" si="15"/>
        <v>99</v>
      </c>
      <c r="AI12" s="607" t="str">
        <f>IFERROR(((2*#REF!)+#REF!)/3,"")</f>
        <v/>
      </c>
      <c r="AJ12" s="529"/>
      <c r="AK12" s="528"/>
      <c r="AL12" s="528"/>
      <c r="AM12" s="528"/>
      <c r="AN12" s="302">
        <f t="shared" si="7"/>
        <v>99</v>
      </c>
      <c r="AO12" s="303" t="str">
        <f>IF(AN12&gt;KKM!$G$10,"A",IF(AN12&gt;KKM!$H$10,"B",IF(AN12&gt;=KKM!$I$10,"C","D")))</f>
        <v>A</v>
      </c>
      <c r="AP12" s="523">
        <f t="shared" si="8"/>
        <v>99</v>
      </c>
      <c r="AQ12" s="115" t="str">
        <f>IF(AP12&gt;KKM!$G$10," sangat baik ",IF(AP12&gt;KKM!$H$10," baik ",IF(AP12&gt;=KKM!$I$10," cukup baik "," perlu bimbingan ")))</f>
        <v xml:space="preserve"> sangat baik </v>
      </c>
      <c r="AR12" s="524">
        <f t="shared" si="9"/>
        <v>99</v>
      </c>
      <c r="AS12" s="115" t="str">
        <f>IF(AR12&gt;KKM!$G$10," sangat baik ",IF(AR12&gt;KKM!$H$10," baik ",IF(AR12&gt;=KKM!$I$10," cukup baik "," perlu bimbingan ")))</f>
        <v xml:space="preserve"> sangat baik </v>
      </c>
      <c r="AT12" s="301" t="str">
        <f t="shared" si="16"/>
        <v>Anak 8 sangat baik  dalam mengidentifikasi karakteristik ruang dan pemanfaatan sumberdaya alam untuk kesejahteraan masyarakat dari tingkatkota/kabupaten sampai tingkat provinsi.</v>
      </c>
      <c r="AU12" s="306"/>
      <c r="AV12" s="307" t="str">
        <f t="shared" si="10"/>
        <v xml:space="preserve"> sangat baik  dalam mengidentifikasi karakteristik ruang dan pemanfaatan sumberdaya alam untuk kesejahteraan masyarakat dari tingkatkota/kabupaten sampai tingkat provinsi.</v>
      </c>
      <c r="AW12" s="307" t="str">
        <f t="shared" si="11"/>
        <v xml:space="preserve"> sangat baik  dalam mengidentifikasi karakteristik ruang dan pemanfaatan sumberdaya alam untuk kesejahteraan masyarakat dari tingkatkota/kabupaten sampai tingkat provinsi.</v>
      </c>
      <c r="AX12"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2" s="307" t="str">
        <f t="shared" si="18"/>
        <v xml:space="preserve"> sangat baik  dalam mengidentifikasi karakteristik ruang dan pemanfaatan sumberdaya alam untuk kesejahteraan masyarakat dari tingkatkota/kabupaten sampai tingkat provinsi.</v>
      </c>
      <c r="AZ12" s="308" t="str">
        <f t="shared" si="19"/>
        <v xml:space="preserve"> sangat baik  dalam mengidentifikasi karakteristik ruang dan pemanfaatan sumberdaya alam untuk kesejahteraan masyarakat dari tingkatkota/kabupaten sampai tingkat provinsi.</v>
      </c>
      <c r="BA12" s="301" t="str">
        <f t="shared" si="12"/>
        <v>Anak 8 sangat baik  dalam mengidentifikasi karakteristik ruang dan pemanfaatan sumberdaya alam untuk kesejahteraan masyarakat dari tingkatkota/kabupaten sampai tingkat provinsi.</v>
      </c>
      <c r="BB12" s="120"/>
      <c r="BJ12" s="408">
        <f t="shared" si="20"/>
        <v>99</v>
      </c>
      <c r="BM12" s="302">
        <f t="shared" si="21"/>
        <v>99</v>
      </c>
      <c r="BN12" s="303" t="str">
        <f>IF(BM12&gt;KKM!$G$10,"A",IF(BM12&gt;KKM!$H$10,"B",IF(BM12&gt;=KKM!$I$10,"C","D")))</f>
        <v>A</v>
      </c>
      <c r="BO12" s="523">
        <f t="shared" si="22"/>
        <v>99</v>
      </c>
      <c r="BP12" s="115" t="str">
        <f>IF(BO12&gt;KKM!$G$10," sangat baik ",IF(BO12&gt;KKM!$H$10," baik ",IF(BO12&gt;=KKM!$I$10," cukup baik "," perlu bimbingan ")))</f>
        <v xml:space="preserve"> sangat baik </v>
      </c>
      <c r="BQ12" s="524">
        <f t="shared" si="23"/>
        <v>99</v>
      </c>
      <c r="BR12" s="115" t="str">
        <f>IF(BQ12&gt;KKM!$G$10," sangat baik ",IF(BQ12&gt;KKM!$H$10," baik ",IF(BQ12&gt;=KKM!$I$10," cukup baik "," perlu bimbingan ")))</f>
        <v xml:space="preserve"> sangat baik </v>
      </c>
      <c r="BS12" s="301" t="str">
        <f t="shared" si="30"/>
        <v>Anak 8 sangat baik  dalam mengidentifikasi karakteristik ruang dan pemanfaatan sumberdaya alam untuk kesejahteraan masyarakat dari tingkatkota/kabupaten sampai tingkat provinsi.</v>
      </c>
      <c r="BT12" s="307" t="str">
        <f t="shared" si="24"/>
        <v xml:space="preserve"> sangat baik  dalam mengidentifikasi karakteristik ruang dan pemanfaatan sumberdaya alam untuk kesejahteraan masyarakat dari tingkatkota/kabupaten sampai tingkat provinsi.</v>
      </c>
      <c r="BU12" s="307" t="str">
        <f t="shared" si="25"/>
        <v xml:space="preserve"> sangat baik  dalam mengidentifikasi karakteristik ruang dan pemanfaatan sumberdaya alam untuk kesejahteraan masyarakat dari tingkatkota/kabupaten sampai tingkat provinsi.</v>
      </c>
      <c r="BV12"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2" s="307" t="str">
        <f t="shared" si="27"/>
        <v xml:space="preserve"> sangat baik  dalam mengidentifikasi karakteristik ruang dan pemanfaatan sumberdaya alam untuk kesejahteraan masyarakat dari tingkatkota/kabupaten sampai tingkat provinsi.</v>
      </c>
      <c r="BX12" s="308" t="str">
        <f t="shared" si="28"/>
        <v xml:space="preserve"> sangat baik  dalam mengidentifikasi karakteristik ruang dan pemanfaatan sumberdaya alam untuk kesejahteraan masyarakat dari tingkatkota/kabupaten sampai tingkat provinsi.</v>
      </c>
      <c r="BY12" s="301" t="str">
        <f t="shared" si="29"/>
        <v>Anak 8 sangat baik  dalam mengidentifikasi karakteristik ruang dan pemanfaatan sumberdaya alam untuk kesejahteraan masyarakat dari tingkatkota/kabupaten sampai tingkat provinsi.</v>
      </c>
    </row>
    <row r="13" spans="1:78" ht="38.25" customHeight="1">
      <c r="B13" s="109">
        <v>9</v>
      </c>
      <c r="C13" s="110">
        <f>SISWA!B14</f>
        <v>0</v>
      </c>
      <c r="D13" s="111" t="str">
        <f>SISWA!E14</f>
        <v>Anak 9</v>
      </c>
      <c r="E13" s="631">
        <v>99</v>
      </c>
      <c r="F13" s="631">
        <v>99</v>
      </c>
      <c r="G13" s="631">
        <v>99</v>
      </c>
      <c r="H13" s="730"/>
      <c r="I13" s="730"/>
      <c r="J13" s="730"/>
      <c r="K13" s="732"/>
      <c r="L13" s="732"/>
      <c r="M13" s="732"/>
      <c r="N13" s="730"/>
      <c r="O13" s="730"/>
      <c r="P13" s="730"/>
      <c r="Q13" s="610"/>
      <c r="R13" s="631">
        <v>99</v>
      </c>
      <c r="S13" s="631">
        <v>99</v>
      </c>
      <c r="T13" s="631"/>
      <c r="U13" s="631"/>
      <c r="V13" s="631"/>
      <c r="W13" s="631"/>
      <c r="X13" s="610"/>
      <c r="Y13" s="631">
        <v>99</v>
      </c>
      <c r="Z13" s="631">
        <v>99</v>
      </c>
      <c r="AA13" s="631">
        <v>99</v>
      </c>
      <c r="AB13" s="609"/>
      <c r="AC13" s="609"/>
      <c r="AD13" s="609"/>
      <c r="AE13" s="518"/>
      <c r="AF13" s="607">
        <f t="shared" si="13"/>
        <v>99</v>
      </c>
      <c r="AG13" s="607">
        <f t="shared" si="14"/>
        <v>99</v>
      </c>
      <c r="AH13" s="607">
        <f t="shared" si="15"/>
        <v>99</v>
      </c>
      <c r="AI13" s="607" t="str">
        <f>IFERROR(((2*#REF!)+#REF!)/3,"")</f>
        <v/>
      </c>
      <c r="AJ13" s="529"/>
      <c r="AK13" s="528"/>
      <c r="AL13" s="528"/>
      <c r="AM13" s="528"/>
      <c r="AN13" s="302">
        <f t="shared" si="7"/>
        <v>99</v>
      </c>
      <c r="AO13" s="303" t="str">
        <f>IF(AN13&gt;KKM!$G$10,"A",IF(AN13&gt;KKM!$H$10,"B",IF(AN13&gt;=KKM!$I$10,"C","D")))</f>
        <v>A</v>
      </c>
      <c r="AP13" s="523">
        <f t="shared" si="8"/>
        <v>99</v>
      </c>
      <c r="AQ13" s="115" t="str">
        <f>IF(AP13&gt;KKM!$G$10," sangat baik ",IF(AP13&gt;KKM!$H$10," baik ",IF(AP13&gt;=KKM!$I$10," cukup baik "," perlu bimbingan ")))</f>
        <v xml:space="preserve"> sangat baik </v>
      </c>
      <c r="AR13" s="524">
        <f t="shared" si="9"/>
        <v>99</v>
      </c>
      <c r="AS13" s="115" t="str">
        <f>IF(AR13&gt;KKM!$G$10," sangat baik ",IF(AR13&gt;KKM!$H$10," baik ",IF(AR13&gt;=KKM!$I$10," cukup baik "," perlu bimbingan ")))</f>
        <v xml:space="preserve"> sangat baik </v>
      </c>
      <c r="AT13" s="301" t="str">
        <f t="shared" si="16"/>
        <v>Anak 9 sangat baik  dalam mengidentifikasi karakteristik ruang dan pemanfaatan sumberdaya alam untuk kesejahteraan masyarakat dari tingkatkota/kabupaten sampai tingkat provinsi.</v>
      </c>
      <c r="AU13" s="306"/>
      <c r="AV13" s="307" t="str">
        <f t="shared" si="10"/>
        <v xml:space="preserve"> sangat baik  dalam mengidentifikasi karakteristik ruang dan pemanfaatan sumberdaya alam untuk kesejahteraan masyarakat dari tingkatkota/kabupaten sampai tingkat provinsi.</v>
      </c>
      <c r="AW13" s="307" t="str">
        <f t="shared" si="11"/>
        <v xml:space="preserve"> sangat baik  dalam mengidentifikasi karakteristik ruang dan pemanfaatan sumberdaya alam untuk kesejahteraan masyarakat dari tingkatkota/kabupaten sampai tingkat provinsi.</v>
      </c>
      <c r="AX13"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3" s="307" t="str">
        <f t="shared" si="18"/>
        <v xml:space="preserve"> sangat baik  dalam mengidentifikasi karakteristik ruang dan pemanfaatan sumberdaya alam untuk kesejahteraan masyarakat dari tingkatkota/kabupaten sampai tingkat provinsi.</v>
      </c>
      <c r="AZ13" s="308" t="str">
        <f t="shared" si="19"/>
        <v xml:space="preserve"> sangat baik  dalam mengidentifikasi karakteristik ruang dan pemanfaatan sumberdaya alam untuk kesejahteraan masyarakat dari tingkatkota/kabupaten sampai tingkat provinsi.</v>
      </c>
      <c r="BA13" s="301" t="str">
        <f t="shared" si="12"/>
        <v>Anak 9 sangat baik  dalam mengidentifikasi karakteristik ruang dan pemanfaatan sumberdaya alam untuk kesejahteraan masyarakat dari tingkatkota/kabupaten sampai tingkat provinsi.</v>
      </c>
      <c r="BB13" s="120"/>
      <c r="BJ13" s="408">
        <f t="shared" si="20"/>
        <v>99</v>
      </c>
      <c r="BM13" s="302">
        <f t="shared" si="21"/>
        <v>99</v>
      </c>
      <c r="BN13" s="303" t="str">
        <f>IF(BM13&gt;KKM!$G$10,"A",IF(BM13&gt;KKM!$H$10,"B",IF(BM13&gt;=KKM!$I$10,"C","D")))</f>
        <v>A</v>
      </c>
      <c r="BO13" s="523">
        <f t="shared" si="22"/>
        <v>99</v>
      </c>
      <c r="BP13" s="115" t="str">
        <f>IF(BO13&gt;KKM!$G$10," sangat baik ",IF(BO13&gt;KKM!$H$10," baik ",IF(BO13&gt;=KKM!$I$10," cukup baik "," perlu bimbingan ")))</f>
        <v xml:space="preserve"> sangat baik </v>
      </c>
      <c r="BQ13" s="524">
        <f t="shared" si="23"/>
        <v>99</v>
      </c>
      <c r="BR13" s="115" t="str">
        <f>IF(BQ13&gt;KKM!$G$10," sangat baik ",IF(BQ13&gt;KKM!$H$10," baik ",IF(BQ13&gt;=KKM!$I$10," cukup baik "," perlu bimbingan ")))</f>
        <v xml:space="preserve"> sangat baik </v>
      </c>
      <c r="BS13" s="301" t="str">
        <f t="shared" si="30"/>
        <v>Anak 9 sangat baik  dalam mengidentifikasi karakteristik ruang dan pemanfaatan sumberdaya alam untuk kesejahteraan masyarakat dari tingkatkota/kabupaten sampai tingkat provinsi.</v>
      </c>
      <c r="BT13" s="307" t="str">
        <f t="shared" si="24"/>
        <v xml:space="preserve"> sangat baik  dalam mengidentifikasi karakteristik ruang dan pemanfaatan sumberdaya alam untuk kesejahteraan masyarakat dari tingkatkota/kabupaten sampai tingkat provinsi.</v>
      </c>
      <c r="BU13" s="307" t="str">
        <f t="shared" si="25"/>
        <v xml:space="preserve"> sangat baik  dalam mengidentifikasi karakteristik ruang dan pemanfaatan sumberdaya alam untuk kesejahteraan masyarakat dari tingkatkota/kabupaten sampai tingkat provinsi.</v>
      </c>
      <c r="BV13"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3" s="307" t="str">
        <f t="shared" si="27"/>
        <v xml:space="preserve"> sangat baik  dalam mengidentifikasi karakteristik ruang dan pemanfaatan sumberdaya alam untuk kesejahteraan masyarakat dari tingkatkota/kabupaten sampai tingkat provinsi.</v>
      </c>
      <c r="BX13" s="308" t="str">
        <f t="shared" si="28"/>
        <v xml:space="preserve"> sangat baik  dalam mengidentifikasi karakteristik ruang dan pemanfaatan sumberdaya alam untuk kesejahteraan masyarakat dari tingkatkota/kabupaten sampai tingkat provinsi.</v>
      </c>
      <c r="BY13" s="301" t="str">
        <f t="shared" si="29"/>
        <v>Anak 9 sangat baik  dalam mengidentifikasi karakteristik ruang dan pemanfaatan sumberdaya alam untuk kesejahteraan masyarakat dari tingkatkota/kabupaten sampai tingkat provinsi.</v>
      </c>
    </row>
    <row r="14" spans="1:78" ht="38.25" customHeight="1">
      <c r="B14" s="109">
        <v>10</v>
      </c>
      <c r="C14" s="110">
        <f>SISWA!B15</f>
        <v>0</v>
      </c>
      <c r="D14" s="111" t="str">
        <f>SISWA!E15</f>
        <v>Anak 10</v>
      </c>
      <c r="E14" s="631">
        <v>99</v>
      </c>
      <c r="F14" s="631">
        <v>99</v>
      </c>
      <c r="G14" s="631">
        <v>99</v>
      </c>
      <c r="H14" s="730"/>
      <c r="I14" s="730"/>
      <c r="J14" s="730"/>
      <c r="K14" s="732"/>
      <c r="L14" s="732"/>
      <c r="M14" s="732"/>
      <c r="N14" s="730"/>
      <c r="O14" s="730"/>
      <c r="P14" s="730"/>
      <c r="Q14" s="610"/>
      <c r="R14" s="631">
        <v>99</v>
      </c>
      <c r="S14" s="631">
        <v>99</v>
      </c>
      <c r="T14" s="631"/>
      <c r="U14" s="631"/>
      <c r="V14" s="631"/>
      <c r="W14" s="631"/>
      <c r="X14" s="610"/>
      <c r="Y14" s="631">
        <v>99</v>
      </c>
      <c r="Z14" s="631">
        <v>99</v>
      </c>
      <c r="AA14" s="631">
        <v>99</v>
      </c>
      <c r="AB14" s="609"/>
      <c r="AC14" s="609"/>
      <c r="AD14" s="609"/>
      <c r="AE14" s="518"/>
      <c r="AF14" s="607">
        <f t="shared" si="13"/>
        <v>99</v>
      </c>
      <c r="AG14" s="607">
        <f t="shared" si="14"/>
        <v>99</v>
      </c>
      <c r="AH14" s="607">
        <f t="shared" si="15"/>
        <v>99</v>
      </c>
      <c r="AI14" s="607" t="str">
        <f>IFERROR(((2*#REF!)+#REF!)/3,"")</f>
        <v/>
      </c>
      <c r="AJ14" s="529"/>
      <c r="AK14" s="528"/>
      <c r="AL14" s="528"/>
      <c r="AM14" s="528"/>
      <c r="AN14" s="302">
        <f t="shared" si="7"/>
        <v>99</v>
      </c>
      <c r="AO14" s="303" t="str">
        <f>IF(AN14&gt;KKM!$G$10,"A",IF(AN14&gt;KKM!$H$10,"B",IF(AN14&gt;=KKM!$I$10,"C","D")))</f>
        <v>A</v>
      </c>
      <c r="AP14" s="523">
        <f t="shared" si="8"/>
        <v>99</v>
      </c>
      <c r="AQ14" s="115" t="str">
        <f>IF(AP14&gt;KKM!$G$10," sangat baik ",IF(AP14&gt;KKM!$H$10," baik ",IF(AP14&gt;=KKM!$I$10," cukup baik "," perlu bimbingan ")))</f>
        <v xml:space="preserve"> sangat baik </v>
      </c>
      <c r="AR14" s="524">
        <f t="shared" si="9"/>
        <v>99</v>
      </c>
      <c r="AS14" s="115" t="str">
        <f>IF(AR14&gt;KKM!$G$10," sangat baik ",IF(AR14&gt;KKM!$H$10," baik ",IF(AR14&gt;=KKM!$I$10," cukup baik "," perlu bimbingan ")))</f>
        <v xml:space="preserve"> sangat baik </v>
      </c>
      <c r="AT14" s="301" t="str">
        <f t="shared" si="16"/>
        <v>Anak 10 sangat baik  dalam mengidentifikasi karakteristik ruang dan pemanfaatan sumberdaya alam untuk kesejahteraan masyarakat dari tingkatkota/kabupaten sampai tingkat provinsi.</v>
      </c>
      <c r="AU14" s="306"/>
      <c r="AV14" s="307" t="str">
        <f t="shared" si="10"/>
        <v xml:space="preserve"> sangat baik  dalam mengidentifikasi karakteristik ruang dan pemanfaatan sumberdaya alam untuk kesejahteraan masyarakat dari tingkatkota/kabupaten sampai tingkat provinsi.</v>
      </c>
      <c r="AW14" s="307" t="str">
        <f t="shared" si="11"/>
        <v xml:space="preserve"> sangat baik  dalam mengidentifikasi karakteristik ruang dan pemanfaatan sumberdaya alam untuk kesejahteraan masyarakat dari tingkatkota/kabupaten sampai tingkat provinsi.</v>
      </c>
      <c r="AX14"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4" s="307" t="str">
        <f t="shared" si="18"/>
        <v xml:space="preserve"> sangat baik  dalam mengidentifikasi karakteristik ruang dan pemanfaatan sumberdaya alam untuk kesejahteraan masyarakat dari tingkatkota/kabupaten sampai tingkat provinsi.</v>
      </c>
      <c r="AZ14" s="308" t="str">
        <f t="shared" si="19"/>
        <v xml:space="preserve"> sangat baik  dalam mengidentifikasi karakteristik ruang dan pemanfaatan sumberdaya alam untuk kesejahteraan masyarakat dari tingkatkota/kabupaten sampai tingkat provinsi.</v>
      </c>
      <c r="BA14" s="301" t="str">
        <f t="shared" si="12"/>
        <v>Anak 10 sangat baik  dalam mengidentifikasi karakteristik ruang dan pemanfaatan sumberdaya alam untuk kesejahteraan masyarakat dari tingkatkota/kabupaten sampai tingkat provinsi.</v>
      </c>
      <c r="BB14" s="120"/>
      <c r="BJ14" s="408">
        <f t="shared" si="20"/>
        <v>99</v>
      </c>
      <c r="BM14" s="302">
        <f t="shared" si="21"/>
        <v>99</v>
      </c>
      <c r="BN14" s="303" t="str">
        <f>IF(BM14&gt;KKM!$G$10,"A",IF(BM14&gt;KKM!$H$10,"B",IF(BM14&gt;=KKM!$I$10,"C","D")))</f>
        <v>A</v>
      </c>
      <c r="BO14" s="523">
        <f t="shared" si="22"/>
        <v>99</v>
      </c>
      <c r="BP14" s="115" t="str">
        <f>IF(BO14&gt;KKM!$G$10," sangat baik ",IF(BO14&gt;KKM!$H$10," baik ",IF(BO14&gt;=KKM!$I$10," cukup baik "," perlu bimbingan ")))</f>
        <v xml:space="preserve"> sangat baik </v>
      </c>
      <c r="BQ14" s="524">
        <f t="shared" si="23"/>
        <v>99</v>
      </c>
      <c r="BR14" s="115" t="str">
        <f>IF(BQ14&gt;KKM!$G$10," sangat baik ",IF(BQ14&gt;KKM!$H$10," baik ",IF(BQ14&gt;=KKM!$I$10," cukup baik "," perlu bimbingan ")))</f>
        <v xml:space="preserve"> sangat baik </v>
      </c>
      <c r="BS14" s="301" t="str">
        <f t="shared" si="30"/>
        <v>Anak 10 sangat baik  dalam mengidentifikasi karakteristik ruang dan pemanfaatan sumberdaya alam untuk kesejahteraan masyarakat dari tingkatkota/kabupaten sampai tingkat provinsi.</v>
      </c>
      <c r="BT14" s="307" t="str">
        <f t="shared" si="24"/>
        <v xml:space="preserve"> sangat baik  dalam mengidentifikasi karakteristik ruang dan pemanfaatan sumberdaya alam untuk kesejahteraan masyarakat dari tingkatkota/kabupaten sampai tingkat provinsi.</v>
      </c>
      <c r="BU14" s="307" t="str">
        <f t="shared" si="25"/>
        <v xml:space="preserve"> sangat baik  dalam mengidentifikasi karakteristik ruang dan pemanfaatan sumberdaya alam untuk kesejahteraan masyarakat dari tingkatkota/kabupaten sampai tingkat provinsi.</v>
      </c>
      <c r="BV14"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4" s="307" t="str">
        <f t="shared" si="27"/>
        <v xml:space="preserve"> sangat baik  dalam mengidentifikasi karakteristik ruang dan pemanfaatan sumberdaya alam untuk kesejahteraan masyarakat dari tingkatkota/kabupaten sampai tingkat provinsi.</v>
      </c>
      <c r="BX14" s="308" t="str">
        <f t="shared" si="28"/>
        <v xml:space="preserve"> sangat baik  dalam mengidentifikasi karakteristik ruang dan pemanfaatan sumberdaya alam untuk kesejahteraan masyarakat dari tingkatkota/kabupaten sampai tingkat provinsi.</v>
      </c>
      <c r="BY14" s="301" t="str">
        <f t="shared" si="29"/>
        <v>Anak 10 sangat baik  dalam mengidentifikasi karakteristik ruang dan pemanfaatan sumberdaya alam untuk kesejahteraan masyarakat dari tingkatkota/kabupaten sampai tingkat provinsi.</v>
      </c>
    </row>
    <row r="15" spans="1:78" ht="38.25" customHeight="1">
      <c r="B15" s="109">
        <v>11</v>
      </c>
      <c r="C15" s="110">
        <f>SISWA!B16</f>
        <v>0</v>
      </c>
      <c r="D15" s="111" t="str">
        <f>SISWA!E16</f>
        <v>Anak 11</v>
      </c>
      <c r="E15" s="631">
        <v>99</v>
      </c>
      <c r="F15" s="631">
        <v>99</v>
      </c>
      <c r="G15" s="631">
        <v>99</v>
      </c>
      <c r="H15" s="730"/>
      <c r="I15" s="730"/>
      <c r="J15" s="730"/>
      <c r="K15" s="732"/>
      <c r="L15" s="732"/>
      <c r="M15" s="732"/>
      <c r="N15" s="730"/>
      <c r="O15" s="730"/>
      <c r="P15" s="730"/>
      <c r="Q15" s="610"/>
      <c r="R15" s="631">
        <v>99</v>
      </c>
      <c r="S15" s="631">
        <v>99</v>
      </c>
      <c r="T15" s="631"/>
      <c r="U15" s="631"/>
      <c r="V15" s="631"/>
      <c r="W15" s="631"/>
      <c r="X15" s="610"/>
      <c r="Y15" s="631">
        <v>99</v>
      </c>
      <c r="Z15" s="631">
        <v>99</v>
      </c>
      <c r="AA15" s="631">
        <v>99</v>
      </c>
      <c r="AB15" s="609"/>
      <c r="AC15" s="609"/>
      <c r="AD15" s="609"/>
      <c r="AE15" s="518"/>
      <c r="AF15" s="607">
        <f t="shared" si="13"/>
        <v>99</v>
      </c>
      <c r="AG15" s="607">
        <f t="shared" si="14"/>
        <v>99</v>
      </c>
      <c r="AH15" s="607">
        <f t="shared" si="15"/>
        <v>99</v>
      </c>
      <c r="AI15" s="607" t="str">
        <f>IFERROR(((2*#REF!)+#REF!)/3,"")</f>
        <v/>
      </c>
      <c r="AJ15" s="529"/>
      <c r="AK15" s="528"/>
      <c r="AL15" s="528"/>
      <c r="AM15" s="528"/>
      <c r="AN15" s="302">
        <f t="shared" si="7"/>
        <v>99</v>
      </c>
      <c r="AO15" s="303" t="str">
        <f>IF(AN15&gt;KKM!$G$10,"A",IF(AN15&gt;KKM!$H$10,"B",IF(AN15&gt;=KKM!$I$10,"C","D")))</f>
        <v>A</v>
      </c>
      <c r="AP15" s="523">
        <f t="shared" si="8"/>
        <v>99</v>
      </c>
      <c r="AQ15" s="115" t="str">
        <f>IF(AP15&gt;KKM!$G$10," sangat baik ",IF(AP15&gt;KKM!$H$10," baik ",IF(AP15&gt;=KKM!$I$10," cukup baik "," perlu bimbingan ")))</f>
        <v xml:space="preserve"> sangat baik </v>
      </c>
      <c r="AR15" s="524">
        <f t="shared" si="9"/>
        <v>99</v>
      </c>
      <c r="AS15" s="115" t="str">
        <f>IF(AR15&gt;KKM!$G$10," sangat baik ",IF(AR15&gt;KKM!$H$10," baik ",IF(AR15&gt;=KKM!$I$10," cukup baik "," perlu bimbingan ")))</f>
        <v xml:space="preserve"> sangat baik </v>
      </c>
      <c r="AT15" s="301" t="str">
        <f t="shared" si="16"/>
        <v>Anak 11 sangat baik  dalam mengidentifikasi karakteristik ruang dan pemanfaatan sumberdaya alam untuk kesejahteraan masyarakat dari tingkatkota/kabupaten sampai tingkat provinsi.</v>
      </c>
      <c r="AU15" s="306"/>
      <c r="AV15" s="307" t="str">
        <f t="shared" si="10"/>
        <v xml:space="preserve"> sangat baik  dalam mengidentifikasi karakteristik ruang dan pemanfaatan sumberdaya alam untuk kesejahteraan masyarakat dari tingkatkota/kabupaten sampai tingkat provinsi.</v>
      </c>
      <c r="AW15" s="307" t="str">
        <f t="shared" si="11"/>
        <v xml:space="preserve"> sangat baik  dalam mengidentifikasi karakteristik ruang dan pemanfaatan sumberdaya alam untuk kesejahteraan masyarakat dari tingkatkota/kabupaten sampai tingkat provinsi.</v>
      </c>
      <c r="AX15"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5" s="307" t="str">
        <f t="shared" si="18"/>
        <v xml:space="preserve"> sangat baik  dalam mengidentifikasi karakteristik ruang dan pemanfaatan sumberdaya alam untuk kesejahteraan masyarakat dari tingkatkota/kabupaten sampai tingkat provinsi.</v>
      </c>
      <c r="AZ15" s="308" t="str">
        <f t="shared" si="19"/>
        <v xml:space="preserve"> sangat baik  dalam mengidentifikasi karakteristik ruang dan pemanfaatan sumberdaya alam untuk kesejahteraan masyarakat dari tingkatkota/kabupaten sampai tingkat provinsi.</v>
      </c>
      <c r="BA15" s="301" t="str">
        <f t="shared" si="12"/>
        <v>Anak 11 sangat baik  dalam mengidentifikasi karakteristik ruang dan pemanfaatan sumberdaya alam untuk kesejahteraan masyarakat dari tingkatkota/kabupaten sampai tingkat provinsi.</v>
      </c>
      <c r="BB15" s="120"/>
      <c r="BJ15" s="408">
        <f t="shared" si="20"/>
        <v>99</v>
      </c>
      <c r="BM15" s="302">
        <f t="shared" si="21"/>
        <v>99</v>
      </c>
      <c r="BN15" s="303" t="str">
        <f>IF(BM15&gt;KKM!$G$10,"A",IF(BM15&gt;KKM!$H$10,"B",IF(BM15&gt;=KKM!$I$10,"C","D")))</f>
        <v>A</v>
      </c>
      <c r="BO15" s="523">
        <f t="shared" si="22"/>
        <v>99</v>
      </c>
      <c r="BP15" s="115" t="str">
        <f>IF(BO15&gt;KKM!$G$10," sangat baik ",IF(BO15&gt;KKM!$H$10," baik ",IF(BO15&gt;=KKM!$I$10," cukup baik "," perlu bimbingan ")))</f>
        <v xml:space="preserve"> sangat baik </v>
      </c>
      <c r="BQ15" s="524">
        <f t="shared" si="23"/>
        <v>99</v>
      </c>
      <c r="BR15" s="115" t="str">
        <f>IF(BQ15&gt;KKM!$G$10," sangat baik ",IF(BQ15&gt;KKM!$H$10," baik ",IF(BQ15&gt;=KKM!$I$10," cukup baik "," perlu bimbingan ")))</f>
        <v xml:space="preserve"> sangat baik </v>
      </c>
      <c r="BS15" s="301" t="str">
        <f t="shared" si="30"/>
        <v>Anak 11 sangat baik  dalam mengidentifikasi karakteristik ruang dan pemanfaatan sumberdaya alam untuk kesejahteraan masyarakat dari tingkatkota/kabupaten sampai tingkat provinsi.</v>
      </c>
      <c r="BT15" s="307" t="str">
        <f t="shared" si="24"/>
        <v xml:space="preserve"> sangat baik  dalam mengidentifikasi karakteristik ruang dan pemanfaatan sumberdaya alam untuk kesejahteraan masyarakat dari tingkatkota/kabupaten sampai tingkat provinsi.</v>
      </c>
      <c r="BU15" s="307" t="str">
        <f t="shared" si="25"/>
        <v xml:space="preserve"> sangat baik  dalam mengidentifikasi karakteristik ruang dan pemanfaatan sumberdaya alam untuk kesejahteraan masyarakat dari tingkatkota/kabupaten sampai tingkat provinsi.</v>
      </c>
      <c r="BV15"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5" s="307" t="str">
        <f t="shared" si="27"/>
        <v xml:space="preserve"> sangat baik  dalam mengidentifikasi karakteristik ruang dan pemanfaatan sumberdaya alam untuk kesejahteraan masyarakat dari tingkatkota/kabupaten sampai tingkat provinsi.</v>
      </c>
      <c r="BX15" s="308" t="str">
        <f t="shared" si="28"/>
        <v xml:space="preserve"> sangat baik  dalam mengidentifikasi karakteristik ruang dan pemanfaatan sumberdaya alam untuk kesejahteraan masyarakat dari tingkatkota/kabupaten sampai tingkat provinsi.</v>
      </c>
      <c r="BY15" s="301" t="str">
        <f t="shared" si="29"/>
        <v>Anak 11 sangat baik  dalam mengidentifikasi karakteristik ruang dan pemanfaatan sumberdaya alam untuk kesejahteraan masyarakat dari tingkatkota/kabupaten sampai tingkat provinsi.</v>
      </c>
    </row>
    <row r="16" spans="1:78" ht="38.25" customHeight="1">
      <c r="B16" s="109">
        <v>12</v>
      </c>
      <c r="C16" s="110">
        <f>SISWA!B17</f>
        <v>0</v>
      </c>
      <c r="D16" s="111" t="str">
        <f>SISWA!E17</f>
        <v>Anak 12</v>
      </c>
      <c r="E16" s="631">
        <v>99</v>
      </c>
      <c r="F16" s="631">
        <v>99</v>
      </c>
      <c r="G16" s="631">
        <v>99</v>
      </c>
      <c r="H16" s="730"/>
      <c r="I16" s="730"/>
      <c r="J16" s="730"/>
      <c r="K16" s="732"/>
      <c r="L16" s="732"/>
      <c r="M16" s="732"/>
      <c r="N16" s="730"/>
      <c r="O16" s="730"/>
      <c r="P16" s="730"/>
      <c r="Q16" s="610"/>
      <c r="R16" s="631">
        <v>99</v>
      </c>
      <c r="S16" s="631">
        <v>99</v>
      </c>
      <c r="T16" s="631"/>
      <c r="U16" s="631"/>
      <c r="V16" s="631"/>
      <c r="W16" s="631"/>
      <c r="X16" s="610"/>
      <c r="Y16" s="631">
        <v>99</v>
      </c>
      <c r="Z16" s="631">
        <v>99</v>
      </c>
      <c r="AA16" s="631">
        <v>99</v>
      </c>
      <c r="AB16" s="609"/>
      <c r="AC16" s="609"/>
      <c r="AD16" s="609"/>
      <c r="AE16" s="518"/>
      <c r="AF16" s="607">
        <f t="shared" si="13"/>
        <v>99</v>
      </c>
      <c r="AG16" s="607">
        <f t="shared" si="14"/>
        <v>99</v>
      </c>
      <c r="AH16" s="607">
        <f t="shared" si="15"/>
        <v>99</v>
      </c>
      <c r="AI16" s="607" t="str">
        <f>IFERROR(((2*#REF!)+#REF!)/3,"")</f>
        <v/>
      </c>
      <c r="AJ16" s="529"/>
      <c r="AK16" s="528"/>
      <c r="AL16" s="528"/>
      <c r="AM16" s="528"/>
      <c r="AN16" s="302">
        <f t="shared" si="7"/>
        <v>99</v>
      </c>
      <c r="AO16" s="303" t="str">
        <f>IF(AN16&gt;KKM!$G$10,"A",IF(AN16&gt;KKM!$H$10,"B",IF(AN16&gt;=KKM!$I$10,"C","D")))</f>
        <v>A</v>
      </c>
      <c r="AP16" s="523">
        <f t="shared" si="8"/>
        <v>99</v>
      </c>
      <c r="AQ16" s="115" t="str">
        <f>IF(AP16&gt;KKM!$G$10," sangat baik ",IF(AP16&gt;KKM!$H$10," baik ",IF(AP16&gt;=KKM!$I$10," cukup baik "," perlu bimbingan ")))</f>
        <v xml:space="preserve"> sangat baik </v>
      </c>
      <c r="AR16" s="524">
        <f t="shared" si="9"/>
        <v>99</v>
      </c>
      <c r="AS16" s="115" t="str">
        <f>IF(AR16&gt;KKM!$G$10," sangat baik ",IF(AR16&gt;KKM!$H$10," baik ",IF(AR16&gt;=KKM!$I$10," cukup baik "," perlu bimbingan ")))</f>
        <v xml:space="preserve"> sangat baik </v>
      </c>
      <c r="AT16" s="301" t="str">
        <f t="shared" si="16"/>
        <v>Anak 12 sangat baik  dalam mengidentifikasi karakteristik ruang dan pemanfaatan sumberdaya alam untuk kesejahteraan masyarakat dari tingkatkota/kabupaten sampai tingkat provinsi.</v>
      </c>
      <c r="AU16" s="306"/>
      <c r="AV16" s="307" t="str">
        <f t="shared" si="10"/>
        <v xml:space="preserve"> sangat baik  dalam mengidentifikasi karakteristik ruang dan pemanfaatan sumberdaya alam untuk kesejahteraan masyarakat dari tingkatkota/kabupaten sampai tingkat provinsi.</v>
      </c>
      <c r="AW16" s="307" t="str">
        <f t="shared" si="11"/>
        <v xml:space="preserve"> sangat baik  dalam mengidentifikasi karakteristik ruang dan pemanfaatan sumberdaya alam untuk kesejahteraan masyarakat dari tingkatkota/kabupaten sampai tingkat provinsi.</v>
      </c>
      <c r="AX16"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6" s="307" t="str">
        <f t="shared" si="18"/>
        <v xml:space="preserve"> sangat baik  dalam mengidentifikasi karakteristik ruang dan pemanfaatan sumberdaya alam untuk kesejahteraan masyarakat dari tingkatkota/kabupaten sampai tingkat provinsi.</v>
      </c>
      <c r="AZ16" s="308" t="str">
        <f t="shared" si="19"/>
        <v xml:space="preserve"> sangat baik  dalam mengidentifikasi karakteristik ruang dan pemanfaatan sumberdaya alam untuk kesejahteraan masyarakat dari tingkatkota/kabupaten sampai tingkat provinsi.</v>
      </c>
      <c r="BA16" s="301" t="str">
        <f t="shared" si="12"/>
        <v>Anak 12 sangat baik  dalam mengidentifikasi karakteristik ruang dan pemanfaatan sumberdaya alam untuk kesejahteraan masyarakat dari tingkatkota/kabupaten sampai tingkat provinsi.</v>
      </c>
      <c r="BB16" s="120"/>
      <c r="BJ16" s="408">
        <f t="shared" si="20"/>
        <v>99</v>
      </c>
      <c r="BM16" s="302">
        <f t="shared" si="21"/>
        <v>99</v>
      </c>
      <c r="BN16" s="303" t="str">
        <f>IF(BM16&gt;KKM!$G$10,"A",IF(BM16&gt;KKM!$H$10,"B",IF(BM16&gt;=KKM!$I$10,"C","D")))</f>
        <v>A</v>
      </c>
      <c r="BO16" s="523">
        <f t="shared" si="22"/>
        <v>99</v>
      </c>
      <c r="BP16" s="115" t="str">
        <f>IF(BO16&gt;KKM!$G$10," sangat baik ",IF(BO16&gt;KKM!$H$10," baik ",IF(BO16&gt;=KKM!$I$10," cukup baik "," perlu bimbingan ")))</f>
        <v xml:space="preserve"> sangat baik </v>
      </c>
      <c r="BQ16" s="524">
        <f t="shared" si="23"/>
        <v>99</v>
      </c>
      <c r="BR16" s="115" t="str">
        <f>IF(BQ16&gt;KKM!$G$10," sangat baik ",IF(BQ16&gt;KKM!$H$10," baik ",IF(BQ16&gt;=KKM!$I$10," cukup baik "," perlu bimbingan ")))</f>
        <v xml:space="preserve"> sangat baik </v>
      </c>
      <c r="BS16" s="301" t="str">
        <f t="shared" si="30"/>
        <v>Anak 12 sangat baik  dalam mengidentifikasi karakteristik ruang dan pemanfaatan sumberdaya alam untuk kesejahteraan masyarakat dari tingkatkota/kabupaten sampai tingkat provinsi.</v>
      </c>
      <c r="BT16" s="307" t="str">
        <f t="shared" si="24"/>
        <v xml:space="preserve"> sangat baik  dalam mengidentifikasi karakteristik ruang dan pemanfaatan sumberdaya alam untuk kesejahteraan masyarakat dari tingkatkota/kabupaten sampai tingkat provinsi.</v>
      </c>
      <c r="BU16" s="307" t="str">
        <f t="shared" si="25"/>
        <v xml:space="preserve"> sangat baik  dalam mengidentifikasi karakteristik ruang dan pemanfaatan sumberdaya alam untuk kesejahteraan masyarakat dari tingkatkota/kabupaten sampai tingkat provinsi.</v>
      </c>
      <c r="BV16"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6" s="307" t="str">
        <f t="shared" si="27"/>
        <v xml:space="preserve"> sangat baik  dalam mengidentifikasi karakteristik ruang dan pemanfaatan sumberdaya alam untuk kesejahteraan masyarakat dari tingkatkota/kabupaten sampai tingkat provinsi.</v>
      </c>
      <c r="BX16" s="308" t="str">
        <f t="shared" si="28"/>
        <v xml:space="preserve"> sangat baik  dalam mengidentifikasi karakteristik ruang dan pemanfaatan sumberdaya alam untuk kesejahteraan masyarakat dari tingkatkota/kabupaten sampai tingkat provinsi.</v>
      </c>
      <c r="BY16" s="301" t="str">
        <f t="shared" si="29"/>
        <v>Anak 12 sangat baik  dalam mengidentifikasi karakteristik ruang dan pemanfaatan sumberdaya alam untuk kesejahteraan masyarakat dari tingkatkota/kabupaten sampai tingkat provinsi.</v>
      </c>
    </row>
    <row r="17" spans="2:77" ht="38.25" customHeight="1">
      <c r="B17" s="109">
        <v>13</v>
      </c>
      <c r="C17" s="110">
        <f>SISWA!B18</f>
        <v>0</v>
      </c>
      <c r="D17" s="111" t="str">
        <f>SISWA!E18</f>
        <v>Anak 13</v>
      </c>
      <c r="E17" s="631">
        <v>99</v>
      </c>
      <c r="F17" s="631">
        <v>99</v>
      </c>
      <c r="G17" s="631">
        <v>99</v>
      </c>
      <c r="H17" s="730"/>
      <c r="I17" s="730"/>
      <c r="J17" s="730"/>
      <c r="K17" s="732"/>
      <c r="L17" s="732"/>
      <c r="M17" s="732"/>
      <c r="N17" s="730"/>
      <c r="O17" s="730"/>
      <c r="P17" s="730"/>
      <c r="Q17" s="610"/>
      <c r="R17" s="631">
        <v>99</v>
      </c>
      <c r="S17" s="631">
        <v>99</v>
      </c>
      <c r="T17" s="631"/>
      <c r="U17" s="631"/>
      <c r="V17" s="631"/>
      <c r="W17" s="631"/>
      <c r="X17" s="610"/>
      <c r="Y17" s="631">
        <v>99</v>
      </c>
      <c r="Z17" s="631">
        <v>99</v>
      </c>
      <c r="AA17" s="631">
        <v>99</v>
      </c>
      <c r="AB17" s="609"/>
      <c r="AC17" s="609"/>
      <c r="AD17" s="609"/>
      <c r="AE17" s="518"/>
      <c r="AF17" s="607">
        <f t="shared" si="13"/>
        <v>99</v>
      </c>
      <c r="AG17" s="607">
        <f t="shared" si="14"/>
        <v>99</v>
      </c>
      <c r="AH17" s="607">
        <f t="shared" si="15"/>
        <v>99</v>
      </c>
      <c r="AI17" s="607" t="str">
        <f>IFERROR(((2*#REF!)+#REF!)/3,"")</f>
        <v/>
      </c>
      <c r="AJ17" s="529"/>
      <c r="AK17" s="528"/>
      <c r="AL17" s="528"/>
      <c r="AM17" s="528"/>
      <c r="AN17" s="302">
        <f t="shared" si="7"/>
        <v>99</v>
      </c>
      <c r="AO17" s="303" t="str">
        <f>IF(AN17&gt;KKM!$G$10,"A",IF(AN17&gt;KKM!$H$10,"B",IF(AN17&gt;=KKM!$I$10,"C","D")))</f>
        <v>A</v>
      </c>
      <c r="AP17" s="523">
        <f t="shared" si="8"/>
        <v>99</v>
      </c>
      <c r="AQ17" s="115" t="str">
        <f>IF(AP17&gt;KKM!$G$10," sangat baik ",IF(AP17&gt;KKM!$H$10," baik ",IF(AP17&gt;=KKM!$I$10," cukup baik "," perlu bimbingan ")))</f>
        <v xml:space="preserve"> sangat baik </v>
      </c>
      <c r="AR17" s="524">
        <f t="shared" si="9"/>
        <v>99</v>
      </c>
      <c r="AS17" s="115" t="str">
        <f>IF(AR17&gt;KKM!$G$10," sangat baik ",IF(AR17&gt;KKM!$H$10," baik ",IF(AR17&gt;=KKM!$I$10," cukup baik "," perlu bimbingan ")))</f>
        <v xml:space="preserve"> sangat baik </v>
      </c>
      <c r="AT17" s="301" t="str">
        <f t="shared" si="16"/>
        <v>Anak 13 sangat baik  dalam mengidentifikasi karakteristik ruang dan pemanfaatan sumberdaya alam untuk kesejahteraan masyarakat dari tingkatkota/kabupaten sampai tingkat provinsi.</v>
      </c>
      <c r="AU17" s="306"/>
      <c r="AV17" s="307" t="str">
        <f t="shared" si="10"/>
        <v xml:space="preserve"> sangat baik  dalam mengidentifikasi karakteristik ruang dan pemanfaatan sumberdaya alam untuk kesejahteraan masyarakat dari tingkatkota/kabupaten sampai tingkat provinsi.</v>
      </c>
      <c r="AW17" s="307" t="str">
        <f t="shared" si="11"/>
        <v xml:space="preserve"> sangat baik  dalam mengidentifikasi karakteristik ruang dan pemanfaatan sumberdaya alam untuk kesejahteraan masyarakat dari tingkatkota/kabupaten sampai tingkat provinsi.</v>
      </c>
      <c r="AX17"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7" s="307" t="str">
        <f t="shared" si="18"/>
        <v xml:space="preserve"> sangat baik  dalam mengidentifikasi karakteristik ruang dan pemanfaatan sumberdaya alam untuk kesejahteraan masyarakat dari tingkatkota/kabupaten sampai tingkat provinsi.</v>
      </c>
      <c r="AZ17" s="308" t="str">
        <f t="shared" si="19"/>
        <v xml:space="preserve"> sangat baik  dalam mengidentifikasi karakteristik ruang dan pemanfaatan sumberdaya alam untuk kesejahteraan masyarakat dari tingkatkota/kabupaten sampai tingkat provinsi.</v>
      </c>
      <c r="BA17" s="301" t="str">
        <f t="shared" si="12"/>
        <v>Anak 13 sangat baik  dalam mengidentifikasi karakteristik ruang dan pemanfaatan sumberdaya alam untuk kesejahteraan masyarakat dari tingkatkota/kabupaten sampai tingkat provinsi.</v>
      </c>
      <c r="BB17" s="120"/>
      <c r="BJ17" s="408">
        <f t="shared" si="20"/>
        <v>99</v>
      </c>
      <c r="BM17" s="302">
        <f t="shared" si="21"/>
        <v>99</v>
      </c>
      <c r="BN17" s="303" t="str">
        <f>IF(BM17&gt;KKM!$G$10,"A",IF(BM17&gt;KKM!$H$10,"B",IF(BM17&gt;=KKM!$I$10,"C","D")))</f>
        <v>A</v>
      </c>
      <c r="BO17" s="523">
        <f t="shared" si="22"/>
        <v>99</v>
      </c>
      <c r="BP17" s="115" t="str">
        <f>IF(BO17&gt;KKM!$G$10," sangat baik ",IF(BO17&gt;KKM!$H$10," baik ",IF(BO17&gt;=KKM!$I$10," cukup baik "," perlu bimbingan ")))</f>
        <v xml:space="preserve"> sangat baik </v>
      </c>
      <c r="BQ17" s="524">
        <f t="shared" si="23"/>
        <v>99</v>
      </c>
      <c r="BR17" s="115" t="str">
        <f>IF(BQ17&gt;KKM!$G$10," sangat baik ",IF(BQ17&gt;KKM!$H$10," baik ",IF(BQ17&gt;=KKM!$I$10," cukup baik "," perlu bimbingan ")))</f>
        <v xml:space="preserve"> sangat baik </v>
      </c>
      <c r="BS17" s="301" t="str">
        <f t="shared" si="30"/>
        <v>Anak 13 sangat baik  dalam mengidentifikasi karakteristik ruang dan pemanfaatan sumberdaya alam untuk kesejahteraan masyarakat dari tingkatkota/kabupaten sampai tingkat provinsi.</v>
      </c>
      <c r="BT17" s="307" t="str">
        <f t="shared" si="24"/>
        <v xml:space="preserve"> sangat baik  dalam mengidentifikasi karakteristik ruang dan pemanfaatan sumberdaya alam untuk kesejahteraan masyarakat dari tingkatkota/kabupaten sampai tingkat provinsi.</v>
      </c>
      <c r="BU17" s="307" t="str">
        <f t="shared" si="25"/>
        <v xml:space="preserve"> sangat baik  dalam mengidentifikasi karakteristik ruang dan pemanfaatan sumberdaya alam untuk kesejahteraan masyarakat dari tingkatkota/kabupaten sampai tingkat provinsi.</v>
      </c>
      <c r="BV17"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7" s="307" t="str">
        <f t="shared" si="27"/>
        <v xml:space="preserve"> sangat baik  dalam mengidentifikasi karakteristik ruang dan pemanfaatan sumberdaya alam untuk kesejahteraan masyarakat dari tingkatkota/kabupaten sampai tingkat provinsi.</v>
      </c>
      <c r="BX17" s="308" t="str">
        <f t="shared" si="28"/>
        <v xml:space="preserve"> sangat baik  dalam mengidentifikasi karakteristik ruang dan pemanfaatan sumberdaya alam untuk kesejahteraan masyarakat dari tingkatkota/kabupaten sampai tingkat provinsi.</v>
      </c>
      <c r="BY17" s="301" t="str">
        <f t="shared" si="29"/>
        <v>Anak 13 sangat baik  dalam mengidentifikasi karakteristik ruang dan pemanfaatan sumberdaya alam untuk kesejahteraan masyarakat dari tingkatkota/kabupaten sampai tingkat provinsi.</v>
      </c>
    </row>
    <row r="18" spans="2:77" ht="38.25" customHeight="1">
      <c r="B18" s="109">
        <v>14</v>
      </c>
      <c r="C18" s="110">
        <f>SISWA!B19</f>
        <v>0</v>
      </c>
      <c r="D18" s="111" t="str">
        <f>SISWA!E19</f>
        <v>Anak 14</v>
      </c>
      <c r="E18" s="631">
        <v>99</v>
      </c>
      <c r="F18" s="631">
        <v>99</v>
      </c>
      <c r="G18" s="631">
        <v>99</v>
      </c>
      <c r="H18" s="730"/>
      <c r="I18" s="730"/>
      <c r="J18" s="730"/>
      <c r="K18" s="732"/>
      <c r="L18" s="732"/>
      <c r="M18" s="732"/>
      <c r="N18" s="730"/>
      <c r="O18" s="730"/>
      <c r="P18" s="730"/>
      <c r="Q18" s="610"/>
      <c r="R18" s="631">
        <v>99</v>
      </c>
      <c r="S18" s="631">
        <v>99</v>
      </c>
      <c r="T18" s="631"/>
      <c r="U18" s="631"/>
      <c r="V18" s="631"/>
      <c r="W18" s="631"/>
      <c r="X18" s="610"/>
      <c r="Y18" s="631">
        <v>99</v>
      </c>
      <c r="Z18" s="631">
        <v>99</v>
      </c>
      <c r="AA18" s="631">
        <v>99</v>
      </c>
      <c r="AB18" s="609"/>
      <c r="AC18" s="609"/>
      <c r="AD18" s="609"/>
      <c r="AE18" s="518"/>
      <c r="AF18" s="607">
        <f t="shared" si="13"/>
        <v>99</v>
      </c>
      <c r="AG18" s="607">
        <f t="shared" si="14"/>
        <v>99</v>
      </c>
      <c r="AH18" s="607">
        <f t="shared" si="15"/>
        <v>99</v>
      </c>
      <c r="AI18" s="607" t="str">
        <f>IFERROR(((2*#REF!)+#REF!)/3,"")</f>
        <v/>
      </c>
      <c r="AJ18" s="529"/>
      <c r="AK18" s="528"/>
      <c r="AL18" s="528"/>
      <c r="AM18" s="528"/>
      <c r="AN18" s="302">
        <f t="shared" si="7"/>
        <v>99</v>
      </c>
      <c r="AO18" s="303" t="str">
        <f>IF(AN18&gt;KKM!$G$10,"A",IF(AN18&gt;KKM!$H$10,"B",IF(AN18&gt;=KKM!$I$10,"C","D")))</f>
        <v>A</v>
      </c>
      <c r="AP18" s="523">
        <f t="shared" si="8"/>
        <v>99</v>
      </c>
      <c r="AQ18" s="115" t="str">
        <f>IF(AP18&gt;KKM!$G$10," sangat baik ",IF(AP18&gt;KKM!$H$10," baik ",IF(AP18&gt;=KKM!$I$10," cukup baik "," perlu bimbingan ")))</f>
        <v xml:space="preserve"> sangat baik </v>
      </c>
      <c r="AR18" s="524">
        <f t="shared" si="9"/>
        <v>99</v>
      </c>
      <c r="AS18" s="115" t="str">
        <f>IF(AR18&gt;KKM!$G$10," sangat baik ",IF(AR18&gt;KKM!$H$10," baik ",IF(AR18&gt;=KKM!$I$10," cukup baik "," perlu bimbingan ")))</f>
        <v xml:space="preserve"> sangat baik </v>
      </c>
      <c r="AT18" s="301" t="str">
        <f t="shared" si="16"/>
        <v>Anak 14 sangat baik  dalam mengidentifikasi karakteristik ruang dan pemanfaatan sumberdaya alam untuk kesejahteraan masyarakat dari tingkatkota/kabupaten sampai tingkat provinsi.</v>
      </c>
      <c r="AU18" s="306"/>
      <c r="AV18" s="307" t="str">
        <f t="shared" si="10"/>
        <v xml:space="preserve"> sangat baik  dalam mengidentifikasi karakteristik ruang dan pemanfaatan sumberdaya alam untuk kesejahteraan masyarakat dari tingkatkota/kabupaten sampai tingkat provinsi.</v>
      </c>
      <c r="AW18" s="307" t="str">
        <f t="shared" si="11"/>
        <v xml:space="preserve"> sangat baik  dalam mengidentifikasi karakteristik ruang dan pemanfaatan sumberdaya alam untuk kesejahteraan masyarakat dari tingkatkota/kabupaten sampai tingkat provinsi.</v>
      </c>
      <c r="AX18"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8" s="307" t="str">
        <f t="shared" si="18"/>
        <v xml:space="preserve"> sangat baik  dalam mengidentifikasi karakteristik ruang dan pemanfaatan sumberdaya alam untuk kesejahteraan masyarakat dari tingkatkota/kabupaten sampai tingkat provinsi.</v>
      </c>
      <c r="AZ18" s="308" t="str">
        <f t="shared" si="19"/>
        <v xml:space="preserve"> sangat baik  dalam mengidentifikasi karakteristik ruang dan pemanfaatan sumberdaya alam untuk kesejahteraan masyarakat dari tingkatkota/kabupaten sampai tingkat provinsi.</v>
      </c>
      <c r="BA18" s="301" t="str">
        <f t="shared" si="12"/>
        <v>Anak 14 sangat baik  dalam mengidentifikasi karakteristik ruang dan pemanfaatan sumberdaya alam untuk kesejahteraan masyarakat dari tingkatkota/kabupaten sampai tingkat provinsi.</v>
      </c>
      <c r="BB18" s="120"/>
      <c r="BJ18" s="408">
        <f t="shared" si="20"/>
        <v>99</v>
      </c>
      <c r="BM18" s="302">
        <f t="shared" si="21"/>
        <v>99</v>
      </c>
      <c r="BN18" s="303" t="str">
        <f>IF(BM18&gt;KKM!$G$10,"A",IF(BM18&gt;KKM!$H$10,"B",IF(BM18&gt;=KKM!$I$10,"C","D")))</f>
        <v>A</v>
      </c>
      <c r="BO18" s="523">
        <f t="shared" si="22"/>
        <v>99</v>
      </c>
      <c r="BP18" s="115" t="str">
        <f>IF(BO18&gt;KKM!$G$10," sangat baik ",IF(BO18&gt;KKM!$H$10," baik ",IF(BO18&gt;=KKM!$I$10," cukup baik "," perlu bimbingan ")))</f>
        <v xml:space="preserve"> sangat baik </v>
      </c>
      <c r="BQ18" s="524">
        <f t="shared" si="23"/>
        <v>99</v>
      </c>
      <c r="BR18" s="115" t="str">
        <f>IF(BQ18&gt;KKM!$G$10," sangat baik ",IF(BQ18&gt;KKM!$H$10," baik ",IF(BQ18&gt;=KKM!$I$10," cukup baik "," perlu bimbingan ")))</f>
        <v xml:space="preserve"> sangat baik </v>
      </c>
      <c r="BS18" s="301" t="str">
        <f t="shared" si="30"/>
        <v>Anak 14 sangat baik  dalam mengidentifikasi karakteristik ruang dan pemanfaatan sumberdaya alam untuk kesejahteraan masyarakat dari tingkatkota/kabupaten sampai tingkat provinsi.</v>
      </c>
      <c r="BT18" s="307" t="str">
        <f t="shared" si="24"/>
        <v xml:space="preserve"> sangat baik  dalam mengidentifikasi karakteristik ruang dan pemanfaatan sumberdaya alam untuk kesejahteraan masyarakat dari tingkatkota/kabupaten sampai tingkat provinsi.</v>
      </c>
      <c r="BU18" s="307" t="str">
        <f t="shared" si="25"/>
        <v xml:space="preserve"> sangat baik  dalam mengidentifikasi karakteristik ruang dan pemanfaatan sumberdaya alam untuk kesejahteraan masyarakat dari tingkatkota/kabupaten sampai tingkat provinsi.</v>
      </c>
      <c r="BV18"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8" s="307" t="str">
        <f t="shared" si="27"/>
        <v xml:space="preserve"> sangat baik  dalam mengidentifikasi karakteristik ruang dan pemanfaatan sumberdaya alam untuk kesejahteraan masyarakat dari tingkatkota/kabupaten sampai tingkat provinsi.</v>
      </c>
      <c r="BX18" s="308" t="str">
        <f t="shared" si="28"/>
        <v xml:space="preserve"> sangat baik  dalam mengidentifikasi karakteristik ruang dan pemanfaatan sumberdaya alam untuk kesejahteraan masyarakat dari tingkatkota/kabupaten sampai tingkat provinsi.</v>
      </c>
      <c r="BY18" s="301" t="str">
        <f t="shared" si="29"/>
        <v>Anak 14 sangat baik  dalam mengidentifikasi karakteristik ruang dan pemanfaatan sumberdaya alam untuk kesejahteraan masyarakat dari tingkatkota/kabupaten sampai tingkat provinsi.</v>
      </c>
    </row>
    <row r="19" spans="2:77" ht="38.25" customHeight="1">
      <c r="B19" s="109">
        <v>15</v>
      </c>
      <c r="C19" s="110">
        <f>SISWA!B20</f>
        <v>0</v>
      </c>
      <c r="D19" s="111" t="str">
        <f>SISWA!E20</f>
        <v>Anak 15</v>
      </c>
      <c r="E19" s="631">
        <v>99</v>
      </c>
      <c r="F19" s="631">
        <v>99</v>
      </c>
      <c r="G19" s="631">
        <v>99</v>
      </c>
      <c r="H19" s="730"/>
      <c r="I19" s="730"/>
      <c r="J19" s="730"/>
      <c r="K19" s="732"/>
      <c r="L19" s="732"/>
      <c r="M19" s="732"/>
      <c r="N19" s="730"/>
      <c r="O19" s="730"/>
      <c r="P19" s="730"/>
      <c r="Q19" s="610"/>
      <c r="R19" s="631">
        <v>99</v>
      </c>
      <c r="S19" s="631">
        <v>99</v>
      </c>
      <c r="T19" s="631"/>
      <c r="U19" s="631"/>
      <c r="V19" s="631"/>
      <c r="W19" s="631"/>
      <c r="X19" s="610"/>
      <c r="Y19" s="631">
        <v>99</v>
      </c>
      <c r="Z19" s="631">
        <v>99</v>
      </c>
      <c r="AA19" s="631">
        <v>99</v>
      </c>
      <c r="AB19" s="609"/>
      <c r="AC19" s="609"/>
      <c r="AD19" s="609"/>
      <c r="AE19" s="518"/>
      <c r="AF19" s="607">
        <f t="shared" si="13"/>
        <v>99</v>
      </c>
      <c r="AG19" s="607">
        <f t="shared" si="14"/>
        <v>99</v>
      </c>
      <c r="AH19" s="607">
        <f t="shared" si="15"/>
        <v>99</v>
      </c>
      <c r="AI19" s="607" t="str">
        <f>IFERROR(((2*#REF!)+#REF!)/3,"")</f>
        <v/>
      </c>
      <c r="AJ19" s="529"/>
      <c r="AK19" s="528"/>
      <c r="AL19" s="528"/>
      <c r="AM19" s="528"/>
      <c r="AN19" s="302">
        <f t="shared" si="7"/>
        <v>99</v>
      </c>
      <c r="AO19" s="303" t="str">
        <f>IF(AN19&gt;KKM!$G$10,"A",IF(AN19&gt;KKM!$H$10,"B",IF(AN19&gt;=KKM!$I$10,"C","D")))</f>
        <v>A</v>
      </c>
      <c r="AP19" s="523">
        <f t="shared" si="8"/>
        <v>99</v>
      </c>
      <c r="AQ19" s="115" t="str">
        <f>IF(AP19&gt;KKM!$G$10," sangat baik ",IF(AP19&gt;KKM!$H$10," baik ",IF(AP19&gt;=KKM!$I$10," cukup baik "," perlu bimbingan ")))</f>
        <v xml:space="preserve"> sangat baik </v>
      </c>
      <c r="AR19" s="524">
        <f t="shared" si="9"/>
        <v>99</v>
      </c>
      <c r="AS19" s="115" t="str">
        <f>IF(AR19&gt;KKM!$G$10," sangat baik ",IF(AR19&gt;KKM!$H$10," baik ",IF(AR19&gt;=KKM!$I$10," cukup baik "," perlu bimbingan ")))</f>
        <v xml:space="preserve"> sangat baik </v>
      </c>
      <c r="AT19" s="301" t="str">
        <f t="shared" si="16"/>
        <v>Anak 15 sangat baik  dalam mengidentifikasi karakteristik ruang dan pemanfaatan sumberdaya alam untuk kesejahteraan masyarakat dari tingkatkota/kabupaten sampai tingkat provinsi.</v>
      </c>
      <c r="AU19" s="306"/>
      <c r="AV19" s="307" t="str">
        <f t="shared" si="10"/>
        <v xml:space="preserve"> sangat baik  dalam mengidentifikasi karakteristik ruang dan pemanfaatan sumberdaya alam untuk kesejahteraan masyarakat dari tingkatkota/kabupaten sampai tingkat provinsi.</v>
      </c>
      <c r="AW19" s="307" t="str">
        <f t="shared" si="11"/>
        <v xml:space="preserve"> sangat baik  dalam mengidentifikasi karakteristik ruang dan pemanfaatan sumberdaya alam untuk kesejahteraan masyarakat dari tingkatkota/kabupaten sampai tingkat provinsi.</v>
      </c>
      <c r="AX19"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19" s="307" t="str">
        <f t="shared" si="18"/>
        <v xml:space="preserve"> sangat baik  dalam mengidentifikasi karakteristik ruang dan pemanfaatan sumberdaya alam untuk kesejahteraan masyarakat dari tingkatkota/kabupaten sampai tingkat provinsi.</v>
      </c>
      <c r="AZ19" s="308" t="str">
        <f t="shared" si="19"/>
        <v xml:space="preserve"> sangat baik  dalam mengidentifikasi karakteristik ruang dan pemanfaatan sumberdaya alam untuk kesejahteraan masyarakat dari tingkatkota/kabupaten sampai tingkat provinsi.</v>
      </c>
      <c r="BA19" s="301" t="str">
        <f t="shared" si="12"/>
        <v>Anak 15 sangat baik  dalam mengidentifikasi karakteristik ruang dan pemanfaatan sumberdaya alam untuk kesejahteraan masyarakat dari tingkatkota/kabupaten sampai tingkat provinsi.</v>
      </c>
      <c r="BB19" s="120"/>
      <c r="BJ19" s="408">
        <f t="shared" si="20"/>
        <v>99</v>
      </c>
      <c r="BM19" s="302">
        <f t="shared" si="21"/>
        <v>99</v>
      </c>
      <c r="BN19" s="303" t="str">
        <f>IF(BM19&gt;KKM!$G$10,"A",IF(BM19&gt;KKM!$H$10,"B",IF(BM19&gt;=KKM!$I$10,"C","D")))</f>
        <v>A</v>
      </c>
      <c r="BO19" s="523">
        <f t="shared" si="22"/>
        <v>99</v>
      </c>
      <c r="BP19" s="115" t="str">
        <f>IF(BO19&gt;KKM!$G$10," sangat baik ",IF(BO19&gt;KKM!$H$10," baik ",IF(BO19&gt;=KKM!$I$10," cukup baik "," perlu bimbingan ")))</f>
        <v xml:space="preserve"> sangat baik </v>
      </c>
      <c r="BQ19" s="524">
        <f t="shared" si="23"/>
        <v>99</v>
      </c>
      <c r="BR19" s="115" t="str">
        <f>IF(BQ19&gt;KKM!$G$10," sangat baik ",IF(BQ19&gt;KKM!$H$10," baik ",IF(BQ19&gt;=KKM!$I$10," cukup baik "," perlu bimbingan ")))</f>
        <v xml:space="preserve"> sangat baik </v>
      </c>
      <c r="BS19" s="301" t="str">
        <f t="shared" si="30"/>
        <v>Anak 15 sangat baik  dalam mengidentifikasi karakteristik ruang dan pemanfaatan sumberdaya alam untuk kesejahteraan masyarakat dari tingkatkota/kabupaten sampai tingkat provinsi.</v>
      </c>
      <c r="BT19" s="307" t="str">
        <f t="shared" si="24"/>
        <v xml:space="preserve"> sangat baik  dalam mengidentifikasi karakteristik ruang dan pemanfaatan sumberdaya alam untuk kesejahteraan masyarakat dari tingkatkota/kabupaten sampai tingkat provinsi.</v>
      </c>
      <c r="BU19" s="307" t="str">
        <f t="shared" si="25"/>
        <v xml:space="preserve"> sangat baik  dalam mengidentifikasi karakteristik ruang dan pemanfaatan sumberdaya alam untuk kesejahteraan masyarakat dari tingkatkota/kabupaten sampai tingkat provinsi.</v>
      </c>
      <c r="BV19"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19" s="307" t="str">
        <f t="shared" si="27"/>
        <v xml:space="preserve"> sangat baik  dalam mengidentifikasi karakteristik ruang dan pemanfaatan sumberdaya alam untuk kesejahteraan masyarakat dari tingkatkota/kabupaten sampai tingkat provinsi.</v>
      </c>
      <c r="BX19" s="308" t="str">
        <f t="shared" si="28"/>
        <v xml:space="preserve"> sangat baik  dalam mengidentifikasi karakteristik ruang dan pemanfaatan sumberdaya alam untuk kesejahteraan masyarakat dari tingkatkota/kabupaten sampai tingkat provinsi.</v>
      </c>
      <c r="BY19" s="301" t="str">
        <f t="shared" si="29"/>
        <v>Anak 15 sangat baik  dalam mengidentifikasi karakteristik ruang dan pemanfaatan sumberdaya alam untuk kesejahteraan masyarakat dari tingkatkota/kabupaten sampai tingkat provinsi.</v>
      </c>
    </row>
    <row r="20" spans="2:77" ht="38.25" customHeight="1">
      <c r="B20" s="109">
        <v>16</v>
      </c>
      <c r="C20" s="110">
        <f>SISWA!B21</f>
        <v>0</v>
      </c>
      <c r="D20" s="111" t="str">
        <f>SISWA!E21</f>
        <v>Anak 16</v>
      </c>
      <c r="E20" s="631">
        <v>99</v>
      </c>
      <c r="F20" s="631">
        <v>99</v>
      </c>
      <c r="G20" s="631">
        <v>99</v>
      </c>
      <c r="H20" s="730"/>
      <c r="I20" s="730"/>
      <c r="J20" s="730"/>
      <c r="K20" s="732"/>
      <c r="L20" s="732"/>
      <c r="M20" s="732"/>
      <c r="N20" s="730"/>
      <c r="O20" s="730"/>
      <c r="P20" s="730"/>
      <c r="Q20" s="610"/>
      <c r="R20" s="631">
        <v>99</v>
      </c>
      <c r="S20" s="631">
        <v>99</v>
      </c>
      <c r="T20" s="631"/>
      <c r="U20" s="631"/>
      <c r="V20" s="631"/>
      <c r="W20" s="631"/>
      <c r="X20" s="610"/>
      <c r="Y20" s="631">
        <v>99</v>
      </c>
      <c r="Z20" s="631">
        <v>99</v>
      </c>
      <c r="AA20" s="631">
        <v>99</v>
      </c>
      <c r="AB20" s="609"/>
      <c r="AC20" s="609"/>
      <c r="AD20" s="609"/>
      <c r="AE20" s="518"/>
      <c r="AF20" s="607">
        <f t="shared" si="13"/>
        <v>99</v>
      </c>
      <c r="AG20" s="607">
        <f t="shared" si="14"/>
        <v>99</v>
      </c>
      <c r="AH20" s="607">
        <f t="shared" si="15"/>
        <v>99</v>
      </c>
      <c r="AI20" s="607" t="str">
        <f>IFERROR(((2*#REF!)+#REF!)/3,"")</f>
        <v/>
      </c>
      <c r="AJ20" s="529"/>
      <c r="AK20" s="528"/>
      <c r="AL20" s="528"/>
      <c r="AM20" s="528"/>
      <c r="AN20" s="302">
        <f t="shared" si="7"/>
        <v>99</v>
      </c>
      <c r="AO20" s="303" t="str">
        <f>IF(AN20&gt;KKM!$G$10,"A",IF(AN20&gt;KKM!$H$10,"B",IF(AN20&gt;=KKM!$I$10,"C","D")))</f>
        <v>A</v>
      </c>
      <c r="AP20" s="523">
        <f t="shared" si="8"/>
        <v>99</v>
      </c>
      <c r="AQ20" s="115" t="str">
        <f>IF(AP20&gt;KKM!$G$10," sangat baik ",IF(AP20&gt;KKM!$H$10," baik ",IF(AP20&gt;=KKM!$I$10," cukup baik "," perlu bimbingan ")))</f>
        <v xml:space="preserve"> sangat baik </v>
      </c>
      <c r="AR20" s="524">
        <f t="shared" si="9"/>
        <v>99</v>
      </c>
      <c r="AS20" s="115" t="str">
        <f>IF(AR20&gt;KKM!$G$10," sangat baik ",IF(AR20&gt;KKM!$H$10," baik ",IF(AR20&gt;=KKM!$I$10," cukup baik "," perlu bimbingan ")))</f>
        <v xml:space="preserve"> sangat baik </v>
      </c>
      <c r="AT20" s="301" t="str">
        <f t="shared" si="16"/>
        <v>Anak 16 sangat baik  dalam mengidentifikasi karakteristik ruang dan pemanfaatan sumberdaya alam untuk kesejahteraan masyarakat dari tingkatkota/kabupaten sampai tingkat provinsi.</v>
      </c>
      <c r="AU20" s="306"/>
      <c r="AV20" s="307" t="str">
        <f t="shared" si="10"/>
        <v xml:space="preserve"> sangat baik  dalam mengidentifikasi karakteristik ruang dan pemanfaatan sumberdaya alam untuk kesejahteraan masyarakat dari tingkatkota/kabupaten sampai tingkat provinsi.</v>
      </c>
      <c r="AW20" s="307" t="str">
        <f t="shared" si="11"/>
        <v xml:space="preserve"> sangat baik  dalam mengidentifikasi karakteristik ruang dan pemanfaatan sumberdaya alam untuk kesejahteraan masyarakat dari tingkatkota/kabupaten sampai tingkat provinsi.</v>
      </c>
      <c r="AX20"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0" s="307" t="str">
        <f t="shared" si="18"/>
        <v xml:space="preserve"> sangat baik  dalam mengidentifikasi karakteristik ruang dan pemanfaatan sumberdaya alam untuk kesejahteraan masyarakat dari tingkatkota/kabupaten sampai tingkat provinsi.</v>
      </c>
      <c r="AZ20" s="308" t="str">
        <f t="shared" si="19"/>
        <v xml:space="preserve"> sangat baik  dalam mengidentifikasi karakteristik ruang dan pemanfaatan sumberdaya alam untuk kesejahteraan masyarakat dari tingkatkota/kabupaten sampai tingkat provinsi.</v>
      </c>
      <c r="BA20" s="301" t="str">
        <f t="shared" si="12"/>
        <v>Anak 16 sangat baik  dalam mengidentifikasi karakteristik ruang dan pemanfaatan sumberdaya alam untuk kesejahteraan masyarakat dari tingkatkota/kabupaten sampai tingkat provinsi.</v>
      </c>
      <c r="BB20" s="120"/>
      <c r="BJ20" s="408">
        <f t="shared" si="20"/>
        <v>99</v>
      </c>
      <c r="BM20" s="302">
        <f t="shared" si="21"/>
        <v>99</v>
      </c>
      <c r="BN20" s="303" t="str">
        <f>IF(BM20&gt;KKM!$G$10,"A",IF(BM20&gt;KKM!$H$10,"B",IF(BM20&gt;=KKM!$I$10,"C","D")))</f>
        <v>A</v>
      </c>
      <c r="BO20" s="523">
        <f t="shared" si="22"/>
        <v>99</v>
      </c>
      <c r="BP20" s="115" t="str">
        <f>IF(BO20&gt;KKM!$G$10," sangat baik ",IF(BO20&gt;KKM!$H$10," baik ",IF(BO20&gt;=KKM!$I$10," cukup baik "," perlu bimbingan ")))</f>
        <v xml:space="preserve"> sangat baik </v>
      </c>
      <c r="BQ20" s="524">
        <f t="shared" si="23"/>
        <v>99</v>
      </c>
      <c r="BR20" s="115" t="str">
        <f>IF(BQ20&gt;KKM!$G$10," sangat baik ",IF(BQ20&gt;KKM!$H$10," baik ",IF(BQ20&gt;=KKM!$I$10," cukup baik "," perlu bimbingan ")))</f>
        <v xml:space="preserve"> sangat baik </v>
      </c>
      <c r="BS20" s="301" t="str">
        <f t="shared" si="30"/>
        <v>Anak 16 sangat baik  dalam mengidentifikasi karakteristik ruang dan pemanfaatan sumberdaya alam untuk kesejahteraan masyarakat dari tingkatkota/kabupaten sampai tingkat provinsi.</v>
      </c>
      <c r="BT20" s="307" t="str">
        <f t="shared" si="24"/>
        <v xml:space="preserve"> sangat baik  dalam mengidentifikasi karakteristik ruang dan pemanfaatan sumberdaya alam untuk kesejahteraan masyarakat dari tingkatkota/kabupaten sampai tingkat provinsi.</v>
      </c>
      <c r="BU20" s="307" t="str">
        <f t="shared" si="25"/>
        <v xml:space="preserve"> sangat baik  dalam mengidentifikasi karakteristik ruang dan pemanfaatan sumberdaya alam untuk kesejahteraan masyarakat dari tingkatkota/kabupaten sampai tingkat provinsi.</v>
      </c>
      <c r="BV20"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0" s="307" t="str">
        <f t="shared" si="27"/>
        <v xml:space="preserve"> sangat baik  dalam mengidentifikasi karakteristik ruang dan pemanfaatan sumberdaya alam untuk kesejahteraan masyarakat dari tingkatkota/kabupaten sampai tingkat provinsi.</v>
      </c>
      <c r="BX20" s="308" t="str">
        <f t="shared" si="28"/>
        <v xml:space="preserve"> sangat baik  dalam mengidentifikasi karakteristik ruang dan pemanfaatan sumberdaya alam untuk kesejahteraan masyarakat dari tingkatkota/kabupaten sampai tingkat provinsi.</v>
      </c>
      <c r="BY20" s="301" t="str">
        <f t="shared" si="29"/>
        <v>Anak 16 sangat baik  dalam mengidentifikasi karakteristik ruang dan pemanfaatan sumberdaya alam untuk kesejahteraan masyarakat dari tingkatkota/kabupaten sampai tingkat provinsi.</v>
      </c>
    </row>
    <row r="21" spans="2:77" ht="38.25" customHeight="1">
      <c r="B21" s="109">
        <v>17</v>
      </c>
      <c r="C21" s="110">
        <f>SISWA!B22</f>
        <v>0</v>
      </c>
      <c r="D21" s="111" t="str">
        <f>SISWA!E22</f>
        <v>Anak 17</v>
      </c>
      <c r="E21" s="631">
        <v>99</v>
      </c>
      <c r="F21" s="631">
        <v>99</v>
      </c>
      <c r="G21" s="631">
        <v>99</v>
      </c>
      <c r="H21" s="730"/>
      <c r="I21" s="730"/>
      <c r="J21" s="730"/>
      <c r="K21" s="732"/>
      <c r="L21" s="732"/>
      <c r="M21" s="732"/>
      <c r="N21" s="730"/>
      <c r="O21" s="730"/>
      <c r="P21" s="730"/>
      <c r="Q21" s="610"/>
      <c r="R21" s="631">
        <v>99</v>
      </c>
      <c r="S21" s="631">
        <v>99</v>
      </c>
      <c r="T21" s="631"/>
      <c r="U21" s="631"/>
      <c r="V21" s="631"/>
      <c r="W21" s="631"/>
      <c r="X21" s="610"/>
      <c r="Y21" s="631">
        <v>99</v>
      </c>
      <c r="Z21" s="631">
        <v>99</v>
      </c>
      <c r="AA21" s="631">
        <v>99</v>
      </c>
      <c r="AB21" s="609"/>
      <c r="AC21" s="609"/>
      <c r="AD21" s="609"/>
      <c r="AE21" s="518"/>
      <c r="AF21" s="607">
        <f t="shared" si="13"/>
        <v>99</v>
      </c>
      <c r="AG21" s="607">
        <f t="shared" si="14"/>
        <v>99</v>
      </c>
      <c r="AH21" s="607">
        <f t="shared" si="15"/>
        <v>99</v>
      </c>
      <c r="AI21" s="607" t="str">
        <f>IFERROR(((2*#REF!)+#REF!)/3,"")</f>
        <v/>
      </c>
      <c r="AJ21" s="529"/>
      <c r="AK21" s="528"/>
      <c r="AL21" s="528"/>
      <c r="AM21" s="528"/>
      <c r="AN21" s="302">
        <f t="shared" si="7"/>
        <v>99</v>
      </c>
      <c r="AO21" s="303" t="str">
        <f>IF(AN21&gt;KKM!$G$10,"A",IF(AN21&gt;KKM!$H$10,"B",IF(AN21&gt;=KKM!$I$10,"C","D")))</f>
        <v>A</v>
      </c>
      <c r="AP21" s="523">
        <f t="shared" si="8"/>
        <v>99</v>
      </c>
      <c r="AQ21" s="115" t="str">
        <f>IF(AP21&gt;KKM!$G$10," sangat baik ",IF(AP21&gt;KKM!$H$10," baik ",IF(AP21&gt;=KKM!$I$10," cukup baik "," perlu bimbingan ")))</f>
        <v xml:space="preserve"> sangat baik </v>
      </c>
      <c r="AR21" s="524">
        <f t="shared" si="9"/>
        <v>99</v>
      </c>
      <c r="AS21" s="115" t="str">
        <f>IF(AR21&gt;KKM!$G$10," sangat baik ",IF(AR21&gt;KKM!$H$10," baik ",IF(AR21&gt;=KKM!$I$10," cukup baik "," perlu bimbingan ")))</f>
        <v xml:space="preserve"> sangat baik </v>
      </c>
      <c r="AT21" s="301" t="str">
        <f t="shared" si="16"/>
        <v>Anak 17 sangat baik  dalam mengidentifikasi karakteristik ruang dan pemanfaatan sumberdaya alam untuk kesejahteraan masyarakat dari tingkatkota/kabupaten sampai tingkat provinsi.</v>
      </c>
      <c r="AU21" s="306"/>
      <c r="AV21" s="307" t="str">
        <f t="shared" si="10"/>
        <v xml:space="preserve"> sangat baik  dalam mengidentifikasi karakteristik ruang dan pemanfaatan sumberdaya alam untuk kesejahteraan masyarakat dari tingkatkota/kabupaten sampai tingkat provinsi.</v>
      </c>
      <c r="AW21" s="307" t="str">
        <f t="shared" si="11"/>
        <v xml:space="preserve"> sangat baik  dalam mengidentifikasi karakteristik ruang dan pemanfaatan sumberdaya alam untuk kesejahteraan masyarakat dari tingkatkota/kabupaten sampai tingkat provinsi.</v>
      </c>
      <c r="AX21"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1" s="307" t="str">
        <f t="shared" si="18"/>
        <v xml:space="preserve"> sangat baik  dalam mengidentifikasi karakteristik ruang dan pemanfaatan sumberdaya alam untuk kesejahteraan masyarakat dari tingkatkota/kabupaten sampai tingkat provinsi.</v>
      </c>
      <c r="AZ21" s="308" t="str">
        <f t="shared" si="19"/>
        <v xml:space="preserve"> sangat baik  dalam mengidentifikasi karakteristik ruang dan pemanfaatan sumberdaya alam untuk kesejahteraan masyarakat dari tingkatkota/kabupaten sampai tingkat provinsi.</v>
      </c>
      <c r="BA21" s="301" t="str">
        <f t="shared" si="12"/>
        <v>Anak 17 sangat baik  dalam mengidentifikasi karakteristik ruang dan pemanfaatan sumberdaya alam untuk kesejahteraan masyarakat dari tingkatkota/kabupaten sampai tingkat provinsi.</v>
      </c>
      <c r="BB21" s="120"/>
      <c r="BJ21" s="408">
        <f t="shared" si="20"/>
        <v>99</v>
      </c>
      <c r="BM21" s="302">
        <f t="shared" si="21"/>
        <v>99</v>
      </c>
      <c r="BN21" s="303" t="str">
        <f>IF(BM21&gt;KKM!$G$10,"A",IF(BM21&gt;KKM!$H$10,"B",IF(BM21&gt;=KKM!$I$10,"C","D")))</f>
        <v>A</v>
      </c>
      <c r="BO21" s="523">
        <f t="shared" si="22"/>
        <v>99</v>
      </c>
      <c r="BP21" s="115" t="str">
        <f>IF(BO21&gt;KKM!$G$10," sangat baik ",IF(BO21&gt;KKM!$H$10," baik ",IF(BO21&gt;=KKM!$I$10," cukup baik "," perlu bimbingan ")))</f>
        <v xml:space="preserve"> sangat baik </v>
      </c>
      <c r="BQ21" s="524">
        <f t="shared" si="23"/>
        <v>99</v>
      </c>
      <c r="BR21" s="115" t="str">
        <f>IF(BQ21&gt;KKM!$G$10," sangat baik ",IF(BQ21&gt;KKM!$H$10," baik ",IF(BQ21&gt;=KKM!$I$10," cukup baik "," perlu bimbingan ")))</f>
        <v xml:space="preserve"> sangat baik </v>
      </c>
      <c r="BS21" s="301" t="str">
        <f t="shared" si="30"/>
        <v>Anak 17 sangat baik  dalam mengidentifikasi karakteristik ruang dan pemanfaatan sumberdaya alam untuk kesejahteraan masyarakat dari tingkatkota/kabupaten sampai tingkat provinsi.</v>
      </c>
      <c r="BT21" s="307" t="str">
        <f t="shared" si="24"/>
        <v xml:space="preserve"> sangat baik  dalam mengidentifikasi karakteristik ruang dan pemanfaatan sumberdaya alam untuk kesejahteraan masyarakat dari tingkatkota/kabupaten sampai tingkat provinsi.</v>
      </c>
      <c r="BU21" s="307" t="str">
        <f t="shared" si="25"/>
        <v xml:space="preserve"> sangat baik  dalam mengidentifikasi karakteristik ruang dan pemanfaatan sumberdaya alam untuk kesejahteraan masyarakat dari tingkatkota/kabupaten sampai tingkat provinsi.</v>
      </c>
      <c r="BV21"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1" s="307" t="str">
        <f t="shared" si="27"/>
        <v xml:space="preserve"> sangat baik  dalam mengidentifikasi karakteristik ruang dan pemanfaatan sumberdaya alam untuk kesejahteraan masyarakat dari tingkatkota/kabupaten sampai tingkat provinsi.</v>
      </c>
      <c r="BX21" s="308" t="str">
        <f t="shared" si="28"/>
        <v xml:space="preserve"> sangat baik  dalam mengidentifikasi karakteristik ruang dan pemanfaatan sumberdaya alam untuk kesejahteraan masyarakat dari tingkatkota/kabupaten sampai tingkat provinsi.</v>
      </c>
      <c r="BY21" s="301" t="str">
        <f t="shared" si="29"/>
        <v>Anak 17 sangat baik  dalam mengidentifikasi karakteristik ruang dan pemanfaatan sumberdaya alam untuk kesejahteraan masyarakat dari tingkatkota/kabupaten sampai tingkat provinsi.</v>
      </c>
    </row>
    <row r="22" spans="2:77" ht="38.25" customHeight="1">
      <c r="B22" s="109">
        <v>18</v>
      </c>
      <c r="C22" s="110">
        <f>SISWA!B23</f>
        <v>0</v>
      </c>
      <c r="D22" s="111" t="str">
        <f>SISWA!E23</f>
        <v>Anak 18</v>
      </c>
      <c r="E22" s="631">
        <v>99</v>
      </c>
      <c r="F22" s="631">
        <v>99</v>
      </c>
      <c r="G22" s="631">
        <v>99</v>
      </c>
      <c r="H22" s="730"/>
      <c r="I22" s="730"/>
      <c r="J22" s="730"/>
      <c r="K22" s="732"/>
      <c r="L22" s="732"/>
      <c r="M22" s="732"/>
      <c r="N22" s="730"/>
      <c r="O22" s="730"/>
      <c r="P22" s="730"/>
      <c r="Q22" s="610"/>
      <c r="R22" s="631">
        <v>99</v>
      </c>
      <c r="S22" s="631">
        <v>99</v>
      </c>
      <c r="T22" s="631"/>
      <c r="U22" s="631"/>
      <c r="V22" s="631"/>
      <c r="W22" s="631"/>
      <c r="X22" s="610"/>
      <c r="Y22" s="631">
        <v>99</v>
      </c>
      <c r="Z22" s="631">
        <v>99</v>
      </c>
      <c r="AA22" s="631">
        <v>99</v>
      </c>
      <c r="AB22" s="609"/>
      <c r="AC22" s="609"/>
      <c r="AD22" s="609"/>
      <c r="AE22" s="518"/>
      <c r="AF22" s="607">
        <f t="shared" si="13"/>
        <v>99</v>
      </c>
      <c r="AG22" s="607">
        <f t="shared" si="14"/>
        <v>99</v>
      </c>
      <c r="AH22" s="607">
        <f t="shared" si="15"/>
        <v>99</v>
      </c>
      <c r="AI22" s="607" t="str">
        <f>IFERROR(((2*#REF!)+#REF!)/3,"")</f>
        <v/>
      </c>
      <c r="AJ22" s="529"/>
      <c r="AK22" s="528"/>
      <c r="AL22" s="528"/>
      <c r="AM22" s="528"/>
      <c r="AN22" s="302">
        <f t="shared" si="7"/>
        <v>99</v>
      </c>
      <c r="AO22" s="303" t="str">
        <f>IF(AN22&gt;KKM!$G$10,"A",IF(AN22&gt;KKM!$H$10,"B",IF(AN22&gt;=KKM!$I$10,"C","D")))</f>
        <v>A</v>
      </c>
      <c r="AP22" s="523">
        <f t="shared" si="8"/>
        <v>99</v>
      </c>
      <c r="AQ22" s="115" t="str">
        <f>IF(AP22&gt;KKM!$G$10," sangat baik ",IF(AP22&gt;KKM!$H$10," baik ",IF(AP22&gt;=KKM!$I$10," cukup baik "," perlu bimbingan ")))</f>
        <v xml:space="preserve"> sangat baik </v>
      </c>
      <c r="AR22" s="524">
        <f t="shared" si="9"/>
        <v>99</v>
      </c>
      <c r="AS22" s="115" t="str">
        <f>IF(AR22&gt;KKM!$G$10," sangat baik ",IF(AR22&gt;KKM!$H$10," baik ",IF(AR22&gt;=KKM!$I$10," cukup baik "," perlu bimbingan ")))</f>
        <v xml:space="preserve"> sangat baik </v>
      </c>
      <c r="AT22" s="301" t="str">
        <f t="shared" si="16"/>
        <v>Anak 18 sangat baik  dalam mengidentifikasi karakteristik ruang dan pemanfaatan sumberdaya alam untuk kesejahteraan masyarakat dari tingkatkota/kabupaten sampai tingkat provinsi.</v>
      </c>
      <c r="AU22" s="306"/>
      <c r="AV22" s="307" t="str">
        <f t="shared" si="10"/>
        <v xml:space="preserve"> sangat baik  dalam mengidentifikasi karakteristik ruang dan pemanfaatan sumberdaya alam untuk kesejahteraan masyarakat dari tingkatkota/kabupaten sampai tingkat provinsi.</v>
      </c>
      <c r="AW22" s="307" t="str">
        <f t="shared" si="11"/>
        <v xml:space="preserve"> sangat baik  dalam mengidentifikasi karakteristik ruang dan pemanfaatan sumberdaya alam untuk kesejahteraan masyarakat dari tingkatkota/kabupaten sampai tingkat provinsi.</v>
      </c>
      <c r="AX22"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2" s="307" t="str">
        <f t="shared" si="18"/>
        <v xml:space="preserve"> sangat baik  dalam mengidentifikasi karakteristik ruang dan pemanfaatan sumberdaya alam untuk kesejahteraan masyarakat dari tingkatkota/kabupaten sampai tingkat provinsi.</v>
      </c>
      <c r="AZ22" s="308" t="str">
        <f t="shared" si="19"/>
        <v xml:space="preserve"> sangat baik  dalam mengidentifikasi karakteristik ruang dan pemanfaatan sumberdaya alam untuk kesejahteraan masyarakat dari tingkatkota/kabupaten sampai tingkat provinsi.</v>
      </c>
      <c r="BA22" s="301" t="str">
        <f t="shared" si="12"/>
        <v>Anak 18 sangat baik  dalam mengidentifikasi karakteristik ruang dan pemanfaatan sumberdaya alam untuk kesejahteraan masyarakat dari tingkatkota/kabupaten sampai tingkat provinsi.</v>
      </c>
      <c r="BB22" s="120"/>
      <c r="BJ22" s="408">
        <f t="shared" si="20"/>
        <v>99</v>
      </c>
      <c r="BM22" s="302">
        <f t="shared" si="21"/>
        <v>99</v>
      </c>
      <c r="BN22" s="303" t="str">
        <f>IF(BM22&gt;KKM!$G$10,"A",IF(BM22&gt;KKM!$H$10,"B",IF(BM22&gt;=KKM!$I$10,"C","D")))</f>
        <v>A</v>
      </c>
      <c r="BO22" s="523">
        <f t="shared" si="22"/>
        <v>99</v>
      </c>
      <c r="BP22" s="115" t="str">
        <f>IF(BO22&gt;KKM!$G$10," sangat baik ",IF(BO22&gt;KKM!$H$10," baik ",IF(BO22&gt;=KKM!$I$10," cukup baik "," perlu bimbingan ")))</f>
        <v xml:space="preserve"> sangat baik </v>
      </c>
      <c r="BQ22" s="524">
        <f t="shared" si="23"/>
        <v>99</v>
      </c>
      <c r="BR22" s="115" t="str">
        <f>IF(BQ22&gt;KKM!$G$10," sangat baik ",IF(BQ22&gt;KKM!$H$10," baik ",IF(BQ22&gt;=KKM!$I$10," cukup baik "," perlu bimbingan ")))</f>
        <v xml:space="preserve"> sangat baik </v>
      </c>
      <c r="BS22" s="301" t="str">
        <f t="shared" si="30"/>
        <v>Anak 18 sangat baik  dalam mengidentifikasi karakteristik ruang dan pemanfaatan sumberdaya alam untuk kesejahteraan masyarakat dari tingkatkota/kabupaten sampai tingkat provinsi.</v>
      </c>
      <c r="BT22" s="307" t="str">
        <f t="shared" si="24"/>
        <v xml:space="preserve"> sangat baik  dalam mengidentifikasi karakteristik ruang dan pemanfaatan sumberdaya alam untuk kesejahteraan masyarakat dari tingkatkota/kabupaten sampai tingkat provinsi.</v>
      </c>
      <c r="BU22" s="307" t="str">
        <f t="shared" si="25"/>
        <v xml:space="preserve"> sangat baik  dalam mengidentifikasi karakteristik ruang dan pemanfaatan sumberdaya alam untuk kesejahteraan masyarakat dari tingkatkota/kabupaten sampai tingkat provinsi.</v>
      </c>
      <c r="BV22"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2" s="307" t="str">
        <f t="shared" si="27"/>
        <v xml:space="preserve"> sangat baik  dalam mengidentifikasi karakteristik ruang dan pemanfaatan sumberdaya alam untuk kesejahteraan masyarakat dari tingkatkota/kabupaten sampai tingkat provinsi.</v>
      </c>
      <c r="BX22" s="308" t="str">
        <f t="shared" si="28"/>
        <v xml:space="preserve"> sangat baik  dalam mengidentifikasi karakteristik ruang dan pemanfaatan sumberdaya alam untuk kesejahteraan masyarakat dari tingkatkota/kabupaten sampai tingkat provinsi.</v>
      </c>
      <c r="BY22" s="301" t="str">
        <f t="shared" si="29"/>
        <v>Anak 18 sangat baik  dalam mengidentifikasi karakteristik ruang dan pemanfaatan sumberdaya alam untuk kesejahteraan masyarakat dari tingkatkota/kabupaten sampai tingkat provinsi.</v>
      </c>
    </row>
    <row r="23" spans="2:77" ht="38.25" customHeight="1">
      <c r="B23" s="109">
        <v>19</v>
      </c>
      <c r="C23" s="110">
        <f>SISWA!B24</f>
        <v>0</v>
      </c>
      <c r="D23" s="111" t="str">
        <f>SISWA!E24</f>
        <v>Anak 19</v>
      </c>
      <c r="E23" s="631">
        <v>99</v>
      </c>
      <c r="F23" s="631">
        <v>99</v>
      </c>
      <c r="G23" s="631">
        <v>99</v>
      </c>
      <c r="H23" s="730"/>
      <c r="I23" s="730"/>
      <c r="J23" s="730"/>
      <c r="K23" s="732"/>
      <c r="L23" s="732"/>
      <c r="M23" s="732"/>
      <c r="N23" s="730"/>
      <c r="O23" s="730"/>
      <c r="P23" s="730"/>
      <c r="Q23" s="610"/>
      <c r="R23" s="631">
        <v>99</v>
      </c>
      <c r="S23" s="631">
        <v>99</v>
      </c>
      <c r="T23" s="631"/>
      <c r="U23" s="631"/>
      <c r="V23" s="631"/>
      <c r="W23" s="631"/>
      <c r="X23" s="610"/>
      <c r="Y23" s="631">
        <v>99</v>
      </c>
      <c r="Z23" s="631">
        <v>99</v>
      </c>
      <c r="AA23" s="631">
        <v>99</v>
      </c>
      <c r="AB23" s="609"/>
      <c r="AC23" s="609"/>
      <c r="AD23" s="609"/>
      <c r="AE23" s="518"/>
      <c r="AF23" s="607">
        <f t="shared" si="13"/>
        <v>99</v>
      </c>
      <c r="AG23" s="607">
        <f t="shared" si="14"/>
        <v>99</v>
      </c>
      <c r="AH23" s="607">
        <f t="shared" si="15"/>
        <v>99</v>
      </c>
      <c r="AI23" s="607" t="str">
        <f>IFERROR(((2*#REF!)+#REF!)/3,"")</f>
        <v/>
      </c>
      <c r="AJ23" s="529"/>
      <c r="AK23" s="528"/>
      <c r="AL23" s="528"/>
      <c r="AM23" s="528"/>
      <c r="AN23" s="302">
        <f t="shared" si="7"/>
        <v>99</v>
      </c>
      <c r="AO23" s="303" t="str">
        <f>IF(AN23&gt;KKM!$G$10,"A",IF(AN23&gt;KKM!$H$10,"B",IF(AN23&gt;=KKM!$I$10,"C","D")))</f>
        <v>A</v>
      </c>
      <c r="AP23" s="523">
        <f t="shared" si="8"/>
        <v>99</v>
      </c>
      <c r="AQ23" s="115" t="str">
        <f>IF(AP23&gt;KKM!$G$10," sangat baik ",IF(AP23&gt;KKM!$H$10," baik ",IF(AP23&gt;=KKM!$I$10," cukup baik "," perlu bimbingan ")))</f>
        <v xml:space="preserve"> sangat baik </v>
      </c>
      <c r="AR23" s="524">
        <f t="shared" si="9"/>
        <v>99</v>
      </c>
      <c r="AS23" s="115" t="str">
        <f>IF(AR23&gt;KKM!$G$10," sangat baik ",IF(AR23&gt;KKM!$H$10," baik ",IF(AR23&gt;=KKM!$I$10," cukup baik "," perlu bimbingan ")))</f>
        <v xml:space="preserve"> sangat baik </v>
      </c>
      <c r="AT23" s="301" t="str">
        <f t="shared" si="16"/>
        <v>Anak 19 sangat baik  dalam mengidentifikasi karakteristik ruang dan pemanfaatan sumberdaya alam untuk kesejahteraan masyarakat dari tingkatkota/kabupaten sampai tingkat provinsi.</v>
      </c>
      <c r="AU23" s="306"/>
      <c r="AV23" s="307" t="str">
        <f t="shared" si="10"/>
        <v xml:space="preserve"> sangat baik  dalam mengidentifikasi karakteristik ruang dan pemanfaatan sumberdaya alam untuk kesejahteraan masyarakat dari tingkatkota/kabupaten sampai tingkat provinsi.</v>
      </c>
      <c r="AW23" s="307" t="str">
        <f t="shared" si="11"/>
        <v xml:space="preserve"> sangat baik  dalam mengidentifikasi karakteristik ruang dan pemanfaatan sumberdaya alam untuk kesejahteraan masyarakat dari tingkatkota/kabupaten sampai tingkat provinsi.</v>
      </c>
      <c r="AX23"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3" s="307" t="str">
        <f t="shared" si="18"/>
        <v xml:space="preserve"> sangat baik  dalam mengidentifikasi karakteristik ruang dan pemanfaatan sumberdaya alam untuk kesejahteraan masyarakat dari tingkatkota/kabupaten sampai tingkat provinsi.</v>
      </c>
      <c r="AZ23" s="308" t="str">
        <f t="shared" si="19"/>
        <v xml:space="preserve"> sangat baik  dalam mengidentifikasi karakteristik ruang dan pemanfaatan sumberdaya alam untuk kesejahteraan masyarakat dari tingkatkota/kabupaten sampai tingkat provinsi.</v>
      </c>
      <c r="BA23" s="301" t="str">
        <f t="shared" si="12"/>
        <v>Anak 19 sangat baik  dalam mengidentifikasi karakteristik ruang dan pemanfaatan sumberdaya alam untuk kesejahteraan masyarakat dari tingkatkota/kabupaten sampai tingkat provinsi.</v>
      </c>
      <c r="BB23" s="120"/>
      <c r="BJ23" s="408">
        <f t="shared" si="20"/>
        <v>99</v>
      </c>
      <c r="BM23" s="302">
        <f t="shared" si="21"/>
        <v>99</v>
      </c>
      <c r="BN23" s="303" t="str">
        <f>IF(BM23&gt;KKM!$G$10,"A",IF(BM23&gt;KKM!$H$10,"B",IF(BM23&gt;=KKM!$I$10,"C","D")))</f>
        <v>A</v>
      </c>
      <c r="BO23" s="523">
        <f t="shared" si="22"/>
        <v>99</v>
      </c>
      <c r="BP23" s="115" t="str">
        <f>IF(BO23&gt;KKM!$G$10," sangat baik ",IF(BO23&gt;KKM!$H$10," baik ",IF(BO23&gt;=KKM!$I$10," cukup baik "," perlu bimbingan ")))</f>
        <v xml:space="preserve"> sangat baik </v>
      </c>
      <c r="BQ23" s="524">
        <f t="shared" si="23"/>
        <v>99</v>
      </c>
      <c r="BR23" s="115" t="str">
        <f>IF(BQ23&gt;KKM!$G$10," sangat baik ",IF(BQ23&gt;KKM!$H$10," baik ",IF(BQ23&gt;=KKM!$I$10," cukup baik "," perlu bimbingan ")))</f>
        <v xml:space="preserve"> sangat baik </v>
      </c>
      <c r="BS23" s="301" t="str">
        <f t="shared" si="30"/>
        <v>Anak 19 sangat baik  dalam mengidentifikasi karakteristik ruang dan pemanfaatan sumberdaya alam untuk kesejahteraan masyarakat dari tingkatkota/kabupaten sampai tingkat provinsi.</v>
      </c>
      <c r="BT23" s="307" t="str">
        <f t="shared" si="24"/>
        <v xml:space="preserve"> sangat baik  dalam mengidentifikasi karakteristik ruang dan pemanfaatan sumberdaya alam untuk kesejahteraan masyarakat dari tingkatkota/kabupaten sampai tingkat provinsi.</v>
      </c>
      <c r="BU23" s="307" t="str">
        <f t="shared" si="25"/>
        <v xml:space="preserve"> sangat baik  dalam mengidentifikasi karakteristik ruang dan pemanfaatan sumberdaya alam untuk kesejahteraan masyarakat dari tingkatkota/kabupaten sampai tingkat provinsi.</v>
      </c>
      <c r="BV23"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3" s="307" t="str">
        <f t="shared" si="27"/>
        <v xml:space="preserve"> sangat baik  dalam mengidentifikasi karakteristik ruang dan pemanfaatan sumberdaya alam untuk kesejahteraan masyarakat dari tingkatkota/kabupaten sampai tingkat provinsi.</v>
      </c>
      <c r="BX23" s="308" t="str">
        <f t="shared" si="28"/>
        <v xml:space="preserve"> sangat baik  dalam mengidentifikasi karakteristik ruang dan pemanfaatan sumberdaya alam untuk kesejahteraan masyarakat dari tingkatkota/kabupaten sampai tingkat provinsi.</v>
      </c>
      <c r="BY23" s="301" t="str">
        <f t="shared" si="29"/>
        <v>Anak 19 sangat baik  dalam mengidentifikasi karakteristik ruang dan pemanfaatan sumberdaya alam untuk kesejahteraan masyarakat dari tingkatkota/kabupaten sampai tingkat provinsi.</v>
      </c>
    </row>
    <row r="24" spans="2:77" ht="38.25" customHeight="1">
      <c r="B24" s="109">
        <v>20</v>
      </c>
      <c r="C24" s="110">
        <f>SISWA!B25</f>
        <v>0</v>
      </c>
      <c r="D24" s="111" t="str">
        <f>SISWA!E25</f>
        <v>Anak 20</v>
      </c>
      <c r="E24" s="631">
        <v>99</v>
      </c>
      <c r="F24" s="631">
        <v>99</v>
      </c>
      <c r="G24" s="631">
        <v>99</v>
      </c>
      <c r="H24" s="730"/>
      <c r="I24" s="730"/>
      <c r="J24" s="730"/>
      <c r="K24" s="732"/>
      <c r="L24" s="732"/>
      <c r="M24" s="732"/>
      <c r="N24" s="730"/>
      <c r="O24" s="730"/>
      <c r="P24" s="730"/>
      <c r="Q24" s="610"/>
      <c r="R24" s="631">
        <v>99</v>
      </c>
      <c r="S24" s="631">
        <v>99</v>
      </c>
      <c r="T24" s="631"/>
      <c r="U24" s="631"/>
      <c r="V24" s="631"/>
      <c r="W24" s="631"/>
      <c r="X24" s="610"/>
      <c r="Y24" s="631">
        <v>99</v>
      </c>
      <c r="Z24" s="631">
        <v>99</v>
      </c>
      <c r="AA24" s="631">
        <v>99</v>
      </c>
      <c r="AB24" s="609"/>
      <c r="AC24" s="609"/>
      <c r="AD24" s="609"/>
      <c r="AE24" s="518"/>
      <c r="AF24" s="607">
        <f t="shared" si="13"/>
        <v>99</v>
      </c>
      <c r="AG24" s="607">
        <f t="shared" si="14"/>
        <v>99</v>
      </c>
      <c r="AH24" s="607">
        <f t="shared" si="15"/>
        <v>99</v>
      </c>
      <c r="AI24" s="607" t="str">
        <f>IFERROR(((2*#REF!)+#REF!)/3,"")</f>
        <v/>
      </c>
      <c r="AJ24" s="529"/>
      <c r="AK24" s="528"/>
      <c r="AL24" s="528"/>
      <c r="AM24" s="528"/>
      <c r="AN24" s="302">
        <f t="shared" si="7"/>
        <v>99</v>
      </c>
      <c r="AO24" s="303" t="str">
        <f>IF(AN24&gt;KKM!$G$10,"A",IF(AN24&gt;KKM!$H$10,"B",IF(AN24&gt;=KKM!$I$10,"C","D")))</f>
        <v>A</v>
      </c>
      <c r="AP24" s="523">
        <f t="shared" si="8"/>
        <v>99</v>
      </c>
      <c r="AQ24" s="115" t="str">
        <f>IF(AP24&gt;KKM!$G$10," sangat baik ",IF(AP24&gt;KKM!$H$10," baik ",IF(AP24&gt;=KKM!$I$10," cukup baik "," perlu bimbingan ")))</f>
        <v xml:space="preserve"> sangat baik </v>
      </c>
      <c r="AR24" s="524">
        <f t="shared" si="9"/>
        <v>99</v>
      </c>
      <c r="AS24" s="115" t="str">
        <f>IF(AR24&gt;KKM!$G$10," sangat baik ",IF(AR24&gt;KKM!$H$10," baik ",IF(AR24&gt;=KKM!$I$10," cukup baik "," perlu bimbingan ")))</f>
        <v xml:space="preserve"> sangat baik </v>
      </c>
      <c r="AT24" s="301" t="str">
        <f t="shared" si="16"/>
        <v>Anak 20 sangat baik  dalam mengidentifikasi karakteristik ruang dan pemanfaatan sumberdaya alam untuk kesejahteraan masyarakat dari tingkatkota/kabupaten sampai tingkat provinsi.</v>
      </c>
      <c r="AU24" s="306"/>
      <c r="AV24" s="307" t="str">
        <f t="shared" si="10"/>
        <v xml:space="preserve"> sangat baik  dalam mengidentifikasi karakteristik ruang dan pemanfaatan sumberdaya alam untuk kesejahteraan masyarakat dari tingkatkota/kabupaten sampai tingkat provinsi.</v>
      </c>
      <c r="AW24" s="307" t="str">
        <f t="shared" si="11"/>
        <v xml:space="preserve"> sangat baik  dalam mengidentifikasi karakteristik ruang dan pemanfaatan sumberdaya alam untuk kesejahteraan masyarakat dari tingkatkota/kabupaten sampai tingkat provinsi.</v>
      </c>
      <c r="AX24"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4" s="307" t="str">
        <f t="shared" si="18"/>
        <v xml:space="preserve"> sangat baik  dalam mengidentifikasi karakteristik ruang dan pemanfaatan sumberdaya alam untuk kesejahteraan masyarakat dari tingkatkota/kabupaten sampai tingkat provinsi.</v>
      </c>
      <c r="AZ24" s="308" t="str">
        <f t="shared" si="19"/>
        <v xml:space="preserve"> sangat baik  dalam mengidentifikasi karakteristik ruang dan pemanfaatan sumberdaya alam untuk kesejahteraan masyarakat dari tingkatkota/kabupaten sampai tingkat provinsi.</v>
      </c>
      <c r="BA24" s="301" t="str">
        <f t="shared" si="12"/>
        <v>Anak 20 sangat baik  dalam mengidentifikasi karakteristik ruang dan pemanfaatan sumberdaya alam untuk kesejahteraan masyarakat dari tingkatkota/kabupaten sampai tingkat provinsi.</v>
      </c>
      <c r="BB24" s="120"/>
      <c r="BJ24" s="408">
        <f t="shared" si="20"/>
        <v>99</v>
      </c>
      <c r="BM24" s="302">
        <f t="shared" si="21"/>
        <v>99</v>
      </c>
      <c r="BN24" s="303" t="str">
        <f>IF(BM24&gt;KKM!$G$10,"A",IF(BM24&gt;KKM!$H$10,"B",IF(BM24&gt;=KKM!$I$10,"C","D")))</f>
        <v>A</v>
      </c>
      <c r="BO24" s="523">
        <f t="shared" si="22"/>
        <v>99</v>
      </c>
      <c r="BP24" s="115" t="str">
        <f>IF(BO24&gt;KKM!$G$10," sangat baik ",IF(BO24&gt;KKM!$H$10," baik ",IF(BO24&gt;=KKM!$I$10," cukup baik "," perlu bimbingan ")))</f>
        <v xml:space="preserve"> sangat baik </v>
      </c>
      <c r="BQ24" s="524">
        <f t="shared" si="23"/>
        <v>99</v>
      </c>
      <c r="BR24" s="115" t="str">
        <f>IF(BQ24&gt;KKM!$G$10," sangat baik ",IF(BQ24&gt;KKM!$H$10," baik ",IF(BQ24&gt;=KKM!$I$10," cukup baik "," perlu bimbingan ")))</f>
        <v xml:space="preserve"> sangat baik </v>
      </c>
      <c r="BS24" s="301" t="str">
        <f t="shared" si="30"/>
        <v>Anak 20 sangat baik  dalam mengidentifikasi karakteristik ruang dan pemanfaatan sumberdaya alam untuk kesejahteraan masyarakat dari tingkatkota/kabupaten sampai tingkat provinsi.</v>
      </c>
      <c r="BT24" s="307" t="str">
        <f t="shared" si="24"/>
        <v xml:space="preserve"> sangat baik  dalam mengidentifikasi karakteristik ruang dan pemanfaatan sumberdaya alam untuk kesejahteraan masyarakat dari tingkatkota/kabupaten sampai tingkat provinsi.</v>
      </c>
      <c r="BU24" s="307" t="str">
        <f t="shared" si="25"/>
        <v xml:space="preserve"> sangat baik  dalam mengidentifikasi karakteristik ruang dan pemanfaatan sumberdaya alam untuk kesejahteraan masyarakat dari tingkatkota/kabupaten sampai tingkat provinsi.</v>
      </c>
      <c r="BV24"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4" s="307" t="str">
        <f t="shared" si="27"/>
        <v xml:space="preserve"> sangat baik  dalam mengidentifikasi karakteristik ruang dan pemanfaatan sumberdaya alam untuk kesejahteraan masyarakat dari tingkatkota/kabupaten sampai tingkat provinsi.</v>
      </c>
      <c r="BX24" s="308" t="str">
        <f t="shared" si="28"/>
        <v xml:space="preserve"> sangat baik  dalam mengidentifikasi karakteristik ruang dan pemanfaatan sumberdaya alam untuk kesejahteraan masyarakat dari tingkatkota/kabupaten sampai tingkat provinsi.</v>
      </c>
      <c r="BY24" s="301" t="str">
        <f t="shared" si="29"/>
        <v>Anak 20 sangat baik  dalam mengidentifikasi karakteristik ruang dan pemanfaatan sumberdaya alam untuk kesejahteraan masyarakat dari tingkatkota/kabupaten sampai tingkat provinsi.</v>
      </c>
    </row>
    <row r="25" spans="2:77" ht="38.25" customHeight="1">
      <c r="B25" s="109">
        <v>21</v>
      </c>
      <c r="C25" s="110">
        <f>SISWA!B26</f>
        <v>0</v>
      </c>
      <c r="D25" s="111" t="str">
        <f>SISWA!E26</f>
        <v>Anak 21</v>
      </c>
      <c r="E25" s="631">
        <v>99</v>
      </c>
      <c r="F25" s="631">
        <v>99</v>
      </c>
      <c r="G25" s="631">
        <v>99</v>
      </c>
      <c r="H25" s="730"/>
      <c r="I25" s="730"/>
      <c r="J25" s="730"/>
      <c r="K25" s="732"/>
      <c r="L25" s="732"/>
      <c r="M25" s="732"/>
      <c r="N25" s="730"/>
      <c r="O25" s="730"/>
      <c r="P25" s="730"/>
      <c r="Q25" s="610"/>
      <c r="R25" s="631">
        <v>99</v>
      </c>
      <c r="S25" s="631">
        <v>99</v>
      </c>
      <c r="T25" s="631"/>
      <c r="U25" s="631"/>
      <c r="V25" s="631"/>
      <c r="W25" s="631"/>
      <c r="X25" s="610"/>
      <c r="Y25" s="631">
        <v>99</v>
      </c>
      <c r="Z25" s="631">
        <v>99</v>
      </c>
      <c r="AA25" s="631">
        <v>99</v>
      </c>
      <c r="AB25" s="609"/>
      <c r="AC25" s="609"/>
      <c r="AD25" s="609"/>
      <c r="AE25" s="518"/>
      <c r="AF25" s="607">
        <f t="shared" si="13"/>
        <v>99</v>
      </c>
      <c r="AG25" s="607">
        <f t="shared" si="14"/>
        <v>99</v>
      </c>
      <c r="AH25" s="607">
        <f t="shared" si="15"/>
        <v>99</v>
      </c>
      <c r="AI25" s="607" t="str">
        <f>IFERROR(((2*#REF!)+#REF!)/3,"")</f>
        <v/>
      </c>
      <c r="AJ25" s="529"/>
      <c r="AK25" s="528"/>
      <c r="AL25" s="528"/>
      <c r="AM25" s="528"/>
      <c r="AN25" s="302">
        <f t="shared" si="7"/>
        <v>99</v>
      </c>
      <c r="AO25" s="303" t="str">
        <f>IF(AN25&gt;KKM!$G$10,"A",IF(AN25&gt;KKM!$H$10,"B",IF(AN25&gt;=KKM!$I$10,"C","D")))</f>
        <v>A</v>
      </c>
      <c r="AP25" s="523">
        <f t="shared" si="8"/>
        <v>99</v>
      </c>
      <c r="AQ25" s="115" t="str">
        <f>IF(AP25&gt;KKM!$G$10," sangat baik ",IF(AP25&gt;KKM!$H$10," baik ",IF(AP25&gt;=KKM!$I$10," cukup baik "," perlu bimbingan ")))</f>
        <v xml:space="preserve"> sangat baik </v>
      </c>
      <c r="AR25" s="524">
        <f t="shared" si="9"/>
        <v>99</v>
      </c>
      <c r="AS25" s="115" t="str">
        <f>IF(AR25&gt;KKM!$G$10," sangat baik ",IF(AR25&gt;KKM!$H$10," baik ",IF(AR25&gt;=KKM!$I$10," cukup baik "," perlu bimbingan ")))</f>
        <v xml:space="preserve"> sangat baik </v>
      </c>
      <c r="AT25" s="301" t="str">
        <f t="shared" si="16"/>
        <v>Anak 21 sangat baik  dalam mengidentifikasi karakteristik ruang dan pemanfaatan sumberdaya alam untuk kesejahteraan masyarakat dari tingkatkota/kabupaten sampai tingkat provinsi.</v>
      </c>
      <c r="AU25" s="306"/>
      <c r="AV25" s="307" t="str">
        <f t="shared" si="10"/>
        <v xml:space="preserve"> sangat baik  dalam mengidentifikasi karakteristik ruang dan pemanfaatan sumberdaya alam untuk kesejahteraan masyarakat dari tingkatkota/kabupaten sampai tingkat provinsi.</v>
      </c>
      <c r="AW25" s="307" t="str">
        <f t="shared" si="11"/>
        <v xml:space="preserve"> sangat baik  dalam mengidentifikasi karakteristik ruang dan pemanfaatan sumberdaya alam untuk kesejahteraan masyarakat dari tingkatkota/kabupaten sampai tingkat provinsi.</v>
      </c>
      <c r="AX25"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5" s="307" t="str">
        <f t="shared" si="18"/>
        <v xml:space="preserve"> sangat baik  dalam mengidentifikasi karakteristik ruang dan pemanfaatan sumberdaya alam untuk kesejahteraan masyarakat dari tingkatkota/kabupaten sampai tingkat provinsi.</v>
      </c>
      <c r="AZ25" s="308" t="str">
        <f t="shared" si="19"/>
        <v xml:space="preserve"> sangat baik  dalam mengidentifikasi karakteristik ruang dan pemanfaatan sumberdaya alam untuk kesejahteraan masyarakat dari tingkatkota/kabupaten sampai tingkat provinsi.</v>
      </c>
      <c r="BA25" s="301" t="str">
        <f t="shared" si="12"/>
        <v>Anak 21 sangat baik  dalam mengidentifikasi karakteristik ruang dan pemanfaatan sumberdaya alam untuk kesejahteraan masyarakat dari tingkatkota/kabupaten sampai tingkat provinsi.</v>
      </c>
      <c r="BB25" s="120"/>
      <c r="BJ25" s="408">
        <f t="shared" si="20"/>
        <v>99</v>
      </c>
      <c r="BM25" s="302">
        <f t="shared" si="21"/>
        <v>99</v>
      </c>
      <c r="BN25" s="303" t="str">
        <f>IF(BM25&gt;KKM!$G$10,"A",IF(BM25&gt;KKM!$H$10,"B",IF(BM25&gt;=KKM!$I$10,"C","D")))</f>
        <v>A</v>
      </c>
      <c r="BO25" s="523">
        <f t="shared" si="22"/>
        <v>99</v>
      </c>
      <c r="BP25" s="115" t="str">
        <f>IF(BO25&gt;KKM!$G$10," sangat baik ",IF(BO25&gt;KKM!$H$10," baik ",IF(BO25&gt;=KKM!$I$10," cukup baik "," perlu bimbingan ")))</f>
        <v xml:space="preserve"> sangat baik </v>
      </c>
      <c r="BQ25" s="524">
        <f t="shared" si="23"/>
        <v>99</v>
      </c>
      <c r="BR25" s="115" t="str">
        <f>IF(BQ25&gt;KKM!$G$10," sangat baik ",IF(BQ25&gt;KKM!$H$10," baik ",IF(BQ25&gt;=KKM!$I$10," cukup baik "," perlu bimbingan ")))</f>
        <v xml:space="preserve"> sangat baik </v>
      </c>
      <c r="BS25" s="301" t="str">
        <f t="shared" si="30"/>
        <v>Anak 21 sangat baik  dalam mengidentifikasi karakteristik ruang dan pemanfaatan sumberdaya alam untuk kesejahteraan masyarakat dari tingkatkota/kabupaten sampai tingkat provinsi.</v>
      </c>
      <c r="BT25" s="307" t="str">
        <f t="shared" si="24"/>
        <v xml:space="preserve"> sangat baik  dalam mengidentifikasi karakteristik ruang dan pemanfaatan sumberdaya alam untuk kesejahteraan masyarakat dari tingkatkota/kabupaten sampai tingkat provinsi.</v>
      </c>
      <c r="BU25" s="307" t="str">
        <f t="shared" si="25"/>
        <v xml:space="preserve"> sangat baik  dalam mengidentifikasi karakteristik ruang dan pemanfaatan sumberdaya alam untuk kesejahteraan masyarakat dari tingkatkota/kabupaten sampai tingkat provinsi.</v>
      </c>
      <c r="BV25"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5" s="307" t="str">
        <f t="shared" si="27"/>
        <v xml:space="preserve"> sangat baik  dalam mengidentifikasi karakteristik ruang dan pemanfaatan sumberdaya alam untuk kesejahteraan masyarakat dari tingkatkota/kabupaten sampai tingkat provinsi.</v>
      </c>
      <c r="BX25" s="308" t="str">
        <f t="shared" si="28"/>
        <v xml:space="preserve"> sangat baik  dalam mengidentifikasi karakteristik ruang dan pemanfaatan sumberdaya alam untuk kesejahteraan masyarakat dari tingkatkota/kabupaten sampai tingkat provinsi.</v>
      </c>
      <c r="BY25" s="301" t="str">
        <f t="shared" si="29"/>
        <v>Anak 21 sangat baik  dalam mengidentifikasi karakteristik ruang dan pemanfaatan sumberdaya alam untuk kesejahteraan masyarakat dari tingkatkota/kabupaten sampai tingkat provinsi.</v>
      </c>
    </row>
    <row r="26" spans="2:77" ht="38.25" customHeight="1">
      <c r="B26" s="109">
        <v>22</v>
      </c>
      <c r="C26" s="110">
        <f>SISWA!B27</f>
        <v>0</v>
      </c>
      <c r="D26" s="111" t="str">
        <f>SISWA!E27</f>
        <v>Anak 22</v>
      </c>
      <c r="E26" s="631">
        <v>99</v>
      </c>
      <c r="F26" s="631">
        <v>99</v>
      </c>
      <c r="G26" s="631">
        <v>99</v>
      </c>
      <c r="H26" s="730"/>
      <c r="I26" s="730"/>
      <c r="J26" s="730"/>
      <c r="K26" s="732"/>
      <c r="L26" s="732"/>
      <c r="M26" s="732"/>
      <c r="N26" s="730"/>
      <c r="O26" s="730"/>
      <c r="P26" s="730"/>
      <c r="Q26" s="610"/>
      <c r="R26" s="631">
        <v>99</v>
      </c>
      <c r="S26" s="631">
        <v>99</v>
      </c>
      <c r="T26" s="631"/>
      <c r="U26" s="631"/>
      <c r="V26" s="631"/>
      <c r="W26" s="631"/>
      <c r="X26" s="610"/>
      <c r="Y26" s="631">
        <v>99</v>
      </c>
      <c r="Z26" s="631">
        <v>99</v>
      </c>
      <c r="AA26" s="631">
        <v>99</v>
      </c>
      <c r="AB26" s="609"/>
      <c r="AC26" s="609"/>
      <c r="AD26" s="609"/>
      <c r="AE26" s="518"/>
      <c r="AF26" s="607">
        <f t="shared" si="13"/>
        <v>99</v>
      </c>
      <c r="AG26" s="607">
        <f t="shared" si="14"/>
        <v>99</v>
      </c>
      <c r="AH26" s="607">
        <f t="shared" si="15"/>
        <v>99</v>
      </c>
      <c r="AI26" s="607" t="str">
        <f>IFERROR(((2*#REF!)+#REF!)/3,"")</f>
        <v/>
      </c>
      <c r="AJ26" s="529"/>
      <c r="AK26" s="528"/>
      <c r="AL26" s="528"/>
      <c r="AM26" s="528"/>
      <c r="AN26" s="302">
        <f t="shared" si="7"/>
        <v>99</v>
      </c>
      <c r="AO26" s="303" t="str">
        <f>IF(AN26&gt;KKM!$G$10,"A",IF(AN26&gt;KKM!$H$10,"B",IF(AN26&gt;=KKM!$I$10,"C","D")))</f>
        <v>A</v>
      </c>
      <c r="AP26" s="523">
        <f t="shared" si="8"/>
        <v>99</v>
      </c>
      <c r="AQ26" s="115" t="str">
        <f>IF(AP26&gt;KKM!$G$10," sangat baik ",IF(AP26&gt;KKM!$H$10," baik ",IF(AP26&gt;=KKM!$I$10," cukup baik "," perlu bimbingan ")))</f>
        <v xml:space="preserve"> sangat baik </v>
      </c>
      <c r="AR26" s="524">
        <f t="shared" si="9"/>
        <v>99</v>
      </c>
      <c r="AS26" s="115" t="str">
        <f>IF(AR26&gt;KKM!$G$10," sangat baik ",IF(AR26&gt;KKM!$H$10," baik ",IF(AR26&gt;=KKM!$I$10," cukup baik "," perlu bimbingan ")))</f>
        <v xml:space="preserve"> sangat baik </v>
      </c>
      <c r="AT26" s="301" t="str">
        <f t="shared" si="16"/>
        <v>Anak 22 sangat baik  dalam mengidentifikasi karakteristik ruang dan pemanfaatan sumberdaya alam untuk kesejahteraan masyarakat dari tingkatkota/kabupaten sampai tingkat provinsi.</v>
      </c>
      <c r="AU26" s="306"/>
      <c r="AV26" s="307" t="str">
        <f t="shared" si="10"/>
        <v xml:space="preserve"> sangat baik  dalam mengidentifikasi karakteristik ruang dan pemanfaatan sumberdaya alam untuk kesejahteraan masyarakat dari tingkatkota/kabupaten sampai tingkat provinsi.</v>
      </c>
      <c r="AW26" s="307" t="str">
        <f t="shared" si="11"/>
        <v xml:space="preserve"> sangat baik  dalam mengidentifikasi karakteristik ruang dan pemanfaatan sumberdaya alam untuk kesejahteraan masyarakat dari tingkatkota/kabupaten sampai tingkat provinsi.</v>
      </c>
      <c r="AX26"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6" s="307" t="str">
        <f t="shared" si="18"/>
        <v xml:space="preserve"> sangat baik  dalam mengidentifikasi karakteristik ruang dan pemanfaatan sumberdaya alam untuk kesejahteraan masyarakat dari tingkatkota/kabupaten sampai tingkat provinsi.</v>
      </c>
      <c r="AZ26" s="308" t="str">
        <f t="shared" si="19"/>
        <v xml:space="preserve"> sangat baik  dalam mengidentifikasi karakteristik ruang dan pemanfaatan sumberdaya alam untuk kesejahteraan masyarakat dari tingkatkota/kabupaten sampai tingkat provinsi.</v>
      </c>
      <c r="BA26" s="301" t="str">
        <f t="shared" si="12"/>
        <v>Anak 22 sangat baik  dalam mengidentifikasi karakteristik ruang dan pemanfaatan sumberdaya alam untuk kesejahteraan masyarakat dari tingkatkota/kabupaten sampai tingkat provinsi.</v>
      </c>
      <c r="BB26" s="120"/>
      <c r="BJ26" s="408">
        <f t="shared" si="20"/>
        <v>99</v>
      </c>
      <c r="BM26" s="302">
        <f t="shared" si="21"/>
        <v>99</v>
      </c>
      <c r="BN26" s="303" t="str">
        <f>IF(BM26&gt;KKM!$G$10,"A",IF(BM26&gt;KKM!$H$10,"B",IF(BM26&gt;=KKM!$I$10,"C","D")))</f>
        <v>A</v>
      </c>
      <c r="BO26" s="523">
        <f t="shared" si="22"/>
        <v>99</v>
      </c>
      <c r="BP26" s="115" t="str">
        <f>IF(BO26&gt;KKM!$G$10," sangat baik ",IF(BO26&gt;KKM!$H$10," baik ",IF(BO26&gt;=KKM!$I$10," cukup baik "," perlu bimbingan ")))</f>
        <v xml:space="preserve"> sangat baik </v>
      </c>
      <c r="BQ26" s="524">
        <f t="shared" si="23"/>
        <v>99</v>
      </c>
      <c r="BR26" s="115" t="str">
        <f>IF(BQ26&gt;KKM!$G$10," sangat baik ",IF(BQ26&gt;KKM!$H$10," baik ",IF(BQ26&gt;=KKM!$I$10," cukup baik "," perlu bimbingan ")))</f>
        <v xml:space="preserve"> sangat baik </v>
      </c>
      <c r="BS26" s="301" t="str">
        <f t="shared" si="30"/>
        <v>Anak 22 sangat baik  dalam mengidentifikasi karakteristik ruang dan pemanfaatan sumberdaya alam untuk kesejahteraan masyarakat dari tingkatkota/kabupaten sampai tingkat provinsi.</v>
      </c>
      <c r="BT26" s="307" t="str">
        <f t="shared" si="24"/>
        <v xml:space="preserve"> sangat baik  dalam mengidentifikasi karakteristik ruang dan pemanfaatan sumberdaya alam untuk kesejahteraan masyarakat dari tingkatkota/kabupaten sampai tingkat provinsi.</v>
      </c>
      <c r="BU26" s="307" t="str">
        <f t="shared" si="25"/>
        <v xml:space="preserve"> sangat baik  dalam mengidentifikasi karakteristik ruang dan pemanfaatan sumberdaya alam untuk kesejahteraan masyarakat dari tingkatkota/kabupaten sampai tingkat provinsi.</v>
      </c>
      <c r="BV26"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6" s="307" t="str">
        <f t="shared" si="27"/>
        <v xml:space="preserve"> sangat baik  dalam mengidentifikasi karakteristik ruang dan pemanfaatan sumberdaya alam untuk kesejahteraan masyarakat dari tingkatkota/kabupaten sampai tingkat provinsi.</v>
      </c>
      <c r="BX26" s="308" t="str">
        <f t="shared" si="28"/>
        <v xml:space="preserve"> sangat baik  dalam mengidentifikasi karakteristik ruang dan pemanfaatan sumberdaya alam untuk kesejahteraan masyarakat dari tingkatkota/kabupaten sampai tingkat provinsi.</v>
      </c>
      <c r="BY26" s="301" t="str">
        <f t="shared" si="29"/>
        <v>Anak 22 sangat baik  dalam mengidentifikasi karakteristik ruang dan pemanfaatan sumberdaya alam untuk kesejahteraan masyarakat dari tingkatkota/kabupaten sampai tingkat provinsi.</v>
      </c>
    </row>
    <row r="27" spans="2:77" ht="38.25" customHeight="1">
      <c r="B27" s="109">
        <v>23</v>
      </c>
      <c r="C27" s="110">
        <f>SISWA!B28</f>
        <v>0</v>
      </c>
      <c r="D27" s="111" t="str">
        <f>SISWA!E28</f>
        <v>Anak 23</v>
      </c>
      <c r="E27" s="631">
        <v>99</v>
      </c>
      <c r="F27" s="631">
        <v>99</v>
      </c>
      <c r="G27" s="631">
        <v>99</v>
      </c>
      <c r="H27" s="730"/>
      <c r="I27" s="730"/>
      <c r="J27" s="730"/>
      <c r="K27" s="732"/>
      <c r="L27" s="732"/>
      <c r="M27" s="732"/>
      <c r="N27" s="730"/>
      <c r="O27" s="730"/>
      <c r="P27" s="730"/>
      <c r="Q27" s="610"/>
      <c r="R27" s="631">
        <v>99</v>
      </c>
      <c r="S27" s="631">
        <v>99</v>
      </c>
      <c r="T27" s="631"/>
      <c r="U27" s="631"/>
      <c r="V27" s="631"/>
      <c r="W27" s="631"/>
      <c r="X27" s="610"/>
      <c r="Y27" s="631">
        <v>99</v>
      </c>
      <c r="Z27" s="631">
        <v>99</v>
      </c>
      <c r="AA27" s="631">
        <v>99</v>
      </c>
      <c r="AB27" s="609"/>
      <c r="AC27" s="609"/>
      <c r="AD27" s="609"/>
      <c r="AE27" s="518"/>
      <c r="AF27" s="607">
        <f t="shared" si="13"/>
        <v>99</v>
      </c>
      <c r="AG27" s="607">
        <f t="shared" si="14"/>
        <v>99</v>
      </c>
      <c r="AH27" s="607">
        <f t="shared" si="15"/>
        <v>99</v>
      </c>
      <c r="AI27" s="607" t="str">
        <f>IFERROR(((2*#REF!)+#REF!)/3,"")</f>
        <v/>
      </c>
      <c r="AJ27" s="529"/>
      <c r="AK27" s="528"/>
      <c r="AL27" s="528"/>
      <c r="AM27" s="528"/>
      <c r="AN27" s="302">
        <f t="shared" si="7"/>
        <v>99</v>
      </c>
      <c r="AO27" s="303" t="str">
        <f>IF(AN27&gt;KKM!$G$10,"A",IF(AN27&gt;KKM!$H$10,"B",IF(AN27&gt;=KKM!$I$10,"C","D")))</f>
        <v>A</v>
      </c>
      <c r="AP27" s="523">
        <f t="shared" si="8"/>
        <v>99</v>
      </c>
      <c r="AQ27" s="115" t="str">
        <f>IF(AP27&gt;KKM!$G$10," sangat baik ",IF(AP27&gt;KKM!$H$10," baik ",IF(AP27&gt;=KKM!$I$10," cukup baik "," perlu bimbingan ")))</f>
        <v xml:space="preserve"> sangat baik </v>
      </c>
      <c r="AR27" s="524">
        <f t="shared" si="9"/>
        <v>99</v>
      </c>
      <c r="AS27" s="115" t="str">
        <f>IF(AR27&gt;KKM!$G$10," sangat baik ",IF(AR27&gt;KKM!$H$10," baik ",IF(AR27&gt;=KKM!$I$10," cukup baik "," perlu bimbingan ")))</f>
        <v xml:space="preserve"> sangat baik </v>
      </c>
      <c r="AT27" s="301" t="str">
        <f t="shared" si="16"/>
        <v>Anak 23 sangat baik  dalam mengidentifikasi karakteristik ruang dan pemanfaatan sumberdaya alam untuk kesejahteraan masyarakat dari tingkatkota/kabupaten sampai tingkat provinsi.</v>
      </c>
      <c r="AU27" s="306"/>
      <c r="AV27" s="307" t="str">
        <f t="shared" si="10"/>
        <v xml:space="preserve"> sangat baik  dalam mengidentifikasi karakteristik ruang dan pemanfaatan sumberdaya alam untuk kesejahteraan masyarakat dari tingkatkota/kabupaten sampai tingkat provinsi.</v>
      </c>
      <c r="AW27" s="307" t="str">
        <f t="shared" si="11"/>
        <v xml:space="preserve"> sangat baik  dalam mengidentifikasi karakteristik ruang dan pemanfaatan sumberdaya alam untuk kesejahteraan masyarakat dari tingkatkota/kabupaten sampai tingkat provinsi.</v>
      </c>
      <c r="AX27"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7" s="307" t="str">
        <f t="shared" si="18"/>
        <v xml:space="preserve"> sangat baik  dalam mengidentifikasi karakteristik ruang dan pemanfaatan sumberdaya alam untuk kesejahteraan masyarakat dari tingkatkota/kabupaten sampai tingkat provinsi.</v>
      </c>
      <c r="AZ27" s="308" t="str">
        <f t="shared" si="19"/>
        <v xml:space="preserve"> sangat baik  dalam mengidentifikasi karakteristik ruang dan pemanfaatan sumberdaya alam untuk kesejahteraan masyarakat dari tingkatkota/kabupaten sampai tingkat provinsi.</v>
      </c>
      <c r="BA27" s="301" t="str">
        <f t="shared" si="12"/>
        <v>Anak 23 sangat baik  dalam mengidentifikasi karakteristik ruang dan pemanfaatan sumberdaya alam untuk kesejahteraan masyarakat dari tingkatkota/kabupaten sampai tingkat provinsi.</v>
      </c>
      <c r="BB27" s="120"/>
      <c r="BJ27" s="408">
        <f t="shared" si="20"/>
        <v>99</v>
      </c>
      <c r="BM27" s="302">
        <f t="shared" si="21"/>
        <v>99</v>
      </c>
      <c r="BN27" s="303" t="str">
        <f>IF(BM27&gt;KKM!$G$10,"A",IF(BM27&gt;KKM!$H$10,"B",IF(BM27&gt;=KKM!$I$10,"C","D")))</f>
        <v>A</v>
      </c>
      <c r="BO27" s="523">
        <f t="shared" si="22"/>
        <v>99</v>
      </c>
      <c r="BP27" s="115" t="str">
        <f>IF(BO27&gt;KKM!$G$10," sangat baik ",IF(BO27&gt;KKM!$H$10," baik ",IF(BO27&gt;=KKM!$I$10," cukup baik "," perlu bimbingan ")))</f>
        <v xml:space="preserve"> sangat baik </v>
      </c>
      <c r="BQ27" s="524">
        <f t="shared" si="23"/>
        <v>99</v>
      </c>
      <c r="BR27" s="115" t="str">
        <f>IF(BQ27&gt;KKM!$G$10," sangat baik ",IF(BQ27&gt;KKM!$H$10," baik ",IF(BQ27&gt;=KKM!$I$10," cukup baik "," perlu bimbingan ")))</f>
        <v xml:space="preserve"> sangat baik </v>
      </c>
      <c r="BS27" s="301" t="str">
        <f t="shared" si="30"/>
        <v>Anak 23 sangat baik  dalam mengidentifikasi karakteristik ruang dan pemanfaatan sumberdaya alam untuk kesejahteraan masyarakat dari tingkatkota/kabupaten sampai tingkat provinsi.</v>
      </c>
      <c r="BT27" s="307" t="str">
        <f t="shared" si="24"/>
        <v xml:space="preserve"> sangat baik  dalam mengidentifikasi karakteristik ruang dan pemanfaatan sumberdaya alam untuk kesejahteraan masyarakat dari tingkatkota/kabupaten sampai tingkat provinsi.</v>
      </c>
      <c r="BU27" s="307" t="str">
        <f t="shared" si="25"/>
        <v xml:space="preserve"> sangat baik  dalam mengidentifikasi karakteristik ruang dan pemanfaatan sumberdaya alam untuk kesejahteraan masyarakat dari tingkatkota/kabupaten sampai tingkat provinsi.</v>
      </c>
      <c r="BV27"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7" s="307" t="str">
        <f t="shared" si="27"/>
        <v xml:space="preserve"> sangat baik  dalam mengidentifikasi karakteristik ruang dan pemanfaatan sumberdaya alam untuk kesejahteraan masyarakat dari tingkatkota/kabupaten sampai tingkat provinsi.</v>
      </c>
      <c r="BX27" s="308" t="str">
        <f t="shared" si="28"/>
        <v xml:space="preserve"> sangat baik  dalam mengidentifikasi karakteristik ruang dan pemanfaatan sumberdaya alam untuk kesejahteraan masyarakat dari tingkatkota/kabupaten sampai tingkat provinsi.</v>
      </c>
      <c r="BY27" s="301" t="str">
        <f t="shared" si="29"/>
        <v>Anak 23 sangat baik  dalam mengidentifikasi karakteristik ruang dan pemanfaatan sumberdaya alam untuk kesejahteraan masyarakat dari tingkatkota/kabupaten sampai tingkat provinsi.</v>
      </c>
    </row>
    <row r="28" spans="2:77" ht="38.25" customHeight="1">
      <c r="B28" s="109">
        <v>24</v>
      </c>
      <c r="C28" s="110">
        <f>SISWA!B29</f>
        <v>0</v>
      </c>
      <c r="D28" s="111" t="str">
        <f>SISWA!E29</f>
        <v>Anak 24</v>
      </c>
      <c r="E28" s="631">
        <v>99</v>
      </c>
      <c r="F28" s="631">
        <v>99</v>
      </c>
      <c r="G28" s="631">
        <v>99</v>
      </c>
      <c r="H28" s="730"/>
      <c r="I28" s="730"/>
      <c r="J28" s="730"/>
      <c r="K28" s="732"/>
      <c r="L28" s="732"/>
      <c r="M28" s="732"/>
      <c r="N28" s="730"/>
      <c r="O28" s="730"/>
      <c r="P28" s="730"/>
      <c r="Q28" s="610"/>
      <c r="R28" s="631">
        <v>99</v>
      </c>
      <c r="S28" s="631">
        <v>99</v>
      </c>
      <c r="T28" s="631"/>
      <c r="U28" s="631"/>
      <c r="V28" s="631"/>
      <c r="W28" s="631"/>
      <c r="X28" s="610"/>
      <c r="Y28" s="631">
        <v>99</v>
      </c>
      <c r="Z28" s="631">
        <v>99</v>
      </c>
      <c r="AA28" s="631">
        <v>99</v>
      </c>
      <c r="AB28" s="609"/>
      <c r="AC28" s="609"/>
      <c r="AD28" s="609"/>
      <c r="AE28" s="518"/>
      <c r="AF28" s="607">
        <f t="shared" si="13"/>
        <v>99</v>
      </c>
      <c r="AG28" s="607">
        <f t="shared" si="14"/>
        <v>99</v>
      </c>
      <c r="AH28" s="607">
        <f t="shared" si="15"/>
        <v>99</v>
      </c>
      <c r="AI28" s="607" t="str">
        <f>IFERROR(((2*#REF!)+#REF!)/3,"")</f>
        <v/>
      </c>
      <c r="AJ28" s="529"/>
      <c r="AK28" s="528"/>
      <c r="AL28" s="528"/>
      <c r="AM28" s="528"/>
      <c r="AN28" s="302">
        <f t="shared" si="7"/>
        <v>99</v>
      </c>
      <c r="AO28" s="303" t="str">
        <f>IF(AN28&gt;KKM!$G$10,"A",IF(AN28&gt;KKM!$H$10,"B",IF(AN28&gt;=KKM!$I$10,"C","D")))</f>
        <v>A</v>
      </c>
      <c r="AP28" s="523">
        <f t="shared" si="8"/>
        <v>99</v>
      </c>
      <c r="AQ28" s="115" t="str">
        <f>IF(AP28&gt;KKM!$G$10," sangat baik ",IF(AP28&gt;KKM!$H$10," baik ",IF(AP28&gt;=KKM!$I$10," cukup baik "," perlu bimbingan ")))</f>
        <v xml:space="preserve"> sangat baik </v>
      </c>
      <c r="AR28" s="524">
        <f t="shared" si="9"/>
        <v>99</v>
      </c>
      <c r="AS28" s="115" t="str">
        <f>IF(AR28&gt;KKM!$G$10," sangat baik ",IF(AR28&gt;KKM!$H$10," baik ",IF(AR28&gt;=KKM!$I$10," cukup baik "," perlu bimbingan ")))</f>
        <v xml:space="preserve"> sangat baik </v>
      </c>
      <c r="AT28" s="301" t="str">
        <f t="shared" si="16"/>
        <v>Anak 24 sangat baik  dalam mengidentifikasi karakteristik ruang dan pemanfaatan sumberdaya alam untuk kesejahteraan masyarakat dari tingkatkota/kabupaten sampai tingkat provinsi.</v>
      </c>
      <c r="AU28" s="306"/>
      <c r="AV28" s="307" t="str">
        <f t="shared" si="10"/>
        <v xml:space="preserve"> sangat baik  dalam mengidentifikasi karakteristik ruang dan pemanfaatan sumberdaya alam untuk kesejahteraan masyarakat dari tingkatkota/kabupaten sampai tingkat provinsi.</v>
      </c>
      <c r="AW28" s="307" t="str">
        <f t="shared" si="11"/>
        <v xml:space="preserve"> sangat baik  dalam mengidentifikasi karakteristik ruang dan pemanfaatan sumberdaya alam untuk kesejahteraan masyarakat dari tingkatkota/kabupaten sampai tingkat provinsi.</v>
      </c>
      <c r="AX28"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8" s="307" t="str">
        <f t="shared" si="18"/>
        <v xml:space="preserve"> sangat baik  dalam mengidentifikasi karakteristik ruang dan pemanfaatan sumberdaya alam untuk kesejahteraan masyarakat dari tingkatkota/kabupaten sampai tingkat provinsi.</v>
      </c>
      <c r="AZ28" s="308" t="str">
        <f t="shared" si="19"/>
        <v xml:space="preserve"> sangat baik  dalam mengidentifikasi karakteristik ruang dan pemanfaatan sumberdaya alam untuk kesejahteraan masyarakat dari tingkatkota/kabupaten sampai tingkat provinsi.</v>
      </c>
      <c r="BA28" s="301" t="str">
        <f t="shared" si="12"/>
        <v>Anak 24 sangat baik  dalam mengidentifikasi karakteristik ruang dan pemanfaatan sumberdaya alam untuk kesejahteraan masyarakat dari tingkatkota/kabupaten sampai tingkat provinsi.</v>
      </c>
      <c r="BB28" s="120"/>
      <c r="BJ28" s="408">
        <f t="shared" si="20"/>
        <v>99</v>
      </c>
      <c r="BM28" s="302">
        <f t="shared" si="21"/>
        <v>99</v>
      </c>
      <c r="BN28" s="303" t="str">
        <f>IF(BM28&gt;KKM!$G$10,"A",IF(BM28&gt;KKM!$H$10,"B",IF(BM28&gt;=KKM!$I$10,"C","D")))</f>
        <v>A</v>
      </c>
      <c r="BO28" s="523">
        <f t="shared" si="22"/>
        <v>99</v>
      </c>
      <c r="BP28" s="115" t="str">
        <f>IF(BO28&gt;KKM!$G$10," sangat baik ",IF(BO28&gt;KKM!$H$10," baik ",IF(BO28&gt;=KKM!$I$10," cukup baik "," perlu bimbingan ")))</f>
        <v xml:space="preserve"> sangat baik </v>
      </c>
      <c r="BQ28" s="524">
        <f t="shared" si="23"/>
        <v>99</v>
      </c>
      <c r="BR28" s="115" t="str">
        <f>IF(BQ28&gt;KKM!$G$10," sangat baik ",IF(BQ28&gt;KKM!$H$10," baik ",IF(BQ28&gt;=KKM!$I$10," cukup baik "," perlu bimbingan ")))</f>
        <v xml:space="preserve"> sangat baik </v>
      </c>
      <c r="BS28" s="301" t="str">
        <f t="shared" si="30"/>
        <v>Anak 24 sangat baik  dalam mengidentifikasi karakteristik ruang dan pemanfaatan sumberdaya alam untuk kesejahteraan masyarakat dari tingkatkota/kabupaten sampai tingkat provinsi.</v>
      </c>
      <c r="BT28" s="307" t="str">
        <f t="shared" si="24"/>
        <v xml:space="preserve"> sangat baik  dalam mengidentifikasi karakteristik ruang dan pemanfaatan sumberdaya alam untuk kesejahteraan masyarakat dari tingkatkota/kabupaten sampai tingkat provinsi.</v>
      </c>
      <c r="BU28" s="307" t="str">
        <f t="shared" si="25"/>
        <v xml:space="preserve"> sangat baik  dalam mengidentifikasi karakteristik ruang dan pemanfaatan sumberdaya alam untuk kesejahteraan masyarakat dari tingkatkota/kabupaten sampai tingkat provinsi.</v>
      </c>
      <c r="BV28"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8" s="307" t="str">
        <f t="shared" si="27"/>
        <v xml:space="preserve"> sangat baik  dalam mengidentifikasi karakteristik ruang dan pemanfaatan sumberdaya alam untuk kesejahteraan masyarakat dari tingkatkota/kabupaten sampai tingkat provinsi.</v>
      </c>
      <c r="BX28" s="308" t="str">
        <f t="shared" si="28"/>
        <v xml:space="preserve"> sangat baik  dalam mengidentifikasi karakteristik ruang dan pemanfaatan sumberdaya alam untuk kesejahteraan masyarakat dari tingkatkota/kabupaten sampai tingkat provinsi.</v>
      </c>
      <c r="BY28" s="301" t="str">
        <f t="shared" si="29"/>
        <v>Anak 24 sangat baik  dalam mengidentifikasi karakteristik ruang dan pemanfaatan sumberdaya alam untuk kesejahteraan masyarakat dari tingkatkota/kabupaten sampai tingkat provinsi.</v>
      </c>
    </row>
    <row r="29" spans="2:77" ht="38.25" customHeight="1">
      <c r="B29" s="109">
        <v>25</v>
      </c>
      <c r="C29" s="110">
        <f>SISWA!B30</f>
        <v>0</v>
      </c>
      <c r="D29" s="111" t="str">
        <f>SISWA!E30</f>
        <v>Anak 25</v>
      </c>
      <c r="E29" s="631">
        <v>99</v>
      </c>
      <c r="F29" s="631">
        <v>99</v>
      </c>
      <c r="G29" s="631">
        <v>99</v>
      </c>
      <c r="H29" s="730"/>
      <c r="I29" s="730"/>
      <c r="J29" s="730"/>
      <c r="K29" s="732"/>
      <c r="L29" s="732"/>
      <c r="M29" s="732"/>
      <c r="N29" s="730"/>
      <c r="O29" s="730"/>
      <c r="P29" s="730"/>
      <c r="Q29" s="610"/>
      <c r="R29" s="631">
        <v>99</v>
      </c>
      <c r="S29" s="631">
        <v>99</v>
      </c>
      <c r="T29" s="631"/>
      <c r="U29" s="631"/>
      <c r="V29" s="631"/>
      <c r="W29" s="631"/>
      <c r="X29" s="610"/>
      <c r="Y29" s="631">
        <v>99</v>
      </c>
      <c r="Z29" s="631">
        <v>99</v>
      </c>
      <c r="AA29" s="631">
        <v>99</v>
      </c>
      <c r="AB29" s="609"/>
      <c r="AC29" s="609"/>
      <c r="AD29" s="609"/>
      <c r="AE29" s="518"/>
      <c r="AF29" s="607">
        <f t="shared" si="13"/>
        <v>99</v>
      </c>
      <c r="AG29" s="607">
        <f t="shared" si="14"/>
        <v>99</v>
      </c>
      <c r="AH29" s="607">
        <f t="shared" si="15"/>
        <v>99</v>
      </c>
      <c r="AI29" s="607" t="str">
        <f>IFERROR(((2*#REF!)+#REF!)/3,"")</f>
        <v/>
      </c>
      <c r="AJ29" s="529"/>
      <c r="AK29" s="528"/>
      <c r="AL29" s="528"/>
      <c r="AM29" s="528"/>
      <c r="AN29" s="302">
        <f t="shared" si="7"/>
        <v>99</v>
      </c>
      <c r="AO29" s="303" t="str">
        <f>IF(AN29&gt;KKM!$G$10,"A",IF(AN29&gt;KKM!$H$10,"B",IF(AN29&gt;=KKM!$I$10,"C","D")))</f>
        <v>A</v>
      </c>
      <c r="AP29" s="523">
        <f t="shared" si="8"/>
        <v>99</v>
      </c>
      <c r="AQ29" s="115" t="str">
        <f>IF(AP29&gt;KKM!$G$10," sangat baik ",IF(AP29&gt;KKM!$H$10," baik ",IF(AP29&gt;=KKM!$I$10," cukup baik "," perlu bimbingan ")))</f>
        <v xml:space="preserve"> sangat baik </v>
      </c>
      <c r="AR29" s="524">
        <f t="shared" si="9"/>
        <v>99</v>
      </c>
      <c r="AS29" s="115" t="str">
        <f>IF(AR29&gt;KKM!$G$10," sangat baik ",IF(AR29&gt;KKM!$H$10," baik ",IF(AR29&gt;=KKM!$I$10," cukup baik "," perlu bimbingan ")))</f>
        <v xml:space="preserve"> sangat baik </v>
      </c>
      <c r="AT29" s="301" t="str">
        <f t="shared" si="16"/>
        <v>Anak 25 sangat baik  dalam mengidentifikasi karakteristik ruang dan pemanfaatan sumberdaya alam untuk kesejahteraan masyarakat dari tingkatkota/kabupaten sampai tingkat provinsi.</v>
      </c>
      <c r="AU29" s="306"/>
      <c r="AV29" s="307" t="str">
        <f t="shared" si="10"/>
        <v xml:space="preserve"> sangat baik  dalam mengidentifikasi karakteristik ruang dan pemanfaatan sumberdaya alam untuk kesejahteraan masyarakat dari tingkatkota/kabupaten sampai tingkat provinsi.</v>
      </c>
      <c r="AW29" s="307" t="str">
        <f t="shared" si="11"/>
        <v xml:space="preserve"> sangat baik  dalam mengidentifikasi karakteristik ruang dan pemanfaatan sumberdaya alam untuk kesejahteraan masyarakat dari tingkatkota/kabupaten sampai tingkat provinsi.</v>
      </c>
      <c r="AX29"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29" s="307" t="str">
        <f t="shared" si="18"/>
        <v xml:space="preserve"> sangat baik  dalam mengidentifikasi karakteristik ruang dan pemanfaatan sumberdaya alam untuk kesejahteraan masyarakat dari tingkatkota/kabupaten sampai tingkat provinsi.</v>
      </c>
      <c r="AZ29" s="308" t="str">
        <f t="shared" si="19"/>
        <v xml:space="preserve"> sangat baik  dalam mengidentifikasi karakteristik ruang dan pemanfaatan sumberdaya alam untuk kesejahteraan masyarakat dari tingkatkota/kabupaten sampai tingkat provinsi.</v>
      </c>
      <c r="BA29" s="301" t="str">
        <f t="shared" si="12"/>
        <v>Anak 25 sangat baik  dalam mengidentifikasi karakteristik ruang dan pemanfaatan sumberdaya alam untuk kesejahteraan masyarakat dari tingkatkota/kabupaten sampai tingkat provinsi.</v>
      </c>
      <c r="BB29" s="120"/>
      <c r="BJ29" s="408">
        <f t="shared" si="20"/>
        <v>99</v>
      </c>
      <c r="BM29" s="302">
        <f t="shared" si="21"/>
        <v>99</v>
      </c>
      <c r="BN29" s="303" t="str">
        <f>IF(BM29&gt;KKM!$G$10,"A",IF(BM29&gt;KKM!$H$10,"B",IF(BM29&gt;=KKM!$I$10,"C","D")))</f>
        <v>A</v>
      </c>
      <c r="BO29" s="523">
        <f t="shared" si="22"/>
        <v>99</v>
      </c>
      <c r="BP29" s="115" t="str">
        <f>IF(BO29&gt;KKM!$G$10," sangat baik ",IF(BO29&gt;KKM!$H$10," baik ",IF(BO29&gt;=KKM!$I$10," cukup baik "," perlu bimbingan ")))</f>
        <v xml:space="preserve"> sangat baik </v>
      </c>
      <c r="BQ29" s="524">
        <f t="shared" si="23"/>
        <v>99</v>
      </c>
      <c r="BR29" s="115" t="str">
        <f>IF(BQ29&gt;KKM!$G$10," sangat baik ",IF(BQ29&gt;KKM!$H$10," baik ",IF(BQ29&gt;=KKM!$I$10," cukup baik "," perlu bimbingan ")))</f>
        <v xml:space="preserve"> sangat baik </v>
      </c>
      <c r="BS29" s="301" t="str">
        <f t="shared" si="30"/>
        <v>Anak 25 sangat baik  dalam mengidentifikasi karakteristik ruang dan pemanfaatan sumberdaya alam untuk kesejahteraan masyarakat dari tingkatkota/kabupaten sampai tingkat provinsi.</v>
      </c>
      <c r="BT29" s="307" t="str">
        <f t="shared" si="24"/>
        <v xml:space="preserve"> sangat baik  dalam mengidentifikasi karakteristik ruang dan pemanfaatan sumberdaya alam untuk kesejahteraan masyarakat dari tingkatkota/kabupaten sampai tingkat provinsi.</v>
      </c>
      <c r="BU29" s="307" t="str">
        <f t="shared" si="25"/>
        <v xml:space="preserve"> sangat baik  dalam mengidentifikasi karakteristik ruang dan pemanfaatan sumberdaya alam untuk kesejahteraan masyarakat dari tingkatkota/kabupaten sampai tingkat provinsi.</v>
      </c>
      <c r="BV29"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29" s="307" t="str">
        <f t="shared" si="27"/>
        <v xml:space="preserve"> sangat baik  dalam mengidentifikasi karakteristik ruang dan pemanfaatan sumberdaya alam untuk kesejahteraan masyarakat dari tingkatkota/kabupaten sampai tingkat provinsi.</v>
      </c>
      <c r="BX29" s="308" t="str">
        <f t="shared" si="28"/>
        <v xml:space="preserve"> sangat baik  dalam mengidentifikasi karakteristik ruang dan pemanfaatan sumberdaya alam untuk kesejahteraan masyarakat dari tingkatkota/kabupaten sampai tingkat provinsi.</v>
      </c>
      <c r="BY29" s="301" t="str">
        <f t="shared" si="29"/>
        <v>Anak 25 sangat baik  dalam mengidentifikasi karakteristik ruang dan pemanfaatan sumberdaya alam untuk kesejahteraan masyarakat dari tingkatkota/kabupaten sampai tingkat provinsi.</v>
      </c>
    </row>
    <row r="30" spans="2:77" ht="38.25" customHeight="1">
      <c r="B30" s="109">
        <v>26</v>
      </c>
      <c r="C30" s="110">
        <f>SISWA!B31</f>
        <v>0</v>
      </c>
      <c r="D30" s="111" t="str">
        <f>SISWA!E31</f>
        <v>Anak 26</v>
      </c>
      <c r="E30" s="631">
        <v>99</v>
      </c>
      <c r="F30" s="631">
        <v>99</v>
      </c>
      <c r="G30" s="631">
        <v>99</v>
      </c>
      <c r="H30" s="730"/>
      <c r="I30" s="730"/>
      <c r="J30" s="730"/>
      <c r="K30" s="732"/>
      <c r="L30" s="732"/>
      <c r="M30" s="732"/>
      <c r="N30" s="730"/>
      <c r="O30" s="730"/>
      <c r="P30" s="730"/>
      <c r="Q30" s="610"/>
      <c r="R30" s="631">
        <v>99</v>
      </c>
      <c r="S30" s="631">
        <v>99</v>
      </c>
      <c r="T30" s="631"/>
      <c r="U30" s="631"/>
      <c r="V30" s="631"/>
      <c r="W30" s="631"/>
      <c r="X30" s="610"/>
      <c r="Y30" s="631">
        <v>99</v>
      </c>
      <c r="Z30" s="631">
        <v>99</v>
      </c>
      <c r="AA30" s="631">
        <v>99</v>
      </c>
      <c r="AB30" s="609"/>
      <c r="AC30" s="609"/>
      <c r="AD30" s="609"/>
      <c r="AE30" s="518"/>
      <c r="AF30" s="607">
        <f t="shared" si="13"/>
        <v>99</v>
      </c>
      <c r="AG30" s="607">
        <f t="shared" si="14"/>
        <v>99</v>
      </c>
      <c r="AH30" s="607">
        <f t="shared" si="15"/>
        <v>99</v>
      </c>
      <c r="AI30" s="607" t="str">
        <f>IFERROR(((2*#REF!)+#REF!)/3,"")</f>
        <v/>
      </c>
      <c r="AJ30" s="529"/>
      <c r="AK30" s="528"/>
      <c r="AL30" s="528"/>
      <c r="AM30" s="528"/>
      <c r="AN30" s="302">
        <f t="shared" si="7"/>
        <v>99</v>
      </c>
      <c r="AO30" s="303" t="str">
        <f>IF(AN30&gt;KKM!$G$10,"A",IF(AN30&gt;KKM!$H$10,"B",IF(AN30&gt;=KKM!$I$10,"C","D")))</f>
        <v>A</v>
      </c>
      <c r="AP30" s="523">
        <f t="shared" si="8"/>
        <v>99</v>
      </c>
      <c r="AQ30" s="115" t="str">
        <f>IF(AP30&gt;KKM!$G$10," sangat baik ",IF(AP30&gt;KKM!$H$10," baik ",IF(AP30&gt;=KKM!$I$10," cukup baik "," perlu bimbingan ")))</f>
        <v xml:space="preserve"> sangat baik </v>
      </c>
      <c r="AR30" s="524">
        <f t="shared" si="9"/>
        <v>99</v>
      </c>
      <c r="AS30" s="115" t="str">
        <f>IF(AR30&gt;KKM!$G$10," sangat baik ",IF(AR30&gt;KKM!$H$10," baik ",IF(AR30&gt;=KKM!$I$10," cukup baik "," perlu bimbingan ")))</f>
        <v xml:space="preserve"> sangat baik </v>
      </c>
      <c r="AT30" s="301" t="str">
        <f t="shared" si="16"/>
        <v>Anak 26 sangat baik  dalam mengidentifikasi karakteristik ruang dan pemanfaatan sumberdaya alam untuk kesejahteraan masyarakat dari tingkatkota/kabupaten sampai tingkat provinsi.</v>
      </c>
      <c r="AU30" s="306"/>
      <c r="AV30" s="307" t="str">
        <f t="shared" si="10"/>
        <v xml:space="preserve"> sangat baik  dalam mengidentifikasi karakteristik ruang dan pemanfaatan sumberdaya alam untuk kesejahteraan masyarakat dari tingkatkota/kabupaten sampai tingkat provinsi.</v>
      </c>
      <c r="AW30" s="307" t="str">
        <f t="shared" si="11"/>
        <v xml:space="preserve"> sangat baik  dalam mengidentifikasi karakteristik ruang dan pemanfaatan sumberdaya alam untuk kesejahteraan masyarakat dari tingkatkota/kabupaten sampai tingkat provinsi.</v>
      </c>
      <c r="AX30"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0" s="307" t="str">
        <f t="shared" si="18"/>
        <v xml:space="preserve"> sangat baik  dalam mengidentifikasi karakteristik ruang dan pemanfaatan sumberdaya alam untuk kesejahteraan masyarakat dari tingkatkota/kabupaten sampai tingkat provinsi.</v>
      </c>
      <c r="AZ30" s="308" t="str">
        <f t="shared" si="19"/>
        <v xml:space="preserve"> sangat baik  dalam mengidentifikasi karakteristik ruang dan pemanfaatan sumberdaya alam untuk kesejahteraan masyarakat dari tingkatkota/kabupaten sampai tingkat provinsi.</v>
      </c>
      <c r="BA30" s="301" t="str">
        <f t="shared" si="12"/>
        <v>Anak 26 sangat baik  dalam mengidentifikasi karakteristik ruang dan pemanfaatan sumberdaya alam untuk kesejahteraan masyarakat dari tingkatkota/kabupaten sampai tingkat provinsi.</v>
      </c>
      <c r="BB30" s="120"/>
      <c r="BJ30" s="408">
        <f t="shared" si="20"/>
        <v>99</v>
      </c>
      <c r="BM30" s="302">
        <f t="shared" si="21"/>
        <v>99</v>
      </c>
      <c r="BN30" s="303" t="str">
        <f>IF(BM30&gt;KKM!$G$10,"A",IF(BM30&gt;KKM!$H$10,"B",IF(BM30&gt;=KKM!$I$10,"C","D")))</f>
        <v>A</v>
      </c>
      <c r="BO30" s="523">
        <f t="shared" si="22"/>
        <v>99</v>
      </c>
      <c r="BP30" s="115" t="str">
        <f>IF(BO30&gt;KKM!$G$10," sangat baik ",IF(BO30&gt;KKM!$H$10," baik ",IF(BO30&gt;=KKM!$I$10," cukup baik "," perlu bimbingan ")))</f>
        <v xml:space="preserve"> sangat baik </v>
      </c>
      <c r="BQ30" s="524">
        <f t="shared" si="23"/>
        <v>99</v>
      </c>
      <c r="BR30" s="115" t="str">
        <f>IF(BQ30&gt;KKM!$G$10," sangat baik ",IF(BQ30&gt;KKM!$H$10," baik ",IF(BQ30&gt;=KKM!$I$10," cukup baik "," perlu bimbingan ")))</f>
        <v xml:space="preserve"> sangat baik </v>
      </c>
      <c r="BS30" s="301" t="str">
        <f t="shared" si="30"/>
        <v>Anak 26 sangat baik  dalam mengidentifikasi karakteristik ruang dan pemanfaatan sumberdaya alam untuk kesejahteraan masyarakat dari tingkatkota/kabupaten sampai tingkat provinsi.</v>
      </c>
      <c r="BT30" s="307" t="str">
        <f t="shared" si="24"/>
        <v xml:space="preserve"> sangat baik  dalam mengidentifikasi karakteristik ruang dan pemanfaatan sumberdaya alam untuk kesejahteraan masyarakat dari tingkatkota/kabupaten sampai tingkat provinsi.</v>
      </c>
      <c r="BU30" s="307" t="str">
        <f t="shared" si="25"/>
        <v xml:space="preserve"> sangat baik  dalam mengidentifikasi karakteristik ruang dan pemanfaatan sumberdaya alam untuk kesejahteraan masyarakat dari tingkatkota/kabupaten sampai tingkat provinsi.</v>
      </c>
      <c r="BV30"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0" s="307" t="str">
        <f t="shared" si="27"/>
        <v xml:space="preserve"> sangat baik  dalam mengidentifikasi karakteristik ruang dan pemanfaatan sumberdaya alam untuk kesejahteraan masyarakat dari tingkatkota/kabupaten sampai tingkat provinsi.</v>
      </c>
      <c r="BX30" s="308" t="str">
        <f t="shared" si="28"/>
        <v xml:space="preserve"> sangat baik  dalam mengidentifikasi karakteristik ruang dan pemanfaatan sumberdaya alam untuk kesejahteraan masyarakat dari tingkatkota/kabupaten sampai tingkat provinsi.</v>
      </c>
      <c r="BY30" s="301" t="str">
        <f t="shared" si="29"/>
        <v>Anak 26 sangat baik  dalam mengidentifikasi karakteristik ruang dan pemanfaatan sumberdaya alam untuk kesejahteraan masyarakat dari tingkatkota/kabupaten sampai tingkat provinsi.</v>
      </c>
    </row>
    <row r="31" spans="2:77" ht="38.25" customHeight="1">
      <c r="B31" s="109">
        <v>27</v>
      </c>
      <c r="C31" s="110">
        <f>SISWA!B32</f>
        <v>0</v>
      </c>
      <c r="D31" s="111" t="str">
        <f>SISWA!E32</f>
        <v>Anak 27</v>
      </c>
      <c r="E31" s="631">
        <v>99</v>
      </c>
      <c r="F31" s="631">
        <v>99</v>
      </c>
      <c r="G31" s="631">
        <v>99</v>
      </c>
      <c r="H31" s="730"/>
      <c r="I31" s="730"/>
      <c r="J31" s="730"/>
      <c r="K31" s="732"/>
      <c r="L31" s="732"/>
      <c r="M31" s="732"/>
      <c r="N31" s="730"/>
      <c r="O31" s="730"/>
      <c r="P31" s="730"/>
      <c r="Q31" s="610"/>
      <c r="R31" s="631">
        <v>99</v>
      </c>
      <c r="S31" s="631">
        <v>99</v>
      </c>
      <c r="T31" s="631"/>
      <c r="U31" s="631"/>
      <c r="V31" s="631"/>
      <c r="W31" s="631"/>
      <c r="X31" s="610"/>
      <c r="Y31" s="631">
        <v>99</v>
      </c>
      <c r="Z31" s="631">
        <v>99</v>
      </c>
      <c r="AA31" s="631">
        <v>99</v>
      </c>
      <c r="AB31" s="609"/>
      <c r="AC31" s="609"/>
      <c r="AD31" s="609"/>
      <c r="AE31" s="518"/>
      <c r="AF31" s="607">
        <f t="shared" si="13"/>
        <v>99</v>
      </c>
      <c r="AG31" s="607">
        <f t="shared" si="14"/>
        <v>99</v>
      </c>
      <c r="AH31" s="607">
        <f t="shared" si="15"/>
        <v>99</v>
      </c>
      <c r="AI31" s="607" t="str">
        <f>IFERROR(((2*#REF!)+#REF!)/3,"")</f>
        <v/>
      </c>
      <c r="AJ31" s="529"/>
      <c r="AK31" s="528"/>
      <c r="AL31" s="528"/>
      <c r="AM31" s="528"/>
      <c r="AN31" s="302">
        <f t="shared" si="7"/>
        <v>99</v>
      </c>
      <c r="AO31" s="303" t="str">
        <f>IF(AN31&gt;KKM!$G$10,"A",IF(AN31&gt;KKM!$H$10,"B",IF(AN31&gt;=KKM!$I$10,"C","D")))</f>
        <v>A</v>
      </c>
      <c r="AP31" s="523">
        <f t="shared" si="8"/>
        <v>99</v>
      </c>
      <c r="AQ31" s="115" t="str">
        <f>IF(AP31&gt;KKM!$G$10," sangat baik ",IF(AP31&gt;KKM!$H$10," baik ",IF(AP31&gt;=KKM!$I$10," cukup baik "," perlu bimbingan ")))</f>
        <v xml:space="preserve"> sangat baik </v>
      </c>
      <c r="AR31" s="524">
        <f t="shared" si="9"/>
        <v>99</v>
      </c>
      <c r="AS31" s="115" t="str">
        <f>IF(AR31&gt;KKM!$G$10," sangat baik ",IF(AR31&gt;KKM!$H$10," baik ",IF(AR31&gt;=KKM!$I$10," cukup baik "," perlu bimbingan ")))</f>
        <v xml:space="preserve"> sangat baik </v>
      </c>
      <c r="AT31" s="301" t="str">
        <f t="shared" si="16"/>
        <v>Anak 27 sangat baik  dalam mengidentifikasi karakteristik ruang dan pemanfaatan sumberdaya alam untuk kesejahteraan masyarakat dari tingkatkota/kabupaten sampai tingkat provinsi.</v>
      </c>
      <c r="AU31" s="306"/>
      <c r="AV31" s="307" t="str">
        <f t="shared" si="10"/>
        <v xml:space="preserve"> sangat baik  dalam mengidentifikasi karakteristik ruang dan pemanfaatan sumberdaya alam untuk kesejahteraan masyarakat dari tingkatkota/kabupaten sampai tingkat provinsi.</v>
      </c>
      <c r="AW31" s="307" t="str">
        <f t="shared" si="11"/>
        <v xml:space="preserve"> sangat baik  dalam mengidentifikasi karakteristik ruang dan pemanfaatan sumberdaya alam untuk kesejahteraan masyarakat dari tingkatkota/kabupaten sampai tingkat provinsi.</v>
      </c>
      <c r="AX31"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1" s="307" t="str">
        <f t="shared" si="18"/>
        <v xml:space="preserve"> sangat baik  dalam mengidentifikasi karakteristik ruang dan pemanfaatan sumberdaya alam untuk kesejahteraan masyarakat dari tingkatkota/kabupaten sampai tingkat provinsi.</v>
      </c>
      <c r="AZ31" s="308" t="str">
        <f t="shared" si="19"/>
        <v xml:space="preserve"> sangat baik  dalam mengidentifikasi karakteristik ruang dan pemanfaatan sumberdaya alam untuk kesejahteraan masyarakat dari tingkatkota/kabupaten sampai tingkat provinsi.</v>
      </c>
      <c r="BA31" s="301" t="str">
        <f t="shared" si="12"/>
        <v>Anak 27 sangat baik  dalam mengidentifikasi karakteristik ruang dan pemanfaatan sumberdaya alam untuk kesejahteraan masyarakat dari tingkatkota/kabupaten sampai tingkat provinsi.</v>
      </c>
      <c r="BB31" s="120"/>
      <c r="BJ31" s="408">
        <f t="shared" si="20"/>
        <v>99</v>
      </c>
      <c r="BM31" s="302">
        <f t="shared" si="21"/>
        <v>99</v>
      </c>
      <c r="BN31" s="303" t="str">
        <f>IF(BM31&gt;KKM!$G$10,"A",IF(BM31&gt;KKM!$H$10,"B",IF(BM31&gt;=KKM!$I$10,"C","D")))</f>
        <v>A</v>
      </c>
      <c r="BO31" s="523">
        <f t="shared" si="22"/>
        <v>99</v>
      </c>
      <c r="BP31" s="115" t="str">
        <f>IF(BO31&gt;KKM!$G$10," sangat baik ",IF(BO31&gt;KKM!$H$10," baik ",IF(BO31&gt;=KKM!$I$10," cukup baik "," perlu bimbingan ")))</f>
        <v xml:space="preserve"> sangat baik </v>
      </c>
      <c r="BQ31" s="524">
        <f t="shared" si="23"/>
        <v>99</v>
      </c>
      <c r="BR31" s="115" t="str">
        <f>IF(BQ31&gt;KKM!$G$10," sangat baik ",IF(BQ31&gt;KKM!$H$10," baik ",IF(BQ31&gt;=KKM!$I$10," cukup baik "," perlu bimbingan ")))</f>
        <v xml:space="preserve"> sangat baik </v>
      </c>
      <c r="BS31" s="301" t="str">
        <f t="shared" si="30"/>
        <v>Anak 27 sangat baik  dalam mengidentifikasi karakteristik ruang dan pemanfaatan sumberdaya alam untuk kesejahteraan masyarakat dari tingkatkota/kabupaten sampai tingkat provinsi.</v>
      </c>
      <c r="BT31" s="307" t="str">
        <f t="shared" si="24"/>
        <v xml:space="preserve"> sangat baik  dalam mengidentifikasi karakteristik ruang dan pemanfaatan sumberdaya alam untuk kesejahteraan masyarakat dari tingkatkota/kabupaten sampai tingkat provinsi.</v>
      </c>
      <c r="BU31" s="307" t="str">
        <f t="shared" si="25"/>
        <v xml:space="preserve"> sangat baik  dalam mengidentifikasi karakteristik ruang dan pemanfaatan sumberdaya alam untuk kesejahteraan masyarakat dari tingkatkota/kabupaten sampai tingkat provinsi.</v>
      </c>
      <c r="BV31"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1" s="307" t="str">
        <f t="shared" si="27"/>
        <v xml:space="preserve"> sangat baik  dalam mengidentifikasi karakteristik ruang dan pemanfaatan sumberdaya alam untuk kesejahteraan masyarakat dari tingkatkota/kabupaten sampai tingkat provinsi.</v>
      </c>
      <c r="BX31" s="308" t="str">
        <f t="shared" si="28"/>
        <v xml:space="preserve"> sangat baik  dalam mengidentifikasi karakteristik ruang dan pemanfaatan sumberdaya alam untuk kesejahteraan masyarakat dari tingkatkota/kabupaten sampai tingkat provinsi.</v>
      </c>
      <c r="BY31" s="301" t="str">
        <f t="shared" si="29"/>
        <v>Anak 27 sangat baik  dalam mengidentifikasi karakteristik ruang dan pemanfaatan sumberdaya alam untuk kesejahteraan masyarakat dari tingkatkota/kabupaten sampai tingkat provinsi.</v>
      </c>
    </row>
    <row r="32" spans="2:77" ht="38.25" customHeight="1">
      <c r="B32" s="109">
        <v>28</v>
      </c>
      <c r="C32" s="110">
        <f>SISWA!B33</f>
        <v>0</v>
      </c>
      <c r="D32" s="111" t="str">
        <f>SISWA!E33</f>
        <v>Anak 28</v>
      </c>
      <c r="E32" s="631">
        <v>99</v>
      </c>
      <c r="F32" s="631">
        <v>99</v>
      </c>
      <c r="G32" s="631">
        <v>99</v>
      </c>
      <c r="H32" s="730"/>
      <c r="I32" s="730"/>
      <c r="J32" s="730"/>
      <c r="K32" s="732"/>
      <c r="L32" s="732"/>
      <c r="M32" s="732"/>
      <c r="N32" s="730"/>
      <c r="O32" s="730"/>
      <c r="P32" s="730"/>
      <c r="Q32" s="610"/>
      <c r="R32" s="631">
        <v>99</v>
      </c>
      <c r="S32" s="631">
        <v>99</v>
      </c>
      <c r="T32" s="631"/>
      <c r="U32" s="631"/>
      <c r="V32" s="631"/>
      <c r="W32" s="631"/>
      <c r="X32" s="610"/>
      <c r="Y32" s="631">
        <v>99</v>
      </c>
      <c r="Z32" s="631">
        <v>99</v>
      </c>
      <c r="AA32" s="631">
        <v>99</v>
      </c>
      <c r="AB32" s="609"/>
      <c r="AC32" s="609"/>
      <c r="AD32" s="609"/>
      <c r="AE32" s="518"/>
      <c r="AF32" s="607">
        <f t="shared" si="13"/>
        <v>99</v>
      </c>
      <c r="AG32" s="607">
        <f t="shared" si="14"/>
        <v>99</v>
      </c>
      <c r="AH32" s="607">
        <f t="shared" si="15"/>
        <v>99</v>
      </c>
      <c r="AI32" s="607" t="str">
        <f>IFERROR(((2*#REF!)+#REF!)/3,"")</f>
        <v/>
      </c>
      <c r="AJ32" s="529"/>
      <c r="AK32" s="528"/>
      <c r="AL32" s="528"/>
      <c r="AM32" s="528"/>
      <c r="AN32" s="302">
        <f t="shared" si="7"/>
        <v>99</v>
      </c>
      <c r="AO32" s="303" t="str">
        <f>IF(AN32&gt;KKM!$G$10,"A",IF(AN32&gt;KKM!$H$10,"B",IF(AN32&gt;=KKM!$I$10,"C","D")))</f>
        <v>A</v>
      </c>
      <c r="AP32" s="523">
        <f t="shared" si="8"/>
        <v>99</v>
      </c>
      <c r="AQ32" s="115" t="str">
        <f>IF(AP32&gt;KKM!$G$10," sangat baik ",IF(AP32&gt;KKM!$H$10," baik ",IF(AP32&gt;=KKM!$I$10," cukup baik "," perlu bimbingan ")))</f>
        <v xml:space="preserve"> sangat baik </v>
      </c>
      <c r="AR32" s="524">
        <f t="shared" si="9"/>
        <v>99</v>
      </c>
      <c r="AS32" s="115" t="str">
        <f>IF(AR32&gt;KKM!$G$10," sangat baik ",IF(AR32&gt;KKM!$H$10," baik ",IF(AR32&gt;=KKM!$I$10," cukup baik "," perlu bimbingan ")))</f>
        <v xml:space="preserve"> sangat baik </v>
      </c>
      <c r="AT32" s="301" t="str">
        <f t="shared" si="16"/>
        <v>Anak 28 sangat baik  dalam mengidentifikasi karakteristik ruang dan pemanfaatan sumberdaya alam untuk kesejahteraan masyarakat dari tingkatkota/kabupaten sampai tingkat provinsi.</v>
      </c>
      <c r="AU32" s="306"/>
      <c r="AV32" s="307" t="str">
        <f t="shared" si="10"/>
        <v xml:space="preserve"> sangat baik  dalam mengidentifikasi karakteristik ruang dan pemanfaatan sumberdaya alam untuk kesejahteraan masyarakat dari tingkatkota/kabupaten sampai tingkat provinsi.</v>
      </c>
      <c r="AW32" s="307" t="str">
        <f t="shared" si="11"/>
        <v xml:space="preserve"> sangat baik  dalam mengidentifikasi karakteristik ruang dan pemanfaatan sumberdaya alam untuk kesejahteraan masyarakat dari tingkatkota/kabupaten sampai tingkat provinsi.</v>
      </c>
      <c r="AX32"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2" s="307" t="str">
        <f t="shared" si="18"/>
        <v xml:space="preserve"> sangat baik  dalam mengidentifikasi karakteristik ruang dan pemanfaatan sumberdaya alam untuk kesejahteraan masyarakat dari tingkatkota/kabupaten sampai tingkat provinsi.</v>
      </c>
      <c r="AZ32" s="308" t="str">
        <f t="shared" si="19"/>
        <v xml:space="preserve"> sangat baik  dalam mengidentifikasi karakteristik ruang dan pemanfaatan sumberdaya alam untuk kesejahteraan masyarakat dari tingkatkota/kabupaten sampai tingkat provinsi.</v>
      </c>
      <c r="BA32" s="301" t="str">
        <f t="shared" si="12"/>
        <v>Anak 28 sangat baik  dalam mengidentifikasi karakteristik ruang dan pemanfaatan sumberdaya alam untuk kesejahteraan masyarakat dari tingkatkota/kabupaten sampai tingkat provinsi.</v>
      </c>
      <c r="BB32" s="120"/>
      <c r="BJ32" s="408">
        <f t="shared" si="20"/>
        <v>99</v>
      </c>
      <c r="BM32" s="302">
        <f t="shared" si="21"/>
        <v>99</v>
      </c>
      <c r="BN32" s="303" t="str">
        <f>IF(BM32&gt;KKM!$G$10,"A",IF(BM32&gt;KKM!$H$10,"B",IF(BM32&gt;=KKM!$I$10,"C","D")))</f>
        <v>A</v>
      </c>
      <c r="BO32" s="523">
        <f t="shared" si="22"/>
        <v>99</v>
      </c>
      <c r="BP32" s="115" t="str">
        <f>IF(BO32&gt;KKM!$G$10," sangat baik ",IF(BO32&gt;KKM!$H$10," baik ",IF(BO32&gt;=KKM!$I$10," cukup baik "," perlu bimbingan ")))</f>
        <v xml:space="preserve"> sangat baik </v>
      </c>
      <c r="BQ32" s="524">
        <f t="shared" si="23"/>
        <v>99</v>
      </c>
      <c r="BR32" s="115" t="str">
        <f>IF(BQ32&gt;KKM!$G$10," sangat baik ",IF(BQ32&gt;KKM!$H$10," baik ",IF(BQ32&gt;=KKM!$I$10," cukup baik "," perlu bimbingan ")))</f>
        <v xml:space="preserve"> sangat baik </v>
      </c>
      <c r="BS32" s="301" t="str">
        <f t="shared" si="30"/>
        <v>Anak 28 sangat baik  dalam mengidentifikasi karakteristik ruang dan pemanfaatan sumberdaya alam untuk kesejahteraan masyarakat dari tingkatkota/kabupaten sampai tingkat provinsi.</v>
      </c>
      <c r="BT32" s="307" t="str">
        <f t="shared" si="24"/>
        <v xml:space="preserve"> sangat baik  dalam mengidentifikasi karakteristik ruang dan pemanfaatan sumberdaya alam untuk kesejahteraan masyarakat dari tingkatkota/kabupaten sampai tingkat provinsi.</v>
      </c>
      <c r="BU32" s="307" t="str">
        <f t="shared" si="25"/>
        <v xml:space="preserve"> sangat baik  dalam mengidentifikasi karakteristik ruang dan pemanfaatan sumberdaya alam untuk kesejahteraan masyarakat dari tingkatkota/kabupaten sampai tingkat provinsi.</v>
      </c>
      <c r="BV32"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2" s="307" t="str">
        <f t="shared" si="27"/>
        <v xml:space="preserve"> sangat baik  dalam mengidentifikasi karakteristik ruang dan pemanfaatan sumberdaya alam untuk kesejahteraan masyarakat dari tingkatkota/kabupaten sampai tingkat provinsi.</v>
      </c>
      <c r="BX32" s="308" t="str">
        <f t="shared" si="28"/>
        <v xml:space="preserve"> sangat baik  dalam mengidentifikasi karakteristik ruang dan pemanfaatan sumberdaya alam untuk kesejahteraan masyarakat dari tingkatkota/kabupaten sampai tingkat provinsi.</v>
      </c>
      <c r="BY32" s="301" t="str">
        <f t="shared" si="29"/>
        <v>Anak 28 sangat baik  dalam mengidentifikasi karakteristik ruang dan pemanfaatan sumberdaya alam untuk kesejahteraan masyarakat dari tingkatkota/kabupaten sampai tingkat provinsi.</v>
      </c>
    </row>
    <row r="33" spans="2:77" ht="38.25" customHeight="1">
      <c r="B33" s="109">
        <v>29</v>
      </c>
      <c r="C33" s="110">
        <f>SISWA!B34</f>
        <v>0</v>
      </c>
      <c r="D33" s="111" t="str">
        <f>SISWA!E34</f>
        <v>Anak 29</v>
      </c>
      <c r="E33" s="631">
        <v>99</v>
      </c>
      <c r="F33" s="631">
        <v>99</v>
      </c>
      <c r="G33" s="631">
        <v>99</v>
      </c>
      <c r="H33" s="730"/>
      <c r="I33" s="730"/>
      <c r="J33" s="730"/>
      <c r="K33" s="732"/>
      <c r="L33" s="732"/>
      <c r="M33" s="732"/>
      <c r="N33" s="730"/>
      <c r="O33" s="730"/>
      <c r="P33" s="730"/>
      <c r="Q33" s="610"/>
      <c r="R33" s="631">
        <v>99</v>
      </c>
      <c r="S33" s="631">
        <v>99</v>
      </c>
      <c r="T33" s="631"/>
      <c r="U33" s="631"/>
      <c r="V33" s="631"/>
      <c r="W33" s="631"/>
      <c r="X33" s="610"/>
      <c r="Y33" s="631">
        <v>99</v>
      </c>
      <c r="Z33" s="631">
        <v>99</v>
      </c>
      <c r="AA33" s="631">
        <v>99</v>
      </c>
      <c r="AB33" s="609"/>
      <c r="AC33" s="609"/>
      <c r="AD33" s="609"/>
      <c r="AE33" s="518"/>
      <c r="AF33" s="607">
        <f t="shared" si="13"/>
        <v>99</v>
      </c>
      <c r="AG33" s="607">
        <f t="shared" si="14"/>
        <v>99</v>
      </c>
      <c r="AH33" s="607">
        <f t="shared" si="15"/>
        <v>99</v>
      </c>
      <c r="AI33" s="607" t="str">
        <f>IFERROR(((2*#REF!)+#REF!)/3,"")</f>
        <v/>
      </c>
      <c r="AJ33" s="529"/>
      <c r="AK33" s="528"/>
      <c r="AL33" s="528"/>
      <c r="AM33" s="528"/>
      <c r="AN33" s="302">
        <f t="shared" si="7"/>
        <v>99</v>
      </c>
      <c r="AO33" s="303" t="str">
        <f>IF(AN33&gt;KKM!$G$10,"A",IF(AN33&gt;KKM!$H$10,"B",IF(AN33&gt;=KKM!$I$10,"C","D")))</f>
        <v>A</v>
      </c>
      <c r="AP33" s="523">
        <f t="shared" si="8"/>
        <v>99</v>
      </c>
      <c r="AQ33" s="115" t="str">
        <f>IF(AP33&gt;KKM!$G$10," sangat baik ",IF(AP33&gt;KKM!$H$10," baik ",IF(AP33&gt;=KKM!$I$10," cukup baik "," perlu bimbingan ")))</f>
        <v xml:space="preserve"> sangat baik </v>
      </c>
      <c r="AR33" s="524">
        <f t="shared" si="9"/>
        <v>99</v>
      </c>
      <c r="AS33" s="115" t="str">
        <f>IF(AR33&gt;KKM!$G$10," sangat baik ",IF(AR33&gt;KKM!$H$10," baik ",IF(AR33&gt;=KKM!$I$10," cukup baik "," perlu bimbingan ")))</f>
        <v xml:space="preserve"> sangat baik </v>
      </c>
      <c r="AT33" s="301" t="str">
        <f t="shared" si="16"/>
        <v>Anak 29 sangat baik  dalam mengidentifikasi karakteristik ruang dan pemanfaatan sumberdaya alam untuk kesejahteraan masyarakat dari tingkatkota/kabupaten sampai tingkat provinsi.</v>
      </c>
      <c r="AU33" s="306"/>
      <c r="AV33" s="307" t="str">
        <f t="shared" si="10"/>
        <v xml:space="preserve"> sangat baik  dalam mengidentifikasi karakteristik ruang dan pemanfaatan sumberdaya alam untuk kesejahteraan masyarakat dari tingkatkota/kabupaten sampai tingkat provinsi.</v>
      </c>
      <c r="AW33" s="307" t="str">
        <f t="shared" si="11"/>
        <v xml:space="preserve"> sangat baik  dalam mengidentifikasi karakteristik ruang dan pemanfaatan sumberdaya alam untuk kesejahteraan masyarakat dari tingkatkota/kabupaten sampai tingkat provinsi.</v>
      </c>
      <c r="AX33"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3" s="307" t="str">
        <f t="shared" si="18"/>
        <v xml:space="preserve"> sangat baik  dalam mengidentifikasi karakteristik ruang dan pemanfaatan sumberdaya alam untuk kesejahteraan masyarakat dari tingkatkota/kabupaten sampai tingkat provinsi.</v>
      </c>
      <c r="AZ33" s="308" t="str">
        <f t="shared" si="19"/>
        <v xml:space="preserve"> sangat baik  dalam mengidentifikasi karakteristik ruang dan pemanfaatan sumberdaya alam untuk kesejahteraan masyarakat dari tingkatkota/kabupaten sampai tingkat provinsi.</v>
      </c>
      <c r="BA33" s="301" t="str">
        <f t="shared" si="12"/>
        <v>Anak 29 sangat baik  dalam mengidentifikasi karakteristik ruang dan pemanfaatan sumberdaya alam untuk kesejahteraan masyarakat dari tingkatkota/kabupaten sampai tingkat provinsi.</v>
      </c>
      <c r="BB33" s="120"/>
      <c r="BJ33" s="408">
        <f t="shared" si="20"/>
        <v>99</v>
      </c>
      <c r="BM33" s="302">
        <f t="shared" si="21"/>
        <v>99</v>
      </c>
      <c r="BN33" s="303" t="str">
        <f>IF(BM33&gt;KKM!$G$10,"A",IF(BM33&gt;KKM!$H$10,"B",IF(BM33&gt;=KKM!$I$10,"C","D")))</f>
        <v>A</v>
      </c>
      <c r="BO33" s="523">
        <f t="shared" si="22"/>
        <v>99</v>
      </c>
      <c r="BP33" s="115" t="str">
        <f>IF(BO33&gt;KKM!$G$10," sangat baik ",IF(BO33&gt;KKM!$H$10," baik ",IF(BO33&gt;=KKM!$I$10," cukup baik "," perlu bimbingan ")))</f>
        <v xml:space="preserve"> sangat baik </v>
      </c>
      <c r="BQ33" s="524">
        <f t="shared" si="23"/>
        <v>99</v>
      </c>
      <c r="BR33" s="115" t="str">
        <f>IF(BQ33&gt;KKM!$G$10," sangat baik ",IF(BQ33&gt;KKM!$H$10," baik ",IF(BQ33&gt;=KKM!$I$10," cukup baik "," perlu bimbingan ")))</f>
        <v xml:space="preserve"> sangat baik </v>
      </c>
      <c r="BS33" s="301" t="str">
        <f t="shared" si="30"/>
        <v>Anak 29 sangat baik  dalam mengidentifikasi karakteristik ruang dan pemanfaatan sumberdaya alam untuk kesejahteraan masyarakat dari tingkatkota/kabupaten sampai tingkat provinsi.</v>
      </c>
      <c r="BT33" s="307" t="str">
        <f t="shared" si="24"/>
        <v xml:space="preserve"> sangat baik  dalam mengidentifikasi karakteristik ruang dan pemanfaatan sumberdaya alam untuk kesejahteraan masyarakat dari tingkatkota/kabupaten sampai tingkat provinsi.</v>
      </c>
      <c r="BU33" s="307" t="str">
        <f t="shared" si="25"/>
        <v xml:space="preserve"> sangat baik  dalam mengidentifikasi karakteristik ruang dan pemanfaatan sumberdaya alam untuk kesejahteraan masyarakat dari tingkatkota/kabupaten sampai tingkat provinsi.</v>
      </c>
      <c r="BV33"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3" s="307" t="str">
        <f t="shared" si="27"/>
        <v xml:space="preserve"> sangat baik  dalam mengidentifikasi karakteristik ruang dan pemanfaatan sumberdaya alam untuk kesejahteraan masyarakat dari tingkatkota/kabupaten sampai tingkat provinsi.</v>
      </c>
      <c r="BX33" s="308" t="str">
        <f t="shared" si="28"/>
        <v xml:space="preserve"> sangat baik  dalam mengidentifikasi karakteristik ruang dan pemanfaatan sumberdaya alam untuk kesejahteraan masyarakat dari tingkatkota/kabupaten sampai tingkat provinsi.</v>
      </c>
      <c r="BY33" s="301" t="str">
        <f t="shared" si="29"/>
        <v>Anak 29 sangat baik  dalam mengidentifikasi karakteristik ruang dan pemanfaatan sumberdaya alam untuk kesejahteraan masyarakat dari tingkatkota/kabupaten sampai tingkat provinsi.</v>
      </c>
    </row>
    <row r="34" spans="2:77" ht="38.25" customHeight="1">
      <c r="B34" s="109">
        <v>30</v>
      </c>
      <c r="C34" s="110">
        <f>SISWA!B35</f>
        <v>0</v>
      </c>
      <c r="D34" s="111" t="str">
        <f>SISWA!E35</f>
        <v>Anak 30</v>
      </c>
      <c r="E34" s="631">
        <v>99</v>
      </c>
      <c r="F34" s="631">
        <v>99</v>
      </c>
      <c r="G34" s="631">
        <v>99</v>
      </c>
      <c r="H34" s="730"/>
      <c r="I34" s="730"/>
      <c r="J34" s="730"/>
      <c r="K34" s="732"/>
      <c r="L34" s="732"/>
      <c r="M34" s="732"/>
      <c r="N34" s="730"/>
      <c r="O34" s="730"/>
      <c r="P34" s="730"/>
      <c r="Q34" s="610"/>
      <c r="R34" s="631">
        <v>99</v>
      </c>
      <c r="S34" s="631">
        <v>99</v>
      </c>
      <c r="T34" s="631"/>
      <c r="U34" s="631"/>
      <c r="V34" s="631"/>
      <c r="W34" s="631"/>
      <c r="X34" s="610"/>
      <c r="Y34" s="631">
        <v>99</v>
      </c>
      <c r="Z34" s="631">
        <v>99</v>
      </c>
      <c r="AA34" s="631">
        <v>99</v>
      </c>
      <c r="AB34" s="609"/>
      <c r="AC34" s="609"/>
      <c r="AD34" s="609"/>
      <c r="AE34" s="518"/>
      <c r="AF34" s="607">
        <f t="shared" si="13"/>
        <v>99</v>
      </c>
      <c r="AG34" s="607">
        <f t="shared" si="14"/>
        <v>99</v>
      </c>
      <c r="AH34" s="607">
        <f t="shared" si="15"/>
        <v>99</v>
      </c>
      <c r="AI34" s="607" t="str">
        <f>IFERROR(((2*#REF!)+#REF!)/3,"")</f>
        <v/>
      </c>
      <c r="AJ34" s="529"/>
      <c r="AK34" s="528"/>
      <c r="AL34" s="528"/>
      <c r="AM34" s="528"/>
      <c r="AN34" s="302">
        <f t="shared" si="7"/>
        <v>99</v>
      </c>
      <c r="AO34" s="303" t="str">
        <f>IF(AN34&gt;KKM!$G$10,"A",IF(AN34&gt;KKM!$H$10,"B",IF(AN34&gt;=KKM!$I$10,"C","D")))</f>
        <v>A</v>
      </c>
      <c r="AP34" s="523">
        <f t="shared" si="8"/>
        <v>99</v>
      </c>
      <c r="AQ34" s="115" t="str">
        <f>IF(AP34&gt;KKM!$G$10," sangat baik ",IF(AP34&gt;KKM!$H$10," baik ",IF(AP34&gt;=KKM!$I$10," cukup baik "," perlu bimbingan ")))</f>
        <v xml:space="preserve"> sangat baik </v>
      </c>
      <c r="AR34" s="524">
        <f t="shared" si="9"/>
        <v>99</v>
      </c>
      <c r="AS34" s="115" t="str">
        <f>IF(AR34&gt;KKM!$G$10," sangat baik ",IF(AR34&gt;KKM!$H$10," baik ",IF(AR34&gt;=KKM!$I$10," cukup baik "," perlu bimbingan ")))</f>
        <v xml:space="preserve"> sangat baik </v>
      </c>
      <c r="AT34" s="301" t="str">
        <f t="shared" si="16"/>
        <v>Anak 30 sangat baik  dalam mengidentifikasi karakteristik ruang dan pemanfaatan sumberdaya alam untuk kesejahteraan masyarakat dari tingkatkota/kabupaten sampai tingkat provinsi.</v>
      </c>
      <c r="AU34" s="306"/>
      <c r="AV34" s="307" t="str">
        <f t="shared" si="10"/>
        <v xml:space="preserve"> sangat baik  dalam mengidentifikasi karakteristik ruang dan pemanfaatan sumberdaya alam untuk kesejahteraan masyarakat dari tingkatkota/kabupaten sampai tingkat provinsi.</v>
      </c>
      <c r="AW34" s="307" t="str">
        <f t="shared" si="11"/>
        <v xml:space="preserve"> sangat baik  dalam mengidentifikasi karakteristik ruang dan pemanfaatan sumberdaya alam untuk kesejahteraan masyarakat dari tingkatkota/kabupaten sampai tingkat provinsi.</v>
      </c>
      <c r="AX34"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4" s="307" t="str">
        <f t="shared" si="18"/>
        <v xml:space="preserve"> sangat baik  dalam mengidentifikasi karakteristik ruang dan pemanfaatan sumberdaya alam untuk kesejahteraan masyarakat dari tingkatkota/kabupaten sampai tingkat provinsi.</v>
      </c>
      <c r="AZ34" s="308" t="str">
        <f t="shared" si="19"/>
        <v xml:space="preserve"> sangat baik  dalam mengidentifikasi karakteristik ruang dan pemanfaatan sumberdaya alam untuk kesejahteraan masyarakat dari tingkatkota/kabupaten sampai tingkat provinsi.</v>
      </c>
      <c r="BA34" s="301" t="str">
        <f t="shared" si="12"/>
        <v>Anak 30 sangat baik  dalam mengidentifikasi karakteristik ruang dan pemanfaatan sumberdaya alam untuk kesejahteraan masyarakat dari tingkatkota/kabupaten sampai tingkat provinsi.</v>
      </c>
      <c r="BB34" s="120"/>
      <c r="BJ34" s="408">
        <f t="shared" si="20"/>
        <v>99</v>
      </c>
      <c r="BM34" s="302">
        <f t="shared" si="21"/>
        <v>99</v>
      </c>
      <c r="BN34" s="303" t="str">
        <f>IF(BM34&gt;KKM!$G$10,"A",IF(BM34&gt;KKM!$H$10,"B",IF(BM34&gt;=KKM!$I$10,"C","D")))</f>
        <v>A</v>
      </c>
      <c r="BO34" s="523">
        <f t="shared" si="22"/>
        <v>99</v>
      </c>
      <c r="BP34" s="115" t="str">
        <f>IF(BO34&gt;KKM!$G$10," sangat baik ",IF(BO34&gt;KKM!$H$10," baik ",IF(BO34&gt;=KKM!$I$10," cukup baik "," perlu bimbingan ")))</f>
        <v xml:space="preserve"> sangat baik </v>
      </c>
      <c r="BQ34" s="524">
        <f t="shared" si="23"/>
        <v>99</v>
      </c>
      <c r="BR34" s="115" t="str">
        <f>IF(BQ34&gt;KKM!$G$10," sangat baik ",IF(BQ34&gt;KKM!$H$10," baik ",IF(BQ34&gt;=KKM!$I$10," cukup baik "," perlu bimbingan ")))</f>
        <v xml:space="preserve"> sangat baik </v>
      </c>
      <c r="BS34" s="301" t="str">
        <f t="shared" si="30"/>
        <v>Anak 30 sangat baik  dalam mengidentifikasi karakteristik ruang dan pemanfaatan sumberdaya alam untuk kesejahteraan masyarakat dari tingkatkota/kabupaten sampai tingkat provinsi.</v>
      </c>
      <c r="BT34" s="307" t="str">
        <f t="shared" si="24"/>
        <v xml:space="preserve"> sangat baik  dalam mengidentifikasi karakteristik ruang dan pemanfaatan sumberdaya alam untuk kesejahteraan masyarakat dari tingkatkota/kabupaten sampai tingkat provinsi.</v>
      </c>
      <c r="BU34" s="307" t="str">
        <f t="shared" si="25"/>
        <v xml:space="preserve"> sangat baik  dalam mengidentifikasi karakteristik ruang dan pemanfaatan sumberdaya alam untuk kesejahteraan masyarakat dari tingkatkota/kabupaten sampai tingkat provinsi.</v>
      </c>
      <c r="BV34"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4" s="307" t="str">
        <f t="shared" si="27"/>
        <v xml:space="preserve"> sangat baik  dalam mengidentifikasi karakteristik ruang dan pemanfaatan sumberdaya alam untuk kesejahteraan masyarakat dari tingkatkota/kabupaten sampai tingkat provinsi.</v>
      </c>
      <c r="BX34" s="308" t="str">
        <f t="shared" si="28"/>
        <v xml:space="preserve"> sangat baik  dalam mengidentifikasi karakteristik ruang dan pemanfaatan sumberdaya alam untuk kesejahteraan masyarakat dari tingkatkota/kabupaten sampai tingkat provinsi.</v>
      </c>
      <c r="BY34" s="301" t="str">
        <f t="shared" si="29"/>
        <v>Anak 30 sangat baik  dalam mengidentifikasi karakteristik ruang dan pemanfaatan sumberdaya alam untuk kesejahteraan masyarakat dari tingkatkota/kabupaten sampai tingkat provinsi.</v>
      </c>
    </row>
    <row r="35" spans="2:77" ht="38.25" customHeight="1">
      <c r="B35" s="109">
        <v>31</v>
      </c>
      <c r="C35" s="110">
        <f>SISWA!B36</f>
        <v>0</v>
      </c>
      <c r="D35" s="111" t="str">
        <f>SISWA!E36</f>
        <v>Anak 31</v>
      </c>
      <c r="E35" s="631">
        <v>99</v>
      </c>
      <c r="F35" s="631">
        <v>99</v>
      </c>
      <c r="G35" s="631">
        <v>99</v>
      </c>
      <c r="H35" s="730"/>
      <c r="I35" s="730"/>
      <c r="J35" s="730"/>
      <c r="K35" s="732"/>
      <c r="L35" s="732"/>
      <c r="M35" s="732"/>
      <c r="N35" s="730"/>
      <c r="O35" s="730"/>
      <c r="P35" s="730"/>
      <c r="Q35" s="610"/>
      <c r="R35" s="631">
        <v>99</v>
      </c>
      <c r="S35" s="631">
        <v>99</v>
      </c>
      <c r="T35" s="631"/>
      <c r="U35" s="631"/>
      <c r="V35" s="631"/>
      <c r="W35" s="631"/>
      <c r="X35" s="610"/>
      <c r="Y35" s="631">
        <v>99</v>
      </c>
      <c r="Z35" s="631">
        <v>99</v>
      </c>
      <c r="AA35" s="631">
        <v>99</v>
      </c>
      <c r="AB35" s="609"/>
      <c r="AC35" s="609"/>
      <c r="AD35" s="609"/>
      <c r="AE35" s="518"/>
      <c r="AF35" s="607">
        <f t="shared" si="13"/>
        <v>99</v>
      </c>
      <c r="AG35" s="607">
        <f t="shared" si="14"/>
        <v>99</v>
      </c>
      <c r="AH35" s="607">
        <f t="shared" si="15"/>
        <v>99</v>
      </c>
      <c r="AI35" s="607" t="str">
        <f>IFERROR(((2*#REF!)+#REF!)/3,"")</f>
        <v/>
      </c>
      <c r="AJ35" s="529"/>
      <c r="AK35" s="528"/>
      <c r="AL35" s="528"/>
      <c r="AM35" s="528"/>
      <c r="AN35" s="302">
        <f t="shared" si="7"/>
        <v>99</v>
      </c>
      <c r="AO35" s="303" t="str">
        <f>IF(AN35&gt;KKM!$G$10,"A",IF(AN35&gt;KKM!$H$10,"B",IF(AN35&gt;=KKM!$I$10,"C","D")))</f>
        <v>A</v>
      </c>
      <c r="AP35" s="523">
        <f t="shared" si="8"/>
        <v>99</v>
      </c>
      <c r="AQ35" s="115" t="str">
        <f>IF(AP35&gt;KKM!$G$10," sangat baik ",IF(AP35&gt;KKM!$H$10," baik ",IF(AP35&gt;=KKM!$I$10," cukup baik "," perlu bimbingan ")))</f>
        <v xml:space="preserve"> sangat baik </v>
      </c>
      <c r="AR35" s="524">
        <f t="shared" si="9"/>
        <v>99</v>
      </c>
      <c r="AS35" s="115" t="str">
        <f>IF(AR35&gt;KKM!$G$10," sangat baik ",IF(AR35&gt;KKM!$H$10," baik ",IF(AR35&gt;=KKM!$I$10," cukup baik "," perlu bimbingan ")))</f>
        <v xml:space="preserve"> sangat baik </v>
      </c>
      <c r="AT35" s="301" t="str">
        <f t="shared" si="16"/>
        <v>Anak 31 sangat baik  dalam mengidentifikasi karakteristik ruang dan pemanfaatan sumberdaya alam untuk kesejahteraan masyarakat dari tingkatkota/kabupaten sampai tingkat provinsi.</v>
      </c>
      <c r="AU35" s="306"/>
      <c r="AV35" s="307" t="str">
        <f t="shared" si="10"/>
        <v xml:space="preserve"> sangat baik  dalam mengidentifikasi karakteristik ruang dan pemanfaatan sumberdaya alam untuk kesejahteraan masyarakat dari tingkatkota/kabupaten sampai tingkat provinsi.</v>
      </c>
      <c r="AW35" s="307" t="str">
        <f t="shared" si="11"/>
        <v xml:space="preserve"> sangat baik  dalam mengidentifikasi karakteristik ruang dan pemanfaatan sumberdaya alam untuk kesejahteraan masyarakat dari tingkatkota/kabupaten sampai tingkat provinsi.</v>
      </c>
      <c r="AX35"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5" s="307" t="str">
        <f t="shared" si="18"/>
        <v xml:space="preserve"> sangat baik  dalam mengidentifikasi karakteristik ruang dan pemanfaatan sumberdaya alam untuk kesejahteraan masyarakat dari tingkatkota/kabupaten sampai tingkat provinsi.</v>
      </c>
      <c r="AZ35" s="308" t="str">
        <f t="shared" si="19"/>
        <v xml:space="preserve"> sangat baik  dalam mengidentifikasi karakteristik ruang dan pemanfaatan sumberdaya alam untuk kesejahteraan masyarakat dari tingkatkota/kabupaten sampai tingkat provinsi.</v>
      </c>
      <c r="BA35" s="301" t="str">
        <f t="shared" si="12"/>
        <v>Anak 31 sangat baik  dalam mengidentifikasi karakteristik ruang dan pemanfaatan sumberdaya alam untuk kesejahteraan masyarakat dari tingkatkota/kabupaten sampai tingkat provinsi.</v>
      </c>
      <c r="BB35" s="120"/>
      <c r="BJ35" s="408">
        <f t="shared" si="20"/>
        <v>99</v>
      </c>
      <c r="BM35" s="302">
        <f t="shared" si="21"/>
        <v>99</v>
      </c>
      <c r="BN35" s="303" t="str">
        <f>IF(BM35&gt;KKM!$G$10,"A",IF(BM35&gt;KKM!$H$10,"B",IF(BM35&gt;=KKM!$I$10,"C","D")))</f>
        <v>A</v>
      </c>
      <c r="BO35" s="523">
        <f t="shared" si="22"/>
        <v>99</v>
      </c>
      <c r="BP35" s="115" t="str">
        <f>IF(BO35&gt;KKM!$G$10," sangat baik ",IF(BO35&gt;KKM!$H$10," baik ",IF(BO35&gt;=KKM!$I$10," cukup baik "," perlu bimbingan ")))</f>
        <v xml:space="preserve"> sangat baik </v>
      </c>
      <c r="BQ35" s="524">
        <f t="shared" si="23"/>
        <v>99</v>
      </c>
      <c r="BR35" s="115" t="str">
        <f>IF(BQ35&gt;KKM!$G$10," sangat baik ",IF(BQ35&gt;KKM!$H$10," baik ",IF(BQ35&gt;=KKM!$I$10," cukup baik "," perlu bimbingan ")))</f>
        <v xml:space="preserve"> sangat baik </v>
      </c>
      <c r="BS35" s="301" t="str">
        <f t="shared" si="30"/>
        <v>Anak 31 sangat baik  dalam mengidentifikasi karakteristik ruang dan pemanfaatan sumberdaya alam untuk kesejahteraan masyarakat dari tingkatkota/kabupaten sampai tingkat provinsi.</v>
      </c>
      <c r="BT35" s="307" t="str">
        <f t="shared" si="24"/>
        <v xml:space="preserve"> sangat baik  dalam mengidentifikasi karakteristik ruang dan pemanfaatan sumberdaya alam untuk kesejahteraan masyarakat dari tingkatkota/kabupaten sampai tingkat provinsi.</v>
      </c>
      <c r="BU35" s="307" t="str">
        <f t="shared" si="25"/>
        <v xml:space="preserve"> sangat baik  dalam mengidentifikasi karakteristik ruang dan pemanfaatan sumberdaya alam untuk kesejahteraan masyarakat dari tingkatkota/kabupaten sampai tingkat provinsi.</v>
      </c>
      <c r="BV35"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5" s="307" t="str">
        <f t="shared" si="27"/>
        <v xml:space="preserve"> sangat baik  dalam mengidentifikasi karakteristik ruang dan pemanfaatan sumberdaya alam untuk kesejahteraan masyarakat dari tingkatkota/kabupaten sampai tingkat provinsi.</v>
      </c>
      <c r="BX35" s="308" t="str">
        <f t="shared" si="28"/>
        <v xml:space="preserve"> sangat baik  dalam mengidentifikasi karakteristik ruang dan pemanfaatan sumberdaya alam untuk kesejahteraan masyarakat dari tingkatkota/kabupaten sampai tingkat provinsi.</v>
      </c>
      <c r="BY35" s="301" t="str">
        <f t="shared" si="29"/>
        <v>Anak 31 sangat baik  dalam mengidentifikasi karakteristik ruang dan pemanfaatan sumberdaya alam untuk kesejahteraan masyarakat dari tingkatkota/kabupaten sampai tingkat provinsi.</v>
      </c>
    </row>
    <row r="36" spans="2:77" ht="38.25" customHeight="1">
      <c r="B36" s="109">
        <v>32</v>
      </c>
      <c r="C36" s="110">
        <f>SISWA!B37</f>
        <v>0</v>
      </c>
      <c r="D36" s="111" t="str">
        <f>SISWA!E37</f>
        <v>Anak 32</v>
      </c>
      <c r="E36" s="631">
        <v>99</v>
      </c>
      <c r="F36" s="631">
        <v>99</v>
      </c>
      <c r="G36" s="631">
        <v>99</v>
      </c>
      <c r="H36" s="730"/>
      <c r="I36" s="730"/>
      <c r="J36" s="730"/>
      <c r="K36" s="732"/>
      <c r="L36" s="732"/>
      <c r="M36" s="732"/>
      <c r="N36" s="730"/>
      <c r="O36" s="730"/>
      <c r="P36" s="730"/>
      <c r="Q36" s="610"/>
      <c r="R36" s="631">
        <v>99</v>
      </c>
      <c r="S36" s="631">
        <v>99</v>
      </c>
      <c r="T36" s="631"/>
      <c r="U36" s="631"/>
      <c r="V36" s="631"/>
      <c r="W36" s="631"/>
      <c r="X36" s="610"/>
      <c r="Y36" s="631">
        <v>99</v>
      </c>
      <c r="Z36" s="631">
        <v>99</v>
      </c>
      <c r="AA36" s="631">
        <v>99</v>
      </c>
      <c r="AB36" s="609"/>
      <c r="AC36" s="609"/>
      <c r="AD36" s="609"/>
      <c r="AE36" s="518"/>
      <c r="AF36" s="607">
        <f t="shared" si="13"/>
        <v>99</v>
      </c>
      <c r="AG36" s="607">
        <f t="shared" si="14"/>
        <v>99</v>
      </c>
      <c r="AH36" s="607">
        <f t="shared" si="15"/>
        <v>99</v>
      </c>
      <c r="AI36" s="607" t="str">
        <f>IFERROR(((2*#REF!)+#REF!)/3,"")</f>
        <v/>
      </c>
      <c r="AJ36" s="529"/>
      <c r="AK36" s="528"/>
      <c r="AL36" s="528"/>
      <c r="AM36" s="528"/>
      <c r="AN36" s="302">
        <f t="shared" si="7"/>
        <v>99</v>
      </c>
      <c r="AO36" s="303" t="str">
        <f>IF(AN36&gt;KKM!$G$10,"A",IF(AN36&gt;KKM!$H$10,"B",IF(AN36&gt;=KKM!$I$10,"C","D")))</f>
        <v>A</v>
      </c>
      <c r="AP36" s="523">
        <f t="shared" si="8"/>
        <v>99</v>
      </c>
      <c r="AQ36" s="115" t="str">
        <f>IF(AP36&gt;KKM!$G$10," sangat baik ",IF(AP36&gt;KKM!$H$10," baik ",IF(AP36&gt;=KKM!$I$10," cukup baik "," perlu bimbingan ")))</f>
        <v xml:space="preserve"> sangat baik </v>
      </c>
      <c r="AR36" s="524">
        <f t="shared" si="9"/>
        <v>99</v>
      </c>
      <c r="AS36" s="115" t="str">
        <f>IF(AR36&gt;KKM!$G$10," sangat baik ",IF(AR36&gt;KKM!$H$10," baik ",IF(AR36&gt;=KKM!$I$10," cukup baik "," perlu bimbingan ")))</f>
        <v xml:space="preserve"> sangat baik </v>
      </c>
      <c r="AT36" s="301" t="str">
        <f t="shared" si="16"/>
        <v>Anak 32 sangat baik  dalam mengidentifikasi karakteristik ruang dan pemanfaatan sumberdaya alam untuk kesejahteraan masyarakat dari tingkatkota/kabupaten sampai tingkat provinsi.</v>
      </c>
      <c r="AU36" s="306"/>
      <c r="AV36" s="307" t="str">
        <f t="shared" si="10"/>
        <v xml:space="preserve"> sangat baik  dalam mengidentifikasi karakteristik ruang dan pemanfaatan sumberdaya alam untuk kesejahteraan masyarakat dari tingkatkota/kabupaten sampai tingkat provinsi.</v>
      </c>
      <c r="AW36" s="307" t="str">
        <f t="shared" si="11"/>
        <v xml:space="preserve"> sangat baik  dalam mengidentifikasi karakteristik ruang dan pemanfaatan sumberdaya alam untuk kesejahteraan masyarakat dari tingkatkota/kabupaten sampai tingkat provinsi.</v>
      </c>
      <c r="AX36"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6" s="307" t="str">
        <f t="shared" si="18"/>
        <v xml:space="preserve"> sangat baik  dalam mengidentifikasi karakteristik ruang dan pemanfaatan sumberdaya alam untuk kesejahteraan masyarakat dari tingkatkota/kabupaten sampai tingkat provinsi.</v>
      </c>
      <c r="AZ36" s="308" t="str">
        <f t="shared" si="19"/>
        <v xml:space="preserve"> sangat baik  dalam mengidentifikasi karakteristik ruang dan pemanfaatan sumberdaya alam untuk kesejahteraan masyarakat dari tingkatkota/kabupaten sampai tingkat provinsi.</v>
      </c>
      <c r="BA36" s="301" t="str">
        <f t="shared" si="12"/>
        <v>Anak 32 sangat baik  dalam mengidentifikasi karakteristik ruang dan pemanfaatan sumberdaya alam untuk kesejahteraan masyarakat dari tingkatkota/kabupaten sampai tingkat provinsi.</v>
      </c>
      <c r="BB36" s="120"/>
      <c r="BJ36" s="408">
        <f t="shared" si="20"/>
        <v>99</v>
      </c>
      <c r="BM36" s="302">
        <f t="shared" si="21"/>
        <v>99</v>
      </c>
      <c r="BN36" s="303" t="str">
        <f>IF(BM36&gt;KKM!$G$10,"A",IF(BM36&gt;KKM!$H$10,"B",IF(BM36&gt;=KKM!$I$10,"C","D")))</f>
        <v>A</v>
      </c>
      <c r="BO36" s="523">
        <f t="shared" si="22"/>
        <v>99</v>
      </c>
      <c r="BP36" s="115" t="str">
        <f>IF(BO36&gt;KKM!$G$10," sangat baik ",IF(BO36&gt;KKM!$H$10," baik ",IF(BO36&gt;=KKM!$I$10," cukup baik "," perlu bimbingan ")))</f>
        <v xml:space="preserve"> sangat baik </v>
      </c>
      <c r="BQ36" s="524">
        <f t="shared" si="23"/>
        <v>99</v>
      </c>
      <c r="BR36" s="115" t="str">
        <f>IF(BQ36&gt;KKM!$G$10," sangat baik ",IF(BQ36&gt;KKM!$H$10," baik ",IF(BQ36&gt;=KKM!$I$10," cukup baik "," perlu bimbingan ")))</f>
        <v xml:space="preserve"> sangat baik </v>
      </c>
      <c r="BS36" s="301" t="str">
        <f t="shared" si="30"/>
        <v>Anak 32 sangat baik  dalam mengidentifikasi karakteristik ruang dan pemanfaatan sumberdaya alam untuk kesejahteraan masyarakat dari tingkatkota/kabupaten sampai tingkat provinsi.</v>
      </c>
      <c r="BT36" s="307" t="str">
        <f t="shared" si="24"/>
        <v xml:space="preserve"> sangat baik  dalam mengidentifikasi karakteristik ruang dan pemanfaatan sumberdaya alam untuk kesejahteraan masyarakat dari tingkatkota/kabupaten sampai tingkat provinsi.</v>
      </c>
      <c r="BU36" s="307" t="str">
        <f t="shared" si="25"/>
        <v xml:space="preserve"> sangat baik  dalam mengidentifikasi karakteristik ruang dan pemanfaatan sumberdaya alam untuk kesejahteraan masyarakat dari tingkatkota/kabupaten sampai tingkat provinsi.</v>
      </c>
      <c r="BV36"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6" s="307" t="str">
        <f t="shared" si="27"/>
        <v xml:space="preserve"> sangat baik  dalam mengidentifikasi karakteristik ruang dan pemanfaatan sumberdaya alam untuk kesejahteraan masyarakat dari tingkatkota/kabupaten sampai tingkat provinsi.</v>
      </c>
      <c r="BX36" s="308" t="str">
        <f t="shared" si="28"/>
        <v xml:space="preserve"> sangat baik  dalam mengidentifikasi karakteristik ruang dan pemanfaatan sumberdaya alam untuk kesejahteraan masyarakat dari tingkatkota/kabupaten sampai tingkat provinsi.</v>
      </c>
      <c r="BY36" s="301" t="str">
        <f t="shared" si="29"/>
        <v>Anak 32 sangat baik  dalam mengidentifikasi karakteristik ruang dan pemanfaatan sumberdaya alam untuk kesejahteraan masyarakat dari tingkatkota/kabupaten sampai tingkat provinsi.</v>
      </c>
    </row>
    <row r="37" spans="2:77" ht="38.25" customHeight="1">
      <c r="B37" s="109">
        <v>33</v>
      </c>
      <c r="C37" s="110">
        <f>SISWA!B38</f>
        <v>0</v>
      </c>
      <c r="D37" s="111" t="str">
        <f>SISWA!E38</f>
        <v>Anak 33</v>
      </c>
      <c r="E37" s="631">
        <v>99</v>
      </c>
      <c r="F37" s="631">
        <v>99</v>
      </c>
      <c r="G37" s="631">
        <v>99</v>
      </c>
      <c r="H37" s="730"/>
      <c r="I37" s="730"/>
      <c r="J37" s="730"/>
      <c r="K37" s="732"/>
      <c r="L37" s="732"/>
      <c r="M37" s="732"/>
      <c r="N37" s="730"/>
      <c r="O37" s="730"/>
      <c r="P37" s="730"/>
      <c r="Q37" s="610"/>
      <c r="R37" s="631">
        <v>99</v>
      </c>
      <c r="S37" s="631">
        <v>99</v>
      </c>
      <c r="T37" s="631"/>
      <c r="U37" s="631"/>
      <c r="V37" s="631"/>
      <c r="W37" s="631"/>
      <c r="X37" s="610"/>
      <c r="Y37" s="631">
        <v>99</v>
      </c>
      <c r="Z37" s="631">
        <v>99</v>
      </c>
      <c r="AA37" s="631">
        <v>99</v>
      </c>
      <c r="AB37" s="609"/>
      <c r="AC37" s="609"/>
      <c r="AD37" s="609"/>
      <c r="AE37" s="518"/>
      <c r="AF37" s="607">
        <f t="shared" si="13"/>
        <v>99</v>
      </c>
      <c r="AG37" s="607">
        <f t="shared" si="14"/>
        <v>99</v>
      </c>
      <c r="AH37" s="607">
        <f t="shared" si="15"/>
        <v>99</v>
      </c>
      <c r="AI37" s="607" t="str">
        <f>IFERROR(((2*#REF!)+#REF!)/3,"")</f>
        <v/>
      </c>
      <c r="AJ37" s="529"/>
      <c r="AK37" s="528"/>
      <c r="AL37" s="528"/>
      <c r="AM37" s="528"/>
      <c r="AN37" s="302">
        <f t="shared" ref="AN37:AN54" si="31">ROUND((AVERAGE(AF37:AM37)),0)</f>
        <v>99</v>
      </c>
      <c r="AO37" s="303" t="str">
        <f>IF(AN37&gt;KKM!$G$10,"A",IF(AN37&gt;KKM!$H$10,"B",IF(AN37&gt;=KKM!$I$10,"C","D")))</f>
        <v>A</v>
      </c>
      <c r="AP37" s="523">
        <f t="shared" ref="AP37:AP54" si="32">MAX(AF37:AM37)</f>
        <v>99</v>
      </c>
      <c r="AQ37" s="115" t="str">
        <f>IF(AP37&gt;KKM!$G$10," sangat baik ",IF(AP37&gt;KKM!$H$10," baik ",IF(AP37&gt;=KKM!$I$10," cukup baik "," perlu bimbingan ")))</f>
        <v xml:space="preserve"> sangat baik </v>
      </c>
      <c r="AR37" s="524">
        <f t="shared" ref="AR37:AR54" si="33">MIN(AF37:AM37)</f>
        <v>99</v>
      </c>
      <c r="AS37" s="115" t="str">
        <f>IF(AR37&gt;KKM!$G$10," sangat baik ",IF(AR37&gt;KKM!$H$10," baik ",IF(AR37&gt;=KKM!$I$10," cukup baik "," perlu bimbingan ")))</f>
        <v xml:space="preserve"> sangat baik </v>
      </c>
      <c r="AT37" s="301" t="str">
        <f t="shared" si="16"/>
        <v>Anak 33 sangat baik  dalam mengidentifikasi karakteristik ruang dan pemanfaatan sumberdaya alam untuk kesejahteraan masyarakat dari tingkatkota/kabupaten sampai tingkat provinsi.</v>
      </c>
      <c r="AU37" s="306"/>
      <c r="AV37" s="307" t="str">
        <f t="shared" ref="AV37:AV54" si="34">AQ37&amp;" dalam "&amp;INDEX($AF$3:$AM$3,MATCH(AP37,$AF37:$AM37,0))</f>
        <v xml:space="preserve"> sangat baik  dalam mengidentifikasi karakteristik ruang dan pemanfaatan sumberdaya alam untuk kesejahteraan masyarakat dari tingkatkota/kabupaten sampai tingkat provinsi.</v>
      </c>
      <c r="AW37" s="307" t="str">
        <f t="shared" ref="AW37:AW54" si="35">AS37&amp;" dalam "&amp;INDEX($AF$3:$AM$3,MATCH(AR37,$AF37:$AM37,0))</f>
        <v xml:space="preserve"> sangat baik  dalam mengidentifikasi karakteristik ruang dan pemanfaatan sumberdaya alam untuk kesejahteraan masyarakat dari tingkatkota/kabupaten sampai tingkat provinsi.</v>
      </c>
      <c r="AX37"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7" s="307" t="str">
        <f t="shared" si="18"/>
        <v xml:space="preserve"> sangat baik  dalam mengidentifikasi karakteristik ruang dan pemanfaatan sumberdaya alam untuk kesejahteraan masyarakat dari tingkatkota/kabupaten sampai tingkat provinsi.</v>
      </c>
      <c r="AZ37" s="308" t="str">
        <f t="shared" si="19"/>
        <v xml:space="preserve"> sangat baik  dalam mengidentifikasi karakteristik ruang dan pemanfaatan sumberdaya alam untuk kesejahteraan masyarakat dari tingkatkota/kabupaten sampai tingkat provinsi.</v>
      </c>
      <c r="BA37" s="301" t="str">
        <f t="shared" ref="BA37:BA54" si="36">CONCATENATE(D37,AZ37)</f>
        <v>Anak 33 sangat baik  dalam mengidentifikasi karakteristik ruang dan pemanfaatan sumberdaya alam untuk kesejahteraan masyarakat dari tingkatkota/kabupaten sampai tingkat provinsi.</v>
      </c>
      <c r="BB37" s="120"/>
      <c r="BJ37" s="408">
        <f t="shared" si="20"/>
        <v>99</v>
      </c>
      <c r="BM37" s="302">
        <f t="shared" si="21"/>
        <v>99</v>
      </c>
      <c r="BN37" s="303" t="str">
        <f>IF(BM37&gt;KKM!$G$10,"A",IF(BM37&gt;KKM!$H$10,"B",IF(BM37&gt;=KKM!$I$10,"C","D")))</f>
        <v>A</v>
      </c>
      <c r="BO37" s="523">
        <f t="shared" si="22"/>
        <v>99</v>
      </c>
      <c r="BP37" s="115" t="str">
        <f>IF(BO37&gt;KKM!$G$10," sangat baik ",IF(BO37&gt;KKM!$H$10," baik ",IF(BO37&gt;=KKM!$I$10," cukup baik "," perlu bimbingan ")))</f>
        <v xml:space="preserve"> sangat baik </v>
      </c>
      <c r="BQ37" s="524">
        <f t="shared" si="23"/>
        <v>99</v>
      </c>
      <c r="BR37" s="115" t="str">
        <f>IF(BQ37&gt;KKM!$G$10," sangat baik ",IF(BQ37&gt;KKM!$H$10," baik ",IF(BQ37&gt;=KKM!$I$10," cukup baik "," perlu bimbingan ")))</f>
        <v xml:space="preserve"> sangat baik </v>
      </c>
      <c r="BS37" s="301" t="str">
        <f t="shared" si="30"/>
        <v>Anak 33 sangat baik  dalam mengidentifikasi karakteristik ruang dan pemanfaatan sumberdaya alam untuk kesejahteraan masyarakat dari tingkatkota/kabupaten sampai tingkat provinsi.</v>
      </c>
      <c r="BT37" s="307" t="str">
        <f t="shared" si="24"/>
        <v xml:space="preserve"> sangat baik  dalam mengidentifikasi karakteristik ruang dan pemanfaatan sumberdaya alam untuk kesejahteraan masyarakat dari tingkatkota/kabupaten sampai tingkat provinsi.</v>
      </c>
      <c r="BU37" s="307" t="str">
        <f t="shared" si="25"/>
        <v xml:space="preserve"> sangat baik  dalam mengidentifikasi karakteristik ruang dan pemanfaatan sumberdaya alam untuk kesejahteraan masyarakat dari tingkatkota/kabupaten sampai tingkat provinsi.</v>
      </c>
      <c r="BV37"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7" s="307" t="str">
        <f t="shared" si="27"/>
        <v xml:space="preserve"> sangat baik  dalam mengidentifikasi karakteristik ruang dan pemanfaatan sumberdaya alam untuk kesejahteraan masyarakat dari tingkatkota/kabupaten sampai tingkat provinsi.</v>
      </c>
      <c r="BX37" s="308" t="str">
        <f t="shared" si="28"/>
        <v xml:space="preserve"> sangat baik  dalam mengidentifikasi karakteristik ruang dan pemanfaatan sumberdaya alam untuk kesejahteraan masyarakat dari tingkatkota/kabupaten sampai tingkat provinsi.</v>
      </c>
      <c r="BY37" s="301" t="str">
        <f t="shared" si="29"/>
        <v>Anak 33 sangat baik  dalam mengidentifikasi karakteristik ruang dan pemanfaatan sumberdaya alam untuk kesejahteraan masyarakat dari tingkatkota/kabupaten sampai tingkat provinsi.</v>
      </c>
    </row>
    <row r="38" spans="2:77" ht="38.25" customHeight="1">
      <c r="B38" s="109">
        <v>34</v>
      </c>
      <c r="C38" s="110">
        <f>SISWA!B39</f>
        <v>0</v>
      </c>
      <c r="D38" s="111" t="str">
        <f>SISWA!E39</f>
        <v>Anak 34</v>
      </c>
      <c r="E38" s="631">
        <v>99</v>
      </c>
      <c r="F38" s="631">
        <v>99</v>
      </c>
      <c r="G38" s="631">
        <v>99</v>
      </c>
      <c r="H38" s="730"/>
      <c r="I38" s="730"/>
      <c r="J38" s="730"/>
      <c r="K38" s="732"/>
      <c r="L38" s="732"/>
      <c r="M38" s="732"/>
      <c r="N38" s="730"/>
      <c r="O38" s="730"/>
      <c r="P38" s="730"/>
      <c r="Q38" s="610"/>
      <c r="R38" s="631">
        <v>99</v>
      </c>
      <c r="S38" s="631">
        <v>99</v>
      </c>
      <c r="T38" s="631"/>
      <c r="U38" s="631"/>
      <c r="V38" s="631"/>
      <c r="W38" s="631"/>
      <c r="X38" s="610"/>
      <c r="Y38" s="631">
        <v>99</v>
      </c>
      <c r="Z38" s="631">
        <v>99</v>
      </c>
      <c r="AA38" s="631">
        <v>99</v>
      </c>
      <c r="AB38" s="609"/>
      <c r="AC38" s="609"/>
      <c r="AD38" s="609"/>
      <c r="AE38" s="518"/>
      <c r="AF38" s="607">
        <f t="shared" si="13"/>
        <v>99</v>
      </c>
      <c r="AG38" s="607">
        <f t="shared" si="14"/>
        <v>99</v>
      </c>
      <c r="AH38" s="607">
        <f t="shared" si="15"/>
        <v>99</v>
      </c>
      <c r="AI38" s="607" t="str">
        <f>IFERROR(((2*#REF!)+#REF!)/3,"")</f>
        <v/>
      </c>
      <c r="AJ38" s="529"/>
      <c r="AK38" s="528"/>
      <c r="AL38" s="528"/>
      <c r="AM38" s="528"/>
      <c r="AN38" s="302">
        <f t="shared" si="31"/>
        <v>99</v>
      </c>
      <c r="AO38" s="303" t="str">
        <f>IF(AN38&gt;KKM!$G$10,"A",IF(AN38&gt;KKM!$H$10,"B",IF(AN38&gt;=KKM!$I$10,"C","D")))</f>
        <v>A</v>
      </c>
      <c r="AP38" s="523">
        <f t="shared" si="32"/>
        <v>99</v>
      </c>
      <c r="AQ38" s="115" t="str">
        <f>IF(AP38&gt;KKM!$G$10," sangat baik ",IF(AP38&gt;KKM!$H$10," baik ",IF(AP38&gt;=KKM!$I$10," cukup baik "," perlu bimbingan ")))</f>
        <v xml:space="preserve"> sangat baik </v>
      </c>
      <c r="AR38" s="524">
        <f t="shared" si="33"/>
        <v>99</v>
      </c>
      <c r="AS38" s="115" t="str">
        <f>IF(AR38&gt;KKM!$G$10," sangat baik ",IF(AR38&gt;KKM!$H$10," baik ",IF(AR38&gt;=KKM!$I$10," cukup baik "," perlu bimbingan ")))</f>
        <v xml:space="preserve"> sangat baik </v>
      </c>
      <c r="AT38" s="301" t="str">
        <f t="shared" si="16"/>
        <v>Anak 34 sangat baik  dalam mengidentifikasi karakteristik ruang dan pemanfaatan sumberdaya alam untuk kesejahteraan masyarakat dari tingkatkota/kabupaten sampai tingkat provinsi.</v>
      </c>
      <c r="AU38" s="306"/>
      <c r="AV38" s="307" t="str">
        <f t="shared" si="34"/>
        <v xml:space="preserve"> sangat baik  dalam mengidentifikasi karakteristik ruang dan pemanfaatan sumberdaya alam untuk kesejahteraan masyarakat dari tingkatkota/kabupaten sampai tingkat provinsi.</v>
      </c>
      <c r="AW38" s="307" t="str">
        <f t="shared" si="35"/>
        <v xml:space="preserve"> sangat baik  dalam mengidentifikasi karakteristik ruang dan pemanfaatan sumberdaya alam untuk kesejahteraan masyarakat dari tingkatkota/kabupaten sampai tingkat provinsi.</v>
      </c>
      <c r="AX38"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8" s="307" t="str">
        <f t="shared" si="18"/>
        <v xml:space="preserve"> sangat baik  dalam mengidentifikasi karakteristik ruang dan pemanfaatan sumberdaya alam untuk kesejahteraan masyarakat dari tingkatkota/kabupaten sampai tingkat provinsi.</v>
      </c>
      <c r="AZ38" s="308" t="str">
        <f t="shared" si="19"/>
        <v xml:space="preserve"> sangat baik  dalam mengidentifikasi karakteristik ruang dan pemanfaatan sumberdaya alam untuk kesejahteraan masyarakat dari tingkatkota/kabupaten sampai tingkat provinsi.</v>
      </c>
      <c r="BA38" s="301" t="str">
        <f t="shared" si="36"/>
        <v>Anak 34 sangat baik  dalam mengidentifikasi karakteristik ruang dan pemanfaatan sumberdaya alam untuk kesejahteraan masyarakat dari tingkatkota/kabupaten sampai tingkat provinsi.</v>
      </c>
      <c r="BB38" s="120"/>
      <c r="BJ38" s="408">
        <f t="shared" si="20"/>
        <v>99</v>
      </c>
      <c r="BM38" s="302">
        <f t="shared" si="21"/>
        <v>99</v>
      </c>
      <c r="BN38" s="303" t="str">
        <f>IF(BM38&gt;KKM!$G$10,"A",IF(BM38&gt;KKM!$H$10,"B",IF(BM38&gt;=KKM!$I$10,"C","D")))</f>
        <v>A</v>
      </c>
      <c r="BO38" s="523">
        <f t="shared" si="22"/>
        <v>99</v>
      </c>
      <c r="BP38" s="115" t="str">
        <f>IF(BO38&gt;KKM!$G$10," sangat baik ",IF(BO38&gt;KKM!$H$10," baik ",IF(BO38&gt;=KKM!$I$10," cukup baik "," perlu bimbingan ")))</f>
        <v xml:space="preserve"> sangat baik </v>
      </c>
      <c r="BQ38" s="524">
        <f t="shared" si="23"/>
        <v>99</v>
      </c>
      <c r="BR38" s="115" t="str">
        <f>IF(BQ38&gt;KKM!$G$10," sangat baik ",IF(BQ38&gt;KKM!$H$10," baik ",IF(BQ38&gt;=KKM!$I$10," cukup baik "," perlu bimbingan ")))</f>
        <v xml:space="preserve"> sangat baik </v>
      </c>
      <c r="BS38" s="301" t="str">
        <f t="shared" si="30"/>
        <v>Anak 34 sangat baik  dalam mengidentifikasi karakteristik ruang dan pemanfaatan sumberdaya alam untuk kesejahteraan masyarakat dari tingkatkota/kabupaten sampai tingkat provinsi.</v>
      </c>
      <c r="BT38" s="307" t="str">
        <f t="shared" si="24"/>
        <v xml:space="preserve"> sangat baik  dalam mengidentifikasi karakteristik ruang dan pemanfaatan sumberdaya alam untuk kesejahteraan masyarakat dari tingkatkota/kabupaten sampai tingkat provinsi.</v>
      </c>
      <c r="BU38" s="307" t="str">
        <f t="shared" si="25"/>
        <v xml:space="preserve"> sangat baik  dalam mengidentifikasi karakteristik ruang dan pemanfaatan sumberdaya alam untuk kesejahteraan masyarakat dari tingkatkota/kabupaten sampai tingkat provinsi.</v>
      </c>
      <c r="BV38"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8" s="307" t="str">
        <f t="shared" si="27"/>
        <v xml:space="preserve"> sangat baik  dalam mengidentifikasi karakteristik ruang dan pemanfaatan sumberdaya alam untuk kesejahteraan masyarakat dari tingkatkota/kabupaten sampai tingkat provinsi.</v>
      </c>
      <c r="BX38" s="308" t="str">
        <f t="shared" si="28"/>
        <v xml:space="preserve"> sangat baik  dalam mengidentifikasi karakteristik ruang dan pemanfaatan sumberdaya alam untuk kesejahteraan masyarakat dari tingkatkota/kabupaten sampai tingkat provinsi.</v>
      </c>
      <c r="BY38" s="301" t="str">
        <f t="shared" si="29"/>
        <v>Anak 34 sangat baik  dalam mengidentifikasi karakteristik ruang dan pemanfaatan sumberdaya alam untuk kesejahteraan masyarakat dari tingkatkota/kabupaten sampai tingkat provinsi.</v>
      </c>
    </row>
    <row r="39" spans="2:77" ht="38.25" customHeight="1">
      <c r="B39" s="109">
        <v>35</v>
      </c>
      <c r="C39" s="110">
        <f>SISWA!B40</f>
        <v>0</v>
      </c>
      <c r="D39" s="111" t="str">
        <f>SISWA!E40</f>
        <v>Anak 35</v>
      </c>
      <c r="E39" s="631">
        <v>99</v>
      </c>
      <c r="F39" s="631">
        <v>99</v>
      </c>
      <c r="G39" s="631">
        <v>99</v>
      </c>
      <c r="H39" s="730"/>
      <c r="I39" s="730"/>
      <c r="J39" s="730"/>
      <c r="K39" s="732"/>
      <c r="L39" s="732"/>
      <c r="M39" s="732"/>
      <c r="N39" s="730"/>
      <c r="O39" s="730"/>
      <c r="P39" s="730"/>
      <c r="Q39" s="610"/>
      <c r="R39" s="631">
        <v>99</v>
      </c>
      <c r="S39" s="631">
        <v>99</v>
      </c>
      <c r="T39" s="631"/>
      <c r="U39" s="631"/>
      <c r="V39" s="631"/>
      <c r="W39" s="631"/>
      <c r="X39" s="610"/>
      <c r="Y39" s="631">
        <v>99</v>
      </c>
      <c r="Z39" s="631">
        <v>99</v>
      </c>
      <c r="AA39" s="631">
        <v>99</v>
      </c>
      <c r="AB39" s="609"/>
      <c r="AC39" s="609"/>
      <c r="AD39" s="609"/>
      <c r="AE39" s="518"/>
      <c r="AF39" s="607">
        <f t="shared" si="13"/>
        <v>99</v>
      </c>
      <c r="AG39" s="607">
        <f t="shared" si="14"/>
        <v>99</v>
      </c>
      <c r="AH39" s="607">
        <f t="shared" si="15"/>
        <v>99</v>
      </c>
      <c r="AI39" s="607" t="str">
        <f>IFERROR(((2*#REF!)+#REF!)/3,"")</f>
        <v/>
      </c>
      <c r="AJ39" s="529"/>
      <c r="AK39" s="528"/>
      <c r="AL39" s="528"/>
      <c r="AM39" s="528"/>
      <c r="AN39" s="302">
        <f t="shared" si="31"/>
        <v>99</v>
      </c>
      <c r="AO39" s="303" t="str">
        <f>IF(AN39&gt;KKM!$G$10,"A",IF(AN39&gt;KKM!$H$10,"B",IF(AN39&gt;=KKM!$I$10,"C","D")))</f>
        <v>A</v>
      </c>
      <c r="AP39" s="523">
        <f t="shared" si="32"/>
        <v>99</v>
      </c>
      <c r="AQ39" s="115" t="str">
        <f>IF(AP39&gt;KKM!$G$10," sangat baik ",IF(AP39&gt;KKM!$H$10," baik ",IF(AP39&gt;=KKM!$I$10," cukup baik "," perlu bimbingan ")))</f>
        <v xml:space="preserve"> sangat baik </v>
      </c>
      <c r="AR39" s="524">
        <f t="shared" si="33"/>
        <v>99</v>
      </c>
      <c r="AS39" s="115" t="str">
        <f>IF(AR39&gt;KKM!$G$10," sangat baik ",IF(AR39&gt;KKM!$H$10," baik ",IF(AR39&gt;=KKM!$I$10," cukup baik "," perlu bimbingan ")))</f>
        <v xml:space="preserve"> sangat baik </v>
      </c>
      <c r="AT39" s="301" t="str">
        <f t="shared" si="16"/>
        <v>Anak 35 sangat baik  dalam mengidentifikasi karakteristik ruang dan pemanfaatan sumberdaya alam untuk kesejahteraan masyarakat dari tingkatkota/kabupaten sampai tingkat provinsi.</v>
      </c>
      <c r="AU39" s="306"/>
      <c r="AV39" s="307" t="str">
        <f t="shared" si="34"/>
        <v xml:space="preserve"> sangat baik  dalam mengidentifikasi karakteristik ruang dan pemanfaatan sumberdaya alam untuk kesejahteraan masyarakat dari tingkatkota/kabupaten sampai tingkat provinsi.</v>
      </c>
      <c r="AW39" s="307" t="str">
        <f t="shared" si="35"/>
        <v xml:space="preserve"> sangat baik  dalam mengidentifikasi karakteristik ruang dan pemanfaatan sumberdaya alam untuk kesejahteraan masyarakat dari tingkatkota/kabupaten sampai tingkat provinsi.</v>
      </c>
      <c r="AX39"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39" s="307" t="str">
        <f t="shared" si="18"/>
        <v xml:space="preserve"> sangat baik  dalam mengidentifikasi karakteristik ruang dan pemanfaatan sumberdaya alam untuk kesejahteraan masyarakat dari tingkatkota/kabupaten sampai tingkat provinsi.</v>
      </c>
      <c r="AZ39" s="308" t="str">
        <f t="shared" si="19"/>
        <v xml:space="preserve"> sangat baik  dalam mengidentifikasi karakteristik ruang dan pemanfaatan sumberdaya alam untuk kesejahteraan masyarakat dari tingkatkota/kabupaten sampai tingkat provinsi.</v>
      </c>
      <c r="BA39" s="301" t="str">
        <f t="shared" si="36"/>
        <v>Anak 35 sangat baik  dalam mengidentifikasi karakteristik ruang dan pemanfaatan sumberdaya alam untuk kesejahteraan masyarakat dari tingkatkota/kabupaten sampai tingkat provinsi.</v>
      </c>
      <c r="BB39" s="120"/>
      <c r="BJ39" s="408">
        <f t="shared" si="20"/>
        <v>99</v>
      </c>
      <c r="BM39" s="302">
        <f t="shared" si="21"/>
        <v>99</v>
      </c>
      <c r="BN39" s="303" t="str">
        <f>IF(BM39&gt;KKM!$G$10,"A",IF(BM39&gt;KKM!$H$10,"B",IF(BM39&gt;=KKM!$I$10,"C","D")))</f>
        <v>A</v>
      </c>
      <c r="BO39" s="523">
        <f t="shared" si="22"/>
        <v>99</v>
      </c>
      <c r="BP39" s="115" t="str">
        <f>IF(BO39&gt;KKM!$G$10," sangat baik ",IF(BO39&gt;KKM!$H$10," baik ",IF(BO39&gt;=KKM!$I$10," cukup baik "," perlu bimbingan ")))</f>
        <v xml:space="preserve"> sangat baik </v>
      </c>
      <c r="BQ39" s="524">
        <f t="shared" si="23"/>
        <v>99</v>
      </c>
      <c r="BR39" s="115" t="str">
        <f>IF(BQ39&gt;KKM!$G$10," sangat baik ",IF(BQ39&gt;KKM!$H$10," baik ",IF(BQ39&gt;=KKM!$I$10," cukup baik "," perlu bimbingan ")))</f>
        <v xml:space="preserve"> sangat baik </v>
      </c>
      <c r="BS39" s="301" t="str">
        <f t="shared" si="30"/>
        <v>Anak 35 sangat baik  dalam mengidentifikasi karakteristik ruang dan pemanfaatan sumberdaya alam untuk kesejahteraan masyarakat dari tingkatkota/kabupaten sampai tingkat provinsi.</v>
      </c>
      <c r="BT39" s="307" t="str">
        <f t="shared" si="24"/>
        <v xml:space="preserve"> sangat baik  dalam mengidentifikasi karakteristik ruang dan pemanfaatan sumberdaya alam untuk kesejahteraan masyarakat dari tingkatkota/kabupaten sampai tingkat provinsi.</v>
      </c>
      <c r="BU39" s="307" t="str">
        <f t="shared" si="25"/>
        <v xml:space="preserve"> sangat baik  dalam mengidentifikasi karakteristik ruang dan pemanfaatan sumberdaya alam untuk kesejahteraan masyarakat dari tingkatkota/kabupaten sampai tingkat provinsi.</v>
      </c>
      <c r="BV39"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39" s="307" t="str">
        <f t="shared" si="27"/>
        <v xml:space="preserve"> sangat baik  dalam mengidentifikasi karakteristik ruang dan pemanfaatan sumberdaya alam untuk kesejahteraan masyarakat dari tingkatkota/kabupaten sampai tingkat provinsi.</v>
      </c>
      <c r="BX39" s="308" t="str">
        <f t="shared" si="28"/>
        <v xml:space="preserve"> sangat baik  dalam mengidentifikasi karakteristik ruang dan pemanfaatan sumberdaya alam untuk kesejahteraan masyarakat dari tingkatkota/kabupaten sampai tingkat provinsi.</v>
      </c>
      <c r="BY39" s="301" t="str">
        <f t="shared" si="29"/>
        <v>Anak 35 sangat baik  dalam mengidentifikasi karakteristik ruang dan pemanfaatan sumberdaya alam untuk kesejahteraan masyarakat dari tingkatkota/kabupaten sampai tingkat provinsi.</v>
      </c>
    </row>
    <row r="40" spans="2:77" ht="38.25" customHeight="1">
      <c r="B40" s="109">
        <v>36</v>
      </c>
      <c r="C40" s="110">
        <f>SISWA!B41</f>
        <v>0</v>
      </c>
      <c r="D40" s="111" t="str">
        <f>SISWA!E41</f>
        <v>Anak 36</v>
      </c>
      <c r="E40" s="631">
        <v>99</v>
      </c>
      <c r="F40" s="631">
        <v>99</v>
      </c>
      <c r="G40" s="631">
        <v>99</v>
      </c>
      <c r="H40" s="730"/>
      <c r="I40" s="730"/>
      <c r="J40" s="730"/>
      <c r="K40" s="732"/>
      <c r="L40" s="732"/>
      <c r="M40" s="732"/>
      <c r="N40" s="730"/>
      <c r="O40" s="730"/>
      <c r="P40" s="730"/>
      <c r="Q40" s="610"/>
      <c r="R40" s="631">
        <v>99</v>
      </c>
      <c r="S40" s="631">
        <v>99</v>
      </c>
      <c r="T40" s="631"/>
      <c r="U40" s="631"/>
      <c r="V40" s="631"/>
      <c r="W40" s="631"/>
      <c r="X40" s="610"/>
      <c r="Y40" s="631">
        <v>99</v>
      </c>
      <c r="Z40" s="631">
        <v>99</v>
      </c>
      <c r="AA40" s="631">
        <v>99</v>
      </c>
      <c r="AB40" s="609"/>
      <c r="AC40" s="609"/>
      <c r="AD40" s="609"/>
      <c r="AE40" s="518"/>
      <c r="AF40" s="607">
        <f t="shared" si="13"/>
        <v>99</v>
      </c>
      <c r="AG40" s="607">
        <f t="shared" si="14"/>
        <v>99</v>
      </c>
      <c r="AH40" s="607">
        <f t="shared" si="15"/>
        <v>99</v>
      </c>
      <c r="AI40" s="607" t="str">
        <f>IFERROR(((2*#REF!)+#REF!)/3,"")</f>
        <v/>
      </c>
      <c r="AJ40" s="529"/>
      <c r="AK40" s="528"/>
      <c r="AL40" s="528"/>
      <c r="AM40" s="528"/>
      <c r="AN40" s="302">
        <f t="shared" si="31"/>
        <v>99</v>
      </c>
      <c r="AO40" s="303" t="str">
        <f>IF(AN40&gt;KKM!$G$10,"A",IF(AN40&gt;KKM!$H$10,"B",IF(AN40&gt;=KKM!$I$10,"C","D")))</f>
        <v>A</v>
      </c>
      <c r="AP40" s="523">
        <f t="shared" si="32"/>
        <v>99</v>
      </c>
      <c r="AQ40" s="115" t="str">
        <f>IF(AP40&gt;KKM!$G$10," sangat baik ",IF(AP40&gt;KKM!$H$10," baik ",IF(AP40&gt;=KKM!$I$10," cukup baik "," perlu bimbingan ")))</f>
        <v xml:space="preserve"> sangat baik </v>
      </c>
      <c r="AR40" s="524">
        <f t="shared" si="33"/>
        <v>99</v>
      </c>
      <c r="AS40" s="115" t="str">
        <f>IF(AR40&gt;KKM!$G$10," sangat baik ",IF(AR40&gt;KKM!$H$10," baik ",IF(AR40&gt;=KKM!$I$10," cukup baik "," perlu bimbingan ")))</f>
        <v xml:space="preserve"> sangat baik </v>
      </c>
      <c r="AT40" s="301" t="str">
        <f t="shared" si="16"/>
        <v>Anak 36 sangat baik  dalam mengidentifikasi karakteristik ruang dan pemanfaatan sumberdaya alam untuk kesejahteraan masyarakat dari tingkatkota/kabupaten sampai tingkat provinsi.</v>
      </c>
      <c r="AU40" s="306"/>
      <c r="AV40" s="307" t="str">
        <f t="shared" si="34"/>
        <v xml:space="preserve"> sangat baik  dalam mengidentifikasi karakteristik ruang dan pemanfaatan sumberdaya alam untuk kesejahteraan masyarakat dari tingkatkota/kabupaten sampai tingkat provinsi.</v>
      </c>
      <c r="AW40" s="307" t="str">
        <f t="shared" si="35"/>
        <v xml:space="preserve"> sangat baik  dalam mengidentifikasi karakteristik ruang dan pemanfaatan sumberdaya alam untuk kesejahteraan masyarakat dari tingkatkota/kabupaten sampai tingkat provinsi.</v>
      </c>
      <c r="AX40"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0" s="307" t="str">
        <f t="shared" si="18"/>
        <v xml:space="preserve"> sangat baik  dalam mengidentifikasi karakteristik ruang dan pemanfaatan sumberdaya alam untuk kesejahteraan masyarakat dari tingkatkota/kabupaten sampai tingkat provinsi.</v>
      </c>
      <c r="AZ40" s="308" t="str">
        <f t="shared" si="19"/>
        <v xml:space="preserve"> sangat baik  dalam mengidentifikasi karakteristik ruang dan pemanfaatan sumberdaya alam untuk kesejahteraan masyarakat dari tingkatkota/kabupaten sampai tingkat provinsi.</v>
      </c>
      <c r="BA40" s="301" t="str">
        <f t="shared" si="36"/>
        <v>Anak 36 sangat baik  dalam mengidentifikasi karakteristik ruang dan pemanfaatan sumberdaya alam untuk kesejahteraan masyarakat dari tingkatkota/kabupaten sampai tingkat provinsi.</v>
      </c>
      <c r="BB40" s="120"/>
      <c r="BJ40" s="408">
        <f t="shared" si="20"/>
        <v>99</v>
      </c>
      <c r="BM40" s="302">
        <f t="shared" si="21"/>
        <v>99</v>
      </c>
      <c r="BN40" s="303" t="str">
        <f>IF(BM40&gt;KKM!$G$10,"A",IF(BM40&gt;KKM!$H$10,"B",IF(BM40&gt;=KKM!$I$10,"C","D")))</f>
        <v>A</v>
      </c>
      <c r="BO40" s="523">
        <f t="shared" si="22"/>
        <v>99</v>
      </c>
      <c r="BP40" s="115" t="str">
        <f>IF(BO40&gt;KKM!$G$10," sangat baik ",IF(BO40&gt;KKM!$H$10," baik ",IF(BO40&gt;=KKM!$I$10," cukup baik "," perlu bimbingan ")))</f>
        <v xml:space="preserve"> sangat baik </v>
      </c>
      <c r="BQ40" s="524">
        <f t="shared" si="23"/>
        <v>99</v>
      </c>
      <c r="BR40" s="115" t="str">
        <f>IF(BQ40&gt;KKM!$G$10," sangat baik ",IF(BQ40&gt;KKM!$H$10," baik ",IF(BQ40&gt;=KKM!$I$10," cukup baik "," perlu bimbingan ")))</f>
        <v xml:space="preserve"> sangat baik </v>
      </c>
      <c r="BS40" s="301" t="str">
        <f t="shared" si="30"/>
        <v>Anak 36 sangat baik  dalam mengidentifikasi karakteristik ruang dan pemanfaatan sumberdaya alam untuk kesejahteraan masyarakat dari tingkatkota/kabupaten sampai tingkat provinsi.</v>
      </c>
      <c r="BT40" s="307" t="str">
        <f t="shared" si="24"/>
        <v xml:space="preserve"> sangat baik  dalam mengidentifikasi karakteristik ruang dan pemanfaatan sumberdaya alam untuk kesejahteraan masyarakat dari tingkatkota/kabupaten sampai tingkat provinsi.</v>
      </c>
      <c r="BU40" s="307" t="str">
        <f t="shared" si="25"/>
        <v xml:space="preserve"> sangat baik  dalam mengidentifikasi karakteristik ruang dan pemanfaatan sumberdaya alam untuk kesejahteraan masyarakat dari tingkatkota/kabupaten sampai tingkat provinsi.</v>
      </c>
      <c r="BV40"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0" s="307" t="str">
        <f t="shared" si="27"/>
        <v xml:space="preserve"> sangat baik  dalam mengidentifikasi karakteristik ruang dan pemanfaatan sumberdaya alam untuk kesejahteraan masyarakat dari tingkatkota/kabupaten sampai tingkat provinsi.</v>
      </c>
      <c r="BX40" s="308" t="str">
        <f t="shared" si="28"/>
        <v xml:space="preserve"> sangat baik  dalam mengidentifikasi karakteristik ruang dan pemanfaatan sumberdaya alam untuk kesejahteraan masyarakat dari tingkatkota/kabupaten sampai tingkat provinsi.</v>
      </c>
      <c r="BY40" s="301" t="str">
        <f t="shared" si="29"/>
        <v>Anak 36 sangat baik  dalam mengidentifikasi karakteristik ruang dan pemanfaatan sumberdaya alam untuk kesejahteraan masyarakat dari tingkatkota/kabupaten sampai tingkat provinsi.</v>
      </c>
    </row>
    <row r="41" spans="2:77" ht="38.25" customHeight="1">
      <c r="B41" s="109">
        <v>37</v>
      </c>
      <c r="C41" s="110">
        <f>SISWA!B42</f>
        <v>0</v>
      </c>
      <c r="D41" s="111" t="str">
        <f>SISWA!E42</f>
        <v>Anak 37</v>
      </c>
      <c r="E41" s="631">
        <v>99</v>
      </c>
      <c r="F41" s="631">
        <v>99</v>
      </c>
      <c r="G41" s="631">
        <v>99</v>
      </c>
      <c r="H41" s="730"/>
      <c r="I41" s="730"/>
      <c r="J41" s="730"/>
      <c r="K41" s="732"/>
      <c r="L41" s="732"/>
      <c r="M41" s="732"/>
      <c r="N41" s="730"/>
      <c r="O41" s="730"/>
      <c r="P41" s="730"/>
      <c r="Q41" s="610"/>
      <c r="R41" s="631">
        <v>99</v>
      </c>
      <c r="S41" s="631">
        <v>99</v>
      </c>
      <c r="T41" s="631"/>
      <c r="U41" s="631"/>
      <c r="V41" s="631"/>
      <c r="W41" s="631"/>
      <c r="X41" s="610"/>
      <c r="Y41" s="631">
        <v>99</v>
      </c>
      <c r="Z41" s="631">
        <v>99</v>
      </c>
      <c r="AA41" s="631">
        <v>99</v>
      </c>
      <c r="AB41" s="609"/>
      <c r="AC41" s="609"/>
      <c r="AD41" s="609"/>
      <c r="AE41" s="518"/>
      <c r="AF41" s="607">
        <f t="shared" si="13"/>
        <v>99</v>
      </c>
      <c r="AG41" s="607">
        <f t="shared" si="14"/>
        <v>99</v>
      </c>
      <c r="AH41" s="607">
        <f t="shared" si="15"/>
        <v>99</v>
      </c>
      <c r="AI41" s="607" t="str">
        <f>IFERROR(((2*#REF!)+#REF!)/3,"")</f>
        <v/>
      </c>
      <c r="AJ41" s="529"/>
      <c r="AK41" s="528"/>
      <c r="AL41" s="528"/>
      <c r="AM41" s="528"/>
      <c r="AN41" s="302">
        <f t="shared" si="31"/>
        <v>99</v>
      </c>
      <c r="AO41" s="303" t="str">
        <f>IF(AN41&gt;KKM!$G$10,"A",IF(AN41&gt;KKM!$H$10,"B",IF(AN41&gt;=KKM!$I$10,"C","D")))</f>
        <v>A</v>
      </c>
      <c r="AP41" s="523">
        <f t="shared" si="32"/>
        <v>99</v>
      </c>
      <c r="AQ41" s="115" t="str">
        <f>IF(AP41&gt;KKM!$G$10," sangat baik ",IF(AP41&gt;KKM!$H$10," baik ",IF(AP41&gt;=KKM!$I$10," cukup baik "," perlu bimbingan ")))</f>
        <v xml:space="preserve"> sangat baik </v>
      </c>
      <c r="AR41" s="524">
        <f t="shared" si="33"/>
        <v>99</v>
      </c>
      <c r="AS41" s="115" t="str">
        <f>IF(AR41&gt;KKM!$G$10," sangat baik ",IF(AR41&gt;KKM!$H$10," baik ",IF(AR41&gt;=KKM!$I$10," cukup baik "," perlu bimbingan ")))</f>
        <v xml:space="preserve"> sangat baik </v>
      </c>
      <c r="AT41" s="301" t="str">
        <f t="shared" si="16"/>
        <v>Anak 37 sangat baik  dalam mengidentifikasi karakteristik ruang dan pemanfaatan sumberdaya alam untuk kesejahteraan masyarakat dari tingkatkota/kabupaten sampai tingkat provinsi.</v>
      </c>
      <c r="AU41" s="306"/>
      <c r="AV41" s="307" t="str">
        <f t="shared" si="34"/>
        <v xml:space="preserve"> sangat baik  dalam mengidentifikasi karakteristik ruang dan pemanfaatan sumberdaya alam untuk kesejahteraan masyarakat dari tingkatkota/kabupaten sampai tingkat provinsi.</v>
      </c>
      <c r="AW41" s="307" t="str">
        <f t="shared" si="35"/>
        <v xml:space="preserve"> sangat baik  dalam mengidentifikasi karakteristik ruang dan pemanfaatan sumberdaya alam untuk kesejahteraan masyarakat dari tingkatkota/kabupaten sampai tingkat provinsi.</v>
      </c>
      <c r="AX41"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1" s="307" t="str">
        <f t="shared" si="18"/>
        <v xml:space="preserve"> sangat baik  dalam mengidentifikasi karakteristik ruang dan pemanfaatan sumberdaya alam untuk kesejahteraan masyarakat dari tingkatkota/kabupaten sampai tingkat provinsi.</v>
      </c>
      <c r="AZ41" s="308" t="str">
        <f t="shared" si="19"/>
        <v xml:space="preserve"> sangat baik  dalam mengidentifikasi karakteristik ruang dan pemanfaatan sumberdaya alam untuk kesejahteraan masyarakat dari tingkatkota/kabupaten sampai tingkat provinsi.</v>
      </c>
      <c r="BA41" s="301" t="str">
        <f t="shared" si="36"/>
        <v>Anak 37 sangat baik  dalam mengidentifikasi karakteristik ruang dan pemanfaatan sumberdaya alam untuk kesejahteraan masyarakat dari tingkatkota/kabupaten sampai tingkat provinsi.</v>
      </c>
      <c r="BB41" s="120"/>
      <c r="BJ41" s="408">
        <f t="shared" si="20"/>
        <v>99</v>
      </c>
      <c r="BM41" s="302">
        <f t="shared" si="21"/>
        <v>99</v>
      </c>
      <c r="BN41" s="303" t="str">
        <f>IF(BM41&gt;KKM!$G$10,"A",IF(BM41&gt;KKM!$H$10,"B",IF(BM41&gt;=KKM!$I$10,"C","D")))</f>
        <v>A</v>
      </c>
      <c r="BO41" s="523">
        <f t="shared" si="22"/>
        <v>99</v>
      </c>
      <c r="BP41" s="115" t="str">
        <f>IF(BO41&gt;KKM!$G$10," sangat baik ",IF(BO41&gt;KKM!$H$10," baik ",IF(BO41&gt;=KKM!$I$10," cukup baik "," perlu bimbingan ")))</f>
        <v xml:space="preserve"> sangat baik </v>
      </c>
      <c r="BQ41" s="524">
        <f t="shared" si="23"/>
        <v>99</v>
      </c>
      <c r="BR41" s="115" t="str">
        <f>IF(BQ41&gt;KKM!$G$10," sangat baik ",IF(BQ41&gt;KKM!$H$10," baik ",IF(BQ41&gt;=KKM!$I$10," cukup baik "," perlu bimbingan ")))</f>
        <v xml:space="preserve"> sangat baik </v>
      </c>
      <c r="BS41" s="301" t="str">
        <f t="shared" si="30"/>
        <v>Anak 37 sangat baik  dalam mengidentifikasi karakteristik ruang dan pemanfaatan sumberdaya alam untuk kesejahteraan masyarakat dari tingkatkota/kabupaten sampai tingkat provinsi.</v>
      </c>
      <c r="BT41" s="307" t="str">
        <f t="shared" si="24"/>
        <v xml:space="preserve"> sangat baik  dalam mengidentifikasi karakteristik ruang dan pemanfaatan sumberdaya alam untuk kesejahteraan masyarakat dari tingkatkota/kabupaten sampai tingkat provinsi.</v>
      </c>
      <c r="BU41" s="307" t="str">
        <f t="shared" si="25"/>
        <v xml:space="preserve"> sangat baik  dalam mengidentifikasi karakteristik ruang dan pemanfaatan sumberdaya alam untuk kesejahteraan masyarakat dari tingkatkota/kabupaten sampai tingkat provinsi.</v>
      </c>
      <c r="BV41"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1" s="307" t="str">
        <f t="shared" si="27"/>
        <v xml:space="preserve"> sangat baik  dalam mengidentifikasi karakteristik ruang dan pemanfaatan sumberdaya alam untuk kesejahteraan masyarakat dari tingkatkota/kabupaten sampai tingkat provinsi.</v>
      </c>
      <c r="BX41" s="308" t="str">
        <f t="shared" si="28"/>
        <v xml:space="preserve"> sangat baik  dalam mengidentifikasi karakteristik ruang dan pemanfaatan sumberdaya alam untuk kesejahteraan masyarakat dari tingkatkota/kabupaten sampai tingkat provinsi.</v>
      </c>
      <c r="BY41" s="301" t="str">
        <f t="shared" si="29"/>
        <v>Anak 37 sangat baik  dalam mengidentifikasi karakteristik ruang dan pemanfaatan sumberdaya alam untuk kesejahteraan masyarakat dari tingkatkota/kabupaten sampai tingkat provinsi.</v>
      </c>
    </row>
    <row r="42" spans="2:77" ht="38.25" customHeight="1">
      <c r="B42" s="109">
        <v>38</v>
      </c>
      <c r="C42" s="110">
        <f>SISWA!B43</f>
        <v>0</v>
      </c>
      <c r="D42" s="111" t="str">
        <f>SISWA!E43</f>
        <v>Anak 38</v>
      </c>
      <c r="E42" s="631">
        <v>99</v>
      </c>
      <c r="F42" s="631">
        <v>99</v>
      </c>
      <c r="G42" s="631">
        <v>99</v>
      </c>
      <c r="H42" s="730"/>
      <c r="I42" s="730"/>
      <c r="J42" s="730"/>
      <c r="K42" s="732"/>
      <c r="L42" s="732"/>
      <c r="M42" s="732"/>
      <c r="N42" s="730"/>
      <c r="O42" s="730"/>
      <c r="P42" s="730"/>
      <c r="Q42" s="610"/>
      <c r="R42" s="631">
        <v>99</v>
      </c>
      <c r="S42" s="631">
        <v>99</v>
      </c>
      <c r="T42" s="631"/>
      <c r="U42" s="631"/>
      <c r="V42" s="631"/>
      <c r="W42" s="631"/>
      <c r="X42" s="610"/>
      <c r="Y42" s="631">
        <v>99</v>
      </c>
      <c r="Z42" s="631">
        <v>99</v>
      </c>
      <c r="AA42" s="631">
        <v>99</v>
      </c>
      <c r="AB42" s="609"/>
      <c r="AC42" s="609"/>
      <c r="AD42" s="609"/>
      <c r="AE42" s="518"/>
      <c r="AF42" s="607">
        <f t="shared" si="13"/>
        <v>99</v>
      </c>
      <c r="AG42" s="607">
        <f t="shared" si="14"/>
        <v>99</v>
      </c>
      <c r="AH42" s="607">
        <f t="shared" si="15"/>
        <v>99</v>
      </c>
      <c r="AI42" s="607" t="str">
        <f>IFERROR(((2*#REF!)+#REF!)/3,"")</f>
        <v/>
      </c>
      <c r="AJ42" s="529"/>
      <c r="AK42" s="528"/>
      <c r="AL42" s="528"/>
      <c r="AM42" s="528"/>
      <c r="AN42" s="302">
        <f t="shared" si="31"/>
        <v>99</v>
      </c>
      <c r="AO42" s="303" t="str">
        <f>IF(AN42&gt;KKM!$G$10,"A",IF(AN42&gt;KKM!$H$10,"B",IF(AN42&gt;=KKM!$I$10,"C","D")))</f>
        <v>A</v>
      </c>
      <c r="AP42" s="523">
        <f t="shared" si="32"/>
        <v>99</v>
      </c>
      <c r="AQ42" s="115" t="str">
        <f>IF(AP42&gt;KKM!$G$10," sangat baik ",IF(AP42&gt;KKM!$H$10," baik ",IF(AP42&gt;=KKM!$I$10," cukup baik "," perlu bimbingan ")))</f>
        <v xml:space="preserve"> sangat baik </v>
      </c>
      <c r="AR42" s="524">
        <f t="shared" si="33"/>
        <v>99</v>
      </c>
      <c r="AS42" s="115" t="str">
        <f>IF(AR42&gt;KKM!$G$10," sangat baik ",IF(AR42&gt;KKM!$H$10," baik ",IF(AR42&gt;=KKM!$I$10," cukup baik "," perlu bimbingan ")))</f>
        <v xml:space="preserve"> sangat baik </v>
      </c>
      <c r="AT42" s="301" t="str">
        <f t="shared" si="16"/>
        <v>Anak 38 sangat baik  dalam mengidentifikasi karakteristik ruang dan pemanfaatan sumberdaya alam untuk kesejahteraan masyarakat dari tingkatkota/kabupaten sampai tingkat provinsi.</v>
      </c>
      <c r="AU42" s="306"/>
      <c r="AV42" s="307" t="str">
        <f t="shared" si="34"/>
        <v xml:space="preserve"> sangat baik  dalam mengidentifikasi karakteristik ruang dan pemanfaatan sumberdaya alam untuk kesejahteraan masyarakat dari tingkatkota/kabupaten sampai tingkat provinsi.</v>
      </c>
      <c r="AW42" s="307" t="str">
        <f t="shared" si="35"/>
        <v xml:space="preserve"> sangat baik  dalam mengidentifikasi karakteristik ruang dan pemanfaatan sumberdaya alam untuk kesejahteraan masyarakat dari tingkatkota/kabupaten sampai tingkat provinsi.</v>
      </c>
      <c r="AX42"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2" s="307" t="str">
        <f t="shared" si="18"/>
        <v xml:space="preserve"> sangat baik  dalam mengidentifikasi karakteristik ruang dan pemanfaatan sumberdaya alam untuk kesejahteraan masyarakat dari tingkatkota/kabupaten sampai tingkat provinsi.</v>
      </c>
      <c r="AZ42" s="308" t="str">
        <f t="shared" si="19"/>
        <v xml:space="preserve"> sangat baik  dalam mengidentifikasi karakteristik ruang dan pemanfaatan sumberdaya alam untuk kesejahteraan masyarakat dari tingkatkota/kabupaten sampai tingkat provinsi.</v>
      </c>
      <c r="BA42" s="301" t="str">
        <f t="shared" si="36"/>
        <v>Anak 38 sangat baik  dalam mengidentifikasi karakteristik ruang dan pemanfaatan sumberdaya alam untuk kesejahteraan masyarakat dari tingkatkota/kabupaten sampai tingkat provinsi.</v>
      </c>
      <c r="BB42" s="120"/>
      <c r="BJ42" s="408">
        <f t="shared" si="20"/>
        <v>99</v>
      </c>
      <c r="BM42" s="302">
        <f t="shared" si="21"/>
        <v>99</v>
      </c>
      <c r="BN42" s="303" t="str">
        <f>IF(BM42&gt;KKM!$G$10,"A",IF(BM42&gt;KKM!$H$10,"B",IF(BM42&gt;=KKM!$I$10,"C","D")))</f>
        <v>A</v>
      </c>
      <c r="BO42" s="523">
        <f t="shared" si="22"/>
        <v>99</v>
      </c>
      <c r="BP42" s="115" t="str">
        <f>IF(BO42&gt;KKM!$G$10," sangat baik ",IF(BO42&gt;KKM!$H$10," baik ",IF(BO42&gt;=KKM!$I$10," cukup baik "," perlu bimbingan ")))</f>
        <v xml:space="preserve"> sangat baik </v>
      </c>
      <c r="BQ42" s="524">
        <f t="shared" si="23"/>
        <v>99</v>
      </c>
      <c r="BR42" s="115" t="str">
        <f>IF(BQ42&gt;KKM!$G$10," sangat baik ",IF(BQ42&gt;KKM!$H$10," baik ",IF(BQ42&gt;=KKM!$I$10," cukup baik "," perlu bimbingan ")))</f>
        <v xml:space="preserve"> sangat baik </v>
      </c>
      <c r="BS42" s="301" t="str">
        <f t="shared" si="30"/>
        <v>Anak 38 sangat baik  dalam mengidentifikasi karakteristik ruang dan pemanfaatan sumberdaya alam untuk kesejahteraan masyarakat dari tingkatkota/kabupaten sampai tingkat provinsi.</v>
      </c>
      <c r="BT42" s="307" t="str">
        <f t="shared" si="24"/>
        <v xml:space="preserve"> sangat baik  dalam mengidentifikasi karakteristik ruang dan pemanfaatan sumberdaya alam untuk kesejahteraan masyarakat dari tingkatkota/kabupaten sampai tingkat provinsi.</v>
      </c>
      <c r="BU42" s="307" t="str">
        <f t="shared" si="25"/>
        <v xml:space="preserve"> sangat baik  dalam mengidentifikasi karakteristik ruang dan pemanfaatan sumberdaya alam untuk kesejahteraan masyarakat dari tingkatkota/kabupaten sampai tingkat provinsi.</v>
      </c>
      <c r="BV42"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2" s="307" t="str">
        <f t="shared" si="27"/>
        <v xml:space="preserve"> sangat baik  dalam mengidentifikasi karakteristik ruang dan pemanfaatan sumberdaya alam untuk kesejahteraan masyarakat dari tingkatkota/kabupaten sampai tingkat provinsi.</v>
      </c>
      <c r="BX42" s="308" t="str">
        <f t="shared" si="28"/>
        <v xml:space="preserve"> sangat baik  dalam mengidentifikasi karakteristik ruang dan pemanfaatan sumberdaya alam untuk kesejahteraan masyarakat dari tingkatkota/kabupaten sampai tingkat provinsi.</v>
      </c>
      <c r="BY42" s="301" t="str">
        <f t="shared" si="29"/>
        <v>Anak 38 sangat baik  dalam mengidentifikasi karakteristik ruang dan pemanfaatan sumberdaya alam untuk kesejahteraan masyarakat dari tingkatkota/kabupaten sampai tingkat provinsi.</v>
      </c>
    </row>
    <row r="43" spans="2:77" ht="38.25" customHeight="1">
      <c r="B43" s="109">
        <v>39</v>
      </c>
      <c r="C43" s="110">
        <f>SISWA!B44</f>
        <v>0</v>
      </c>
      <c r="D43" s="111" t="str">
        <f>SISWA!E44</f>
        <v>Anak 39</v>
      </c>
      <c r="E43" s="631">
        <v>99</v>
      </c>
      <c r="F43" s="631">
        <v>99</v>
      </c>
      <c r="G43" s="631">
        <v>99</v>
      </c>
      <c r="H43" s="730"/>
      <c r="I43" s="730"/>
      <c r="J43" s="730"/>
      <c r="K43" s="732"/>
      <c r="L43" s="732"/>
      <c r="M43" s="732"/>
      <c r="N43" s="730"/>
      <c r="O43" s="730"/>
      <c r="P43" s="730"/>
      <c r="Q43" s="610"/>
      <c r="R43" s="631">
        <v>99</v>
      </c>
      <c r="S43" s="631">
        <v>99</v>
      </c>
      <c r="T43" s="631"/>
      <c r="U43" s="631"/>
      <c r="V43" s="631"/>
      <c r="W43" s="631"/>
      <c r="X43" s="610"/>
      <c r="Y43" s="631">
        <v>99</v>
      </c>
      <c r="Z43" s="631">
        <v>99</v>
      </c>
      <c r="AA43" s="631">
        <v>99</v>
      </c>
      <c r="AB43" s="609"/>
      <c r="AC43" s="609"/>
      <c r="AD43" s="609"/>
      <c r="AE43" s="518"/>
      <c r="AF43" s="607">
        <f t="shared" si="13"/>
        <v>99</v>
      </c>
      <c r="AG43" s="607">
        <f t="shared" si="14"/>
        <v>99</v>
      </c>
      <c r="AH43" s="607">
        <f t="shared" si="15"/>
        <v>99</v>
      </c>
      <c r="AI43" s="607" t="str">
        <f>IFERROR(((2*#REF!)+#REF!)/3,"")</f>
        <v/>
      </c>
      <c r="AJ43" s="529"/>
      <c r="AK43" s="528"/>
      <c r="AL43" s="528"/>
      <c r="AM43" s="528"/>
      <c r="AN43" s="302">
        <f t="shared" si="31"/>
        <v>99</v>
      </c>
      <c r="AO43" s="303" t="str">
        <f>IF(AN43&gt;KKM!$G$10,"A",IF(AN43&gt;KKM!$H$10,"B",IF(AN43&gt;=KKM!$I$10,"C","D")))</f>
        <v>A</v>
      </c>
      <c r="AP43" s="523">
        <f t="shared" si="32"/>
        <v>99</v>
      </c>
      <c r="AQ43" s="115" t="str">
        <f>IF(AP43&gt;KKM!$G$10," sangat baik ",IF(AP43&gt;KKM!$H$10," baik ",IF(AP43&gt;=KKM!$I$10," cukup baik "," perlu bimbingan ")))</f>
        <v xml:space="preserve"> sangat baik </v>
      </c>
      <c r="AR43" s="524">
        <f t="shared" si="33"/>
        <v>99</v>
      </c>
      <c r="AS43" s="115" t="str">
        <f>IF(AR43&gt;KKM!$G$10," sangat baik ",IF(AR43&gt;KKM!$H$10," baik ",IF(AR43&gt;=KKM!$I$10," cukup baik "," perlu bimbingan ")))</f>
        <v xml:space="preserve"> sangat baik </v>
      </c>
      <c r="AT43" s="301" t="str">
        <f t="shared" si="16"/>
        <v>Anak 39 sangat baik  dalam mengidentifikasi karakteristik ruang dan pemanfaatan sumberdaya alam untuk kesejahteraan masyarakat dari tingkatkota/kabupaten sampai tingkat provinsi.</v>
      </c>
      <c r="AU43" s="306"/>
      <c r="AV43" s="307" t="str">
        <f t="shared" si="34"/>
        <v xml:space="preserve"> sangat baik  dalam mengidentifikasi karakteristik ruang dan pemanfaatan sumberdaya alam untuk kesejahteraan masyarakat dari tingkatkota/kabupaten sampai tingkat provinsi.</v>
      </c>
      <c r="AW43" s="307" t="str">
        <f t="shared" si="35"/>
        <v xml:space="preserve"> sangat baik  dalam mengidentifikasi karakteristik ruang dan pemanfaatan sumberdaya alam untuk kesejahteraan masyarakat dari tingkatkota/kabupaten sampai tingkat provinsi.</v>
      </c>
      <c r="AX43"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3" s="307" t="str">
        <f t="shared" si="18"/>
        <v xml:space="preserve"> sangat baik  dalam mengidentifikasi karakteristik ruang dan pemanfaatan sumberdaya alam untuk kesejahteraan masyarakat dari tingkatkota/kabupaten sampai tingkat provinsi.</v>
      </c>
      <c r="AZ43" s="308" t="str">
        <f t="shared" si="19"/>
        <v xml:space="preserve"> sangat baik  dalam mengidentifikasi karakteristik ruang dan pemanfaatan sumberdaya alam untuk kesejahteraan masyarakat dari tingkatkota/kabupaten sampai tingkat provinsi.</v>
      </c>
      <c r="BA43" s="301" t="str">
        <f t="shared" si="36"/>
        <v>Anak 39 sangat baik  dalam mengidentifikasi karakteristik ruang dan pemanfaatan sumberdaya alam untuk kesejahteraan masyarakat dari tingkatkota/kabupaten sampai tingkat provinsi.</v>
      </c>
      <c r="BB43" s="120"/>
      <c r="BJ43" s="408">
        <f t="shared" si="20"/>
        <v>99</v>
      </c>
      <c r="BM43" s="302">
        <f t="shared" si="21"/>
        <v>99</v>
      </c>
      <c r="BN43" s="303" t="str">
        <f>IF(BM43&gt;KKM!$G$10,"A",IF(BM43&gt;KKM!$H$10,"B",IF(BM43&gt;=KKM!$I$10,"C","D")))</f>
        <v>A</v>
      </c>
      <c r="BO43" s="523">
        <f t="shared" si="22"/>
        <v>99</v>
      </c>
      <c r="BP43" s="115" t="str">
        <f>IF(BO43&gt;KKM!$G$10," sangat baik ",IF(BO43&gt;KKM!$H$10," baik ",IF(BO43&gt;=KKM!$I$10," cukup baik "," perlu bimbingan ")))</f>
        <v xml:space="preserve"> sangat baik </v>
      </c>
      <c r="BQ43" s="524">
        <f t="shared" si="23"/>
        <v>99</v>
      </c>
      <c r="BR43" s="115" t="str">
        <f>IF(BQ43&gt;KKM!$G$10," sangat baik ",IF(BQ43&gt;KKM!$H$10," baik ",IF(BQ43&gt;=KKM!$I$10," cukup baik "," perlu bimbingan ")))</f>
        <v xml:space="preserve"> sangat baik </v>
      </c>
      <c r="BS43" s="301" t="str">
        <f t="shared" si="30"/>
        <v>Anak 39 sangat baik  dalam mengidentifikasi karakteristik ruang dan pemanfaatan sumberdaya alam untuk kesejahteraan masyarakat dari tingkatkota/kabupaten sampai tingkat provinsi.</v>
      </c>
      <c r="BT43" s="307" t="str">
        <f t="shared" si="24"/>
        <v xml:space="preserve"> sangat baik  dalam mengidentifikasi karakteristik ruang dan pemanfaatan sumberdaya alam untuk kesejahteraan masyarakat dari tingkatkota/kabupaten sampai tingkat provinsi.</v>
      </c>
      <c r="BU43" s="307" t="str">
        <f t="shared" si="25"/>
        <v xml:space="preserve"> sangat baik  dalam mengidentifikasi karakteristik ruang dan pemanfaatan sumberdaya alam untuk kesejahteraan masyarakat dari tingkatkota/kabupaten sampai tingkat provinsi.</v>
      </c>
      <c r="BV43"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3" s="307" t="str">
        <f t="shared" si="27"/>
        <v xml:space="preserve"> sangat baik  dalam mengidentifikasi karakteristik ruang dan pemanfaatan sumberdaya alam untuk kesejahteraan masyarakat dari tingkatkota/kabupaten sampai tingkat provinsi.</v>
      </c>
      <c r="BX43" s="308" t="str">
        <f t="shared" si="28"/>
        <v xml:space="preserve"> sangat baik  dalam mengidentifikasi karakteristik ruang dan pemanfaatan sumberdaya alam untuk kesejahteraan masyarakat dari tingkatkota/kabupaten sampai tingkat provinsi.</v>
      </c>
      <c r="BY43" s="301" t="str">
        <f t="shared" si="29"/>
        <v>Anak 39 sangat baik  dalam mengidentifikasi karakteristik ruang dan pemanfaatan sumberdaya alam untuk kesejahteraan masyarakat dari tingkatkota/kabupaten sampai tingkat provinsi.</v>
      </c>
    </row>
    <row r="44" spans="2:77" ht="38.25" customHeight="1">
      <c r="B44" s="109">
        <v>40</v>
      </c>
      <c r="C44" s="110">
        <f>SISWA!B45</f>
        <v>0</v>
      </c>
      <c r="D44" s="111" t="str">
        <f>SISWA!E45</f>
        <v>Anak 40</v>
      </c>
      <c r="E44" s="631">
        <v>99</v>
      </c>
      <c r="F44" s="631">
        <v>99</v>
      </c>
      <c r="G44" s="631">
        <v>99</v>
      </c>
      <c r="H44" s="730"/>
      <c r="I44" s="730"/>
      <c r="J44" s="730"/>
      <c r="K44" s="732"/>
      <c r="L44" s="732"/>
      <c r="M44" s="732"/>
      <c r="N44" s="730"/>
      <c r="O44" s="730"/>
      <c r="P44" s="730"/>
      <c r="Q44" s="610"/>
      <c r="R44" s="631">
        <v>99</v>
      </c>
      <c r="S44" s="631">
        <v>99</v>
      </c>
      <c r="T44" s="631"/>
      <c r="U44" s="631"/>
      <c r="V44" s="631"/>
      <c r="W44" s="631"/>
      <c r="X44" s="610"/>
      <c r="Y44" s="631">
        <v>99</v>
      </c>
      <c r="Z44" s="631">
        <v>99</v>
      </c>
      <c r="AA44" s="631">
        <v>99</v>
      </c>
      <c r="AB44" s="609"/>
      <c r="AC44" s="609"/>
      <c r="AD44" s="609"/>
      <c r="AE44" s="518"/>
      <c r="AF44" s="607">
        <f t="shared" si="13"/>
        <v>99</v>
      </c>
      <c r="AG44" s="607">
        <f t="shared" si="14"/>
        <v>99</v>
      </c>
      <c r="AH44" s="607">
        <f t="shared" si="15"/>
        <v>99</v>
      </c>
      <c r="AI44" s="607" t="str">
        <f>IFERROR(((2*#REF!)+#REF!)/3,"")</f>
        <v/>
      </c>
      <c r="AJ44" s="529"/>
      <c r="AK44" s="528"/>
      <c r="AL44" s="528"/>
      <c r="AM44" s="528"/>
      <c r="AN44" s="302">
        <f t="shared" si="31"/>
        <v>99</v>
      </c>
      <c r="AO44" s="303" t="str">
        <f>IF(AN44&gt;KKM!$G$10,"A",IF(AN44&gt;KKM!$H$10,"B",IF(AN44&gt;=KKM!$I$10,"C","D")))</f>
        <v>A</v>
      </c>
      <c r="AP44" s="523">
        <f t="shared" si="32"/>
        <v>99</v>
      </c>
      <c r="AQ44" s="115" t="str">
        <f>IF(AP44&gt;KKM!$G$10," sangat baik ",IF(AP44&gt;KKM!$H$10," baik ",IF(AP44&gt;=KKM!$I$10," cukup baik "," perlu bimbingan ")))</f>
        <v xml:space="preserve"> sangat baik </v>
      </c>
      <c r="AR44" s="524">
        <f t="shared" si="33"/>
        <v>99</v>
      </c>
      <c r="AS44" s="115" t="str">
        <f>IF(AR44&gt;KKM!$G$10," sangat baik ",IF(AR44&gt;KKM!$H$10," baik ",IF(AR44&gt;=KKM!$I$10," cukup baik "," perlu bimbingan ")))</f>
        <v xml:space="preserve"> sangat baik </v>
      </c>
      <c r="AT44" s="301" t="str">
        <f t="shared" si="16"/>
        <v>Anak 40 sangat baik  dalam mengidentifikasi karakteristik ruang dan pemanfaatan sumberdaya alam untuk kesejahteraan masyarakat dari tingkatkota/kabupaten sampai tingkat provinsi.</v>
      </c>
      <c r="AU44" s="306"/>
      <c r="AV44" s="307" t="str">
        <f t="shared" si="34"/>
        <v xml:space="preserve"> sangat baik  dalam mengidentifikasi karakteristik ruang dan pemanfaatan sumberdaya alam untuk kesejahteraan masyarakat dari tingkatkota/kabupaten sampai tingkat provinsi.</v>
      </c>
      <c r="AW44" s="307" t="str">
        <f t="shared" si="35"/>
        <v xml:space="preserve"> sangat baik  dalam mengidentifikasi karakteristik ruang dan pemanfaatan sumberdaya alam untuk kesejahteraan masyarakat dari tingkatkota/kabupaten sampai tingkat provinsi.</v>
      </c>
      <c r="AX44"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4" s="307" t="str">
        <f t="shared" si="18"/>
        <v xml:space="preserve"> sangat baik  dalam mengidentifikasi karakteristik ruang dan pemanfaatan sumberdaya alam untuk kesejahteraan masyarakat dari tingkatkota/kabupaten sampai tingkat provinsi.</v>
      </c>
      <c r="AZ44" s="308" t="str">
        <f t="shared" si="19"/>
        <v xml:space="preserve"> sangat baik  dalam mengidentifikasi karakteristik ruang dan pemanfaatan sumberdaya alam untuk kesejahteraan masyarakat dari tingkatkota/kabupaten sampai tingkat provinsi.</v>
      </c>
      <c r="BA44" s="301" t="str">
        <f t="shared" si="36"/>
        <v>Anak 40 sangat baik  dalam mengidentifikasi karakteristik ruang dan pemanfaatan sumberdaya alam untuk kesejahteraan masyarakat dari tingkatkota/kabupaten sampai tingkat provinsi.</v>
      </c>
      <c r="BB44" s="120"/>
      <c r="BJ44" s="408">
        <f t="shared" si="20"/>
        <v>99</v>
      </c>
      <c r="BM44" s="302">
        <f t="shared" si="21"/>
        <v>99</v>
      </c>
      <c r="BN44" s="303" t="str">
        <f>IF(BM44&gt;KKM!$G$10,"A",IF(BM44&gt;KKM!$H$10,"B",IF(BM44&gt;=KKM!$I$10,"C","D")))</f>
        <v>A</v>
      </c>
      <c r="BO44" s="523">
        <f t="shared" si="22"/>
        <v>99</v>
      </c>
      <c r="BP44" s="115" t="str">
        <f>IF(BO44&gt;KKM!$G$10," sangat baik ",IF(BO44&gt;KKM!$H$10," baik ",IF(BO44&gt;=KKM!$I$10," cukup baik "," perlu bimbingan ")))</f>
        <v xml:space="preserve"> sangat baik </v>
      </c>
      <c r="BQ44" s="524">
        <f t="shared" si="23"/>
        <v>99</v>
      </c>
      <c r="BR44" s="115" t="str">
        <f>IF(BQ44&gt;KKM!$G$10," sangat baik ",IF(BQ44&gt;KKM!$H$10," baik ",IF(BQ44&gt;=KKM!$I$10," cukup baik "," perlu bimbingan ")))</f>
        <v xml:space="preserve"> sangat baik </v>
      </c>
      <c r="BS44" s="301" t="str">
        <f t="shared" si="30"/>
        <v>Anak 40 sangat baik  dalam mengidentifikasi karakteristik ruang dan pemanfaatan sumberdaya alam untuk kesejahteraan masyarakat dari tingkatkota/kabupaten sampai tingkat provinsi.</v>
      </c>
      <c r="BT44" s="307" t="str">
        <f t="shared" si="24"/>
        <v xml:space="preserve"> sangat baik  dalam mengidentifikasi karakteristik ruang dan pemanfaatan sumberdaya alam untuk kesejahteraan masyarakat dari tingkatkota/kabupaten sampai tingkat provinsi.</v>
      </c>
      <c r="BU44" s="307" t="str">
        <f t="shared" si="25"/>
        <v xml:space="preserve"> sangat baik  dalam mengidentifikasi karakteristik ruang dan pemanfaatan sumberdaya alam untuk kesejahteraan masyarakat dari tingkatkota/kabupaten sampai tingkat provinsi.</v>
      </c>
      <c r="BV44"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4" s="307" t="str">
        <f t="shared" si="27"/>
        <v xml:space="preserve"> sangat baik  dalam mengidentifikasi karakteristik ruang dan pemanfaatan sumberdaya alam untuk kesejahteraan masyarakat dari tingkatkota/kabupaten sampai tingkat provinsi.</v>
      </c>
      <c r="BX44" s="308" t="str">
        <f t="shared" si="28"/>
        <v xml:space="preserve"> sangat baik  dalam mengidentifikasi karakteristik ruang dan pemanfaatan sumberdaya alam untuk kesejahteraan masyarakat dari tingkatkota/kabupaten sampai tingkat provinsi.</v>
      </c>
      <c r="BY44" s="301" t="str">
        <f t="shared" si="29"/>
        <v>Anak 40 sangat baik  dalam mengidentifikasi karakteristik ruang dan pemanfaatan sumberdaya alam untuk kesejahteraan masyarakat dari tingkatkota/kabupaten sampai tingkat provinsi.</v>
      </c>
    </row>
    <row r="45" spans="2:77" ht="38.25" customHeight="1">
      <c r="B45" s="109">
        <v>41</v>
      </c>
      <c r="C45" s="110">
        <f>SISWA!B46</f>
        <v>0</v>
      </c>
      <c r="D45" s="111" t="str">
        <f>SISWA!E46</f>
        <v>Anak 41</v>
      </c>
      <c r="E45" s="631">
        <v>99</v>
      </c>
      <c r="F45" s="631">
        <v>99</v>
      </c>
      <c r="G45" s="631">
        <v>99</v>
      </c>
      <c r="H45" s="730"/>
      <c r="I45" s="730"/>
      <c r="J45" s="730"/>
      <c r="K45" s="732"/>
      <c r="L45" s="732"/>
      <c r="M45" s="732"/>
      <c r="N45" s="730"/>
      <c r="O45" s="730"/>
      <c r="P45" s="730"/>
      <c r="Q45" s="610"/>
      <c r="R45" s="631">
        <v>99</v>
      </c>
      <c r="S45" s="631">
        <v>99</v>
      </c>
      <c r="T45" s="631"/>
      <c r="U45" s="631"/>
      <c r="V45" s="631"/>
      <c r="W45" s="631"/>
      <c r="X45" s="610"/>
      <c r="Y45" s="631">
        <v>99</v>
      </c>
      <c r="Z45" s="631">
        <v>99</v>
      </c>
      <c r="AA45" s="631">
        <v>99</v>
      </c>
      <c r="AB45" s="609"/>
      <c r="AC45" s="609"/>
      <c r="AD45" s="609"/>
      <c r="AE45" s="518"/>
      <c r="AF45" s="607">
        <f t="shared" si="13"/>
        <v>99</v>
      </c>
      <c r="AG45" s="607">
        <f t="shared" si="14"/>
        <v>99</v>
      </c>
      <c r="AH45" s="607">
        <f t="shared" si="15"/>
        <v>99</v>
      </c>
      <c r="AI45" s="607" t="str">
        <f>IFERROR(((2*#REF!)+#REF!)/3,"")</f>
        <v/>
      </c>
      <c r="AJ45" s="529"/>
      <c r="AK45" s="528"/>
      <c r="AL45" s="528"/>
      <c r="AM45" s="528"/>
      <c r="AN45" s="302">
        <f t="shared" si="31"/>
        <v>99</v>
      </c>
      <c r="AO45" s="303" t="str">
        <f>IF(AN45&gt;KKM!$G$10,"A",IF(AN45&gt;KKM!$H$10,"B",IF(AN45&gt;=KKM!$I$10,"C","D")))</f>
        <v>A</v>
      </c>
      <c r="AP45" s="523">
        <f t="shared" si="32"/>
        <v>99</v>
      </c>
      <c r="AQ45" s="115" t="str">
        <f>IF(AP45&gt;KKM!$G$10," sangat baik ",IF(AP45&gt;KKM!$H$10," baik ",IF(AP45&gt;=KKM!$I$10," cukup baik "," perlu bimbingan ")))</f>
        <v xml:space="preserve"> sangat baik </v>
      </c>
      <c r="AR45" s="524">
        <f t="shared" si="33"/>
        <v>99</v>
      </c>
      <c r="AS45" s="115" t="str">
        <f>IF(AR45&gt;KKM!$G$10," sangat baik ",IF(AR45&gt;KKM!$H$10," baik ",IF(AR45&gt;=KKM!$I$10," cukup baik "," perlu bimbingan ")))</f>
        <v xml:space="preserve"> sangat baik </v>
      </c>
      <c r="AT45" s="301" t="str">
        <f t="shared" si="16"/>
        <v>Anak 41 sangat baik  dalam mengidentifikasi karakteristik ruang dan pemanfaatan sumberdaya alam untuk kesejahteraan masyarakat dari tingkatkota/kabupaten sampai tingkat provinsi.</v>
      </c>
      <c r="AU45" s="306"/>
      <c r="AV45" s="307" t="str">
        <f t="shared" si="34"/>
        <v xml:space="preserve"> sangat baik  dalam mengidentifikasi karakteristik ruang dan pemanfaatan sumberdaya alam untuk kesejahteraan masyarakat dari tingkatkota/kabupaten sampai tingkat provinsi.</v>
      </c>
      <c r="AW45" s="307" t="str">
        <f t="shared" si="35"/>
        <v xml:space="preserve"> sangat baik  dalam mengidentifikasi karakteristik ruang dan pemanfaatan sumberdaya alam untuk kesejahteraan masyarakat dari tingkatkota/kabupaten sampai tingkat provinsi.</v>
      </c>
      <c r="AX45"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5" s="307" t="str">
        <f t="shared" si="18"/>
        <v xml:space="preserve"> sangat baik  dalam mengidentifikasi karakteristik ruang dan pemanfaatan sumberdaya alam untuk kesejahteraan masyarakat dari tingkatkota/kabupaten sampai tingkat provinsi.</v>
      </c>
      <c r="AZ45" s="308" t="str">
        <f t="shared" si="19"/>
        <v xml:space="preserve"> sangat baik  dalam mengidentifikasi karakteristik ruang dan pemanfaatan sumberdaya alam untuk kesejahteraan masyarakat dari tingkatkota/kabupaten sampai tingkat provinsi.</v>
      </c>
      <c r="BA45" s="301" t="str">
        <f t="shared" si="36"/>
        <v>Anak 41 sangat baik  dalam mengidentifikasi karakteristik ruang dan pemanfaatan sumberdaya alam untuk kesejahteraan masyarakat dari tingkatkota/kabupaten sampai tingkat provinsi.</v>
      </c>
      <c r="BB45" s="120"/>
      <c r="BJ45" s="408">
        <f t="shared" si="20"/>
        <v>99</v>
      </c>
      <c r="BM45" s="302">
        <f t="shared" si="21"/>
        <v>99</v>
      </c>
      <c r="BN45" s="303" t="str">
        <f>IF(BM45&gt;KKM!$G$10,"A",IF(BM45&gt;KKM!$H$10,"B",IF(BM45&gt;=KKM!$I$10,"C","D")))</f>
        <v>A</v>
      </c>
      <c r="BO45" s="523">
        <f t="shared" si="22"/>
        <v>99</v>
      </c>
      <c r="BP45" s="115" t="str">
        <f>IF(BO45&gt;KKM!$G$10," sangat baik ",IF(BO45&gt;KKM!$H$10," baik ",IF(BO45&gt;=KKM!$I$10," cukup baik "," perlu bimbingan ")))</f>
        <v xml:space="preserve"> sangat baik </v>
      </c>
      <c r="BQ45" s="524">
        <f t="shared" si="23"/>
        <v>99</v>
      </c>
      <c r="BR45" s="115" t="str">
        <f>IF(BQ45&gt;KKM!$G$10," sangat baik ",IF(BQ45&gt;KKM!$H$10," baik ",IF(BQ45&gt;=KKM!$I$10," cukup baik "," perlu bimbingan ")))</f>
        <v xml:space="preserve"> sangat baik </v>
      </c>
      <c r="BS45" s="301" t="str">
        <f t="shared" si="30"/>
        <v>Anak 41 sangat baik  dalam mengidentifikasi karakteristik ruang dan pemanfaatan sumberdaya alam untuk kesejahteraan masyarakat dari tingkatkota/kabupaten sampai tingkat provinsi.</v>
      </c>
      <c r="BT45" s="307" t="str">
        <f t="shared" si="24"/>
        <v xml:space="preserve"> sangat baik  dalam mengidentifikasi karakteristik ruang dan pemanfaatan sumberdaya alam untuk kesejahteraan masyarakat dari tingkatkota/kabupaten sampai tingkat provinsi.</v>
      </c>
      <c r="BU45" s="307" t="str">
        <f t="shared" si="25"/>
        <v xml:space="preserve"> sangat baik  dalam mengidentifikasi karakteristik ruang dan pemanfaatan sumberdaya alam untuk kesejahteraan masyarakat dari tingkatkota/kabupaten sampai tingkat provinsi.</v>
      </c>
      <c r="BV45"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5" s="307" t="str">
        <f t="shared" si="27"/>
        <v xml:space="preserve"> sangat baik  dalam mengidentifikasi karakteristik ruang dan pemanfaatan sumberdaya alam untuk kesejahteraan masyarakat dari tingkatkota/kabupaten sampai tingkat provinsi.</v>
      </c>
      <c r="BX45" s="308" t="str">
        <f t="shared" si="28"/>
        <v xml:space="preserve"> sangat baik  dalam mengidentifikasi karakteristik ruang dan pemanfaatan sumberdaya alam untuk kesejahteraan masyarakat dari tingkatkota/kabupaten sampai tingkat provinsi.</v>
      </c>
      <c r="BY45" s="301" t="str">
        <f t="shared" si="29"/>
        <v>Anak 41 sangat baik  dalam mengidentifikasi karakteristik ruang dan pemanfaatan sumberdaya alam untuk kesejahteraan masyarakat dari tingkatkota/kabupaten sampai tingkat provinsi.</v>
      </c>
    </row>
    <row r="46" spans="2:77" ht="38.25" customHeight="1">
      <c r="B46" s="109">
        <v>42</v>
      </c>
      <c r="C46" s="110">
        <f>SISWA!B47</f>
        <v>0</v>
      </c>
      <c r="D46" s="111" t="str">
        <f>SISWA!E47</f>
        <v>Anak 42</v>
      </c>
      <c r="E46" s="631">
        <v>99</v>
      </c>
      <c r="F46" s="631">
        <v>99</v>
      </c>
      <c r="G46" s="631">
        <v>99</v>
      </c>
      <c r="H46" s="730"/>
      <c r="I46" s="730"/>
      <c r="J46" s="730"/>
      <c r="K46" s="732"/>
      <c r="L46" s="732"/>
      <c r="M46" s="732"/>
      <c r="N46" s="730"/>
      <c r="O46" s="730"/>
      <c r="P46" s="730"/>
      <c r="Q46" s="610"/>
      <c r="R46" s="631">
        <v>99</v>
      </c>
      <c r="S46" s="631">
        <v>99</v>
      </c>
      <c r="T46" s="631"/>
      <c r="U46" s="631"/>
      <c r="V46" s="631"/>
      <c r="W46" s="631"/>
      <c r="X46" s="610"/>
      <c r="Y46" s="631">
        <v>99</v>
      </c>
      <c r="Z46" s="631">
        <v>99</v>
      </c>
      <c r="AA46" s="631">
        <v>99</v>
      </c>
      <c r="AB46" s="609"/>
      <c r="AC46" s="609"/>
      <c r="AD46" s="609"/>
      <c r="AE46" s="518"/>
      <c r="AF46" s="607">
        <f t="shared" si="13"/>
        <v>99</v>
      </c>
      <c r="AG46" s="607">
        <f t="shared" si="14"/>
        <v>99</v>
      </c>
      <c r="AH46" s="607">
        <f t="shared" si="15"/>
        <v>99</v>
      </c>
      <c r="AI46" s="607" t="str">
        <f>IFERROR(((2*#REF!)+#REF!)/3,"")</f>
        <v/>
      </c>
      <c r="AJ46" s="529"/>
      <c r="AK46" s="528"/>
      <c r="AL46" s="528"/>
      <c r="AM46" s="528"/>
      <c r="AN46" s="302">
        <f t="shared" si="31"/>
        <v>99</v>
      </c>
      <c r="AO46" s="303" t="str">
        <f>IF(AN46&gt;KKM!$G$10,"A",IF(AN46&gt;KKM!$H$10,"B",IF(AN46&gt;=KKM!$I$10,"C","D")))</f>
        <v>A</v>
      </c>
      <c r="AP46" s="523">
        <f t="shared" si="32"/>
        <v>99</v>
      </c>
      <c r="AQ46" s="115" t="str">
        <f>IF(AP46&gt;KKM!$G$10," sangat baik ",IF(AP46&gt;KKM!$H$10," baik ",IF(AP46&gt;=KKM!$I$10," cukup baik "," perlu bimbingan ")))</f>
        <v xml:space="preserve"> sangat baik </v>
      </c>
      <c r="AR46" s="524">
        <f t="shared" si="33"/>
        <v>99</v>
      </c>
      <c r="AS46" s="115" t="str">
        <f>IF(AR46&gt;KKM!$G$10," sangat baik ",IF(AR46&gt;KKM!$H$10," baik ",IF(AR46&gt;=KKM!$I$10," cukup baik "," perlu bimbingan ")))</f>
        <v xml:space="preserve"> sangat baik </v>
      </c>
      <c r="AT46" s="301" t="str">
        <f t="shared" si="16"/>
        <v>Anak 42 sangat baik  dalam mengidentifikasi karakteristik ruang dan pemanfaatan sumberdaya alam untuk kesejahteraan masyarakat dari tingkatkota/kabupaten sampai tingkat provinsi.</v>
      </c>
      <c r="AU46" s="306"/>
      <c r="AV46" s="307" t="str">
        <f t="shared" si="34"/>
        <v xml:space="preserve"> sangat baik  dalam mengidentifikasi karakteristik ruang dan pemanfaatan sumberdaya alam untuk kesejahteraan masyarakat dari tingkatkota/kabupaten sampai tingkat provinsi.</v>
      </c>
      <c r="AW46" s="307" t="str">
        <f t="shared" si="35"/>
        <v xml:space="preserve"> sangat baik  dalam mengidentifikasi karakteristik ruang dan pemanfaatan sumberdaya alam untuk kesejahteraan masyarakat dari tingkatkota/kabupaten sampai tingkat provinsi.</v>
      </c>
      <c r="AX46"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6" s="307" t="str">
        <f t="shared" si="18"/>
        <v xml:space="preserve"> sangat baik  dalam mengidentifikasi karakteristik ruang dan pemanfaatan sumberdaya alam untuk kesejahteraan masyarakat dari tingkatkota/kabupaten sampai tingkat provinsi.</v>
      </c>
      <c r="AZ46" s="308" t="str">
        <f t="shared" si="19"/>
        <v xml:space="preserve"> sangat baik  dalam mengidentifikasi karakteristik ruang dan pemanfaatan sumberdaya alam untuk kesejahteraan masyarakat dari tingkatkota/kabupaten sampai tingkat provinsi.</v>
      </c>
      <c r="BA46" s="301" t="str">
        <f t="shared" si="36"/>
        <v>Anak 42 sangat baik  dalam mengidentifikasi karakteristik ruang dan pemanfaatan sumberdaya alam untuk kesejahteraan masyarakat dari tingkatkota/kabupaten sampai tingkat provinsi.</v>
      </c>
      <c r="BB46" s="120"/>
      <c r="BJ46" s="408">
        <f t="shared" si="20"/>
        <v>99</v>
      </c>
      <c r="BM46" s="302">
        <f t="shared" si="21"/>
        <v>99</v>
      </c>
      <c r="BN46" s="303" t="str">
        <f>IF(BM46&gt;KKM!$G$10,"A",IF(BM46&gt;KKM!$H$10,"B",IF(BM46&gt;=KKM!$I$10,"C","D")))</f>
        <v>A</v>
      </c>
      <c r="BO46" s="523">
        <f t="shared" si="22"/>
        <v>99</v>
      </c>
      <c r="BP46" s="115" t="str">
        <f>IF(BO46&gt;KKM!$G$10," sangat baik ",IF(BO46&gt;KKM!$H$10," baik ",IF(BO46&gt;=KKM!$I$10," cukup baik "," perlu bimbingan ")))</f>
        <v xml:space="preserve"> sangat baik </v>
      </c>
      <c r="BQ46" s="524">
        <f t="shared" si="23"/>
        <v>99</v>
      </c>
      <c r="BR46" s="115" t="str">
        <f>IF(BQ46&gt;KKM!$G$10," sangat baik ",IF(BQ46&gt;KKM!$H$10," baik ",IF(BQ46&gt;=KKM!$I$10," cukup baik "," perlu bimbingan ")))</f>
        <v xml:space="preserve"> sangat baik </v>
      </c>
      <c r="BS46" s="301" t="str">
        <f t="shared" si="30"/>
        <v>Anak 42 sangat baik  dalam mengidentifikasi karakteristik ruang dan pemanfaatan sumberdaya alam untuk kesejahteraan masyarakat dari tingkatkota/kabupaten sampai tingkat provinsi.</v>
      </c>
      <c r="BT46" s="307" t="str">
        <f t="shared" si="24"/>
        <v xml:space="preserve"> sangat baik  dalam mengidentifikasi karakteristik ruang dan pemanfaatan sumberdaya alam untuk kesejahteraan masyarakat dari tingkatkota/kabupaten sampai tingkat provinsi.</v>
      </c>
      <c r="BU46" s="307" t="str">
        <f t="shared" si="25"/>
        <v xml:space="preserve"> sangat baik  dalam mengidentifikasi karakteristik ruang dan pemanfaatan sumberdaya alam untuk kesejahteraan masyarakat dari tingkatkota/kabupaten sampai tingkat provinsi.</v>
      </c>
      <c r="BV46"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6" s="307" t="str">
        <f t="shared" si="27"/>
        <v xml:space="preserve"> sangat baik  dalam mengidentifikasi karakteristik ruang dan pemanfaatan sumberdaya alam untuk kesejahteraan masyarakat dari tingkatkota/kabupaten sampai tingkat provinsi.</v>
      </c>
      <c r="BX46" s="308" t="str">
        <f t="shared" si="28"/>
        <v xml:space="preserve"> sangat baik  dalam mengidentifikasi karakteristik ruang dan pemanfaatan sumberdaya alam untuk kesejahteraan masyarakat dari tingkatkota/kabupaten sampai tingkat provinsi.</v>
      </c>
      <c r="BY46" s="301" t="str">
        <f t="shared" si="29"/>
        <v>Anak 42 sangat baik  dalam mengidentifikasi karakteristik ruang dan pemanfaatan sumberdaya alam untuk kesejahteraan masyarakat dari tingkatkota/kabupaten sampai tingkat provinsi.</v>
      </c>
    </row>
    <row r="47" spans="2:77" ht="38.25" customHeight="1">
      <c r="B47" s="109">
        <v>43</v>
      </c>
      <c r="C47" s="110">
        <f>SISWA!B48</f>
        <v>0</v>
      </c>
      <c r="D47" s="111" t="str">
        <f>SISWA!E48</f>
        <v>Anak 43</v>
      </c>
      <c r="E47" s="631">
        <v>99</v>
      </c>
      <c r="F47" s="631">
        <v>99</v>
      </c>
      <c r="G47" s="631">
        <v>99</v>
      </c>
      <c r="H47" s="730"/>
      <c r="I47" s="730"/>
      <c r="J47" s="730"/>
      <c r="K47" s="732"/>
      <c r="L47" s="732"/>
      <c r="M47" s="732"/>
      <c r="N47" s="730"/>
      <c r="O47" s="730"/>
      <c r="P47" s="730"/>
      <c r="Q47" s="610"/>
      <c r="R47" s="631">
        <v>99</v>
      </c>
      <c r="S47" s="631">
        <v>99</v>
      </c>
      <c r="T47" s="631"/>
      <c r="U47" s="631"/>
      <c r="V47" s="631"/>
      <c r="W47" s="631"/>
      <c r="X47" s="610"/>
      <c r="Y47" s="631">
        <v>99</v>
      </c>
      <c r="Z47" s="631">
        <v>99</v>
      </c>
      <c r="AA47" s="631">
        <v>99</v>
      </c>
      <c r="AB47" s="609"/>
      <c r="AC47" s="609"/>
      <c r="AD47" s="609"/>
      <c r="AE47" s="518"/>
      <c r="AF47" s="607">
        <f t="shared" si="13"/>
        <v>99</v>
      </c>
      <c r="AG47" s="607">
        <f t="shared" si="14"/>
        <v>99</v>
      </c>
      <c r="AH47" s="607">
        <f t="shared" si="15"/>
        <v>99</v>
      </c>
      <c r="AI47" s="607" t="str">
        <f>IFERROR(((2*#REF!)+#REF!)/3,"")</f>
        <v/>
      </c>
      <c r="AJ47" s="529"/>
      <c r="AK47" s="528"/>
      <c r="AL47" s="528"/>
      <c r="AM47" s="528"/>
      <c r="AN47" s="302">
        <f t="shared" si="31"/>
        <v>99</v>
      </c>
      <c r="AO47" s="303" t="str">
        <f>IF(AN47&gt;KKM!$G$10,"A",IF(AN47&gt;KKM!$H$10,"B",IF(AN47&gt;=KKM!$I$10,"C","D")))</f>
        <v>A</v>
      </c>
      <c r="AP47" s="523">
        <f t="shared" si="32"/>
        <v>99</v>
      </c>
      <c r="AQ47" s="115" t="str">
        <f>IF(AP47&gt;KKM!$G$10," sangat baik ",IF(AP47&gt;KKM!$H$10," baik ",IF(AP47&gt;=KKM!$I$10," cukup baik "," perlu bimbingan ")))</f>
        <v xml:space="preserve"> sangat baik </v>
      </c>
      <c r="AR47" s="524">
        <f t="shared" si="33"/>
        <v>99</v>
      </c>
      <c r="AS47" s="115" t="str">
        <f>IF(AR47&gt;KKM!$G$10," sangat baik ",IF(AR47&gt;KKM!$H$10," baik ",IF(AR47&gt;=KKM!$I$10," cukup baik "," perlu bimbingan ")))</f>
        <v xml:space="preserve"> sangat baik </v>
      </c>
      <c r="AT47" s="301" t="str">
        <f t="shared" si="16"/>
        <v>Anak 43 sangat baik  dalam mengidentifikasi karakteristik ruang dan pemanfaatan sumberdaya alam untuk kesejahteraan masyarakat dari tingkatkota/kabupaten sampai tingkat provinsi.</v>
      </c>
      <c r="AU47" s="306"/>
      <c r="AV47" s="307" t="str">
        <f t="shared" si="34"/>
        <v xml:space="preserve"> sangat baik  dalam mengidentifikasi karakteristik ruang dan pemanfaatan sumberdaya alam untuk kesejahteraan masyarakat dari tingkatkota/kabupaten sampai tingkat provinsi.</v>
      </c>
      <c r="AW47" s="307" t="str">
        <f t="shared" si="35"/>
        <v xml:space="preserve"> sangat baik  dalam mengidentifikasi karakteristik ruang dan pemanfaatan sumberdaya alam untuk kesejahteraan masyarakat dari tingkatkota/kabupaten sampai tingkat provinsi.</v>
      </c>
      <c r="AX47"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7" s="307" t="str">
        <f t="shared" si="18"/>
        <v xml:space="preserve"> sangat baik  dalam mengidentifikasi karakteristik ruang dan pemanfaatan sumberdaya alam untuk kesejahteraan masyarakat dari tingkatkota/kabupaten sampai tingkat provinsi.</v>
      </c>
      <c r="AZ47" s="308" t="str">
        <f t="shared" si="19"/>
        <v xml:space="preserve"> sangat baik  dalam mengidentifikasi karakteristik ruang dan pemanfaatan sumberdaya alam untuk kesejahteraan masyarakat dari tingkatkota/kabupaten sampai tingkat provinsi.</v>
      </c>
      <c r="BA47" s="301" t="str">
        <f t="shared" si="36"/>
        <v>Anak 43 sangat baik  dalam mengidentifikasi karakteristik ruang dan pemanfaatan sumberdaya alam untuk kesejahteraan masyarakat dari tingkatkota/kabupaten sampai tingkat provinsi.</v>
      </c>
      <c r="BB47" s="120"/>
      <c r="BJ47" s="408">
        <f t="shared" si="20"/>
        <v>99</v>
      </c>
      <c r="BM47" s="302">
        <f t="shared" si="21"/>
        <v>99</v>
      </c>
      <c r="BN47" s="303" t="str">
        <f>IF(BM47&gt;KKM!$G$10,"A",IF(BM47&gt;KKM!$H$10,"B",IF(BM47&gt;=KKM!$I$10,"C","D")))</f>
        <v>A</v>
      </c>
      <c r="BO47" s="523">
        <f t="shared" si="22"/>
        <v>99</v>
      </c>
      <c r="BP47" s="115" t="str">
        <f>IF(BO47&gt;KKM!$G$10," sangat baik ",IF(BO47&gt;KKM!$H$10," baik ",IF(BO47&gt;=KKM!$I$10," cukup baik "," perlu bimbingan ")))</f>
        <v xml:space="preserve"> sangat baik </v>
      </c>
      <c r="BQ47" s="524">
        <f t="shared" si="23"/>
        <v>99</v>
      </c>
      <c r="BR47" s="115" t="str">
        <f>IF(BQ47&gt;KKM!$G$10," sangat baik ",IF(BQ47&gt;KKM!$H$10," baik ",IF(BQ47&gt;=KKM!$I$10," cukup baik "," perlu bimbingan ")))</f>
        <v xml:space="preserve"> sangat baik </v>
      </c>
      <c r="BS47" s="301" t="str">
        <f t="shared" si="30"/>
        <v>Anak 43 sangat baik  dalam mengidentifikasi karakteristik ruang dan pemanfaatan sumberdaya alam untuk kesejahteraan masyarakat dari tingkatkota/kabupaten sampai tingkat provinsi.</v>
      </c>
      <c r="BT47" s="307" t="str">
        <f t="shared" si="24"/>
        <v xml:space="preserve"> sangat baik  dalam mengidentifikasi karakteristik ruang dan pemanfaatan sumberdaya alam untuk kesejahteraan masyarakat dari tingkatkota/kabupaten sampai tingkat provinsi.</v>
      </c>
      <c r="BU47" s="307" t="str">
        <f t="shared" si="25"/>
        <v xml:space="preserve"> sangat baik  dalam mengidentifikasi karakteristik ruang dan pemanfaatan sumberdaya alam untuk kesejahteraan masyarakat dari tingkatkota/kabupaten sampai tingkat provinsi.</v>
      </c>
      <c r="BV47"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7" s="307" t="str">
        <f t="shared" si="27"/>
        <v xml:space="preserve"> sangat baik  dalam mengidentifikasi karakteristik ruang dan pemanfaatan sumberdaya alam untuk kesejahteraan masyarakat dari tingkatkota/kabupaten sampai tingkat provinsi.</v>
      </c>
      <c r="BX47" s="308" t="str">
        <f t="shared" si="28"/>
        <v xml:space="preserve"> sangat baik  dalam mengidentifikasi karakteristik ruang dan pemanfaatan sumberdaya alam untuk kesejahteraan masyarakat dari tingkatkota/kabupaten sampai tingkat provinsi.</v>
      </c>
      <c r="BY47" s="301" t="str">
        <f t="shared" si="29"/>
        <v>Anak 43 sangat baik  dalam mengidentifikasi karakteristik ruang dan pemanfaatan sumberdaya alam untuk kesejahteraan masyarakat dari tingkatkota/kabupaten sampai tingkat provinsi.</v>
      </c>
    </row>
    <row r="48" spans="2:77" ht="38.25" customHeight="1">
      <c r="B48" s="109">
        <v>44</v>
      </c>
      <c r="C48" s="110">
        <f>SISWA!B49</f>
        <v>0</v>
      </c>
      <c r="D48" s="111" t="str">
        <f>SISWA!E49</f>
        <v>Anak 44</v>
      </c>
      <c r="E48" s="631">
        <v>99</v>
      </c>
      <c r="F48" s="631">
        <v>99</v>
      </c>
      <c r="G48" s="631">
        <v>99</v>
      </c>
      <c r="H48" s="730"/>
      <c r="I48" s="730"/>
      <c r="J48" s="730"/>
      <c r="K48" s="732"/>
      <c r="L48" s="732"/>
      <c r="M48" s="732"/>
      <c r="N48" s="730"/>
      <c r="O48" s="730"/>
      <c r="P48" s="730"/>
      <c r="Q48" s="610"/>
      <c r="R48" s="631">
        <v>99</v>
      </c>
      <c r="S48" s="631">
        <v>99</v>
      </c>
      <c r="T48" s="631"/>
      <c r="U48" s="631"/>
      <c r="V48" s="631"/>
      <c r="W48" s="631"/>
      <c r="X48" s="610"/>
      <c r="Y48" s="631">
        <v>99</v>
      </c>
      <c r="Z48" s="631">
        <v>99</v>
      </c>
      <c r="AA48" s="631">
        <v>99</v>
      </c>
      <c r="AB48" s="609"/>
      <c r="AC48" s="609"/>
      <c r="AD48" s="609"/>
      <c r="AE48" s="518"/>
      <c r="AF48" s="607">
        <f t="shared" si="13"/>
        <v>99</v>
      </c>
      <c r="AG48" s="607">
        <f t="shared" si="14"/>
        <v>99</v>
      </c>
      <c r="AH48" s="607">
        <f t="shared" si="15"/>
        <v>99</v>
      </c>
      <c r="AI48" s="607" t="str">
        <f>IFERROR(((2*#REF!)+#REF!)/3,"")</f>
        <v/>
      </c>
      <c r="AJ48" s="529"/>
      <c r="AK48" s="528"/>
      <c r="AL48" s="528"/>
      <c r="AM48" s="528"/>
      <c r="AN48" s="302">
        <f t="shared" si="31"/>
        <v>99</v>
      </c>
      <c r="AO48" s="303" t="str">
        <f>IF(AN48&gt;KKM!$G$10,"A",IF(AN48&gt;KKM!$H$10,"B",IF(AN48&gt;=KKM!$I$10,"C","D")))</f>
        <v>A</v>
      </c>
      <c r="AP48" s="523">
        <f t="shared" si="32"/>
        <v>99</v>
      </c>
      <c r="AQ48" s="115" t="str">
        <f>IF(AP48&gt;KKM!$G$10," sangat baik ",IF(AP48&gt;KKM!$H$10," baik ",IF(AP48&gt;=KKM!$I$10," cukup baik "," perlu bimbingan ")))</f>
        <v xml:space="preserve"> sangat baik </v>
      </c>
      <c r="AR48" s="524">
        <f t="shared" si="33"/>
        <v>99</v>
      </c>
      <c r="AS48" s="115" t="str">
        <f>IF(AR48&gt;KKM!$G$10," sangat baik ",IF(AR48&gt;KKM!$H$10," baik ",IF(AR48&gt;=KKM!$I$10," cukup baik "," perlu bimbingan ")))</f>
        <v xml:space="preserve"> sangat baik </v>
      </c>
      <c r="AT48" s="301" t="str">
        <f t="shared" si="16"/>
        <v>Anak 44 sangat baik  dalam mengidentifikasi karakteristik ruang dan pemanfaatan sumberdaya alam untuk kesejahteraan masyarakat dari tingkatkota/kabupaten sampai tingkat provinsi.</v>
      </c>
      <c r="AU48" s="306"/>
      <c r="AV48" s="307" t="str">
        <f t="shared" si="34"/>
        <v xml:space="preserve"> sangat baik  dalam mengidentifikasi karakteristik ruang dan pemanfaatan sumberdaya alam untuk kesejahteraan masyarakat dari tingkatkota/kabupaten sampai tingkat provinsi.</v>
      </c>
      <c r="AW48" s="307" t="str">
        <f t="shared" si="35"/>
        <v xml:space="preserve"> sangat baik  dalam mengidentifikasi karakteristik ruang dan pemanfaatan sumberdaya alam untuk kesejahteraan masyarakat dari tingkatkota/kabupaten sampai tingkat provinsi.</v>
      </c>
      <c r="AX48"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8" s="307" t="str">
        <f t="shared" si="18"/>
        <v xml:space="preserve"> sangat baik  dalam mengidentifikasi karakteristik ruang dan pemanfaatan sumberdaya alam untuk kesejahteraan masyarakat dari tingkatkota/kabupaten sampai tingkat provinsi.</v>
      </c>
      <c r="AZ48" s="308" t="str">
        <f t="shared" si="19"/>
        <v xml:space="preserve"> sangat baik  dalam mengidentifikasi karakteristik ruang dan pemanfaatan sumberdaya alam untuk kesejahteraan masyarakat dari tingkatkota/kabupaten sampai tingkat provinsi.</v>
      </c>
      <c r="BA48" s="301" t="str">
        <f t="shared" si="36"/>
        <v>Anak 44 sangat baik  dalam mengidentifikasi karakteristik ruang dan pemanfaatan sumberdaya alam untuk kesejahteraan masyarakat dari tingkatkota/kabupaten sampai tingkat provinsi.</v>
      </c>
      <c r="BB48" s="120"/>
      <c r="BJ48" s="408">
        <f t="shared" si="20"/>
        <v>99</v>
      </c>
      <c r="BM48" s="302">
        <f t="shared" si="21"/>
        <v>99</v>
      </c>
      <c r="BN48" s="303" t="str">
        <f>IF(BM48&gt;KKM!$G$10,"A",IF(BM48&gt;KKM!$H$10,"B",IF(BM48&gt;=KKM!$I$10,"C","D")))</f>
        <v>A</v>
      </c>
      <c r="BO48" s="523">
        <f t="shared" si="22"/>
        <v>99</v>
      </c>
      <c r="BP48" s="115" t="str">
        <f>IF(BO48&gt;KKM!$G$10," sangat baik ",IF(BO48&gt;KKM!$H$10," baik ",IF(BO48&gt;=KKM!$I$10," cukup baik "," perlu bimbingan ")))</f>
        <v xml:space="preserve"> sangat baik </v>
      </c>
      <c r="BQ48" s="524">
        <f t="shared" si="23"/>
        <v>99</v>
      </c>
      <c r="BR48" s="115" t="str">
        <f>IF(BQ48&gt;KKM!$G$10," sangat baik ",IF(BQ48&gt;KKM!$H$10," baik ",IF(BQ48&gt;=KKM!$I$10," cukup baik "," perlu bimbingan ")))</f>
        <v xml:space="preserve"> sangat baik </v>
      </c>
      <c r="BS48" s="301" t="str">
        <f t="shared" si="30"/>
        <v>Anak 44 sangat baik  dalam mengidentifikasi karakteristik ruang dan pemanfaatan sumberdaya alam untuk kesejahteraan masyarakat dari tingkatkota/kabupaten sampai tingkat provinsi.</v>
      </c>
      <c r="BT48" s="307" t="str">
        <f t="shared" si="24"/>
        <v xml:space="preserve"> sangat baik  dalam mengidentifikasi karakteristik ruang dan pemanfaatan sumberdaya alam untuk kesejahteraan masyarakat dari tingkatkota/kabupaten sampai tingkat provinsi.</v>
      </c>
      <c r="BU48" s="307" t="str">
        <f t="shared" si="25"/>
        <v xml:space="preserve"> sangat baik  dalam mengidentifikasi karakteristik ruang dan pemanfaatan sumberdaya alam untuk kesejahteraan masyarakat dari tingkatkota/kabupaten sampai tingkat provinsi.</v>
      </c>
      <c r="BV48"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8" s="307" t="str">
        <f t="shared" si="27"/>
        <v xml:space="preserve"> sangat baik  dalam mengidentifikasi karakteristik ruang dan pemanfaatan sumberdaya alam untuk kesejahteraan masyarakat dari tingkatkota/kabupaten sampai tingkat provinsi.</v>
      </c>
      <c r="BX48" s="308" t="str">
        <f t="shared" si="28"/>
        <v xml:space="preserve"> sangat baik  dalam mengidentifikasi karakteristik ruang dan pemanfaatan sumberdaya alam untuk kesejahteraan masyarakat dari tingkatkota/kabupaten sampai tingkat provinsi.</v>
      </c>
      <c r="BY48" s="301" t="str">
        <f t="shared" si="29"/>
        <v>Anak 44 sangat baik  dalam mengidentifikasi karakteristik ruang dan pemanfaatan sumberdaya alam untuk kesejahteraan masyarakat dari tingkatkota/kabupaten sampai tingkat provinsi.</v>
      </c>
    </row>
    <row r="49" spans="2:77" ht="38.25" customHeight="1">
      <c r="B49" s="109">
        <v>45</v>
      </c>
      <c r="C49" s="110">
        <f>SISWA!B50</f>
        <v>0</v>
      </c>
      <c r="D49" s="111" t="str">
        <f>SISWA!E50</f>
        <v>Anak 45</v>
      </c>
      <c r="E49" s="631">
        <v>99</v>
      </c>
      <c r="F49" s="631">
        <v>99</v>
      </c>
      <c r="G49" s="631">
        <v>99</v>
      </c>
      <c r="H49" s="730"/>
      <c r="I49" s="730"/>
      <c r="J49" s="730"/>
      <c r="K49" s="732"/>
      <c r="L49" s="732"/>
      <c r="M49" s="732"/>
      <c r="N49" s="730"/>
      <c r="O49" s="730"/>
      <c r="P49" s="730"/>
      <c r="Q49" s="610"/>
      <c r="R49" s="631">
        <v>99</v>
      </c>
      <c r="S49" s="631">
        <v>99</v>
      </c>
      <c r="T49" s="631"/>
      <c r="U49" s="631"/>
      <c r="V49" s="631"/>
      <c r="W49" s="631"/>
      <c r="X49" s="610"/>
      <c r="Y49" s="631">
        <v>99</v>
      </c>
      <c r="Z49" s="631">
        <v>99</v>
      </c>
      <c r="AA49" s="631">
        <v>99</v>
      </c>
      <c r="AB49" s="609"/>
      <c r="AC49" s="609"/>
      <c r="AD49" s="609"/>
      <c r="AE49" s="518"/>
      <c r="AF49" s="607">
        <f t="shared" si="13"/>
        <v>99</v>
      </c>
      <c r="AG49" s="607">
        <f t="shared" si="14"/>
        <v>99</v>
      </c>
      <c r="AH49" s="607">
        <f t="shared" si="15"/>
        <v>99</v>
      </c>
      <c r="AI49" s="607" t="str">
        <f>IFERROR(((2*#REF!)+#REF!)/3,"")</f>
        <v/>
      </c>
      <c r="AJ49" s="529"/>
      <c r="AK49" s="528"/>
      <c r="AL49" s="528"/>
      <c r="AM49" s="528"/>
      <c r="AN49" s="302">
        <f t="shared" si="31"/>
        <v>99</v>
      </c>
      <c r="AO49" s="303" t="str">
        <f>IF(AN49&gt;KKM!$G$10,"A",IF(AN49&gt;KKM!$H$10,"B",IF(AN49&gt;=KKM!$I$10,"C","D")))</f>
        <v>A</v>
      </c>
      <c r="AP49" s="523">
        <f t="shared" si="32"/>
        <v>99</v>
      </c>
      <c r="AQ49" s="115" t="str">
        <f>IF(AP49&gt;KKM!$G$10," sangat baik ",IF(AP49&gt;KKM!$H$10," baik ",IF(AP49&gt;=KKM!$I$10," cukup baik "," perlu bimbingan ")))</f>
        <v xml:space="preserve"> sangat baik </v>
      </c>
      <c r="AR49" s="524">
        <f t="shared" si="33"/>
        <v>99</v>
      </c>
      <c r="AS49" s="115" t="str">
        <f>IF(AR49&gt;KKM!$G$10," sangat baik ",IF(AR49&gt;KKM!$H$10," baik ",IF(AR49&gt;=KKM!$I$10," cukup baik "," perlu bimbingan ")))</f>
        <v xml:space="preserve"> sangat baik </v>
      </c>
      <c r="AT49" s="301" t="str">
        <f t="shared" si="16"/>
        <v>Anak 45 sangat baik  dalam mengidentifikasi karakteristik ruang dan pemanfaatan sumberdaya alam untuk kesejahteraan masyarakat dari tingkatkota/kabupaten sampai tingkat provinsi.</v>
      </c>
      <c r="AU49" s="306"/>
      <c r="AV49" s="307" t="str">
        <f t="shared" si="34"/>
        <v xml:space="preserve"> sangat baik  dalam mengidentifikasi karakteristik ruang dan pemanfaatan sumberdaya alam untuk kesejahteraan masyarakat dari tingkatkota/kabupaten sampai tingkat provinsi.</v>
      </c>
      <c r="AW49" s="307" t="str">
        <f t="shared" si="35"/>
        <v xml:space="preserve"> sangat baik  dalam mengidentifikasi karakteristik ruang dan pemanfaatan sumberdaya alam untuk kesejahteraan masyarakat dari tingkatkota/kabupaten sampai tingkat provinsi.</v>
      </c>
      <c r="AX49"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49" s="307" t="str">
        <f t="shared" si="18"/>
        <v xml:space="preserve"> sangat baik  dalam mengidentifikasi karakteristik ruang dan pemanfaatan sumberdaya alam untuk kesejahteraan masyarakat dari tingkatkota/kabupaten sampai tingkat provinsi.</v>
      </c>
      <c r="AZ49" s="308" t="str">
        <f t="shared" si="19"/>
        <v xml:space="preserve"> sangat baik  dalam mengidentifikasi karakteristik ruang dan pemanfaatan sumberdaya alam untuk kesejahteraan masyarakat dari tingkatkota/kabupaten sampai tingkat provinsi.</v>
      </c>
      <c r="BA49" s="301" t="str">
        <f t="shared" si="36"/>
        <v>Anak 45 sangat baik  dalam mengidentifikasi karakteristik ruang dan pemanfaatan sumberdaya alam untuk kesejahteraan masyarakat dari tingkatkota/kabupaten sampai tingkat provinsi.</v>
      </c>
      <c r="BB49" s="120"/>
      <c r="BJ49" s="408">
        <f t="shared" si="20"/>
        <v>99</v>
      </c>
      <c r="BM49" s="302">
        <f t="shared" si="21"/>
        <v>99</v>
      </c>
      <c r="BN49" s="303" t="str">
        <f>IF(BM49&gt;KKM!$G$10,"A",IF(BM49&gt;KKM!$H$10,"B",IF(BM49&gt;=KKM!$I$10,"C","D")))</f>
        <v>A</v>
      </c>
      <c r="BO49" s="523">
        <f t="shared" si="22"/>
        <v>99</v>
      </c>
      <c r="BP49" s="115" t="str">
        <f>IF(BO49&gt;KKM!$G$10," sangat baik ",IF(BO49&gt;KKM!$H$10," baik ",IF(BO49&gt;=KKM!$I$10," cukup baik "," perlu bimbingan ")))</f>
        <v xml:space="preserve"> sangat baik </v>
      </c>
      <c r="BQ49" s="524">
        <f t="shared" si="23"/>
        <v>99</v>
      </c>
      <c r="BR49" s="115" t="str">
        <f>IF(BQ49&gt;KKM!$G$10," sangat baik ",IF(BQ49&gt;KKM!$H$10," baik ",IF(BQ49&gt;=KKM!$I$10," cukup baik "," perlu bimbingan ")))</f>
        <v xml:space="preserve"> sangat baik </v>
      </c>
      <c r="BS49" s="301" t="str">
        <f t="shared" si="30"/>
        <v>Anak 45 sangat baik  dalam mengidentifikasi karakteristik ruang dan pemanfaatan sumberdaya alam untuk kesejahteraan masyarakat dari tingkatkota/kabupaten sampai tingkat provinsi.</v>
      </c>
      <c r="BT49" s="307" t="str">
        <f t="shared" si="24"/>
        <v xml:space="preserve"> sangat baik  dalam mengidentifikasi karakteristik ruang dan pemanfaatan sumberdaya alam untuk kesejahteraan masyarakat dari tingkatkota/kabupaten sampai tingkat provinsi.</v>
      </c>
      <c r="BU49" s="307" t="str">
        <f t="shared" si="25"/>
        <v xml:space="preserve"> sangat baik  dalam mengidentifikasi karakteristik ruang dan pemanfaatan sumberdaya alam untuk kesejahteraan masyarakat dari tingkatkota/kabupaten sampai tingkat provinsi.</v>
      </c>
      <c r="BV49"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49" s="307" t="str">
        <f t="shared" si="27"/>
        <v xml:space="preserve"> sangat baik  dalam mengidentifikasi karakteristik ruang dan pemanfaatan sumberdaya alam untuk kesejahteraan masyarakat dari tingkatkota/kabupaten sampai tingkat provinsi.</v>
      </c>
      <c r="BX49" s="308" t="str">
        <f t="shared" si="28"/>
        <v xml:space="preserve"> sangat baik  dalam mengidentifikasi karakteristik ruang dan pemanfaatan sumberdaya alam untuk kesejahteraan masyarakat dari tingkatkota/kabupaten sampai tingkat provinsi.</v>
      </c>
      <c r="BY49" s="301" t="str">
        <f t="shared" si="29"/>
        <v>Anak 45 sangat baik  dalam mengidentifikasi karakteristik ruang dan pemanfaatan sumberdaya alam untuk kesejahteraan masyarakat dari tingkatkota/kabupaten sampai tingkat provinsi.</v>
      </c>
    </row>
    <row r="50" spans="2:77" ht="38.25" customHeight="1">
      <c r="B50" s="109">
        <v>46</v>
      </c>
      <c r="C50" s="110">
        <f>SISWA!B51</f>
        <v>0</v>
      </c>
      <c r="D50" s="111" t="str">
        <f>SISWA!E51</f>
        <v>Anak 46</v>
      </c>
      <c r="E50" s="631">
        <v>99</v>
      </c>
      <c r="F50" s="631">
        <v>99</v>
      </c>
      <c r="G50" s="631">
        <v>99</v>
      </c>
      <c r="H50" s="730"/>
      <c r="I50" s="730"/>
      <c r="J50" s="730"/>
      <c r="K50" s="732"/>
      <c r="L50" s="732"/>
      <c r="M50" s="732"/>
      <c r="N50" s="730"/>
      <c r="O50" s="730"/>
      <c r="P50" s="730"/>
      <c r="Q50" s="610"/>
      <c r="R50" s="631">
        <v>99</v>
      </c>
      <c r="S50" s="631">
        <v>99</v>
      </c>
      <c r="T50" s="631"/>
      <c r="U50" s="631"/>
      <c r="V50" s="631"/>
      <c r="W50" s="631"/>
      <c r="X50" s="610"/>
      <c r="Y50" s="631">
        <v>99</v>
      </c>
      <c r="Z50" s="631">
        <v>99</v>
      </c>
      <c r="AA50" s="631">
        <v>99</v>
      </c>
      <c r="AB50" s="609"/>
      <c r="AC50" s="609"/>
      <c r="AD50" s="609"/>
      <c r="AE50" s="518"/>
      <c r="AF50" s="607">
        <f t="shared" si="13"/>
        <v>99</v>
      </c>
      <c r="AG50" s="607">
        <f t="shared" si="14"/>
        <v>99</v>
      </c>
      <c r="AH50" s="607">
        <f t="shared" si="15"/>
        <v>99</v>
      </c>
      <c r="AI50" s="607" t="str">
        <f>IFERROR(((2*#REF!)+#REF!)/3,"")</f>
        <v/>
      </c>
      <c r="AJ50" s="529"/>
      <c r="AK50" s="528"/>
      <c r="AL50" s="528"/>
      <c r="AM50" s="528"/>
      <c r="AN50" s="302">
        <f t="shared" si="31"/>
        <v>99</v>
      </c>
      <c r="AO50" s="303" t="str">
        <f>IF(AN50&gt;KKM!$G$10,"A",IF(AN50&gt;KKM!$H$10,"B",IF(AN50&gt;=KKM!$I$10,"C","D")))</f>
        <v>A</v>
      </c>
      <c r="AP50" s="523">
        <f t="shared" si="32"/>
        <v>99</v>
      </c>
      <c r="AQ50" s="115" t="str">
        <f>IF(AP50&gt;KKM!$G$10," sangat baik ",IF(AP50&gt;KKM!$H$10," baik ",IF(AP50&gt;=KKM!$I$10," cukup baik "," perlu bimbingan ")))</f>
        <v xml:space="preserve"> sangat baik </v>
      </c>
      <c r="AR50" s="524">
        <f t="shared" si="33"/>
        <v>99</v>
      </c>
      <c r="AS50" s="115" t="str">
        <f>IF(AR50&gt;KKM!$G$10," sangat baik ",IF(AR50&gt;KKM!$H$10," baik ",IF(AR50&gt;=KKM!$I$10," cukup baik "," perlu bimbingan ")))</f>
        <v xml:space="preserve"> sangat baik </v>
      </c>
      <c r="AT50" s="301" t="str">
        <f t="shared" si="16"/>
        <v>Anak 46 sangat baik  dalam mengidentifikasi karakteristik ruang dan pemanfaatan sumberdaya alam untuk kesejahteraan masyarakat dari tingkatkota/kabupaten sampai tingkat provinsi.</v>
      </c>
      <c r="AU50" s="306"/>
      <c r="AV50" s="307" t="str">
        <f t="shared" si="34"/>
        <v xml:space="preserve"> sangat baik  dalam mengidentifikasi karakteristik ruang dan pemanfaatan sumberdaya alam untuk kesejahteraan masyarakat dari tingkatkota/kabupaten sampai tingkat provinsi.</v>
      </c>
      <c r="AW50" s="307" t="str">
        <f t="shared" si="35"/>
        <v xml:space="preserve"> sangat baik  dalam mengidentifikasi karakteristik ruang dan pemanfaatan sumberdaya alam untuk kesejahteraan masyarakat dari tingkatkota/kabupaten sampai tingkat provinsi.</v>
      </c>
      <c r="AX50"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50" s="307" t="str">
        <f t="shared" si="18"/>
        <v xml:space="preserve"> sangat baik  dalam mengidentifikasi karakteristik ruang dan pemanfaatan sumberdaya alam untuk kesejahteraan masyarakat dari tingkatkota/kabupaten sampai tingkat provinsi.</v>
      </c>
      <c r="AZ50" s="308" t="str">
        <f t="shared" si="19"/>
        <v xml:space="preserve"> sangat baik  dalam mengidentifikasi karakteristik ruang dan pemanfaatan sumberdaya alam untuk kesejahteraan masyarakat dari tingkatkota/kabupaten sampai tingkat provinsi.</v>
      </c>
      <c r="BA50" s="301" t="str">
        <f t="shared" si="36"/>
        <v>Anak 46 sangat baik  dalam mengidentifikasi karakteristik ruang dan pemanfaatan sumberdaya alam untuk kesejahteraan masyarakat dari tingkatkota/kabupaten sampai tingkat provinsi.</v>
      </c>
      <c r="BB50" s="120"/>
      <c r="BJ50" s="408">
        <f t="shared" si="20"/>
        <v>99</v>
      </c>
      <c r="BM50" s="302">
        <f t="shared" si="21"/>
        <v>99</v>
      </c>
      <c r="BN50" s="303" t="str">
        <f>IF(BM50&gt;KKM!$G$10,"A",IF(BM50&gt;KKM!$H$10,"B",IF(BM50&gt;=KKM!$I$10,"C","D")))</f>
        <v>A</v>
      </c>
      <c r="BO50" s="523">
        <f t="shared" si="22"/>
        <v>99</v>
      </c>
      <c r="BP50" s="115" t="str">
        <f>IF(BO50&gt;KKM!$G$10," sangat baik ",IF(BO50&gt;KKM!$H$10," baik ",IF(BO50&gt;=KKM!$I$10," cukup baik "," perlu bimbingan ")))</f>
        <v xml:space="preserve"> sangat baik </v>
      </c>
      <c r="BQ50" s="524">
        <f t="shared" si="23"/>
        <v>99</v>
      </c>
      <c r="BR50" s="115" t="str">
        <f>IF(BQ50&gt;KKM!$G$10," sangat baik ",IF(BQ50&gt;KKM!$H$10," baik ",IF(BQ50&gt;=KKM!$I$10," cukup baik "," perlu bimbingan ")))</f>
        <v xml:space="preserve"> sangat baik </v>
      </c>
      <c r="BS50" s="301" t="str">
        <f t="shared" si="30"/>
        <v>Anak 46 sangat baik  dalam mengidentifikasi karakteristik ruang dan pemanfaatan sumberdaya alam untuk kesejahteraan masyarakat dari tingkatkota/kabupaten sampai tingkat provinsi.</v>
      </c>
      <c r="BT50" s="307" t="str">
        <f t="shared" si="24"/>
        <v xml:space="preserve"> sangat baik  dalam mengidentifikasi karakteristik ruang dan pemanfaatan sumberdaya alam untuk kesejahteraan masyarakat dari tingkatkota/kabupaten sampai tingkat provinsi.</v>
      </c>
      <c r="BU50" s="307" t="str">
        <f t="shared" si="25"/>
        <v xml:space="preserve"> sangat baik  dalam mengidentifikasi karakteristik ruang dan pemanfaatan sumberdaya alam untuk kesejahteraan masyarakat dari tingkatkota/kabupaten sampai tingkat provinsi.</v>
      </c>
      <c r="BV50"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50" s="307" t="str">
        <f t="shared" si="27"/>
        <v xml:space="preserve"> sangat baik  dalam mengidentifikasi karakteristik ruang dan pemanfaatan sumberdaya alam untuk kesejahteraan masyarakat dari tingkatkota/kabupaten sampai tingkat provinsi.</v>
      </c>
      <c r="BX50" s="308" t="str">
        <f t="shared" si="28"/>
        <v xml:space="preserve"> sangat baik  dalam mengidentifikasi karakteristik ruang dan pemanfaatan sumberdaya alam untuk kesejahteraan masyarakat dari tingkatkota/kabupaten sampai tingkat provinsi.</v>
      </c>
      <c r="BY50" s="301" t="str">
        <f t="shared" si="29"/>
        <v>Anak 46 sangat baik  dalam mengidentifikasi karakteristik ruang dan pemanfaatan sumberdaya alam untuk kesejahteraan masyarakat dari tingkatkota/kabupaten sampai tingkat provinsi.</v>
      </c>
    </row>
    <row r="51" spans="2:77" ht="38.25" customHeight="1">
      <c r="B51" s="109">
        <v>47</v>
      </c>
      <c r="C51" s="110">
        <f>SISWA!B52</f>
        <v>0</v>
      </c>
      <c r="D51" s="111" t="str">
        <f>SISWA!E52</f>
        <v>Anak 47</v>
      </c>
      <c r="E51" s="631">
        <v>99</v>
      </c>
      <c r="F51" s="631">
        <v>99</v>
      </c>
      <c r="G51" s="631">
        <v>99</v>
      </c>
      <c r="H51" s="730"/>
      <c r="I51" s="730"/>
      <c r="J51" s="730"/>
      <c r="K51" s="732"/>
      <c r="L51" s="732"/>
      <c r="M51" s="732"/>
      <c r="N51" s="730"/>
      <c r="O51" s="730"/>
      <c r="P51" s="730"/>
      <c r="Q51" s="610"/>
      <c r="R51" s="631">
        <v>99</v>
      </c>
      <c r="S51" s="631">
        <v>99</v>
      </c>
      <c r="T51" s="631"/>
      <c r="U51" s="631"/>
      <c r="V51" s="631"/>
      <c r="W51" s="631"/>
      <c r="X51" s="610"/>
      <c r="Y51" s="631">
        <v>99</v>
      </c>
      <c r="Z51" s="631">
        <v>99</v>
      </c>
      <c r="AA51" s="631">
        <v>99</v>
      </c>
      <c r="AB51" s="609"/>
      <c r="AC51" s="609"/>
      <c r="AD51" s="609"/>
      <c r="AE51" s="518"/>
      <c r="AF51" s="607">
        <f t="shared" si="13"/>
        <v>99</v>
      </c>
      <c r="AG51" s="607">
        <f t="shared" si="14"/>
        <v>99</v>
      </c>
      <c r="AH51" s="607">
        <f t="shared" si="15"/>
        <v>99</v>
      </c>
      <c r="AI51" s="607" t="str">
        <f>IFERROR(((2*#REF!)+#REF!)/3,"")</f>
        <v/>
      </c>
      <c r="AJ51" s="529"/>
      <c r="AK51" s="528"/>
      <c r="AL51" s="528"/>
      <c r="AM51" s="528"/>
      <c r="AN51" s="302">
        <f t="shared" si="31"/>
        <v>99</v>
      </c>
      <c r="AO51" s="303" t="str">
        <f>IF(AN51&gt;KKM!$G$10,"A",IF(AN51&gt;KKM!$H$10,"B",IF(AN51&gt;=KKM!$I$10,"C","D")))</f>
        <v>A</v>
      </c>
      <c r="AP51" s="523">
        <f t="shared" si="32"/>
        <v>99</v>
      </c>
      <c r="AQ51" s="115" t="str">
        <f>IF(AP51&gt;KKM!$G$10," sangat baik ",IF(AP51&gt;KKM!$H$10," baik ",IF(AP51&gt;=KKM!$I$10," cukup baik "," perlu bimbingan ")))</f>
        <v xml:space="preserve"> sangat baik </v>
      </c>
      <c r="AR51" s="524">
        <f t="shared" si="33"/>
        <v>99</v>
      </c>
      <c r="AS51" s="115" t="str">
        <f>IF(AR51&gt;KKM!$G$10," sangat baik ",IF(AR51&gt;KKM!$H$10," baik ",IF(AR51&gt;=KKM!$I$10," cukup baik "," perlu bimbingan ")))</f>
        <v xml:space="preserve"> sangat baik </v>
      </c>
      <c r="AT51" s="301" t="str">
        <f t="shared" si="16"/>
        <v>Anak 47 sangat baik  dalam mengidentifikasi karakteristik ruang dan pemanfaatan sumberdaya alam untuk kesejahteraan masyarakat dari tingkatkota/kabupaten sampai tingkat provinsi.</v>
      </c>
      <c r="AU51" s="306"/>
      <c r="AV51" s="307" t="str">
        <f t="shared" si="34"/>
        <v xml:space="preserve"> sangat baik  dalam mengidentifikasi karakteristik ruang dan pemanfaatan sumberdaya alam untuk kesejahteraan masyarakat dari tingkatkota/kabupaten sampai tingkat provinsi.</v>
      </c>
      <c r="AW51" s="307" t="str">
        <f t="shared" si="35"/>
        <v xml:space="preserve"> sangat baik  dalam mengidentifikasi karakteristik ruang dan pemanfaatan sumberdaya alam untuk kesejahteraan masyarakat dari tingkatkota/kabupaten sampai tingkat provinsi.</v>
      </c>
      <c r="AX51"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51" s="307" t="str">
        <f t="shared" si="18"/>
        <v xml:space="preserve"> sangat baik  dalam mengidentifikasi karakteristik ruang dan pemanfaatan sumberdaya alam untuk kesejahteraan masyarakat dari tingkatkota/kabupaten sampai tingkat provinsi.</v>
      </c>
      <c r="AZ51" s="308" t="str">
        <f t="shared" si="19"/>
        <v xml:space="preserve"> sangat baik  dalam mengidentifikasi karakteristik ruang dan pemanfaatan sumberdaya alam untuk kesejahteraan masyarakat dari tingkatkota/kabupaten sampai tingkat provinsi.</v>
      </c>
      <c r="BA51" s="301" t="str">
        <f t="shared" si="36"/>
        <v>Anak 47 sangat baik  dalam mengidentifikasi karakteristik ruang dan pemanfaatan sumberdaya alam untuk kesejahteraan masyarakat dari tingkatkota/kabupaten sampai tingkat provinsi.</v>
      </c>
      <c r="BB51" s="120"/>
      <c r="BJ51" s="408">
        <f t="shared" si="20"/>
        <v>99</v>
      </c>
      <c r="BM51" s="302">
        <f t="shared" si="21"/>
        <v>99</v>
      </c>
      <c r="BN51" s="303" t="str">
        <f>IF(BM51&gt;KKM!$G$10,"A",IF(BM51&gt;KKM!$H$10,"B",IF(BM51&gt;=KKM!$I$10,"C","D")))</f>
        <v>A</v>
      </c>
      <c r="BO51" s="523">
        <f t="shared" si="22"/>
        <v>99</v>
      </c>
      <c r="BP51" s="115" t="str">
        <f>IF(BO51&gt;KKM!$G$10," sangat baik ",IF(BO51&gt;KKM!$H$10," baik ",IF(BO51&gt;=KKM!$I$10," cukup baik "," perlu bimbingan ")))</f>
        <v xml:space="preserve"> sangat baik </v>
      </c>
      <c r="BQ51" s="524">
        <f t="shared" si="23"/>
        <v>99</v>
      </c>
      <c r="BR51" s="115" t="str">
        <f>IF(BQ51&gt;KKM!$G$10," sangat baik ",IF(BQ51&gt;KKM!$H$10," baik ",IF(BQ51&gt;=KKM!$I$10," cukup baik "," perlu bimbingan ")))</f>
        <v xml:space="preserve"> sangat baik </v>
      </c>
      <c r="BS51" s="301" t="str">
        <f t="shared" si="30"/>
        <v>Anak 47 sangat baik  dalam mengidentifikasi karakteristik ruang dan pemanfaatan sumberdaya alam untuk kesejahteraan masyarakat dari tingkatkota/kabupaten sampai tingkat provinsi.</v>
      </c>
      <c r="BT51" s="307" t="str">
        <f t="shared" si="24"/>
        <v xml:space="preserve"> sangat baik  dalam mengidentifikasi karakteristik ruang dan pemanfaatan sumberdaya alam untuk kesejahteraan masyarakat dari tingkatkota/kabupaten sampai tingkat provinsi.</v>
      </c>
      <c r="BU51" s="307" t="str">
        <f t="shared" si="25"/>
        <v xml:space="preserve"> sangat baik  dalam mengidentifikasi karakteristik ruang dan pemanfaatan sumberdaya alam untuk kesejahteraan masyarakat dari tingkatkota/kabupaten sampai tingkat provinsi.</v>
      </c>
      <c r="BV51"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51" s="307" t="str">
        <f t="shared" si="27"/>
        <v xml:space="preserve"> sangat baik  dalam mengidentifikasi karakteristik ruang dan pemanfaatan sumberdaya alam untuk kesejahteraan masyarakat dari tingkatkota/kabupaten sampai tingkat provinsi.</v>
      </c>
      <c r="BX51" s="308" t="str">
        <f t="shared" si="28"/>
        <v xml:space="preserve"> sangat baik  dalam mengidentifikasi karakteristik ruang dan pemanfaatan sumberdaya alam untuk kesejahteraan masyarakat dari tingkatkota/kabupaten sampai tingkat provinsi.</v>
      </c>
      <c r="BY51" s="301" t="str">
        <f t="shared" si="29"/>
        <v>Anak 47 sangat baik  dalam mengidentifikasi karakteristik ruang dan pemanfaatan sumberdaya alam untuk kesejahteraan masyarakat dari tingkatkota/kabupaten sampai tingkat provinsi.</v>
      </c>
    </row>
    <row r="52" spans="2:77" ht="38.25" customHeight="1">
      <c r="B52" s="109">
        <v>48</v>
      </c>
      <c r="C52" s="110">
        <f>SISWA!B53</f>
        <v>0</v>
      </c>
      <c r="D52" s="111" t="str">
        <f>SISWA!E53</f>
        <v>Anak 48</v>
      </c>
      <c r="E52" s="631">
        <v>99</v>
      </c>
      <c r="F52" s="631">
        <v>99</v>
      </c>
      <c r="G52" s="631">
        <v>99</v>
      </c>
      <c r="H52" s="730"/>
      <c r="I52" s="730"/>
      <c r="J52" s="730"/>
      <c r="K52" s="732"/>
      <c r="L52" s="732"/>
      <c r="M52" s="732"/>
      <c r="N52" s="730"/>
      <c r="O52" s="730"/>
      <c r="P52" s="730"/>
      <c r="Q52" s="610"/>
      <c r="R52" s="631">
        <v>99</v>
      </c>
      <c r="S52" s="631">
        <v>99</v>
      </c>
      <c r="T52" s="631"/>
      <c r="U52" s="631"/>
      <c r="V52" s="631"/>
      <c r="W52" s="631"/>
      <c r="X52" s="610"/>
      <c r="Y52" s="631">
        <v>99</v>
      </c>
      <c r="Z52" s="631">
        <v>99</v>
      </c>
      <c r="AA52" s="631">
        <v>99</v>
      </c>
      <c r="AB52" s="609"/>
      <c r="AC52" s="609"/>
      <c r="AD52" s="609"/>
      <c r="AE52" s="518"/>
      <c r="AF52" s="607">
        <f t="shared" si="13"/>
        <v>99</v>
      </c>
      <c r="AG52" s="607">
        <f t="shared" si="14"/>
        <v>99</v>
      </c>
      <c r="AH52" s="607">
        <f t="shared" si="15"/>
        <v>99</v>
      </c>
      <c r="AI52" s="607" t="str">
        <f>IFERROR(((2*#REF!)+#REF!)/3,"")</f>
        <v/>
      </c>
      <c r="AJ52" s="529"/>
      <c r="AK52" s="528"/>
      <c r="AL52" s="528"/>
      <c r="AM52" s="528"/>
      <c r="AN52" s="302">
        <f t="shared" si="31"/>
        <v>99</v>
      </c>
      <c r="AO52" s="303" t="str">
        <f>IF(AN52&gt;KKM!$G$10,"A",IF(AN52&gt;KKM!$H$10,"B",IF(AN52&gt;=KKM!$I$10,"C","D")))</f>
        <v>A</v>
      </c>
      <c r="AP52" s="523">
        <f t="shared" si="32"/>
        <v>99</v>
      </c>
      <c r="AQ52" s="115" t="str">
        <f>IF(AP52&gt;KKM!$G$10," sangat baik ",IF(AP52&gt;KKM!$H$10," baik ",IF(AP52&gt;=KKM!$I$10," cukup baik "," perlu bimbingan ")))</f>
        <v xml:space="preserve"> sangat baik </v>
      </c>
      <c r="AR52" s="524">
        <f t="shared" si="33"/>
        <v>99</v>
      </c>
      <c r="AS52" s="115" t="str">
        <f>IF(AR52&gt;KKM!$G$10," sangat baik ",IF(AR52&gt;KKM!$H$10," baik ",IF(AR52&gt;=KKM!$I$10," cukup baik "," perlu bimbingan ")))</f>
        <v xml:space="preserve"> sangat baik </v>
      </c>
      <c r="AT52" s="301" t="str">
        <f t="shared" si="16"/>
        <v>Anak 48 sangat baik  dalam mengidentifikasi karakteristik ruang dan pemanfaatan sumberdaya alam untuk kesejahteraan masyarakat dari tingkatkota/kabupaten sampai tingkat provinsi.</v>
      </c>
      <c r="AU52" s="306"/>
      <c r="AV52" s="307" t="str">
        <f t="shared" si="34"/>
        <v xml:space="preserve"> sangat baik  dalam mengidentifikasi karakteristik ruang dan pemanfaatan sumberdaya alam untuk kesejahteraan masyarakat dari tingkatkota/kabupaten sampai tingkat provinsi.</v>
      </c>
      <c r="AW52" s="307" t="str">
        <f t="shared" si="35"/>
        <v xml:space="preserve"> sangat baik  dalam mengidentifikasi karakteristik ruang dan pemanfaatan sumberdaya alam untuk kesejahteraan masyarakat dari tingkatkota/kabupaten sampai tingkat provinsi.</v>
      </c>
      <c r="AX52"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52" s="307" t="str">
        <f t="shared" si="18"/>
        <v xml:space="preserve"> sangat baik  dalam mengidentifikasi karakteristik ruang dan pemanfaatan sumberdaya alam untuk kesejahteraan masyarakat dari tingkatkota/kabupaten sampai tingkat provinsi.</v>
      </c>
      <c r="AZ52" s="308" t="str">
        <f t="shared" si="19"/>
        <v xml:space="preserve"> sangat baik  dalam mengidentifikasi karakteristik ruang dan pemanfaatan sumberdaya alam untuk kesejahteraan masyarakat dari tingkatkota/kabupaten sampai tingkat provinsi.</v>
      </c>
      <c r="BA52" s="301" t="str">
        <f t="shared" si="36"/>
        <v>Anak 48 sangat baik  dalam mengidentifikasi karakteristik ruang dan pemanfaatan sumberdaya alam untuk kesejahteraan masyarakat dari tingkatkota/kabupaten sampai tingkat provinsi.</v>
      </c>
      <c r="BB52" s="120"/>
      <c r="BJ52" s="408">
        <f t="shared" si="20"/>
        <v>99</v>
      </c>
      <c r="BM52" s="302">
        <f t="shared" si="21"/>
        <v>99</v>
      </c>
      <c r="BN52" s="303" t="str">
        <f>IF(BM52&gt;KKM!$G$10,"A",IF(BM52&gt;KKM!$H$10,"B",IF(BM52&gt;=KKM!$I$10,"C","D")))</f>
        <v>A</v>
      </c>
      <c r="BO52" s="523">
        <f t="shared" si="22"/>
        <v>99</v>
      </c>
      <c r="BP52" s="115" t="str">
        <f>IF(BO52&gt;KKM!$G$10," sangat baik ",IF(BO52&gt;KKM!$H$10," baik ",IF(BO52&gt;=KKM!$I$10," cukup baik "," perlu bimbingan ")))</f>
        <v xml:space="preserve"> sangat baik </v>
      </c>
      <c r="BQ52" s="524">
        <f t="shared" si="23"/>
        <v>99</v>
      </c>
      <c r="BR52" s="115" t="str">
        <f>IF(BQ52&gt;KKM!$G$10," sangat baik ",IF(BQ52&gt;KKM!$H$10," baik ",IF(BQ52&gt;=KKM!$I$10," cukup baik "," perlu bimbingan ")))</f>
        <v xml:space="preserve"> sangat baik </v>
      </c>
      <c r="BS52" s="301" t="str">
        <f t="shared" si="30"/>
        <v>Anak 48 sangat baik  dalam mengidentifikasi karakteristik ruang dan pemanfaatan sumberdaya alam untuk kesejahteraan masyarakat dari tingkatkota/kabupaten sampai tingkat provinsi.</v>
      </c>
      <c r="BT52" s="307" t="str">
        <f t="shared" si="24"/>
        <v xml:space="preserve"> sangat baik  dalam mengidentifikasi karakteristik ruang dan pemanfaatan sumberdaya alam untuk kesejahteraan masyarakat dari tingkatkota/kabupaten sampai tingkat provinsi.</v>
      </c>
      <c r="BU52" s="307" t="str">
        <f t="shared" si="25"/>
        <v xml:space="preserve"> sangat baik  dalam mengidentifikasi karakteristik ruang dan pemanfaatan sumberdaya alam untuk kesejahteraan masyarakat dari tingkatkota/kabupaten sampai tingkat provinsi.</v>
      </c>
      <c r="BV52"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52" s="307" t="str">
        <f t="shared" si="27"/>
        <v xml:space="preserve"> sangat baik  dalam mengidentifikasi karakteristik ruang dan pemanfaatan sumberdaya alam untuk kesejahteraan masyarakat dari tingkatkota/kabupaten sampai tingkat provinsi.</v>
      </c>
      <c r="BX52" s="308" t="str">
        <f t="shared" si="28"/>
        <v xml:space="preserve"> sangat baik  dalam mengidentifikasi karakteristik ruang dan pemanfaatan sumberdaya alam untuk kesejahteraan masyarakat dari tingkatkota/kabupaten sampai tingkat provinsi.</v>
      </c>
      <c r="BY52" s="301" t="str">
        <f t="shared" si="29"/>
        <v>Anak 48 sangat baik  dalam mengidentifikasi karakteristik ruang dan pemanfaatan sumberdaya alam untuk kesejahteraan masyarakat dari tingkatkota/kabupaten sampai tingkat provinsi.</v>
      </c>
    </row>
    <row r="53" spans="2:77" ht="38.25" customHeight="1">
      <c r="B53" s="109">
        <v>49</v>
      </c>
      <c r="C53" s="110">
        <f>SISWA!B54</f>
        <v>0</v>
      </c>
      <c r="D53" s="111" t="str">
        <f>SISWA!E54</f>
        <v>Anak 49</v>
      </c>
      <c r="E53" s="631">
        <v>99</v>
      </c>
      <c r="F53" s="631">
        <v>99</v>
      </c>
      <c r="G53" s="631">
        <v>99</v>
      </c>
      <c r="H53" s="730"/>
      <c r="I53" s="730"/>
      <c r="J53" s="730"/>
      <c r="K53" s="732"/>
      <c r="L53" s="732"/>
      <c r="M53" s="732"/>
      <c r="N53" s="730"/>
      <c r="O53" s="730"/>
      <c r="P53" s="730"/>
      <c r="Q53" s="610"/>
      <c r="R53" s="631">
        <v>99</v>
      </c>
      <c r="S53" s="631">
        <v>99</v>
      </c>
      <c r="T53" s="631"/>
      <c r="U53" s="631"/>
      <c r="V53" s="631"/>
      <c r="W53" s="631"/>
      <c r="X53" s="610"/>
      <c r="Y53" s="631">
        <v>99</v>
      </c>
      <c r="Z53" s="631">
        <v>99</v>
      </c>
      <c r="AA53" s="631">
        <v>99</v>
      </c>
      <c r="AB53" s="609"/>
      <c r="AC53" s="609"/>
      <c r="AD53" s="609"/>
      <c r="AE53" s="518"/>
      <c r="AF53" s="607">
        <f t="shared" si="13"/>
        <v>99</v>
      </c>
      <c r="AG53" s="607">
        <f t="shared" si="14"/>
        <v>99</v>
      </c>
      <c r="AH53" s="607">
        <f t="shared" si="15"/>
        <v>99</v>
      </c>
      <c r="AI53" s="607" t="str">
        <f>IFERROR(((2*#REF!)+#REF!)/3,"")</f>
        <v/>
      </c>
      <c r="AJ53" s="529"/>
      <c r="AK53" s="528"/>
      <c r="AL53" s="528"/>
      <c r="AM53" s="528"/>
      <c r="AN53" s="302">
        <f t="shared" si="31"/>
        <v>99</v>
      </c>
      <c r="AO53" s="303" t="str">
        <f>IF(AN53&gt;KKM!$G$10,"A",IF(AN53&gt;KKM!$H$10,"B",IF(AN53&gt;=KKM!$I$10,"C","D")))</f>
        <v>A</v>
      </c>
      <c r="AP53" s="523">
        <f t="shared" si="32"/>
        <v>99</v>
      </c>
      <c r="AQ53" s="115" t="str">
        <f>IF(AP53&gt;KKM!$G$10," sangat baik ",IF(AP53&gt;KKM!$H$10," baik ",IF(AP53&gt;=KKM!$I$10," cukup baik "," perlu bimbingan ")))</f>
        <v xml:space="preserve"> sangat baik </v>
      </c>
      <c r="AR53" s="524">
        <f t="shared" si="33"/>
        <v>99</v>
      </c>
      <c r="AS53" s="115" t="str">
        <f>IF(AR53&gt;KKM!$G$10," sangat baik ",IF(AR53&gt;KKM!$H$10," baik ",IF(AR53&gt;=KKM!$I$10," cukup baik "," perlu bimbingan ")))</f>
        <v xml:space="preserve"> sangat baik </v>
      </c>
      <c r="AT53" s="301" t="str">
        <f t="shared" si="16"/>
        <v>Anak 49 sangat baik  dalam mengidentifikasi karakteristik ruang dan pemanfaatan sumberdaya alam untuk kesejahteraan masyarakat dari tingkatkota/kabupaten sampai tingkat provinsi.</v>
      </c>
      <c r="AU53" s="306"/>
      <c r="AV53" s="307" t="str">
        <f t="shared" si="34"/>
        <v xml:space="preserve"> sangat baik  dalam mengidentifikasi karakteristik ruang dan pemanfaatan sumberdaya alam untuk kesejahteraan masyarakat dari tingkatkota/kabupaten sampai tingkat provinsi.</v>
      </c>
      <c r="AW53" s="307" t="str">
        <f t="shared" si="35"/>
        <v xml:space="preserve"> sangat baik  dalam mengidentifikasi karakteristik ruang dan pemanfaatan sumberdaya alam untuk kesejahteraan masyarakat dari tingkatkota/kabupaten sampai tingkat provinsi.</v>
      </c>
      <c r="AX53"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53" s="307" t="str">
        <f t="shared" si="18"/>
        <v xml:space="preserve"> sangat baik  dalam mengidentifikasi karakteristik ruang dan pemanfaatan sumberdaya alam untuk kesejahteraan masyarakat dari tingkatkota/kabupaten sampai tingkat provinsi.</v>
      </c>
      <c r="AZ53" s="308" t="str">
        <f t="shared" si="19"/>
        <v xml:space="preserve"> sangat baik  dalam mengidentifikasi karakteristik ruang dan pemanfaatan sumberdaya alam untuk kesejahteraan masyarakat dari tingkatkota/kabupaten sampai tingkat provinsi.</v>
      </c>
      <c r="BA53" s="301" t="str">
        <f t="shared" si="36"/>
        <v>Anak 49 sangat baik  dalam mengidentifikasi karakteristik ruang dan pemanfaatan sumberdaya alam untuk kesejahteraan masyarakat dari tingkatkota/kabupaten sampai tingkat provinsi.</v>
      </c>
      <c r="BB53" s="120"/>
      <c r="BJ53" s="408">
        <f t="shared" si="20"/>
        <v>99</v>
      </c>
      <c r="BM53" s="302">
        <f t="shared" si="21"/>
        <v>99</v>
      </c>
      <c r="BN53" s="303" t="str">
        <f>IF(BM53&gt;KKM!$G$10,"A",IF(BM53&gt;KKM!$H$10,"B",IF(BM53&gt;=KKM!$I$10,"C","D")))</f>
        <v>A</v>
      </c>
      <c r="BO53" s="523">
        <f t="shared" si="22"/>
        <v>99</v>
      </c>
      <c r="BP53" s="115" t="str">
        <f>IF(BO53&gt;KKM!$G$10," sangat baik ",IF(BO53&gt;KKM!$H$10," baik ",IF(BO53&gt;=KKM!$I$10," cukup baik "," perlu bimbingan ")))</f>
        <v xml:space="preserve"> sangat baik </v>
      </c>
      <c r="BQ53" s="524">
        <f t="shared" si="23"/>
        <v>99</v>
      </c>
      <c r="BR53" s="115" t="str">
        <f>IF(BQ53&gt;KKM!$G$10," sangat baik ",IF(BQ53&gt;KKM!$H$10," baik ",IF(BQ53&gt;=KKM!$I$10," cukup baik "," perlu bimbingan ")))</f>
        <v xml:space="preserve"> sangat baik </v>
      </c>
      <c r="BS53" s="301" t="str">
        <f t="shared" si="30"/>
        <v>Anak 49 sangat baik  dalam mengidentifikasi karakteristik ruang dan pemanfaatan sumberdaya alam untuk kesejahteraan masyarakat dari tingkatkota/kabupaten sampai tingkat provinsi.</v>
      </c>
      <c r="BT53" s="307" t="str">
        <f t="shared" si="24"/>
        <v xml:space="preserve"> sangat baik  dalam mengidentifikasi karakteristik ruang dan pemanfaatan sumberdaya alam untuk kesejahteraan masyarakat dari tingkatkota/kabupaten sampai tingkat provinsi.</v>
      </c>
      <c r="BU53" s="307" t="str">
        <f t="shared" si="25"/>
        <v xml:space="preserve"> sangat baik  dalam mengidentifikasi karakteristik ruang dan pemanfaatan sumberdaya alam untuk kesejahteraan masyarakat dari tingkatkota/kabupaten sampai tingkat provinsi.</v>
      </c>
      <c r="BV53"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53" s="307" t="str">
        <f t="shared" si="27"/>
        <v xml:space="preserve"> sangat baik  dalam mengidentifikasi karakteristik ruang dan pemanfaatan sumberdaya alam untuk kesejahteraan masyarakat dari tingkatkota/kabupaten sampai tingkat provinsi.</v>
      </c>
      <c r="BX53" s="308" t="str">
        <f t="shared" si="28"/>
        <v xml:space="preserve"> sangat baik  dalam mengidentifikasi karakteristik ruang dan pemanfaatan sumberdaya alam untuk kesejahteraan masyarakat dari tingkatkota/kabupaten sampai tingkat provinsi.</v>
      </c>
      <c r="BY53" s="301" t="str">
        <f t="shared" si="29"/>
        <v>Anak 49 sangat baik  dalam mengidentifikasi karakteristik ruang dan pemanfaatan sumberdaya alam untuk kesejahteraan masyarakat dari tingkatkota/kabupaten sampai tingkat provinsi.</v>
      </c>
    </row>
    <row r="54" spans="2:77" ht="38.25" customHeight="1">
      <c r="B54" s="109">
        <v>50</v>
      </c>
      <c r="C54" s="110">
        <f>SISWA!B55</f>
        <v>0</v>
      </c>
      <c r="D54" s="111" t="str">
        <f>SISWA!E55</f>
        <v>Anak 50</v>
      </c>
      <c r="E54" s="631">
        <v>99</v>
      </c>
      <c r="F54" s="631">
        <v>99</v>
      </c>
      <c r="G54" s="631">
        <v>99</v>
      </c>
      <c r="H54" s="730"/>
      <c r="I54" s="730"/>
      <c r="J54" s="730"/>
      <c r="K54" s="732"/>
      <c r="L54" s="732"/>
      <c r="M54" s="732"/>
      <c r="N54" s="730"/>
      <c r="O54" s="730"/>
      <c r="P54" s="730"/>
      <c r="Q54" s="610"/>
      <c r="R54" s="631">
        <v>99</v>
      </c>
      <c r="S54" s="631">
        <v>99</v>
      </c>
      <c r="T54" s="631"/>
      <c r="U54" s="631"/>
      <c r="V54" s="631"/>
      <c r="W54" s="631"/>
      <c r="X54" s="610"/>
      <c r="Y54" s="631">
        <v>99</v>
      </c>
      <c r="Z54" s="631">
        <v>99</v>
      </c>
      <c r="AA54" s="631">
        <v>99</v>
      </c>
      <c r="AB54" s="609"/>
      <c r="AC54" s="609"/>
      <c r="AD54" s="609"/>
      <c r="AE54" s="518"/>
      <c r="AF54" s="607">
        <f t="shared" si="13"/>
        <v>99</v>
      </c>
      <c r="AG54" s="607">
        <f t="shared" si="14"/>
        <v>99</v>
      </c>
      <c r="AH54" s="607">
        <f t="shared" si="15"/>
        <v>99</v>
      </c>
      <c r="AI54" s="607" t="str">
        <f>IFERROR(((2*#REF!)+#REF!)/3,"")</f>
        <v/>
      </c>
      <c r="AJ54" s="529"/>
      <c r="AK54" s="528"/>
      <c r="AL54" s="528"/>
      <c r="AM54" s="528"/>
      <c r="AN54" s="302">
        <f t="shared" si="31"/>
        <v>99</v>
      </c>
      <c r="AO54" s="303" t="str">
        <f>IF(AN54&gt;KKM!$G$10,"A",IF(AN54&gt;KKM!$H$10,"B",IF(AN54&gt;=KKM!$I$10,"C","D")))</f>
        <v>A</v>
      </c>
      <c r="AP54" s="523">
        <f t="shared" si="32"/>
        <v>99</v>
      </c>
      <c r="AQ54" s="115" t="str">
        <f>IF(AP54&gt;KKM!$G$10," sangat baik ",IF(AP54&gt;KKM!$H$10," baik ",IF(AP54&gt;=KKM!$I$10," cukup baik "," perlu bimbingan ")))</f>
        <v xml:space="preserve"> sangat baik </v>
      </c>
      <c r="AR54" s="524">
        <f t="shared" si="33"/>
        <v>99</v>
      </c>
      <c r="AS54" s="115" t="str">
        <f>IF(AR54&gt;KKM!$G$10," sangat baik ",IF(AR54&gt;KKM!$H$10," baik ",IF(AR54&gt;=KKM!$I$10," cukup baik "," perlu bimbingan ")))</f>
        <v xml:space="preserve"> sangat baik </v>
      </c>
      <c r="AT54" s="301" t="str">
        <f t="shared" si="16"/>
        <v>Anak 50 sangat baik  dalam mengidentifikasi karakteristik ruang dan pemanfaatan sumberdaya alam untuk kesejahteraan masyarakat dari tingkatkota/kabupaten sampai tingkat provinsi.</v>
      </c>
      <c r="AU54" s="306"/>
      <c r="AV54" s="307" t="str">
        <f t="shared" si="34"/>
        <v xml:space="preserve"> sangat baik  dalam mengidentifikasi karakteristik ruang dan pemanfaatan sumberdaya alam untuk kesejahteraan masyarakat dari tingkatkota/kabupaten sampai tingkat provinsi.</v>
      </c>
      <c r="AW54" s="307" t="str">
        <f t="shared" si="35"/>
        <v xml:space="preserve"> sangat baik  dalam mengidentifikasi karakteristik ruang dan pemanfaatan sumberdaya alam untuk kesejahteraan masyarakat dari tingkatkota/kabupaten sampai tingkat provinsi.</v>
      </c>
      <c r="AX54" s="307" t="str">
        <f t="shared" si="17"/>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AY54" s="307" t="str">
        <f t="shared" si="18"/>
        <v xml:space="preserve"> sangat baik  dalam mengidentifikasi karakteristik ruang dan pemanfaatan sumberdaya alam untuk kesejahteraan masyarakat dari tingkatkota/kabupaten sampai tingkat provinsi.</v>
      </c>
      <c r="AZ54" s="308" t="str">
        <f t="shared" si="19"/>
        <v xml:space="preserve"> sangat baik  dalam mengidentifikasi karakteristik ruang dan pemanfaatan sumberdaya alam untuk kesejahteraan masyarakat dari tingkatkota/kabupaten sampai tingkat provinsi.</v>
      </c>
      <c r="BA54" s="301" t="str">
        <f t="shared" si="36"/>
        <v>Anak 50 sangat baik  dalam mengidentifikasi karakteristik ruang dan pemanfaatan sumberdaya alam untuk kesejahteraan masyarakat dari tingkatkota/kabupaten sampai tingkat provinsi.</v>
      </c>
      <c r="BB54" s="120"/>
      <c r="BJ54" s="408">
        <f t="shared" si="20"/>
        <v>99</v>
      </c>
      <c r="BM54" s="302">
        <f t="shared" si="21"/>
        <v>99</v>
      </c>
      <c r="BN54" s="303" t="str">
        <f>IF(BM54&gt;KKM!$G$10,"A",IF(BM54&gt;KKM!$H$10,"B",IF(BM54&gt;=KKM!$I$10,"C","D")))</f>
        <v>A</v>
      </c>
      <c r="BO54" s="523">
        <f t="shared" si="22"/>
        <v>99</v>
      </c>
      <c r="BP54" s="115" t="str">
        <f>IF(BO54&gt;KKM!$G$10," sangat baik ",IF(BO54&gt;KKM!$H$10," baik ",IF(BO54&gt;=KKM!$I$10," cukup baik "," perlu bimbingan ")))</f>
        <v xml:space="preserve"> sangat baik </v>
      </c>
      <c r="BQ54" s="524">
        <f t="shared" si="23"/>
        <v>99</v>
      </c>
      <c r="BR54" s="115" t="str">
        <f>IF(BQ54&gt;KKM!$G$10," sangat baik ",IF(BQ54&gt;KKM!$H$10," baik ",IF(BQ54&gt;=KKM!$I$10," cukup baik "," perlu bimbingan ")))</f>
        <v xml:space="preserve"> sangat baik </v>
      </c>
      <c r="BS54" s="301" t="str">
        <f t="shared" si="30"/>
        <v>Anak 50 sangat baik  dalam mengidentifikasi karakteristik ruang dan pemanfaatan sumberdaya alam untuk kesejahteraan masyarakat dari tingkatkota/kabupaten sampai tingkat provinsi.</v>
      </c>
      <c r="BT54" s="307" t="str">
        <f t="shared" si="24"/>
        <v xml:space="preserve"> sangat baik  dalam mengidentifikasi karakteristik ruang dan pemanfaatan sumberdaya alam untuk kesejahteraan masyarakat dari tingkatkota/kabupaten sampai tingkat provinsi.</v>
      </c>
      <c r="BU54" s="307" t="str">
        <f t="shared" si="25"/>
        <v xml:space="preserve"> sangat baik  dalam mengidentifikasi karakteristik ruang dan pemanfaatan sumberdaya alam untuk kesejahteraan masyarakat dari tingkatkota/kabupaten sampai tingkat provinsi.</v>
      </c>
      <c r="BV54" s="307" t="str">
        <f t="shared" si="26"/>
        <v xml:space="preserve"> sangat baik  dalam mengidentifikasi karakteristik ruang dan pemanfaatan sumberdaya alam untuk kesejahteraan masyarakat dari tingkatkota/kabupaten sampai tingkat provinsi., dan  sangat baik  dalam mengidentifikasi karakteristik ruang dan pemanfaatan sumberdaya alam untuk kesejahteraan masyarakat dari tingkatkota/kabupaten sampai tingkat provinsi.</v>
      </c>
      <c r="BW54" s="307" t="str">
        <f t="shared" si="27"/>
        <v xml:space="preserve"> sangat baik  dalam mengidentifikasi karakteristik ruang dan pemanfaatan sumberdaya alam untuk kesejahteraan masyarakat dari tingkatkota/kabupaten sampai tingkat provinsi.</v>
      </c>
      <c r="BX54" s="308" t="str">
        <f t="shared" si="28"/>
        <v xml:space="preserve"> sangat baik  dalam mengidentifikasi karakteristik ruang dan pemanfaatan sumberdaya alam untuk kesejahteraan masyarakat dari tingkatkota/kabupaten sampai tingkat provinsi.</v>
      </c>
      <c r="BY54" s="301" t="str">
        <f t="shared" si="29"/>
        <v>Anak 50 sangat baik  dalam mengidentifikasi karakteristik ruang dan pemanfaatan sumberdaya alam untuk kesejahteraan masyarakat dari tingkatkota/kabupaten sampai tingkat provinsi.</v>
      </c>
    </row>
    <row r="55" spans="2:77" ht="38.25" customHeight="1">
      <c r="B55" s="121"/>
      <c r="C55" s="121"/>
      <c r="D55" s="121"/>
      <c r="E55" s="121"/>
      <c r="F55" s="121"/>
      <c r="G55" s="121"/>
      <c r="H55" s="121"/>
      <c r="I55" s="121"/>
      <c r="J55" s="121"/>
      <c r="K55" s="121"/>
      <c r="L55" s="121"/>
      <c r="M55" s="121"/>
      <c r="N55" s="121"/>
      <c r="O55" s="121"/>
      <c r="P55" s="121"/>
      <c r="Q55" s="518"/>
      <c r="R55" s="121"/>
      <c r="S55" s="121"/>
      <c r="T55" s="121"/>
      <c r="U55" s="121"/>
      <c r="V55" s="121"/>
      <c r="W55" s="121"/>
      <c r="X55" s="518"/>
      <c r="Y55" s="521"/>
      <c r="Z55" s="521"/>
      <c r="AA55" s="521"/>
      <c r="AB55" s="521"/>
      <c r="AC55" s="521"/>
      <c r="AD55" s="521"/>
      <c r="AE55" s="518"/>
      <c r="AF55" s="528"/>
      <c r="AG55" s="529"/>
      <c r="AH55" s="529"/>
      <c r="AI55" s="529"/>
      <c r="AJ55" s="529"/>
      <c r="AK55" s="528"/>
      <c r="AL55" s="528"/>
      <c r="AM55" s="528"/>
      <c r="AN55" s="114"/>
      <c r="AO55" s="115"/>
      <c r="AP55" s="116"/>
      <c r="AQ55" s="116"/>
      <c r="AR55" s="116"/>
      <c r="AS55" s="116"/>
      <c r="AT55" s="117"/>
      <c r="AU55" s="118"/>
      <c r="AV55" s="119"/>
      <c r="AW55" s="122"/>
      <c r="AX55" s="122"/>
      <c r="AY55" s="122"/>
      <c r="AZ55" s="122"/>
      <c r="BA55" s="122"/>
      <c r="BB55" s="120"/>
      <c r="BM55" s="302"/>
      <c r="BN55" s="303"/>
      <c r="BO55" s="523"/>
      <c r="BP55" s="115"/>
      <c r="BQ55" s="524"/>
      <c r="BR55" s="115"/>
      <c r="BS55" s="301"/>
      <c r="BT55" s="307"/>
      <c r="BU55" s="307"/>
      <c r="BV55" s="307"/>
      <c r="BW55" s="307"/>
      <c r="BX55" s="308"/>
      <c r="BY55" s="301"/>
    </row>
    <row r="56" spans="2:77">
      <c r="BM56" s="302"/>
      <c r="BT56" s="119"/>
      <c r="BU56" s="122"/>
      <c r="BV56" s="122"/>
      <c r="BW56" s="122"/>
      <c r="BX56" s="122"/>
      <c r="BY56" s="122"/>
    </row>
  </sheetData>
  <sheetProtection sheet="1" objects="1" scenarios="1"/>
  <mergeCells count="45">
    <mergeCell ref="BT3:BY3"/>
    <mergeCell ref="BM2:BM4"/>
    <mergeCell ref="BN2:BN4"/>
    <mergeCell ref="BO2:BR2"/>
    <mergeCell ref="BS2:BS4"/>
    <mergeCell ref="BO3:BP3"/>
    <mergeCell ref="BQ3:BR3"/>
    <mergeCell ref="L3:L4"/>
    <mergeCell ref="M3:M4"/>
    <mergeCell ref="N3:N4"/>
    <mergeCell ref="O3:O4"/>
    <mergeCell ref="F3:F4"/>
    <mergeCell ref="G3:G4"/>
    <mergeCell ref="B1:AS1"/>
    <mergeCell ref="B2:B4"/>
    <mergeCell ref="C2:C4"/>
    <mergeCell ref="D2:D4"/>
    <mergeCell ref="AF2:AM2"/>
    <mergeCell ref="AN2:AN4"/>
    <mergeCell ref="AO2:AO4"/>
    <mergeCell ref="AP2:AS2"/>
    <mergeCell ref="AB3:AB4"/>
    <mergeCell ref="AC3:AC4"/>
    <mergeCell ref="Y3:Y4"/>
    <mergeCell ref="Z3:Z4"/>
    <mergeCell ref="AA3:AA4"/>
    <mergeCell ref="P3:P4"/>
    <mergeCell ref="R2:W2"/>
    <mergeCell ref="R3:R4"/>
    <mergeCell ref="E3:E4"/>
    <mergeCell ref="AD3:AD4"/>
    <mergeCell ref="Y2:AD2"/>
    <mergeCell ref="AT2:AT4"/>
    <mergeCell ref="AP3:AQ3"/>
    <mergeCell ref="AR3:AS3"/>
    <mergeCell ref="H3:H4"/>
    <mergeCell ref="I3:I4"/>
    <mergeCell ref="J3:J4"/>
    <mergeCell ref="S3:S4"/>
    <mergeCell ref="T3:T4"/>
    <mergeCell ref="U3:U4"/>
    <mergeCell ref="V3:V4"/>
    <mergeCell ref="W3:W4"/>
    <mergeCell ref="E2:P2"/>
    <mergeCell ref="K3:K4"/>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C56"/>
  <sheetViews>
    <sheetView zoomScale="70" zoomScaleNormal="7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446" customWidth="1"/>
    <col min="2" max="2" width="4.42578125" style="104" customWidth="1"/>
    <col min="3" max="3" width="6.42578125" style="104" customWidth="1"/>
    <col min="4" max="4" width="28.7109375" style="104" customWidth="1"/>
    <col min="5" max="9" width="5.42578125" style="104" customWidth="1"/>
    <col min="10" max="16" width="5.42578125" style="104" hidden="1" customWidth="1"/>
    <col min="17" max="17" width="2" style="104" customWidth="1"/>
    <col min="18" max="23" width="5.42578125" style="104" customWidth="1"/>
    <col min="24" max="24" width="2" style="104" customWidth="1"/>
    <col min="25" max="30" width="5.5703125" style="104" customWidth="1"/>
    <col min="31" max="31" width="2" style="104" customWidth="1"/>
    <col min="32" max="39" width="6.7109375" style="104" customWidth="1"/>
    <col min="40" max="41" width="4.7109375" style="104" customWidth="1"/>
    <col min="42" max="42" width="5.140625" style="104" customWidth="1"/>
    <col min="43" max="43" width="10.28515625" style="104" customWidth="1"/>
    <col min="44" max="44" width="5.140625" style="104" customWidth="1"/>
    <col min="45" max="45" width="10.28515625" style="104" customWidth="1"/>
    <col min="46" max="46" width="84.42578125" style="104" customWidth="1"/>
    <col min="47" max="47" width="29.85546875" style="104" hidden="1" customWidth="1"/>
    <col min="48" max="53" width="10.7109375" style="104" hidden="1" customWidth="1"/>
    <col min="54" max="64" width="9.140625" style="104" hidden="1" customWidth="1"/>
    <col min="65" max="67" width="6.5703125" style="104" hidden="1" customWidth="1"/>
    <col min="68" max="68" width="12.42578125" style="104" hidden="1" customWidth="1"/>
    <col min="69" max="69" width="6.5703125" style="104" hidden="1" customWidth="1"/>
    <col min="70" max="70" width="13.5703125" style="104" hidden="1" customWidth="1"/>
    <col min="71" max="71" width="65.85546875" style="104" hidden="1" customWidth="1"/>
    <col min="72" max="72" width="18.7109375" style="104" hidden="1" customWidth="1"/>
    <col min="73" max="78" width="9.140625" style="104" hidden="1" customWidth="1"/>
    <col min="79" max="79" width="9.140625" style="104" customWidth="1"/>
    <col min="80" max="87" width="5" style="104" hidden="1" customWidth="1"/>
    <col min="88" max="89" width="0" style="104" hidden="1" customWidth="1"/>
    <col min="90" max="103" width="10.7109375" style="104" hidden="1" customWidth="1"/>
    <col min="104" max="159" width="0" style="104" hidden="1" customWidth="1"/>
    <col min="160" max="16384" width="9.140625" style="104" hidden="1"/>
  </cols>
  <sheetData>
    <row r="1" spans="1:78" s="449" customFormat="1" ht="45.75" customHeight="1">
      <c r="B1" s="1040" t="s">
        <v>53</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row>
    <row r="2" spans="1:78" ht="23.25" customHeight="1">
      <c r="B2" s="1071" t="s">
        <v>2</v>
      </c>
      <c r="C2" s="1072" t="s">
        <v>3</v>
      </c>
      <c r="D2" s="1073" t="s">
        <v>48</v>
      </c>
      <c r="E2" s="1095" t="s">
        <v>699</v>
      </c>
      <c r="F2" s="1096"/>
      <c r="G2" s="1096"/>
      <c r="H2" s="1096"/>
      <c r="I2" s="1096"/>
      <c r="J2" s="1096"/>
      <c r="K2" s="1096"/>
      <c r="L2" s="1096"/>
      <c r="M2" s="1096"/>
      <c r="N2" s="1096"/>
      <c r="O2" s="1096"/>
      <c r="P2" s="1097"/>
      <c r="Q2" s="625"/>
      <c r="R2" s="1100" t="s">
        <v>692</v>
      </c>
      <c r="S2" s="1100"/>
      <c r="T2" s="1100"/>
      <c r="U2" s="1100"/>
      <c r="V2" s="1100"/>
      <c r="W2" s="1100"/>
      <c r="X2" s="625"/>
      <c r="Y2" s="1085" t="s">
        <v>693</v>
      </c>
      <c r="Z2" s="1086"/>
      <c r="AA2" s="1086"/>
      <c r="AB2" s="1086"/>
      <c r="AC2" s="1086"/>
      <c r="AD2" s="1086"/>
      <c r="AE2" s="625"/>
      <c r="AF2" s="1107" t="s">
        <v>694</v>
      </c>
      <c r="AG2" s="1107"/>
      <c r="AH2" s="1107"/>
      <c r="AI2" s="1107"/>
      <c r="AJ2" s="1107"/>
      <c r="AK2" s="1107"/>
      <c r="AL2" s="1107"/>
      <c r="AM2" s="1107"/>
      <c r="AN2" s="1045" t="s">
        <v>5</v>
      </c>
      <c r="AO2" s="1046" t="s">
        <v>6</v>
      </c>
      <c r="AP2" s="1047" t="s">
        <v>314</v>
      </c>
      <c r="AQ2" s="1048"/>
      <c r="AR2" s="1048"/>
      <c r="AS2" s="1048"/>
      <c r="AT2" s="1027" t="s">
        <v>1</v>
      </c>
      <c r="BA2" s="294"/>
      <c r="BK2" s="441">
        <f>DEPAN!$E$23</f>
        <v>50</v>
      </c>
      <c r="BL2" s="441"/>
      <c r="BM2" s="1091" t="s">
        <v>5</v>
      </c>
      <c r="BN2" s="1093" t="s">
        <v>6</v>
      </c>
      <c r="BO2" s="1047" t="s">
        <v>314</v>
      </c>
      <c r="BP2" s="1048"/>
      <c r="BQ2" s="1048"/>
      <c r="BR2" s="1048"/>
      <c r="BS2" s="1027" t="s">
        <v>1</v>
      </c>
      <c r="BZ2" s="441"/>
    </row>
    <row r="3" spans="1:78" ht="94.5" customHeight="1">
      <c r="B3" s="1071"/>
      <c r="C3" s="1072"/>
      <c r="D3" s="1073"/>
      <c r="E3" s="1079" t="str">
        <f>""&amp;'KI-KD'!$B94</f>
        <v>3.1</v>
      </c>
      <c r="F3" s="1079" t="str">
        <f>""&amp;'KI-KD'!$B95</f>
        <v>3.2</v>
      </c>
      <c r="G3" s="1079" t="str">
        <f>""&amp;'KI-KD'!$B96</f>
        <v>3.3</v>
      </c>
      <c r="H3" s="1079" t="str">
        <f>""&amp;'KI-KD'!$B97</f>
        <v>3.4</v>
      </c>
      <c r="I3" s="1079" t="str">
        <f>""&amp;'KI-KD'!$B98</f>
        <v/>
      </c>
      <c r="J3" s="1079" t="str">
        <f>""&amp;'KI-KD'!$B99</f>
        <v/>
      </c>
      <c r="K3" s="1099"/>
      <c r="L3" s="1099"/>
      <c r="M3" s="1099"/>
      <c r="N3" s="1099"/>
      <c r="O3" s="1099"/>
      <c r="P3" s="1099"/>
      <c r="Q3" s="625"/>
      <c r="R3" s="1081" t="str">
        <f t="shared" ref="R3:S3" si="0">E3</f>
        <v>3.1</v>
      </c>
      <c r="S3" s="1101" t="str">
        <f t="shared" si="0"/>
        <v>3.2</v>
      </c>
      <c r="T3" s="1101" t="str">
        <f t="shared" ref="T3" si="1">G3</f>
        <v>3.3</v>
      </c>
      <c r="U3" s="1101" t="str">
        <f t="shared" ref="U3" si="2">H3</f>
        <v>3.4</v>
      </c>
      <c r="V3" s="1081"/>
      <c r="W3" s="1081"/>
      <c r="X3" s="625"/>
      <c r="Y3" s="1088" t="str">
        <f>E3</f>
        <v>3.1</v>
      </c>
      <c r="Z3" s="1088" t="str">
        <f t="shared" ref="Z3:AC3" si="3">F3</f>
        <v>3.2</v>
      </c>
      <c r="AA3" s="1088" t="str">
        <f t="shared" si="3"/>
        <v>3.3</v>
      </c>
      <c r="AB3" s="1088" t="str">
        <f t="shared" si="3"/>
        <v>3.4</v>
      </c>
      <c r="AC3" s="1088" t="str">
        <f t="shared" si="3"/>
        <v/>
      </c>
      <c r="AD3" s="1088" t="str">
        <f>J3</f>
        <v/>
      </c>
      <c r="AE3" s="625"/>
      <c r="AF3" s="510" t="str">
        <f>'KI-KD'!$C94</f>
        <v>mengetahui gambar dan bentuk tiga dimensi.</v>
      </c>
      <c r="AG3" s="510" t="str">
        <f>'KI-KD'!$C95</f>
        <v>mengetahui tanda tempo dan tinggi rendah nada.</v>
      </c>
      <c r="AH3" s="510" t="str">
        <f>'KI-KD'!$C96</f>
        <v>mengetahui gerak tari kreasi daerah.</v>
      </c>
      <c r="AI3" s="510" t="str">
        <f>'KI-KD'!$C97</f>
        <v>mengetahui karya seni rupa teknik tempel.</v>
      </c>
      <c r="AJ3" s="510">
        <f>'KI-KD'!$C98</f>
        <v>0</v>
      </c>
      <c r="AK3" s="510">
        <f>'KI-KD'!$C99</f>
        <v>0</v>
      </c>
      <c r="AL3" s="510"/>
      <c r="AM3" s="511"/>
      <c r="AN3" s="1045"/>
      <c r="AO3" s="1046"/>
      <c r="AP3" s="1030" t="s">
        <v>315</v>
      </c>
      <c r="AQ3" s="1031"/>
      <c r="AR3" s="1032" t="s">
        <v>316</v>
      </c>
      <c r="AS3" s="1033"/>
      <c r="AT3" s="1028"/>
      <c r="BA3" s="294"/>
      <c r="BK3" s="408">
        <f>BK4-BK5</f>
        <v>50</v>
      </c>
      <c r="BL3" s="408"/>
      <c r="BM3" s="1092"/>
      <c r="BN3" s="1094"/>
      <c r="BO3" s="1067" t="s">
        <v>315</v>
      </c>
      <c r="BP3" s="1068"/>
      <c r="BQ3" s="1069" t="s">
        <v>316</v>
      </c>
      <c r="BR3" s="1070"/>
      <c r="BS3" s="1028"/>
      <c r="BT3" s="1090" t="s">
        <v>730</v>
      </c>
      <c r="BU3" s="1090"/>
      <c r="BV3" s="1090"/>
      <c r="BW3" s="1090"/>
      <c r="BX3" s="1090"/>
      <c r="BY3" s="1090"/>
      <c r="BZ3" s="408"/>
    </row>
    <row r="4" spans="1:78" s="108" customFormat="1" ht="25.5" customHeight="1">
      <c r="A4" s="448"/>
      <c r="B4" s="1071"/>
      <c r="C4" s="1072"/>
      <c r="D4" s="1073"/>
      <c r="E4" s="1080"/>
      <c r="F4" s="1080"/>
      <c r="G4" s="1080"/>
      <c r="H4" s="1080"/>
      <c r="I4" s="1080"/>
      <c r="J4" s="1080"/>
      <c r="K4" s="1099"/>
      <c r="L4" s="1099"/>
      <c r="M4" s="1099"/>
      <c r="N4" s="1099"/>
      <c r="O4" s="1099"/>
      <c r="P4" s="1099"/>
      <c r="Q4" s="626"/>
      <c r="R4" s="1082"/>
      <c r="S4" s="1102"/>
      <c r="T4" s="1102"/>
      <c r="U4" s="1102"/>
      <c r="V4" s="1082"/>
      <c r="W4" s="1082"/>
      <c r="X4" s="626"/>
      <c r="Y4" s="1089"/>
      <c r="Z4" s="1089"/>
      <c r="AA4" s="1089"/>
      <c r="AB4" s="1089"/>
      <c r="AC4" s="1089"/>
      <c r="AD4" s="1089"/>
      <c r="AE4" s="626"/>
      <c r="AF4" s="512" t="str">
        <f>'KI-KD'!$B94</f>
        <v>3.1</v>
      </c>
      <c r="AG4" s="512" t="str">
        <f>'KI-KD'!$B95</f>
        <v>3.2</v>
      </c>
      <c r="AH4" s="512" t="str">
        <f>'KI-KD'!$B96</f>
        <v>3.3</v>
      </c>
      <c r="AI4" s="512" t="str">
        <f>'KI-KD'!$B97</f>
        <v>3.4</v>
      </c>
      <c r="AJ4" s="512">
        <f>'KI-KD'!$B98</f>
        <v>0</v>
      </c>
      <c r="AK4" s="512">
        <f>'KI-KD'!$B99</f>
        <v>0</v>
      </c>
      <c r="AL4" s="512"/>
      <c r="AM4" s="512"/>
      <c r="AN4" s="1045"/>
      <c r="AO4" s="1046"/>
      <c r="AP4" s="295" t="s">
        <v>317</v>
      </c>
      <c r="AQ4" s="296" t="s">
        <v>1</v>
      </c>
      <c r="AR4" s="297" t="s">
        <v>317</v>
      </c>
      <c r="AS4" s="298" t="s">
        <v>1</v>
      </c>
      <c r="AT4" s="1029"/>
      <c r="AU4" s="104"/>
      <c r="AV4" s="299" t="s">
        <v>318</v>
      </c>
      <c r="AW4" s="299" t="s">
        <v>319</v>
      </c>
      <c r="AX4" s="299" t="s">
        <v>320</v>
      </c>
      <c r="AY4" s="299" t="s">
        <v>321</v>
      </c>
      <c r="AZ4" s="300" t="s">
        <v>314</v>
      </c>
      <c r="BA4" s="301"/>
      <c r="BK4" s="108">
        <v>50</v>
      </c>
      <c r="BM4" s="1092"/>
      <c r="BN4" s="1094"/>
      <c r="BO4" s="295" t="s">
        <v>317</v>
      </c>
      <c r="BP4" s="296" t="s">
        <v>1</v>
      </c>
      <c r="BQ4" s="297" t="s">
        <v>317</v>
      </c>
      <c r="BR4" s="298" t="s">
        <v>1</v>
      </c>
      <c r="BS4" s="1028"/>
      <c r="BT4" s="299" t="s">
        <v>318</v>
      </c>
      <c r="BU4" s="299" t="s">
        <v>319</v>
      </c>
      <c r="BV4" s="299" t="s">
        <v>320</v>
      </c>
      <c r="BW4" s="299" t="s">
        <v>321</v>
      </c>
      <c r="BX4" s="300" t="s">
        <v>314</v>
      </c>
      <c r="BY4" s="301"/>
    </row>
    <row r="5" spans="1:78" ht="63.75" customHeight="1">
      <c r="B5" s="109">
        <v>1</v>
      </c>
      <c r="C5" s="110">
        <f>SISWA!B6</f>
        <v>4822</v>
      </c>
      <c r="D5" s="111" t="str">
        <f>SISWA!E6</f>
        <v>Anak 1</v>
      </c>
      <c r="E5" s="613">
        <v>99</v>
      </c>
      <c r="F5" s="613">
        <v>89</v>
      </c>
      <c r="G5" s="613">
        <v>97</v>
      </c>
      <c r="H5" s="613">
        <v>99</v>
      </c>
      <c r="I5" s="730"/>
      <c r="J5" s="730"/>
      <c r="K5" s="731"/>
      <c r="L5" s="731"/>
      <c r="M5" s="731"/>
      <c r="N5" s="731"/>
      <c r="O5" s="730"/>
      <c r="P5" s="730"/>
      <c r="Q5" s="610"/>
      <c r="R5" s="613"/>
      <c r="S5" s="613">
        <v>89</v>
      </c>
      <c r="T5" s="613">
        <v>87</v>
      </c>
      <c r="U5" s="613">
        <v>89</v>
      </c>
      <c r="V5" s="631"/>
      <c r="W5" s="631"/>
      <c r="X5" s="610"/>
      <c r="Y5" s="613">
        <v>99</v>
      </c>
      <c r="Z5" s="613">
        <v>89</v>
      </c>
      <c r="AA5" s="613">
        <v>97</v>
      </c>
      <c r="AB5" s="609"/>
      <c r="AC5" s="609"/>
      <c r="AD5" s="609"/>
      <c r="AE5" s="518"/>
      <c r="AF5" s="607">
        <f>IFERROR(AVERAGE(E5,E5,R5,Y5),"")</f>
        <v>99</v>
      </c>
      <c r="AG5" s="607">
        <f t="shared" ref="AG5:AI5" si="4">IFERROR(AVERAGE(F5,F5,S5,Z5),"")</f>
        <v>89</v>
      </c>
      <c r="AH5" s="607">
        <f t="shared" si="4"/>
        <v>94.5</v>
      </c>
      <c r="AI5" s="607">
        <f t="shared" si="4"/>
        <v>95.666666666666671</v>
      </c>
      <c r="AJ5" s="529"/>
      <c r="AK5" s="528"/>
      <c r="AL5" s="528"/>
      <c r="AM5" s="528"/>
      <c r="AN5" s="302">
        <f t="shared" ref="AN5:AN36" si="5">ROUND((AVERAGE(AF5:AM5)),0)</f>
        <v>95</v>
      </c>
      <c r="AO5" s="303" t="str">
        <f>IF(AN5&gt;KKM!$G$10,"A",IF(AN5&gt;KKM!$H$10,"B",IF(AN5&gt;=KKM!$I$10,"C","D")))</f>
        <v>A</v>
      </c>
      <c r="AP5" s="304">
        <f t="shared" ref="AP5:AP36" si="6">MAX(AF5:AM5)</f>
        <v>99</v>
      </c>
      <c r="AQ5" s="115" t="str">
        <f>IF(AP5&gt;KKM!$G$10," sangat baik ",IF(AP5&gt;KKM!$H$10," baik ",IF(AP5&gt;=KKM!$I$10," cukup baik "," perlu bimbingan ")))</f>
        <v xml:space="preserve"> sangat baik </v>
      </c>
      <c r="AR5" s="524">
        <f t="shared" ref="AR5:AR36" si="7">MIN(AF5:AM5)</f>
        <v>89</v>
      </c>
      <c r="AS5" s="115" t="str">
        <f>IF(AR5&gt;KKM!$G$10," sangat baik ",IF(AR5&gt;KKM!$H$10," baik ",IF(AR5&gt;=KKM!$I$10," cukup baik "," perlu bimbingan ")))</f>
        <v xml:space="preserve"> baik </v>
      </c>
      <c r="AT5" s="301" t="str">
        <f>IFERROR(BA5," ")</f>
        <v>Anak 1 sangat baik  dalam mengetahui gambar dan bentuk tiga dimensi., dan  baik  dalam mengetahui tanda tempo dan tinggi rendah nada.</v>
      </c>
      <c r="AU5" s="306"/>
      <c r="AV5" s="307" t="str">
        <f t="shared" ref="AV5:AV36" si="8">AQ5&amp;" dalam "&amp;INDEX($AF$3:$AM$3,MATCH(AP5,$AF5:$AM5,0))</f>
        <v xml:space="preserve"> sangat baik  dalam mengetahui gambar dan bentuk tiga dimensi.</v>
      </c>
      <c r="AW5" s="307" t="str">
        <f t="shared" ref="AW5:AW36" si="9">AS5&amp;" dalam "&amp;INDEX($AF$3:$AM$3,MATCH(AR5,$AF5:$AM5,0))</f>
        <v xml:space="preserve"> baik  dalam mengetahui tanda tempo dan tinggi rendah nada.</v>
      </c>
      <c r="AX5" s="307" t="str">
        <f>AV5&amp;", dan "&amp;AW5</f>
        <v xml:space="preserve"> sangat baik  dalam mengetahui gambar dan bentuk tiga dimensi., dan  baik  dalam mengetahui tanda tempo dan tinggi rendah nada.</v>
      </c>
      <c r="AY5" s="307" t="str">
        <f>IF(AV5=AW5,AV5," ")</f>
        <v xml:space="preserve"> </v>
      </c>
      <c r="AZ5" s="308" t="str">
        <f>IF(AY5=" ",AX5,AY5)</f>
        <v xml:space="preserve"> sangat baik  dalam mengetahui gambar dan bentuk tiga dimensi., dan  baik  dalam mengetahui tanda tempo dan tinggi rendah nada.</v>
      </c>
      <c r="BA5" s="301" t="str">
        <f t="shared" ref="BA5:BA36" si="10">CONCATENATE(D5,AZ5)</f>
        <v>Anak 1 sangat baik  dalam mengetahui gambar dan bentuk tiga dimensi., dan  baik  dalam mengetahui tanda tempo dan tinggi rendah nada.</v>
      </c>
      <c r="BB5" s="120"/>
      <c r="BJ5" s="408">
        <f>IFERROR(AN5,"")</f>
        <v>95</v>
      </c>
      <c r="BK5" s="408">
        <f>COUNTBLANK(BJ5:BJ54)</f>
        <v>0</v>
      </c>
      <c r="BL5" s="408"/>
      <c r="BM5" s="302">
        <f>ROUND((AVERAGE(R5:W5)),0)</f>
        <v>88</v>
      </c>
      <c r="BN5" s="303" t="str">
        <f>IF(BM5&gt;KKM!$G$10,"A",IF(BM5&gt;KKM!$H$10,"B",IF(BM5&gt;=KKM!$I$10,"C","D")))</f>
        <v>B</v>
      </c>
      <c r="BO5" s="523">
        <f>MAX(R5:W5)</f>
        <v>89</v>
      </c>
      <c r="BP5" s="115" t="str">
        <f>IF(BO5&gt;KKM!$G$10," sangat baik ",IF(BO5&gt;KKM!$H$10," baik ",IF(BO5&gt;=KKM!$I$10," cukup baik "," perlu bimbingan ")))</f>
        <v xml:space="preserve"> baik </v>
      </c>
      <c r="BQ5" s="524">
        <f>MIN(R5:W5)</f>
        <v>87</v>
      </c>
      <c r="BR5" s="115" t="str">
        <f>IF(BQ5&gt;KKM!$G$10," sangat baik ",IF(BQ5&gt;KKM!$H$10," baik ",IF(BQ5&gt;=KKM!$I$10," cukup baik "," perlu bimbingan ")))</f>
        <v xml:space="preserve"> baik </v>
      </c>
      <c r="BS5" s="301" t="str">
        <f>IFERROR(BY5," ")</f>
        <v>Anak 1 baik  dalam mengetahui tanda tempo dan tinggi rendah nada., dan  baik  dalam mengetahui gerak tari kreasi daerah.</v>
      </c>
      <c r="BT5" s="307" t="str">
        <f>BP5&amp;" dalam "&amp;INDEX($AF$3:$AL$3,MATCH(BO5,$R5:$W5,0))</f>
        <v xml:space="preserve"> baik  dalam mengetahui tanda tempo dan tinggi rendah nada.</v>
      </c>
      <c r="BU5" s="307" t="str">
        <f>BR5&amp;" dalam "&amp;INDEX($AF$3:$AL$3,MATCH(BQ5,$R5:$W5,0))</f>
        <v xml:space="preserve"> baik  dalam mengetahui gerak tari kreasi daerah.</v>
      </c>
      <c r="BV5" s="307" t="str">
        <f>BT5&amp;", dan "&amp;BU5</f>
        <v xml:space="preserve"> baik  dalam mengetahui tanda tempo dan tinggi rendah nada., dan  baik  dalam mengetahui gerak tari kreasi daerah.</v>
      </c>
      <c r="BW5" s="307" t="str">
        <f>IF(BT5=BU5,BT5," ")</f>
        <v xml:space="preserve"> </v>
      </c>
      <c r="BX5" s="308" t="str">
        <f>IF(BW5=" ",BV5,BW5)</f>
        <v xml:space="preserve"> baik  dalam mengetahui tanda tempo dan tinggi rendah nada., dan  baik  dalam mengetahui gerak tari kreasi daerah.</v>
      </c>
      <c r="BY5" s="301" t="str">
        <f>CONCATENATE(D5,BX5)</f>
        <v>Anak 1 baik  dalam mengetahui tanda tempo dan tinggi rendah nada., dan  baik  dalam mengetahui gerak tari kreasi daerah.</v>
      </c>
      <c r="BZ5" s="408"/>
    </row>
    <row r="6" spans="1:78" ht="63.75" customHeight="1">
      <c r="B6" s="109">
        <v>2</v>
      </c>
      <c r="C6" s="110">
        <f>SISWA!B7</f>
        <v>0</v>
      </c>
      <c r="D6" s="111" t="str">
        <f>SISWA!E7</f>
        <v>Anak 2</v>
      </c>
      <c r="E6" s="613">
        <v>87</v>
      </c>
      <c r="F6" s="613">
        <v>89</v>
      </c>
      <c r="G6" s="613">
        <v>97</v>
      </c>
      <c r="H6" s="613">
        <v>99</v>
      </c>
      <c r="I6" s="730"/>
      <c r="J6" s="730"/>
      <c r="K6" s="731"/>
      <c r="L6" s="731"/>
      <c r="M6" s="731"/>
      <c r="N6" s="731"/>
      <c r="O6" s="730"/>
      <c r="P6" s="730"/>
      <c r="Q6" s="610"/>
      <c r="R6" s="613"/>
      <c r="S6" s="613">
        <v>97</v>
      </c>
      <c r="T6" s="613">
        <v>89</v>
      </c>
      <c r="U6" s="613">
        <v>97</v>
      </c>
      <c r="V6" s="631"/>
      <c r="W6" s="631"/>
      <c r="X6" s="610"/>
      <c r="Y6" s="613">
        <v>87</v>
      </c>
      <c r="Z6" s="613">
        <v>89</v>
      </c>
      <c r="AA6" s="613">
        <v>97</v>
      </c>
      <c r="AB6" s="609"/>
      <c r="AC6" s="609"/>
      <c r="AD6" s="606"/>
      <c r="AE6" s="518"/>
      <c r="AF6" s="607">
        <f t="shared" ref="AF6:AF54" si="11">IFERROR(AVERAGE(E6,E6,R6,Y6),"")</f>
        <v>87</v>
      </c>
      <c r="AG6" s="607">
        <f t="shared" ref="AG6:AG54" si="12">IFERROR(AVERAGE(F6,F6,S6,Z6),"")</f>
        <v>91</v>
      </c>
      <c r="AH6" s="607">
        <f t="shared" ref="AH6:AH54" si="13">IFERROR(AVERAGE(G6,G6,T6,AA6),"")</f>
        <v>95</v>
      </c>
      <c r="AI6" s="607">
        <f t="shared" ref="AI6:AI54" si="14">IFERROR(AVERAGE(H6,H6,U6,AB6),"")</f>
        <v>98.333333333333329</v>
      </c>
      <c r="AJ6" s="529"/>
      <c r="AK6" s="528"/>
      <c r="AL6" s="528"/>
      <c r="AM6" s="528"/>
      <c r="AN6" s="302">
        <f t="shared" si="5"/>
        <v>93</v>
      </c>
      <c r="AO6" s="303" t="str">
        <f>IF(AN6&gt;KKM!$G$10,"A",IF(AN6&gt;KKM!$H$10,"B",IF(AN6&gt;=KKM!$I$10,"C","D")))</f>
        <v>A</v>
      </c>
      <c r="AP6" s="523">
        <f t="shared" si="6"/>
        <v>98.333333333333329</v>
      </c>
      <c r="AQ6" s="115" t="str">
        <f>IF(AP6&gt;KKM!$G$10," sangat baik ",IF(AP6&gt;KKM!$H$10," baik ",IF(AP6&gt;=KKM!$I$10," cukup baik "," perlu bimbingan ")))</f>
        <v xml:space="preserve"> sangat baik </v>
      </c>
      <c r="AR6" s="524">
        <f t="shared" si="7"/>
        <v>87</v>
      </c>
      <c r="AS6" s="115" t="str">
        <f>IF(AR6&gt;KKM!$G$10," sangat baik ",IF(AR6&gt;KKM!$H$10," baik ",IF(AR6&gt;=KKM!$I$10," cukup baik "," perlu bimbingan ")))</f>
        <v xml:space="preserve"> baik </v>
      </c>
      <c r="AT6" s="301" t="str">
        <f t="shared" ref="AT6:AT54" si="15">IFERROR(BA6," ")</f>
        <v>Anak 2 sangat baik  dalam mengetahui karya seni rupa teknik tempel., dan  baik  dalam mengetahui gambar dan bentuk tiga dimensi.</v>
      </c>
      <c r="AU6" s="306"/>
      <c r="AV6" s="307" t="str">
        <f t="shared" si="8"/>
        <v xml:space="preserve"> sangat baik  dalam mengetahui karya seni rupa teknik tempel.</v>
      </c>
      <c r="AW6" s="307" t="str">
        <f t="shared" si="9"/>
        <v xml:space="preserve"> baik  dalam mengetahui gambar dan bentuk tiga dimensi.</v>
      </c>
      <c r="AX6" s="307" t="str">
        <f t="shared" ref="AX6:AX54" si="16">AV6&amp;", dan "&amp;AW6</f>
        <v xml:space="preserve"> sangat baik  dalam mengetahui karya seni rupa teknik tempel., dan  baik  dalam mengetahui gambar dan bentuk tiga dimensi.</v>
      </c>
      <c r="AY6" s="307" t="str">
        <f t="shared" ref="AY6:AY54" si="17">IF(AV6=AW6,AV6," ")</f>
        <v xml:space="preserve"> </v>
      </c>
      <c r="AZ6" s="308" t="str">
        <f t="shared" ref="AZ6:AZ54" si="18">IF(AY6=" ",AX6,AY6)</f>
        <v xml:space="preserve"> sangat baik  dalam mengetahui karya seni rupa teknik tempel., dan  baik  dalam mengetahui gambar dan bentuk tiga dimensi.</v>
      </c>
      <c r="BA6" s="301" t="str">
        <f t="shared" si="10"/>
        <v>Anak 2 sangat baik  dalam mengetahui karya seni rupa teknik tempel., dan  baik  dalam mengetahui gambar dan bentuk tiga dimensi.</v>
      </c>
      <c r="BB6" s="120"/>
      <c r="BJ6" s="408">
        <f t="shared" ref="BJ6:BJ54" si="19">IFERROR(AN6,"")</f>
        <v>93</v>
      </c>
      <c r="BK6" s="442">
        <f>IFERROR(BK3/BK2,"0%")</f>
        <v>1</v>
      </c>
      <c r="BL6" s="442"/>
      <c r="BM6" s="302">
        <f t="shared" ref="BM6:BM54" si="20">ROUND((AVERAGE(R6:W6)),0)</f>
        <v>94</v>
      </c>
      <c r="BN6" s="303" t="str">
        <f>IF(BM6&gt;KKM!$G$10,"A",IF(BM6&gt;KKM!$H$10,"B",IF(BM6&gt;=KKM!$I$10,"C","D")))</f>
        <v>A</v>
      </c>
      <c r="BO6" s="523">
        <f t="shared" ref="BO6:BO54" si="21">MAX(R6:W6)</f>
        <v>97</v>
      </c>
      <c r="BP6" s="115" t="str">
        <f>IF(BO6&gt;KKM!$G$10," sangat baik ",IF(BO6&gt;KKM!$H$10," baik ",IF(BO6&gt;=KKM!$I$10," cukup baik "," perlu bimbingan ")))</f>
        <v xml:space="preserve"> sangat baik </v>
      </c>
      <c r="BQ6" s="524">
        <f t="shared" ref="BQ6:BQ54" si="22">MIN(R6:W6)</f>
        <v>89</v>
      </c>
      <c r="BR6" s="115" t="str">
        <f>IF(BQ6&gt;KKM!$G$10," sangat baik ",IF(BQ6&gt;KKM!$H$10," baik ",IF(BQ6&gt;=KKM!$I$10," cukup baik "," perlu bimbingan ")))</f>
        <v xml:space="preserve"> baik </v>
      </c>
      <c r="BS6" s="301" t="str">
        <f>IFERROR(BY6," ")</f>
        <v>Anak 2 sangat baik  dalam mengetahui tanda tempo dan tinggi rendah nada., dan  baik  dalam mengetahui gerak tari kreasi daerah.</v>
      </c>
      <c r="BT6" s="307" t="str">
        <f t="shared" ref="BT6:BT54" si="23">BP6&amp;" dalam "&amp;INDEX($AF$3:$AL$3,MATCH(BO6,$R6:$W6,0))</f>
        <v xml:space="preserve"> sangat baik  dalam mengetahui tanda tempo dan tinggi rendah nada.</v>
      </c>
      <c r="BU6" s="307" t="str">
        <f t="shared" ref="BU6:BU54" si="24">BR6&amp;" dalam "&amp;INDEX($AF$3:$AL$3,MATCH(BQ6,$R6:$W6,0))</f>
        <v xml:space="preserve"> baik  dalam mengetahui gerak tari kreasi daerah.</v>
      </c>
      <c r="BV6" s="307" t="str">
        <f t="shared" ref="BV6:BV54" si="25">BT6&amp;", dan "&amp;BU6</f>
        <v xml:space="preserve"> sangat baik  dalam mengetahui tanda tempo dan tinggi rendah nada., dan  baik  dalam mengetahui gerak tari kreasi daerah.</v>
      </c>
      <c r="BW6" s="307" t="str">
        <f t="shared" ref="BW6:BW54" si="26">IF(BT6=BU6,BT6," ")</f>
        <v xml:space="preserve"> </v>
      </c>
      <c r="BX6" s="308" t="str">
        <f t="shared" ref="BX6:BX54" si="27">IF(BW6=" ",BV6,BW6)</f>
        <v xml:space="preserve"> sangat baik  dalam mengetahui tanda tempo dan tinggi rendah nada., dan  baik  dalam mengetahui gerak tari kreasi daerah.</v>
      </c>
      <c r="BY6" s="301" t="str">
        <f t="shared" ref="BY6:BY54" si="28">CONCATENATE(D6,BX6)</f>
        <v>Anak 2 sangat baik  dalam mengetahui tanda tempo dan tinggi rendah nada., dan  baik  dalam mengetahui gerak tari kreasi daerah.</v>
      </c>
      <c r="BZ6" s="442"/>
    </row>
    <row r="7" spans="1:78" ht="63.75" customHeight="1">
      <c r="B7" s="109">
        <v>3</v>
      </c>
      <c r="C7" s="110">
        <f>SISWA!B8</f>
        <v>0</v>
      </c>
      <c r="D7" s="111" t="str">
        <f>SISWA!E8</f>
        <v>Anak 3</v>
      </c>
      <c r="E7" s="613">
        <v>87</v>
      </c>
      <c r="F7" s="613">
        <v>88</v>
      </c>
      <c r="G7" s="613">
        <v>98</v>
      </c>
      <c r="H7" s="613">
        <v>99</v>
      </c>
      <c r="I7" s="730"/>
      <c r="J7" s="730"/>
      <c r="K7" s="731"/>
      <c r="L7" s="731"/>
      <c r="M7" s="731"/>
      <c r="N7" s="731"/>
      <c r="O7" s="730"/>
      <c r="P7" s="730"/>
      <c r="Q7" s="610"/>
      <c r="R7" s="613"/>
      <c r="S7" s="613">
        <v>97</v>
      </c>
      <c r="T7" s="613">
        <v>89</v>
      </c>
      <c r="U7" s="613">
        <v>97</v>
      </c>
      <c r="V7" s="631"/>
      <c r="W7" s="631"/>
      <c r="X7" s="610"/>
      <c r="Y7" s="613">
        <v>87</v>
      </c>
      <c r="Z7" s="613">
        <v>88</v>
      </c>
      <c r="AA7" s="613">
        <v>98</v>
      </c>
      <c r="AB7" s="609"/>
      <c r="AC7" s="609"/>
      <c r="AD7" s="606"/>
      <c r="AE7" s="518"/>
      <c r="AF7" s="607">
        <f t="shared" si="11"/>
        <v>87</v>
      </c>
      <c r="AG7" s="607">
        <f t="shared" si="12"/>
        <v>90.25</v>
      </c>
      <c r="AH7" s="607">
        <f t="shared" si="13"/>
        <v>95.75</v>
      </c>
      <c r="AI7" s="607">
        <f t="shared" si="14"/>
        <v>98.333333333333329</v>
      </c>
      <c r="AJ7" s="529"/>
      <c r="AK7" s="528"/>
      <c r="AL7" s="528"/>
      <c r="AM7" s="528"/>
      <c r="AN7" s="302">
        <f t="shared" si="5"/>
        <v>93</v>
      </c>
      <c r="AO7" s="303" t="str">
        <f>IF(AN7&gt;KKM!$G$10,"A",IF(AN7&gt;KKM!$H$10,"B",IF(AN7&gt;=KKM!$I$10,"C","D")))</f>
        <v>A</v>
      </c>
      <c r="AP7" s="523">
        <f t="shared" si="6"/>
        <v>98.333333333333329</v>
      </c>
      <c r="AQ7" s="115" t="str">
        <f>IF(AP7&gt;KKM!$G$10," sangat baik ",IF(AP7&gt;KKM!$H$10," baik ",IF(AP7&gt;=KKM!$I$10," cukup baik "," perlu bimbingan ")))</f>
        <v xml:space="preserve"> sangat baik </v>
      </c>
      <c r="AR7" s="524">
        <f t="shared" si="7"/>
        <v>87</v>
      </c>
      <c r="AS7" s="115" t="str">
        <f>IF(AR7&gt;KKM!$G$10," sangat baik ",IF(AR7&gt;KKM!$H$10," baik ",IF(AR7&gt;=KKM!$I$10," cukup baik "," perlu bimbingan ")))</f>
        <v xml:space="preserve"> baik </v>
      </c>
      <c r="AT7" s="301" t="str">
        <f t="shared" si="15"/>
        <v>Anak 3 sangat baik  dalam mengetahui karya seni rupa teknik tempel., dan  baik  dalam mengetahui gambar dan bentuk tiga dimensi.</v>
      </c>
      <c r="AU7" s="306"/>
      <c r="AV7" s="307" t="str">
        <f t="shared" si="8"/>
        <v xml:space="preserve"> sangat baik  dalam mengetahui karya seni rupa teknik tempel.</v>
      </c>
      <c r="AW7" s="307" t="str">
        <f t="shared" si="9"/>
        <v xml:space="preserve"> baik  dalam mengetahui gambar dan bentuk tiga dimensi.</v>
      </c>
      <c r="AX7" s="307" t="str">
        <f t="shared" si="16"/>
        <v xml:space="preserve"> sangat baik  dalam mengetahui karya seni rupa teknik tempel., dan  baik  dalam mengetahui gambar dan bentuk tiga dimensi.</v>
      </c>
      <c r="AY7" s="307" t="str">
        <f t="shared" si="17"/>
        <v xml:space="preserve"> </v>
      </c>
      <c r="AZ7" s="308" t="str">
        <f t="shared" si="18"/>
        <v xml:space="preserve"> sangat baik  dalam mengetahui karya seni rupa teknik tempel., dan  baik  dalam mengetahui gambar dan bentuk tiga dimensi.</v>
      </c>
      <c r="BA7" s="301" t="str">
        <f t="shared" si="10"/>
        <v>Anak 3 sangat baik  dalam mengetahui karya seni rupa teknik tempel., dan  baik  dalam mengetahui gambar dan bentuk tiga dimensi.</v>
      </c>
      <c r="BB7" s="120"/>
      <c r="BJ7" s="408">
        <f t="shared" si="19"/>
        <v>93</v>
      </c>
      <c r="BM7" s="302">
        <f t="shared" si="20"/>
        <v>94</v>
      </c>
      <c r="BN7" s="303" t="str">
        <f>IF(BM7&gt;KKM!$G$10,"A",IF(BM7&gt;KKM!$H$10,"B",IF(BM7&gt;=KKM!$I$10,"C","D")))</f>
        <v>A</v>
      </c>
      <c r="BO7" s="523">
        <f t="shared" si="21"/>
        <v>97</v>
      </c>
      <c r="BP7" s="115" t="str">
        <f>IF(BO7&gt;KKM!$G$10," sangat baik ",IF(BO7&gt;KKM!$H$10," baik ",IF(BO7&gt;=KKM!$I$10," cukup baik "," perlu bimbingan ")))</f>
        <v xml:space="preserve"> sangat baik </v>
      </c>
      <c r="BQ7" s="524">
        <f t="shared" si="22"/>
        <v>89</v>
      </c>
      <c r="BR7" s="115" t="str">
        <f>IF(BQ7&gt;KKM!$G$10," sangat baik ",IF(BQ7&gt;KKM!$H$10," baik ",IF(BQ7&gt;=KKM!$I$10," cukup baik "," perlu bimbingan ")))</f>
        <v xml:space="preserve"> baik </v>
      </c>
      <c r="BS7" s="301" t="str">
        <f t="shared" ref="BS7:BS54" si="29">IFERROR(BY7," ")</f>
        <v>Anak 3 sangat baik  dalam mengetahui tanda tempo dan tinggi rendah nada., dan  baik  dalam mengetahui gerak tari kreasi daerah.</v>
      </c>
      <c r="BT7" s="307" t="str">
        <f t="shared" si="23"/>
        <v xml:space="preserve"> sangat baik  dalam mengetahui tanda tempo dan tinggi rendah nada.</v>
      </c>
      <c r="BU7" s="307" t="str">
        <f t="shared" si="24"/>
        <v xml:space="preserve"> baik  dalam mengetahui gerak tari kreasi daerah.</v>
      </c>
      <c r="BV7" s="307" t="str">
        <f t="shared" si="25"/>
        <v xml:space="preserve"> sangat baik  dalam mengetahui tanda tempo dan tinggi rendah nada., dan  baik  dalam mengetahui gerak tari kreasi daerah.</v>
      </c>
      <c r="BW7" s="307" t="str">
        <f t="shared" si="26"/>
        <v xml:space="preserve"> </v>
      </c>
      <c r="BX7" s="308" t="str">
        <f t="shared" si="27"/>
        <v xml:space="preserve"> sangat baik  dalam mengetahui tanda tempo dan tinggi rendah nada., dan  baik  dalam mengetahui gerak tari kreasi daerah.</v>
      </c>
      <c r="BY7" s="301" t="str">
        <f t="shared" si="28"/>
        <v>Anak 3 sangat baik  dalam mengetahui tanda tempo dan tinggi rendah nada., dan  baik  dalam mengetahui gerak tari kreasi daerah.</v>
      </c>
    </row>
    <row r="8" spans="1:78" ht="63.75" customHeight="1">
      <c r="B8" s="109">
        <v>4</v>
      </c>
      <c r="C8" s="110">
        <f>SISWA!B9</f>
        <v>0</v>
      </c>
      <c r="D8" s="111" t="str">
        <f>SISWA!E9</f>
        <v>Anak 4</v>
      </c>
      <c r="E8" s="631">
        <v>99</v>
      </c>
      <c r="F8" s="631">
        <v>99</v>
      </c>
      <c r="G8" s="631">
        <v>99</v>
      </c>
      <c r="H8" s="613">
        <v>99</v>
      </c>
      <c r="I8" s="730"/>
      <c r="J8" s="730"/>
      <c r="K8" s="731"/>
      <c r="L8" s="731"/>
      <c r="M8" s="731"/>
      <c r="N8" s="731"/>
      <c r="O8" s="730"/>
      <c r="P8" s="730"/>
      <c r="Q8" s="610"/>
      <c r="R8" s="613"/>
      <c r="S8" s="613">
        <v>98</v>
      </c>
      <c r="T8" s="613">
        <v>88</v>
      </c>
      <c r="U8" s="613">
        <v>98</v>
      </c>
      <c r="V8" s="631"/>
      <c r="W8" s="631"/>
      <c r="X8" s="610"/>
      <c r="Y8" s="631">
        <v>99</v>
      </c>
      <c r="Z8" s="631">
        <v>99</v>
      </c>
      <c r="AA8" s="631">
        <v>99</v>
      </c>
      <c r="AB8" s="609"/>
      <c r="AC8" s="609"/>
      <c r="AD8" s="606"/>
      <c r="AE8" s="518"/>
      <c r="AF8" s="607">
        <f t="shared" si="11"/>
        <v>99</v>
      </c>
      <c r="AG8" s="607">
        <f t="shared" si="12"/>
        <v>98.75</v>
      </c>
      <c r="AH8" s="607">
        <f t="shared" si="13"/>
        <v>96.25</v>
      </c>
      <c r="AI8" s="607">
        <f t="shared" si="14"/>
        <v>98.666666666666671</v>
      </c>
      <c r="AJ8" s="529"/>
      <c r="AK8" s="528"/>
      <c r="AL8" s="528"/>
      <c r="AM8" s="528"/>
      <c r="AN8" s="302">
        <f t="shared" si="5"/>
        <v>98</v>
      </c>
      <c r="AO8" s="303" t="str">
        <f>IF(AN8&gt;KKM!$G$10,"A",IF(AN8&gt;KKM!$H$10,"B",IF(AN8&gt;=KKM!$I$10,"C","D")))</f>
        <v>A</v>
      </c>
      <c r="AP8" s="523">
        <f t="shared" si="6"/>
        <v>99</v>
      </c>
      <c r="AQ8" s="115" t="str">
        <f>IF(AP8&gt;KKM!$G$10," sangat baik ",IF(AP8&gt;KKM!$H$10," baik ",IF(AP8&gt;=KKM!$I$10," cukup baik "," perlu bimbingan ")))</f>
        <v xml:space="preserve"> sangat baik </v>
      </c>
      <c r="AR8" s="524">
        <f t="shared" si="7"/>
        <v>96.25</v>
      </c>
      <c r="AS8" s="115" t="str">
        <f>IF(AR8&gt;KKM!$G$10," sangat baik ",IF(AR8&gt;KKM!$H$10," baik ",IF(AR8&gt;=KKM!$I$10," cukup baik "," perlu bimbingan ")))</f>
        <v xml:space="preserve"> sangat baik </v>
      </c>
      <c r="AT8" s="301" t="str">
        <f t="shared" si="15"/>
        <v>Anak 4 sangat baik  dalam mengetahui gambar dan bentuk tiga dimensi., dan  sangat baik  dalam mengetahui gerak tari kreasi daerah.</v>
      </c>
      <c r="AU8" s="306"/>
      <c r="AV8" s="307" t="str">
        <f t="shared" si="8"/>
        <v xml:space="preserve"> sangat baik  dalam mengetahui gambar dan bentuk tiga dimensi.</v>
      </c>
      <c r="AW8" s="307" t="str">
        <f t="shared" si="9"/>
        <v xml:space="preserve"> sangat baik  dalam mengetahui gerak tari kreasi daerah.</v>
      </c>
      <c r="AX8" s="307" t="str">
        <f t="shared" si="16"/>
        <v xml:space="preserve"> sangat baik  dalam mengetahui gambar dan bentuk tiga dimensi., dan  sangat baik  dalam mengetahui gerak tari kreasi daerah.</v>
      </c>
      <c r="AY8" s="307" t="str">
        <f t="shared" si="17"/>
        <v xml:space="preserve"> </v>
      </c>
      <c r="AZ8" s="308" t="str">
        <f t="shared" si="18"/>
        <v xml:space="preserve"> sangat baik  dalam mengetahui gambar dan bentuk tiga dimensi., dan  sangat baik  dalam mengetahui gerak tari kreasi daerah.</v>
      </c>
      <c r="BA8" s="301" t="str">
        <f t="shared" si="10"/>
        <v>Anak 4 sangat baik  dalam mengetahui gambar dan bentuk tiga dimensi., dan  sangat baik  dalam mengetahui gerak tari kreasi daerah.</v>
      </c>
      <c r="BB8" s="120"/>
      <c r="BJ8" s="408">
        <f t="shared" si="19"/>
        <v>98</v>
      </c>
      <c r="BM8" s="302">
        <f t="shared" si="20"/>
        <v>95</v>
      </c>
      <c r="BN8" s="303" t="str">
        <f>IF(BM8&gt;KKM!$G$10,"A",IF(BM8&gt;KKM!$H$10,"B",IF(BM8&gt;=KKM!$I$10,"C","D")))</f>
        <v>A</v>
      </c>
      <c r="BO8" s="523">
        <f t="shared" si="21"/>
        <v>98</v>
      </c>
      <c r="BP8" s="115" t="str">
        <f>IF(BO8&gt;KKM!$G$10," sangat baik ",IF(BO8&gt;KKM!$H$10," baik ",IF(BO8&gt;=KKM!$I$10," cukup baik "," perlu bimbingan ")))</f>
        <v xml:space="preserve"> sangat baik </v>
      </c>
      <c r="BQ8" s="524">
        <f t="shared" si="22"/>
        <v>88</v>
      </c>
      <c r="BR8" s="115" t="str">
        <f>IF(BQ8&gt;KKM!$G$10," sangat baik ",IF(BQ8&gt;KKM!$H$10," baik ",IF(BQ8&gt;=KKM!$I$10," cukup baik "," perlu bimbingan ")))</f>
        <v xml:space="preserve"> baik </v>
      </c>
      <c r="BS8" s="301" t="str">
        <f t="shared" si="29"/>
        <v>Anak 4 sangat baik  dalam mengetahui tanda tempo dan tinggi rendah nada., dan  baik  dalam mengetahui gerak tari kreasi daerah.</v>
      </c>
      <c r="BT8" s="307" t="str">
        <f t="shared" si="23"/>
        <v xml:space="preserve"> sangat baik  dalam mengetahui tanda tempo dan tinggi rendah nada.</v>
      </c>
      <c r="BU8" s="307" t="str">
        <f t="shared" si="24"/>
        <v xml:space="preserve"> baik  dalam mengetahui gerak tari kreasi daerah.</v>
      </c>
      <c r="BV8" s="307" t="str">
        <f t="shared" si="25"/>
        <v xml:space="preserve"> sangat baik  dalam mengetahui tanda tempo dan tinggi rendah nada., dan  baik  dalam mengetahui gerak tari kreasi daerah.</v>
      </c>
      <c r="BW8" s="307" t="str">
        <f t="shared" si="26"/>
        <v xml:space="preserve"> </v>
      </c>
      <c r="BX8" s="308" t="str">
        <f t="shared" si="27"/>
        <v xml:space="preserve"> sangat baik  dalam mengetahui tanda tempo dan tinggi rendah nada., dan  baik  dalam mengetahui gerak tari kreasi daerah.</v>
      </c>
      <c r="BY8" s="301" t="str">
        <f t="shared" si="28"/>
        <v>Anak 4 sangat baik  dalam mengetahui tanda tempo dan tinggi rendah nada., dan  baik  dalam mengetahui gerak tari kreasi daerah.</v>
      </c>
    </row>
    <row r="9" spans="1:78" ht="63.75" customHeight="1">
      <c r="B9" s="109">
        <v>5</v>
      </c>
      <c r="C9" s="110">
        <f>SISWA!B10</f>
        <v>0</v>
      </c>
      <c r="D9" s="111" t="str">
        <f>SISWA!E10</f>
        <v>Anak 5</v>
      </c>
      <c r="E9" s="631">
        <v>99</v>
      </c>
      <c r="F9" s="631">
        <v>99</v>
      </c>
      <c r="G9" s="631">
        <v>99</v>
      </c>
      <c r="H9" s="613">
        <v>99</v>
      </c>
      <c r="I9" s="730"/>
      <c r="J9" s="730"/>
      <c r="K9" s="731"/>
      <c r="L9" s="731"/>
      <c r="M9" s="731"/>
      <c r="N9" s="731"/>
      <c r="O9" s="730"/>
      <c r="P9" s="730"/>
      <c r="Q9" s="610"/>
      <c r="R9" s="631"/>
      <c r="S9" s="631">
        <v>99</v>
      </c>
      <c r="T9" s="631">
        <v>99</v>
      </c>
      <c r="U9" s="631">
        <v>99</v>
      </c>
      <c r="V9" s="631"/>
      <c r="W9" s="631"/>
      <c r="X9" s="610"/>
      <c r="Y9" s="631">
        <v>99</v>
      </c>
      <c r="Z9" s="631">
        <v>99</v>
      </c>
      <c r="AA9" s="631">
        <v>99</v>
      </c>
      <c r="AB9" s="609"/>
      <c r="AC9" s="609"/>
      <c r="AD9" s="606"/>
      <c r="AE9" s="518"/>
      <c r="AF9" s="607">
        <f t="shared" si="11"/>
        <v>99</v>
      </c>
      <c r="AG9" s="607">
        <f t="shared" si="12"/>
        <v>99</v>
      </c>
      <c r="AH9" s="607">
        <f t="shared" si="13"/>
        <v>99</v>
      </c>
      <c r="AI9" s="607">
        <f t="shared" si="14"/>
        <v>99</v>
      </c>
      <c r="AJ9" s="529"/>
      <c r="AK9" s="528"/>
      <c r="AL9" s="528"/>
      <c r="AM9" s="528"/>
      <c r="AN9" s="302">
        <f t="shared" si="5"/>
        <v>99</v>
      </c>
      <c r="AO9" s="303" t="str">
        <f>IF(AN9&gt;KKM!$G$10,"A",IF(AN9&gt;KKM!$H$10,"B",IF(AN9&gt;=KKM!$I$10,"C","D")))</f>
        <v>A</v>
      </c>
      <c r="AP9" s="523">
        <f t="shared" si="6"/>
        <v>99</v>
      </c>
      <c r="AQ9" s="115" t="str">
        <f>IF(AP9&gt;KKM!$G$10," sangat baik ",IF(AP9&gt;KKM!$H$10," baik ",IF(AP9&gt;=KKM!$I$10," cukup baik "," perlu bimbingan ")))</f>
        <v xml:space="preserve"> sangat baik </v>
      </c>
      <c r="AR9" s="524">
        <f t="shared" si="7"/>
        <v>99</v>
      </c>
      <c r="AS9" s="115" t="str">
        <f>IF(AR9&gt;KKM!$G$10," sangat baik ",IF(AR9&gt;KKM!$H$10," baik ",IF(AR9&gt;=KKM!$I$10," cukup baik "," perlu bimbingan ")))</f>
        <v xml:space="preserve"> sangat baik </v>
      </c>
      <c r="AT9" s="301" t="str">
        <f t="shared" si="15"/>
        <v>Anak 5 sangat baik  dalam mengetahui gambar dan bentuk tiga dimensi.</v>
      </c>
      <c r="AU9" s="306"/>
      <c r="AV9" s="307" t="str">
        <f t="shared" si="8"/>
        <v xml:space="preserve"> sangat baik  dalam mengetahui gambar dan bentuk tiga dimensi.</v>
      </c>
      <c r="AW9" s="307" t="str">
        <f t="shared" si="9"/>
        <v xml:space="preserve"> sangat baik  dalam mengetahui gambar dan bentuk tiga dimensi.</v>
      </c>
      <c r="AX9" s="307" t="str">
        <f t="shared" si="16"/>
        <v xml:space="preserve"> sangat baik  dalam mengetahui gambar dan bentuk tiga dimensi., dan  sangat baik  dalam mengetahui gambar dan bentuk tiga dimensi.</v>
      </c>
      <c r="AY9" s="307" t="str">
        <f t="shared" si="17"/>
        <v xml:space="preserve"> sangat baik  dalam mengetahui gambar dan bentuk tiga dimensi.</v>
      </c>
      <c r="AZ9" s="308" t="str">
        <f t="shared" si="18"/>
        <v xml:space="preserve"> sangat baik  dalam mengetahui gambar dan bentuk tiga dimensi.</v>
      </c>
      <c r="BA9" s="301" t="str">
        <f t="shared" si="10"/>
        <v>Anak 5 sangat baik  dalam mengetahui gambar dan bentuk tiga dimensi.</v>
      </c>
      <c r="BB9" s="120"/>
      <c r="BJ9" s="408">
        <f t="shared" si="19"/>
        <v>99</v>
      </c>
      <c r="BM9" s="302">
        <f t="shared" si="20"/>
        <v>99</v>
      </c>
      <c r="BN9" s="303" t="str">
        <f>IF(BM9&gt;KKM!$G$10,"A",IF(BM9&gt;KKM!$H$10,"B",IF(BM9&gt;=KKM!$I$10,"C","D")))</f>
        <v>A</v>
      </c>
      <c r="BO9" s="523">
        <f t="shared" si="21"/>
        <v>99</v>
      </c>
      <c r="BP9" s="115" t="str">
        <f>IF(BO9&gt;KKM!$G$10," sangat baik ",IF(BO9&gt;KKM!$H$10," baik ",IF(BO9&gt;=KKM!$I$10," cukup baik "," perlu bimbingan ")))</f>
        <v xml:space="preserve"> sangat baik </v>
      </c>
      <c r="BQ9" s="524">
        <f t="shared" si="22"/>
        <v>99</v>
      </c>
      <c r="BR9" s="115" t="str">
        <f>IF(BQ9&gt;KKM!$G$10," sangat baik ",IF(BQ9&gt;KKM!$H$10," baik ",IF(BQ9&gt;=KKM!$I$10," cukup baik "," perlu bimbingan ")))</f>
        <v xml:space="preserve"> sangat baik </v>
      </c>
      <c r="BS9" s="301" t="str">
        <f t="shared" si="29"/>
        <v>Anak 5 sangat baik  dalam mengetahui tanda tempo dan tinggi rendah nada.</v>
      </c>
      <c r="BT9" s="307" t="str">
        <f t="shared" si="23"/>
        <v xml:space="preserve"> sangat baik  dalam mengetahui tanda tempo dan tinggi rendah nada.</v>
      </c>
      <c r="BU9" s="307" t="str">
        <f t="shared" si="24"/>
        <v xml:space="preserve"> sangat baik  dalam mengetahui tanda tempo dan tinggi rendah nada.</v>
      </c>
      <c r="BV9" s="307" t="str">
        <f t="shared" si="25"/>
        <v xml:space="preserve"> sangat baik  dalam mengetahui tanda tempo dan tinggi rendah nada., dan  sangat baik  dalam mengetahui tanda tempo dan tinggi rendah nada.</v>
      </c>
      <c r="BW9" s="307" t="str">
        <f t="shared" si="26"/>
        <v xml:space="preserve"> sangat baik  dalam mengetahui tanda tempo dan tinggi rendah nada.</v>
      </c>
      <c r="BX9" s="308" t="str">
        <f t="shared" si="27"/>
        <v xml:space="preserve"> sangat baik  dalam mengetahui tanda tempo dan tinggi rendah nada.</v>
      </c>
      <c r="BY9" s="301" t="str">
        <f t="shared" si="28"/>
        <v>Anak 5 sangat baik  dalam mengetahui tanda tempo dan tinggi rendah nada.</v>
      </c>
    </row>
    <row r="10" spans="1:78" ht="63.75" customHeight="1">
      <c r="B10" s="109">
        <v>6</v>
      </c>
      <c r="C10" s="110">
        <f>SISWA!B11</f>
        <v>0</v>
      </c>
      <c r="D10" s="111" t="str">
        <f>SISWA!E11</f>
        <v>Anak 6</v>
      </c>
      <c r="E10" s="631">
        <v>99</v>
      </c>
      <c r="F10" s="631">
        <v>99</v>
      </c>
      <c r="G10" s="631">
        <v>99</v>
      </c>
      <c r="H10" s="613">
        <v>99</v>
      </c>
      <c r="I10" s="730"/>
      <c r="J10" s="730"/>
      <c r="K10" s="731"/>
      <c r="L10" s="731"/>
      <c r="M10" s="731"/>
      <c r="N10" s="731"/>
      <c r="O10" s="730"/>
      <c r="P10" s="730"/>
      <c r="Q10" s="610"/>
      <c r="R10" s="631"/>
      <c r="S10" s="631">
        <v>99</v>
      </c>
      <c r="T10" s="631">
        <v>99</v>
      </c>
      <c r="U10" s="631">
        <v>99</v>
      </c>
      <c r="V10" s="631"/>
      <c r="W10" s="631"/>
      <c r="X10" s="610"/>
      <c r="Y10" s="631">
        <v>99</v>
      </c>
      <c r="Z10" s="631">
        <v>99</v>
      </c>
      <c r="AA10" s="631">
        <v>99</v>
      </c>
      <c r="AB10" s="609"/>
      <c r="AC10" s="609"/>
      <c r="AD10" s="606"/>
      <c r="AE10" s="518"/>
      <c r="AF10" s="607">
        <f t="shared" si="11"/>
        <v>99</v>
      </c>
      <c r="AG10" s="607">
        <f t="shared" si="12"/>
        <v>99</v>
      </c>
      <c r="AH10" s="607">
        <f t="shared" si="13"/>
        <v>99</v>
      </c>
      <c r="AI10" s="607">
        <f t="shared" si="14"/>
        <v>99</v>
      </c>
      <c r="AJ10" s="529"/>
      <c r="AK10" s="528"/>
      <c r="AL10" s="528"/>
      <c r="AM10" s="528"/>
      <c r="AN10" s="302">
        <f t="shared" si="5"/>
        <v>99</v>
      </c>
      <c r="AO10" s="303" t="str">
        <f>IF(AN10&gt;KKM!$G$10,"A",IF(AN10&gt;KKM!$H$10,"B",IF(AN10&gt;=KKM!$I$10,"C","D")))</f>
        <v>A</v>
      </c>
      <c r="AP10" s="523">
        <f t="shared" si="6"/>
        <v>99</v>
      </c>
      <c r="AQ10" s="115" t="str">
        <f>IF(AP10&gt;KKM!$G$10," sangat baik ",IF(AP10&gt;KKM!$H$10," baik ",IF(AP10&gt;=KKM!$I$10," cukup baik "," perlu bimbingan ")))</f>
        <v xml:space="preserve"> sangat baik </v>
      </c>
      <c r="AR10" s="524">
        <f t="shared" si="7"/>
        <v>99</v>
      </c>
      <c r="AS10" s="115" t="str">
        <f>IF(AR10&gt;KKM!$G$10," sangat baik ",IF(AR10&gt;KKM!$H$10," baik ",IF(AR10&gt;=KKM!$I$10," cukup baik "," perlu bimbingan ")))</f>
        <v xml:space="preserve"> sangat baik </v>
      </c>
      <c r="AT10" s="301" t="str">
        <f t="shared" si="15"/>
        <v>Anak 6 sangat baik  dalam mengetahui gambar dan bentuk tiga dimensi.</v>
      </c>
      <c r="AU10" s="306"/>
      <c r="AV10" s="307" t="str">
        <f t="shared" si="8"/>
        <v xml:space="preserve"> sangat baik  dalam mengetahui gambar dan bentuk tiga dimensi.</v>
      </c>
      <c r="AW10" s="307" t="str">
        <f t="shared" si="9"/>
        <v xml:space="preserve"> sangat baik  dalam mengetahui gambar dan bentuk tiga dimensi.</v>
      </c>
      <c r="AX10" s="307" t="str">
        <f t="shared" si="16"/>
        <v xml:space="preserve"> sangat baik  dalam mengetahui gambar dan bentuk tiga dimensi., dan  sangat baik  dalam mengetahui gambar dan bentuk tiga dimensi.</v>
      </c>
      <c r="AY10" s="307" t="str">
        <f t="shared" si="17"/>
        <v xml:space="preserve"> sangat baik  dalam mengetahui gambar dan bentuk tiga dimensi.</v>
      </c>
      <c r="AZ10" s="308" t="str">
        <f t="shared" si="18"/>
        <v xml:space="preserve"> sangat baik  dalam mengetahui gambar dan bentuk tiga dimensi.</v>
      </c>
      <c r="BA10" s="301" t="str">
        <f t="shared" si="10"/>
        <v>Anak 6 sangat baik  dalam mengetahui gambar dan bentuk tiga dimensi.</v>
      </c>
      <c r="BB10" s="120"/>
      <c r="BJ10" s="408">
        <f t="shared" si="19"/>
        <v>99</v>
      </c>
      <c r="BM10" s="302">
        <f t="shared" si="20"/>
        <v>99</v>
      </c>
      <c r="BN10" s="303" t="str">
        <f>IF(BM10&gt;KKM!$G$10,"A",IF(BM10&gt;KKM!$H$10,"B",IF(BM10&gt;=KKM!$I$10,"C","D")))</f>
        <v>A</v>
      </c>
      <c r="BO10" s="523">
        <f t="shared" si="21"/>
        <v>99</v>
      </c>
      <c r="BP10" s="115" t="str">
        <f>IF(BO10&gt;KKM!$G$10," sangat baik ",IF(BO10&gt;KKM!$H$10," baik ",IF(BO10&gt;=KKM!$I$10," cukup baik "," perlu bimbingan ")))</f>
        <v xml:space="preserve"> sangat baik </v>
      </c>
      <c r="BQ10" s="524">
        <f t="shared" si="22"/>
        <v>99</v>
      </c>
      <c r="BR10" s="115" t="str">
        <f>IF(BQ10&gt;KKM!$G$10," sangat baik ",IF(BQ10&gt;KKM!$H$10," baik ",IF(BQ10&gt;=KKM!$I$10," cukup baik "," perlu bimbingan ")))</f>
        <v xml:space="preserve"> sangat baik </v>
      </c>
      <c r="BS10" s="301" t="str">
        <f t="shared" si="29"/>
        <v>Anak 6 sangat baik  dalam mengetahui tanda tempo dan tinggi rendah nada.</v>
      </c>
      <c r="BT10" s="307" t="str">
        <f t="shared" si="23"/>
        <v xml:space="preserve"> sangat baik  dalam mengetahui tanda tempo dan tinggi rendah nada.</v>
      </c>
      <c r="BU10" s="307" t="str">
        <f t="shared" si="24"/>
        <v xml:space="preserve"> sangat baik  dalam mengetahui tanda tempo dan tinggi rendah nada.</v>
      </c>
      <c r="BV10" s="307" t="str">
        <f t="shared" si="25"/>
        <v xml:space="preserve"> sangat baik  dalam mengetahui tanda tempo dan tinggi rendah nada., dan  sangat baik  dalam mengetahui tanda tempo dan tinggi rendah nada.</v>
      </c>
      <c r="BW10" s="307" t="str">
        <f t="shared" si="26"/>
        <v xml:space="preserve"> sangat baik  dalam mengetahui tanda tempo dan tinggi rendah nada.</v>
      </c>
      <c r="BX10" s="308" t="str">
        <f t="shared" si="27"/>
        <v xml:space="preserve"> sangat baik  dalam mengetahui tanda tempo dan tinggi rendah nada.</v>
      </c>
      <c r="BY10" s="301" t="str">
        <f t="shared" si="28"/>
        <v>Anak 6 sangat baik  dalam mengetahui tanda tempo dan tinggi rendah nada.</v>
      </c>
    </row>
    <row r="11" spans="1:78" ht="63.75" customHeight="1">
      <c r="B11" s="109">
        <v>7</v>
      </c>
      <c r="C11" s="110">
        <f>SISWA!B12</f>
        <v>0</v>
      </c>
      <c r="D11" s="111" t="str">
        <f>SISWA!E12</f>
        <v>Anak 7</v>
      </c>
      <c r="E11" s="631">
        <v>99</v>
      </c>
      <c r="F11" s="631">
        <v>99</v>
      </c>
      <c r="G11" s="631">
        <v>99</v>
      </c>
      <c r="H11" s="613">
        <v>99</v>
      </c>
      <c r="I11" s="730"/>
      <c r="J11" s="730"/>
      <c r="K11" s="731"/>
      <c r="L11" s="731"/>
      <c r="M11" s="731"/>
      <c r="N11" s="731"/>
      <c r="O11" s="730"/>
      <c r="P11" s="730"/>
      <c r="Q11" s="610"/>
      <c r="R11" s="631"/>
      <c r="S11" s="631">
        <v>99</v>
      </c>
      <c r="T11" s="631">
        <v>99</v>
      </c>
      <c r="U11" s="631">
        <v>99</v>
      </c>
      <c r="V11" s="631"/>
      <c r="W11" s="631"/>
      <c r="X11" s="610"/>
      <c r="Y11" s="631">
        <v>99</v>
      </c>
      <c r="Z11" s="631">
        <v>99</v>
      </c>
      <c r="AA11" s="631">
        <v>99</v>
      </c>
      <c r="AB11" s="609"/>
      <c r="AC11" s="609"/>
      <c r="AD11" s="606"/>
      <c r="AE11" s="518"/>
      <c r="AF11" s="607">
        <f t="shared" si="11"/>
        <v>99</v>
      </c>
      <c r="AG11" s="607">
        <f t="shared" si="12"/>
        <v>99</v>
      </c>
      <c r="AH11" s="607">
        <f t="shared" si="13"/>
        <v>99</v>
      </c>
      <c r="AI11" s="607">
        <f t="shared" si="14"/>
        <v>99</v>
      </c>
      <c r="AJ11" s="529"/>
      <c r="AK11" s="528"/>
      <c r="AL11" s="528"/>
      <c r="AM11" s="528"/>
      <c r="AN11" s="302">
        <f t="shared" si="5"/>
        <v>99</v>
      </c>
      <c r="AO11" s="303" t="str">
        <f>IF(AN11&gt;KKM!$G$10,"A",IF(AN11&gt;KKM!$H$10,"B",IF(AN11&gt;=KKM!$I$10,"C","D")))</f>
        <v>A</v>
      </c>
      <c r="AP11" s="523">
        <f t="shared" si="6"/>
        <v>99</v>
      </c>
      <c r="AQ11" s="115" t="str">
        <f>IF(AP11&gt;KKM!$G$10," sangat baik ",IF(AP11&gt;KKM!$H$10," baik ",IF(AP11&gt;=KKM!$I$10," cukup baik "," perlu bimbingan ")))</f>
        <v xml:space="preserve"> sangat baik </v>
      </c>
      <c r="AR11" s="524">
        <f t="shared" si="7"/>
        <v>99</v>
      </c>
      <c r="AS11" s="115" t="str">
        <f>IF(AR11&gt;KKM!$G$10," sangat baik ",IF(AR11&gt;KKM!$H$10," baik ",IF(AR11&gt;=KKM!$I$10," cukup baik "," perlu bimbingan ")))</f>
        <v xml:space="preserve"> sangat baik </v>
      </c>
      <c r="AT11" s="301" t="str">
        <f t="shared" si="15"/>
        <v>Anak 7 sangat baik  dalam mengetahui gambar dan bentuk tiga dimensi.</v>
      </c>
      <c r="AU11" s="306"/>
      <c r="AV11" s="307" t="str">
        <f t="shared" si="8"/>
        <v xml:space="preserve"> sangat baik  dalam mengetahui gambar dan bentuk tiga dimensi.</v>
      </c>
      <c r="AW11" s="307" t="str">
        <f t="shared" si="9"/>
        <v xml:space="preserve"> sangat baik  dalam mengetahui gambar dan bentuk tiga dimensi.</v>
      </c>
      <c r="AX11" s="307" t="str">
        <f t="shared" si="16"/>
        <v xml:space="preserve"> sangat baik  dalam mengetahui gambar dan bentuk tiga dimensi., dan  sangat baik  dalam mengetahui gambar dan bentuk tiga dimensi.</v>
      </c>
      <c r="AY11" s="307" t="str">
        <f t="shared" si="17"/>
        <v xml:space="preserve"> sangat baik  dalam mengetahui gambar dan bentuk tiga dimensi.</v>
      </c>
      <c r="AZ11" s="308" t="str">
        <f t="shared" si="18"/>
        <v xml:space="preserve"> sangat baik  dalam mengetahui gambar dan bentuk tiga dimensi.</v>
      </c>
      <c r="BA11" s="301" t="str">
        <f t="shared" si="10"/>
        <v>Anak 7 sangat baik  dalam mengetahui gambar dan bentuk tiga dimensi.</v>
      </c>
      <c r="BB11" s="120"/>
      <c r="BJ11" s="408">
        <f t="shared" si="19"/>
        <v>99</v>
      </c>
      <c r="BM11" s="302">
        <f t="shared" si="20"/>
        <v>99</v>
      </c>
      <c r="BN11" s="303" t="str">
        <f>IF(BM11&gt;KKM!$G$10,"A",IF(BM11&gt;KKM!$H$10,"B",IF(BM11&gt;=KKM!$I$10,"C","D")))</f>
        <v>A</v>
      </c>
      <c r="BO11" s="523">
        <f t="shared" si="21"/>
        <v>99</v>
      </c>
      <c r="BP11" s="115" t="str">
        <f>IF(BO11&gt;KKM!$G$10," sangat baik ",IF(BO11&gt;KKM!$H$10," baik ",IF(BO11&gt;=KKM!$I$10," cukup baik "," perlu bimbingan ")))</f>
        <v xml:space="preserve"> sangat baik </v>
      </c>
      <c r="BQ11" s="524">
        <f t="shared" si="22"/>
        <v>99</v>
      </c>
      <c r="BR11" s="115" t="str">
        <f>IF(BQ11&gt;KKM!$G$10," sangat baik ",IF(BQ11&gt;KKM!$H$10," baik ",IF(BQ11&gt;=KKM!$I$10," cukup baik "," perlu bimbingan ")))</f>
        <v xml:space="preserve"> sangat baik </v>
      </c>
      <c r="BS11" s="301" t="str">
        <f t="shared" si="29"/>
        <v>Anak 7 sangat baik  dalam mengetahui tanda tempo dan tinggi rendah nada.</v>
      </c>
      <c r="BT11" s="307" t="str">
        <f t="shared" si="23"/>
        <v xml:space="preserve"> sangat baik  dalam mengetahui tanda tempo dan tinggi rendah nada.</v>
      </c>
      <c r="BU11" s="307" t="str">
        <f t="shared" si="24"/>
        <v xml:space="preserve"> sangat baik  dalam mengetahui tanda tempo dan tinggi rendah nada.</v>
      </c>
      <c r="BV11" s="307" t="str">
        <f t="shared" si="25"/>
        <v xml:space="preserve"> sangat baik  dalam mengetahui tanda tempo dan tinggi rendah nada., dan  sangat baik  dalam mengetahui tanda tempo dan tinggi rendah nada.</v>
      </c>
      <c r="BW11" s="307" t="str">
        <f t="shared" si="26"/>
        <v xml:space="preserve"> sangat baik  dalam mengetahui tanda tempo dan tinggi rendah nada.</v>
      </c>
      <c r="BX11" s="308" t="str">
        <f t="shared" si="27"/>
        <v xml:space="preserve"> sangat baik  dalam mengetahui tanda tempo dan tinggi rendah nada.</v>
      </c>
      <c r="BY11" s="301" t="str">
        <f t="shared" si="28"/>
        <v>Anak 7 sangat baik  dalam mengetahui tanda tempo dan tinggi rendah nada.</v>
      </c>
    </row>
    <row r="12" spans="1:78" ht="63.75" customHeight="1">
      <c r="B12" s="109">
        <v>8</v>
      </c>
      <c r="C12" s="110">
        <f>SISWA!B13</f>
        <v>0</v>
      </c>
      <c r="D12" s="111" t="str">
        <f>SISWA!E13</f>
        <v>Anak 8</v>
      </c>
      <c r="E12" s="631">
        <v>99</v>
      </c>
      <c r="F12" s="631">
        <v>99</v>
      </c>
      <c r="G12" s="631">
        <v>99</v>
      </c>
      <c r="H12" s="613">
        <v>99</v>
      </c>
      <c r="I12" s="730"/>
      <c r="J12" s="730"/>
      <c r="K12" s="731"/>
      <c r="L12" s="731"/>
      <c r="M12" s="731"/>
      <c r="N12" s="731"/>
      <c r="O12" s="730"/>
      <c r="P12" s="730"/>
      <c r="Q12" s="610"/>
      <c r="R12" s="631"/>
      <c r="S12" s="631">
        <v>99</v>
      </c>
      <c r="T12" s="631">
        <v>99</v>
      </c>
      <c r="U12" s="631">
        <v>99</v>
      </c>
      <c r="V12" s="631"/>
      <c r="W12" s="631"/>
      <c r="X12" s="610"/>
      <c r="Y12" s="631">
        <v>99</v>
      </c>
      <c r="Z12" s="631">
        <v>99</v>
      </c>
      <c r="AA12" s="631">
        <v>99</v>
      </c>
      <c r="AB12" s="609"/>
      <c r="AC12" s="609"/>
      <c r="AD12" s="606"/>
      <c r="AE12" s="518"/>
      <c r="AF12" s="607">
        <f t="shared" si="11"/>
        <v>99</v>
      </c>
      <c r="AG12" s="607">
        <f t="shared" si="12"/>
        <v>99</v>
      </c>
      <c r="AH12" s="607">
        <f t="shared" si="13"/>
        <v>99</v>
      </c>
      <c r="AI12" s="607">
        <f t="shared" si="14"/>
        <v>99</v>
      </c>
      <c r="AJ12" s="529"/>
      <c r="AK12" s="528"/>
      <c r="AL12" s="528"/>
      <c r="AM12" s="528"/>
      <c r="AN12" s="302">
        <f t="shared" si="5"/>
        <v>99</v>
      </c>
      <c r="AO12" s="303" t="str">
        <f>IF(AN12&gt;KKM!$G$10,"A",IF(AN12&gt;KKM!$H$10,"B",IF(AN12&gt;=KKM!$I$10,"C","D")))</f>
        <v>A</v>
      </c>
      <c r="AP12" s="523">
        <f t="shared" si="6"/>
        <v>99</v>
      </c>
      <c r="AQ12" s="115" t="str">
        <f>IF(AP12&gt;KKM!$G$10," sangat baik ",IF(AP12&gt;KKM!$H$10," baik ",IF(AP12&gt;=KKM!$I$10," cukup baik "," perlu bimbingan ")))</f>
        <v xml:space="preserve"> sangat baik </v>
      </c>
      <c r="AR12" s="524">
        <f t="shared" si="7"/>
        <v>99</v>
      </c>
      <c r="AS12" s="115" t="str">
        <f>IF(AR12&gt;KKM!$G$10," sangat baik ",IF(AR12&gt;KKM!$H$10," baik ",IF(AR12&gt;=KKM!$I$10," cukup baik "," perlu bimbingan ")))</f>
        <v xml:space="preserve"> sangat baik </v>
      </c>
      <c r="AT12" s="301" t="str">
        <f t="shared" si="15"/>
        <v>Anak 8 sangat baik  dalam mengetahui gambar dan bentuk tiga dimensi.</v>
      </c>
      <c r="AU12" s="306"/>
      <c r="AV12" s="307" t="str">
        <f t="shared" si="8"/>
        <v xml:space="preserve"> sangat baik  dalam mengetahui gambar dan bentuk tiga dimensi.</v>
      </c>
      <c r="AW12" s="307" t="str">
        <f t="shared" si="9"/>
        <v xml:space="preserve"> sangat baik  dalam mengetahui gambar dan bentuk tiga dimensi.</v>
      </c>
      <c r="AX12" s="307" t="str">
        <f t="shared" si="16"/>
        <v xml:space="preserve"> sangat baik  dalam mengetahui gambar dan bentuk tiga dimensi., dan  sangat baik  dalam mengetahui gambar dan bentuk tiga dimensi.</v>
      </c>
      <c r="AY12" s="307" t="str">
        <f t="shared" si="17"/>
        <v xml:space="preserve"> sangat baik  dalam mengetahui gambar dan bentuk tiga dimensi.</v>
      </c>
      <c r="AZ12" s="308" t="str">
        <f t="shared" si="18"/>
        <v xml:space="preserve"> sangat baik  dalam mengetahui gambar dan bentuk tiga dimensi.</v>
      </c>
      <c r="BA12" s="301" t="str">
        <f t="shared" si="10"/>
        <v>Anak 8 sangat baik  dalam mengetahui gambar dan bentuk tiga dimensi.</v>
      </c>
      <c r="BB12" s="120"/>
      <c r="BJ12" s="408">
        <f t="shared" si="19"/>
        <v>99</v>
      </c>
      <c r="BM12" s="302">
        <f t="shared" si="20"/>
        <v>99</v>
      </c>
      <c r="BN12" s="303" t="str">
        <f>IF(BM12&gt;KKM!$G$10,"A",IF(BM12&gt;KKM!$H$10,"B",IF(BM12&gt;=KKM!$I$10,"C","D")))</f>
        <v>A</v>
      </c>
      <c r="BO12" s="523">
        <f t="shared" si="21"/>
        <v>99</v>
      </c>
      <c r="BP12" s="115" t="str">
        <f>IF(BO12&gt;KKM!$G$10," sangat baik ",IF(BO12&gt;KKM!$H$10," baik ",IF(BO12&gt;=KKM!$I$10," cukup baik "," perlu bimbingan ")))</f>
        <v xml:space="preserve"> sangat baik </v>
      </c>
      <c r="BQ12" s="524">
        <f t="shared" si="22"/>
        <v>99</v>
      </c>
      <c r="BR12" s="115" t="str">
        <f>IF(BQ12&gt;KKM!$G$10," sangat baik ",IF(BQ12&gt;KKM!$H$10," baik ",IF(BQ12&gt;=KKM!$I$10," cukup baik "," perlu bimbingan ")))</f>
        <v xml:space="preserve"> sangat baik </v>
      </c>
      <c r="BS12" s="301" t="str">
        <f t="shared" si="29"/>
        <v>Anak 8 sangat baik  dalam mengetahui tanda tempo dan tinggi rendah nada.</v>
      </c>
      <c r="BT12" s="307" t="str">
        <f t="shared" si="23"/>
        <v xml:space="preserve"> sangat baik  dalam mengetahui tanda tempo dan tinggi rendah nada.</v>
      </c>
      <c r="BU12" s="307" t="str">
        <f t="shared" si="24"/>
        <v xml:space="preserve"> sangat baik  dalam mengetahui tanda tempo dan tinggi rendah nada.</v>
      </c>
      <c r="BV12" s="307" t="str">
        <f t="shared" si="25"/>
        <v xml:space="preserve"> sangat baik  dalam mengetahui tanda tempo dan tinggi rendah nada., dan  sangat baik  dalam mengetahui tanda tempo dan tinggi rendah nada.</v>
      </c>
      <c r="BW12" s="307" t="str">
        <f t="shared" si="26"/>
        <v xml:space="preserve"> sangat baik  dalam mengetahui tanda tempo dan tinggi rendah nada.</v>
      </c>
      <c r="BX12" s="308" t="str">
        <f t="shared" si="27"/>
        <v xml:space="preserve"> sangat baik  dalam mengetahui tanda tempo dan tinggi rendah nada.</v>
      </c>
      <c r="BY12" s="301" t="str">
        <f t="shared" si="28"/>
        <v>Anak 8 sangat baik  dalam mengetahui tanda tempo dan tinggi rendah nada.</v>
      </c>
    </row>
    <row r="13" spans="1:78" ht="63.75" customHeight="1">
      <c r="B13" s="109">
        <v>9</v>
      </c>
      <c r="C13" s="110">
        <f>SISWA!B14</f>
        <v>0</v>
      </c>
      <c r="D13" s="111" t="str">
        <f>SISWA!E14</f>
        <v>Anak 9</v>
      </c>
      <c r="E13" s="631">
        <v>99</v>
      </c>
      <c r="F13" s="631">
        <v>99</v>
      </c>
      <c r="G13" s="631">
        <v>99</v>
      </c>
      <c r="H13" s="613">
        <v>99</v>
      </c>
      <c r="I13" s="730"/>
      <c r="J13" s="730"/>
      <c r="K13" s="731"/>
      <c r="L13" s="731"/>
      <c r="M13" s="731"/>
      <c r="N13" s="731"/>
      <c r="O13" s="730"/>
      <c r="P13" s="730"/>
      <c r="Q13" s="610"/>
      <c r="R13" s="631"/>
      <c r="S13" s="631">
        <v>99</v>
      </c>
      <c r="T13" s="631">
        <v>99</v>
      </c>
      <c r="U13" s="631">
        <v>99</v>
      </c>
      <c r="V13" s="631"/>
      <c r="W13" s="631"/>
      <c r="X13" s="610"/>
      <c r="Y13" s="631">
        <v>99</v>
      </c>
      <c r="Z13" s="631">
        <v>99</v>
      </c>
      <c r="AA13" s="631">
        <v>99</v>
      </c>
      <c r="AB13" s="609"/>
      <c r="AC13" s="609"/>
      <c r="AD13" s="606"/>
      <c r="AE13" s="518"/>
      <c r="AF13" s="607">
        <f t="shared" si="11"/>
        <v>99</v>
      </c>
      <c r="AG13" s="607">
        <f t="shared" si="12"/>
        <v>99</v>
      </c>
      <c r="AH13" s="607">
        <f t="shared" si="13"/>
        <v>99</v>
      </c>
      <c r="AI13" s="607">
        <f t="shared" si="14"/>
        <v>99</v>
      </c>
      <c r="AJ13" s="529"/>
      <c r="AK13" s="528"/>
      <c r="AL13" s="528"/>
      <c r="AM13" s="528"/>
      <c r="AN13" s="302">
        <f t="shared" si="5"/>
        <v>99</v>
      </c>
      <c r="AO13" s="303" t="str">
        <f>IF(AN13&gt;KKM!$G$10,"A",IF(AN13&gt;KKM!$H$10,"B",IF(AN13&gt;=KKM!$I$10,"C","D")))</f>
        <v>A</v>
      </c>
      <c r="AP13" s="523">
        <f t="shared" si="6"/>
        <v>99</v>
      </c>
      <c r="AQ13" s="115" t="str">
        <f>IF(AP13&gt;KKM!$G$10," sangat baik ",IF(AP13&gt;KKM!$H$10," baik ",IF(AP13&gt;=KKM!$I$10," cukup baik "," perlu bimbingan ")))</f>
        <v xml:space="preserve"> sangat baik </v>
      </c>
      <c r="AR13" s="524">
        <f t="shared" si="7"/>
        <v>99</v>
      </c>
      <c r="AS13" s="115" t="str">
        <f>IF(AR13&gt;KKM!$G$10," sangat baik ",IF(AR13&gt;KKM!$H$10," baik ",IF(AR13&gt;=KKM!$I$10," cukup baik "," perlu bimbingan ")))</f>
        <v xml:space="preserve"> sangat baik </v>
      </c>
      <c r="AT13" s="301" t="str">
        <f t="shared" si="15"/>
        <v>Anak 9 sangat baik  dalam mengetahui gambar dan bentuk tiga dimensi.</v>
      </c>
      <c r="AU13" s="306"/>
      <c r="AV13" s="307" t="str">
        <f t="shared" si="8"/>
        <v xml:space="preserve"> sangat baik  dalam mengetahui gambar dan bentuk tiga dimensi.</v>
      </c>
      <c r="AW13" s="307" t="str">
        <f t="shared" si="9"/>
        <v xml:space="preserve"> sangat baik  dalam mengetahui gambar dan bentuk tiga dimensi.</v>
      </c>
      <c r="AX13" s="307" t="str">
        <f t="shared" si="16"/>
        <v xml:space="preserve"> sangat baik  dalam mengetahui gambar dan bentuk tiga dimensi., dan  sangat baik  dalam mengetahui gambar dan bentuk tiga dimensi.</v>
      </c>
      <c r="AY13" s="307" t="str">
        <f t="shared" si="17"/>
        <v xml:space="preserve"> sangat baik  dalam mengetahui gambar dan bentuk tiga dimensi.</v>
      </c>
      <c r="AZ13" s="308" t="str">
        <f t="shared" si="18"/>
        <v xml:space="preserve"> sangat baik  dalam mengetahui gambar dan bentuk tiga dimensi.</v>
      </c>
      <c r="BA13" s="301" t="str">
        <f t="shared" si="10"/>
        <v>Anak 9 sangat baik  dalam mengetahui gambar dan bentuk tiga dimensi.</v>
      </c>
      <c r="BB13" s="120"/>
      <c r="BJ13" s="408">
        <f t="shared" si="19"/>
        <v>99</v>
      </c>
      <c r="BM13" s="302">
        <f t="shared" si="20"/>
        <v>99</v>
      </c>
      <c r="BN13" s="303" t="str">
        <f>IF(BM13&gt;KKM!$G$10,"A",IF(BM13&gt;KKM!$H$10,"B",IF(BM13&gt;=KKM!$I$10,"C","D")))</f>
        <v>A</v>
      </c>
      <c r="BO13" s="523">
        <f t="shared" si="21"/>
        <v>99</v>
      </c>
      <c r="BP13" s="115" t="str">
        <f>IF(BO13&gt;KKM!$G$10," sangat baik ",IF(BO13&gt;KKM!$H$10," baik ",IF(BO13&gt;=KKM!$I$10," cukup baik "," perlu bimbingan ")))</f>
        <v xml:space="preserve"> sangat baik </v>
      </c>
      <c r="BQ13" s="524">
        <f t="shared" si="22"/>
        <v>99</v>
      </c>
      <c r="BR13" s="115" t="str">
        <f>IF(BQ13&gt;KKM!$G$10," sangat baik ",IF(BQ13&gt;KKM!$H$10," baik ",IF(BQ13&gt;=KKM!$I$10," cukup baik "," perlu bimbingan ")))</f>
        <v xml:space="preserve"> sangat baik </v>
      </c>
      <c r="BS13" s="301" t="str">
        <f t="shared" si="29"/>
        <v>Anak 9 sangat baik  dalam mengetahui tanda tempo dan tinggi rendah nada.</v>
      </c>
      <c r="BT13" s="307" t="str">
        <f t="shared" si="23"/>
        <v xml:space="preserve"> sangat baik  dalam mengetahui tanda tempo dan tinggi rendah nada.</v>
      </c>
      <c r="BU13" s="307" t="str">
        <f t="shared" si="24"/>
        <v xml:space="preserve"> sangat baik  dalam mengetahui tanda tempo dan tinggi rendah nada.</v>
      </c>
      <c r="BV13" s="307" t="str">
        <f t="shared" si="25"/>
        <v xml:space="preserve"> sangat baik  dalam mengetahui tanda tempo dan tinggi rendah nada., dan  sangat baik  dalam mengetahui tanda tempo dan tinggi rendah nada.</v>
      </c>
      <c r="BW13" s="307" t="str">
        <f t="shared" si="26"/>
        <v xml:space="preserve"> sangat baik  dalam mengetahui tanda tempo dan tinggi rendah nada.</v>
      </c>
      <c r="BX13" s="308" t="str">
        <f t="shared" si="27"/>
        <v xml:space="preserve"> sangat baik  dalam mengetahui tanda tempo dan tinggi rendah nada.</v>
      </c>
      <c r="BY13" s="301" t="str">
        <f t="shared" si="28"/>
        <v>Anak 9 sangat baik  dalam mengetahui tanda tempo dan tinggi rendah nada.</v>
      </c>
    </row>
    <row r="14" spans="1:78" ht="63.75" customHeight="1">
      <c r="B14" s="109">
        <v>10</v>
      </c>
      <c r="C14" s="110">
        <f>SISWA!B15</f>
        <v>0</v>
      </c>
      <c r="D14" s="111" t="str">
        <f>SISWA!E15</f>
        <v>Anak 10</v>
      </c>
      <c r="E14" s="631">
        <v>99</v>
      </c>
      <c r="F14" s="631">
        <v>99</v>
      </c>
      <c r="G14" s="631">
        <v>99</v>
      </c>
      <c r="H14" s="613">
        <v>99</v>
      </c>
      <c r="I14" s="730"/>
      <c r="J14" s="730"/>
      <c r="K14" s="731"/>
      <c r="L14" s="731"/>
      <c r="M14" s="731"/>
      <c r="N14" s="731"/>
      <c r="O14" s="730"/>
      <c r="P14" s="730"/>
      <c r="Q14" s="610"/>
      <c r="R14" s="631"/>
      <c r="S14" s="631">
        <v>99</v>
      </c>
      <c r="T14" s="631">
        <v>99</v>
      </c>
      <c r="U14" s="631">
        <v>99</v>
      </c>
      <c r="V14" s="631"/>
      <c r="W14" s="631"/>
      <c r="X14" s="610"/>
      <c r="Y14" s="631">
        <v>99</v>
      </c>
      <c r="Z14" s="631">
        <v>99</v>
      </c>
      <c r="AA14" s="631">
        <v>99</v>
      </c>
      <c r="AB14" s="609"/>
      <c r="AC14" s="609"/>
      <c r="AD14" s="606"/>
      <c r="AE14" s="518"/>
      <c r="AF14" s="607">
        <f t="shared" si="11"/>
        <v>99</v>
      </c>
      <c r="AG14" s="607">
        <f t="shared" si="12"/>
        <v>99</v>
      </c>
      <c r="AH14" s="607">
        <f t="shared" si="13"/>
        <v>99</v>
      </c>
      <c r="AI14" s="607">
        <f t="shared" si="14"/>
        <v>99</v>
      </c>
      <c r="AJ14" s="529"/>
      <c r="AK14" s="528"/>
      <c r="AL14" s="528"/>
      <c r="AM14" s="528"/>
      <c r="AN14" s="302">
        <f t="shared" si="5"/>
        <v>99</v>
      </c>
      <c r="AO14" s="303" t="str">
        <f>IF(AN14&gt;KKM!$G$10,"A",IF(AN14&gt;KKM!$H$10,"B",IF(AN14&gt;=KKM!$I$10,"C","D")))</f>
        <v>A</v>
      </c>
      <c r="AP14" s="523">
        <f t="shared" si="6"/>
        <v>99</v>
      </c>
      <c r="AQ14" s="115" t="str">
        <f>IF(AP14&gt;KKM!$G$10," sangat baik ",IF(AP14&gt;KKM!$H$10," baik ",IF(AP14&gt;=KKM!$I$10," cukup baik "," perlu bimbingan ")))</f>
        <v xml:space="preserve"> sangat baik </v>
      </c>
      <c r="AR14" s="524">
        <f t="shared" si="7"/>
        <v>99</v>
      </c>
      <c r="AS14" s="115" t="str">
        <f>IF(AR14&gt;KKM!$G$10," sangat baik ",IF(AR14&gt;KKM!$H$10," baik ",IF(AR14&gt;=KKM!$I$10," cukup baik "," perlu bimbingan ")))</f>
        <v xml:space="preserve"> sangat baik </v>
      </c>
      <c r="AT14" s="301" t="str">
        <f t="shared" si="15"/>
        <v>Anak 10 sangat baik  dalam mengetahui gambar dan bentuk tiga dimensi.</v>
      </c>
      <c r="AU14" s="306"/>
      <c r="AV14" s="307" t="str">
        <f t="shared" si="8"/>
        <v xml:space="preserve"> sangat baik  dalam mengetahui gambar dan bentuk tiga dimensi.</v>
      </c>
      <c r="AW14" s="307" t="str">
        <f t="shared" si="9"/>
        <v xml:space="preserve"> sangat baik  dalam mengetahui gambar dan bentuk tiga dimensi.</v>
      </c>
      <c r="AX14" s="307" t="str">
        <f t="shared" si="16"/>
        <v xml:space="preserve"> sangat baik  dalam mengetahui gambar dan bentuk tiga dimensi., dan  sangat baik  dalam mengetahui gambar dan bentuk tiga dimensi.</v>
      </c>
      <c r="AY14" s="307" t="str">
        <f t="shared" si="17"/>
        <v xml:space="preserve"> sangat baik  dalam mengetahui gambar dan bentuk tiga dimensi.</v>
      </c>
      <c r="AZ14" s="308" t="str">
        <f t="shared" si="18"/>
        <v xml:space="preserve"> sangat baik  dalam mengetahui gambar dan bentuk tiga dimensi.</v>
      </c>
      <c r="BA14" s="301" t="str">
        <f t="shared" si="10"/>
        <v>Anak 10 sangat baik  dalam mengetahui gambar dan bentuk tiga dimensi.</v>
      </c>
      <c r="BB14" s="120"/>
      <c r="BJ14" s="408">
        <f t="shared" si="19"/>
        <v>99</v>
      </c>
      <c r="BM14" s="302">
        <f t="shared" si="20"/>
        <v>99</v>
      </c>
      <c r="BN14" s="303" t="str">
        <f>IF(BM14&gt;KKM!$G$10,"A",IF(BM14&gt;KKM!$H$10,"B",IF(BM14&gt;=KKM!$I$10,"C","D")))</f>
        <v>A</v>
      </c>
      <c r="BO14" s="523">
        <f t="shared" si="21"/>
        <v>99</v>
      </c>
      <c r="BP14" s="115" t="str">
        <f>IF(BO14&gt;KKM!$G$10," sangat baik ",IF(BO14&gt;KKM!$H$10," baik ",IF(BO14&gt;=KKM!$I$10," cukup baik "," perlu bimbingan ")))</f>
        <v xml:space="preserve"> sangat baik </v>
      </c>
      <c r="BQ14" s="524">
        <f t="shared" si="22"/>
        <v>99</v>
      </c>
      <c r="BR14" s="115" t="str">
        <f>IF(BQ14&gt;KKM!$G$10," sangat baik ",IF(BQ14&gt;KKM!$H$10," baik ",IF(BQ14&gt;=KKM!$I$10," cukup baik "," perlu bimbingan ")))</f>
        <v xml:space="preserve"> sangat baik </v>
      </c>
      <c r="BS14" s="301" t="str">
        <f t="shared" si="29"/>
        <v>Anak 10 sangat baik  dalam mengetahui tanda tempo dan tinggi rendah nada.</v>
      </c>
      <c r="BT14" s="307" t="str">
        <f t="shared" si="23"/>
        <v xml:space="preserve"> sangat baik  dalam mengetahui tanda tempo dan tinggi rendah nada.</v>
      </c>
      <c r="BU14" s="307" t="str">
        <f t="shared" si="24"/>
        <v xml:space="preserve"> sangat baik  dalam mengetahui tanda tempo dan tinggi rendah nada.</v>
      </c>
      <c r="BV14" s="307" t="str">
        <f t="shared" si="25"/>
        <v xml:space="preserve"> sangat baik  dalam mengetahui tanda tempo dan tinggi rendah nada., dan  sangat baik  dalam mengetahui tanda tempo dan tinggi rendah nada.</v>
      </c>
      <c r="BW14" s="307" t="str">
        <f t="shared" si="26"/>
        <v xml:space="preserve"> sangat baik  dalam mengetahui tanda tempo dan tinggi rendah nada.</v>
      </c>
      <c r="BX14" s="308" t="str">
        <f t="shared" si="27"/>
        <v xml:space="preserve"> sangat baik  dalam mengetahui tanda tempo dan tinggi rendah nada.</v>
      </c>
      <c r="BY14" s="301" t="str">
        <f t="shared" si="28"/>
        <v>Anak 10 sangat baik  dalam mengetahui tanda tempo dan tinggi rendah nada.</v>
      </c>
    </row>
    <row r="15" spans="1:78" ht="63.75" customHeight="1">
      <c r="B15" s="109">
        <v>11</v>
      </c>
      <c r="C15" s="110">
        <f>SISWA!B16</f>
        <v>0</v>
      </c>
      <c r="D15" s="111" t="str">
        <f>SISWA!E16</f>
        <v>Anak 11</v>
      </c>
      <c r="E15" s="631">
        <v>99</v>
      </c>
      <c r="F15" s="631">
        <v>99</v>
      </c>
      <c r="G15" s="631">
        <v>99</v>
      </c>
      <c r="H15" s="613">
        <v>99</v>
      </c>
      <c r="I15" s="730"/>
      <c r="J15" s="730"/>
      <c r="K15" s="731"/>
      <c r="L15" s="731"/>
      <c r="M15" s="731"/>
      <c r="N15" s="731"/>
      <c r="O15" s="730"/>
      <c r="P15" s="730"/>
      <c r="Q15" s="610"/>
      <c r="R15" s="631"/>
      <c r="S15" s="631">
        <v>99</v>
      </c>
      <c r="T15" s="631">
        <v>99</v>
      </c>
      <c r="U15" s="631">
        <v>99</v>
      </c>
      <c r="V15" s="631"/>
      <c r="W15" s="631"/>
      <c r="X15" s="610"/>
      <c r="Y15" s="631">
        <v>99</v>
      </c>
      <c r="Z15" s="631">
        <v>99</v>
      </c>
      <c r="AA15" s="631">
        <v>99</v>
      </c>
      <c r="AB15" s="609"/>
      <c r="AC15" s="609"/>
      <c r="AD15" s="606"/>
      <c r="AE15" s="518"/>
      <c r="AF15" s="607">
        <f t="shared" si="11"/>
        <v>99</v>
      </c>
      <c r="AG15" s="607">
        <f t="shared" si="12"/>
        <v>99</v>
      </c>
      <c r="AH15" s="607">
        <f t="shared" si="13"/>
        <v>99</v>
      </c>
      <c r="AI15" s="607">
        <f t="shared" si="14"/>
        <v>99</v>
      </c>
      <c r="AJ15" s="529"/>
      <c r="AK15" s="528"/>
      <c r="AL15" s="528"/>
      <c r="AM15" s="528"/>
      <c r="AN15" s="302">
        <f t="shared" si="5"/>
        <v>99</v>
      </c>
      <c r="AO15" s="303" t="str">
        <f>IF(AN15&gt;KKM!$G$10,"A",IF(AN15&gt;KKM!$H$10,"B",IF(AN15&gt;=KKM!$I$10,"C","D")))</f>
        <v>A</v>
      </c>
      <c r="AP15" s="523">
        <f t="shared" si="6"/>
        <v>99</v>
      </c>
      <c r="AQ15" s="115" t="str">
        <f>IF(AP15&gt;KKM!$G$10," sangat baik ",IF(AP15&gt;KKM!$H$10," baik ",IF(AP15&gt;=KKM!$I$10," cukup baik "," perlu bimbingan ")))</f>
        <v xml:space="preserve"> sangat baik </v>
      </c>
      <c r="AR15" s="524">
        <f t="shared" si="7"/>
        <v>99</v>
      </c>
      <c r="AS15" s="115" t="str">
        <f>IF(AR15&gt;KKM!$G$10," sangat baik ",IF(AR15&gt;KKM!$H$10," baik ",IF(AR15&gt;=KKM!$I$10," cukup baik "," perlu bimbingan ")))</f>
        <v xml:space="preserve"> sangat baik </v>
      </c>
      <c r="AT15" s="301" t="str">
        <f t="shared" si="15"/>
        <v>Anak 11 sangat baik  dalam mengetahui gambar dan bentuk tiga dimensi.</v>
      </c>
      <c r="AU15" s="306"/>
      <c r="AV15" s="307" t="str">
        <f t="shared" si="8"/>
        <v xml:space="preserve"> sangat baik  dalam mengetahui gambar dan bentuk tiga dimensi.</v>
      </c>
      <c r="AW15" s="307" t="str">
        <f t="shared" si="9"/>
        <v xml:space="preserve"> sangat baik  dalam mengetahui gambar dan bentuk tiga dimensi.</v>
      </c>
      <c r="AX15" s="307" t="str">
        <f t="shared" si="16"/>
        <v xml:space="preserve"> sangat baik  dalam mengetahui gambar dan bentuk tiga dimensi., dan  sangat baik  dalam mengetahui gambar dan bentuk tiga dimensi.</v>
      </c>
      <c r="AY15" s="307" t="str">
        <f t="shared" si="17"/>
        <v xml:space="preserve"> sangat baik  dalam mengetahui gambar dan bentuk tiga dimensi.</v>
      </c>
      <c r="AZ15" s="308" t="str">
        <f t="shared" si="18"/>
        <v xml:space="preserve"> sangat baik  dalam mengetahui gambar dan bentuk tiga dimensi.</v>
      </c>
      <c r="BA15" s="301" t="str">
        <f t="shared" si="10"/>
        <v>Anak 11 sangat baik  dalam mengetahui gambar dan bentuk tiga dimensi.</v>
      </c>
      <c r="BB15" s="120"/>
      <c r="BJ15" s="408">
        <f t="shared" si="19"/>
        <v>99</v>
      </c>
      <c r="BM15" s="302">
        <f t="shared" si="20"/>
        <v>99</v>
      </c>
      <c r="BN15" s="303" t="str">
        <f>IF(BM15&gt;KKM!$G$10,"A",IF(BM15&gt;KKM!$H$10,"B",IF(BM15&gt;=KKM!$I$10,"C","D")))</f>
        <v>A</v>
      </c>
      <c r="BO15" s="523">
        <f t="shared" si="21"/>
        <v>99</v>
      </c>
      <c r="BP15" s="115" t="str">
        <f>IF(BO15&gt;KKM!$G$10," sangat baik ",IF(BO15&gt;KKM!$H$10," baik ",IF(BO15&gt;=KKM!$I$10," cukup baik "," perlu bimbingan ")))</f>
        <v xml:space="preserve"> sangat baik </v>
      </c>
      <c r="BQ15" s="524">
        <f t="shared" si="22"/>
        <v>99</v>
      </c>
      <c r="BR15" s="115" t="str">
        <f>IF(BQ15&gt;KKM!$G$10," sangat baik ",IF(BQ15&gt;KKM!$H$10," baik ",IF(BQ15&gt;=KKM!$I$10," cukup baik "," perlu bimbingan ")))</f>
        <v xml:space="preserve"> sangat baik </v>
      </c>
      <c r="BS15" s="301" t="str">
        <f t="shared" si="29"/>
        <v>Anak 11 sangat baik  dalam mengetahui tanda tempo dan tinggi rendah nada.</v>
      </c>
      <c r="BT15" s="307" t="str">
        <f t="shared" si="23"/>
        <v xml:space="preserve"> sangat baik  dalam mengetahui tanda tempo dan tinggi rendah nada.</v>
      </c>
      <c r="BU15" s="307" t="str">
        <f t="shared" si="24"/>
        <v xml:space="preserve"> sangat baik  dalam mengetahui tanda tempo dan tinggi rendah nada.</v>
      </c>
      <c r="BV15" s="307" t="str">
        <f t="shared" si="25"/>
        <v xml:space="preserve"> sangat baik  dalam mengetahui tanda tempo dan tinggi rendah nada., dan  sangat baik  dalam mengetahui tanda tempo dan tinggi rendah nada.</v>
      </c>
      <c r="BW15" s="307" t="str">
        <f t="shared" si="26"/>
        <v xml:space="preserve"> sangat baik  dalam mengetahui tanda tempo dan tinggi rendah nada.</v>
      </c>
      <c r="BX15" s="308" t="str">
        <f t="shared" si="27"/>
        <v xml:space="preserve"> sangat baik  dalam mengetahui tanda tempo dan tinggi rendah nada.</v>
      </c>
      <c r="BY15" s="301" t="str">
        <f t="shared" si="28"/>
        <v>Anak 11 sangat baik  dalam mengetahui tanda tempo dan tinggi rendah nada.</v>
      </c>
    </row>
    <row r="16" spans="1:78" ht="63.75" customHeight="1">
      <c r="B16" s="109">
        <v>12</v>
      </c>
      <c r="C16" s="110">
        <f>SISWA!B17</f>
        <v>0</v>
      </c>
      <c r="D16" s="111" t="str">
        <f>SISWA!E17</f>
        <v>Anak 12</v>
      </c>
      <c r="E16" s="631">
        <v>99</v>
      </c>
      <c r="F16" s="631">
        <v>99</v>
      </c>
      <c r="G16" s="631">
        <v>99</v>
      </c>
      <c r="H16" s="613">
        <v>99</v>
      </c>
      <c r="I16" s="730"/>
      <c r="J16" s="730"/>
      <c r="K16" s="731"/>
      <c r="L16" s="731"/>
      <c r="M16" s="731"/>
      <c r="N16" s="731"/>
      <c r="O16" s="730"/>
      <c r="P16" s="730"/>
      <c r="Q16" s="610"/>
      <c r="R16" s="631"/>
      <c r="S16" s="631">
        <v>99</v>
      </c>
      <c r="T16" s="631">
        <v>99</v>
      </c>
      <c r="U16" s="631">
        <v>99</v>
      </c>
      <c r="V16" s="631"/>
      <c r="W16" s="631"/>
      <c r="X16" s="610"/>
      <c r="Y16" s="631">
        <v>99</v>
      </c>
      <c r="Z16" s="631">
        <v>99</v>
      </c>
      <c r="AA16" s="631">
        <v>99</v>
      </c>
      <c r="AB16" s="609"/>
      <c r="AC16" s="609"/>
      <c r="AD16" s="606"/>
      <c r="AE16" s="518"/>
      <c r="AF16" s="607">
        <f t="shared" si="11"/>
        <v>99</v>
      </c>
      <c r="AG16" s="607">
        <f t="shared" si="12"/>
        <v>99</v>
      </c>
      <c r="AH16" s="607">
        <f t="shared" si="13"/>
        <v>99</v>
      </c>
      <c r="AI16" s="607">
        <f t="shared" si="14"/>
        <v>99</v>
      </c>
      <c r="AJ16" s="529"/>
      <c r="AK16" s="528"/>
      <c r="AL16" s="528"/>
      <c r="AM16" s="528"/>
      <c r="AN16" s="302">
        <f t="shared" si="5"/>
        <v>99</v>
      </c>
      <c r="AO16" s="303" t="str">
        <f>IF(AN16&gt;KKM!$G$10,"A",IF(AN16&gt;KKM!$H$10,"B",IF(AN16&gt;=KKM!$I$10,"C","D")))</f>
        <v>A</v>
      </c>
      <c r="AP16" s="523">
        <f t="shared" si="6"/>
        <v>99</v>
      </c>
      <c r="AQ16" s="115" t="str">
        <f>IF(AP16&gt;KKM!$G$10," sangat baik ",IF(AP16&gt;KKM!$H$10," baik ",IF(AP16&gt;=KKM!$I$10," cukup baik "," perlu bimbingan ")))</f>
        <v xml:space="preserve"> sangat baik </v>
      </c>
      <c r="AR16" s="524">
        <f t="shared" si="7"/>
        <v>99</v>
      </c>
      <c r="AS16" s="115" t="str">
        <f>IF(AR16&gt;KKM!$G$10," sangat baik ",IF(AR16&gt;KKM!$H$10," baik ",IF(AR16&gt;=KKM!$I$10," cukup baik "," perlu bimbingan ")))</f>
        <v xml:space="preserve"> sangat baik </v>
      </c>
      <c r="AT16" s="301" t="str">
        <f t="shared" si="15"/>
        <v>Anak 12 sangat baik  dalam mengetahui gambar dan bentuk tiga dimensi.</v>
      </c>
      <c r="AU16" s="306"/>
      <c r="AV16" s="307" t="str">
        <f t="shared" si="8"/>
        <v xml:space="preserve"> sangat baik  dalam mengetahui gambar dan bentuk tiga dimensi.</v>
      </c>
      <c r="AW16" s="307" t="str">
        <f t="shared" si="9"/>
        <v xml:space="preserve"> sangat baik  dalam mengetahui gambar dan bentuk tiga dimensi.</v>
      </c>
      <c r="AX16" s="307" t="str">
        <f t="shared" si="16"/>
        <v xml:space="preserve"> sangat baik  dalam mengetahui gambar dan bentuk tiga dimensi., dan  sangat baik  dalam mengetahui gambar dan bentuk tiga dimensi.</v>
      </c>
      <c r="AY16" s="307" t="str">
        <f t="shared" si="17"/>
        <v xml:space="preserve"> sangat baik  dalam mengetahui gambar dan bentuk tiga dimensi.</v>
      </c>
      <c r="AZ16" s="308" t="str">
        <f t="shared" si="18"/>
        <v xml:space="preserve"> sangat baik  dalam mengetahui gambar dan bentuk tiga dimensi.</v>
      </c>
      <c r="BA16" s="301" t="str">
        <f t="shared" si="10"/>
        <v>Anak 12 sangat baik  dalam mengetahui gambar dan bentuk tiga dimensi.</v>
      </c>
      <c r="BB16" s="120"/>
      <c r="BJ16" s="408">
        <f t="shared" si="19"/>
        <v>99</v>
      </c>
      <c r="BM16" s="302">
        <f t="shared" si="20"/>
        <v>99</v>
      </c>
      <c r="BN16" s="303" t="str">
        <f>IF(BM16&gt;KKM!$G$10,"A",IF(BM16&gt;KKM!$H$10,"B",IF(BM16&gt;=KKM!$I$10,"C","D")))</f>
        <v>A</v>
      </c>
      <c r="BO16" s="523">
        <f t="shared" si="21"/>
        <v>99</v>
      </c>
      <c r="BP16" s="115" t="str">
        <f>IF(BO16&gt;KKM!$G$10," sangat baik ",IF(BO16&gt;KKM!$H$10," baik ",IF(BO16&gt;=KKM!$I$10," cukup baik "," perlu bimbingan ")))</f>
        <v xml:space="preserve"> sangat baik </v>
      </c>
      <c r="BQ16" s="524">
        <f t="shared" si="22"/>
        <v>99</v>
      </c>
      <c r="BR16" s="115" t="str">
        <f>IF(BQ16&gt;KKM!$G$10," sangat baik ",IF(BQ16&gt;KKM!$H$10," baik ",IF(BQ16&gt;=KKM!$I$10," cukup baik "," perlu bimbingan ")))</f>
        <v xml:space="preserve"> sangat baik </v>
      </c>
      <c r="BS16" s="301" t="str">
        <f t="shared" si="29"/>
        <v>Anak 12 sangat baik  dalam mengetahui tanda tempo dan tinggi rendah nada.</v>
      </c>
      <c r="BT16" s="307" t="str">
        <f t="shared" si="23"/>
        <v xml:space="preserve"> sangat baik  dalam mengetahui tanda tempo dan tinggi rendah nada.</v>
      </c>
      <c r="BU16" s="307" t="str">
        <f t="shared" si="24"/>
        <v xml:space="preserve"> sangat baik  dalam mengetahui tanda tempo dan tinggi rendah nada.</v>
      </c>
      <c r="BV16" s="307" t="str">
        <f t="shared" si="25"/>
        <v xml:space="preserve"> sangat baik  dalam mengetahui tanda tempo dan tinggi rendah nada., dan  sangat baik  dalam mengetahui tanda tempo dan tinggi rendah nada.</v>
      </c>
      <c r="BW16" s="307" t="str">
        <f t="shared" si="26"/>
        <v xml:space="preserve"> sangat baik  dalam mengetahui tanda tempo dan tinggi rendah nada.</v>
      </c>
      <c r="BX16" s="308" t="str">
        <f t="shared" si="27"/>
        <v xml:space="preserve"> sangat baik  dalam mengetahui tanda tempo dan tinggi rendah nada.</v>
      </c>
      <c r="BY16" s="301" t="str">
        <f t="shared" si="28"/>
        <v>Anak 12 sangat baik  dalam mengetahui tanda tempo dan tinggi rendah nada.</v>
      </c>
    </row>
    <row r="17" spans="2:77" ht="63.75" customHeight="1">
      <c r="B17" s="109">
        <v>13</v>
      </c>
      <c r="C17" s="110">
        <f>SISWA!B18</f>
        <v>0</v>
      </c>
      <c r="D17" s="111" t="str">
        <f>SISWA!E18</f>
        <v>Anak 13</v>
      </c>
      <c r="E17" s="631">
        <v>99</v>
      </c>
      <c r="F17" s="631">
        <v>99</v>
      </c>
      <c r="G17" s="631">
        <v>99</v>
      </c>
      <c r="H17" s="613">
        <v>99</v>
      </c>
      <c r="I17" s="730"/>
      <c r="J17" s="730"/>
      <c r="K17" s="731"/>
      <c r="L17" s="731"/>
      <c r="M17" s="731"/>
      <c r="N17" s="731"/>
      <c r="O17" s="730"/>
      <c r="P17" s="730"/>
      <c r="Q17" s="610"/>
      <c r="R17" s="631"/>
      <c r="S17" s="631">
        <v>99</v>
      </c>
      <c r="T17" s="631">
        <v>99</v>
      </c>
      <c r="U17" s="631">
        <v>99</v>
      </c>
      <c r="V17" s="631"/>
      <c r="W17" s="631"/>
      <c r="X17" s="610"/>
      <c r="Y17" s="631">
        <v>99</v>
      </c>
      <c r="Z17" s="631">
        <v>99</v>
      </c>
      <c r="AA17" s="631">
        <v>99</v>
      </c>
      <c r="AB17" s="609"/>
      <c r="AC17" s="609"/>
      <c r="AD17" s="606"/>
      <c r="AE17" s="518"/>
      <c r="AF17" s="607">
        <f t="shared" si="11"/>
        <v>99</v>
      </c>
      <c r="AG17" s="607">
        <f t="shared" si="12"/>
        <v>99</v>
      </c>
      <c r="AH17" s="607">
        <f t="shared" si="13"/>
        <v>99</v>
      </c>
      <c r="AI17" s="607">
        <f t="shared" si="14"/>
        <v>99</v>
      </c>
      <c r="AJ17" s="529"/>
      <c r="AK17" s="528"/>
      <c r="AL17" s="528"/>
      <c r="AM17" s="528"/>
      <c r="AN17" s="302">
        <f t="shared" si="5"/>
        <v>99</v>
      </c>
      <c r="AO17" s="303" t="str">
        <f>IF(AN17&gt;KKM!$G$10,"A",IF(AN17&gt;KKM!$H$10,"B",IF(AN17&gt;=KKM!$I$10,"C","D")))</f>
        <v>A</v>
      </c>
      <c r="AP17" s="523">
        <f t="shared" si="6"/>
        <v>99</v>
      </c>
      <c r="AQ17" s="115" t="str">
        <f>IF(AP17&gt;KKM!$G$10," sangat baik ",IF(AP17&gt;KKM!$H$10," baik ",IF(AP17&gt;=KKM!$I$10," cukup baik "," perlu bimbingan ")))</f>
        <v xml:space="preserve"> sangat baik </v>
      </c>
      <c r="AR17" s="524">
        <f t="shared" si="7"/>
        <v>99</v>
      </c>
      <c r="AS17" s="115" t="str">
        <f>IF(AR17&gt;KKM!$G$10," sangat baik ",IF(AR17&gt;KKM!$H$10," baik ",IF(AR17&gt;=KKM!$I$10," cukup baik "," perlu bimbingan ")))</f>
        <v xml:space="preserve"> sangat baik </v>
      </c>
      <c r="AT17" s="301" t="str">
        <f t="shared" si="15"/>
        <v>Anak 13 sangat baik  dalam mengetahui gambar dan bentuk tiga dimensi.</v>
      </c>
      <c r="AU17" s="306"/>
      <c r="AV17" s="307" t="str">
        <f t="shared" si="8"/>
        <v xml:space="preserve"> sangat baik  dalam mengetahui gambar dan bentuk tiga dimensi.</v>
      </c>
      <c r="AW17" s="307" t="str">
        <f t="shared" si="9"/>
        <v xml:space="preserve"> sangat baik  dalam mengetahui gambar dan bentuk tiga dimensi.</v>
      </c>
      <c r="AX17" s="307" t="str">
        <f t="shared" si="16"/>
        <v xml:space="preserve"> sangat baik  dalam mengetahui gambar dan bentuk tiga dimensi., dan  sangat baik  dalam mengetahui gambar dan bentuk tiga dimensi.</v>
      </c>
      <c r="AY17" s="307" t="str">
        <f t="shared" si="17"/>
        <v xml:space="preserve"> sangat baik  dalam mengetahui gambar dan bentuk tiga dimensi.</v>
      </c>
      <c r="AZ17" s="308" t="str">
        <f t="shared" si="18"/>
        <v xml:space="preserve"> sangat baik  dalam mengetahui gambar dan bentuk tiga dimensi.</v>
      </c>
      <c r="BA17" s="301" t="str">
        <f t="shared" si="10"/>
        <v>Anak 13 sangat baik  dalam mengetahui gambar dan bentuk tiga dimensi.</v>
      </c>
      <c r="BB17" s="120"/>
      <c r="BJ17" s="408">
        <f t="shared" si="19"/>
        <v>99</v>
      </c>
      <c r="BM17" s="302">
        <f t="shared" si="20"/>
        <v>99</v>
      </c>
      <c r="BN17" s="303" t="str">
        <f>IF(BM17&gt;KKM!$G$10,"A",IF(BM17&gt;KKM!$H$10,"B",IF(BM17&gt;=KKM!$I$10,"C","D")))</f>
        <v>A</v>
      </c>
      <c r="BO17" s="523">
        <f t="shared" si="21"/>
        <v>99</v>
      </c>
      <c r="BP17" s="115" t="str">
        <f>IF(BO17&gt;KKM!$G$10," sangat baik ",IF(BO17&gt;KKM!$H$10," baik ",IF(BO17&gt;=KKM!$I$10," cukup baik "," perlu bimbingan ")))</f>
        <v xml:space="preserve"> sangat baik </v>
      </c>
      <c r="BQ17" s="524">
        <f t="shared" si="22"/>
        <v>99</v>
      </c>
      <c r="BR17" s="115" t="str">
        <f>IF(BQ17&gt;KKM!$G$10," sangat baik ",IF(BQ17&gt;KKM!$H$10," baik ",IF(BQ17&gt;=KKM!$I$10," cukup baik "," perlu bimbingan ")))</f>
        <v xml:space="preserve"> sangat baik </v>
      </c>
      <c r="BS17" s="301" t="str">
        <f t="shared" si="29"/>
        <v>Anak 13 sangat baik  dalam mengetahui tanda tempo dan tinggi rendah nada.</v>
      </c>
      <c r="BT17" s="307" t="str">
        <f t="shared" si="23"/>
        <v xml:space="preserve"> sangat baik  dalam mengetahui tanda tempo dan tinggi rendah nada.</v>
      </c>
      <c r="BU17" s="307" t="str">
        <f t="shared" si="24"/>
        <v xml:space="preserve"> sangat baik  dalam mengetahui tanda tempo dan tinggi rendah nada.</v>
      </c>
      <c r="BV17" s="307" t="str">
        <f t="shared" si="25"/>
        <v xml:space="preserve"> sangat baik  dalam mengetahui tanda tempo dan tinggi rendah nada., dan  sangat baik  dalam mengetahui tanda tempo dan tinggi rendah nada.</v>
      </c>
      <c r="BW17" s="307" t="str">
        <f t="shared" si="26"/>
        <v xml:space="preserve"> sangat baik  dalam mengetahui tanda tempo dan tinggi rendah nada.</v>
      </c>
      <c r="BX17" s="308" t="str">
        <f t="shared" si="27"/>
        <v xml:space="preserve"> sangat baik  dalam mengetahui tanda tempo dan tinggi rendah nada.</v>
      </c>
      <c r="BY17" s="301" t="str">
        <f t="shared" si="28"/>
        <v>Anak 13 sangat baik  dalam mengetahui tanda tempo dan tinggi rendah nada.</v>
      </c>
    </row>
    <row r="18" spans="2:77" ht="63.75" customHeight="1">
      <c r="B18" s="109">
        <v>14</v>
      </c>
      <c r="C18" s="110">
        <f>SISWA!B19</f>
        <v>0</v>
      </c>
      <c r="D18" s="111" t="str">
        <f>SISWA!E19</f>
        <v>Anak 14</v>
      </c>
      <c r="E18" s="631">
        <v>99</v>
      </c>
      <c r="F18" s="631">
        <v>99</v>
      </c>
      <c r="G18" s="631">
        <v>99</v>
      </c>
      <c r="H18" s="613">
        <v>99</v>
      </c>
      <c r="I18" s="730"/>
      <c r="J18" s="730"/>
      <c r="K18" s="731"/>
      <c r="L18" s="731"/>
      <c r="M18" s="731"/>
      <c r="N18" s="731"/>
      <c r="O18" s="730"/>
      <c r="P18" s="730"/>
      <c r="Q18" s="610"/>
      <c r="R18" s="631"/>
      <c r="S18" s="631">
        <v>99</v>
      </c>
      <c r="T18" s="631">
        <v>99</v>
      </c>
      <c r="U18" s="631">
        <v>99</v>
      </c>
      <c r="V18" s="631"/>
      <c r="W18" s="631"/>
      <c r="X18" s="610"/>
      <c r="Y18" s="631">
        <v>99</v>
      </c>
      <c r="Z18" s="631">
        <v>99</v>
      </c>
      <c r="AA18" s="631">
        <v>99</v>
      </c>
      <c r="AB18" s="609"/>
      <c r="AC18" s="609"/>
      <c r="AD18" s="606"/>
      <c r="AE18" s="518"/>
      <c r="AF18" s="607">
        <f t="shared" si="11"/>
        <v>99</v>
      </c>
      <c r="AG18" s="607">
        <f t="shared" si="12"/>
        <v>99</v>
      </c>
      <c r="AH18" s="607">
        <f t="shared" si="13"/>
        <v>99</v>
      </c>
      <c r="AI18" s="607">
        <f t="shared" si="14"/>
        <v>99</v>
      </c>
      <c r="AJ18" s="529"/>
      <c r="AK18" s="528"/>
      <c r="AL18" s="528"/>
      <c r="AM18" s="528"/>
      <c r="AN18" s="302">
        <f t="shared" si="5"/>
        <v>99</v>
      </c>
      <c r="AO18" s="303" t="str">
        <f>IF(AN18&gt;KKM!$G$10,"A",IF(AN18&gt;KKM!$H$10,"B",IF(AN18&gt;=KKM!$I$10,"C","D")))</f>
        <v>A</v>
      </c>
      <c r="AP18" s="523">
        <f t="shared" si="6"/>
        <v>99</v>
      </c>
      <c r="AQ18" s="115" t="str">
        <f>IF(AP18&gt;KKM!$G$10," sangat baik ",IF(AP18&gt;KKM!$H$10," baik ",IF(AP18&gt;=KKM!$I$10," cukup baik "," perlu bimbingan ")))</f>
        <v xml:space="preserve"> sangat baik </v>
      </c>
      <c r="AR18" s="524">
        <f t="shared" si="7"/>
        <v>99</v>
      </c>
      <c r="AS18" s="115" t="str">
        <f>IF(AR18&gt;KKM!$G$10," sangat baik ",IF(AR18&gt;KKM!$H$10," baik ",IF(AR18&gt;=KKM!$I$10," cukup baik "," perlu bimbingan ")))</f>
        <v xml:space="preserve"> sangat baik </v>
      </c>
      <c r="AT18" s="301" t="str">
        <f t="shared" si="15"/>
        <v>Anak 14 sangat baik  dalam mengetahui gambar dan bentuk tiga dimensi.</v>
      </c>
      <c r="AU18" s="306"/>
      <c r="AV18" s="307" t="str">
        <f t="shared" si="8"/>
        <v xml:space="preserve"> sangat baik  dalam mengetahui gambar dan bentuk tiga dimensi.</v>
      </c>
      <c r="AW18" s="307" t="str">
        <f t="shared" si="9"/>
        <v xml:space="preserve"> sangat baik  dalam mengetahui gambar dan bentuk tiga dimensi.</v>
      </c>
      <c r="AX18" s="307" t="str">
        <f t="shared" si="16"/>
        <v xml:space="preserve"> sangat baik  dalam mengetahui gambar dan bentuk tiga dimensi., dan  sangat baik  dalam mengetahui gambar dan bentuk tiga dimensi.</v>
      </c>
      <c r="AY18" s="307" t="str">
        <f t="shared" si="17"/>
        <v xml:space="preserve"> sangat baik  dalam mengetahui gambar dan bentuk tiga dimensi.</v>
      </c>
      <c r="AZ18" s="308" t="str">
        <f t="shared" si="18"/>
        <v xml:space="preserve"> sangat baik  dalam mengetahui gambar dan bentuk tiga dimensi.</v>
      </c>
      <c r="BA18" s="301" t="str">
        <f t="shared" si="10"/>
        <v>Anak 14 sangat baik  dalam mengetahui gambar dan bentuk tiga dimensi.</v>
      </c>
      <c r="BB18" s="120"/>
      <c r="BJ18" s="408">
        <f t="shared" si="19"/>
        <v>99</v>
      </c>
      <c r="BM18" s="302">
        <f t="shared" si="20"/>
        <v>99</v>
      </c>
      <c r="BN18" s="303" t="str">
        <f>IF(BM18&gt;KKM!$G$10,"A",IF(BM18&gt;KKM!$H$10,"B",IF(BM18&gt;=KKM!$I$10,"C","D")))</f>
        <v>A</v>
      </c>
      <c r="BO18" s="523">
        <f t="shared" si="21"/>
        <v>99</v>
      </c>
      <c r="BP18" s="115" t="str">
        <f>IF(BO18&gt;KKM!$G$10," sangat baik ",IF(BO18&gt;KKM!$H$10," baik ",IF(BO18&gt;=KKM!$I$10," cukup baik "," perlu bimbingan ")))</f>
        <v xml:space="preserve"> sangat baik </v>
      </c>
      <c r="BQ18" s="524">
        <f t="shared" si="22"/>
        <v>99</v>
      </c>
      <c r="BR18" s="115" t="str">
        <f>IF(BQ18&gt;KKM!$G$10," sangat baik ",IF(BQ18&gt;KKM!$H$10," baik ",IF(BQ18&gt;=KKM!$I$10," cukup baik "," perlu bimbingan ")))</f>
        <v xml:space="preserve"> sangat baik </v>
      </c>
      <c r="BS18" s="301" t="str">
        <f t="shared" si="29"/>
        <v>Anak 14 sangat baik  dalam mengetahui tanda tempo dan tinggi rendah nada.</v>
      </c>
      <c r="BT18" s="307" t="str">
        <f t="shared" si="23"/>
        <v xml:space="preserve"> sangat baik  dalam mengetahui tanda tempo dan tinggi rendah nada.</v>
      </c>
      <c r="BU18" s="307" t="str">
        <f t="shared" si="24"/>
        <v xml:space="preserve"> sangat baik  dalam mengetahui tanda tempo dan tinggi rendah nada.</v>
      </c>
      <c r="BV18" s="307" t="str">
        <f t="shared" si="25"/>
        <v xml:space="preserve"> sangat baik  dalam mengetahui tanda tempo dan tinggi rendah nada., dan  sangat baik  dalam mengetahui tanda tempo dan tinggi rendah nada.</v>
      </c>
      <c r="BW18" s="307" t="str">
        <f t="shared" si="26"/>
        <v xml:space="preserve"> sangat baik  dalam mengetahui tanda tempo dan tinggi rendah nada.</v>
      </c>
      <c r="BX18" s="308" t="str">
        <f t="shared" si="27"/>
        <v xml:space="preserve"> sangat baik  dalam mengetahui tanda tempo dan tinggi rendah nada.</v>
      </c>
      <c r="BY18" s="301" t="str">
        <f t="shared" si="28"/>
        <v>Anak 14 sangat baik  dalam mengetahui tanda tempo dan tinggi rendah nada.</v>
      </c>
    </row>
    <row r="19" spans="2:77" ht="63.75" customHeight="1">
      <c r="B19" s="109">
        <v>15</v>
      </c>
      <c r="C19" s="110">
        <f>SISWA!B20</f>
        <v>0</v>
      </c>
      <c r="D19" s="111" t="str">
        <f>SISWA!E20</f>
        <v>Anak 15</v>
      </c>
      <c r="E19" s="631">
        <v>99</v>
      </c>
      <c r="F19" s="631">
        <v>99</v>
      </c>
      <c r="G19" s="631">
        <v>99</v>
      </c>
      <c r="H19" s="613">
        <v>99</v>
      </c>
      <c r="I19" s="730"/>
      <c r="J19" s="730"/>
      <c r="K19" s="731"/>
      <c r="L19" s="731"/>
      <c r="M19" s="731"/>
      <c r="N19" s="731"/>
      <c r="O19" s="730"/>
      <c r="P19" s="730"/>
      <c r="Q19" s="610"/>
      <c r="R19" s="631"/>
      <c r="S19" s="631">
        <v>99</v>
      </c>
      <c r="T19" s="631">
        <v>99</v>
      </c>
      <c r="U19" s="631">
        <v>99</v>
      </c>
      <c r="V19" s="631"/>
      <c r="W19" s="631"/>
      <c r="X19" s="610"/>
      <c r="Y19" s="631">
        <v>99</v>
      </c>
      <c r="Z19" s="631">
        <v>99</v>
      </c>
      <c r="AA19" s="631">
        <v>99</v>
      </c>
      <c r="AB19" s="609"/>
      <c r="AC19" s="609"/>
      <c r="AD19" s="606"/>
      <c r="AE19" s="518"/>
      <c r="AF19" s="607">
        <f t="shared" si="11"/>
        <v>99</v>
      </c>
      <c r="AG19" s="607">
        <f t="shared" si="12"/>
        <v>99</v>
      </c>
      <c r="AH19" s="607">
        <f t="shared" si="13"/>
        <v>99</v>
      </c>
      <c r="AI19" s="607">
        <f t="shared" si="14"/>
        <v>99</v>
      </c>
      <c r="AJ19" s="529"/>
      <c r="AK19" s="528"/>
      <c r="AL19" s="528"/>
      <c r="AM19" s="528"/>
      <c r="AN19" s="302">
        <f t="shared" si="5"/>
        <v>99</v>
      </c>
      <c r="AO19" s="303" t="str">
        <f>IF(AN19&gt;KKM!$G$10,"A",IF(AN19&gt;KKM!$H$10,"B",IF(AN19&gt;=KKM!$I$10,"C","D")))</f>
        <v>A</v>
      </c>
      <c r="AP19" s="523">
        <f t="shared" si="6"/>
        <v>99</v>
      </c>
      <c r="AQ19" s="115" t="str">
        <f>IF(AP19&gt;KKM!$G$10," sangat baik ",IF(AP19&gt;KKM!$H$10," baik ",IF(AP19&gt;=KKM!$I$10," cukup baik "," perlu bimbingan ")))</f>
        <v xml:space="preserve"> sangat baik </v>
      </c>
      <c r="AR19" s="524">
        <f t="shared" si="7"/>
        <v>99</v>
      </c>
      <c r="AS19" s="115" t="str">
        <f>IF(AR19&gt;KKM!$G$10," sangat baik ",IF(AR19&gt;KKM!$H$10," baik ",IF(AR19&gt;=KKM!$I$10," cukup baik "," perlu bimbingan ")))</f>
        <v xml:space="preserve"> sangat baik </v>
      </c>
      <c r="AT19" s="301" t="str">
        <f t="shared" si="15"/>
        <v>Anak 15 sangat baik  dalam mengetahui gambar dan bentuk tiga dimensi.</v>
      </c>
      <c r="AU19" s="306"/>
      <c r="AV19" s="307" t="str">
        <f t="shared" si="8"/>
        <v xml:space="preserve"> sangat baik  dalam mengetahui gambar dan bentuk tiga dimensi.</v>
      </c>
      <c r="AW19" s="307" t="str">
        <f t="shared" si="9"/>
        <v xml:space="preserve"> sangat baik  dalam mengetahui gambar dan bentuk tiga dimensi.</v>
      </c>
      <c r="AX19" s="307" t="str">
        <f t="shared" si="16"/>
        <v xml:space="preserve"> sangat baik  dalam mengetahui gambar dan bentuk tiga dimensi., dan  sangat baik  dalam mengetahui gambar dan bentuk tiga dimensi.</v>
      </c>
      <c r="AY19" s="307" t="str">
        <f t="shared" si="17"/>
        <v xml:space="preserve"> sangat baik  dalam mengetahui gambar dan bentuk tiga dimensi.</v>
      </c>
      <c r="AZ19" s="308" t="str">
        <f t="shared" si="18"/>
        <v xml:space="preserve"> sangat baik  dalam mengetahui gambar dan bentuk tiga dimensi.</v>
      </c>
      <c r="BA19" s="301" t="str">
        <f t="shared" si="10"/>
        <v>Anak 15 sangat baik  dalam mengetahui gambar dan bentuk tiga dimensi.</v>
      </c>
      <c r="BB19" s="120"/>
      <c r="BJ19" s="408">
        <f t="shared" si="19"/>
        <v>99</v>
      </c>
      <c r="BM19" s="302">
        <f t="shared" si="20"/>
        <v>99</v>
      </c>
      <c r="BN19" s="303" t="str">
        <f>IF(BM19&gt;KKM!$G$10,"A",IF(BM19&gt;KKM!$H$10,"B",IF(BM19&gt;=KKM!$I$10,"C","D")))</f>
        <v>A</v>
      </c>
      <c r="BO19" s="523">
        <f t="shared" si="21"/>
        <v>99</v>
      </c>
      <c r="BP19" s="115" t="str">
        <f>IF(BO19&gt;KKM!$G$10," sangat baik ",IF(BO19&gt;KKM!$H$10," baik ",IF(BO19&gt;=KKM!$I$10," cukup baik "," perlu bimbingan ")))</f>
        <v xml:space="preserve"> sangat baik </v>
      </c>
      <c r="BQ19" s="524">
        <f t="shared" si="22"/>
        <v>99</v>
      </c>
      <c r="BR19" s="115" t="str">
        <f>IF(BQ19&gt;KKM!$G$10," sangat baik ",IF(BQ19&gt;KKM!$H$10," baik ",IF(BQ19&gt;=KKM!$I$10," cukup baik "," perlu bimbingan ")))</f>
        <v xml:space="preserve"> sangat baik </v>
      </c>
      <c r="BS19" s="301" t="str">
        <f t="shared" si="29"/>
        <v>Anak 15 sangat baik  dalam mengetahui tanda tempo dan tinggi rendah nada.</v>
      </c>
      <c r="BT19" s="307" t="str">
        <f t="shared" si="23"/>
        <v xml:space="preserve"> sangat baik  dalam mengetahui tanda tempo dan tinggi rendah nada.</v>
      </c>
      <c r="BU19" s="307" t="str">
        <f t="shared" si="24"/>
        <v xml:space="preserve"> sangat baik  dalam mengetahui tanda tempo dan tinggi rendah nada.</v>
      </c>
      <c r="BV19" s="307" t="str">
        <f t="shared" si="25"/>
        <v xml:space="preserve"> sangat baik  dalam mengetahui tanda tempo dan tinggi rendah nada., dan  sangat baik  dalam mengetahui tanda tempo dan tinggi rendah nada.</v>
      </c>
      <c r="BW19" s="307" t="str">
        <f t="shared" si="26"/>
        <v xml:space="preserve"> sangat baik  dalam mengetahui tanda tempo dan tinggi rendah nada.</v>
      </c>
      <c r="BX19" s="308" t="str">
        <f t="shared" si="27"/>
        <v xml:space="preserve"> sangat baik  dalam mengetahui tanda tempo dan tinggi rendah nada.</v>
      </c>
      <c r="BY19" s="301" t="str">
        <f t="shared" si="28"/>
        <v>Anak 15 sangat baik  dalam mengetahui tanda tempo dan tinggi rendah nada.</v>
      </c>
    </row>
    <row r="20" spans="2:77" ht="63.75" customHeight="1">
      <c r="B20" s="109">
        <v>16</v>
      </c>
      <c r="C20" s="110">
        <f>SISWA!B21</f>
        <v>0</v>
      </c>
      <c r="D20" s="111" t="str">
        <f>SISWA!E21</f>
        <v>Anak 16</v>
      </c>
      <c r="E20" s="631">
        <v>99</v>
      </c>
      <c r="F20" s="631">
        <v>99</v>
      </c>
      <c r="G20" s="631">
        <v>99</v>
      </c>
      <c r="H20" s="613">
        <v>99</v>
      </c>
      <c r="I20" s="730"/>
      <c r="J20" s="730"/>
      <c r="K20" s="731"/>
      <c r="L20" s="731"/>
      <c r="M20" s="731"/>
      <c r="N20" s="731"/>
      <c r="O20" s="730"/>
      <c r="P20" s="730"/>
      <c r="Q20" s="610"/>
      <c r="R20" s="631"/>
      <c r="S20" s="631">
        <v>99</v>
      </c>
      <c r="T20" s="631">
        <v>99</v>
      </c>
      <c r="U20" s="631">
        <v>99</v>
      </c>
      <c r="V20" s="631"/>
      <c r="W20" s="631"/>
      <c r="X20" s="610"/>
      <c r="Y20" s="631">
        <v>99</v>
      </c>
      <c r="Z20" s="631">
        <v>99</v>
      </c>
      <c r="AA20" s="631">
        <v>99</v>
      </c>
      <c r="AB20" s="609"/>
      <c r="AC20" s="609"/>
      <c r="AD20" s="606"/>
      <c r="AE20" s="518"/>
      <c r="AF20" s="607">
        <f t="shared" si="11"/>
        <v>99</v>
      </c>
      <c r="AG20" s="607">
        <f t="shared" si="12"/>
        <v>99</v>
      </c>
      <c r="AH20" s="607">
        <f t="shared" si="13"/>
        <v>99</v>
      </c>
      <c r="AI20" s="607">
        <f t="shared" si="14"/>
        <v>99</v>
      </c>
      <c r="AJ20" s="529"/>
      <c r="AK20" s="528"/>
      <c r="AL20" s="528"/>
      <c r="AM20" s="528"/>
      <c r="AN20" s="302">
        <f t="shared" si="5"/>
        <v>99</v>
      </c>
      <c r="AO20" s="303" t="str">
        <f>IF(AN20&gt;KKM!$G$10,"A",IF(AN20&gt;KKM!$H$10,"B",IF(AN20&gt;=KKM!$I$10,"C","D")))</f>
        <v>A</v>
      </c>
      <c r="AP20" s="523">
        <f t="shared" si="6"/>
        <v>99</v>
      </c>
      <c r="AQ20" s="115" t="str">
        <f>IF(AP20&gt;KKM!$G$10," sangat baik ",IF(AP20&gt;KKM!$H$10," baik ",IF(AP20&gt;=KKM!$I$10," cukup baik "," perlu bimbingan ")))</f>
        <v xml:space="preserve"> sangat baik </v>
      </c>
      <c r="AR20" s="524">
        <f t="shared" si="7"/>
        <v>99</v>
      </c>
      <c r="AS20" s="115" t="str">
        <f>IF(AR20&gt;KKM!$G$10," sangat baik ",IF(AR20&gt;KKM!$H$10," baik ",IF(AR20&gt;=KKM!$I$10," cukup baik "," perlu bimbingan ")))</f>
        <v xml:space="preserve"> sangat baik </v>
      </c>
      <c r="AT20" s="301" t="str">
        <f t="shared" si="15"/>
        <v>Anak 16 sangat baik  dalam mengetahui gambar dan bentuk tiga dimensi.</v>
      </c>
      <c r="AU20" s="306"/>
      <c r="AV20" s="307" t="str">
        <f t="shared" si="8"/>
        <v xml:space="preserve"> sangat baik  dalam mengetahui gambar dan bentuk tiga dimensi.</v>
      </c>
      <c r="AW20" s="307" t="str">
        <f t="shared" si="9"/>
        <v xml:space="preserve"> sangat baik  dalam mengetahui gambar dan bentuk tiga dimensi.</v>
      </c>
      <c r="AX20" s="307" t="str">
        <f t="shared" si="16"/>
        <v xml:space="preserve"> sangat baik  dalam mengetahui gambar dan bentuk tiga dimensi., dan  sangat baik  dalam mengetahui gambar dan bentuk tiga dimensi.</v>
      </c>
      <c r="AY20" s="307" t="str">
        <f t="shared" si="17"/>
        <v xml:space="preserve"> sangat baik  dalam mengetahui gambar dan bentuk tiga dimensi.</v>
      </c>
      <c r="AZ20" s="308" t="str">
        <f t="shared" si="18"/>
        <v xml:space="preserve"> sangat baik  dalam mengetahui gambar dan bentuk tiga dimensi.</v>
      </c>
      <c r="BA20" s="301" t="str">
        <f t="shared" si="10"/>
        <v>Anak 16 sangat baik  dalam mengetahui gambar dan bentuk tiga dimensi.</v>
      </c>
      <c r="BB20" s="120"/>
      <c r="BJ20" s="408">
        <f t="shared" si="19"/>
        <v>99</v>
      </c>
      <c r="BM20" s="302">
        <f t="shared" si="20"/>
        <v>99</v>
      </c>
      <c r="BN20" s="303" t="str">
        <f>IF(BM20&gt;KKM!$G$10,"A",IF(BM20&gt;KKM!$H$10,"B",IF(BM20&gt;=KKM!$I$10,"C","D")))</f>
        <v>A</v>
      </c>
      <c r="BO20" s="523">
        <f t="shared" si="21"/>
        <v>99</v>
      </c>
      <c r="BP20" s="115" t="str">
        <f>IF(BO20&gt;KKM!$G$10," sangat baik ",IF(BO20&gt;KKM!$H$10," baik ",IF(BO20&gt;=KKM!$I$10," cukup baik "," perlu bimbingan ")))</f>
        <v xml:space="preserve"> sangat baik </v>
      </c>
      <c r="BQ20" s="524">
        <f t="shared" si="22"/>
        <v>99</v>
      </c>
      <c r="BR20" s="115" t="str">
        <f>IF(BQ20&gt;KKM!$G$10," sangat baik ",IF(BQ20&gt;KKM!$H$10," baik ",IF(BQ20&gt;=KKM!$I$10," cukup baik "," perlu bimbingan ")))</f>
        <v xml:space="preserve"> sangat baik </v>
      </c>
      <c r="BS20" s="301" t="str">
        <f t="shared" si="29"/>
        <v>Anak 16 sangat baik  dalam mengetahui tanda tempo dan tinggi rendah nada.</v>
      </c>
      <c r="BT20" s="307" t="str">
        <f t="shared" si="23"/>
        <v xml:space="preserve"> sangat baik  dalam mengetahui tanda tempo dan tinggi rendah nada.</v>
      </c>
      <c r="BU20" s="307" t="str">
        <f t="shared" si="24"/>
        <v xml:space="preserve"> sangat baik  dalam mengetahui tanda tempo dan tinggi rendah nada.</v>
      </c>
      <c r="BV20" s="307" t="str">
        <f t="shared" si="25"/>
        <v xml:space="preserve"> sangat baik  dalam mengetahui tanda tempo dan tinggi rendah nada., dan  sangat baik  dalam mengetahui tanda tempo dan tinggi rendah nada.</v>
      </c>
      <c r="BW20" s="307" t="str">
        <f t="shared" si="26"/>
        <v xml:space="preserve"> sangat baik  dalam mengetahui tanda tempo dan tinggi rendah nada.</v>
      </c>
      <c r="BX20" s="308" t="str">
        <f t="shared" si="27"/>
        <v xml:space="preserve"> sangat baik  dalam mengetahui tanda tempo dan tinggi rendah nada.</v>
      </c>
      <c r="BY20" s="301" t="str">
        <f t="shared" si="28"/>
        <v>Anak 16 sangat baik  dalam mengetahui tanda tempo dan tinggi rendah nada.</v>
      </c>
    </row>
    <row r="21" spans="2:77" ht="63.75" customHeight="1">
      <c r="B21" s="109">
        <v>17</v>
      </c>
      <c r="C21" s="110">
        <f>SISWA!B22</f>
        <v>0</v>
      </c>
      <c r="D21" s="111" t="str">
        <f>SISWA!E22</f>
        <v>Anak 17</v>
      </c>
      <c r="E21" s="631">
        <v>99</v>
      </c>
      <c r="F21" s="631">
        <v>99</v>
      </c>
      <c r="G21" s="631">
        <v>99</v>
      </c>
      <c r="H21" s="613">
        <v>99</v>
      </c>
      <c r="I21" s="730"/>
      <c r="J21" s="730"/>
      <c r="K21" s="731"/>
      <c r="L21" s="731"/>
      <c r="M21" s="731"/>
      <c r="N21" s="731"/>
      <c r="O21" s="730"/>
      <c r="P21" s="730"/>
      <c r="Q21" s="610"/>
      <c r="R21" s="631"/>
      <c r="S21" s="631">
        <v>99</v>
      </c>
      <c r="T21" s="631">
        <v>99</v>
      </c>
      <c r="U21" s="631">
        <v>99</v>
      </c>
      <c r="V21" s="631"/>
      <c r="W21" s="631"/>
      <c r="X21" s="610"/>
      <c r="Y21" s="631">
        <v>99</v>
      </c>
      <c r="Z21" s="631">
        <v>99</v>
      </c>
      <c r="AA21" s="631">
        <v>99</v>
      </c>
      <c r="AB21" s="609"/>
      <c r="AC21" s="609"/>
      <c r="AD21" s="606"/>
      <c r="AE21" s="518"/>
      <c r="AF21" s="607">
        <f t="shared" si="11"/>
        <v>99</v>
      </c>
      <c r="AG21" s="607">
        <f t="shared" si="12"/>
        <v>99</v>
      </c>
      <c r="AH21" s="607">
        <f t="shared" si="13"/>
        <v>99</v>
      </c>
      <c r="AI21" s="607">
        <f t="shared" si="14"/>
        <v>99</v>
      </c>
      <c r="AJ21" s="529"/>
      <c r="AK21" s="528"/>
      <c r="AL21" s="528"/>
      <c r="AM21" s="528"/>
      <c r="AN21" s="302">
        <f t="shared" si="5"/>
        <v>99</v>
      </c>
      <c r="AO21" s="303" t="str">
        <f>IF(AN21&gt;KKM!$G$10,"A",IF(AN21&gt;KKM!$H$10,"B",IF(AN21&gt;=KKM!$I$10,"C","D")))</f>
        <v>A</v>
      </c>
      <c r="AP21" s="523">
        <f t="shared" si="6"/>
        <v>99</v>
      </c>
      <c r="AQ21" s="115" t="str">
        <f>IF(AP21&gt;KKM!$G$10," sangat baik ",IF(AP21&gt;KKM!$H$10," baik ",IF(AP21&gt;=KKM!$I$10," cukup baik "," perlu bimbingan ")))</f>
        <v xml:space="preserve"> sangat baik </v>
      </c>
      <c r="AR21" s="524">
        <f t="shared" si="7"/>
        <v>99</v>
      </c>
      <c r="AS21" s="115" t="str">
        <f>IF(AR21&gt;KKM!$G$10," sangat baik ",IF(AR21&gt;KKM!$H$10," baik ",IF(AR21&gt;=KKM!$I$10," cukup baik "," perlu bimbingan ")))</f>
        <v xml:space="preserve"> sangat baik </v>
      </c>
      <c r="AT21" s="301" t="str">
        <f t="shared" si="15"/>
        <v>Anak 17 sangat baik  dalam mengetahui gambar dan bentuk tiga dimensi.</v>
      </c>
      <c r="AU21" s="306"/>
      <c r="AV21" s="307" t="str">
        <f t="shared" si="8"/>
        <v xml:space="preserve"> sangat baik  dalam mengetahui gambar dan bentuk tiga dimensi.</v>
      </c>
      <c r="AW21" s="307" t="str">
        <f t="shared" si="9"/>
        <v xml:space="preserve"> sangat baik  dalam mengetahui gambar dan bentuk tiga dimensi.</v>
      </c>
      <c r="AX21" s="307" t="str">
        <f t="shared" si="16"/>
        <v xml:space="preserve"> sangat baik  dalam mengetahui gambar dan bentuk tiga dimensi., dan  sangat baik  dalam mengetahui gambar dan bentuk tiga dimensi.</v>
      </c>
      <c r="AY21" s="307" t="str">
        <f t="shared" si="17"/>
        <v xml:space="preserve"> sangat baik  dalam mengetahui gambar dan bentuk tiga dimensi.</v>
      </c>
      <c r="AZ21" s="308" t="str">
        <f t="shared" si="18"/>
        <v xml:space="preserve"> sangat baik  dalam mengetahui gambar dan bentuk tiga dimensi.</v>
      </c>
      <c r="BA21" s="301" t="str">
        <f t="shared" si="10"/>
        <v>Anak 17 sangat baik  dalam mengetahui gambar dan bentuk tiga dimensi.</v>
      </c>
      <c r="BB21" s="120"/>
      <c r="BJ21" s="408">
        <f t="shared" si="19"/>
        <v>99</v>
      </c>
      <c r="BM21" s="302">
        <f t="shared" si="20"/>
        <v>99</v>
      </c>
      <c r="BN21" s="303" t="str">
        <f>IF(BM21&gt;KKM!$G$10,"A",IF(BM21&gt;KKM!$H$10,"B",IF(BM21&gt;=KKM!$I$10,"C","D")))</f>
        <v>A</v>
      </c>
      <c r="BO21" s="523">
        <f t="shared" si="21"/>
        <v>99</v>
      </c>
      <c r="BP21" s="115" t="str">
        <f>IF(BO21&gt;KKM!$G$10," sangat baik ",IF(BO21&gt;KKM!$H$10," baik ",IF(BO21&gt;=KKM!$I$10," cukup baik "," perlu bimbingan ")))</f>
        <v xml:space="preserve"> sangat baik </v>
      </c>
      <c r="BQ21" s="524">
        <f t="shared" si="22"/>
        <v>99</v>
      </c>
      <c r="BR21" s="115" t="str">
        <f>IF(BQ21&gt;KKM!$G$10," sangat baik ",IF(BQ21&gt;KKM!$H$10," baik ",IF(BQ21&gt;=KKM!$I$10," cukup baik "," perlu bimbingan ")))</f>
        <v xml:space="preserve"> sangat baik </v>
      </c>
      <c r="BS21" s="301" t="str">
        <f t="shared" si="29"/>
        <v>Anak 17 sangat baik  dalam mengetahui tanda tempo dan tinggi rendah nada.</v>
      </c>
      <c r="BT21" s="307" t="str">
        <f t="shared" si="23"/>
        <v xml:space="preserve"> sangat baik  dalam mengetahui tanda tempo dan tinggi rendah nada.</v>
      </c>
      <c r="BU21" s="307" t="str">
        <f t="shared" si="24"/>
        <v xml:space="preserve"> sangat baik  dalam mengetahui tanda tempo dan tinggi rendah nada.</v>
      </c>
      <c r="BV21" s="307" t="str">
        <f t="shared" si="25"/>
        <v xml:space="preserve"> sangat baik  dalam mengetahui tanda tempo dan tinggi rendah nada., dan  sangat baik  dalam mengetahui tanda tempo dan tinggi rendah nada.</v>
      </c>
      <c r="BW21" s="307" t="str">
        <f t="shared" si="26"/>
        <v xml:space="preserve"> sangat baik  dalam mengetahui tanda tempo dan tinggi rendah nada.</v>
      </c>
      <c r="BX21" s="308" t="str">
        <f t="shared" si="27"/>
        <v xml:space="preserve"> sangat baik  dalam mengetahui tanda tempo dan tinggi rendah nada.</v>
      </c>
      <c r="BY21" s="301" t="str">
        <f t="shared" si="28"/>
        <v>Anak 17 sangat baik  dalam mengetahui tanda tempo dan tinggi rendah nada.</v>
      </c>
    </row>
    <row r="22" spans="2:77" ht="63.75" customHeight="1">
      <c r="B22" s="109">
        <v>18</v>
      </c>
      <c r="C22" s="110">
        <f>SISWA!B23</f>
        <v>0</v>
      </c>
      <c r="D22" s="111" t="str">
        <f>SISWA!E23</f>
        <v>Anak 18</v>
      </c>
      <c r="E22" s="631">
        <v>99</v>
      </c>
      <c r="F22" s="631">
        <v>99</v>
      </c>
      <c r="G22" s="631">
        <v>99</v>
      </c>
      <c r="H22" s="613">
        <v>99</v>
      </c>
      <c r="I22" s="730"/>
      <c r="J22" s="730"/>
      <c r="K22" s="731"/>
      <c r="L22" s="731"/>
      <c r="M22" s="731"/>
      <c r="N22" s="731"/>
      <c r="O22" s="730"/>
      <c r="P22" s="730"/>
      <c r="Q22" s="610"/>
      <c r="R22" s="631"/>
      <c r="S22" s="631">
        <v>99</v>
      </c>
      <c r="T22" s="631">
        <v>99</v>
      </c>
      <c r="U22" s="631">
        <v>99</v>
      </c>
      <c r="V22" s="631"/>
      <c r="W22" s="631"/>
      <c r="X22" s="610"/>
      <c r="Y22" s="631">
        <v>99</v>
      </c>
      <c r="Z22" s="631">
        <v>99</v>
      </c>
      <c r="AA22" s="631">
        <v>99</v>
      </c>
      <c r="AB22" s="609"/>
      <c r="AC22" s="609"/>
      <c r="AD22" s="606"/>
      <c r="AE22" s="518"/>
      <c r="AF22" s="607">
        <f t="shared" si="11"/>
        <v>99</v>
      </c>
      <c r="AG22" s="607">
        <f t="shared" si="12"/>
        <v>99</v>
      </c>
      <c r="AH22" s="607">
        <f t="shared" si="13"/>
        <v>99</v>
      </c>
      <c r="AI22" s="607">
        <f t="shared" si="14"/>
        <v>99</v>
      </c>
      <c r="AJ22" s="529"/>
      <c r="AK22" s="528"/>
      <c r="AL22" s="528"/>
      <c r="AM22" s="528"/>
      <c r="AN22" s="302">
        <f t="shared" si="5"/>
        <v>99</v>
      </c>
      <c r="AO22" s="303" t="str">
        <f>IF(AN22&gt;KKM!$G$10,"A",IF(AN22&gt;KKM!$H$10,"B",IF(AN22&gt;=KKM!$I$10,"C","D")))</f>
        <v>A</v>
      </c>
      <c r="AP22" s="523">
        <f t="shared" si="6"/>
        <v>99</v>
      </c>
      <c r="AQ22" s="115" t="str">
        <f>IF(AP22&gt;KKM!$G$10," sangat baik ",IF(AP22&gt;KKM!$H$10," baik ",IF(AP22&gt;=KKM!$I$10," cukup baik "," perlu bimbingan ")))</f>
        <v xml:space="preserve"> sangat baik </v>
      </c>
      <c r="AR22" s="524">
        <f t="shared" si="7"/>
        <v>99</v>
      </c>
      <c r="AS22" s="115" t="str">
        <f>IF(AR22&gt;KKM!$G$10," sangat baik ",IF(AR22&gt;KKM!$H$10," baik ",IF(AR22&gt;=KKM!$I$10," cukup baik "," perlu bimbingan ")))</f>
        <v xml:space="preserve"> sangat baik </v>
      </c>
      <c r="AT22" s="301" t="str">
        <f t="shared" si="15"/>
        <v>Anak 18 sangat baik  dalam mengetahui gambar dan bentuk tiga dimensi.</v>
      </c>
      <c r="AU22" s="306"/>
      <c r="AV22" s="307" t="str">
        <f t="shared" si="8"/>
        <v xml:space="preserve"> sangat baik  dalam mengetahui gambar dan bentuk tiga dimensi.</v>
      </c>
      <c r="AW22" s="307" t="str">
        <f t="shared" si="9"/>
        <v xml:space="preserve"> sangat baik  dalam mengetahui gambar dan bentuk tiga dimensi.</v>
      </c>
      <c r="AX22" s="307" t="str">
        <f t="shared" si="16"/>
        <v xml:space="preserve"> sangat baik  dalam mengetahui gambar dan bentuk tiga dimensi., dan  sangat baik  dalam mengetahui gambar dan bentuk tiga dimensi.</v>
      </c>
      <c r="AY22" s="307" t="str">
        <f t="shared" si="17"/>
        <v xml:space="preserve"> sangat baik  dalam mengetahui gambar dan bentuk tiga dimensi.</v>
      </c>
      <c r="AZ22" s="308" t="str">
        <f t="shared" si="18"/>
        <v xml:space="preserve"> sangat baik  dalam mengetahui gambar dan bentuk tiga dimensi.</v>
      </c>
      <c r="BA22" s="301" t="str">
        <f t="shared" si="10"/>
        <v>Anak 18 sangat baik  dalam mengetahui gambar dan bentuk tiga dimensi.</v>
      </c>
      <c r="BB22" s="120"/>
      <c r="BJ22" s="408">
        <f t="shared" si="19"/>
        <v>99</v>
      </c>
      <c r="BM22" s="302">
        <f t="shared" si="20"/>
        <v>99</v>
      </c>
      <c r="BN22" s="303" t="str">
        <f>IF(BM22&gt;KKM!$G$10,"A",IF(BM22&gt;KKM!$H$10,"B",IF(BM22&gt;=KKM!$I$10,"C","D")))</f>
        <v>A</v>
      </c>
      <c r="BO22" s="523">
        <f t="shared" si="21"/>
        <v>99</v>
      </c>
      <c r="BP22" s="115" t="str">
        <f>IF(BO22&gt;KKM!$G$10," sangat baik ",IF(BO22&gt;KKM!$H$10," baik ",IF(BO22&gt;=KKM!$I$10," cukup baik "," perlu bimbingan ")))</f>
        <v xml:space="preserve"> sangat baik </v>
      </c>
      <c r="BQ22" s="524">
        <f t="shared" si="22"/>
        <v>99</v>
      </c>
      <c r="BR22" s="115" t="str">
        <f>IF(BQ22&gt;KKM!$G$10," sangat baik ",IF(BQ22&gt;KKM!$H$10," baik ",IF(BQ22&gt;=KKM!$I$10," cukup baik "," perlu bimbingan ")))</f>
        <v xml:space="preserve"> sangat baik </v>
      </c>
      <c r="BS22" s="301" t="str">
        <f t="shared" si="29"/>
        <v>Anak 18 sangat baik  dalam mengetahui tanda tempo dan tinggi rendah nada.</v>
      </c>
      <c r="BT22" s="307" t="str">
        <f t="shared" si="23"/>
        <v xml:space="preserve"> sangat baik  dalam mengetahui tanda tempo dan tinggi rendah nada.</v>
      </c>
      <c r="BU22" s="307" t="str">
        <f t="shared" si="24"/>
        <v xml:space="preserve"> sangat baik  dalam mengetahui tanda tempo dan tinggi rendah nada.</v>
      </c>
      <c r="BV22" s="307" t="str">
        <f t="shared" si="25"/>
        <v xml:space="preserve"> sangat baik  dalam mengetahui tanda tempo dan tinggi rendah nada., dan  sangat baik  dalam mengetahui tanda tempo dan tinggi rendah nada.</v>
      </c>
      <c r="BW22" s="307" t="str">
        <f t="shared" si="26"/>
        <v xml:space="preserve"> sangat baik  dalam mengetahui tanda tempo dan tinggi rendah nada.</v>
      </c>
      <c r="BX22" s="308" t="str">
        <f t="shared" si="27"/>
        <v xml:space="preserve"> sangat baik  dalam mengetahui tanda tempo dan tinggi rendah nada.</v>
      </c>
      <c r="BY22" s="301" t="str">
        <f t="shared" si="28"/>
        <v>Anak 18 sangat baik  dalam mengetahui tanda tempo dan tinggi rendah nada.</v>
      </c>
    </row>
    <row r="23" spans="2:77" ht="63.75" customHeight="1">
      <c r="B23" s="109">
        <v>19</v>
      </c>
      <c r="C23" s="110">
        <f>SISWA!B24</f>
        <v>0</v>
      </c>
      <c r="D23" s="111" t="str">
        <f>SISWA!E24</f>
        <v>Anak 19</v>
      </c>
      <c r="E23" s="631">
        <v>99</v>
      </c>
      <c r="F23" s="631">
        <v>99</v>
      </c>
      <c r="G23" s="631">
        <v>99</v>
      </c>
      <c r="H23" s="613">
        <v>99</v>
      </c>
      <c r="I23" s="730"/>
      <c r="J23" s="730"/>
      <c r="K23" s="731"/>
      <c r="L23" s="731"/>
      <c r="M23" s="731"/>
      <c r="N23" s="731"/>
      <c r="O23" s="730"/>
      <c r="P23" s="730"/>
      <c r="Q23" s="610"/>
      <c r="R23" s="631"/>
      <c r="S23" s="631">
        <v>99</v>
      </c>
      <c r="T23" s="631">
        <v>99</v>
      </c>
      <c r="U23" s="631">
        <v>99</v>
      </c>
      <c r="V23" s="631"/>
      <c r="W23" s="631"/>
      <c r="X23" s="610"/>
      <c r="Y23" s="631">
        <v>99</v>
      </c>
      <c r="Z23" s="631">
        <v>99</v>
      </c>
      <c r="AA23" s="631">
        <v>99</v>
      </c>
      <c r="AB23" s="609"/>
      <c r="AC23" s="609"/>
      <c r="AD23" s="606"/>
      <c r="AE23" s="518"/>
      <c r="AF23" s="607">
        <f t="shared" si="11"/>
        <v>99</v>
      </c>
      <c r="AG23" s="607">
        <f t="shared" si="12"/>
        <v>99</v>
      </c>
      <c r="AH23" s="607">
        <f t="shared" si="13"/>
        <v>99</v>
      </c>
      <c r="AI23" s="607">
        <f t="shared" si="14"/>
        <v>99</v>
      </c>
      <c r="AJ23" s="529"/>
      <c r="AK23" s="528"/>
      <c r="AL23" s="528"/>
      <c r="AM23" s="528"/>
      <c r="AN23" s="302">
        <f t="shared" si="5"/>
        <v>99</v>
      </c>
      <c r="AO23" s="303" t="str">
        <f>IF(AN23&gt;KKM!$G$10,"A",IF(AN23&gt;KKM!$H$10,"B",IF(AN23&gt;=KKM!$I$10,"C","D")))</f>
        <v>A</v>
      </c>
      <c r="AP23" s="523">
        <f t="shared" si="6"/>
        <v>99</v>
      </c>
      <c r="AQ23" s="115" t="str">
        <f>IF(AP23&gt;KKM!$G$10," sangat baik ",IF(AP23&gt;KKM!$H$10," baik ",IF(AP23&gt;=KKM!$I$10," cukup baik "," perlu bimbingan ")))</f>
        <v xml:space="preserve"> sangat baik </v>
      </c>
      <c r="AR23" s="524">
        <f t="shared" si="7"/>
        <v>99</v>
      </c>
      <c r="AS23" s="115" t="str">
        <f>IF(AR23&gt;KKM!$G$10," sangat baik ",IF(AR23&gt;KKM!$H$10," baik ",IF(AR23&gt;=KKM!$I$10," cukup baik "," perlu bimbingan ")))</f>
        <v xml:space="preserve"> sangat baik </v>
      </c>
      <c r="AT23" s="301" t="str">
        <f t="shared" si="15"/>
        <v>Anak 19 sangat baik  dalam mengetahui gambar dan bentuk tiga dimensi.</v>
      </c>
      <c r="AU23" s="306"/>
      <c r="AV23" s="307" t="str">
        <f t="shared" si="8"/>
        <v xml:space="preserve"> sangat baik  dalam mengetahui gambar dan bentuk tiga dimensi.</v>
      </c>
      <c r="AW23" s="307" t="str">
        <f t="shared" si="9"/>
        <v xml:space="preserve"> sangat baik  dalam mengetahui gambar dan bentuk tiga dimensi.</v>
      </c>
      <c r="AX23" s="307" t="str">
        <f t="shared" si="16"/>
        <v xml:space="preserve"> sangat baik  dalam mengetahui gambar dan bentuk tiga dimensi., dan  sangat baik  dalam mengetahui gambar dan bentuk tiga dimensi.</v>
      </c>
      <c r="AY23" s="307" t="str">
        <f t="shared" si="17"/>
        <v xml:space="preserve"> sangat baik  dalam mengetahui gambar dan bentuk tiga dimensi.</v>
      </c>
      <c r="AZ23" s="308" t="str">
        <f t="shared" si="18"/>
        <v xml:space="preserve"> sangat baik  dalam mengetahui gambar dan bentuk tiga dimensi.</v>
      </c>
      <c r="BA23" s="301" t="str">
        <f t="shared" si="10"/>
        <v>Anak 19 sangat baik  dalam mengetahui gambar dan bentuk tiga dimensi.</v>
      </c>
      <c r="BB23" s="120"/>
      <c r="BJ23" s="408">
        <f t="shared" si="19"/>
        <v>99</v>
      </c>
      <c r="BM23" s="302">
        <f t="shared" si="20"/>
        <v>99</v>
      </c>
      <c r="BN23" s="303" t="str">
        <f>IF(BM23&gt;KKM!$G$10,"A",IF(BM23&gt;KKM!$H$10,"B",IF(BM23&gt;=KKM!$I$10,"C","D")))</f>
        <v>A</v>
      </c>
      <c r="BO23" s="523">
        <f t="shared" si="21"/>
        <v>99</v>
      </c>
      <c r="BP23" s="115" t="str">
        <f>IF(BO23&gt;KKM!$G$10," sangat baik ",IF(BO23&gt;KKM!$H$10," baik ",IF(BO23&gt;=KKM!$I$10," cukup baik "," perlu bimbingan ")))</f>
        <v xml:space="preserve"> sangat baik </v>
      </c>
      <c r="BQ23" s="524">
        <f t="shared" si="22"/>
        <v>99</v>
      </c>
      <c r="BR23" s="115" t="str">
        <f>IF(BQ23&gt;KKM!$G$10," sangat baik ",IF(BQ23&gt;KKM!$H$10," baik ",IF(BQ23&gt;=KKM!$I$10," cukup baik "," perlu bimbingan ")))</f>
        <v xml:space="preserve"> sangat baik </v>
      </c>
      <c r="BS23" s="301" t="str">
        <f t="shared" si="29"/>
        <v>Anak 19 sangat baik  dalam mengetahui tanda tempo dan tinggi rendah nada.</v>
      </c>
      <c r="BT23" s="307" t="str">
        <f t="shared" si="23"/>
        <v xml:space="preserve"> sangat baik  dalam mengetahui tanda tempo dan tinggi rendah nada.</v>
      </c>
      <c r="BU23" s="307" t="str">
        <f t="shared" si="24"/>
        <v xml:space="preserve"> sangat baik  dalam mengetahui tanda tempo dan tinggi rendah nada.</v>
      </c>
      <c r="BV23" s="307" t="str">
        <f t="shared" si="25"/>
        <v xml:space="preserve"> sangat baik  dalam mengetahui tanda tempo dan tinggi rendah nada., dan  sangat baik  dalam mengetahui tanda tempo dan tinggi rendah nada.</v>
      </c>
      <c r="BW23" s="307" t="str">
        <f t="shared" si="26"/>
        <v xml:space="preserve"> sangat baik  dalam mengetahui tanda tempo dan tinggi rendah nada.</v>
      </c>
      <c r="BX23" s="308" t="str">
        <f t="shared" si="27"/>
        <v xml:space="preserve"> sangat baik  dalam mengetahui tanda tempo dan tinggi rendah nada.</v>
      </c>
      <c r="BY23" s="301" t="str">
        <f t="shared" si="28"/>
        <v>Anak 19 sangat baik  dalam mengetahui tanda tempo dan tinggi rendah nada.</v>
      </c>
    </row>
    <row r="24" spans="2:77" ht="63.75" customHeight="1">
      <c r="B24" s="109">
        <v>20</v>
      </c>
      <c r="C24" s="110">
        <f>SISWA!B25</f>
        <v>0</v>
      </c>
      <c r="D24" s="111" t="str">
        <f>SISWA!E25</f>
        <v>Anak 20</v>
      </c>
      <c r="E24" s="631">
        <v>99</v>
      </c>
      <c r="F24" s="631">
        <v>99</v>
      </c>
      <c r="G24" s="631">
        <v>99</v>
      </c>
      <c r="H24" s="613">
        <v>99</v>
      </c>
      <c r="I24" s="730"/>
      <c r="J24" s="730"/>
      <c r="K24" s="731"/>
      <c r="L24" s="731"/>
      <c r="M24" s="731"/>
      <c r="N24" s="731"/>
      <c r="O24" s="730"/>
      <c r="P24" s="730"/>
      <c r="Q24" s="610"/>
      <c r="R24" s="631"/>
      <c r="S24" s="631">
        <v>99</v>
      </c>
      <c r="T24" s="631">
        <v>99</v>
      </c>
      <c r="U24" s="631">
        <v>99</v>
      </c>
      <c r="V24" s="631"/>
      <c r="W24" s="631"/>
      <c r="X24" s="610"/>
      <c r="Y24" s="631">
        <v>99</v>
      </c>
      <c r="Z24" s="631">
        <v>99</v>
      </c>
      <c r="AA24" s="631">
        <v>99</v>
      </c>
      <c r="AB24" s="609"/>
      <c r="AC24" s="609"/>
      <c r="AD24" s="606"/>
      <c r="AE24" s="518"/>
      <c r="AF24" s="607">
        <f t="shared" si="11"/>
        <v>99</v>
      </c>
      <c r="AG24" s="607">
        <f t="shared" si="12"/>
        <v>99</v>
      </c>
      <c r="AH24" s="607">
        <f t="shared" si="13"/>
        <v>99</v>
      </c>
      <c r="AI24" s="607">
        <f t="shared" si="14"/>
        <v>99</v>
      </c>
      <c r="AJ24" s="529"/>
      <c r="AK24" s="528"/>
      <c r="AL24" s="528"/>
      <c r="AM24" s="528"/>
      <c r="AN24" s="302">
        <f t="shared" si="5"/>
        <v>99</v>
      </c>
      <c r="AO24" s="303" t="str">
        <f>IF(AN24&gt;KKM!$G$10,"A",IF(AN24&gt;KKM!$H$10,"B",IF(AN24&gt;=KKM!$I$10,"C","D")))</f>
        <v>A</v>
      </c>
      <c r="AP24" s="523">
        <f t="shared" si="6"/>
        <v>99</v>
      </c>
      <c r="AQ24" s="115" t="str">
        <f>IF(AP24&gt;KKM!$G$10," sangat baik ",IF(AP24&gt;KKM!$H$10," baik ",IF(AP24&gt;=KKM!$I$10," cukup baik "," perlu bimbingan ")))</f>
        <v xml:space="preserve"> sangat baik </v>
      </c>
      <c r="AR24" s="524">
        <f t="shared" si="7"/>
        <v>99</v>
      </c>
      <c r="AS24" s="115" t="str">
        <f>IF(AR24&gt;KKM!$G$10," sangat baik ",IF(AR24&gt;KKM!$H$10," baik ",IF(AR24&gt;=KKM!$I$10," cukup baik "," perlu bimbingan ")))</f>
        <v xml:space="preserve"> sangat baik </v>
      </c>
      <c r="AT24" s="301" t="str">
        <f t="shared" si="15"/>
        <v>Anak 20 sangat baik  dalam mengetahui gambar dan bentuk tiga dimensi.</v>
      </c>
      <c r="AU24" s="306"/>
      <c r="AV24" s="307" t="str">
        <f t="shared" si="8"/>
        <v xml:space="preserve"> sangat baik  dalam mengetahui gambar dan bentuk tiga dimensi.</v>
      </c>
      <c r="AW24" s="307" t="str">
        <f t="shared" si="9"/>
        <v xml:space="preserve"> sangat baik  dalam mengetahui gambar dan bentuk tiga dimensi.</v>
      </c>
      <c r="AX24" s="307" t="str">
        <f t="shared" si="16"/>
        <v xml:space="preserve"> sangat baik  dalam mengetahui gambar dan bentuk tiga dimensi., dan  sangat baik  dalam mengetahui gambar dan bentuk tiga dimensi.</v>
      </c>
      <c r="AY24" s="307" t="str">
        <f t="shared" si="17"/>
        <v xml:space="preserve"> sangat baik  dalam mengetahui gambar dan bentuk tiga dimensi.</v>
      </c>
      <c r="AZ24" s="308" t="str">
        <f t="shared" si="18"/>
        <v xml:space="preserve"> sangat baik  dalam mengetahui gambar dan bentuk tiga dimensi.</v>
      </c>
      <c r="BA24" s="301" t="str">
        <f t="shared" si="10"/>
        <v>Anak 20 sangat baik  dalam mengetahui gambar dan bentuk tiga dimensi.</v>
      </c>
      <c r="BB24" s="120"/>
      <c r="BJ24" s="408">
        <f t="shared" si="19"/>
        <v>99</v>
      </c>
      <c r="BM24" s="302">
        <f t="shared" si="20"/>
        <v>99</v>
      </c>
      <c r="BN24" s="303" t="str">
        <f>IF(BM24&gt;KKM!$G$10,"A",IF(BM24&gt;KKM!$H$10,"B",IF(BM24&gt;=KKM!$I$10,"C","D")))</f>
        <v>A</v>
      </c>
      <c r="BO24" s="523">
        <f t="shared" si="21"/>
        <v>99</v>
      </c>
      <c r="BP24" s="115" t="str">
        <f>IF(BO24&gt;KKM!$G$10," sangat baik ",IF(BO24&gt;KKM!$H$10," baik ",IF(BO24&gt;=KKM!$I$10," cukup baik "," perlu bimbingan ")))</f>
        <v xml:space="preserve"> sangat baik </v>
      </c>
      <c r="BQ24" s="524">
        <f t="shared" si="22"/>
        <v>99</v>
      </c>
      <c r="BR24" s="115" t="str">
        <f>IF(BQ24&gt;KKM!$G$10," sangat baik ",IF(BQ24&gt;KKM!$H$10," baik ",IF(BQ24&gt;=KKM!$I$10," cukup baik "," perlu bimbingan ")))</f>
        <v xml:space="preserve"> sangat baik </v>
      </c>
      <c r="BS24" s="301" t="str">
        <f t="shared" si="29"/>
        <v>Anak 20 sangat baik  dalam mengetahui tanda tempo dan tinggi rendah nada.</v>
      </c>
      <c r="BT24" s="307" t="str">
        <f t="shared" si="23"/>
        <v xml:space="preserve"> sangat baik  dalam mengetahui tanda tempo dan tinggi rendah nada.</v>
      </c>
      <c r="BU24" s="307" t="str">
        <f t="shared" si="24"/>
        <v xml:space="preserve"> sangat baik  dalam mengetahui tanda tempo dan tinggi rendah nada.</v>
      </c>
      <c r="BV24" s="307" t="str">
        <f t="shared" si="25"/>
        <v xml:space="preserve"> sangat baik  dalam mengetahui tanda tempo dan tinggi rendah nada., dan  sangat baik  dalam mengetahui tanda tempo dan tinggi rendah nada.</v>
      </c>
      <c r="BW24" s="307" t="str">
        <f t="shared" si="26"/>
        <v xml:space="preserve"> sangat baik  dalam mengetahui tanda tempo dan tinggi rendah nada.</v>
      </c>
      <c r="BX24" s="308" t="str">
        <f t="shared" si="27"/>
        <v xml:space="preserve"> sangat baik  dalam mengetahui tanda tempo dan tinggi rendah nada.</v>
      </c>
      <c r="BY24" s="301" t="str">
        <f t="shared" si="28"/>
        <v>Anak 20 sangat baik  dalam mengetahui tanda tempo dan tinggi rendah nada.</v>
      </c>
    </row>
    <row r="25" spans="2:77" ht="63.75" customHeight="1">
      <c r="B25" s="109">
        <v>21</v>
      </c>
      <c r="C25" s="110">
        <f>SISWA!B26</f>
        <v>0</v>
      </c>
      <c r="D25" s="111" t="str">
        <f>SISWA!E26</f>
        <v>Anak 21</v>
      </c>
      <c r="E25" s="631">
        <v>99</v>
      </c>
      <c r="F25" s="631">
        <v>99</v>
      </c>
      <c r="G25" s="631">
        <v>99</v>
      </c>
      <c r="H25" s="613">
        <v>99</v>
      </c>
      <c r="I25" s="730"/>
      <c r="J25" s="730"/>
      <c r="K25" s="731"/>
      <c r="L25" s="731"/>
      <c r="M25" s="731"/>
      <c r="N25" s="731"/>
      <c r="O25" s="730"/>
      <c r="P25" s="730"/>
      <c r="Q25" s="610"/>
      <c r="R25" s="631"/>
      <c r="S25" s="631">
        <v>99</v>
      </c>
      <c r="T25" s="631">
        <v>99</v>
      </c>
      <c r="U25" s="631">
        <v>99</v>
      </c>
      <c r="V25" s="631"/>
      <c r="W25" s="631"/>
      <c r="X25" s="610"/>
      <c r="Y25" s="631">
        <v>99</v>
      </c>
      <c r="Z25" s="631">
        <v>99</v>
      </c>
      <c r="AA25" s="631">
        <v>99</v>
      </c>
      <c r="AB25" s="609"/>
      <c r="AC25" s="609"/>
      <c r="AD25" s="606"/>
      <c r="AE25" s="518"/>
      <c r="AF25" s="607">
        <f t="shared" si="11"/>
        <v>99</v>
      </c>
      <c r="AG25" s="607">
        <f t="shared" si="12"/>
        <v>99</v>
      </c>
      <c r="AH25" s="607">
        <f t="shared" si="13"/>
        <v>99</v>
      </c>
      <c r="AI25" s="607">
        <f t="shared" si="14"/>
        <v>99</v>
      </c>
      <c r="AJ25" s="529"/>
      <c r="AK25" s="528"/>
      <c r="AL25" s="528"/>
      <c r="AM25" s="528"/>
      <c r="AN25" s="302">
        <f t="shared" si="5"/>
        <v>99</v>
      </c>
      <c r="AO25" s="303" t="str">
        <f>IF(AN25&gt;KKM!$G$10,"A",IF(AN25&gt;KKM!$H$10,"B",IF(AN25&gt;=KKM!$I$10,"C","D")))</f>
        <v>A</v>
      </c>
      <c r="AP25" s="523">
        <f t="shared" si="6"/>
        <v>99</v>
      </c>
      <c r="AQ25" s="115" t="str">
        <f>IF(AP25&gt;KKM!$G$10," sangat baik ",IF(AP25&gt;KKM!$H$10," baik ",IF(AP25&gt;=KKM!$I$10," cukup baik "," perlu bimbingan ")))</f>
        <v xml:space="preserve"> sangat baik </v>
      </c>
      <c r="AR25" s="524">
        <f t="shared" si="7"/>
        <v>99</v>
      </c>
      <c r="AS25" s="115" t="str">
        <f>IF(AR25&gt;KKM!$G$10," sangat baik ",IF(AR25&gt;KKM!$H$10," baik ",IF(AR25&gt;=KKM!$I$10," cukup baik "," perlu bimbingan ")))</f>
        <v xml:space="preserve"> sangat baik </v>
      </c>
      <c r="AT25" s="301" t="str">
        <f t="shared" si="15"/>
        <v>Anak 21 sangat baik  dalam mengetahui gambar dan bentuk tiga dimensi.</v>
      </c>
      <c r="AU25" s="306"/>
      <c r="AV25" s="307" t="str">
        <f t="shared" si="8"/>
        <v xml:space="preserve"> sangat baik  dalam mengetahui gambar dan bentuk tiga dimensi.</v>
      </c>
      <c r="AW25" s="307" t="str">
        <f t="shared" si="9"/>
        <v xml:space="preserve"> sangat baik  dalam mengetahui gambar dan bentuk tiga dimensi.</v>
      </c>
      <c r="AX25" s="307" t="str">
        <f t="shared" si="16"/>
        <v xml:space="preserve"> sangat baik  dalam mengetahui gambar dan bentuk tiga dimensi., dan  sangat baik  dalam mengetahui gambar dan bentuk tiga dimensi.</v>
      </c>
      <c r="AY25" s="307" t="str">
        <f t="shared" si="17"/>
        <v xml:space="preserve"> sangat baik  dalam mengetahui gambar dan bentuk tiga dimensi.</v>
      </c>
      <c r="AZ25" s="308" t="str">
        <f t="shared" si="18"/>
        <v xml:space="preserve"> sangat baik  dalam mengetahui gambar dan bentuk tiga dimensi.</v>
      </c>
      <c r="BA25" s="301" t="str">
        <f t="shared" si="10"/>
        <v>Anak 21 sangat baik  dalam mengetahui gambar dan bentuk tiga dimensi.</v>
      </c>
      <c r="BB25" s="120"/>
      <c r="BJ25" s="408">
        <f t="shared" si="19"/>
        <v>99</v>
      </c>
      <c r="BM25" s="302">
        <f t="shared" si="20"/>
        <v>99</v>
      </c>
      <c r="BN25" s="303" t="str">
        <f>IF(BM25&gt;KKM!$G$10,"A",IF(BM25&gt;KKM!$H$10,"B",IF(BM25&gt;=KKM!$I$10,"C","D")))</f>
        <v>A</v>
      </c>
      <c r="BO25" s="523">
        <f t="shared" si="21"/>
        <v>99</v>
      </c>
      <c r="BP25" s="115" t="str">
        <f>IF(BO25&gt;KKM!$G$10," sangat baik ",IF(BO25&gt;KKM!$H$10," baik ",IF(BO25&gt;=KKM!$I$10," cukup baik "," perlu bimbingan ")))</f>
        <v xml:space="preserve"> sangat baik </v>
      </c>
      <c r="BQ25" s="524">
        <f t="shared" si="22"/>
        <v>99</v>
      </c>
      <c r="BR25" s="115" t="str">
        <f>IF(BQ25&gt;KKM!$G$10," sangat baik ",IF(BQ25&gt;KKM!$H$10," baik ",IF(BQ25&gt;=KKM!$I$10," cukup baik "," perlu bimbingan ")))</f>
        <v xml:space="preserve"> sangat baik </v>
      </c>
      <c r="BS25" s="301" t="str">
        <f t="shared" si="29"/>
        <v>Anak 21 sangat baik  dalam mengetahui tanda tempo dan tinggi rendah nada.</v>
      </c>
      <c r="BT25" s="307" t="str">
        <f t="shared" si="23"/>
        <v xml:space="preserve"> sangat baik  dalam mengetahui tanda tempo dan tinggi rendah nada.</v>
      </c>
      <c r="BU25" s="307" t="str">
        <f t="shared" si="24"/>
        <v xml:space="preserve"> sangat baik  dalam mengetahui tanda tempo dan tinggi rendah nada.</v>
      </c>
      <c r="BV25" s="307" t="str">
        <f t="shared" si="25"/>
        <v xml:space="preserve"> sangat baik  dalam mengetahui tanda tempo dan tinggi rendah nada., dan  sangat baik  dalam mengetahui tanda tempo dan tinggi rendah nada.</v>
      </c>
      <c r="BW25" s="307" t="str">
        <f t="shared" si="26"/>
        <v xml:space="preserve"> sangat baik  dalam mengetahui tanda tempo dan tinggi rendah nada.</v>
      </c>
      <c r="BX25" s="308" t="str">
        <f t="shared" si="27"/>
        <v xml:space="preserve"> sangat baik  dalam mengetahui tanda tempo dan tinggi rendah nada.</v>
      </c>
      <c r="BY25" s="301" t="str">
        <f t="shared" si="28"/>
        <v>Anak 21 sangat baik  dalam mengetahui tanda tempo dan tinggi rendah nada.</v>
      </c>
    </row>
    <row r="26" spans="2:77" ht="63.75" customHeight="1">
      <c r="B26" s="109">
        <v>22</v>
      </c>
      <c r="C26" s="110">
        <f>SISWA!B27</f>
        <v>0</v>
      </c>
      <c r="D26" s="111" t="str">
        <f>SISWA!E27</f>
        <v>Anak 22</v>
      </c>
      <c r="E26" s="631">
        <v>99</v>
      </c>
      <c r="F26" s="631">
        <v>99</v>
      </c>
      <c r="G26" s="631">
        <v>99</v>
      </c>
      <c r="H26" s="613">
        <v>99</v>
      </c>
      <c r="I26" s="730"/>
      <c r="J26" s="730"/>
      <c r="K26" s="731"/>
      <c r="L26" s="731"/>
      <c r="M26" s="731"/>
      <c r="N26" s="731"/>
      <c r="O26" s="730"/>
      <c r="P26" s="730"/>
      <c r="Q26" s="610"/>
      <c r="R26" s="631"/>
      <c r="S26" s="631">
        <v>99</v>
      </c>
      <c r="T26" s="631">
        <v>99</v>
      </c>
      <c r="U26" s="631">
        <v>99</v>
      </c>
      <c r="V26" s="631"/>
      <c r="W26" s="631"/>
      <c r="X26" s="610"/>
      <c r="Y26" s="631">
        <v>99</v>
      </c>
      <c r="Z26" s="631">
        <v>99</v>
      </c>
      <c r="AA26" s="631">
        <v>99</v>
      </c>
      <c r="AB26" s="609"/>
      <c r="AC26" s="609"/>
      <c r="AD26" s="606"/>
      <c r="AE26" s="518"/>
      <c r="AF26" s="607">
        <f t="shared" si="11"/>
        <v>99</v>
      </c>
      <c r="AG26" s="607">
        <f t="shared" si="12"/>
        <v>99</v>
      </c>
      <c r="AH26" s="607">
        <f t="shared" si="13"/>
        <v>99</v>
      </c>
      <c r="AI26" s="607">
        <f t="shared" si="14"/>
        <v>99</v>
      </c>
      <c r="AJ26" s="529"/>
      <c r="AK26" s="528"/>
      <c r="AL26" s="528"/>
      <c r="AM26" s="528"/>
      <c r="AN26" s="302">
        <f t="shared" si="5"/>
        <v>99</v>
      </c>
      <c r="AO26" s="303" t="str">
        <f>IF(AN26&gt;KKM!$G$10,"A",IF(AN26&gt;KKM!$H$10,"B",IF(AN26&gt;=KKM!$I$10,"C","D")))</f>
        <v>A</v>
      </c>
      <c r="AP26" s="523">
        <f t="shared" si="6"/>
        <v>99</v>
      </c>
      <c r="AQ26" s="115" t="str">
        <f>IF(AP26&gt;KKM!$G$10," sangat baik ",IF(AP26&gt;KKM!$H$10," baik ",IF(AP26&gt;=KKM!$I$10," cukup baik "," perlu bimbingan ")))</f>
        <v xml:space="preserve"> sangat baik </v>
      </c>
      <c r="AR26" s="524">
        <f t="shared" si="7"/>
        <v>99</v>
      </c>
      <c r="AS26" s="115" t="str">
        <f>IF(AR26&gt;KKM!$G$10," sangat baik ",IF(AR26&gt;KKM!$H$10," baik ",IF(AR26&gt;=KKM!$I$10," cukup baik "," perlu bimbingan ")))</f>
        <v xml:space="preserve"> sangat baik </v>
      </c>
      <c r="AT26" s="301" t="str">
        <f t="shared" si="15"/>
        <v>Anak 22 sangat baik  dalam mengetahui gambar dan bentuk tiga dimensi.</v>
      </c>
      <c r="AU26" s="306"/>
      <c r="AV26" s="307" t="str">
        <f t="shared" si="8"/>
        <v xml:space="preserve"> sangat baik  dalam mengetahui gambar dan bentuk tiga dimensi.</v>
      </c>
      <c r="AW26" s="307" t="str">
        <f t="shared" si="9"/>
        <v xml:space="preserve"> sangat baik  dalam mengetahui gambar dan bentuk tiga dimensi.</v>
      </c>
      <c r="AX26" s="307" t="str">
        <f t="shared" si="16"/>
        <v xml:space="preserve"> sangat baik  dalam mengetahui gambar dan bentuk tiga dimensi., dan  sangat baik  dalam mengetahui gambar dan bentuk tiga dimensi.</v>
      </c>
      <c r="AY26" s="307" t="str">
        <f t="shared" si="17"/>
        <v xml:space="preserve"> sangat baik  dalam mengetahui gambar dan bentuk tiga dimensi.</v>
      </c>
      <c r="AZ26" s="308" t="str">
        <f t="shared" si="18"/>
        <v xml:space="preserve"> sangat baik  dalam mengetahui gambar dan bentuk tiga dimensi.</v>
      </c>
      <c r="BA26" s="301" t="str">
        <f t="shared" si="10"/>
        <v>Anak 22 sangat baik  dalam mengetahui gambar dan bentuk tiga dimensi.</v>
      </c>
      <c r="BB26" s="120"/>
      <c r="BJ26" s="408">
        <f t="shared" si="19"/>
        <v>99</v>
      </c>
      <c r="BM26" s="302">
        <f t="shared" si="20"/>
        <v>99</v>
      </c>
      <c r="BN26" s="303" t="str">
        <f>IF(BM26&gt;KKM!$G$10,"A",IF(BM26&gt;KKM!$H$10,"B",IF(BM26&gt;=KKM!$I$10,"C","D")))</f>
        <v>A</v>
      </c>
      <c r="BO26" s="523">
        <f t="shared" si="21"/>
        <v>99</v>
      </c>
      <c r="BP26" s="115" t="str">
        <f>IF(BO26&gt;KKM!$G$10," sangat baik ",IF(BO26&gt;KKM!$H$10," baik ",IF(BO26&gt;=KKM!$I$10," cukup baik "," perlu bimbingan ")))</f>
        <v xml:space="preserve"> sangat baik </v>
      </c>
      <c r="BQ26" s="524">
        <f t="shared" si="22"/>
        <v>99</v>
      </c>
      <c r="BR26" s="115" t="str">
        <f>IF(BQ26&gt;KKM!$G$10," sangat baik ",IF(BQ26&gt;KKM!$H$10," baik ",IF(BQ26&gt;=KKM!$I$10," cukup baik "," perlu bimbingan ")))</f>
        <v xml:space="preserve"> sangat baik </v>
      </c>
      <c r="BS26" s="301" t="str">
        <f t="shared" si="29"/>
        <v>Anak 22 sangat baik  dalam mengetahui tanda tempo dan tinggi rendah nada.</v>
      </c>
      <c r="BT26" s="307" t="str">
        <f t="shared" si="23"/>
        <v xml:space="preserve"> sangat baik  dalam mengetahui tanda tempo dan tinggi rendah nada.</v>
      </c>
      <c r="BU26" s="307" t="str">
        <f t="shared" si="24"/>
        <v xml:space="preserve"> sangat baik  dalam mengetahui tanda tempo dan tinggi rendah nada.</v>
      </c>
      <c r="BV26" s="307" t="str">
        <f t="shared" si="25"/>
        <v xml:space="preserve"> sangat baik  dalam mengetahui tanda tempo dan tinggi rendah nada., dan  sangat baik  dalam mengetahui tanda tempo dan tinggi rendah nada.</v>
      </c>
      <c r="BW26" s="307" t="str">
        <f t="shared" si="26"/>
        <v xml:space="preserve"> sangat baik  dalam mengetahui tanda tempo dan tinggi rendah nada.</v>
      </c>
      <c r="BX26" s="308" t="str">
        <f t="shared" si="27"/>
        <v xml:space="preserve"> sangat baik  dalam mengetahui tanda tempo dan tinggi rendah nada.</v>
      </c>
      <c r="BY26" s="301" t="str">
        <f t="shared" si="28"/>
        <v>Anak 22 sangat baik  dalam mengetahui tanda tempo dan tinggi rendah nada.</v>
      </c>
    </row>
    <row r="27" spans="2:77" ht="63.75" customHeight="1">
      <c r="B27" s="109">
        <v>23</v>
      </c>
      <c r="C27" s="110">
        <f>SISWA!B28</f>
        <v>0</v>
      </c>
      <c r="D27" s="111" t="str">
        <f>SISWA!E28</f>
        <v>Anak 23</v>
      </c>
      <c r="E27" s="631">
        <v>99</v>
      </c>
      <c r="F27" s="631">
        <v>99</v>
      </c>
      <c r="G27" s="631">
        <v>99</v>
      </c>
      <c r="H27" s="613">
        <v>99</v>
      </c>
      <c r="I27" s="730"/>
      <c r="J27" s="730"/>
      <c r="K27" s="731"/>
      <c r="L27" s="731"/>
      <c r="M27" s="731"/>
      <c r="N27" s="731"/>
      <c r="O27" s="730"/>
      <c r="P27" s="730"/>
      <c r="Q27" s="610"/>
      <c r="R27" s="631"/>
      <c r="S27" s="631">
        <v>99</v>
      </c>
      <c r="T27" s="631">
        <v>99</v>
      </c>
      <c r="U27" s="631">
        <v>99</v>
      </c>
      <c r="V27" s="631"/>
      <c r="W27" s="631"/>
      <c r="X27" s="610"/>
      <c r="Y27" s="631">
        <v>99</v>
      </c>
      <c r="Z27" s="631">
        <v>99</v>
      </c>
      <c r="AA27" s="631">
        <v>99</v>
      </c>
      <c r="AB27" s="609"/>
      <c r="AC27" s="609"/>
      <c r="AD27" s="606"/>
      <c r="AE27" s="518"/>
      <c r="AF27" s="607">
        <f t="shared" si="11"/>
        <v>99</v>
      </c>
      <c r="AG27" s="607">
        <f t="shared" si="12"/>
        <v>99</v>
      </c>
      <c r="AH27" s="607">
        <f t="shared" si="13"/>
        <v>99</v>
      </c>
      <c r="AI27" s="607">
        <f t="shared" si="14"/>
        <v>99</v>
      </c>
      <c r="AJ27" s="529"/>
      <c r="AK27" s="528"/>
      <c r="AL27" s="528"/>
      <c r="AM27" s="528"/>
      <c r="AN27" s="302">
        <f t="shared" si="5"/>
        <v>99</v>
      </c>
      <c r="AO27" s="303" t="str">
        <f>IF(AN27&gt;KKM!$G$10,"A",IF(AN27&gt;KKM!$H$10,"B",IF(AN27&gt;=KKM!$I$10,"C","D")))</f>
        <v>A</v>
      </c>
      <c r="AP27" s="523">
        <f t="shared" si="6"/>
        <v>99</v>
      </c>
      <c r="AQ27" s="115" t="str">
        <f>IF(AP27&gt;KKM!$G$10," sangat baik ",IF(AP27&gt;KKM!$H$10," baik ",IF(AP27&gt;=KKM!$I$10," cukup baik "," perlu bimbingan ")))</f>
        <v xml:space="preserve"> sangat baik </v>
      </c>
      <c r="AR27" s="524">
        <f t="shared" si="7"/>
        <v>99</v>
      </c>
      <c r="AS27" s="115" t="str">
        <f>IF(AR27&gt;KKM!$G$10," sangat baik ",IF(AR27&gt;KKM!$H$10," baik ",IF(AR27&gt;=KKM!$I$10," cukup baik "," perlu bimbingan ")))</f>
        <v xml:space="preserve"> sangat baik </v>
      </c>
      <c r="AT27" s="301" t="str">
        <f t="shared" si="15"/>
        <v>Anak 23 sangat baik  dalam mengetahui gambar dan bentuk tiga dimensi.</v>
      </c>
      <c r="AU27" s="306"/>
      <c r="AV27" s="307" t="str">
        <f t="shared" si="8"/>
        <v xml:space="preserve"> sangat baik  dalam mengetahui gambar dan bentuk tiga dimensi.</v>
      </c>
      <c r="AW27" s="307" t="str">
        <f t="shared" si="9"/>
        <v xml:space="preserve"> sangat baik  dalam mengetahui gambar dan bentuk tiga dimensi.</v>
      </c>
      <c r="AX27" s="307" t="str">
        <f t="shared" si="16"/>
        <v xml:space="preserve"> sangat baik  dalam mengetahui gambar dan bentuk tiga dimensi., dan  sangat baik  dalam mengetahui gambar dan bentuk tiga dimensi.</v>
      </c>
      <c r="AY27" s="307" t="str">
        <f t="shared" si="17"/>
        <v xml:space="preserve"> sangat baik  dalam mengetahui gambar dan bentuk tiga dimensi.</v>
      </c>
      <c r="AZ27" s="308" t="str">
        <f t="shared" si="18"/>
        <v xml:space="preserve"> sangat baik  dalam mengetahui gambar dan bentuk tiga dimensi.</v>
      </c>
      <c r="BA27" s="301" t="str">
        <f t="shared" si="10"/>
        <v>Anak 23 sangat baik  dalam mengetahui gambar dan bentuk tiga dimensi.</v>
      </c>
      <c r="BB27" s="120"/>
      <c r="BJ27" s="408">
        <f t="shared" si="19"/>
        <v>99</v>
      </c>
      <c r="BM27" s="302">
        <f t="shared" si="20"/>
        <v>99</v>
      </c>
      <c r="BN27" s="303" t="str">
        <f>IF(BM27&gt;KKM!$G$10,"A",IF(BM27&gt;KKM!$H$10,"B",IF(BM27&gt;=KKM!$I$10,"C","D")))</f>
        <v>A</v>
      </c>
      <c r="BO27" s="523">
        <f t="shared" si="21"/>
        <v>99</v>
      </c>
      <c r="BP27" s="115" t="str">
        <f>IF(BO27&gt;KKM!$G$10," sangat baik ",IF(BO27&gt;KKM!$H$10," baik ",IF(BO27&gt;=KKM!$I$10," cukup baik "," perlu bimbingan ")))</f>
        <v xml:space="preserve"> sangat baik </v>
      </c>
      <c r="BQ27" s="524">
        <f t="shared" si="22"/>
        <v>99</v>
      </c>
      <c r="BR27" s="115" t="str">
        <f>IF(BQ27&gt;KKM!$G$10," sangat baik ",IF(BQ27&gt;KKM!$H$10," baik ",IF(BQ27&gt;=KKM!$I$10," cukup baik "," perlu bimbingan ")))</f>
        <v xml:space="preserve"> sangat baik </v>
      </c>
      <c r="BS27" s="301" t="str">
        <f t="shared" si="29"/>
        <v>Anak 23 sangat baik  dalam mengetahui tanda tempo dan tinggi rendah nada.</v>
      </c>
      <c r="BT27" s="307" t="str">
        <f t="shared" si="23"/>
        <v xml:space="preserve"> sangat baik  dalam mengetahui tanda tempo dan tinggi rendah nada.</v>
      </c>
      <c r="BU27" s="307" t="str">
        <f t="shared" si="24"/>
        <v xml:space="preserve"> sangat baik  dalam mengetahui tanda tempo dan tinggi rendah nada.</v>
      </c>
      <c r="BV27" s="307" t="str">
        <f t="shared" si="25"/>
        <v xml:space="preserve"> sangat baik  dalam mengetahui tanda tempo dan tinggi rendah nada., dan  sangat baik  dalam mengetahui tanda tempo dan tinggi rendah nada.</v>
      </c>
      <c r="BW27" s="307" t="str">
        <f t="shared" si="26"/>
        <v xml:space="preserve"> sangat baik  dalam mengetahui tanda tempo dan tinggi rendah nada.</v>
      </c>
      <c r="BX27" s="308" t="str">
        <f t="shared" si="27"/>
        <v xml:space="preserve"> sangat baik  dalam mengetahui tanda tempo dan tinggi rendah nada.</v>
      </c>
      <c r="BY27" s="301" t="str">
        <f t="shared" si="28"/>
        <v>Anak 23 sangat baik  dalam mengetahui tanda tempo dan tinggi rendah nada.</v>
      </c>
    </row>
    <row r="28" spans="2:77" ht="63.75" customHeight="1">
      <c r="B28" s="109">
        <v>24</v>
      </c>
      <c r="C28" s="110">
        <f>SISWA!B29</f>
        <v>0</v>
      </c>
      <c r="D28" s="111" t="str">
        <f>SISWA!E29</f>
        <v>Anak 24</v>
      </c>
      <c r="E28" s="631">
        <v>99</v>
      </c>
      <c r="F28" s="631">
        <v>99</v>
      </c>
      <c r="G28" s="631">
        <v>99</v>
      </c>
      <c r="H28" s="613">
        <v>99</v>
      </c>
      <c r="I28" s="730"/>
      <c r="J28" s="730"/>
      <c r="K28" s="731"/>
      <c r="L28" s="731"/>
      <c r="M28" s="731"/>
      <c r="N28" s="731"/>
      <c r="O28" s="730"/>
      <c r="P28" s="730"/>
      <c r="Q28" s="610"/>
      <c r="R28" s="631"/>
      <c r="S28" s="631">
        <v>99</v>
      </c>
      <c r="T28" s="631">
        <v>99</v>
      </c>
      <c r="U28" s="631">
        <v>99</v>
      </c>
      <c r="V28" s="631"/>
      <c r="W28" s="631"/>
      <c r="X28" s="610"/>
      <c r="Y28" s="631">
        <v>99</v>
      </c>
      <c r="Z28" s="631">
        <v>99</v>
      </c>
      <c r="AA28" s="631">
        <v>99</v>
      </c>
      <c r="AB28" s="609"/>
      <c r="AC28" s="609"/>
      <c r="AD28" s="606"/>
      <c r="AE28" s="518"/>
      <c r="AF28" s="607">
        <f t="shared" si="11"/>
        <v>99</v>
      </c>
      <c r="AG28" s="607">
        <f t="shared" si="12"/>
        <v>99</v>
      </c>
      <c r="AH28" s="607">
        <f t="shared" si="13"/>
        <v>99</v>
      </c>
      <c r="AI28" s="607">
        <f t="shared" si="14"/>
        <v>99</v>
      </c>
      <c r="AJ28" s="529"/>
      <c r="AK28" s="528"/>
      <c r="AL28" s="528"/>
      <c r="AM28" s="528"/>
      <c r="AN28" s="302">
        <f t="shared" si="5"/>
        <v>99</v>
      </c>
      <c r="AO28" s="303" t="str">
        <f>IF(AN28&gt;KKM!$G$10,"A",IF(AN28&gt;KKM!$H$10,"B",IF(AN28&gt;=KKM!$I$10,"C","D")))</f>
        <v>A</v>
      </c>
      <c r="AP28" s="523">
        <f t="shared" si="6"/>
        <v>99</v>
      </c>
      <c r="AQ28" s="115" t="str">
        <f>IF(AP28&gt;KKM!$G$10," sangat baik ",IF(AP28&gt;KKM!$H$10," baik ",IF(AP28&gt;=KKM!$I$10," cukup baik "," perlu bimbingan ")))</f>
        <v xml:space="preserve"> sangat baik </v>
      </c>
      <c r="AR28" s="524">
        <f t="shared" si="7"/>
        <v>99</v>
      </c>
      <c r="AS28" s="115" t="str">
        <f>IF(AR28&gt;KKM!$G$10," sangat baik ",IF(AR28&gt;KKM!$H$10," baik ",IF(AR28&gt;=KKM!$I$10," cukup baik "," perlu bimbingan ")))</f>
        <v xml:space="preserve"> sangat baik </v>
      </c>
      <c r="AT28" s="301" t="str">
        <f t="shared" si="15"/>
        <v>Anak 24 sangat baik  dalam mengetahui gambar dan bentuk tiga dimensi.</v>
      </c>
      <c r="AU28" s="306"/>
      <c r="AV28" s="307" t="str">
        <f t="shared" si="8"/>
        <v xml:space="preserve"> sangat baik  dalam mengetahui gambar dan bentuk tiga dimensi.</v>
      </c>
      <c r="AW28" s="307" t="str">
        <f t="shared" si="9"/>
        <v xml:space="preserve"> sangat baik  dalam mengetahui gambar dan bentuk tiga dimensi.</v>
      </c>
      <c r="AX28" s="307" t="str">
        <f t="shared" si="16"/>
        <v xml:space="preserve"> sangat baik  dalam mengetahui gambar dan bentuk tiga dimensi., dan  sangat baik  dalam mengetahui gambar dan bentuk tiga dimensi.</v>
      </c>
      <c r="AY28" s="307" t="str">
        <f t="shared" si="17"/>
        <v xml:space="preserve"> sangat baik  dalam mengetahui gambar dan bentuk tiga dimensi.</v>
      </c>
      <c r="AZ28" s="308" t="str">
        <f t="shared" si="18"/>
        <v xml:space="preserve"> sangat baik  dalam mengetahui gambar dan bentuk tiga dimensi.</v>
      </c>
      <c r="BA28" s="301" t="str">
        <f t="shared" si="10"/>
        <v>Anak 24 sangat baik  dalam mengetahui gambar dan bentuk tiga dimensi.</v>
      </c>
      <c r="BB28" s="120"/>
      <c r="BJ28" s="408">
        <f t="shared" si="19"/>
        <v>99</v>
      </c>
      <c r="BM28" s="302">
        <f t="shared" si="20"/>
        <v>99</v>
      </c>
      <c r="BN28" s="303" t="str">
        <f>IF(BM28&gt;KKM!$G$10,"A",IF(BM28&gt;KKM!$H$10,"B",IF(BM28&gt;=KKM!$I$10,"C","D")))</f>
        <v>A</v>
      </c>
      <c r="BO28" s="523">
        <f t="shared" si="21"/>
        <v>99</v>
      </c>
      <c r="BP28" s="115" t="str">
        <f>IF(BO28&gt;KKM!$G$10," sangat baik ",IF(BO28&gt;KKM!$H$10," baik ",IF(BO28&gt;=KKM!$I$10," cukup baik "," perlu bimbingan ")))</f>
        <v xml:space="preserve"> sangat baik </v>
      </c>
      <c r="BQ28" s="524">
        <f t="shared" si="22"/>
        <v>99</v>
      </c>
      <c r="BR28" s="115" t="str">
        <f>IF(BQ28&gt;KKM!$G$10," sangat baik ",IF(BQ28&gt;KKM!$H$10," baik ",IF(BQ28&gt;=KKM!$I$10," cukup baik "," perlu bimbingan ")))</f>
        <v xml:space="preserve"> sangat baik </v>
      </c>
      <c r="BS28" s="301" t="str">
        <f t="shared" si="29"/>
        <v>Anak 24 sangat baik  dalam mengetahui tanda tempo dan tinggi rendah nada.</v>
      </c>
      <c r="BT28" s="307" t="str">
        <f t="shared" si="23"/>
        <v xml:space="preserve"> sangat baik  dalam mengetahui tanda tempo dan tinggi rendah nada.</v>
      </c>
      <c r="BU28" s="307" t="str">
        <f t="shared" si="24"/>
        <v xml:space="preserve"> sangat baik  dalam mengetahui tanda tempo dan tinggi rendah nada.</v>
      </c>
      <c r="BV28" s="307" t="str">
        <f t="shared" si="25"/>
        <v xml:space="preserve"> sangat baik  dalam mengetahui tanda tempo dan tinggi rendah nada., dan  sangat baik  dalam mengetahui tanda tempo dan tinggi rendah nada.</v>
      </c>
      <c r="BW28" s="307" t="str">
        <f t="shared" si="26"/>
        <v xml:space="preserve"> sangat baik  dalam mengetahui tanda tempo dan tinggi rendah nada.</v>
      </c>
      <c r="BX28" s="308" t="str">
        <f t="shared" si="27"/>
        <v xml:space="preserve"> sangat baik  dalam mengetahui tanda tempo dan tinggi rendah nada.</v>
      </c>
      <c r="BY28" s="301" t="str">
        <f t="shared" si="28"/>
        <v>Anak 24 sangat baik  dalam mengetahui tanda tempo dan tinggi rendah nada.</v>
      </c>
    </row>
    <row r="29" spans="2:77" ht="63.75" customHeight="1">
      <c r="B29" s="109">
        <v>25</v>
      </c>
      <c r="C29" s="110">
        <f>SISWA!B30</f>
        <v>0</v>
      </c>
      <c r="D29" s="111" t="str">
        <f>SISWA!E30</f>
        <v>Anak 25</v>
      </c>
      <c r="E29" s="631">
        <v>99</v>
      </c>
      <c r="F29" s="631">
        <v>99</v>
      </c>
      <c r="G29" s="631">
        <v>99</v>
      </c>
      <c r="H29" s="613">
        <v>99</v>
      </c>
      <c r="I29" s="730"/>
      <c r="J29" s="730"/>
      <c r="K29" s="731"/>
      <c r="L29" s="731"/>
      <c r="M29" s="731"/>
      <c r="N29" s="731"/>
      <c r="O29" s="730"/>
      <c r="P29" s="730"/>
      <c r="Q29" s="610"/>
      <c r="R29" s="631"/>
      <c r="S29" s="631">
        <v>99</v>
      </c>
      <c r="T29" s="631">
        <v>99</v>
      </c>
      <c r="U29" s="631">
        <v>99</v>
      </c>
      <c r="V29" s="631"/>
      <c r="W29" s="631"/>
      <c r="X29" s="610"/>
      <c r="Y29" s="631">
        <v>99</v>
      </c>
      <c r="Z29" s="631">
        <v>99</v>
      </c>
      <c r="AA29" s="631">
        <v>99</v>
      </c>
      <c r="AB29" s="609"/>
      <c r="AC29" s="609"/>
      <c r="AD29" s="606"/>
      <c r="AE29" s="518"/>
      <c r="AF29" s="607">
        <f t="shared" si="11"/>
        <v>99</v>
      </c>
      <c r="AG29" s="607">
        <f t="shared" si="12"/>
        <v>99</v>
      </c>
      <c r="AH29" s="607">
        <f t="shared" si="13"/>
        <v>99</v>
      </c>
      <c r="AI29" s="607">
        <f t="shared" si="14"/>
        <v>99</v>
      </c>
      <c r="AJ29" s="529"/>
      <c r="AK29" s="528"/>
      <c r="AL29" s="528"/>
      <c r="AM29" s="528"/>
      <c r="AN29" s="302">
        <f t="shared" si="5"/>
        <v>99</v>
      </c>
      <c r="AO29" s="303" t="str">
        <f>IF(AN29&gt;KKM!$G$10,"A",IF(AN29&gt;KKM!$H$10,"B",IF(AN29&gt;=KKM!$I$10,"C","D")))</f>
        <v>A</v>
      </c>
      <c r="AP29" s="523">
        <f t="shared" si="6"/>
        <v>99</v>
      </c>
      <c r="AQ29" s="115" t="str">
        <f>IF(AP29&gt;KKM!$G$10," sangat baik ",IF(AP29&gt;KKM!$H$10," baik ",IF(AP29&gt;=KKM!$I$10," cukup baik "," perlu bimbingan ")))</f>
        <v xml:space="preserve"> sangat baik </v>
      </c>
      <c r="AR29" s="524">
        <f t="shared" si="7"/>
        <v>99</v>
      </c>
      <c r="AS29" s="115" t="str">
        <f>IF(AR29&gt;KKM!$G$10," sangat baik ",IF(AR29&gt;KKM!$H$10," baik ",IF(AR29&gt;=KKM!$I$10," cukup baik "," perlu bimbingan ")))</f>
        <v xml:space="preserve"> sangat baik </v>
      </c>
      <c r="AT29" s="301" t="str">
        <f t="shared" si="15"/>
        <v>Anak 25 sangat baik  dalam mengetahui gambar dan bentuk tiga dimensi.</v>
      </c>
      <c r="AU29" s="306"/>
      <c r="AV29" s="307" t="str">
        <f t="shared" si="8"/>
        <v xml:space="preserve"> sangat baik  dalam mengetahui gambar dan bentuk tiga dimensi.</v>
      </c>
      <c r="AW29" s="307" t="str">
        <f t="shared" si="9"/>
        <v xml:space="preserve"> sangat baik  dalam mengetahui gambar dan bentuk tiga dimensi.</v>
      </c>
      <c r="AX29" s="307" t="str">
        <f t="shared" si="16"/>
        <v xml:space="preserve"> sangat baik  dalam mengetahui gambar dan bentuk tiga dimensi., dan  sangat baik  dalam mengetahui gambar dan bentuk tiga dimensi.</v>
      </c>
      <c r="AY29" s="307" t="str">
        <f t="shared" si="17"/>
        <v xml:space="preserve"> sangat baik  dalam mengetahui gambar dan bentuk tiga dimensi.</v>
      </c>
      <c r="AZ29" s="308" t="str">
        <f t="shared" si="18"/>
        <v xml:space="preserve"> sangat baik  dalam mengetahui gambar dan bentuk tiga dimensi.</v>
      </c>
      <c r="BA29" s="301" t="str">
        <f t="shared" si="10"/>
        <v>Anak 25 sangat baik  dalam mengetahui gambar dan bentuk tiga dimensi.</v>
      </c>
      <c r="BB29" s="120"/>
      <c r="BJ29" s="408">
        <f t="shared" si="19"/>
        <v>99</v>
      </c>
      <c r="BM29" s="302">
        <f t="shared" si="20"/>
        <v>99</v>
      </c>
      <c r="BN29" s="303" t="str">
        <f>IF(BM29&gt;KKM!$G$10,"A",IF(BM29&gt;KKM!$H$10,"B",IF(BM29&gt;=KKM!$I$10,"C","D")))</f>
        <v>A</v>
      </c>
      <c r="BO29" s="523">
        <f t="shared" si="21"/>
        <v>99</v>
      </c>
      <c r="BP29" s="115" t="str">
        <f>IF(BO29&gt;KKM!$G$10," sangat baik ",IF(BO29&gt;KKM!$H$10," baik ",IF(BO29&gt;=KKM!$I$10," cukup baik "," perlu bimbingan ")))</f>
        <v xml:space="preserve"> sangat baik </v>
      </c>
      <c r="BQ29" s="524">
        <f t="shared" si="22"/>
        <v>99</v>
      </c>
      <c r="BR29" s="115" t="str">
        <f>IF(BQ29&gt;KKM!$G$10," sangat baik ",IF(BQ29&gt;KKM!$H$10," baik ",IF(BQ29&gt;=KKM!$I$10," cukup baik "," perlu bimbingan ")))</f>
        <v xml:space="preserve"> sangat baik </v>
      </c>
      <c r="BS29" s="301" t="str">
        <f t="shared" si="29"/>
        <v>Anak 25 sangat baik  dalam mengetahui tanda tempo dan tinggi rendah nada.</v>
      </c>
      <c r="BT29" s="307" t="str">
        <f t="shared" si="23"/>
        <v xml:space="preserve"> sangat baik  dalam mengetahui tanda tempo dan tinggi rendah nada.</v>
      </c>
      <c r="BU29" s="307" t="str">
        <f t="shared" si="24"/>
        <v xml:space="preserve"> sangat baik  dalam mengetahui tanda tempo dan tinggi rendah nada.</v>
      </c>
      <c r="BV29" s="307" t="str">
        <f t="shared" si="25"/>
        <v xml:space="preserve"> sangat baik  dalam mengetahui tanda tempo dan tinggi rendah nada., dan  sangat baik  dalam mengetahui tanda tempo dan tinggi rendah nada.</v>
      </c>
      <c r="BW29" s="307" t="str">
        <f t="shared" si="26"/>
        <v xml:space="preserve"> sangat baik  dalam mengetahui tanda tempo dan tinggi rendah nada.</v>
      </c>
      <c r="BX29" s="308" t="str">
        <f t="shared" si="27"/>
        <v xml:space="preserve"> sangat baik  dalam mengetahui tanda tempo dan tinggi rendah nada.</v>
      </c>
      <c r="BY29" s="301" t="str">
        <f t="shared" si="28"/>
        <v>Anak 25 sangat baik  dalam mengetahui tanda tempo dan tinggi rendah nada.</v>
      </c>
    </row>
    <row r="30" spans="2:77" ht="63.75" customHeight="1">
      <c r="B30" s="109">
        <v>26</v>
      </c>
      <c r="C30" s="110">
        <f>SISWA!B31</f>
        <v>0</v>
      </c>
      <c r="D30" s="111" t="str">
        <f>SISWA!E31</f>
        <v>Anak 26</v>
      </c>
      <c r="E30" s="631">
        <v>99</v>
      </c>
      <c r="F30" s="631">
        <v>99</v>
      </c>
      <c r="G30" s="631">
        <v>99</v>
      </c>
      <c r="H30" s="613">
        <v>99</v>
      </c>
      <c r="I30" s="730"/>
      <c r="J30" s="730"/>
      <c r="K30" s="731"/>
      <c r="L30" s="731"/>
      <c r="M30" s="731"/>
      <c r="N30" s="731"/>
      <c r="O30" s="730"/>
      <c r="P30" s="730"/>
      <c r="Q30" s="610"/>
      <c r="R30" s="631"/>
      <c r="S30" s="631">
        <v>99</v>
      </c>
      <c r="T30" s="631">
        <v>99</v>
      </c>
      <c r="U30" s="631">
        <v>99</v>
      </c>
      <c r="V30" s="631"/>
      <c r="W30" s="631"/>
      <c r="X30" s="610"/>
      <c r="Y30" s="631">
        <v>99</v>
      </c>
      <c r="Z30" s="631">
        <v>99</v>
      </c>
      <c r="AA30" s="631">
        <v>99</v>
      </c>
      <c r="AB30" s="609"/>
      <c r="AC30" s="609"/>
      <c r="AD30" s="606"/>
      <c r="AE30" s="518"/>
      <c r="AF30" s="607">
        <f t="shared" si="11"/>
        <v>99</v>
      </c>
      <c r="AG30" s="607">
        <f t="shared" si="12"/>
        <v>99</v>
      </c>
      <c r="AH30" s="607">
        <f t="shared" si="13"/>
        <v>99</v>
      </c>
      <c r="AI30" s="607">
        <f t="shared" si="14"/>
        <v>99</v>
      </c>
      <c r="AJ30" s="529"/>
      <c r="AK30" s="528"/>
      <c r="AL30" s="528"/>
      <c r="AM30" s="528"/>
      <c r="AN30" s="302">
        <f t="shared" si="5"/>
        <v>99</v>
      </c>
      <c r="AO30" s="303" t="str">
        <f>IF(AN30&gt;KKM!$G$10,"A",IF(AN30&gt;KKM!$H$10,"B",IF(AN30&gt;=KKM!$I$10,"C","D")))</f>
        <v>A</v>
      </c>
      <c r="AP30" s="523">
        <f t="shared" si="6"/>
        <v>99</v>
      </c>
      <c r="AQ30" s="115" t="str">
        <f>IF(AP30&gt;KKM!$G$10," sangat baik ",IF(AP30&gt;KKM!$H$10," baik ",IF(AP30&gt;=KKM!$I$10," cukup baik "," perlu bimbingan ")))</f>
        <v xml:space="preserve"> sangat baik </v>
      </c>
      <c r="AR30" s="524">
        <f t="shared" si="7"/>
        <v>99</v>
      </c>
      <c r="AS30" s="115" t="str">
        <f>IF(AR30&gt;KKM!$G$10," sangat baik ",IF(AR30&gt;KKM!$H$10," baik ",IF(AR30&gt;=KKM!$I$10," cukup baik "," perlu bimbingan ")))</f>
        <v xml:space="preserve"> sangat baik </v>
      </c>
      <c r="AT30" s="301" t="str">
        <f t="shared" si="15"/>
        <v>Anak 26 sangat baik  dalam mengetahui gambar dan bentuk tiga dimensi.</v>
      </c>
      <c r="AU30" s="306"/>
      <c r="AV30" s="307" t="str">
        <f t="shared" si="8"/>
        <v xml:space="preserve"> sangat baik  dalam mengetahui gambar dan bentuk tiga dimensi.</v>
      </c>
      <c r="AW30" s="307" t="str">
        <f t="shared" si="9"/>
        <v xml:space="preserve"> sangat baik  dalam mengetahui gambar dan bentuk tiga dimensi.</v>
      </c>
      <c r="AX30" s="307" t="str">
        <f t="shared" si="16"/>
        <v xml:space="preserve"> sangat baik  dalam mengetahui gambar dan bentuk tiga dimensi., dan  sangat baik  dalam mengetahui gambar dan bentuk tiga dimensi.</v>
      </c>
      <c r="AY30" s="307" t="str">
        <f t="shared" si="17"/>
        <v xml:space="preserve"> sangat baik  dalam mengetahui gambar dan bentuk tiga dimensi.</v>
      </c>
      <c r="AZ30" s="308" t="str">
        <f t="shared" si="18"/>
        <v xml:space="preserve"> sangat baik  dalam mengetahui gambar dan bentuk tiga dimensi.</v>
      </c>
      <c r="BA30" s="301" t="str">
        <f t="shared" si="10"/>
        <v>Anak 26 sangat baik  dalam mengetahui gambar dan bentuk tiga dimensi.</v>
      </c>
      <c r="BB30" s="120"/>
      <c r="BJ30" s="408">
        <f t="shared" si="19"/>
        <v>99</v>
      </c>
      <c r="BM30" s="302">
        <f t="shared" si="20"/>
        <v>99</v>
      </c>
      <c r="BN30" s="303" t="str">
        <f>IF(BM30&gt;KKM!$G$10,"A",IF(BM30&gt;KKM!$H$10,"B",IF(BM30&gt;=KKM!$I$10,"C","D")))</f>
        <v>A</v>
      </c>
      <c r="BO30" s="523">
        <f t="shared" si="21"/>
        <v>99</v>
      </c>
      <c r="BP30" s="115" t="str">
        <f>IF(BO30&gt;KKM!$G$10," sangat baik ",IF(BO30&gt;KKM!$H$10," baik ",IF(BO30&gt;=KKM!$I$10," cukup baik "," perlu bimbingan ")))</f>
        <v xml:space="preserve"> sangat baik </v>
      </c>
      <c r="BQ30" s="524">
        <f t="shared" si="22"/>
        <v>99</v>
      </c>
      <c r="BR30" s="115" t="str">
        <f>IF(BQ30&gt;KKM!$G$10," sangat baik ",IF(BQ30&gt;KKM!$H$10," baik ",IF(BQ30&gt;=KKM!$I$10," cukup baik "," perlu bimbingan ")))</f>
        <v xml:space="preserve"> sangat baik </v>
      </c>
      <c r="BS30" s="301" t="str">
        <f t="shared" si="29"/>
        <v>Anak 26 sangat baik  dalam mengetahui tanda tempo dan tinggi rendah nada.</v>
      </c>
      <c r="BT30" s="307" t="str">
        <f t="shared" si="23"/>
        <v xml:space="preserve"> sangat baik  dalam mengetahui tanda tempo dan tinggi rendah nada.</v>
      </c>
      <c r="BU30" s="307" t="str">
        <f t="shared" si="24"/>
        <v xml:space="preserve"> sangat baik  dalam mengetahui tanda tempo dan tinggi rendah nada.</v>
      </c>
      <c r="BV30" s="307" t="str">
        <f t="shared" si="25"/>
        <v xml:space="preserve"> sangat baik  dalam mengetahui tanda tempo dan tinggi rendah nada., dan  sangat baik  dalam mengetahui tanda tempo dan tinggi rendah nada.</v>
      </c>
      <c r="BW30" s="307" t="str">
        <f t="shared" si="26"/>
        <v xml:space="preserve"> sangat baik  dalam mengetahui tanda tempo dan tinggi rendah nada.</v>
      </c>
      <c r="BX30" s="308" t="str">
        <f t="shared" si="27"/>
        <v xml:space="preserve"> sangat baik  dalam mengetahui tanda tempo dan tinggi rendah nada.</v>
      </c>
      <c r="BY30" s="301" t="str">
        <f t="shared" si="28"/>
        <v>Anak 26 sangat baik  dalam mengetahui tanda tempo dan tinggi rendah nada.</v>
      </c>
    </row>
    <row r="31" spans="2:77" ht="63.75" customHeight="1">
      <c r="B31" s="109">
        <v>27</v>
      </c>
      <c r="C31" s="110">
        <f>SISWA!B32</f>
        <v>0</v>
      </c>
      <c r="D31" s="111" t="str">
        <f>SISWA!E32</f>
        <v>Anak 27</v>
      </c>
      <c r="E31" s="631">
        <v>99</v>
      </c>
      <c r="F31" s="631">
        <v>99</v>
      </c>
      <c r="G31" s="631">
        <v>99</v>
      </c>
      <c r="H31" s="613">
        <v>99</v>
      </c>
      <c r="I31" s="730"/>
      <c r="J31" s="730"/>
      <c r="K31" s="731"/>
      <c r="L31" s="731"/>
      <c r="M31" s="731"/>
      <c r="N31" s="731"/>
      <c r="O31" s="730"/>
      <c r="P31" s="730"/>
      <c r="Q31" s="610"/>
      <c r="R31" s="631"/>
      <c r="S31" s="631">
        <v>99</v>
      </c>
      <c r="T31" s="631">
        <v>99</v>
      </c>
      <c r="U31" s="631">
        <v>99</v>
      </c>
      <c r="V31" s="631"/>
      <c r="W31" s="631"/>
      <c r="X31" s="610"/>
      <c r="Y31" s="631">
        <v>99</v>
      </c>
      <c r="Z31" s="631">
        <v>99</v>
      </c>
      <c r="AA31" s="631">
        <v>99</v>
      </c>
      <c r="AB31" s="609"/>
      <c r="AC31" s="609"/>
      <c r="AD31" s="606"/>
      <c r="AE31" s="518"/>
      <c r="AF31" s="607">
        <f t="shared" si="11"/>
        <v>99</v>
      </c>
      <c r="AG31" s="607">
        <f t="shared" si="12"/>
        <v>99</v>
      </c>
      <c r="AH31" s="607">
        <f t="shared" si="13"/>
        <v>99</v>
      </c>
      <c r="AI31" s="607">
        <f t="shared" si="14"/>
        <v>99</v>
      </c>
      <c r="AJ31" s="529"/>
      <c r="AK31" s="528"/>
      <c r="AL31" s="528"/>
      <c r="AM31" s="528"/>
      <c r="AN31" s="302">
        <f t="shared" si="5"/>
        <v>99</v>
      </c>
      <c r="AO31" s="303" t="str">
        <f>IF(AN31&gt;KKM!$G$10,"A",IF(AN31&gt;KKM!$H$10,"B",IF(AN31&gt;=KKM!$I$10,"C","D")))</f>
        <v>A</v>
      </c>
      <c r="AP31" s="523">
        <f t="shared" si="6"/>
        <v>99</v>
      </c>
      <c r="AQ31" s="115" t="str">
        <f>IF(AP31&gt;KKM!$G$10," sangat baik ",IF(AP31&gt;KKM!$H$10," baik ",IF(AP31&gt;=KKM!$I$10," cukup baik "," perlu bimbingan ")))</f>
        <v xml:space="preserve"> sangat baik </v>
      </c>
      <c r="AR31" s="524">
        <f t="shared" si="7"/>
        <v>99</v>
      </c>
      <c r="AS31" s="115" t="str">
        <f>IF(AR31&gt;KKM!$G$10," sangat baik ",IF(AR31&gt;KKM!$H$10," baik ",IF(AR31&gt;=KKM!$I$10," cukup baik "," perlu bimbingan ")))</f>
        <v xml:space="preserve"> sangat baik </v>
      </c>
      <c r="AT31" s="301" t="str">
        <f t="shared" si="15"/>
        <v>Anak 27 sangat baik  dalam mengetahui gambar dan bentuk tiga dimensi.</v>
      </c>
      <c r="AU31" s="306"/>
      <c r="AV31" s="307" t="str">
        <f t="shared" si="8"/>
        <v xml:space="preserve"> sangat baik  dalam mengetahui gambar dan bentuk tiga dimensi.</v>
      </c>
      <c r="AW31" s="307" t="str">
        <f t="shared" si="9"/>
        <v xml:space="preserve"> sangat baik  dalam mengetahui gambar dan bentuk tiga dimensi.</v>
      </c>
      <c r="AX31" s="307" t="str">
        <f t="shared" si="16"/>
        <v xml:space="preserve"> sangat baik  dalam mengetahui gambar dan bentuk tiga dimensi., dan  sangat baik  dalam mengetahui gambar dan bentuk tiga dimensi.</v>
      </c>
      <c r="AY31" s="307" t="str">
        <f t="shared" si="17"/>
        <v xml:space="preserve"> sangat baik  dalam mengetahui gambar dan bentuk tiga dimensi.</v>
      </c>
      <c r="AZ31" s="308" t="str">
        <f t="shared" si="18"/>
        <v xml:space="preserve"> sangat baik  dalam mengetahui gambar dan bentuk tiga dimensi.</v>
      </c>
      <c r="BA31" s="301" t="str">
        <f t="shared" si="10"/>
        <v>Anak 27 sangat baik  dalam mengetahui gambar dan bentuk tiga dimensi.</v>
      </c>
      <c r="BB31" s="120"/>
      <c r="BJ31" s="408">
        <f t="shared" si="19"/>
        <v>99</v>
      </c>
      <c r="BM31" s="302">
        <f t="shared" si="20"/>
        <v>99</v>
      </c>
      <c r="BN31" s="303" t="str">
        <f>IF(BM31&gt;KKM!$G$10,"A",IF(BM31&gt;KKM!$H$10,"B",IF(BM31&gt;=KKM!$I$10,"C","D")))</f>
        <v>A</v>
      </c>
      <c r="BO31" s="523">
        <f t="shared" si="21"/>
        <v>99</v>
      </c>
      <c r="BP31" s="115" t="str">
        <f>IF(BO31&gt;KKM!$G$10," sangat baik ",IF(BO31&gt;KKM!$H$10," baik ",IF(BO31&gt;=KKM!$I$10," cukup baik "," perlu bimbingan ")))</f>
        <v xml:space="preserve"> sangat baik </v>
      </c>
      <c r="BQ31" s="524">
        <f t="shared" si="22"/>
        <v>99</v>
      </c>
      <c r="BR31" s="115" t="str">
        <f>IF(BQ31&gt;KKM!$G$10," sangat baik ",IF(BQ31&gt;KKM!$H$10," baik ",IF(BQ31&gt;=KKM!$I$10," cukup baik "," perlu bimbingan ")))</f>
        <v xml:space="preserve"> sangat baik </v>
      </c>
      <c r="BS31" s="301" t="str">
        <f t="shared" si="29"/>
        <v>Anak 27 sangat baik  dalam mengetahui tanda tempo dan tinggi rendah nada.</v>
      </c>
      <c r="BT31" s="307" t="str">
        <f t="shared" si="23"/>
        <v xml:space="preserve"> sangat baik  dalam mengetahui tanda tempo dan tinggi rendah nada.</v>
      </c>
      <c r="BU31" s="307" t="str">
        <f t="shared" si="24"/>
        <v xml:space="preserve"> sangat baik  dalam mengetahui tanda tempo dan tinggi rendah nada.</v>
      </c>
      <c r="BV31" s="307" t="str">
        <f t="shared" si="25"/>
        <v xml:space="preserve"> sangat baik  dalam mengetahui tanda tempo dan tinggi rendah nada., dan  sangat baik  dalam mengetahui tanda tempo dan tinggi rendah nada.</v>
      </c>
      <c r="BW31" s="307" t="str">
        <f t="shared" si="26"/>
        <v xml:space="preserve"> sangat baik  dalam mengetahui tanda tempo dan tinggi rendah nada.</v>
      </c>
      <c r="BX31" s="308" t="str">
        <f t="shared" si="27"/>
        <v xml:space="preserve"> sangat baik  dalam mengetahui tanda tempo dan tinggi rendah nada.</v>
      </c>
      <c r="BY31" s="301" t="str">
        <f t="shared" si="28"/>
        <v>Anak 27 sangat baik  dalam mengetahui tanda tempo dan tinggi rendah nada.</v>
      </c>
    </row>
    <row r="32" spans="2:77" ht="63.75" customHeight="1">
      <c r="B32" s="109">
        <v>28</v>
      </c>
      <c r="C32" s="110">
        <f>SISWA!B33</f>
        <v>0</v>
      </c>
      <c r="D32" s="111" t="str">
        <f>SISWA!E33</f>
        <v>Anak 28</v>
      </c>
      <c r="E32" s="631">
        <v>99</v>
      </c>
      <c r="F32" s="631">
        <v>99</v>
      </c>
      <c r="G32" s="631">
        <v>99</v>
      </c>
      <c r="H32" s="613">
        <v>99</v>
      </c>
      <c r="I32" s="730"/>
      <c r="J32" s="730"/>
      <c r="K32" s="731"/>
      <c r="L32" s="731"/>
      <c r="M32" s="731"/>
      <c r="N32" s="731"/>
      <c r="O32" s="730"/>
      <c r="P32" s="730"/>
      <c r="Q32" s="610"/>
      <c r="R32" s="631"/>
      <c r="S32" s="631">
        <v>99</v>
      </c>
      <c r="T32" s="631">
        <v>99</v>
      </c>
      <c r="U32" s="631">
        <v>99</v>
      </c>
      <c r="V32" s="631"/>
      <c r="W32" s="631"/>
      <c r="X32" s="610"/>
      <c r="Y32" s="631">
        <v>99</v>
      </c>
      <c r="Z32" s="631">
        <v>99</v>
      </c>
      <c r="AA32" s="631">
        <v>99</v>
      </c>
      <c r="AB32" s="609"/>
      <c r="AC32" s="609"/>
      <c r="AD32" s="606"/>
      <c r="AE32" s="518"/>
      <c r="AF32" s="607">
        <f t="shared" si="11"/>
        <v>99</v>
      </c>
      <c r="AG32" s="607">
        <f t="shared" si="12"/>
        <v>99</v>
      </c>
      <c r="AH32" s="607">
        <f t="shared" si="13"/>
        <v>99</v>
      </c>
      <c r="AI32" s="607">
        <f t="shared" si="14"/>
        <v>99</v>
      </c>
      <c r="AJ32" s="529"/>
      <c r="AK32" s="528"/>
      <c r="AL32" s="528"/>
      <c r="AM32" s="528"/>
      <c r="AN32" s="302">
        <f t="shared" si="5"/>
        <v>99</v>
      </c>
      <c r="AO32" s="303" t="str">
        <f>IF(AN32&gt;KKM!$G$10,"A",IF(AN32&gt;KKM!$H$10,"B",IF(AN32&gt;=KKM!$I$10,"C","D")))</f>
        <v>A</v>
      </c>
      <c r="AP32" s="523">
        <f t="shared" si="6"/>
        <v>99</v>
      </c>
      <c r="AQ32" s="115" t="str">
        <f>IF(AP32&gt;KKM!$G$10," sangat baik ",IF(AP32&gt;KKM!$H$10," baik ",IF(AP32&gt;=KKM!$I$10," cukup baik "," perlu bimbingan ")))</f>
        <v xml:space="preserve"> sangat baik </v>
      </c>
      <c r="AR32" s="524">
        <f t="shared" si="7"/>
        <v>99</v>
      </c>
      <c r="AS32" s="115" t="str">
        <f>IF(AR32&gt;KKM!$G$10," sangat baik ",IF(AR32&gt;KKM!$H$10," baik ",IF(AR32&gt;=KKM!$I$10," cukup baik "," perlu bimbingan ")))</f>
        <v xml:space="preserve"> sangat baik </v>
      </c>
      <c r="AT32" s="301" t="str">
        <f t="shared" si="15"/>
        <v>Anak 28 sangat baik  dalam mengetahui gambar dan bentuk tiga dimensi.</v>
      </c>
      <c r="AU32" s="306"/>
      <c r="AV32" s="307" t="str">
        <f t="shared" si="8"/>
        <v xml:space="preserve"> sangat baik  dalam mengetahui gambar dan bentuk tiga dimensi.</v>
      </c>
      <c r="AW32" s="307" t="str">
        <f t="shared" si="9"/>
        <v xml:space="preserve"> sangat baik  dalam mengetahui gambar dan bentuk tiga dimensi.</v>
      </c>
      <c r="AX32" s="307" t="str">
        <f t="shared" si="16"/>
        <v xml:space="preserve"> sangat baik  dalam mengetahui gambar dan bentuk tiga dimensi., dan  sangat baik  dalam mengetahui gambar dan bentuk tiga dimensi.</v>
      </c>
      <c r="AY32" s="307" t="str">
        <f t="shared" si="17"/>
        <v xml:space="preserve"> sangat baik  dalam mengetahui gambar dan bentuk tiga dimensi.</v>
      </c>
      <c r="AZ32" s="308" t="str">
        <f t="shared" si="18"/>
        <v xml:space="preserve"> sangat baik  dalam mengetahui gambar dan bentuk tiga dimensi.</v>
      </c>
      <c r="BA32" s="301" t="str">
        <f t="shared" si="10"/>
        <v>Anak 28 sangat baik  dalam mengetahui gambar dan bentuk tiga dimensi.</v>
      </c>
      <c r="BB32" s="120"/>
      <c r="BJ32" s="408">
        <f t="shared" si="19"/>
        <v>99</v>
      </c>
      <c r="BM32" s="302">
        <f t="shared" si="20"/>
        <v>99</v>
      </c>
      <c r="BN32" s="303" t="str">
        <f>IF(BM32&gt;KKM!$G$10,"A",IF(BM32&gt;KKM!$H$10,"B",IF(BM32&gt;=KKM!$I$10,"C","D")))</f>
        <v>A</v>
      </c>
      <c r="BO32" s="523">
        <f t="shared" si="21"/>
        <v>99</v>
      </c>
      <c r="BP32" s="115" t="str">
        <f>IF(BO32&gt;KKM!$G$10," sangat baik ",IF(BO32&gt;KKM!$H$10," baik ",IF(BO32&gt;=KKM!$I$10," cukup baik "," perlu bimbingan ")))</f>
        <v xml:space="preserve"> sangat baik </v>
      </c>
      <c r="BQ32" s="524">
        <f t="shared" si="22"/>
        <v>99</v>
      </c>
      <c r="BR32" s="115" t="str">
        <f>IF(BQ32&gt;KKM!$G$10," sangat baik ",IF(BQ32&gt;KKM!$H$10," baik ",IF(BQ32&gt;=KKM!$I$10," cukup baik "," perlu bimbingan ")))</f>
        <v xml:space="preserve"> sangat baik </v>
      </c>
      <c r="BS32" s="301" t="str">
        <f t="shared" si="29"/>
        <v>Anak 28 sangat baik  dalam mengetahui tanda tempo dan tinggi rendah nada.</v>
      </c>
      <c r="BT32" s="307" t="str">
        <f t="shared" si="23"/>
        <v xml:space="preserve"> sangat baik  dalam mengetahui tanda tempo dan tinggi rendah nada.</v>
      </c>
      <c r="BU32" s="307" t="str">
        <f t="shared" si="24"/>
        <v xml:space="preserve"> sangat baik  dalam mengetahui tanda tempo dan tinggi rendah nada.</v>
      </c>
      <c r="BV32" s="307" t="str">
        <f t="shared" si="25"/>
        <v xml:space="preserve"> sangat baik  dalam mengetahui tanda tempo dan tinggi rendah nada., dan  sangat baik  dalam mengetahui tanda tempo dan tinggi rendah nada.</v>
      </c>
      <c r="BW32" s="307" t="str">
        <f t="shared" si="26"/>
        <v xml:space="preserve"> sangat baik  dalam mengetahui tanda tempo dan tinggi rendah nada.</v>
      </c>
      <c r="BX32" s="308" t="str">
        <f t="shared" si="27"/>
        <v xml:space="preserve"> sangat baik  dalam mengetahui tanda tempo dan tinggi rendah nada.</v>
      </c>
      <c r="BY32" s="301" t="str">
        <f t="shared" si="28"/>
        <v>Anak 28 sangat baik  dalam mengetahui tanda tempo dan tinggi rendah nada.</v>
      </c>
    </row>
    <row r="33" spans="2:77" ht="63.75" customHeight="1">
      <c r="B33" s="109">
        <v>29</v>
      </c>
      <c r="C33" s="110">
        <f>SISWA!B34</f>
        <v>0</v>
      </c>
      <c r="D33" s="111" t="str">
        <f>SISWA!E34</f>
        <v>Anak 29</v>
      </c>
      <c r="E33" s="631">
        <v>99</v>
      </c>
      <c r="F33" s="631">
        <v>99</v>
      </c>
      <c r="G33" s="631">
        <v>99</v>
      </c>
      <c r="H33" s="613">
        <v>99</v>
      </c>
      <c r="I33" s="730"/>
      <c r="J33" s="730"/>
      <c r="K33" s="731"/>
      <c r="L33" s="731"/>
      <c r="M33" s="731"/>
      <c r="N33" s="731"/>
      <c r="O33" s="730"/>
      <c r="P33" s="730"/>
      <c r="Q33" s="610"/>
      <c r="R33" s="631"/>
      <c r="S33" s="631">
        <v>99</v>
      </c>
      <c r="T33" s="631">
        <v>99</v>
      </c>
      <c r="U33" s="631">
        <v>99</v>
      </c>
      <c r="V33" s="631"/>
      <c r="W33" s="631"/>
      <c r="X33" s="610"/>
      <c r="Y33" s="631">
        <v>99</v>
      </c>
      <c r="Z33" s="631">
        <v>99</v>
      </c>
      <c r="AA33" s="631">
        <v>99</v>
      </c>
      <c r="AB33" s="609"/>
      <c r="AC33" s="609"/>
      <c r="AD33" s="606"/>
      <c r="AE33" s="518"/>
      <c r="AF33" s="607">
        <f t="shared" si="11"/>
        <v>99</v>
      </c>
      <c r="AG33" s="607">
        <f t="shared" si="12"/>
        <v>99</v>
      </c>
      <c r="AH33" s="607">
        <f t="shared" si="13"/>
        <v>99</v>
      </c>
      <c r="AI33" s="607">
        <f t="shared" si="14"/>
        <v>99</v>
      </c>
      <c r="AJ33" s="529"/>
      <c r="AK33" s="528"/>
      <c r="AL33" s="528"/>
      <c r="AM33" s="528"/>
      <c r="AN33" s="302">
        <f t="shared" si="5"/>
        <v>99</v>
      </c>
      <c r="AO33" s="303" t="str">
        <f>IF(AN33&gt;KKM!$G$10,"A",IF(AN33&gt;KKM!$H$10,"B",IF(AN33&gt;=KKM!$I$10,"C","D")))</f>
        <v>A</v>
      </c>
      <c r="AP33" s="523">
        <f t="shared" si="6"/>
        <v>99</v>
      </c>
      <c r="AQ33" s="115" t="str">
        <f>IF(AP33&gt;KKM!$G$10," sangat baik ",IF(AP33&gt;KKM!$H$10," baik ",IF(AP33&gt;=KKM!$I$10," cukup baik "," perlu bimbingan ")))</f>
        <v xml:space="preserve"> sangat baik </v>
      </c>
      <c r="AR33" s="524">
        <f t="shared" si="7"/>
        <v>99</v>
      </c>
      <c r="AS33" s="115" t="str">
        <f>IF(AR33&gt;KKM!$G$10," sangat baik ",IF(AR33&gt;KKM!$H$10," baik ",IF(AR33&gt;=KKM!$I$10," cukup baik "," perlu bimbingan ")))</f>
        <v xml:space="preserve"> sangat baik </v>
      </c>
      <c r="AT33" s="301" t="str">
        <f t="shared" si="15"/>
        <v>Anak 29 sangat baik  dalam mengetahui gambar dan bentuk tiga dimensi.</v>
      </c>
      <c r="AU33" s="306"/>
      <c r="AV33" s="307" t="str">
        <f t="shared" si="8"/>
        <v xml:space="preserve"> sangat baik  dalam mengetahui gambar dan bentuk tiga dimensi.</v>
      </c>
      <c r="AW33" s="307" t="str">
        <f t="shared" si="9"/>
        <v xml:space="preserve"> sangat baik  dalam mengetahui gambar dan bentuk tiga dimensi.</v>
      </c>
      <c r="AX33" s="307" t="str">
        <f t="shared" si="16"/>
        <v xml:space="preserve"> sangat baik  dalam mengetahui gambar dan bentuk tiga dimensi., dan  sangat baik  dalam mengetahui gambar dan bentuk tiga dimensi.</v>
      </c>
      <c r="AY33" s="307" t="str">
        <f t="shared" si="17"/>
        <v xml:space="preserve"> sangat baik  dalam mengetahui gambar dan bentuk tiga dimensi.</v>
      </c>
      <c r="AZ33" s="308" t="str">
        <f t="shared" si="18"/>
        <v xml:space="preserve"> sangat baik  dalam mengetahui gambar dan bentuk tiga dimensi.</v>
      </c>
      <c r="BA33" s="301" t="str">
        <f t="shared" si="10"/>
        <v>Anak 29 sangat baik  dalam mengetahui gambar dan bentuk tiga dimensi.</v>
      </c>
      <c r="BB33" s="120"/>
      <c r="BJ33" s="408">
        <f t="shared" si="19"/>
        <v>99</v>
      </c>
      <c r="BM33" s="302">
        <f t="shared" si="20"/>
        <v>99</v>
      </c>
      <c r="BN33" s="303" t="str">
        <f>IF(BM33&gt;KKM!$G$10,"A",IF(BM33&gt;KKM!$H$10,"B",IF(BM33&gt;=KKM!$I$10,"C","D")))</f>
        <v>A</v>
      </c>
      <c r="BO33" s="523">
        <f t="shared" si="21"/>
        <v>99</v>
      </c>
      <c r="BP33" s="115" t="str">
        <f>IF(BO33&gt;KKM!$G$10," sangat baik ",IF(BO33&gt;KKM!$H$10," baik ",IF(BO33&gt;=KKM!$I$10," cukup baik "," perlu bimbingan ")))</f>
        <v xml:space="preserve"> sangat baik </v>
      </c>
      <c r="BQ33" s="524">
        <f t="shared" si="22"/>
        <v>99</v>
      </c>
      <c r="BR33" s="115" t="str">
        <f>IF(BQ33&gt;KKM!$G$10," sangat baik ",IF(BQ33&gt;KKM!$H$10," baik ",IF(BQ33&gt;=KKM!$I$10," cukup baik "," perlu bimbingan ")))</f>
        <v xml:space="preserve"> sangat baik </v>
      </c>
      <c r="BS33" s="301" t="str">
        <f t="shared" si="29"/>
        <v>Anak 29 sangat baik  dalam mengetahui tanda tempo dan tinggi rendah nada.</v>
      </c>
      <c r="BT33" s="307" t="str">
        <f t="shared" si="23"/>
        <v xml:space="preserve"> sangat baik  dalam mengetahui tanda tempo dan tinggi rendah nada.</v>
      </c>
      <c r="BU33" s="307" t="str">
        <f t="shared" si="24"/>
        <v xml:space="preserve"> sangat baik  dalam mengetahui tanda tempo dan tinggi rendah nada.</v>
      </c>
      <c r="BV33" s="307" t="str">
        <f t="shared" si="25"/>
        <v xml:space="preserve"> sangat baik  dalam mengetahui tanda tempo dan tinggi rendah nada., dan  sangat baik  dalam mengetahui tanda tempo dan tinggi rendah nada.</v>
      </c>
      <c r="BW33" s="307" t="str">
        <f t="shared" si="26"/>
        <v xml:space="preserve"> sangat baik  dalam mengetahui tanda tempo dan tinggi rendah nada.</v>
      </c>
      <c r="BX33" s="308" t="str">
        <f t="shared" si="27"/>
        <v xml:space="preserve"> sangat baik  dalam mengetahui tanda tempo dan tinggi rendah nada.</v>
      </c>
      <c r="BY33" s="301" t="str">
        <f t="shared" si="28"/>
        <v>Anak 29 sangat baik  dalam mengetahui tanda tempo dan tinggi rendah nada.</v>
      </c>
    </row>
    <row r="34" spans="2:77" ht="63.75" customHeight="1">
      <c r="B34" s="109">
        <v>30</v>
      </c>
      <c r="C34" s="110">
        <f>SISWA!B35</f>
        <v>0</v>
      </c>
      <c r="D34" s="111" t="str">
        <f>SISWA!E35</f>
        <v>Anak 30</v>
      </c>
      <c r="E34" s="631">
        <v>99</v>
      </c>
      <c r="F34" s="631">
        <v>99</v>
      </c>
      <c r="G34" s="631">
        <v>99</v>
      </c>
      <c r="H34" s="613">
        <v>99</v>
      </c>
      <c r="I34" s="730"/>
      <c r="J34" s="730"/>
      <c r="K34" s="731"/>
      <c r="L34" s="731"/>
      <c r="M34" s="731"/>
      <c r="N34" s="731"/>
      <c r="O34" s="730"/>
      <c r="P34" s="730"/>
      <c r="Q34" s="610"/>
      <c r="R34" s="631"/>
      <c r="S34" s="631">
        <v>99</v>
      </c>
      <c r="T34" s="631">
        <v>99</v>
      </c>
      <c r="U34" s="631">
        <v>99</v>
      </c>
      <c r="V34" s="631"/>
      <c r="W34" s="631"/>
      <c r="X34" s="610"/>
      <c r="Y34" s="631">
        <v>99</v>
      </c>
      <c r="Z34" s="631">
        <v>99</v>
      </c>
      <c r="AA34" s="631">
        <v>99</v>
      </c>
      <c r="AB34" s="609"/>
      <c r="AC34" s="609"/>
      <c r="AD34" s="606"/>
      <c r="AE34" s="518"/>
      <c r="AF34" s="607">
        <f t="shared" si="11"/>
        <v>99</v>
      </c>
      <c r="AG34" s="607">
        <f t="shared" si="12"/>
        <v>99</v>
      </c>
      <c r="AH34" s="607">
        <f t="shared" si="13"/>
        <v>99</v>
      </c>
      <c r="AI34" s="607">
        <f t="shared" si="14"/>
        <v>99</v>
      </c>
      <c r="AJ34" s="529"/>
      <c r="AK34" s="528"/>
      <c r="AL34" s="528"/>
      <c r="AM34" s="528"/>
      <c r="AN34" s="302">
        <f t="shared" si="5"/>
        <v>99</v>
      </c>
      <c r="AO34" s="303" t="str">
        <f>IF(AN34&gt;KKM!$G$10,"A",IF(AN34&gt;KKM!$H$10,"B",IF(AN34&gt;=KKM!$I$10,"C","D")))</f>
        <v>A</v>
      </c>
      <c r="AP34" s="523">
        <f t="shared" si="6"/>
        <v>99</v>
      </c>
      <c r="AQ34" s="115" t="str">
        <f>IF(AP34&gt;KKM!$G$10," sangat baik ",IF(AP34&gt;KKM!$H$10," baik ",IF(AP34&gt;=KKM!$I$10," cukup baik "," perlu bimbingan ")))</f>
        <v xml:space="preserve"> sangat baik </v>
      </c>
      <c r="AR34" s="524">
        <f t="shared" si="7"/>
        <v>99</v>
      </c>
      <c r="AS34" s="115" t="str">
        <f>IF(AR34&gt;KKM!$G$10," sangat baik ",IF(AR34&gt;KKM!$H$10," baik ",IF(AR34&gt;=KKM!$I$10," cukup baik "," perlu bimbingan ")))</f>
        <v xml:space="preserve"> sangat baik </v>
      </c>
      <c r="AT34" s="301" t="str">
        <f t="shared" si="15"/>
        <v>Anak 30 sangat baik  dalam mengetahui gambar dan bentuk tiga dimensi.</v>
      </c>
      <c r="AU34" s="306"/>
      <c r="AV34" s="307" t="str">
        <f t="shared" si="8"/>
        <v xml:space="preserve"> sangat baik  dalam mengetahui gambar dan bentuk tiga dimensi.</v>
      </c>
      <c r="AW34" s="307" t="str">
        <f t="shared" si="9"/>
        <v xml:space="preserve"> sangat baik  dalam mengetahui gambar dan bentuk tiga dimensi.</v>
      </c>
      <c r="AX34" s="307" t="str">
        <f t="shared" si="16"/>
        <v xml:space="preserve"> sangat baik  dalam mengetahui gambar dan bentuk tiga dimensi., dan  sangat baik  dalam mengetahui gambar dan bentuk tiga dimensi.</v>
      </c>
      <c r="AY34" s="307" t="str">
        <f t="shared" si="17"/>
        <v xml:space="preserve"> sangat baik  dalam mengetahui gambar dan bentuk tiga dimensi.</v>
      </c>
      <c r="AZ34" s="308" t="str">
        <f t="shared" si="18"/>
        <v xml:space="preserve"> sangat baik  dalam mengetahui gambar dan bentuk tiga dimensi.</v>
      </c>
      <c r="BA34" s="301" t="str">
        <f t="shared" si="10"/>
        <v>Anak 30 sangat baik  dalam mengetahui gambar dan bentuk tiga dimensi.</v>
      </c>
      <c r="BB34" s="120"/>
      <c r="BJ34" s="408">
        <f t="shared" si="19"/>
        <v>99</v>
      </c>
      <c r="BM34" s="302">
        <f t="shared" si="20"/>
        <v>99</v>
      </c>
      <c r="BN34" s="303" t="str">
        <f>IF(BM34&gt;KKM!$G$10,"A",IF(BM34&gt;KKM!$H$10,"B",IF(BM34&gt;=KKM!$I$10,"C","D")))</f>
        <v>A</v>
      </c>
      <c r="BO34" s="523">
        <f t="shared" si="21"/>
        <v>99</v>
      </c>
      <c r="BP34" s="115" t="str">
        <f>IF(BO34&gt;KKM!$G$10," sangat baik ",IF(BO34&gt;KKM!$H$10," baik ",IF(BO34&gt;=KKM!$I$10," cukup baik "," perlu bimbingan ")))</f>
        <v xml:space="preserve"> sangat baik </v>
      </c>
      <c r="BQ34" s="524">
        <f t="shared" si="22"/>
        <v>99</v>
      </c>
      <c r="BR34" s="115" t="str">
        <f>IF(BQ34&gt;KKM!$G$10," sangat baik ",IF(BQ34&gt;KKM!$H$10," baik ",IF(BQ34&gt;=KKM!$I$10," cukup baik "," perlu bimbingan ")))</f>
        <v xml:space="preserve"> sangat baik </v>
      </c>
      <c r="BS34" s="301" t="str">
        <f t="shared" si="29"/>
        <v>Anak 30 sangat baik  dalam mengetahui tanda tempo dan tinggi rendah nada.</v>
      </c>
      <c r="BT34" s="307" t="str">
        <f t="shared" si="23"/>
        <v xml:space="preserve"> sangat baik  dalam mengetahui tanda tempo dan tinggi rendah nada.</v>
      </c>
      <c r="BU34" s="307" t="str">
        <f t="shared" si="24"/>
        <v xml:space="preserve"> sangat baik  dalam mengetahui tanda tempo dan tinggi rendah nada.</v>
      </c>
      <c r="BV34" s="307" t="str">
        <f t="shared" si="25"/>
        <v xml:space="preserve"> sangat baik  dalam mengetahui tanda tempo dan tinggi rendah nada., dan  sangat baik  dalam mengetahui tanda tempo dan tinggi rendah nada.</v>
      </c>
      <c r="BW34" s="307" t="str">
        <f t="shared" si="26"/>
        <v xml:space="preserve"> sangat baik  dalam mengetahui tanda tempo dan tinggi rendah nada.</v>
      </c>
      <c r="BX34" s="308" t="str">
        <f t="shared" si="27"/>
        <v xml:space="preserve"> sangat baik  dalam mengetahui tanda tempo dan tinggi rendah nada.</v>
      </c>
      <c r="BY34" s="301" t="str">
        <f t="shared" si="28"/>
        <v>Anak 30 sangat baik  dalam mengetahui tanda tempo dan tinggi rendah nada.</v>
      </c>
    </row>
    <row r="35" spans="2:77" ht="63.75" customHeight="1">
      <c r="B35" s="109">
        <v>31</v>
      </c>
      <c r="C35" s="110">
        <f>SISWA!B36</f>
        <v>0</v>
      </c>
      <c r="D35" s="111" t="str">
        <f>SISWA!E36</f>
        <v>Anak 31</v>
      </c>
      <c r="E35" s="631">
        <v>99</v>
      </c>
      <c r="F35" s="631">
        <v>99</v>
      </c>
      <c r="G35" s="631">
        <v>99</v>
      </c>
      <c r="H35" s="613">
        <v>99</v>
      </c>
      <c r="I35" s="730"/>
      <c r="J35" s="730"/>
      <c r="K35" s="731"/>
      <c r="L35" s="731"/>
      <c r="M35" s="731"/>
      <c r="N35" s="731"/>
      <c r="O35" s="730"/>
      <c r="P35" s="730"/>
      <c r="Q35" s="610"/>
      <c r="R35" s="631"/>
      <c r="S35" s="631">
        <v>99</v>
      </c>
      <c r="T35" s="631">
        <v>99</v>
      </c>
      <c r="U35" s="631">
        <v>99</v>
      </c>
      <c r="V35" s="631"/>
      <c r="W35" s="631"/>
      <c r="X35" s="610"/>
      <c r="Y35" s="631">
        <v>99</v>
      </c>
      <c r="Z35" s="631">
        <v>99</v>
      </c>
      <c r="AA35" s="631">
        <v>99</v>
      </c>
      <c r="AB35" s="609"/>
      <c r="AC35" s="609"/>
      <c r="AD35" s="606"/>
      <c r="AE35" s="518"/>
      <c r="AF35" s="607">
        <f t="shared" si="11"/>
        <v>99</v>
      </c>
      <c r="AG35" s="607">
        <f t="shared" si="12"/>
        <v>99</v>
      </c>
      <c r="AH35" s="607">
        <f t="shared" si="13"/>
        <v>99</v>
      </c>
      <c r="AI35" s="607">
        <f t="shared" si="14"/>
        <v>99</v>
      </c>
      <c r="AJ35" s="529"/>
      <c r="AK35" s="528"/>
      <c r="AL35" s="528"/>
      <c r="AM35" s="528"/>
      <c r="AN35" s="302">
        <f t="shared" si="5"/>
        <v>99</v>
      </c>
      <c r="AO35" s="303" t="str">
        <f>IF(AN35&gt;KKM!$G$10,"A",IF(AN35&gt;KKM!$H$10,"B",IF(AN35&gt;=KKM!$I$10,"C","D")))</f>
        <v>A</v>
      </c>
      <c r="AP35" s="523">
        <f t="shared" si="6"/>
        <v>99</v>
      </c>
      <c r="AQ35" s="115" t="str">
        <f>IF(AP35&gt;KKM!$G$10," sangat baik ",IF(AP35&gt;KKM!$H$10," baik ",IF(AP35&gt;=KKM!$I$10," cukup baik "," perlu bimbingan ")))</f>
        <v xml:space="preserve"> sangat baik </v>
      </c>
      <c r="AR35" s="524">
        <f t="shared" si="7"/>
        <v>99</v>
      </c>
      <c r="AS35" s="115" t="str">
        <f>IF(AR35&gt;KKM!$G$10," sangat baik ",IF(AR35&gt;KKM!$H$10," baik ",IF(AR35&gt;=KKM!$I$10," cukup baik "," perlu bimbingan ")))</f>
        <v xml:space="preserve"> sangat baik </v>
      </c>
      <c r="AT35" s="301" t="str">
        <f t="shared" si="15"/>
        <v>Anak 31 sangat baik  dalam mengetahui gambar dan bentuk tiga dimensi.</v>
      </c>
      <c r="AU35" s="306"/>
      <c r="AV35" s="307" t="str">
        <f t="shared" si="8"/>
        <v xml:space="preserve"> sangat baik  dalam mengetahui gambar dan bentuk tiga dimensi.</v>
      </c>
      <c r="AW35" s="307" t="str">
        <f t="shared" si="9"/>
        <v xml:space="preserve"> sangat baik  dalam mengetahui gambar dan bentuk tiga dimensi.</v>
      </c>
      <c r="AX35" s="307" t="str">
        <f t="shared" si="16"/>
        <v xml:space="preserve"> sangat baik  dalam mengetahui gambar dan bentuk tiga dimensi., dan  sangat baik  dalam mengetahui gambar dan bentuk tiga dimensi.</v>
      </c>
      <c r="AY35" s="307" t="str">
        <f t="shared" si="17"/>
        <v xml:space="preserve"> sangat baik  dalam mengetahui gambar dan bentuk tiga dimensi.</v>
      </c>
      <c r="AZ35" s="308" t="str">
        <f t="shared" si="18"/>
        <v xml:space="preserve"> sangat baik  dalam mengetahui gambar dan bentuk tiga dimensi.</v>
      </c>
      <c r="BA35" s="301" t="str">
        <f t="shared" si="10"/>
        <v>Anak 31 sangat baik  dalam mengetahui gambar dan bentuk tiga dimensi.</v>
      </c>
      <c r="BB35" s="120"/>
      <c r="BJ35" s="408">
        <f t="shared" si="19"/>
        <v>99</v>
      </c>
      <c r="BM35" s="302">
        <f t="shared" si="20"/>
        <v>99</v>
      </c>
      <c r="BN35" s="303" t="str">
        <f>IF(BM35&gt;KKM!$G$10,"A",IF(BM35&gt;KKM!$H$10,"B",IF(BM35&gt;=KKM!$I$10,"C","D")))</f>
        <v>A</v>
      </c>
      <c r="BO35" s="523">
        <f t="shared" si="21"/>
        <v>99</v>
      </c>
      <c r="BP35" s="115" t="str">
        <f>IF(BO35&gt;KKM!$G$10," sangat baik ",IF(BO35&gt;KKM!$H$10," baik ",IF(BO35&gt;=KKM!$I$10," cukup baik "," perlu bimbingan ")))</f>
        <v xml:space="preserve"> sangat baik </v>
      </c>
      <c r="BQ35" s="524">
        <f t="shared" si="22"/>
        <v>99</v>
      </c>
      <c r="BR35" s="115" t="str">
        <f>IF(BQ35&gt;KKM!$G$10," sangat baik ",IF(BQ35&gt;KKM!$H$10," baik ",IF(BQ35&gt;=KKM!$I$10," cukup baik "," perlu bimbingan ")))</f>
        <v xml:space="preserve"> sangat baik </v>
      </c>
      <c r="BS35" s="301" t="str">
        <f t="shared" si="29"/>
        <v>Anak 31 sangat baik  dalam mengetahui tanda tempo dan tinggi rendah nada.</v>
      </c>
      <c r="BT35" s="307" t="str">
        <f t="shared" si="23"/>
        <v xml:space="preserve"> sangat baik  dalam mengetahui tanda tempo dan tinggi rendah nada.</v>
      </c>
      <c r="BU35" s="307" t="str">
        <f t="shared" si="24"/>
        <v xml:space="preserve"> sangat baik  dalam mengetahui tanda tempo dan tinggi rendah nada.</v>
      </c>
      <c r="BV35" s="307" t="str">
        <f t="shared" si="25"/>
        <v xml:space="preserve"> sangat baik  dalam mengetahui tanda tempo dan tinggi rendah nada., dan  sangat baik  dalam mengetahui tanda tempo dan tinggi rendah nada.</v>
      </c>
      <c r="BW35" s="307" t="str">
        <f t="shared" si="26"/>
        <v xml:space="preserve"> sangat baik  dalam mengetahui tanda tempo dan tinggi rendah nada.</v>
      </c>
      <c r="BX35" s="308" t="str">
        <f t="shared" si="27"/>
        <v xml:space="preserve"> sangat baik  dalam mengetahui tanda tempo dan tinggi rendah nada.</v>
      </c>
      <c r="BY35" s="301" t="str">
        <f t="shared" si="28"/>
        <v>Anak 31 sangat baik  dalam mengetahui tanda tempo dan tinggi rendah nada.</v>
      </c>
    </row>
    <row r="36" spans="2:77" ht="63.75" customHeight="1">
      <c r="B36" s="109">
        <v>32</v>
      </c>
      <c r="C36" s="110">
        <f>SISWA!B37</f>
        <v>0</v>
      </c>
      <c r="D36" s="111" t="str">
        <f>SISWA!E37</f>
        <v>Anak 32</v>
      </c>
      <c r="E36" s="631">
        <v>99</v>
      </c>
      <c r="F36" s="631">
        <v>99</v>
      </c>
      <c r="G36" s="631">
        <v>99</v>
      </c>
      <c r="H36" s="613">
        <v>99</v>
      </c>
      <c r="I36" s="730"/>
      <c r="J36" s="730"/>
      <c r="K36" s="731"/>
      <c r="L36" s="731"/>
      <c r="M36" s="731"/>
      <c r="N36" s="731"/>
      <c r="O36" s="730"/>
      <c r="P36" s="730"/>
      <c r="Q36" s="610"/>
      <c r="R36" s="631"/>
      <c r="S36" s="631">
        <v>99</v>
      </c>
      <c r="T36" s="631">
        <v>99</v>
      </c>
      <c r="U36" s="631">
        <v>99</v>
      </c>
      <c r="V36" s="631"/>
      <c r="W36" s="631"/>
      <c r="X36" s="610"/>
      <c r="Y36" s="631">
        <v>99</v>
      </c>
      <c r="Z36" s="631">
        <v>99</v>
      </c>
      <c r="AA36" s="631">
        <v>99</v>
      </c>
      <c r="AB36" s="609"/>
      <c r="AC36" s="609"/>
      <c r="AD36" s="606"/>
      <c r="AE36" s="518"/>
      <c r="AF36" s="607">
        <f t="shared" si="11"/>
        <v>99</v>
      </c>
      <c r="AG36" s="607">
        <f t="shared" si="12"/>
        <v>99</v>
      </c>
      <c r="AH36" s="607">
        <f t="shared" si="13"/>
        <v>99</v>
      </c>
      <c r="AI36" s="607">
        <f t="shared" si="14"/>
        <v>99</v>
      </c>
      <c r="AJ36" s="529"/>
      <c r="AK36" s="528"/>
      <c r="AL36" s="528"/>
      <c r="AM36" s="528"/>
      <c r="AN36" s="302">
        <f t="shared" si="5"/>
        <v>99</v>
      </c>
      <c r="AO36" s="303" t="str">
        <f>IF(AN36&gt;KKM!$G$10,"A",IF(AN36&gt;KKM!$H$10,"B",IF(AN36&gt;=KKM!$I$10,"C","D")))</f>
        <v>A</v>
      </c>
      <c r="AP36" s="523">
        <f t="shared" si="6"/>
        <v>99</v>
      </c>
      <c r="AQ36" s="115" t="str">
        <f>IF(AP36&gt;KKM!$G$10," sangat baik ",IF(AP36&gt;KKM!$H$10," baik ",IF(AP36&gt;=KKM!$I$10," cukup baik "," perlu bimbingan ")))</f>
        <v xml:space="preserve"> sangat baik </v>
      </c>
      <c r="AR36" s="524">
        <f t="shared" si="7"/>
        <v>99</v>
      </c>
      <c r="AS36" s="115" t="str">
        <f>IF(AR36&gt;KKM!$G$10," sangat baik ",IF(AR36&gt;KKM!$H$10," baik ",IF(AR36&gt;=KKM!$I$10," cukup baik "," perlu bimbingan ")))</f>
        <v xml:space="preserve"> sangat baik </v>
      </c>
      <c r="AT36" s="301" t="str">
        <f t="shared" si="15"/>
        <v>Anak 32 sangat baik  dalam mengetahui gambar dan bentuk tiga dimensi.</v>
      </c>
      <c r="AU36" s="306"/>
      <c r="AV36" s="307" t="str">
        <f t="shared" si="8"/>
        <v xml:space="preserve"> sangat baik  dalam mengetahui gambar dan bentuk tiga dimensi.</v>
      </c>
      <c r="AW36" s="307" t="str">
        <f t="shared" si="9"/>
        <v xml:space="preserve"> sangat baik  dalam mengetahui gambar dan bentuk tiga dimensi.</v>
      </c>
      <c r="AX36" s="307" t="str">
        <f t="shared" si="16"/>
        <v xml:space="preserve"> sangat baik  dalam mengetahui gambar dan bentuk tiga dimensi., dan  sangat baik  dalam mengetahui gambar dan bentuk tiga dimensi.</v>
      </c>
      <c r="AY36" s="307" t="str">
        <f t="shared" si="17"/>
        <v xml:space="preserve"> sangat baik  dalam mengetahui gambar dan bentuk tiga dimensi.</v>
      </c>
      <c r="AZ36" s="308" t="str">
        <f t="shared" si="18"/>
        <v xml:space="preserve"> sangat baik  dalam mengetahui gambar dan bentuk tiga dimensi.</v>
      </c>
      <c r="BA36" s="301" t="str">
        <f t="shared" si="10"/>
        <v>Anak 32 sangat baik  dalam mengetahui gambar dan bentuk tiga dimensi.</v>
      </c>
      <c r="BB36" s="120"/>
      <c r="BJ36" s="408">
        <f t="shared" si="19"/>
        <v>99</v>
      </c>
      <c r="BM36" s="302">
        <f t="shared" si="20"/>
        <v>99</v>
      </c>
      <c r="BN36" s="303" t="str">
        <f>IF(BM36&gt;KKM!$G$10,"A",IF(BM36&gt;KKM!$H$10,"B",IF(BM36&gt;=KKM!$I$10,"C","D")))</f>
        <v>A</v>
      </c>
      <c r="BO36" s="523">
        <f t="shared" si="21"/>
        <v>99</v>
      </c>
      <c r="BP36" s="115" t="str">
        <f>IF(BO36&gt;KKM!$G$10," sangat baik ",IF(BO36&gt;KKM!$H$10," baik ",IF(BO36&gt;=KKM!$I$10," cukup baik "," perlu bimbingan ")))</f>
        <v xml:space="preserve"> sangat baik </v>
      </c>
      <c r="BQ36" s="524">
        <f t="shared" si="22"/>
        <v>99</v>
      </c>
      <c r="BR36" s="115" t="str">
        <f>IF(BQ36&gt;KKM!$G$10," sangat baik ",IF(BQ36&gt;KKM!$H$10," baik ",IF(BQ36&gt;=KKM!$I$10," cukup baik "," perlu bimbingan ")))</f>
        <v xml:space="preserve"> sangat baik </v>
      </c>
      <c r="BS36" s="301" t="str">
        <f t="shared" si="29"/>
        <v>Anak 32 sangat baik  dalam mengetahui tanda tempo dan tinggi rendah nada.</v>
      </c>
      <c r="BT36" s="307" t="str">
        <f t="shared" si="23"/>
        <v xml:space="preserve"> sangat baik  dalam mengetahui tanda tempo dan tinggi rendah nada.</v>
      </c>
      <c r="BU36" s="307" t="str">
        <f t="shared" si="24"/>
        <v xml:space="preserve"> sangat baik  dalam mengetahui tanda tempo dan tinggi rendah nada.</v>
      </c>
      <c r="BV36" s="307" t="str">
        <f t="shared" si="25"/>
        <v xml:space="preserve"> sangat baik  dalam mengetahui tanda tempo dan tinggi rendah nada., dan  sangat baik  dalam mengetahui tanda tempo dan tinggi rendah nada.</v>
      </c>
      <c r="BW36" s="307" t="str">
        <f t="shared" si="26"/>
        <v xml:space="preserve"> sangat baik  dalam mengetahui tanda tempo dan tinggi rendah nada.</v>
      </c>
      <c r="BX36" s="308" t="str">
        <f t="shared" si="27"/>
        <v xml:space="preserve"> sangat baik  dalam mengetahui tanda tempo dan tinggi rendah nada.</v>
      </c>
      <c r="BY36" s="301" t="str">
        <f t="shared" si="28"/>
        <v>Anak 32 sangat baik  dalam mengetahui tanda tempo dan tinggi rendah nada.</v>
      </c>
    </row>
    <row r="37" spans="2:77" ht="63.75" customHeight="1">
      <c r="B37" s="109">
        <v>33</v>
      </c>
      <c r="C37" s="110">
        <f>SISWA!B38</f>
        <v>0</v>
      </c>
      <c r="D37" s="111" t="str">
        <f>SISWA!E38</f>
        <v>Anak 33</v>
      </c>
      <c r="E37" s="631">
        <v>99</v>
      </c>
      <c r="F37" s="631">
        <v>99</v>
      </c>
      <c r="G37" s="631">
        <v>99</v>
      </c>
      <c r="H37" s="613">
        <v>99</v>
      </c>
      <c r="I37" s="730"/>
      <c r="J37" s="730"/>
      <c r="K37" s="731"/>
      <c r="L37" s="731"/>
      <c r="M37" s="731"/>
      <c r="N37" s="731"/>
      <c r="O37" s="730"/>
      <c r="P37" s="730"/>
      <c r="Q37" s="610"/>
      <c r="R37" s="631"/>
      <c r="S37" s="631">
        <v>99</v>
      </c>
      <c r="T37" s="631">
        <v>99</v>
      </c>
      <c r="U37" s="631">
        <v>99</v>
      </c>
      <c r="V37" s="631"/>
      <c r="W37" s="631"/>
      <c r="X37" s="610"/>
      <c r="Y37" s="631">
        <v>99</v>
      </c>
      <c r="Z37" s="631">
        <v>99</v>
      </c>
      <c r="AA37" s="631">
        <v>99</v>
      </c>
      <c r="AB37" s="609"/>
      <c r="AC37" s="609"/>
      <c r="AD37" s="606"/>
      <c r="AE37" s="518"/>
      <c r="AF37" s="607">
        <f t="shared" si="11"/>
        <v>99</v>
      </c>
      <c r="AG37" s="607">
        <f t="shared" si="12"/>
        <v>99</v>
      </c>
      <c r="AH37" s="607">
        <f t="shared" si="13"/>
        <v>99</v>
      </c>
      <c r="AI37" s="607">
        <f t="shared" si="14"/>
        <v>99</v>
      </c>
      <c r="AJ37" s="529"/>
      <c r="AK37" s="528"/>
      <c r="AL37" s="528"/>
      <c r="AM37" s="528"/>
      <c r="AN37" s="302">
        <f t="shared" ref="AN37:AN54" si="30">ROUND((AVERAGE(AF37:AM37)),0)</f>
        <v>99</v>
      </c>
      <c r="AO37" s="303" t="str">
        <f>IF(AN37&gt;KKM!$G$10,"A",IF(AN37&gt;KKM!$H$10,"B",IF(AN37&gt;=KKM!$I$10,"C","D")))</f>
        <v>A</v>
      </c>
      <c r="AP37" s="523">
        <f t="shared" ref="AP37:AP54" si="31">MAX(AF37:AM37)</f>
        <v>99</v>
      </c>
      <c r="AQ37" s="115" t="str">
        <f>IF(AP37&gt;KKM!$G$10," sangat baik ",IF(AP37&gt;KKM!$H$10," baik ",IF(AP37&gt;=KKM!$I$10," cukup baik "," perlu bimbingan ")))</f>
        <v xml:space="preserve"> sangat baik </v>
      </c>
      <c r="AR37" s="524">
        <f t="shared" ref="AR37:AR54" si="32">MIN(AF37:AM37)</f>
        <v>99</v>
      </c>
      <c r="AS37" s="115" t="str">
        <f>IF(AR37&gt;KKM!$G$10," sangat baik ",IF(AR37&gt;KKM!$H$10," baik ",IF(AR37&gt;=KKM!$I$10," cukup baik "," perlu bimbingan ")))</f>
        <v xml:space="preserve"> sangat baik </v>
      </c>
      <c r="AT37" s="301" t="str">
        <f t="shared" si="15"/>
        <v>Anak 33 sangat baik  dalam mengetahui gambar dan bentuk tiga dimensi.</v>
      </c>
      <c r="AU37" s="306"/>
      <c r="AV37" s="307" t="str">
        <f t="shared" ref="AV37:AV54" si="33">AQ37&amp;" dalam "&amp;INDEX($AF$3:$AM$3,MATCH(AP37,$AF37:$AM37,0))</f>
        <v xml:space="preserve"> sangat baik  dalam mengetahui gambar dan bentuk tiga dimensi.</v>
      </c>
      <c r="AW37" s="307" t="str">
        <f t="shared" ref="AW37:AW54" si="34">AS37&amp;" dalam "&amp;INDEX($AF$3:$AM$3,MATCH(AR37,$AF37:$AM37,0))</f>
        <v xml:space="preserve"> sangat baik  dalam mengetahui gambar dan bentuk tiga dimensi.</v>
      </c>
      <c r="AX37" s="307" t="str">
        <f t="shared" si="16"/>
        <v xml:space="preserve"> sangat baik  dalam mengetahui gambar dan bentuk tiga dimensi., dan  sangat baik  dalam mengetahui gambar dan bentuk tiga dimensi.</v>
      </c>
      <c r="AY37" s="307" t="str">
        <f t="shared" si="17"/>
        <v xml:space="preserve"> sangat baik  dalam mengetahui gambar dan bentuk tiga dimensi.</v>
      </c>
      <c r="AZ37" s="308" t="str">
        <f t="shared" si="18"/>
        <v xml:space="preserve"> sangat baik  dalam mengetahui gambar dan bentuk tiga dimensi.</v>
      </c>
      <c r="BA37" s="301" t="str">
        <f t="shared" ref="BA37:BA54" si="35">CONCATENATE(D37,AZ37)</f>
        <v>Anak 33 sangat baik  dalam mengetahui gambar dan bentuk tiga dimensi.</v>
      </c>
      <c r="BB37" s="120"/>
      <c r="BJ37" s="408">
        <f t="shared" si="19"/>
        <v>99</v>
      </c>
      <c r="BM37" s="302">
        <f t="shared" si="20"/>
        <v>99</v>
      </c>
      <c r="BN37" s="303" t="str">
        <f>IF(BM37&gt;KKM!$G$10,"A",IF(BM37&gt;KKM!$H$10,"B",IF(BM37&gt;=KKM!$I$10,"C","D")))</f>
        <v>A</v>
      </c>
      <c r="BO37" s="523">
        <f t="shared" si="21"/>
        <v>99</v>
      </c>
      <c r="BP37" s="115" t="str">
        <f>IF(BO37&gt;KKM!$G$10," sangat baik ",IF(BO37&gt;KKM!$H$10," baik ",IF(BO37&gt;=KKM!$I$10," cukup baik "," perlu bimbingan ")))</f>
        <v xml:space="preserve"> sangat baik </v>
      </c>
      <c r="BQ37" s="524">
        <f t="shared" si="22"/>
        <v>99</v>
      </c>
      <c r="BR37" s="115" t="str">
        <f>IF(BQ37&gt;KKM!$G$10," sangat baik ",IF(BQ37&gt;KKM!$H$10," baik ",IF(BQ37&gt;=KKM!$I$10," cukup baik "," perlu bimbingan ")))</f>
        <v xml:space="preserve"> sangat baik </v>
      </c>
      <c r="BS37" s="301" t="str">
        <f t="shared" si="29"/>
        <v>Anak 33 sangat baik  dalam mengetahui tanda tempo dan tinggi rendah nada.</v>
      </c>
      <c r="BT37" s="307" t="str">
        <f t="shared" si="23"/>
        <v xml:space="preserve"> sangat baik  dalam mengetahui tanda tempo dan tinggi rendah nada.</v>
      </c>
      <c r="BU37" s="307" t="str">
        <f t="shared" si="24"/>
        <v xml:space="preserve"> sangat baik  dalam mengetahui tanda tempo dan tinggi rendah nada.</v>
      </c>
      <c r="BV37" s="307" t="str">
        <f t="shared" si="25"/>
        <v xml:space="preserve"> sangat baik  dalam mengetahui tanda tempo dan tinggi rendah nada., dan  sangat baik  dalam mengetahui tanda tempo dan tinggi rendah nada.</v>
      </c>
      <c r="BW37" s="307" t="str">
        <f t="shared" si="26"/>
        <v xml:space="preserve"> sangat baik  dalam mengetahui tanda tempo dan tinggi rendah nada.</v>
      </c>
      <c r="BX37" s="308" t="str">
        <f t="shared" si="27"/>
        <v xml:space="preserve"> sangat baik  dalam mengetahui tanda tempo dan tinggi rendah nada.</v>
      </c>
      <c r="BY37" s="301" t="str">
        <f t="shared" si="28"/>
        <v>Anak 33 sangat baik  dalam mengetahui tanda tempo dan tinggi rendah nada.</v>
      </c>
    </row>
    <row r="38" spans="2:77" ht="63.75" customHeight="1">
      <c r="B38" s="109">
        <v>34</v>
      </c>
      <c r="C38" s="110">
        <f>SISWA!B39</f>
        <v>0</v>
      </c>
      <c r="D38" s="111" t="str">
        <f>SISWA!E39</f>
        <v>Anak 34</v>
      </c>
      <c r="E38" s="631">
        <v>99</v>
      </c>
      <c r="F38" s="631">
        <v>99</v>
      </c>
      <c r="G38" s="631">
        <v>99</v>
      </c>
      <c r="H38" s="613">
        <v>99</v>
      </c>
      <c r="I38" s="730"/>
      <c r="J38" s="730"/>
      <c r="K38" s="731"/>
      <c r="L38" s="731"/>
      <c r="M38" s="731"/>
      <c r="N38" s="731"/>
      <c r="O38" s="730"/>
      <c r="P38" s="730"/>
      <c r="Q38" s="610"/>
      <c r="R38" s="631"/>
      <c r="S38" s="631">
        <v>99</v>
      </c>
      <c r="T38" s="631">
        <v>99</v>
      </c>
      <c r="U38" s="631">
        <v>99</v>
      </c>
      <c r="V38" s="631"/>
      <c r="W38" s="631"/>
      <c r="X38" s="610"/>
      <c r="Y38" s="631">
        <v>99</v>
      </c>
      <c r="Z38" s="631">
        <v>99</v>
      </c>
      <c r="AA38" s="631">
        <v>99</v>
      </c>
      <c r="AB38" s="609"/>
      <c r="AC38" s="609"/>
      <c r="AD38" s="606"/>
      <c r="AE38" s="518"/>
      <c r="AF38" s="607">
        <f t="shared" si="11"/>
        <v>99</v>
      </c>
      <c r="AG38" s="607">
        <f t="shared" si="12"/>
        <v>99</v>
      </c>
      <c r="AH38" s="607">
        <f t="shared" si="13"/>
        <v>99</v>
      </c>
      <c r="AI38" s="607">
        <f t="shared" si="14"/>
        <v>99</v>
      </c>
      <c r="AJ38" s="529"/>
      <c r="AK38" s="528"/>
      <c r="AL38" s="528"/>
      <c r="AM38" s="528"/>
      <c r="AN38" s="302">
        <f t="shared" si="30"/>
        <v>99</v>
      </c>
      <c r="AO38" s="303" t="str">
        <f>IF(AN38&gt;KKM!$G$10,"A",IF(AN38&gt;KKM!$H$10,"B",IF(AN38&gt;=KKM!$I$10,"C","D")))</f>
        <v>A</v>
      </c>
      <c r="AP38" s="523">
        <f t="shared" si="31"/>
        <v>99</v>
      </c>
      <c r="AQ38" s="115" t="str">
        <f>IF(AP38&gt;KKM!$G$10," sangat baik ",IF(AP38&gt;KKM!$H$10," baik ",IF(AP38&gt;=KKM!$I$10," cukup baik "," perlu bimbingan ")))</f>
        <v xml:space="preserve"> sangat baik </v>
      </c>
      <c r="AR38" s="524">
        <f t="shared" si="32"/>
        <v>99</v>
      </c>
      <c r="AS38" s="115" t="str">
        <f>IF(AR38&gt;KKM!$G$10," sangat baik ",IF(AR38&gt;KKM!$H$10," baik ",IF(AR38&gt;=KKM!$I$10," cukup baik "," perlu bimbingan ")))</f>
        <v xml:space="preserve"> sangat baik </v>
      </c>
      <c r="AT38" s="301" t="str">
        <f t="shared" si="15"/>
        <v>Anak 34 sangat baik  dalam mengetahui gambar dan bentuk tiga dimensi.</v>
      </c>
      <c r="AU38" s="306"/>
      <c r="AV38" s="307" t="str">
        <f t="shared" si="33"/>
        <v xml:space="preserve"> sangat baik  dalam mengetahui gambar dan bentuk tiga dimensi.</v>
      </c>
      <c r="AW38" s="307" t="str">
        <f t="shared" si="34"/>
        <v xml:space="preserve"> sangat baik  dalam mengetahui gambar dan bentuk tiga dimensi.</v>
      </c>
      <c r="AX38" s="307" t="str">
        <f t="shared" si="16"/>
        <v xml:space="preserve"> sangat baik  dalam mengetahui gambar dan bentuk tiga dimensi., dan  sangat baik  dalam mengetahui gambar dan bentuk tiga dimensi.</v>
      </c>
      <c r="AY38" s="307" t="str">
        <f t="shared" si="17"/>
        <v xml:space="preserve"> sangat baik  dalam mengetahui gambar dan bentuk tiga dimensi.</v>
      </c>
      <c r="AZ38" s="308" t="str">
        <f t="shared" si="18"/>
        <v xml:space="preserve"> sangat baik  dalam mengetahui gambar dan bentuk tiga dimensi.</v>
      </c>
      <c r="BA38" s="301" t="str">
        <f t="shared" si="35"/>
        <v>Anak 34 sangat baik  dalam mengetahui gambar dan bentuk tiga dimensi.</v>
      </c>
      <c r="BB38" s="120"/>
      <c r="BJ38" s="408">
        <f t="shared" si="19"/>
        <v>99</v>
      </c>
      <c r="BM38" s="302">
        <f t="shared" si="20"/>
        <v>99</v>
      </c>
      <c r="BN38" s="303" t="str">
        <f>IF(BM38&gt;KKM!$G$10,"A",IF(BM38&gt;KKM!$H$10,"B",IF(BM38&gt;=KKM!$I$10,"C","D")))</f>
        <v>A</v>
      </c>
      <c r="BO38" s="523">
        <f t="shared" si="21"/>
        <v>99</v>
      </c>
      <c r="BP38" s="115" t="str">
        <f>IF(BO38&gt;KKM!$G$10," sangat baik ",IF(BO38&gt;KKM!$H$10," baik ",IF(BO38&gt;=KKM!$I$10," cukup baik "," perlu bimbingan ")))</f>
        <v xml:space="preserve"> sangat baik </v>
      </c>
      <c r="BQ38" s="524">
        <f t="shared" si="22"/>
        <v>99</v>
      </c>
      <c r="BR38" s="115" t="str">
        <f>IF(BQ38&gt;KKM!$G$10," sangat baik ",IF(BQ38&gt;KKM!$H$10," baik ",IF(BQ38&gt;=KKM!$I$10," cukup baik "," perlu bimbingan ")))</f>
        <v xml:space="preserve"> sangat baik </v>
      </c>
      <c r="BS38" s="301" t="str">
        <f t="shared" si="29"/>
        <v>Anak 34 sangat baik  dalam mengetahui tanda tempo dan tinggi rendah nada.</v>
      </c>
      <c r="BT38" s="307" t="str">
        <f t="shared" si="23"/>
        <v xml:space="preserve"> sangat baik  dalam mengetahui tanda tempo dan tinggi rendah nada.</v>
      </c>
      <c r="BU38" s="307" t="str">
        <f t="shared" si="24"/>
        <v xml:space="preserve"> sangat baik  dalam mengetahui tanda tempo dan tinggi rendah nada.</v>
      </c>
      <c r="BV38" s="307" t="str">
        <f t="shared" si="25"/>
        <v xml:space="preserve"> sangat baik  dalam mengetahui tanda tempo dan tinggi rendah nada., dan  sangat baik  dalam mengetahui tanda tempo dan tinggi rendah nada.</v>
      </c>
      <c r="BW38" s="307" t="str">
        <f t="shared" si="26"/>
        <v xml:space="preserve"> sangat baik  dalam mengetahui tanda tempo dan tinggi rendah nada.</v>
      </c>
      <c r="BX38" s="308" t="str">
        <f t="shared" si="27"/>
        <v xml:space="preserve"> sangat baik  dalam mengetahui tanda tempo dan tinggi rendah nada.</v>
      </c>
      <c r="BY38" s="301" t="str">
        <f t="shared" si="28"/>
        <v>Anak 34 sangat baik  dalam mengetahui tanda tempo dan tinggi rendah nada.</v>
      </c>
    </row>
    <row r="39" spans="2:77" ht="63.75" customHeight="1">
      <c r="B39" s="109">
        <v>35</v>
      </c>
      <c r="C39" s="110">
        <f>SISWA!B40</f>
        <v>0</v>
      </c>
      <c r="D39" s="111" t="str">
        <f>SISWA!E40</f>
        <v>Anak 35</v>
      </c>
      <c r="E39" s="631">
        <v>99</v>
      </c>
      <c r="F39" s="631">
        <v>99</v>
      </c>
      <c r="G39" s="631">
        <v>99</v>
      </c>
      <c r="H39" s="613">
        <v>99</v>
      </c>
      <c r="I39" s="730"/>
      <c r="J39" s="730"/>
      <c r="K39" s="731"/>
      <c r="L39" s="731"/>
      <c r="M39" s="731"/>
      <c r="N39" s="731"/>
      <c r="O39" s="730"/>
      <c r="P39" s="730"/>
      <c r="Q39" s="610"/>
      <c r="R39" s="631"/>
      <c r="S39" s="631">
        <v>99</v>
      </c>
      <c r="T39" s="631">
        <v>99</v>
      </c>
      <c r="U39" s="631">
        <v>99</v>
      </c>
      <c r="V39" s="631"/>
      <c r="W39" s="631"/>
      <c r="X39" s="610"/>
      <c r="Y39" s="631">
        <v>99</v>
      </c>
      <c r="Z39" s="631">
        <v>99</v>
      </c>
      <c r="AA39" s="631">
        <v>99</v>
      </c>
      <c r="AB39" s="609"/>
      <c r="AC39" s="609"/>
      <c r="AD39" s="606"/>
      <c r="AE39" s="518"/>
      <c r="AF39" s="607">
        <f t="shared" si="11"/>
        <v>99</v>
      </c>
      <c r="AG39" s="607">
        <f t="shared" si="12"/>
        <v>99</v>
      </c>
      <c r="AH39" s="607">
        <f t="shared" si="13"/>
        <v>99</v>
      </c>
      <c r="AI39" s="607">
        <f t="shared" si="14"/>
        <v>99</v>
      </c>
      <c r="AJ39" s="529"/>
      <c r="AK39" s="528"/>
      <c r="AL39" s="528"/>
      <c r="AM39" s="528"/>
      <c r="AN39" s="302">
        <f t="shared" si="30"/>
        <v>99</v>
      </c>
      <c r="AO39" s="303" t="str">
        <f>IF(AN39&gt;KKM!$G$10,"A",IF(AN39&gt;KKM!$H$10,"B",IF(AN39&gt;=KKM!$I$10,"C","D")))</f>
        <v>A</v>
      </c>
      <c r="AP39" s="523">
        <f t="shared" si="31"/>
        <v>99</v>
      </c>
      <c r="AQ39" s="115" t="str">
        <f>IF(AP39&gt;KKM!$G$10," sangat baik ",IF(AP39&gt;KKM!$H$10," baik ",IF(AP39&gt;=KKM!$I$10," cukup baik "," perlu bimbingan ")))</f>
        <v xml:space="preserve"> sangat baik </v>
      </c>
      <c r="AR39" s="524">
        <f t="shared" si="32"/>
        <v>99</v>
      </c>
      <c r="AS39" s="115" t="str">
        <f>IF(AR39&gt;KKM!$G$10," sangat baik ",IF(AR39&gt;KKM!$H$10," baik ",IF(AR39&gt;=KKM!$I$10," cukup baik "," perlu bimbingan ")))</f>
        <v xml:space="preserve"> sangat baik </v>
      </c>
      <c r="AT39" s="301" t="str">
        <f t="shared" si="15"/>
        <v>Anak 35 sangat baik  dalam mengetahui gambar dan bentuk tiga dimensi.</v>
      </c>
      <c r="AU39" s="306"/>
      <c r="AV39" s="307" t="str">
        <f t="shared" si="33"/>
        <v xml:space="preserve"> sangat baik  dalam mengetahui gambar dan bentuk tiga dimensi.</v>
      </c>
      <c r="AW39" s="307" t="str">
        <f t="shared" si="34"/>
        <v xml:space="preserve"> sangat baik  dalam mengetahui gambar dan bentuk tiga dimensi.</v>
      </c>
      <c r="AX39" s="307" t="str">
        <f t="shared" si="16"/>
        <v xml:space="preserve"> sangat baik  dalam mengetahui gambar dan bentuk tiga dimensi., dan  sangat baik  dalam mengetahui gambar dan bentuk tiga dimensi.</v>
      </c>
      <c r="AY39" s="307" t="str">
        <f t="shared" si="17"/>
        <v xml:space="preserve"> sangat baik  dalam mengetahui gambar dan bentuk tiga dimensi.</v>
      </c>
      <c r="AZ39" s="308" t="str">
        <f t="shared" si="18"/>
        <v xml:space="preserve"> sangat baik  dalam mengetahui gambar dan bentuk tiga dimensi.</v>
      </c>
      <c r="BA39" s="301" t="str">
        <f t="shared" si="35"/>
        <v>Anak 35 sangat baik  dalam mengetahui gambar dan bentuk tiga dimensi.</v>
      </c>
      <c r="BB39" s="120"/>
      <c r="BJ39" s="408">
        <f t="shared" si="19"/>
        <v>99</v>
      </c>
      <c r="BM39" s="302">
        <f t="shared" si="20"/>
        <v>99</v>
      </c>
      <c r="BN39" s="303" t="str">
        <f>IF(BM39&gt;KKM!$G$10,"A",IF(BM39&gt;KKM!$H$10,"B",IF(BM39&gt;=KKM!$I$10,"C","D")))</f>
        <v>A</v>
      </c>
      <c r="BO39" s="523">
        <f t="shared" si="21"/>
        <v>99</v>
      </c>
      <c r="BP39" s="115" t="str">
        <f>IF(BO39&gt;KKM!$G$10," sangat baik ",IF(BO39&gt;KKM!$H$10," baik ",IF(BO39&gt;=KKM!$I$10," cukup baik "," perlu bimbingan ")))</f>
        <v xml:space="preserve"> sangat baik </v>
      </c>
      <c r="BQ39" s="524">
        <f t="shared" si="22"/>
        <v>99</v>
      </c>
      <c r="BR39" s="115" t="str">
        <f>IF(BQ39&gt;KKM!$G$10," sangat baik ",IF(BQ39&gt;KKM!$H$10," baik ",IF(BQ39&gt;=KKM!$I$10," cukup baik "," perlu bimbingan ")))</f>
        <v xml:space="preserve"> sangat baik </v>
      </c>
      <c r="BS39" s="301" t="str">
        <f t="shared" si="29"/>
        <v>Anak 35 sangat baik  dalam mengetahui tanda tempo dan tinggi rendah nada.</v>
      </c>
      <c r="BT39" s="307" t="str">
        <f t="shared" si="23"/>
        <v xml:space="preserve"> sangat baik  dalam mengetahui tanda tempo dan tinggi rendah nada.</v>
      </c>
      <c r="BU39" s="307" t="str">
        <f t="shared" si="24"/>
        <v xml:space="preserve"> sangat baik  dalam mengetahui tanda tempo dan tinggi rendah nada.</v>
      </c>
      <c r="BV39" s="307" t="str">
        <f t="shared" si="25"/>
        <v xml:space="preserve"> sangat baik  dalam mengetahui tanda tempo dan tinggi rendah nada., dan  sangat baik  dalam mengetahui tanda tempo dan tinggi rendah nada.</v>
      </c>
      <c r="BW39" s="307" t="str">
        <f t="shared" si="26"/>
        <v xml:space="preserve"> sangat baik  dalam mengetahui tanda tempo dan tinggi rendah nada.</v>
      </c>
      <c r="BX39" s="308" t="str">
        <f t="shared" si="27"/>
        <v xml:space="preserve"> sangat baik  dalam mengetahui tanda tempo dan tinggi rendah nada.</v>
      </c>
      <c r="BY39" s="301" t="str">
        <f t="shared" si="28"/>
        <v>Anak 35 sangat baik  dalam mengetahui tanda tempo dan tinggi rendah nada.</v>
      </c>
    </row>
    <row r="40" spans="2:77" ht="63.75" customHeight="1">
      <c r="B40" s="109">
        <v>36</v>
      </c>
      <c r="C40" s="110">
        <f>SISWA!B41</f>
        <v>0</v>
      </c>
      <c r="D40" s="111" t="str">
        <f>SISWA!E41</f>
        <v>Anak 36</v>
      </c>
      <c r="E40" s="631">
        <v>99</v>
      </c>
      <c r="F40" s="631">
        <v>99</v>
      </c>
      <c r="G40" s="631">
        <v>99</v>
      </c>
      <c r="H40" s="613">
        <v>99</v>
      </c>
      <c r="I40" s="730"/>
      <c r="J40" s="730"/>
      <c r="K40" s="731"/>
      <c r="L40" s="731"/>
      <c r="M40" s="731"/>
      <c r="N40" s="731"/>
      <c r="O40" s="730"/>
      <c r="P40" s="730"/>
      <c r="Q40" s="610"/>
      <c r="R40" s="631"/>
      <c r="S40" s="631">
        <v>99</v>
      </c>
      <c r="T40" s="631">
        <v>99</v>
      </c>
      <c r="U40" s="631">
        <v>99</v>
      </c>
      <c r="V40" s="631"/>
      <c r="W40" s="631"/>
      <c r="X40" s="610"/>
      <c r="Y40" s="631">
        <v>99</v>
      </c>
      <c r="Z40" s="631">
        <v>99</v>
      </c>
      <c r="AA40" s="631">
        <v>99</v>
      </c>
      <c r="AB40" s="609"/>
      <c r="AC40" s="609"/>
      <c r="AD40" s="606"/>
      <c r="AE40" s="518"/>
      <c r="AF40" s="607">
        <f t="shared" si="11"/>
        <v>99</v>
      </c>
      <c r="AG40" s="607">
        <f t="shared" si="12"/>
        <v>99</v>
      </c>
      <c r="AH40" s="607">
        <f t="shared" si="13"/>
        <v>99</v>
      </c>
      <c r="AI40" s="607">
        <f t="shared" si="14"/>
        <v>99</v>
      </c>
      <c r="AJ40" s="529"/>
      <c r="AK40" s="528"/>
      <c r="AL40" s="528"/>
      <c r="AM40" s="528"/>
      <c r="AN40" s="302">
        <f t="shared" si="30"/>
        <v>99</v>
      </c>
      <c r="AO40" s="303" t="str">
        <f>IF(AN40&gt;KKM!$G$10,"A",IF(AN40&gt;KKM!$H$10,"B",IF(AN40&gt;=KKM!$I$10,"C","D")))</f>
        <v>A</v>
      </c>
      <c r="AP40" s="523">
        <f t="shared" si="31"/>
        <v>99</v>
      </c>
      <c r="AQ40" s="115" t="str">
        <f>IF(AP40&gt;KKM!$G$10," sangat baik ",IF(AP40&gt;KKM!$H$10," baik ",IF(AP40&gt;=KKM!$I$10," cukup baik "," perlu bimbingan ")))</f>
        <v xml:space="preserve"> sangat baik </v>
      </c>
      <c r="AR40" s="524">
        <f t="shared" si="32"/>
        <v>99</v>
      </c>
      <c r="AS40" s="115" t="str">
        <f>IF(AR40&gt;KKM!$G$10," sangat baik ",IF(AR40&gt;KKM!$H$10," baik ",IF(AR40&gt;=KKM!$I$10," cukup baik "," perlu bimbingan ")))</f>
        <v xml:space="preserve"> sangat baik </v>
      </c>
      <c r="AT40" s="301" t="str">
        <f t="shared" si="15"/>
        <v>Anak 36 sangat baik  dalam mengetahui gambar dan bentuk tiga dimensi.</v>
      </c>
      <c r="AU40" s="306"/>
      <c r="AV40" s="307" t="str">
        <f t="shared" si="33"/>
        <v xml:space="preserve"> sangat baik  dalam mengetahui gambar dan bentuk tiga dimensi.</v>
      </c>
      <c r="AW40" s="307" t="str">
        <f t="shared" si="34"/>
        <v xml:space="preserve"> sangat baik  dalam mengetahui gambar dan bentuk tiga dimensi.</v>
      </c>
      <c r="AX40" s="307" t="str">
        <f t="shared" si="16"/>
        <v xml:space="preserve"> sangat baik  dalam mengetahui gambar dan bentuk tiga dimensi., dan  sangat baik  dalam mengetahui gambar dan bentuk tiga dimensi.</v>
      </c>
      <c r="AY40" s="307" t="str">
        <f t="shared" si="17"/>
        <v xml:space="preserve"> sangat baik  dalam mengetahui gambar dan bentuk tiga dimensi.</v>
      </c>
      <c r="AZ40" s="308" t="str">
        <f t="shared" si="18"/>
        <v xml:space="preserve"> sangat baik  dalam mengetahui gambar dan bentuk tiga dimensi.</v>
      </c>
      <c r="BA40" s="301" t="str">
        <f t="shared" si="35"/>
        <v>Anak 36 sangat baik  dalam mengetahui gambar dan bentuk tiga dimensi.</v>
      </c>
      <c r="BB40" s="120"/>
      <c r="BJ40" s="408">
        <f t="shared" si="19"/>
        <v>99</v>
      </c>
      <c r="BM40" s="302">
        <f t="shared" si="20"/>
        <v>99</v>
      </c>
      <c r="BN40" s="303" t="str">
        <f>IF(BM40&gt;KKM!$G$10,"A",IF(BM40&gt;KKM!$H$10,"B",IF(BM40&gt;=KKM!$I$10,"C","D")))</f>
        <v>A</v>
      </c>
      <c r="BO40" s="523">
        <f t="shared" si="21"/>
        <v>99</v>
      </c>
      <c r="BP40" s="115" t="str">
        <f>IF(BO40&gt;KKM!$G$10," sangat baik ",IF(BO40&gt;KKM!$H$10," baik ",IF(BO40&gt;=KKM!$I$10," cukup baik "," perlu bimbingan ")))</f>
        <v xml:space="preserve"> sangat baik </v>
      </c>
      <c r="BQ40" s="524">
        <f t="shared" si="22"/>
        <v>99</v>
      </c>
      <c r="BR40" s="115" t="str">
        <f>IF(BQ40&gt;KKM!$G$10," sangat baik ",IF(BQ40&gt;KKM!$H$10," baik ",IF(BQ40&gt;=KKM!$I$10," cukup baik "," perlu bimbingan ")))</f>
        <v xml:space="preserve"> sangat baik </v>
      </c>
      <c r="BS40" s="301" t="str">
        <f t="shared" si="29"/>
        <v>Anak 36 sangat baik  dalam mengetahui tanda tempo dan tinggi rendah nada.</v>
      </c>
      <c r="BT40" s="307" t="str">
        <f t="shared" si="23"/>
        <v xml:space="preserve"> sangat baik  dalam mengetahui tanda tempo dan tinggi rendah nada.</v>
      </c>
      <c r="BU40" s="307" t="str">
        <f t="shared" si="24"/>
        <v xml:space="preserve"> sangat baik  dalam mengetahui tanda tempo dan tinggi rendah nada.</v>
      </c>
      <c r="BV40" s="307" t="str">
        <f t="shared" si="25"/>
        <v xml:space="preserve"> sangat baik  dalam mengetahui tanda tempo dan tinggi rendah nada., dan  sangat baik  dalam mengetahui tanda tempo dan tinggi rendah nada.</v>
      </c>
      <c r="BW40" s="307" t="str">
        <f t="shared" si="26"/>
        <v xml:space="preserve"> sangat baik  dalam mengetahui tanda tempo dan tinggi rendah nada.</v>
      </c>
      <c r="BX40" s="308" t="str">
        <f t="shared" si="27"/>
        <v xml:space="preserve"> sangat baik  dalam mengetahui tanda tempo dan tinggi rendah nada.</v>
      </c>
      <c r="BY40" s="301" t="str">
        <f t="shared" si="28"/>
        <v>Anak 36 sangat baik  dalam mengetahui tanda tempo dan tinggi rendah nada.</v>
      </c>
    </row>
    <row r="41" spans="2:77" ht="63.75" customHeight="1">
      <c r="B41" s="109">
        <v>37</v>
      </c>
      <c r="C41" s="110">
        <f>SISWA!B42</f>
        <v>0</v>
      </c>
      <c r="D41" s="111" t="str">
        <f>SISWA!E42</f>
        <v>Anak 37</v>
      </c>
      <c r="E41" s="631">
        <v>99</v>
      </c>
      <c r="F41" s="631">
        <v>99</v>
      </c>
      <c r="G41" s="631">
        <v>99</v>
      </c>
      <c r="H41" s="613">
        <v>99</v>
      </c>
      <c r="I41" s="730"/>
      <c r="J41" s="730"/>
      <c r="K41" s="731"/>
      <c r="L41" s="731"/>
      <c r="M41" s="731"/>
      <c r="N41" s="731"/>
      <c r="O41" s="730"/>
      <c r="P41" s="730"/>
      <c r="Q41" s="610"/>
      <c r="R41" s="631"/>
      <c r="S41" s="631">
        <v>99</v>
      </c>
      <c r="T41" s="631">
        <v>99</v>
      </c>
      <c r="U41" s="631">
        <v>99</v>
      </c>
      <c r="V41" s="631"/>
      <c r="W41" s="631"/>
      <c r="X41" s="610"/>
      <c r="Y41" s="631">
        <v>99</v>
      </c>
      <c r="Z41" s="631">
        <v>99</v>
      </c>
      <c r="AA41" s="631">
        <v>99</v>
      </c>
      <c r="AB41" s="609"/>
      <c r="AC41" s="609"/>
      <c r="AD41" s="606"/>
      <c r="AE41" s="518"/>
      <c r="AF41" s="607">
        <f t="shared" si="11"/>
        <v>99</v>
      </c>
      <c r="AG41" s="607">
        <f t="shared" si="12"/>
        <v>99</v>
      </c>
      <c r="AH41" s="607">
        <f t="shared" si="13"/>
        <v>99</v>
      </c>
      <c r="AI41" s="607">
        <f t="shared" si="14"/>
        <v>99</v>
      </c>
      <c r="AJ41" s="529"/>
      <c r="AK41" s="528"/>
      <c r="AL41" s="528"/>
      <c r="AM41" s="528"/>
      <c r="AN41" s="302">
        <f t="shared" si="30"/>
        <v>99</v>
      </c>
      <c r="AO41" s="303" t="str">
        <f>IF(AN41&gt;KKM!$G$10,"A",IF(AN41&gt;KKM!$H$10,"B",IF(AN41&gt;=KKM!$I$10,"C","D")))</f>
        <v>A</v>
      </c>
      <c r="AP41" s="523">
        <f t="shared" si="31"/>
        <v>99</v>
      </c>
      <c r="AQ41" s="115" t="str">
        <f>IF(AP41&gt;KKM!$G$10," sangat baik ",IF(AP41&gt;KKM!$H$10," baik ",IF(AP41&gt;=KKM!$I$10," cukup baik "," perlu bimbingan ")))</f>
        <v xml:space="preserve"> sangat baik </v>
      </c>
      <c r="AR41" s="524">
        <f t="shared" si="32"/>
        <v>99</v>
      </c>
      <c r="AS41" s="115" t="str">
        <f>IF(AR41&gt;KKM!$G$10," sangat baik ",IF(AR41&gt;KKM!$H$10," baik ",IF(AR41&gt;=KKM!$I$10," cukup baik "," perlu bimbingan ")))</f>
        <v xml:space="preserve"> sangat baik </v>
      </c>
      <c r="AT41" s="301" t="str">
        <f t="shared" si="15"/>
        <v>Anak 37 sangat baik  dalam mengetahui gambar dan bentuk tiga dimensi.</v>
      </c>
      <c r="AU41" s="306"/>
      <c r="AV41" s="307" t="str">
        <f t="shared" si="33"/>
        <v xml:space="preserve"> sangat baik  dalam mengetahui gambar dan bentuk tiga dimensi.</v>
      </c>
      <c r="AW41" s="307" t="str">
        <f t="shared" si="34"/>
        <v xml:space="preserve"> sangat baik  dalam mengetahui gambar dan bentuk tiga dimensi.</v>
      </c>
      <c r="AX41" s="307" t="str">
        <f t="shared" si="16"/>
        <v xml:space="preserve"> sangat baik  dalam mengetahui gambar dan bentuk tiga dimensi., dan  sangat baik  dalam mengetahui gambar dan bentuk tiga dimensi.</v>
      </c>
      <c r="AY41" s="307" t="str">
        <f t="shared" si="17"/>
        <v xml:space="preserve"> sangat baik  dalam mengetahui gambar dan bentuk tiga dimensi.</v>
      </c>
      <c r="AZ41" s="308" t="str">
        <f t="shared" si="18"/>
        <v xml:space="preserve"> sangat baik  dalam mengetahui gambar dan bentuk tiga dimensi.</v>
      </c>
      <c r="BA41" s="301" t="str">
        <f t="shared" si="35"/>
        <v>Anak 37 sangat baik  dalam mengetahui gambar dan bentuk tiga dimensi.</v>
      </c>
      <c r="BB41" s="120"/>
      <c r="BJ41" s="408">
        <f t="shared" si="19"/>
        <v>99</v>
      </c>
      <c r="BM41" s="302">
        <f t="shared" si="20"/>
        <v>99</v>
      </c>
      <c r="BN41" s="303" t="str">
        <f>IF(BM41&gt;KKM!$G$10,"A",IF(BM41&gt;KKM!$H$10,"B",IF(BM41&gt;=KKM!$I$10,"C","D")))</f>
        <v>A</v>
      </c>
      <c r="BO41" s="523">
        <f t="shared" si="21"/>
        <v>99</v>
      </c>
      <c r="BP41" s="115" t="str">
        <f>IF(BO41&gt;KKM!$G$10," sangat baik ",IF(BO41&gt;KKM!$H$10," baik ",IF(BO41&gt;=KKM!$I$10," cukup baik "," perlu bimbingan ")))</f>
        <v xml:space="preserve"> sangat baik </v>
      </c>
      <c r="BQ41" s="524">
        <f t="shared" si="22"/>
        <v>99</v>
      </c>
      <c r="BR41" s="115" t="str">
        <f>IF(BQ41&gt;KKM!$G$10," sangat baik ",IF(BQ41&gt;KKM!$H$10," baik ",IF(BQ41&gt;=KKM!$I$10," cukup baik "," perlu bimbingan ")))</f>
        <v xml:space="preserve"> sangat baik </v>
      </c>
      <c r="BS41" s="301" t="str">
        <f t="shared" si="29"/>
        <v>Anak 37 sangat baik  dalam mengetahui tanda tempo dan tinggi rendah nada.</v>
      </c>
      <c r="BT41" s="307" t="str">
        <f t="shared" si="23"/>
        <v xml:space="preserve"> sangat baik  dalam mengetahui tanda tempo dan tinggi rendah nada.</v>
      </c>
      <c r="BU41" s="307" t="str">
        <f t="shared" si="24"/>
        <v xml:space="preserve"> sangat baik  dalam mengetahui tanda tempo dan tinggi rendah nada.</v>
      </c>
      <c r="BV41" s="307" t="str">
        <f t="shared" si="25"/>
        <v xml:space="preserve"> sangat baik  dalam mengetahui tanda tempo dan tinggi rendah nada., dan  sangat baik  dalam mengetahui tanda tempo dan tinggi rendah nada.</v>
      </c>
      <c r="BW41" s="307" t="str">
        <f t="shared" si="26"/>
        <v xml:space="preserve"> sangat baik  dalam mengetahui tanda tempo dan tinggi rendah nada.</v>
      </c>
      <c r="BX41" s="308" t="str">
        <f t="shared" si="27"/>
        <v xml:space="preserve"> sangat baik  dalam mengetahui tanda tempo dan tinggi rendah nada.</v>
      </c>
      <c r="BY41" s="301" t="str">
        <f t="shared" si="28"/>
        <v>Anak 37 sangat baik  dalam mengetahui tanda tempo dan tinggi rendah nada.</v>
      </c>
    </row>
    <row r="42" spans="2:77" ht="63.75" customHeight="1">
      <c r="B42" s="109">
        <v>38</v>
      </c>
      <c r="C42" s="110">
        <f>SISWA!B43</f>
        <v>0</v>
      </c>
      <c r="D42" s="111" t="str">
        <f>SISWA!E43</f>
        <v>Anak 38</v>
      </c>
      <c r="E42" s="631">
        <v>99</v>
      </c>
      <c r="F42" s="631">
        <v>99</v>
      </c>
      <c r="G42" s="631">
        <v>99</v>
      </c>
      <c r="H42" s="613">
        <v>99</v>
      </c>
      <c r="I42" s="730"/>
      <c r="J42" s="730"/>
      <c r="K42" s="731"/>
      <c r="L42" s="731"/>
      <c r="M42" s="731"/>
      <c r="N42" s="731"/>
      <c r="O42" s="730"/>
      <c r="P42" s="730"/>
      <c r="Q42" s="610"/>
      <c r="R42" s="631"/>
      <c r="S42" s="631">
        <v>99</v>
      </c>
      <c r="T42" s="631">
        <v>99</v>
      </c>
      <c r="U42" s="631">
        <v>99</v>
      </c>
      <c r="V42" s="631"/>
      <c r="W42" s="631"/>
      <c r="X42" s="610"/>
      <c r="Y42" s="631">
        <v>99</v>
      </c>
      <c r="Z42" s="631">
        <v>99</v>
      </c>
      <c r="AA42" s="631">
        <v>99</v>
      </c>
      <c r="AB42" s="609"/>
      <c r="AC42" s="609"/>
      <c r="AD42" s="606"/>
      <c r="AE42" s="518"/>
      <c r="AF42" s="607">
        <f t="shared" si="11"/>
        <v>99</v>
      </c>
      <c r="AG42" s="607">
        <f t="shared" si="12"/>
        <v>99</v>
      </c>
      <c r="AH42" s="607">
        <f t="shared" si="13"/>
        <v>99</v>
      </c>
      <c r="AI42" s="607">
        <f t="shared" si="14"/>
        <v>99</v>
      </c>
      <c r="AJ42" s="529"/>
      <c r="AK42" s="528"/>
      <c r="AL42" s="528"/>
      <c r="AM42" s="528"/>
      <c r="AN42" s="302">
        <f t="shared" si="30"/>
        <v>99</v>
      </c>
      <c r="AO42" s="303" t="str">
        <f>IF(AN42&gt;KKM!$G$10,"A",IF(AN42&gt;KKM!$H$10,"B",IF(AN42&gt;=KKM!$I$10,"C","D")))</f>
        <v>A</v>
      </c>
      <c r="AP42" s="523">
        <f t="shared" si="31"/>
        <v>99</v>
      </c>
      <c r="AQ42" s="115" t="str">
        <f>IF(AP42&gt;KKM!$G$10," sangat baik ",IF(AP42&gt;KKM!$H$10," baik ",IF(AP42&gt;=KKM!$I$10," cukup baik "," perlu bimbingan ")))</f>
        <v xml:space="preserve"> sangat baik </v>
      </c>
      <c r="AR42" s="524">
        <f t="shared" si="32"/>
        <v>99</v>
      </c>
      <c r="AS42" s="115" t="str">
        <f>IF(AR42&gt;KKM!$G$10," sangat baik ",IF(AR42&gt;KKM!$H$10," baik ",IF(AR42&gt;=KKM!$I$10," cukup baik "," perlu bimbingan ")))</f>
        <v xml:space="preserve"> sangat baik </v>
      </c>
      <c r="AT42" s="301" t="str">
        <f t="shared" si="15"/>
        <v>Anak 38 sangat baik  dalam mengetahui gambar dan bentuk tiga dimensi.</v>
      </c>
      <c r="AU42" s="306"/>
      <c r="AV42" s="307" t="str">
        <f t="shared" si="33"/>
        <v xml:space="preserve"> sangat baik  dalam mengetahui gambar dan bentuk tiga dimensi.</v>
      </c>
      <c r="AW42" s="307" t="str">
        <f t="shared" si="34"/>
        <v xml:space="preserve"> sangat baik  dalam mengetahui gambar dan bentuk tiga dimensi.</v>
      </c>
      <c r="AX42" s="307" t="str">
        <f t="shared" si="16"/>
        <v xml:space="preserve"> sangat baik  dalam mengetahui gambar dan bentuk tiga dimensi., dan  sangat baik  dalam mengetahui gambar dan bentuk tiga dimensi.</v>
      </c>
      <c r="AY42" s="307" t="str">
        <f t="shared" si="17"/>
        <v xml:space="preserve"> sangat baik  dalam mengetahui gambar dan bentuk tiga dimensi.</v>
      </c>
      <c r="AZ42" s="308" t="str">
        <f t="shared" si="18"/>
        <v xml:space="preserve"> sangat baik  dalam mengetahui gambar dan bentuk tiga dimensi.</v>
      </c>
      <c r="BA42" s="301" t="str">
        <f t="shared" si="35"/>
        <v>Anak 38 sangat baik  dalam mengetahui gambar dan bentuk tiga dimensi.</v>
      </c>
      <c r="BB42" s="120"/>
      <c r="BJ42" s="408">
        <f t="shared" si="19"/>
        <v>99</v>
      </c>
      <c r="BM42" s="302">
        <f t="shared" si="20"/>
        <v>99</v>
      </c>
      <c r="BN42" s="303" t="str">
        <f>IF(BM42&gt;KKM!$G$10,"A",IF(BM42&gt;KKM!$H$10,"B",IF(BM42&gt;=KKM!$I$10,"C","D")))</f>
        <v>A</v>
      </c>
      <c r="BO42" s="523">
        <f t="shared" si="21"/>
        <v>99</v>
      </c>
      <c r="BP42" s="115" t="str">
        <f>IF(BO42&gt;KKM!$G$10," sangat baik ",IF(BO42&gt;KKM!$H$10," baik ",IF(BO42&gt;=KKM!$I$10," cukup baik "," perlu bimbingan ")))</f>
        <v xml:space="preserve"> sangat baik </v>
      </c>
      <c r="BQ42" s="524">
        <f t="shared" si="22"/>
        <v>99</v>
      </c>
      <c r="BR42" s="115" t="str">
        <f>IF(BQ42&gt;KKM!$G$10," sangat baik ",IF(BQ42&gt;KKM!$H$10," baik ",IF(BQ42&gt;=KKM!$I$10," cukup baik "," perlu bimbingan ")))</f>
        <v xml:space="preserve"> sangat baik </v>
      </c>
      <c r="BS42" s="301" t="str">
        <f t="shared" si="29"/>
        <v>Anak 38 sangat baik  dalam mengetahui tanda tempo dan tinggi rendah nada.</v>
      </c>
      <c r="BT42" s="307" t="str">
        <f t="shared" si="23"/>
        <v xml:space="preserve"> sangat baik  dalam mengetahui tanda tempo dan tinggi rendah nada.</v>
      </c>
      <c r="BU42" s="307" t="str">
        <f t="shared" si="24"/>
        <v xml:space="preserve"> sangat baik  dalam mengetahui tanda tempo dan tinggi rendah nada.</v>
      </c>
      <c r="BV42" s="307" t="str">
        <f t="shared" si="25"/>
        <v xml:space="preserve"> sangat baik  dalam mengetahui tanda tempo dan tinggi rendah nada., dan  sangat baik  dalam mengetahui tanda tempo dan tinggi rendah nada.</v>
      </c>
      <c r="BW42" s="307" t="str">
        <f t="shared" si="26"/>
        <v xml:space="preserve"> sangat baik  dalam mengetahui tanda tempo dan tinggi rendah nada.</v>
      </c>
      <c r="BX42" s="308" t="str">
        <f t="shared" si="27"/>
        <v xml:space="preserve"> sangat baik  dalam mengetahui tanda tempo dan tinggi rendah nada.</v>
      </c>
      <c r="BY42" s="301" t="str">
        <f t="shared" si="28"/>
        <v>Anak 38 sangat baik  dalam mengetahui tanda tempo dan tinggi rendah nada.</v>
      </c>
    </row>
    <row r="43" spans="2:77" ht="63.75" customHeight="1">
      <c r="B43" s="109">
        <v>39</v>
      </c>
      <c r="C43" s="110">
        <f>SISWA!B44</f>
        <v>0</v>
      </c>
      <c r="D43" s="111" t="str">
        <f>SISWA!E44</f>
        <v>Anak 39</v>
      </c>
      <c r="E43" s="631">
        <v>99</v>
      </c>
      <c r="F43" s="631">
        <v>99</v>
      </c>
      <c r="G43" s="631">
        <v>99</v>
      </c>
      <c r="H43" s="613">
        <v>99</v>
      </c>
      <c r="I43" s="730"/>
      <c r="J43" s="730"/>
      <c r="K43" s="731"/>
      <c r="L43" s="731"/>
      <c r="M43" s="731"/>
      <c r="N43" s="731"/>
      <c r="O43" s="730"/>
      <c r="P43" s="730"/>
      <c r="Q43" s="610"/>
      <c r="R43" s="631"/>
      <c r="S43" s="631">
        <v>99</v>
      </c>
      <c r="T43" s="631">
        <v>99</v>
      </c>
      <c r="U43" s="631">
        <v>99</v>
      </c>
      <c r="V43" s="631"/>
      <c r="W43" s="631"/>
      <c r="X43" s="610"/>
      <c r="Y43" s="631">
        <v>99</v>
      </c>
      <c r="Z43" s="631">
        <v>99</v>
      </c>
      <c r="AA43" s="631">
        <v>99</v>
      </c>
      <c r="AB43" s="609"/>
      <c r="AC43" s="609"/>
      <c r="AD43" s="606"/>
      <c r="AE43" s="518"/>
      <c r="AF43" s="607">
        <f t="shared" si="11"/>
        <v>99</v>
      </c>
      <c r="AG43" s="607">
        <f t="shared" si="12"/>
        <v>99</v>
      </c>
      <c r="AH43" s="607">
        <f t="shared" si="13"/>
        <v>99</v>
      </c>
      <c r="AI43" s="607">
        <f t="shared" si="14"/>
        <v>99</v>
      </c>
      <c r="AJ43" s="529"/>
      <c r="AK43" s="528"/>
      <c r="AL43" s="528"/>
      <c r="AM43" s="528"/>
      <c r="AN43" s="302">
        <f t="shared" si="30"/>
        <v>99</v>
      </c>
      <c r="AO43" s="303" t="str">
        <f>IF(AN43&gt;KKM!$G$10,"A",IF(AN43&gt;KKM!$H$10,"B",IF(AN43&gt;=KKM!$I$10,"C","D")))</f>
        <v>A</v>
      </c>
      <c r="AP43" s="523">
        <f t="shared" si="31"/>
        <v>99</v>
      </c>
      <c r="AQ43" s="115" t="str">
        <f>IF(AP43&gt;KKM!$G$10," sangat baik ",IF(AP43&gt;KKM!$H$10," baik ",IF(AP43&gt;=KKM!$I$10," cukup baik "," perlu bimbingan ")))</f>
        <v xml:space="preserve"> sangat baik </v>
      </c>
      <c r="AR43" s="524">
        <f t="shared" si="32"/>
        <v>99</v>
      </c>
      <c r="AS43" s="115" t="str">
        <f>IF(AR43&gt;KKM!$G$10," sangat baik ",IF(AR43&gt;KKM!$H$10," baik ",IF(AR43&gt;=KKM!$I$10," cukup baik "," perlu bimbingan ")))</f>
        <v xml:space="preserve"> sangat baik </v>
      </c>
      <c r="AT43" s="301" t="str">
        <f t="shared" si="15"/>
        <v>Anak 39 sangat baik  dalam mengetahui gambar dan bentuk tiga dimensi.</v>
      </c>
      <c r="AU43" s="306"/>
      <c r="AV43" s="307" t="str">
        <f t="shared" si="33"/>
        <v xml:space="preserve"> sangat baik  dalam mengetahui gambar dan bentuk tiga dimensi.</v>
      </c>
      <c r="AW43" s="307" t="str">
        <f t="shared" si="34"/>
        <v xml:space="preserve"> sangat baik  dalam mengetahui gambar dan bentuk tiga dimensi.</v>
      </c>
      <c r="AX43" s="307" t="str">
        <f t="shared" si="16"/>
        <v xml:space="preserve"> sangat baik  dalam mengetahui gambar dan bentuk tiga dimensi., dan  sangat baik  dalam mengetahui gambar dan bentuk tiga dimensi.</v>
      </c>
      <c r="AY43" s="307" t="str">
        <f t="shared" si="17"/>
        <v xml:space="preserve"> sangat baik  dalam mengetahui gambar dan bentuk tiga dimensi.</v>
      </c>
      <c r="AZ43" s="308" t="str">
        <f t="shared" si="18"/>
        <v xml:space="preserve"> sangat baik  dalam mengetahui gambar dan bentuk tiga dimensi.</v>
      </c>
      <c r="BA43" s="301" t="str">
        <f t="shared" si="35"/>
        <v>Anak 39 sangat baik  dalam mengetahui gambar dan bentuk tiga dimensi.</v>
      </c>
      <c r="BB43" s="120"/>
      <c r="BJ43" s="408">
        <f t="shared" si="19"/>
        <v>99</v>
      </c>
      <c r="BM43" s="302">
        <f t="shared" si="20"/>
        <v>99</v>
      </c>
      <c r="BN43" s="303" t="str">
        <f>IF(BM43&gt;KKM!$G$10,"A",IF(BM43&gt;KKM!$H$10,"B",IF(BM43&gt;=KKM!$I$10,"C","D")))</f>
        <v>A</v>
      </c>
      <c r="BO43" s="523">
        <f t="shared" si="21"/>
        <v>99</v>
      </c>
      <c r="BP43" s="115" t="str">
        <f>IF(BO43&gt;KKM!$G$10," sangat baik ",IF(BO43&gt;KKM!$H$10," baik ",IF(BO43&gt;=KKM!$I$10," cukup baik "," perlu bimbingan ")))</f>
        <v xml:space="preserve"> sangat baik </v>
      </c>
      <c r="BQ43" s="524">
        <f t="shared" si="22"/>
        <v>99</v>
      </c>
      <c r="BR43" s="115" t="str">
        <f>IF(BQ43&gt;KKM!$G$10," sangat baik ",IF(BQ43&gt;KKM!$H$10," baik ",IF(BQ43&gt;=KKM!$I$10," cukup baik "," perlu bimbingan ")))</f>
        <v xml:space="preserve"> sangat baik </v>
      </c>
      <c r="BS43" s="301" t="str">
        <f t="shared" si="29"/>
        <v>Anak 39 sangat baik  dalam mengetahui tanda tempo dan tinggi rendah nada.</v>
      </c>
      <c r="BT43" s="307" t="str">
        <f t="shared" si="23"/>
        <v xml:space="preserve"> sangat baik  dalam mengetahui tanda tempo dan tinggi rendah nada.</v>
      </c>
      <c r="BU43" s="307" t="str">
        <f t="shared" si="24"/>
        <v xml:space="preserve"> sangat baik  dalam mengetahui tanda tempo dan tinggi rendah nada.</v>
      </c>
      <c r="BV43" s="307" t="str">
        <f t="shared" si="25"/>
        <v xml:space="preserve"> sangat baik  dalam mengetahui tanda tempo dan tinggi rendah nada., dan  sangat baik  dalam mengetahui tanda tempo dan tinggi rendah nada.</v>
      </c>
      <c r="BW43" s="307" t="str">
        <f t="shared" si="26"/>
        <v xml:space="preserve"> sangat baik  dalam mengetahui tanda tempo dan tinggi rendah nada.</v>
      </c>
      <c r="BX43" s="308" t="str">
        <f t="shared" si="27"/>
        <v xml:space="preserve"> sangat baik  dalam mengetahui tanda tempo dan tinggi rendah nada.</v>
      </c>
      <c r="BY43" s="301" t="str">
        <f t="shared" si="28"/>
        <v>Anak 39 sangat baik  dalam mengetahui tanda tempo dan tinggi rendah nada.</v>
      </c>
    </row>
    <row r="44" spans="2:77" ht="63.75" customHeight="1">
      <c r="B44" s="109">
        <v>40</v>
      </c>
      <c r="C44" s="110">
        <f>SISWA!B45</f>
        <v>0</v>
      </c>
      <c r="D44" s="111" t="str">
        <f>SISWA!E45</f>
        <v>Anak 40</v>
      </c>
      <c r="E44" s="631">
        <v>99</v>
      </c>
      <c r="F44" s="631">
        <v>99</v>
      </c>
      <c r="G44" s="631">
        <v>99</v>
      </c>
      <c r="H44" s="613">
        <v>99</v>
      </c>
      <c r="I44" s="730"/>
      <c r="J44" s="730"/>
      <c r="K44" s="731"/>
      <c r="L44" s="731"/>
      <c r="M44" s="731"/>
      <c r="N44" s="731"/>
      <c r="O44" s="730"/>
      <c r="P44" s="730"/>
      <c r="Q44" s="610"/>
      <c r="R44" s="631"/>
      <c r="S44" s="631">
        <v>99</v>
      </c>
      <c r="T44" s="631">
        <v>99</v>
      </c>
      <c r="U44" s="631">
        <v>99</v>
      </c>
      <c r="V44" s="631"/>
      <c r="W44" s="631"/>
      <c r="X44" s="610"/>
      <c r="Y44" s="631">
        <v>99</v>
      </c>
      <c r="Z44" s="631">
        <v>99</v>
      </c>
      <c r="AA44" s="631">
        <v>99</v>
      </c>
      <c r="AB44" s="609"/>
      <c r="AC44" s="609"/>
      <c r="AD44" s="606"/>
      <c r="AE44" s="518"/>
      <c r="AF44" s="607">
        <f t="shared" si="11"/>
        <v>99</v>
      </c>
      <c r="AG44" s="607">
        <f t="shared" si="12"/>
        <v>99</v>
      </c>
      <c r="AH44" s="607">
        <f t="shared" si="13"/>
        <v>99</v>
      </c>
      <c r="AI44" s="607">
        <f t="shared" si="14"/>
        <v>99</v>
      </c>
      <c r="AJ44" s="529"/>
      <c r="AK44" s="528"/>
      <c r="AL44" s="528"/>
      <c r="AM44" s="528"/>
      <c r="AN44" s="302">
        <f t="shared" si="30"/>
        <v>99</v>
      </c>
      <c r="AO44" s="303" t="str">
        <f>IF(AN44&gt;KKM!$G$10,"A",IF(AN44&gt;KKM!$H$10,"B",IF(AN44&gt;=KKM!$I$10,"C","D")))</f>
        <v>A</v>
      </c>
      <c r="AP44" s="523">
        <f t="shared" si="31"/>
        <v>99</v>
      </c>
      <c r="AQ44" s="115" t="str">
        <f>IF(AP44&gt;KKM!$G$10," sangat baik ",IF(AP44&gt;KKM!$H$10," baik ",IF(AP44&gt;=KKM!$I$10," cukup baik "," perlu bimbingan ")))</f>
        <v xml:space="preserve"> sangat baik </v>
      </c>
      <c r="AR44" s="524">
        <f t="shared" si="32"/>
        <v>99</v>
      </c>
      <c r="AS44" s="115" t="str">
        <f>IF(AR44&gt;KKM!$G$10," sangat baik ",IF(AR44&gt;KKM!$H$10," baik ",IF(AR44&gt;=KKM!$I$10," cukup baik "," perlu bimbingan ")))</f>
        <v xml:space="preserve"> sangat baik </v>
      </c>
      <c r="AT44" s="301" t="str">
        <f t="shared" si="15"/>
        <v>Anak 40 sangat baik  dalam mengetahui gambar dan bentuk tiga dimensi.</v>
      </c>
      <c r="AU44" s="306"/>
      <c r="AV44" s="307" t="str">
        <f t="shared" si="33"/>
        <v xml:space="preserve"> sangat baik  dalam mengetahui gambar dan bentuk tiga dimensi.</v>
      </c>
      <c r="AW44" s="307" t="str">
        <f t="shared" si="34"/>
        <v xml:space="preserve"> sangat baik  dalam mengetahui gambar dan bentuk tiga dimensi.</v>
      </c>
      <c r="AX44" s="307" t="str">
        <f t="shared" si="16"/>
        <v xml:space="preserve"> sangat baik  dalam mengetahui gambar dan bentuk tiga dimensi., dan  sangat baik  dalam mengetahui gambar dan bentuk tiga dimensi.</v>
      </c>
      <c r="AY44" s="307" t="str">
        <f t="shared" si="17"/>
        <v xml:space="preserve"> sangat baik  dalam mengetahui gambar dan bentuk tiga dimensi.</v>
      </c>
      <c r="AZ44" s="308" t="str">
        <f t="shared" si="18"/>
        <v xml:space="preserve"> sangat baik  dalam mengetahui gambar dan bentuk tiga dimensi.</v>
      </c>
      <c r="BA44" s="301" t="str">
        <f t="shared" si="35"/>
        <v>Anak 40 sangat baik  dalam mengetahui gambar dan bentuk tiga dimensi.</v>
      </c>
      <c r="BB44" s="120"/>
      <c r="BJ44" s="408">
        <f t="shared" si="19"/>
        <v>99</v>
      </c>
      <c r="BM44" s="302">
        <f t="shared" si="20"/>
        <v>99</v>
      </c>
      <c r="BN44" s="303" t="str">
        <f>IF(BM44&gt;KKM!$G$10,"A",IF(BM44&gt;KKM!$H$10,"B",IF(BM44&gt;=KKM!$I$10,"C","D")))</f>
        <v>A</v>
      </c>
      <c r="BO44" s="523">
        <f t="shared" si="21"/>
        <v>99</v>
      </c>
      <c r="BP44" s="115" t="str">
        <f>IF(BO44&gt;KKM!$G$10," sangat baik ",IF(BO44&gt;KKM!$H$10," baik ",IF(BO44&gt;=KKM!$I$10," cukup baik "," perlu bimbingan ")))</f>
        <v xml:space="preserve"> sangat baik </v>
      </c>
      <c r="BQ44" s="524">
        <f t="shared" si="22"/>
        <v>99</v>
      </c>
      <c r="BR44" s="115" t="str">
        <f>IF(BQ44&gt;KKM!$G$10," sangat baik ",IF(BQ44&gt;KKM!$H$10," baik ",IF(BQ44&gt;=KKM!$I$10," cukup baik "," perlu bimbingan ")))</f>
        <v xml:space="preserve"> sangat baik </v>
      </c>
      <c r="BS44" s="301" t="str">
        <f t="shared" si="29"/>
        <v>Anak 40 sangat baik  dalam mengetahui tanda tempo dan tinggi rendah nada.</v>
      </c>
      <c r="BT44" s="307" t="str">
        <f t="shared" si="23"/>
        <v xml:space="preserve"> sangat baik  dalam mengetahui tanda tempo dan tinggi rendah nada.</v>
      </c>
      <c r="BU44" s="307" t="str">
        <f t="shared" si="24"/>
        <v xml:space="preserve"> sangat baik  dalam mengetahui tanda tempo dan tinggi rendah nada.</v>
      </c>
      <c r="BV44" s="307" t="str">
        <f t="shared" si="25"/>
        <v xml:space="preserve"> sangat baik  dalam mengetahui tanda tempo dan tinggi rendah nada., dan  sangat baik  dalam mengetahui tanda tempo dan tinggi rendah nada.</v>
      </c>
      <c r="BW44" s="307" t="str">
        <f t="shared" si="26"/>
        <v xml:space="preserve"> sangat baik  dalam mengetahui tanda tempo dan tinggi rendah nada.</v>
      </c>
      <c r="BX44" s="308" t="str">
        <f t="shared" si="27"/>
        <v xml:space="preserve"> sangat baik  dalam mengetahui tanda tempo dan tinggi rendah nada.</v>
      </c>
      <c r="BY44" s="301" t="str">
        <f t="shared" si="28"/>
        <v>Anak 40 sangat baik  dalam mengetahui tanda tempo dan tinggi rendah nada.</v>
      </c>
    </row>
    <row r="45" spans="2:77" ht="63.75" customHeight="1">
      <c r="B45" s="109">
        <v>41</v>
      </c>
      <c r="C45" s="110">
        <f>SISWA!B46</f>
        <v>0</v>
      </c>
      <c r="D45" s="111" t="str">
        <f>SISWA!E46</f>
        <v>Anak 41</v>
      </c>
      <c r="E45" s="631">
        <v>99</v>
      </c>
      <c r="F45" s="631">
        <v>99</v>
      </c>
      <c r="G45" s="631">
        <v>99</v>
      </c>
      <c r="H45" s="613">
        <v>99</v>
      </c>
      <c r="I45" s="730"/>
      <c r="J45" s="730"/>
      <c r="K45" s="731"/>
      <c r="L45" s="731"/>
      <c r="M45" s="731"/>
      <c r="N45" s="731"/>
      <c r="O45" s="730"/>
      <c r="P45" s="730"/>
      <c r="Q45" s="610"/>
      <c r="R45" s="631"/>
      <c r="S45" s="631">
        <v>99</v>
      </c>
      <c r="T45" s="631">
        <v>99</v>
      </c>
      <c r="U45" s="631">
        <v>99</v>
      </c>
      <c r="V45" s="631"/>
      <c r="W45" s="631"/>
      <c r="X45" s="610"/>
      <c r="Y45" s="631">
        <v>99</v>
      </c>
      <c r="Z45" s="631">
        <v>99</v>
      </c>
      <c r="AA45" s="631">
        <v>99</v>
      </c>
      <c r="AB45" s="609"/>
      <c r="AC45" s="609"/>
      <c r="AD45" s="606"/>
      <c r="AE45" s="518"/>
      <c r="AF45" s="607">
        <f t="shared" si="11"/>
        <v>99</v>
      </c>
      <c r="AG45" s="607">
        <f t="shared" si="12"/>
        <v>99</v>
      </c>
      <c r="AH45" s="607">
        <f t="shared" si="13"/>
        <v>99</v>
      </c>
      <c r="AI45" s="607">
        <f t="shared" si="14"/>
        <v>99</v>
      </c>
      <c r="AJ45" s="529"/>
      <c r="AK45" s="528"/>
      <c r="AL45" s="528"/>
      <c r="AM45" s="528"/>
      <c r="AN45" s="302">
        <f t="shared" si="30"/>
        <v>99</v>
      </c>
      <c r="AO45" s="303" t="str">
        <f>IF(AN45&gt;KKM!$G$10,"A",IF(AN45&gt;KKM!$H$10,"B",IF(AN45&gt;=KKM!$I$10,"C","D")))</f>
        <v>A</v>
      </c>
      <c r="AP45" s="523">
        <f t="shared" si="31"/>
        <v>99</v>
      </c>
      <c r="AQ45" s="115" t="str">
        <f>IF(AP45&gt;KKM!$G$10," sangat baik ",IF(AP45&gt;KKM!$H$10," baik ",IF(AP45&gt;=KKM!$I$10," cukup baik "," perlu bimbingan ")))</f>
        <v xml:space="preserve"> sangat baik </v>
      </c>
      <c r="AR45" s="524">
        <f t="shared" si="32"/>
        <v>99</v>
      </c>
      <c r="AS45" s="115" t="str">
        <f>IF(AR45&gt;KKM!$G$10," sangat baik ",IF(AR45&gt;KKM!$H$10," baik ",IF(AR45&gt;=KKM!$I$10," cukup baik "," perlu bimbingan ")))</f>
        <v xml:space="preserve"> sangat baik </v>
      </c>
      <c r="AT45" s="301" t="str">
        <f t="shared" si="15"/>
        <v>Anak 41 sangat baik  dalam mengetahui gambar dan bentuk tiga dimensi.</v>
      </c>
      <c r="AU45" s="306"/>
      <c r="AV45" s="307" t="str">
        <f t="shared" si="33"/>
        <v xml:space="preserve"> sangat baik  dalam mengetahui gambar dan bentuk tiga dimensi.</v>
      </c>
      <c r="AW45" s="307" t="str">
        <f t="shared" si="34"/>
        <v xml:space="preserve"> sangat baik  dalam mengetahui gambar dan bentuk tiga dimensi.</v>
      </c>
      <c r="AX45" s="307" t="str">
        <f t="shared" si="16"/>
        <v xml:space="preserve"> sangat baik  dalam mengetahui gambar dan bentuk tiga dimensi., dan  sangat baik  dalam mengetahui gambar dan bentuk tiga dimensi.</v>
      </c>
      <c r="AY45" s="307" t="str">
        <f t="shared" si="17"/>
        <v xml:space="preserve"> sangat baik  dalam mengetahui gambar dan bentuk tiga dimensi.</v>
      </c>
      <c r="AZ45" s="308" t="str">
        <f t="shared" si="18"/>
        <v xml:space="preserve"> sangat baik  dalam mengetahui gambar dan bentuk tiga dimensi.</v>
      </c>
      <c r="BA45" s="301" t="str">
        <f t="shared" si="35"/>
        <v>Anak 41 sangat baik  dalam mengetahui gambar dan bentuk tiga dimensi.</v>
      </c>
      <c r="BB45" s="120"/>
      <c r="BJ45" s="408">
        <f t="shared" si="19"/>
        <v>99</v>
      </c>
      <c r="BM45" s="302">
        <f t="shared" si="20"/>
        <v>99</v>
      </c>
      <c r="BN45" s="303" t="str">
        <f>IF(BM45&gt;KKM!$G$10,"A",IF(BM45&gt;KKM!$H$10,"B",IF(BM45&gt;=KKM!$I$10,"C","D")))</f>
        <v>A</v>
      </c>
      <c r="BO45" s="523">
        <f t="shared" si="21"/>
        <v>99</v>
      </c>
      <c r="BP45" s="115" t="str">
        <f>IF(BO45&gt;KKM!$G$10," sangat baik ",IF(BO45&gt;KKM!$H$10," baik ",IF(BO45&gt;=KKM!$I$10," cukup baik "," perlu bimbingan ")))</f>
        <v xml:space="preserve"> sangat baik </v>
      </c>
      <c r="BQ45" s="524">
        <f t="shared" si="22"/>
        <v>99</v>
      </c>
      <c r="BR45" s="115" t="str">
        <f>IF(BQ45&gt;KKM!$G$10," sangat baik ",IF(BQ45&gt;KKM!$H$10," baik ",IF(BQ45&gt;=KKM!$I$10," cukup baik "," perlu bimbingan ")))</f>
        <v xml:space="preserve"> sangat baik </v>
      </c>
      <c r="BS45" s="301" t="str">
        <f t="shared" si="29"/>
        <v>Anak 41 sangat baik  dalam mengetahui tanda tempo dan tinggi rendah nada.</v>
      </c>
      <c r="BT45" s="307" t="str">
        <f t="shared" si="23"/>
        <v xml:space="preserve"> sangat baik  dalam mengetahui tanda tempo dan tinggi rendah nada.</v>
      </c>
      <c r="BU45" s="307" t="str">
        <f t="shared" si="24"/>
        <v xml:space="preserve"> sangat baik  dalam mengetahui tanda tempo dan tinggi rendah nada.</v>
      </c>
      <c r="BV45" s="307" t="str">
        <f t="shared" si="25"/>
        <v xml:space="preserve"> sangat baik  dalam mengetahui tanda tempo dan tinggi rendah nada., dan  sangat baik  dalam mengetahui tanda tempo dan tinggi rendah nada.</v>
      </c>
      <c r="BW45" s="307" t="str">
        <f t="shared" si="26"/>
        <v xml:space="preserve"> sangat baik  dalam mengetahui tanda tempo dan tinggi rendah nada.</v>
      </c>
      <c r="BX45" s="308" t="str">
        <f t="shared" si="27"/>
        <v xml:space="preserve"> sangat baik  dalam mengetahui tanda tempo dan tinggi rendah nada.</v>
      </c>
      <c r="BY45" s="301" t="str">
        <f t="shared" si="28"/>
        <v>Anak 41 sangat baik  dalam mengetahui tanda tempo dan tinggi rendah nada.</v>
      </c>
    </row>
    <row r="46" spans="2:77" ht="63.75" customHeight="1">
      <c r="B46" s="109">
        <v>42</v>
      </c>
      <c r="C46" s="110">
        <f>SISWA!B47</f>
        <v>0</v>
      </c>
      <c r="D46" s="111" t="str">
        <f>SISWA!E47</f>
        <v>Anak 42</v>
      </c>
      <c r="E46" s="631">
        <v>99</v>
      </c>
      <c r="F46" s="631">
        <v>99</v>
      </c>
      <c r="G46" s="631">
        <v>99</v>
      </c>
      <c r="H46" s="613">
        <v>99</v>
      </c>
      <c r="I46" s="730"/>
      <c r="J46" s="730"/>
      <c r="K46" s="731"/>
      <c r="L46" s="731"/>
      <c r="M46" s="731"/>
      <c r="N46" s="731"/>
      <c r="O46" s="730"/>
      <c r="P46" s="730"/>
      <c r="Q46" s="610"/>
      <c r="R46" s="631"/>
      <c r="S46" s="631">
        <v>99</v>
      </c>
      <c r="T46" s="631">
        <v>99</v>
      </c>
      <c r="U46" s="631">
        <v>99</v>
      </c>
      <c r="V46" s="631"/>
      <c r="W46" s="631"/>
      <c r="X46" s="610"/>
      <c r="Y46" s="631">
        <v>99</v>
      </c>
      <c r="Z46" s="631">
        <v>99</v>
      </c>
      <c r="AA46" s="631">
        <v>99</v>
      </c>
      <c r="AB46" s="609"/>
      <c r="AC46" s="609"/>
      <c r="AD46" s="606"/>
      <c r="AE46" s="518"/>
      <c r="AF46" s="607">
        <f t="shared" si="11"/>
        <v>99</v>
      </c>
      <c r="AG46" s="607">
        <f t="shared" si="12"/>
        <v>99</v>
      </c>
      <c r="AH46" s="607">
        <f t="shared" si="13"/>
        <v>99</v>
      </c>
      <c r="AI46" s="607">
        <f t="shared" si="14"/>
        <v>99</v>
      </c>
      <c r="AJ46" s="529"/>
      <c r="AK46" s="528"/>
      <c r="AL46" s="528"/>
      <c r="AM46" s="528"/>
      <c r="AN46" s="302">
        <f t="shared" si="30"/>
        <v>99</v>
      </c>
      <c r="AO46" s="303" t="str">
        <f>IF(AN46&gt;KKM!$G$10,"A",IF(AN46&gt;KKM!$H$10,"B",IF(AN46&gt;=KKM!$I$10,"C","D")))</f>
        <v>A</v>
      </c>
      <c r="AP46" s="523">
        <f t="shared" si="31"/>
        <v>99</v>
      </c>
      <c r="AQ46" s="115" t="str">
        <f>IF(AP46&gt;KKM!$G$10," sangat baik ",IF(AP46&gt;KKM!$H$10," baik ",IF(AP46&gt;=KKM!$I$10," cukup baik "," perlu bimbingan ")))</f>
        <v xml:space="preserve"> sangat baik </v>
      </c>
      <c r="AR46" s="524">
        <f t="shared" si="32"/>
        <v>99</v>
      </c>
      <c r="AS46" s="115" t="str">
        <f>IF(AR46&gt;KKM!$G$10," sangat baik ",IF(AR46&gt;KKM!$H$10," baik ",IF(AR46&gt;=KKM!$I$10," cukup baik "," perlu bimbingan ")))</f>
        <v xml:space="preserve"> sangat baik </v>
      </c>
      <c r="AT46" s="301" t="str">
        <f t="shared" si="15"/>
        <v>Anak 42 sangat baik  dalam mengetahui gambar dan bentuk tiga dimensi.</v>
      </c>
      <c r="AU46" s="306"/>
      <c r="AV46" s="307" t="str">
        <f t="shared" si="33"/>
        <v xml:space="preserve"> sangat baik  dalam mengetahui gambar dan bentuk tiga dimensi.</v>
      </c>
      <c r="AW46" s="307" t="str">
        <f t="shared" si="34"/>
        <v xml:space="preserve"> sangat baik  dalam mengetahui gambar dan bentuk tiga dimensi.</v>
      </c>
      <c r="AX46" s="307" t="str">
        <f t="shared" si="16"/>
        <v xml:space="preserve"> sangat baik  dalam mengetahui gambar dan bentuk tiga dimensi., dan  sangat baik  dalam mengetahui gambar dan bentuk tiga dimensi.</v>
      </c>
      <c r="AY46" s="307" t="str">
        <f t="shared" si="17"/>
        <v xml:space="preserve"> sangat baik  dalam mengetahui gambar dan bentuk tiga dimensi.</v>
      </c>
      <c r="AZ46" s="308" t="str">
        <f t="shared" si="18"/>
        <v xml:space="preserve"> sangat baik  dalam mengetahui gambar dan bentuk tiga dimensi.</v>
      </c>
      <c r="BA46" s="301" t="str">
        <f t="shared" si="35"/>
        <v>Anak 42 sangat baik  dalam mengetahui gambar dan bentuk tiga dimensi.</v>
      </c>
      <c r="BB46" s="120"/>
      <c r="BJ46" s="408">
        <f t="shared" si="19"/>
        <v>99</v>
      </c>
      <c r="BM46" s="302">
        <f t="shared" si="20"/>
        <v>99</v>
      </c>
      <c r="BN46" s="303" t="str">
        <f>IF(BM46&gt;KKM!$G$10,"A",IF(BM46&gt;KKM!$H$10,"B",IF(BM46&gt;=KKM!$I$10,"C","D")))</f>
        <v>A</v>
      </c>
      <c r="BO46" s="523">
        <f t="shared" si="21"/>
        <v>99</v>
      </c>
      <c r="BP46" s="115" t="str">
        <f>IF(BO46&gt;KKM!$G$10," sangat baik ",IF(BO46&gt;KKM!$H$10," baik ",IF(BO46&gt;=KKM!$I$10," cukup baik "," perlu bimbingan ")))</f>
        <v xml:space="preserve"> sangat baik </v>
      </c>
      <c r="BQ46" s="524">
        <f t="shared" si="22"/>
        <v>99</v>
      </c>
      <c r="BR46" s="115" t="str">
        <f>IF(BQ46&gt;KKM!$G$10," sangat baik ",IF(BQ46&gt;KKM!$H$10," baik ",IF(BQ46&gt;=KKM!$I$10," cukup baik "," perlu bimbingan ")))</f>
        <v xml:space="preserve"> sangat baik </v>
      </c>
      <c r="BS46" s="301" t="str">
        <f t="shared" si="29"/>
        <v>Anak 42 sangat baik  dalam mengetahui tanda tempo dan tinggi rendah nada.</v>
      </c>
      <c r="BT46" s="307" t="str">
        <f t="shared" si="23"/>
        <v xml:space="preserve"> sangat baik  dalam mengetahui tanda tempo dan tinggi rendah nada.</v>
      </c>
      <c r="BU46" s="307" t="str">
        <f t="shared" si="24"/>
        <v xml:space="preserve"> sangat baik  dalam mengetahui tanda tempo dan tinggi rendah nada.</v>
      </c>
      <c r="BV46" s="307" t="str">
        <f t="shared" si="25"/>
        <v xml:space="preserve"> sangat baik  dalam mengetahui tanda tempo dan tinggi rendah nada., dan  sangat baik  dalam mengetahui tanda tempo dan tinggi rendah nada.</v>
      </c>
      <c r="BW46" s="307" t="str">
        <f t="shared" si="26"/>
        <v xml:space="preserve"> sangat baik  dalam mengetahui tanda tempo dan tinggi rendah nada.</v>
      </c>
      <c r="BX46" s="308" t="str">
        <f t="shared" si="27"/>
        <v xml:space="preserve"> sangat baik  dalam mengetahui tanda tempo dan tinggi rendah nada.</v>
      </c>
      <c r="BY46" s="301" t="str">
        <f t="shared" si="28"/>
        <v>Anak 42 sangat baik  dalam mengetahui tanda tempo dan tinggi rendah nada.</v>
      </c>
    </row>
    <row r="47" spans="2:77" ht="63.75" customHeight="1">
      <c r="B47" s="109">
        <v>43</v>
      </c>
      <c r="C47" s="110">
        <f>SISWA!B48</f>
        <v>0</v>
      </c>
      <c r="D47" s="111" t="str">
        <f>SISWA!E48</f>
        <v>Anak 43</v>
      </c>
      <c r="E47" s="631">
        <v>99</v>
      </c>
      <c r="F47" s="631">
        <v>99</v>
      </c>
      <c r="G47" s="631">
        <v>99</v>
      </c>
      <c r="H47" s="613">
        <v>99</v>
      </c>
      <c r="I47" s="730"/>
      <c r="J47" s="730"/>
      <c r="K47" s="731"/>
      <c r="L47" s="731"/>
      <c r="M47" s="731"/>
      <c r="N47" s="731"/>
      <c r="O47" s="730"/>
      <c r="P47" s="730"/>
      <c r="Q47" s="610"/>
      <c r="R47" s="631"/>
      <c r="S47" s="631">
        <v>99</v>
      </c>
      <c r="T47" s="631">
        <v>99</v>
      </c>
      <c r="U47" s="631">
        <v>99</v>
      </c>
      <c r="V47" s="631"/>
      <c r="W47" s="631"/>
      <c r="X47" s="610"/>
      <c r="Y47" s="631">
        <v>99</v>
      </c>
      <c r="Z47" s="631">
        <v>99</v>
      </c>
      <c r="AA47" s="631">
        <v>99</v>
      </c>
      <c r="AB47" s="609"/>
      <c r="AC47" s="609"/>
      <c r="AD47" s="606"/>
      <c r="AE47" s="518"/>
      <c r="AF47" s="607">
        <f t="shared" si="11"/>
        <v>99</v>
      </c>
      <c r="AG47" s="607">
        <f t="shared" si="12"/>
        <v>99</v>
      </c>
      <c r="AH47" s="607">
        <f t="shared" si="13"/>
        <v>99</v>
      </c>
      <c r="AI47" s="607">
        <f t="shared" si="14"/>
        <v>99</v>
      </c>
      <c r="AJ47" s="529"/>
      <c r="AK47" s="528"/>
      <c r="AL47" s="528"/>
      <c r="AM47" s="528"/>
      <c r="AN47" s="302">
        <f t="shared" si="30"/>
        <v>99</v>
      </c>
      <c r="AO47" s="303" t="str">
        <f>IF(AN47&gt;KKM!$G$10,"A",IF(AN47&gt;KKM!$H$10,"B",IF(AN47&gt;=KKM!$I$10,"C","D")))</f>
        <v>A</v>
      </c>
      <c r="AP47" s="523">
        <f t="shared" si="31"/>
        <v>99</v>
      </c>
      <c r="AQ47" s="115" t="str">
        <f>IF(AP47&gt;KKM!$G$10," sangat baik ",IF(AP47&gt;KKM!$H$10," baik ",IF(AP47&gt;=KKM!$I$10," cukup baik "," perlu bimbingan ")))</f>
        <v xml:space="preserve"> sangat baik </v>
      </c>
      <c r="AR47" s="524">
        <f t="shared" si="32"/>
        <v>99</v>
      </c>
      <c r="AS47" s="115" t="str">
        <f>IF(AR47&gt;KKM!$G$10," sangat baik ",IF(AR47&gt;KKM!$H$10," baik ",IF(AR47&gt;=KKM!$I$10," cukup baik "," perlu bimbingan ")))</f>
        <v xml:space="preserve"> sangat baik </v>
      </c>
      <c r="AT47" s="301" t="str">
        <f t="shared" si="15"/>
        <v>Anak 43 sangat baik  dalam mengetahui gambar dan bentuk tiga dimensi.</v>
      </c>
      <c r="AU47" s="306"/>
      <c r="AV47" s="307" t="str">
        <f t="shared" si="33"/>
        <v xml:space="preserve"> sangat baik  dalam mengetahui gambar dan bentuk tiga dimensi.</v>
      </c>
      <c r="AW47" s="307" t="str">
        <f t="shared" si="34"/>
        <v xml:space="preserve"> sangat baik  dalam mengetahui gambar dan bentuk tiga dimensi.</v>
      </c>
      <c r="AX47" s="307" t="str">
        <f t="shared" si="16"/>
        <v xml:space="preserve"> sangat baik  dalam mengetahui gambar dan bentuk tiga dimensi., dan  sangat baik  dalam mengetahui gambar dan bentuk tiga dimensi.</v>
      </c>
      <c r="AY47" s="307" t="str">
        <f t="shared" si="17"/>
        <v xml:space="preserve"> sangat baik  dalam mengetahui gambar dan bentuk tiga dimensi.</v>
      </c>
      <c r="AZ47" s="308" t="str">
        <f t="shared" si="18"/>
        <v xml:space="preserve"> sangat baik  dalam mengetahui gambar dan bentuk tiga dimensi.</v>
      </c>
      <c r="BA47" s="301" t="str">
        <f t="shared" si="35"/>
        <v>Anak 43 sangat baik  dalam mengetahui gambar dan bentuk tiga dimensi.</v>
      </c>
      <c r="BB47" s="120"/>
      <c r="BJ47" s="408">
        <f t="shared" si="19"/>
        <v>99</v>
      </c>
      <c r="BM47" s="302">
        <f t="shared" si="20"/>
        <v>99</v>
      </c>
      <c r="BN47" s="303" t="str">
        <f>IF(BM47&gt;KKM!$G$10,"A",IF(BM47&gt;KKM!$H$10,"B",IF(BM47&gt;=KKM!$I$10,"C","D")))</f>
        <v>A</v>
      </c>
      <c r="BO47" s="523">
        <f t="shared" si="21"/>
        <v>99</v>
      </c>
      <c r="BP47" s="115" t="str">
        <f>IF(BO47&gt;KKM!$G$10," sangat baik ",IF(BO47&gt;KKM!$H$10," baik ",IF(BO47&gt;=KKM!$I$10," cukup baik "," perlu bimbingan ")))</f>
        <v xml:space="preserve"> sangat baik </v>
      </c>
      <c r="BQ47" s="524">
        <f t="shared" si="22"/>
        <v>99</v>
      </c>
      <c r="BR47" s="115" t="str">
        <f>IF(BQ47&gt;KKM!$G$10," sangat baik ",IF(BQ47&gt;KKM!$H$10," baik ",IF(BQ47&gt;=KKM!$I$10," cukup baik "," perlu bimbingan ")))</f>
        <v xml:space="preserve"> sangat baik </v>
      </c>
      <c r="BS47" s="301" t="str">
        <f t="shared" si="29"/>
        <v>Anak 43 sangat baik  dalam mengetahui tanda tempo dan tinggi rendah nada.</v>
      </c>
      <c r="BT47" s="307" t="str">
        <f t="shared" si="23"/>
        <v xml:space="preserve"> sangat baik  dalam mengetahui tanda tempo dan tinggi rendah nada.</v>
      </c>
      <c r="BU47" s="307" t="str">
        <f t="shared" si="24"/>
        <v xml:space="preserve"> sangat baik  dalam mengetahui tanda tempo dan tinggi rendah nada.</v>
      </c>
      <c r="BV47" s="307" t="str">
        <f t="shared" si="25"/>
        <v xml:space="preserve"> sangat baik  dalam mengetahui tanda tempo dan tinggi rendah nada., dan  sangat baik  dalam mengetahui tanda tempo dan tinggi rendah nada.</v>
      </c>
      <c r="BW47" s="307" t="str">
        <f t="shared" si="26"/>
        <v xml:space="preserve"> sangat baik  dalam mengetahui tanda tempo dan tinggi rendah nada.</v>
      </c>
      <c r="BX47" s="308" t="str">
        <f t="shared" si="27"/>
        <v xml:space="preserve"> sangat baik  dalam mengetahui tanda tempo dan tinggi rendah nada.</v>
      </c>
      <c r="BY47" s="301" t="str">
        <f t="shared" si="28"/>
        <v>Anak 43 sangat baik  dalam mengetahui tanda tempo dan tinggi rendah nada.</v>
      </c>
    </row>
    <row r="48" spans="2:77" ht="63.75" customHeight="1">
      <c r="B48" s="109">
        <v>44</v>
      </c>
      <c r="C48" s="110">
        <f>SISWA!B49</f>
        <v>0</v>
      </c>
      <c r="D48" s="111" t="str">
        <f>SISWA!E49</f>
        <v>Anak 44</v>
      </c>
      <c r="E48" s="631">
        <v>99</v>
      </c>
      <c r="F48" s="631">
        <v>99</v>
      </c>
      <c r="G48" s="631">
        <v>99</v>
      </c>
      <c r="H48" s="613">
        <v>99</v>
      </c>
      <c r="I48" s="730"/>
      <c r="J48" s="730"/>
      <c r="K48" s="731"/>
      <c r="L48" s="731"/>
      <c r="M48" s="731"/>
      <c r="N48" s="731"/>
      <c r="O48" s="730"/>
      <c r="P48" s="730"/>
      <c r="Q48" s="610"/>
      <c r="R48" s="631"/>
      <c r="S48" s="631">
        <v>99</v>
      </c>
      <c r="T48" s="631">
        <v>99</v>
      </c>
      <c r="U48" s="631">
        <v>99</v>
      </c>
      <c r="V48" s="631"/>
      <c r="W48" s="631"/>
      <c r="X48" s="610"/>
      <c r="Y48" s="631">
        <v>99</v>
      </c>
      <c r="Z48" s="631">
        <v>99</v>
      </c>
      <c r="AA48" s="631">
        <v>99</v>
      </c>
      <c r="AB48" s="609"/>
      <c r="AC48" s="609"/>
      <c r="AD48" s="606"/>
      <c r="AE48" s="518"/>
      <c r="AF48" s="607">
        <f t="shared" si="11"/>
        <v>99</v>
      </c>
      <c r="AG48" s="607">
        <f t="shared" si="12"/>
        <v>99</v>
      </c>
      <c r="AH48" s="607">
        <f t="shared" si="13"/>
        <v>99</v>
      </c>
      <c r="AI48" s="607">
        <f t="shared" si="14"/>
        <v>99</v>
      </c>
      <c r="AJ48" s="529"/>
      <c r="AK48" s="528"/>
      <c r="AL48" s="528"/>
      <c r="AM48" s="528"/>
      <c r="AN48" s="302">
        <f t="shared" si="30"/>
        <v>99</v>
      </c>
      <c r="AO48" s="303" t="str">
        <f>IF(AN48&gt;KKM!$G$10,"A",IF(AN48&gt;KKM!$H$10,"B",IF(AN48&gt;=KKM!$I$10,"C","D")))</f>
        <v>A</v>
      </c>
      <c r="AP48" s="523">
        <f t="shared" si="31"/>
        <v>99</v>
      </c>
      <c r="AQ48" s="115" t="str">
        <f>IF(AP48&gt;KKM!$G$10," sangat baik ",IF(AP48&gt;KKM!$H$10," baik ",IF(AP48&gt;=KKM!$I$10," cukup baik "," perlu bimbingan ")))</f>
        <v xml:space="preserve"> sangat baik </v>
      </c>
      <c r="AR48" s="524">
        <f t="shared" si="32"/>
        <v>99</v>
      </c>
      <c r="AS48" s="115" t="str">
        <f>IF(AR48&gt;KKM!$G$10," sangat baik ",IF(AR48&gt;KKM!$H$10," baik ",IF(AR48&gt;=KKM!$I$10," cukup baik "," perlu bimbingan ")))</f>
        <v xml:space="preserve"> sangat baik </v>
      </c>
      <c r="AT48" s="301" t="str">
        <f t="shared" si="15"/>
        <v>Anak 44 sangat baik  dalam mengetahui gambar dan bentuk tiga dimensi.</v>
      </c>
      <c r="AU48" s="306"/>
      <c r="AV48" s="307" t="str">
        <f t="shared" si="33"/>
        <v xml:space="preserve"> sangat baik  dalam mengetahui gambar dan bentuk tiga dimensi.</v>
      </c>
      <c r="AW48" s="307" t="str">
        <f t="shared" si="34"/>
        <v xml:space="preserve"> sangat baik  dalam mengetahui gambar dan bentuk tiga dimensi.</v>
      </c>
      <c r="AX48" s="307" t="str">
        <f t="shared" si="16"/>
        <v xml:space="preserve"> sangat baik  dalam mengetahui gambar dan bentuk tiga dimensi., dan  sangat baik  dalam mengetahui gambar dan bentuk tiga dimensi.</v>
      </c>
      <c r="AY48" s="307" t="str">
        <f t="shared" si="17"/>
        <v xml:space="preserve"> sangat baik  dalam mengetahui gambar dan bentuk tiga dimensi.</v>
      </c>
      <c r="AZ48" s="308" t="str">
        <f t="shared" si="18"/>
        <v xml:space="preserve"> sangat baik  dalam mengetahui gambar dan bentuk tiga dimensi.</v>
      </c>
      <c r="BA48" s="301" t="str">
        <f t="shared" si="35"/>
        <v>Anak 44 sangat baik  dalam mengetahui gambar dan bentuk tiga dimensi.</v>
      </c>
      <c r="BB48" s="120"/>
      <c r="BJ48" s="408">
        <f t="shared" si="19"/>
        <v>99</v>
      </c>
      <c r="BM48" s="302">
        <f t="shared" si="20"/>
        <v>99</v>
      </c>
      <c r="BN48" s="303" t="str">
        <f>IF(BM48&gt;KKM!$G$10,"A",IF(BM48&gt;KKM!$H$10,"B",IF(BM48&gt;=KKM!$I$10,"C","D")))</f>
        <v>A</v>
      </c>
      <c r="BO48" s="523">
        <f t="shared" si="21"/>
        <v>99</v>
      </c>
      <c r="BP48" s="115" t="str">
        <f>IF(BO48&gt;KKM!$G$10," sangat baik ",IF(BO48&gt;KKM!$H$10," baik ",IF(BO48&gt;=KKM!$I$10," cukup baik "," perlu bimbingan ")))</f>
        <v xml:space="preserve"> sangat baik </v>
      </c>
      <c r="BQ48" s="524">
        <f t="shared" si="22"/>
        <v>99</v>
      </c>
      <c r="BR48" s="115" t="str">
        <f>IF(BQ48&gt;KKM!$G$10," sangat baik ",IF(BQ48&gt;KKM!$H$10," baik ",IF(BQ48&gt;=KKM!$I$10," cukup baik "," perlu bimbingan ")))</f>
        <v xml:space="preserve"> sangat baik </v>
      </c>
      <c r="BS48" s="301" t="str">
        <f t="shared" si="29"/>
        <v>Anak 44 sangat baik  dalam mengetahui tanda tempo dan tinggi rendah nada.</v>
      </c>
      <c r="BT48" s="307" t="str">
        <f t="shared" si="23"/>
        <v xml:space="preserve"> sangat baik  dalam mengetahui tanda tempo dan tinggi rendah nada.</v>
      </c>
      <c r="BU48" s="307" t="str">
        <f t="shared" si="24"/>
        <v xml:space="preserve"> sangat baik  dalam mengetahui tanda tempo dan tinggi rendah nada.</v>
      </c>
      <c r="BV48" s="307" t="str">
        <f t="shared" si="25"/>
        <v xml:space="preserve"> sangat baik  dalam mengetahui tanda tempo dan tinggi rendah nada., dan  sangat baik  dalam mengetahui tanda tempo dan tinggi rendah nada.</v>
      </c>
      <c r="BW48" s="307" t="str">
        <f t="shared" si="26"/>
        <v xml:space="preserve"> sangat baik  dalam mengetahui tanda tempo dan tinggi rendah nada.</v>
      </c>
      <c r="BX48" s="308" t="str">
        <f t="shared" si="27"/>
        <v xml:space="preserve"> sangat baik  dalam mengetahui tanda tempo dan tinggi rendah nada.</v>
      </c>
      <c r="BY48" s="301" t="str">
        <f t="shared" si="28"/>
        <v>Anak 44 sangat baik  dalam mengetahui tanda tempo dan tinggi rendah nada.</v>
      </c>
    </row>
    <row r="49" spans="2:77" ht="63.75" customHeight="1">
      <c r="B49" s="109">
        <v>45</v>
      </c>
      <c r="C49" s="110">
        <f>SISWA!B50</f>
        <v>0</v>
      </c>
      <c r="D49" s="111" t="str">
        <f>SISWA!E50</f>
        <v>Anak 45</v>
      </c>
      <c r="E49" s="631">
        <v>99</v>
      </c>
      <c r="F49" s="631">
        <v>99</v>
      </c>
      <c r="G49" s="631">
        <v>99</v>
      </c>
      <c r="H49" s="613">
        <v>99</v>
      </c>
      <c r="I49" s="730"/>
      <c r="J49" s="730"/>
      <c r="K49" s="731"/>
      <c r="L49" s="731"/>
      <c r="M49" s="731"/>
      <c r="N49" s="731"/>
      <c r="O49" s="730"/>
      <c r="P49" s="730"/>
      <c r="Q49" s="610"/>
      <c r="R49" s="631"/>
      <c r="S49" s="631">
        <v>99</v>
      </c>
      <c r="T49" s="631">
        <v>99</v>
      </c>
      <c r="U49" s="631">
        <v>99</v>
      </c>
      <c r="V49" s="631"/>
      <c r="W49" s="631"/>
      <c r="X49" s="610"/>
      <c r="Y49" s="631">
        <v>99</v>
      </c>
      <c r="Z49" s="631">
        <v>99</v>
      </c>
      <c r="AA49" s="631">
        <v>99</v>
      </c>
      <c r="AB49" s="609"/>
      <c r="AC49" s="609"/>
      <c r="AD49" s="606"/>
      <c r="AE49" s="518"/>
      <c r="AF49" s="607">
        <f t="shared" si="11"/>
        <v>99</v>
      </c>
      <c r="AG49" s="607">
        <f t="shared" si="12"/>
        <v>99</v>
      </c>
      <c r="AH49" s="607">
        <f t="shared" si="13"/>
        <v>99</v>
      </c>
      <c r="AI49" s="607">
        <f t="shared" si="14"/>
        <v>99</v>
      </c>
      <c r="AJ49" s="529"/>
      <c r="AK49" s="528"/>
      <c r="AL49" s="528"/>
      <c r="AM49" s="528"/>
      <c r="AN49" s="302">
        <f t="shared" si="30"/>
        <v>99</v>
      </c>
      <c r="AO49" s="303" t="str">
        <f>IF(AN49&gt;KKM!$G$10,"A",IF(AN49&gt;KKM!$H$10,"B",IF(AN49&gt;=KKM!$I$10,"C","D")))</f>
        <v>A</v>
      </c>
      <c r="AP49" s="523">
        <f t="shared" si="31"/>
        <v>99</v>
      </c>
      <c r="AQ49" s="115" t="str">
        <f>IF(AP49&gt;KKM!$G$10," sangat baik ",IF(AP49&gt;KKM!$H$10," baik ",IF(AP49&gt;=KKM!$I$10," cukup baik "," perlu bimbingan ")))</f>
        <v xml:space="preserve"> sangat baik </v>
      </c>
      <c r="AR49" s="524">
        <f t="shared" si="32"/>
        <v>99</v>
      </c>
      <c r="AS49" s="115" t="str">
        <f>IF(AR49&gt;KKM!$G$10," sangat baik ",IF(AR49&gt;KKM!$H$10," baik ",IF(AR49&gt;=KKM!$I$10," cukup baik "," perlu bimbingan ")))</f>
        <v xml:space="preserve"> sangat baik </v>
      </c>
      <c r="AT49" s="301" t="str">
        <f t="shared" si="15"/>
        <v>Anak 45 sangat baik  dalam mengetahui gambar dan bentuk tiga dimensi.</v>
      </c>
      <c r="AU49" s="306"/>
      <c r="AV49" s="307" t="str">
        <f t="shared" si="33"/>
        <v xml:space="preserve"> sangat baik  dalam mengetahui gambar dan bentuk tiga dimensi.</v>
      </c>
      <c r="AW49" s="307" t="str">
        <f t="shared" si="34"/>
        <v xml:space="preserve"> sangat baik  dalam mengetahui gambar dan bentuk tiga dimensi.</v>
      </c>
      <c r="AX49" s="307" t="str">
        <f t="shared" si="16"/>
        <v xml:space="preserve"> sangat baik  dalam mengetahui gambar dan bentuk tiga dimensi., dan  sangat baik  dalam mengetahui gambar dan bentuk tiga dimensi.</v>
      </c>
      <c r="AY49" s="307" t="str">
        <f t="shared" si="17"/>
        <v xml:space="preserve"> sangat baik  dalam mengetahui gambar dan bentuk tiga dimensi.</v>
      </c>
      <c r="AZ49" s="308" t="str">
        <f t="shared" si="18"/>
        <v xml:space="preserve"> sangat baik  dalam mengetahui gambar dan bentuk tiga dimensi.</v>
      </c>
      <c r="BA49" s="301" t="str">
        <f t="shared" si="35"/>
        <v>Anak 45 sangat baik  dalam mengetahui gambar dan bentuk tiga dimensi.</v>
      </c>
      <c r="BB49" s="120"/>
      <c r="BJ49" s="408">
        <f t="shared" si="19"/>
        <v>99</v>
      </c>
      <c r="BM49" s="302">
        <f t="shared" si="20"/>
        <v>99</v>
      </c>
      <c r="BN49" s="303" t="str">
        <f>IF(BM49&gt;KKM!$G$10,"A",IF(BM49&gt;KKM!$H$10,"B",IF(BM49&gt;=KKM!$I$10,"C","D")))</f>
        <v>A</v>
      </c>
      <c r="BO49" s="523">
        <f t="shared" si="21"/>
        <v>99</v>
      </c>
      <c r="BP49" s="115" t="str">
        <f>IF(BO49&gt;KKM!$G$10," sangat baik ",IF(BO49&gt;KKM!$H$10," baik ",IF(BO49&gt;=KKM!$I$10," cukup baik "," perlu bimbingan ")))</f>
        <v xml:space="preserve"> sangat baik </v>
      </c>
      <c r="BQ49" s="524">
        <f t="shared" si="22"/>
        <v>99</v>
      </c>
      <c r="BR49" s="115" t="str">
        <f>IF(BQ49&gt;KKM!$G$10," sangat baik ",IF(BQ49&gt;KKM!$H$10," baik ",IF(BQ49&gt;=KKM!$I$10," cukup baik "," perlu bimbingan ")))</f>
        <v xml:space="preserve"> sangat baik </v>
      </c>
      <c r="BS49" s="301" t="str">
        <f t="shared" si="29"/>
        <v>Anak 45 sangat baik  dalam mengetahui tanda tempo dan tinggi rendah nada.</v>
      </c>
      <c r="BT49" s="307" t="str">
        <f t="shared" si="23"/>
        <v xml:space="preserve"> sangat baik  dalam mengetahui tanda tempo dan tinggi rendah nada.</v>
      </c>
      <c r="BU49" s="307" t="str">
        <f t="shared" si="24"/>
        <v xml:space="preserve"> sangat baik  dalam mengetahui tanda tempo dan tinggi rendah nada.</v>
      </c>
      <c r="BV49" s="307" t="str">
        <f t="shared" si="25"/>
        <v xml:space="preserve"> sangat baik  dalam mengetahui tanda tempo dan tinggi rendah nada., dan  sangat baik  dalam mengetahui tanda tempo dan tinggi rendah nada.</v>
      </c>
      <c r="BW49" s="307" t="str">
        <f t="shared" si="26"/>
        <v xml:space="preserve"> sangat baik  dalam mengetahui tanda tempo dan tinggi rendah nada.</v>
      </c>
      <c r="BX49" s="308" t="str">
        <f t="shared" si="27"/>
        <v xml:space="preserve"> sangat baik  dalam mengetahui tanda tempo dan tinggi rendah nada.</v>
      </c>
      <c r="BY49" s="301" t="str">
        <f t="shared" si="28"/>
        <v>Anak 45 sangat baik  dalam mengetahui tanda tempo dan tinggi rendah nada.</v>
      </c>
    </row>
    <row r="50" spans="2:77" ht="63.75" customHeight="1">
      <c r="B50" s="109">
        <v>46</v>
      </c>
      <c r="C50" s="110">
        <f>SISWA!B51</f>
        <v>0</v>
      </c>
      <c r="D50" s="111" t="str">
        <f>SISWA!E51</f>
        <v>Anak 46</v>
      </c>
      <c r="E50" s="631">
        <v>99</v>
      </c>
      <c r="F50" s="631">
        <v>99</v>
      </c>
      <c r="G50" s="631">
        <v>99</v>
      </c>
      <c r="H50" s="613">
        <v>99</v>
      </c>
      <c r="I50" s="730"/>
      <c r="J50" s="730"/>
      <c r="K50" s="731"/>
      <c r="L50" s="731"/>
      <c r="M50" s="731"/>
      <c r="N50" s="731"/>
      <c r="O50" s="730"/>
      <c r="P50" s="730"/>
      <c r="Q50" s="610"/>
      <c r="R50" s="631"/>
      <c r="S50" s="631">
        <v>99</v>
      </c>
      <c r="T50" s="631">
        <v>99</v>
      </c>
      <c r="U50" s="631">
        <v>99</v>
      </c>
      <c r="V50" s="631"/>
      <c r="W50" s="631"/>
      <c r="X50" s="610"/>
      <c r="Y50" s="631">
        <v>99</v>
      </c>
      <c r="Z50" s="631">
        <v>99</v>
      </c>
      <c r="AA50" s="631">
        <v>99</v>
      </c>
      <c r="AB50" s="609"/>
      <c r="AC50" s="609"/>
      <c r="AD50" s="606"/>
      <c r="AE50" s="518"/>
      <c r="AF50" s="607">
        <f t="shared" si="11"/>
        <v>99</v>
      </c>
      <c r="AG50" s="607">
        <f t="shared" si="12"/>
        <v>99</v>
      </c>
      <c r="AH50" s="607">
        <f t="shared" si="13"/>
        <v>99</v>
      </c>
      <c r="AI50" s="607">
        <f t="shared" si="14"/>
        <v>99</v>
      </c>
      <c r="AJ50" s="529"/>
      <c r="AK50" s="528"/>
      <c r="AL50" s="528"/>
      <c r="AM50" s="528"/>
      <c r="AN50" s="302">
        <f t="shared" si="30"/>
        <v>99</v>
      </c>
      <c r="AO50" s="303" t="str">
        <f>IF(AN50&gt;KKM!$G$10,"A",IF(AN50&gt;KKM!$H$10,"B",IF(AN50&gt;=KKM!$I$10,"C","D")))</f>
        <v>A</v>
      </c>
      <c r="AP50" s="523">
        <f t="shared" si="31"/>
        <v>99</v>
      </c>
      <c r="AQ50" s="115" t="str">
        <f>IF(AP50&gt;KKM!$G$10," sangat baik ",IF(AP50&gt;KKM!$H$10," baik ",IF(AP50&gt;=KKM!$I$10," cukup baik "," perlu bimbingan ")))</f>
        <v xml:space="preserve"> sangat baik </v>
      </c>
      <c r="AR50" s="524">
        <f t="shared" si="32"/>
        <v>99</v>
      </c>
      <c r="AS50" s="115" t="str">
        <f>IF(AR50&gt;KKM!$G$10," sangat baik ",IF(AR50&gt;KKM!$H$10," baik ",IF(AR50&gt;=KKM!$I$10," cukup baik "," perlu bimbingan ")))</f>
        <v xml:space="preserve"> sangat baik </v>
      </c>
      <c r="AT50" s="301" t="str">
        <f t="shared" si="15"/>
        <v>Anak 46 sangat baik  dalam mengetahui gambar dan bentuk tiga dimensi.</v>
      </c>
      <c r="AU50" s="306"/>
      <c r="AV50" s="307" t="str">
        <f t="shared" si="33"/>
        <v xml:space="preserve"> sangat baik  dalam mengetahui gambar dan bentuk tiga dimensi.</v>
      </c>
      <c r="AW50" s="307" t="str">
        <f t="shared" si="34"/>
        <v xml:space="preserve"> sangat baik  dalam mengetahui gambar dan bentuk tiga dimensi.</v>
      </c>
      <c r="AX50" s="307" t="str">
        <f t="shared" si="16"/>
        <v xml:space="preserve"> sangat baik  dalam mengetahui gambar dan bentuk tiga dimensi., dan  sangat baik  dalam mengetahui gambar dan bentuk tiga dimensi.</v>
      </c>
      <c r="AY50" s="307" t="str">
        <f t="shared" si="17"/>
        <v xml:space="preserve"> sangat baik  dalam mengetahui gambar dan bentuk tiga dimensi.</v>
      </c>
      <c r="AZ50" s="308" t="str">
        <f t="shared" si="18"/>
        <v xml:space="preserve"> sangat baik  dalam mengetahui gambar dan bentuk tiga dimensi.</v>
      </c>
      <c r="BA50" s="301" t="str">
        <f t="shared" si="35"/>
        <v>Anak 46 sangat baik  dalam mengetahui gambar dan bentuk tiga dimensi.</v>
      </c>
      <c r="BB50" s="120"/>
      <c r="BJ50" s="408">
        <f t="shared" si="19"/>
        <v>99</v>
      </c>
      <c r="BM50" s="302">
        <f t="shared" si="20"/>
        <v>99</v>
      </c>
      <c r="BN50" s="303" t="str">
        <f>IF(BM50&gt;KKM!$G$10,"A",IF(BM50&gt;KKM!$H$10,"B",IF(BM50&gt;=KKM!$I$10,"C","D")))</f>
        <v>A</v>
      </c>
      <c r="BO50" s="523">
        <f t="shared" si="21"/>
        <v>99</v>
      </c>
      <c r="BP50" s="115" t="str">
        <f>IF(BO50&gt;KKM!$G$10," sangat baik ",IF(BO50&gt;KKM!$H$10," baik ",IF(BO50&gt;=KKM!$I$10," cukup baik "," perlu bimbingan ")))</f>
        <v xml:space="preserve"> sangat baik </v>
      </c>
      <c r="BQ50" s="524">
        <f t="shared" si="22"/>
        <v>99</v>
      </c>
      <c r="BR50" s="115" t="str">
        <f>IF(BQ50&gt;KKM!$G$10," sangat baik ",IF(BQ50&gt;KKM!$H$10," baik ",IF(BQ50&gt;=KKM!$I$10," cukup baik "," perlu bimbingan ")))</f>
        <v xml:space="preserve"> sangat baik </v>
      </c>
      <c r="BS50" s="301" t="str">
        <f t="shared" si="29"/>
        <v>Anak 46 sangat baik  dalam mengetahui tanda tempo dan tinggi rendah nada.</v>
      </c>
      <c r="BT50" s="307" t="str">
        <f t="shared" si="23"/>
        <v xml:space="preserve"> sangat baik  dalam mengetahui tanda tempo dan tinggi rendah nada.</v>
      </c>
      <c r="BU50" s="307" t="str">
        <f t="shared" si="24"/>
        <v xml:space="preserve"> sangat baik  dalam mengetahui tanda tempo dan tinggi rendah nada.</v>
      </c>
      <c r="BV50" s="307" t="str">
        <f t="shared" si="25"/>
        <v xml:space="preserve"> sangat baik  dalam mengetahui tanda tempo dan tinggi rendah nada., dan  sangat baik  dalam mengetahui tanda tempo dan tinggi rendah nada.</v>
      </c>
      <c r="BW50" s="307" t="str">
        <f t="shared" si="26"/>
        <v xml:space="preserve"> sangat baik  dalam mengetahui tanda tempo dan tinggi rendah nada.</v>
      </c>
      <c r="BX50" s="308" t="str">
        <f t="shared" si="27"/>
        <v xml:space="preserve"> sangat baik  dalam mengetahui tanda tempo dan tinggi rendah nada.</v>
      </c>
      <c r="BY50" s="301" t="str">
        <f t="shared" si="28"/>
        <v>Anak 46 sangat baik  dalam mengetahui tanda tempo dan tinggi rendah nada.</v>
      </c>
    </row>
    <row r="51" spans="2:77" ht="63.75" customHeight="1">
      <c r="B51" s="109">
        <v>47</v>
      </c>
      <c r="C51" s="110">
        <f>SISWA!B52</f>
        <v>0</v>
      </c>
      <c r="D51" s="111" t="str">
        <f>SISWA!E52</f>
        <v>Anak 47</v>
      </c>
      <c r="E51" s="631">
        <v>99</v>
      </c>
      <c r="F51" s="631">
        <v>99</v>
      </c>
      <c r="G51" s="631">
        <v>99</v>
      </c>
      <c r="H51" s="613">
        <v>99</v>
      </c>
      <c r="I51" s="730"/>
      <c r="J51" s="730"/>
      <c r="K51" s="731"/>
      <c r="L51" s="731"/>
      <c r="M51" s="731"/>
      <c r="N51" s="731"/>
      <c r="O51" s="730"/>
      <c r="P51" s="730"/>
      <c r="Q51" s="610"/>
      <c r="R51" s="631"/>
      <c r="S51" s="631">
        <v>99</v>
      </c>
      <c r="T51" s="631">
        <v>99</v>
      </c>
      <c r="U51" s="631">
        <v>99</v>
      </c>
      <c r="V51" s="631"/>
      <c r="W51" s="631"/>
      <c r="X51" s="610"/>
      <c r="Y51" s="631">
        <v>99</v>
      </c>
      <c r="Z51" s="631">
        <v>99</v>
      </c>
      <c r="AA51" s="631">
        <v>99</v>
      </c>
      <c r="AB51" s="609"/>
      <c r="AC51" s="609"/>
      <c r="AD51" s="606"/>
      <c r="AE51" s="518"/>
      <c r="AF51" s="607">
        <f t="shared" si="11"/>
        <v>99</v>
      </c>
      <c r="AG51" s="607">
        <f t="shared" si="12"/>
        <v>99</v>
      </c>
      <c r="AH51" s="607">
        <f t="shared" si="13"/>
        <v>99</v>
      </c>
      <c r="AI51" s="607">
        <f t="shared" si="14"/>
        <v>99</v>
      </c>
      <c r="AJ51" s="529"/>
      <c r="AK51" s="528"/>
      <c r="AL51" s="528"/>
      <c r="AM51" s="528"/>
      <c r="AN51" s="302">
        <f t="shared" si="30"/>
        <v>99</v>
      </c>
      <c r="AO51" s="303" t="str">
        <f>IF(AN51&gt;KKM!$G$10,"A",IF(AN51&gt;KKM!$H$10,"B",IF(AN51&gt;=KKM!$I$10,"C","D")))</f>
        <v>A</v>
      </c>
      <c r="AP51" s="523">
        <f t="shared" si="31"/>
        <v>99</v>
      </c>
      <c r="AQ51" s="115" t="str">
        <f>IF(AP51&gt;KKM!$G$10," sangat baik ",IF(AP51&gt;KKM!$H$10," baik ",IF(AP51&gt;=KKM!$I$10," cukup baik "," perlu bimbingan ")))</f>
        <v xml:space="preserve"> sangat baik </v>
      </c>
      <c r="AR51" s="524">
        <f t="shared" si="32"/>
        <v>99</v>
      </c>
      <c r="AS51" s="115" t="str">
        <f>IF(AR51&gt;KKM!$G$10," sangat baik ",IF(AR51&gt;KKM!$H$10," baik ",IF(AR51&gt;=KKM!$I$10," cukup baik "," perlu bimbingan ")))</f>
        <v xml:space="preserve"> sangat baik </v>
      </c>
      <c r="AT51" s="301" t="str">
        <f t="shared" si="15"/>
        <v>Anak 47 sangat baik  dalam mengetahui gambar dan bentuk tiga dimensi.</v>
      </c>
      <c r="AU51" s="306"/>
      <c r="AV51" s="307" t="str">
        <f t="shared" si="33"/>
        <v xml:space="preserve"> sangat baik  dalam mengetahui gambar dan bentuk tiga dimensi.</v>
      </c>
      <c r="AW51" s="307" t="str">
        <f t="shared" si="34"/>
        <v xml:space="preserve"> sangat baik  dalam mengetahui gambar dan bentuk tiga dimensi.</v>
      </c>
      <c r="AX51" s="307" t="str">
        <f t="shared" si="16"/>
        <v xml:space="preserve"> sangat baik  dalam mengetahui gambar dan bentuk tiga dimensi., dan  sangat baik  dalam mengetahui gambar dan bentuk tiga dimensi.</v>
      </c>
      <c r="AY51" s="307" t="str">
        <f t="shared" si="17"/>
        <v xml:space="preserve"> sangat baik  dalam mengetahui gambar dan bentuk tiga dimensi.</v>
      </c>
      <c r="AZ51" s="308" t="str">
        <f t="shared" si="18"/>
        <v xml:space="preserve"> sangat baik  dalam mengetahui gambar dan bentuk tiga dimensi.</v>
      </c>
      <c r="BA51" s="301" t="str">
        <f t="shared" si="35"/>
        <v>Anak 47 sangat baik  dalam mengetahui gambar dan bentuk tiga dimensi.</v>
      </c>
      <c r="BB51" s="120"/>
      <c r="BJ51" s="408">
        <f t="shared" si="19"/>
        <v>99</v>
      </c>
      <c r="BM51" s="302">
        <f t="shared" si="20"/>
        <v>99</v>
      </c>
      <c r="BN51" s="303" t="str">
        <f>IF(BM51&gt;KKM!$G$10,"A",IF(BM51&gt;KKM!$H$10,"B",IF(BM51&gt;=KKM!$I$10,"C","D")))</f>
        <v>A</v>
      </c>
      <c r="BO51" s="523">
        <f t="shared" si="21"/>
        <v>99</v>
      </c>
      <c r="BP51" s="115" t="str">
        <f>IF(BO51&gt;KKM!$G$10," sangat baik ",IF(BO51&gt;KKM!$H$10," baik ",IF(BO51&gt;=KKM!$I$10," cukup baik "," perlu bimbingan ")))</f>
        <v xml:space="preserve"> sangat baik </v>
      </c>
      <c r="BQ51" s="524">
        <f t="shared" si="22"/>
        <v>99</v>
      </c>
      <c r="BR51" s="115" t="str">
        <f>IF(BQ51&gt;KKM!$G$10," sangat baik ",IF(BQ51&gt;KKM!$H$10," baik ",IF(BQ51&gt;=KKM!$I$10," cukup baik "," perlu bimbingan ")))</f>
        <v xml:space="preserve"> sangat baik </v>
      </c>
      <c r="BS51" s="301" t="str">
        <f t="shared" si="29"/>
        <v>Anak 47 sangat baik  dalam mengetahui tanda tempo dan tinggi rendah nada.</v>
      </c>
      <c r="BT51" s="307" t="str">
        <f t="shared" si="23"/>
        <v xml:space="preserve"> sangat baik  dalam mengetahui tanda tempo dan tinggi rendah nada.</v>
      </c>
      <c r="BU51" s="307" t="str">
        <f t="shared" si="24"/>
        <v xml:space="preserve"> sangat baik  dalam mengetahui tanda tempo dan tinggi rendah nada.</v>
      </c>
      <c r="BV51" s="307" t="str">
        <f t="shared" si="25"/>
        <v xml:space="preserve"> sangat baik  dalam mengetahui tanda tempo dan tinggi rendah nada., dan  sangat baik  dalam mengetahui tanda tempo dan tinggi rendah nada.</v>
      </c>
      <c r="BW51" s="307" t="str">
        <f t="shared" si="26"/>
        <v xml:space="preserve"> sangat baik  dalam mengetahui tanda tempo dan tinggi rendah nada.</v>
      </c>
      <c r="BX51" s="308" t="str">
        <f t="shared" si="27"/>
        <v xml:space="preserve"> sangat baik  dalam mengetahui tanda tempo dan tinggi rendah nada.</v>
      </c>
      <c r="BY51" s="301" t="str">
        <f t="shared" si="28"/>
        <v>Anak 47 sangat baik  dalam mengetahui tanda tempo dan tinggi rendah nada.</v>
      </c>
    </row>
    <row r="52" spans="2:77" ht="63.75" customHeight="1">
      <c r="B52" s="109">
        <v>48</v>
      </c>
      <c r="C52" s="110">
        <f>SISWA!B53</f>
        <v>0</v>
      </c>
      <c r="D52" s="111" t="str">
        <f>SISWA!E53</f>
        <v>Anak 48</v>
      </c>
      <c r="E52" s="631">
        <v>99</v>
      </c>
      <c r="F52" s="631">
        <v>99</v>
      </c>
      <c r="G52" s="631">
        <v>99</v>
      </c>
      <c r="H52" s="613">
        <v>99</v>
      </c>
      <c r="I52" s="730"/>
      <c r="J52" s="730"/>
      <c r="K52" s="731"/>
      <c r="L52" s="731"/>
      <c r="M52" s="731"/>
      <c r="N52" s="731"/>
      <c r="O52" s="730"/>
      <c r="P52" s="730"/>
      <c r="Q52" s="610"/>
      <c r="R52" s="631"/>
      <c r="S52" s="631">
        <v>99</v>
      </c>
      <c r="T52" s="631">
        <v>99</v>
      </c>
      <c r="U52" s="631">
        <v>99</v>
      </c>
      <c r="V52" s="631"/>
      <c r="W52" s="631"/>
      <c r="X52" s="610"/>
      <c r="Y52" s="631">
        <v>99</v>
      </c>
      <c r="Z52" s="631">
        <v>99</v>
      </c>
      <c r="AA52" s="631">
        <v>99</v>
      </c>
      <c r="AB52" s="609"/>
      <c r="AC52" s="609"/>
      <c r="AD52" s="606"/>
      <c r="AE52" s="518"/>
      <c r="AF52" s="607">
        <f t="shared" si="11"/>
        <v>99</v>
      </c>
      <c r="AG52" s="607">
        <f t="shared" si="12"/>
        <v>99</v>
      </c>
      <c r="AH52" s="607">
        <f t="shared" si="13"/>
        <v>99</v>
      </c>
      <c r="AI52" s="607">
        <f t="shared" si="14"/>
        <v>99</v>
      </c>
      <c r="AJ52" s="529"/>
      <c r="AK52" s="528"/>
      <c r="AL52" s="528"/>
      <c r="AM52" s="528"/>
      <c r="AN52" s="302">
        <f t="shared" si="30"/>
        <v>99</v>
      </c>
      <c r="AO52" s="303" t="str">
        <f>IF(AN52&gt;KKM!$G$10,"A",IF(AN52&gt;KKM!$H$10,"B",IF(AN52&gt;=KKM!$I$10,"C","D")))</f>
        <v>A</v>
      </c>
      <c r="AP52" s="523">
        <f t="shared" si="31"/>
        <v>99</v>
      </c>
      <c r="AQ52" s="115" t="str">
        <f>IF(AP52&gt;KKM!$G$10," sangat baik ",IF(AP52&gt;KKM!$H$10," baik ",IF(AP52&gt;=KKM!$I$10," cukup baik "," perlu bimbingan ")))</f>
        <v xml:space="preserve"> sangat baik </v>
      </c>
      <c r="AR52" s="524">
        <f t="shared" si="32"/>
        <v>99</v>
      </c>
      <c r="AS52" s="115" t="str">
        <f>IF(AR52&gt;KKM!$G$10," sangat baik ",IF(AR52&gt;KKM!$H$10," baik ",IF(AR52&gt;=KKM!$I$10," cukup baik "," perlu bimbingan ")))</f>
        <v xml:space="preserve"> sangat baik </v>
      </c>
      <c r="AT52" s="301" t="str">
        <f t="shared" si="15"/>
        <v>Anak 48 sangat baik  dalam mengetahui gambar dan bentuk tiga dimensi.</v>
      </c>
      <c r="AU52" s="306"/>
      <c r="AV52" s="307" t="str">
        <f t="shared" si="33"/>
        <v xml:space="preserve"> sangat baik  dalam mengetahui gambar dan bentuk tiga dimensi.</v>
      </c>
      <c r="AW52" s="307" t="str">
        <f t="shared" si="34"/>
        <v xml:space="preserve"> sangat baik  dalam mengetahui gambar dan bentuk tiga dimensi.</v>
      </c>
      <c r="AX52" s="307" t="str">
        <f t="shared" si="16"/>
        <v xml:space="preserve"> sangat baik  dalam mengetahui gambar dan bentuk tiga dimensi., dan  sangat baik  dalam mengetahui gambar dan bentuk tiga dimensi.</v>
      </c>
      <c r="AY52" s="307" t="str">
        <f t="shared" si="17"/>
        <v xml:space="preserve"> sangat baik  dalam mengetahui gambar dan bentuk tiga dimensi.</v>
      </c>
      <c r="AZ52" s="308" t="str">
        <f t="shared" si="18"/>
        <v xml:space="preserve"> sangat baik  dalam mengetahui gambar dan bentuk tiga dimensi.</v>
      </c>
      <c r="BA52" s="301" t="str">
        <f t="shared" si="35"/>
        <v>Anak 48 sangat baik  dalam mengetahui gambar dan bentuk tiga dimensi.</v>
      </c>
      <c r="BB52" s="120"/>
      <c r="BJ52" s="408">
        <f t="shared" si="19"/>
        <v>99</v>
      </c>
      <c r="BM52" s="302">
        <f t="shared" si="20"/>
        <v>99</v>
      </c>
      <c r="BN52" s="303" t="str">
        <f>IF(BM52&gt;KKM!$G$10,"A",IF(BM52&gt;KKM!$H$10,"B",IF(BM52&gt;=KKM!$I$10,"C","D")))</f>
        <v>A</v>
      </c>
      <c r="BO52" s="523">
        <f t="shared" si="21"/>
        <v>99</v>
      </c>
      <c r="BP52" s="115" t="str">
        <f>IF(BO52&gt;KKM!$G$10," sangat baik ",IF(BO52&gt;KKM!$H$10," baik ",IF(BO52&gt;=KKM!$I$10," cukup baik "," perlu bimbingan ")))</f>
        <v xml:space="preserve"> sangat baik </v>
      </c>
      <c r="BQ52" s="524">
        <f t="shared" si="22"/>
        <v>99</v>
      </c>
      <c r="BR52" s="115" t="str">
        <f>IF(BQ52&gt;KKM!$G$10," sangat baik ",IF(BQ52&gt;KKM!$H$10," baik ",IF(BQ52&gt;=KKM!$I$10," cukup baik "," perlu bimbingan ")))</f>
        <v xml:space="preserve"> sangat baik </v>
      </c>
      <c r="BS52" s="301" t="str">
        <f t="shared" si="29"/>
        <v>Anak 48 sangat baik  dalam mengetahui tanda tempo dan tinggi rendah nada.</v>
      </c>
      <c r="BT52" s="307" t="str">
        <f t="shared" si="23"/>
        <v xml:space="preserve"> sangat baik  dalam mengetahui tanda tempo dan tinggi rendah nada.</v>
      </c>
      <c r="BU52" s="307" t="str">
        <f t="shared" si="24"/>
        <v xml:space="preserve"> sangat baik  dalam mengetahui tanda tempo dan tinggi rendah nada.</v>
      </c>
      <c r="BV52" s="307" t="str">
        <f t="shared" si="25"/>
        <v xml:space="preserve"> sangat baik  dalam mengetahui tanda tempo dan tinggi rendah nada., dan  sangat baik  dalam mengetahui tanda tempo dan tinggi rendah nada.</v>
      </c>
      <c r="BW52" s="307" t="str">
        <f t="shared" si="26"/>
        <v xml:space="preserve"> sangat baik  dalam mengetahui tanda tempo dan tinggi rendah nada.</v>
      </c>
      <c r="BX52" s="308" t="str">
        <f t="shared" si="27"/>
        <v xml:space="preserve"> sangat baik  dalam mengetahui tanda tempo dan tinggi rendah nada.</v>
      </c>
      <c r="BY52" s="301" t="str">
        <f t="shared" si="28"/>
        <v>Anak 48 sangat baik  dalam mengetahui tanda tempo dan tinggi rendah nada.</v>
      </c>
    </row>
    <row r="53" spans="2:77" ht="63.75" customHeight="1">
      <c r="B53" s="109">
        <v>49</v>
      </c>
      <c r="C53" s="110">
        <f>SISWA!B54</f>
        <v>0</v>
      </c>
      <c r="D53" s="111" t="str">
        <f>SISWA!E54</f>
        <v>Anak 49</v>
      </c>
      <c r="E53" s="631">
        <v>99</v>
      </c>
      <c r="F53" s="631">
        <v>99</v>
      </c>
      <c r="G53" s="631">
        <v>99</v>
      </c>
      <c r="H53" s="613">
        <v>99</v>
      </c>
      <c r="I53" s="730"/>
      <c r="J53" s="730"/>
      <c r="K53" s="731"/>
      <c r="L53" s="731"/>
      <c r="M53" s="731"/>
      <c r="N53" s="731"/>
      <c r="O53" s="730"/>
      <c r="P53" s="730"/>
      <c r="Q53" s="610"/>
      <c r="R53" s="631"/>
      <c r="S53" s="631">
        <v>99</v>
      </c>
      <c r="T53" s="631">
        <v>99</v>
      </c>
      <c r="U53" s="631">
        <v>99</v>
      </c>
      <c r="V53" s="631"/>
      <c r="W53" s="631"/>
      <c r="X53" s="610"/>
      <c r="Y53" s="631">
        <v>99</v>
      </c>
      <c r="Z53" s="631">
        <v>99</v>
      </c>
      <c r="AA53" s="631">
        <v>99</v>
      </c>
      <c r="AB53" s="609"/>
      <c r="AC53" s="609"/>
      <c r="AD53" s="606"/>
      <c r="AE53" s="518"/>
      <c r="AF53" s="607">
        <f t="shared" si="11"/>
        <v>99</v>
      </c>
      <c r="AG53" s="607">
        <f t="shared" si="12"/>
        <v>99</v>
      </c>
      <c r="AH53" s="607">
        <f t="shared" si="13"/>
        <v>99</v>
      </c>
      <c r="AI53" s="607">
        <f t="shared" si="14"/>
        <v>99</v>
      </c>
      <c r="AJ53" s="529"/>
      <c r="AK53" s="528"/>
      <c r="AL53" s="528"/>
      <c r="AM53" s="528"/>
      <c r="AN53" s="302">
        <f t="shared" si="30"/>
        <v>99</v>
      </c>
      <c r="AO53" s="303" t="str">
        <f>IF(AN53&gt;KKM!$G$10,"A",IF(AN53&gt;KKM!$H$10,"B",IF(AN53&gt;=KKM!$I$10,"C","D")))</f>
        <v>A</v>
      </c>
      <c r="AP53" s="523">
        <f t="shared" si="31"/>
        <v>99</v>
      </c>
      <c r="AQ53" s="115" t="str">
        <f>IF(AP53&gt;KKM!$G$10," sangat baik ",IF(AP53&gt;KKM!$H$10," baik ",IF(AP53&gt;=KKM!$I$10," cukup baik "," perlu bimbingan ")))</f>
        <v xml:space="preserve"> sangat baik </v>
      </c>
      <c r="AR53" s="524">
        <f t="shared" si="32"/>
        <v>99</v>
      </c>
      <c r="AS53" s="115" t="str">
        <f>IF(AR53&gt;KKM!$G$10," sangat baik ",IF(AR53&gt;KKM!$H$10," baik ",IF(AR53&gt;=KKM!$I$10," cukup baik "," perlu bimbingan ")))</f>
        <v xml:space="preserve"> sangat baik </v>
      </c>
      <c r="AT53" s="301" t="str">
        <f t="shared" si="15"/>
        <v>Anak 49 sangat baik  dalam mengetahui gambar dan bentuk tiga dimensi.</v>
      </c>
      <c r="AU53" s="306"/>
      <c r="AV53" s="307" t="str">
        <f t="shared" si="33"/>
        <v xml:space="preserve"> sangat baik  dalam mengetahui gambar dan bentuk tiga dimensi.</v>
      </c>
      <c r="AW53" s="307" t="str">
        <f t="shared" si="34"/>
        <v xml:space="preserve"> sangat baik  dalam mengetahui gambar dan bentuk tiga dimensi.</v>
      </c>
      <c r="AX53" s="307" t="str">
        <f t="shared" si="16"/>
        <v xml:space="preserve"> sangat baik  dalam mengetahui gambar dan bentuk tiga dimensi., dan  sangat baik  dalam mengetahui gambar dan bentuk tiga dimensi.</v>
      </c>
      <c r="AY53" s="307" t="str">
        <f t="shared" si="17"/>
        <v xml:space="preserve"> sangat baik  dalam mengetahui gambar dan bentuk tiga dimensi.</v>
      </c>
      <c r="AZ53" s="308" t="str">
        <f t="shared" si="18"/>
        <v xml:space="preserve"> sangat baik  dalam mengetahui gambar dan bentuk tiga dimensi.</v>
      </c>
      <c r="BA53" s="301" t="str">
        <f t="shared" si="35"/>
        <v>Anak 49 sangat baik  dalam mengetahui gambar dan bentuk tiga dimensi.</v>
      </c>
      <c r="BB53" s="120"/>
      <c r="BJ53" s="408">
        <f t="shared" si="19"/>
        <v>99</v>
      </c>
      <c r="BM53" s="302">
        <f t="shared" si="20"/>
        <v>99</v>
      </c>
      <c r="BN53" s="303" t="str">
        <f>IF(BM53&gt;KKM!$G$10,"A",IF(BM53&gt;KKM!$H$10,"B",IF(BM53&gt;=KKM!$I$10,"C","D")))</f>
        <v>A</v>
      </c>
      <c r="BO53" s="523">
        <f t="shared" si="21"/>
        <v>99</v>
      </c>
      <c r="BP53" s="115" t="str">
        <f>IF(BO53&gt;KKM!$G$10," sangat baik ",IF(BO53&gt;KKM!$H$10," baik ",IF(BO53&gt;=KKM!$I$10," cukup baik "," perlu bimbingan ")))</f>
        <v xml:space="preserve"> sangat baik </v>
      </c>
      <c r="BQ53" s="524">
        <f t="shared" si="22"/>
        <v>99</v>
      </c>
      <c r="BR53" s="115" t="str">
        <f>IF(BQ53&gt;KKM!$G$10," sangat baik ",IF(BQ53&gt;KKM!$H$10," baik ",IF(BQ53&gt;=KKM!$I$10," cukup baik "," perlu bimbingan ")))</f>
        <v xml:space="preserve"> sangat baik </v>
      </c>
      <c r="BS53" s="301" t="str">
        <f t="shared" si="29"/>
        <v>Anak 49 sangat baik  dalam mengetahui tanda tempo dan tinggi rendah nada.</v>
      </c>
      <c r="BT53" s="307" t="str">
        <f t="shared" si="23"/>
        <v xml:space="preserve"> sangat baik  dalam mengetahui tanda tempo dan tinggi rendah nada.</v>
      </c>
      <c r="BU53" s="307" t="str">
        <f t="shared" si="24"/>
        <v xml:space="preserve"> sangat baik  dalam mengetahui tanda tempo dan tinggi rendah nada.</v>
      </c>
      <c r="BV53" s="307" t="str">
        <f t="shared" si="25"/>
        <v xml:space="preserve"> sangat baik  dalam mengetahui tanda tempo dan tinggi rendah nada., dan  sangat baik  dalam mengetahui tanda tempo dan tinggi rendah nada.</v>
      </c>
      <c r="BW53" s="307" t="str">
        <f t="shared" si="26"/>
        <v xml:space="preserve"> sangat baik  dalam mengetahui tanda tempo dan tinggi rendah nada.</v>
      </c>
      <c r="BX53" s="308" t="str">
        <f t="shared" si="27"/>
        <v xml:space="preserve"> sangat baik  dalam mengetahui tanda tempo dan tinggi rendah nada.</v>
      </c>
      <c r="BY53" s="301" t="str">
        <f t="shared" si="28"/>
        <v>Anak 49 sangat baik  dalam mengetahui tanda tempo dan tinggi rendah nada.</v>
      </c>
    </row>
    <row r="54" spans="2:77" ht="63.75" customHeight="1">
      <c r="B54" s="109">
        <v>50</v>
      </c>
      <c r="C54" s="110">
        <f>SISWA!B55</f>
        <v>0</v>
      </c>
      <c r="D54" s="111" t="str">
        <f>SISWA!E55</f>
        <v>Anak 50</v>
      </c>
      <c r="E54" s="631">
        <v>99</v>
      </c>
      <c r="F54" s="631">
        <v>99</v>
      </c>
      <c r="G54" s="631">
        <v>99</v>
      </c>
      <c r="H54" s="613">
        <v>99</v>
      </c>
      <c r="I54" s="730"/>
      <c r="J54" s="730"/>
      <c r="K54" s="731"/>
      <c r="L54" s="731"/>
      <c r="M54" s="731"/>
      <c r="N54" s="731"/>
      <c r="O54" s="730"/>
      <c r="P54" s="730"/>
      <c r="Q54" s="610"/>
      <c r="R54" s="631"/>
      <c r="S54" s="631">
        <v>99</v>
      </c>
      <c r="T54" s="631">
        <v>99</v>
      </c>
      <c r="U54" s="631">
        <v>99</v>
      </c>
      <c r="V54" s="631"/>
      <c r="W54" s="631"/>
      <c r="X54" s="610"/>
      <c r="Y54" s="631">
        <v>99</v>
      </c>
      <c r="Z54" s="631">
        <v>99</v>
      </c>
      <c r="AA54" s="631">
        <v>99</v>
      </c>
      <c r="AB54" s="609"/>
      <c r="AC54" s="609"/>
      <c r="AD54" s="606"/>
      <c r="AE54" s="518"/>
      <c r="AF54" s="607">
        <f t="shared" si="11"/>
        <v>99</v>
      </c>
      <c r="AG54" s="607">
        <f t="shared" si="12"/>
        <v>99</v>
      </c>
      <c r="AH54" s="607">
        <f t="shared" si="13"/>
        <v>99</v>
      </c>
      <c r="AI54" s="607">
        <f t="shared" si="14"/>
        <v>99</v>
      </c>
      <c r="AJ54" s="529"/>
      <c r="AK54" s="528"/>
      <c r="AL54" s="528"/>
      <c r="AM54" s="528"/>
      <c r="AN54" s="302">
        <f t="shared" si="30"/>
        <v>99</v>
      </c>
      <c r="AO54" s="303" t="str">
        <f>IF(AN54&gt;KKM!$G$10,"A",IF(AN54&gt;KKM!$H$10,"B",IF(AN54&gt;=KKM!$I$10,"C","D")))</f>
        <v>A</v>
      </c>
      <c r="AP54" s="523">
        <f t="shared" si="31"/>
        <v>99</v>
      </c>
      <c r="AQ54" s="115" t="str">
        <f>IF(AP54&gt;KKM!$G$10," sangat baik ",IF(AP54&gt;KKM!$H$10," baik ",IF(AP54&gt;=KKM!$I$10," cukup baik "," perlu bimbingan ")))</f>
        <v xml:space="preserve"> sangat baik </v>
      </c>
      <c r="AR54" s="524">
        <f t="shared" si="32"/>
        <v>99</v>
      </c>
      <c r="AS54" s="115" t="str">
        <f>IF(AR54&gt;KKM!$G$10," sangat baik ",IF(AR54&gt;KKM!$H$10," baik ",IF(AR54&gt;=KKM!$I$10," cukup baik "," perlu bimbingan ")))</f>
        <v xml:space="preserve"> sangat baik </v>
      </c>
      <c r="AT54" s="301" t="str">
        <f t="shared" si="15"/>
        <v>Anak 50 sangat baik  dalam mengetahui gambar dan bentuk tiga dimensi.</v>
      </c>
      <c r="AU54" s="306"/>
      <c r="AV54" s="307" t="str">
        <f t="shared" si="33"/>
        <v xml:space="preserve"> sangat baik  dalam mengetahui gambar dan bentuk tiga dimensi.</v>
      </c>
      <c r="AW54" s="307" t="str">
        <f t="shared" si="34"/>
        <v xml:space="preserve"> sangat baik  dalam mengetahui gambar dan bentuk tiga dimensi.</v>
      </c>
      <c r="AX54" s="307" t="str">
        <f t="shared" si="16"/>
        <v xml:space="preserve"> sangat baik  dalam mengetahui gambar dan bentuk tiga dimensi., dan  sangat baik  dalam mengetahui gambar dan bentuk tiga dimensi.</v>
      </c>
      <c r="AY54" s="307" t="str">
        <f t="shared" si="17"/>
        <v xml:space="preserve"> sangat baik  dalam mengetahui gambar dan bentuk tiga dimensi.</v>
      </c>
      <c r="AZ54" s="308" t="str">
        <f t="shared" si="18"/>
        <v xml:space="preserve"> sangat baik  dalam mengetahui gambar dan bentuk tiga dimensi.</v>
      </c>
      <c r="BA54" s="301" t="str">
        <f t="shared" si="35"/>
        <v>Anak 50 sangat baik  dalam mengetahui gambar dan bentuk tiga dimensi.</v>
      </c>
      <c r="BB54" s="120"/>
      <c r="BJ54" s="408">
        <f t="shared" si="19"/>
        <v>99</v>
      </c>
      <c r="BM54" s="302">
        <f t="shared" si="20"/>
        <v>99</v>
      </c>
      <c r="BN54" s="303" t="str">
        <f>IF(BM54&gt;KKM!$G$10,"A",IF(BM54&gt;KKM!$H$10,"B",IF(BM54&gt;=KKM!$I$10,"C","D")))</f>
        <v>A</v>
      </c>
      <c r="BO54" s="523">
        <f t="shared" si="21"/>
        <v>99</v>
      </c>
      <c r="BP54" s="115" t="str">
        <f>IF(BO54&gt;KKM!$G$10," sangat baik ",IF(BO54&gt;KKM!$H$10," baik ",IF(BO54&gt;=KKM!$I$10," cukup baik "," perlu bimbingan ")))</f>
        <v xml:space="preserve"> sangat baik </v>
      </c>
      <c r="BQ54" s="524">
        <f t="shared" si="22"/>
        <v>99</v>
      </c>
      <c r="BR54" s="115" t="str">
        <f>IF(BQ54&gt;KKM!$G$10," sangat baik ",IF(BQ54&gt;KKM!$H$10," baik ",IF(BQ54&gt;=KKM!$I$10," cukup baik "," perlu bimbingan ")))</f>
        <v xml:space="preserve"> sangat baik </v>
      </c>
      <c r="BS54" s="301" t="str">
        <f t="shared" si="29"/>
        <v>Anak 50 sangat baik  dalam mengetahui tanda tempo dan tinggi rendah nada.</v>
      </c>
      <c r="BT54" s="307" t="str">
        <f t="shared" si="23"/>
        <v xml:space="preserve"> sangat baik  dalam mengetahui tanda tempo dan tinggi rendah nada.</v>
      </c>
      <c r="BU54" s="307" t="str">
        <f t="shared" si="24"/>
        <v xml:space="preserve"> sangat baik  dalam mengetahui tanda tempo dan tinggi rendah nada.</v>
      </c>
      <c r="BV54" s="307" t="str">
        <f t="shared" si="25"/>
        <v xml:space="preserve"> sangat baik  dalam mengetahui tanda tempo dan tinggi rendah nada., dan  sangat baik  dalam mengetahui tanda tempo dan tinggi rendah nada.</v>
      </c>
      <c r="BW54" s="307" t="str">
        <f t="shared" si="26"/>
        <v xml:space="preserve"> sangat baik  dalam mengetahui tanda tempo dan tinggi rendah nada.</v>
      </c>
      <c r="BX54" s="308" t="str">
        <f t="shared" si="27"/>
        <v xml:space="preserve"> sangat baik  dalam mengetahui tanda tempo dan tinggi rendah nada.</v>
      </c>
      <c r="BY54" s="301" t="str">
        <f t="shared" si="28"/>
        <v>Anak 50 sangat baik  dalam mengetahui tanda tempo dan tinggi rendah nada.</v>
      </c>
    </row>
    <row r="55" spans="2:77" ht="15.75">
      <c r="B55" s="121"/>
      <c r="C55" s="121"/>
      <c r="D55" s="121"/>
      <c r="E55" s="121"/>
      <c r="F55" s="121"/>
      <c r="G55" s="121"/>
      <c r="H55" s="121"/>
      <c r="I55" s="121"/>
      <c r="J55" s="121"/>
      <c r="K55" s="121"/>
      <c r="L55" s="121"/>
      <c r="M55" s="121"/>
      <c r="N55" s="121"/>
      <c r="O55" s="121"/>
      <c r="P55" s="121"/>
      <c r="Q55" s="518"/>
      <c r="R55" s="121"/>
      <c r="S55" s="121"/>
      <c r="T55" s="121"/>
      <c r="U55" s="121"/>
      <c r="V55" s="121"/>
      <c r="W55" s="121"/>
      <c r="X55" s="518"/>
      <c r="Y55" s="521"/>
      <c r="Z55" s="521"/>
      <c r="AA55" s="521"/>
      <c r="AB55" s="521"/>
      <c r="AC55" s="521"/>
      <c r="AD55" s="121"/>
      <c r="AE55" s="518"/>
      <c r="AF55" s="528"/>
      <c r="AG55" s="529"/>
      <c r="AH55" s="529"/>
      <c r="AI55" s="529"/>
      <c r="AJ55" s="529"/>
      <c r="AK55" s="528"/>
      <c r="AL55" s="528"/>
      <c r="AM55" s="528"/>
      <c r="AN55" s="114"/>
      <c r="AO55" s="115"/>
      <c r="AP55" s="116"/>
      <c r="AQ55" s="116"/>
      <c r="AR55" s="116"/>
      <c r="AS55" s="116"/>
      <c r="AT55" s="117"/>
      <c r="AU55" s="118"/>
      <c r="AV55" s="119"/>
      <c r="AW55" s="122"/>
      <c r="AX55" s="122"/>
      <c r="AY55" s="122"/>
      <c r="AZ55" s="122"/>
      <c r="BA55" s="122"/>
      <c r="BB55" s="120"/>
      <c r="BM55" s="302"/>
      <c r="BN55" s="303"/>
      <c r="BO55" s="523"/>
      <c r="BP55" s="115"/>
      <c r="BQ55" s="524"/>
      <c r="BR55" s="115"/>
      <c r="BS55" s="301"/>
      <c r="BT55" s="307"/>
      <c r="BU55" s="307"/>
      <c r="BV55" s="307"/>
      <c r="BW55" s="307"/>
      <c r="BX55" s="308"/>
      <c r="BY55" s="301"/>
    </row>
    <row r="56" spans="2:77">
      <c r="BM56" s="302"/>
      <c r="BT56" s="119"/>
      <c r="BU56" s="122"/>
      <c r="BV56" s="122"/>
      <c r="BW56" s="122"/>
      <c r="BX56" s="122"/>
      <c r="BY56" s="122"/>
    </row>
  </sheetData>
  <sheetProtection sheet="1" objects="1" scenarios="1"/>
  <mergeCells count="45">
    <mergeCell ref="BT3:BY3"/>
    <mergeCell ref="BM2:BM4"/>
    <mergeCell ref="BN2:BN4"/>
    <mergeCell ref="BO2:BR2"/>
    <mergeCell ref="BS2:BS4"/>
    <mergeCell ref="BO3:BP3"/>
    <mergeCell ref="BQ3:BR3"/>
    <mergeCell ref="O3:O4"/>
    <mergeCell ref="P3:P4"/>
    <mergeCell ref="Y2:AD2"/>
    <mergeCell ref="Y3:Y4"/>
    <mergeCell ref="Z3:Z4"/>
    <mergeCell ref="AD3:AD4"/>
    <mergeCell ref="R2:W2"/>
    <mergeCell ref="R3:R4"/>
    <mergeCell ref="S3:S4"/>
    <mergeCell ref="T3:T4"/>
    <mergeCell ref="U3:U4"/>
    <mergeCell ref="V3:V4"/>
    <mergeCell ref="W3:W4"/>
    <mergeCell ref="E2:P2"/>
    <mergeCell ref="J3:J4"/>
    <mergeCell ref="K3:K4"/>
    <mergeCell ref="N3:N4"/>
    <mergeCell ref="E3:E4"/>
    <mergeCell ref="F3:F4"/>
    <mergeCell ref="G3:G4"/>
    <mergeCell ref="H3:H4"/>
    <mergeCell ref="I3:I4"/>
    <mergeCell ref="AT2:AT4"/>
    <mergeCell ref="AP3:AQ3"/>
    <mergeCell ref="AR3:AS3"/>
    <mergeCell ref="B1:AS1"/>
    <mergeCell ref="B2:B4"/>
    <mergeCell ref="C2:C4"/>
    <mergeCell ref="D2:D4"/>
    <mergeCell ref="AF2:AM2"/>
    <mergeCell ref="AN2:AN4"/>
    <mergeCell ref="AO2:AO4"/>
    <mergeCell ref="AP2:AS2"/>
    <mergeCell ref="AA3:AA4"/>
    <mergeCell ref="AB3:AB4"/>
    <mergeCell ref="AC3:AC4"/>
    <mergeCell ref="L3:L4"/>
    <mergeCell ref="M3:M4"/>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A56"/>
  <sheetViews>
    <sheetView zoomScale="70" zoomScaleNormal="70" workbookViewId="0">
      <pane xSplit="4" ySplit="4" topLeftCell="E5" activePane="bottomRight" state="frozen"/>
      <selection pane="topRight" activeCell="E1" sqref="E1"/>
      <selection pane="bottomLeft" activeCell="A5" sqref="A5"/>
      <selection pane="bottomRight"/>
    </sheetView>
  </sheetViews>
  <sheetFormatPr defaultColWidth="9.140625" defaultRowHeight="15"/>
  <cols>
    <col min="1" max="1" width="23.42578125" style="446" customWidth="1"/>
    <col min="2" max="2" width="4.42578125" style="104" customWidth="1"/>
    <col min="3" max="3" width="6.42578125" style="104" customWidth="1"/>
    <col min="4" max="4" width="28.7109375" style="104" customWidth="1"/>
    <col min="5" max="10" width="5.42578125" style="104" customWidth="1"/>
    <col min="11" max="16" width="5.42578125" style="104" hidden="1" customWidth="1"/>
    <col min="17" max="17" width="2" style="104" customWidth="1"/>
    <col min="18" max="23" width="5.42578125" style="104" customWidth="1"/>
    <col min="24" max="24" width="2.28515625" style="104" customWidth="1"/>
    <col min="25" max="30" width="5.42578125" style="104" customWidth="1"/>
    <col min="31" max="31" width="2.28515625" style="104" customWidth="1"/>
    <col min="32" max="37" width="6.7109375" style="104" customWidth="1"/>
    <col min="38" max="47" width="6.7109375" style="104" hidden="1" customWidth="1"/>
    <col min="48" max="49" width="4.7109375" style="104" customWidth="1"/>
    <col min="50" max="50" width="5.140625" style="104" customWidth="1"/>
    <col min="51" max="51" width="10.5703125" style="104" customWidth="1"/>
    <col min="52" max="52" width="5.140625" style="104" customWidth="1"/>
    <col min="53" max="53" width="11.42578125" style="104" customWidth="1"/>
    <col min="54" max="54" width="84.42578125" style="104" customWidth="1"/>
    <col min="55" max="55" width="29.85546875" style="104" hidden="1" customWidth="1"/>
    <col min="56" max="61" width="10.7109375" style="104" hidden="1" customWidth="1"/>
    <col min="62" max="64" width="9.140625" style="104" hidden="1" customWidth="1"/>
    <col min="65" max="67" width="6.5703125" style="104" hidden="1" customWidth="1"/>
    <col min="68" max="68" width="12.42578125" style="104" hidden="1" customWidth="1"/>
    <col min="69" max="69" width="6.5703125" style="104" hidden="1" customWidth="1"/>
    <col min="70" max="70" width="13.5703125" style="104" hidden="1" customWidth="1"/>
    <col min="71" max="71" width="65.85546875" style="104" hidden="1" customWidth="1"/>
    <col min="72" max="72" width="18.7109375" style="104" hidden="1" customWidth="1"/>
    <col min="73" max="79" width="9.140625" style="104" hidden="1" customWidth="1"/>
    <col min="80" max="87" width="5" style="104" customWidth="1"/>
    <col min="88" max="89" width="9.140625" style="104" customWidth="1"/>
    <col min="90" max="103" width="10.7109375" style="104" customWidth="1"/>
    <col min="104" max="125" width="9.140625" style="104" customWidth="1"/>
    <col min="126" max="137" width="10.7109375" style="104" customWidth="1"/>
    <col min="138" max="174" width="9.140625" style="104" customWidth="1"/>
    <col min="175" max="16384" width="9.140625" style="104"/>
  </cols>
  <sheetData>
    <row r="1" spans="1:77" s="449" customFormat="1" ht="45.75" customHeight="1">
      <c r="B1" s="1040" t="s">
        <v>181</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c r="AT1" s="1040"/>
      <c r="AU1" s="1040"/>
      <c r="AV1" s="1040"/>
      <c r="AW1" s="1040"/>
      <c r="AX1" s="1040"/>
      <c r="AY1" s="1040"/>
      <c r="AZ1" s="1040"/>
      <c r="BA1" s="1040"/>
    </row>
    <row r="2" spans="1:77" ht="23.25" customHeight="1">
      <c r="B2" s="1071" t="s">
        <v>2</v>
      </c>
      <c r="C2" s="1072" t="s">
        <v>3</v>
      </c>
      <c r="D2" s="1073" t="s">
        <v>48</v>
      </c>
      <c r="E2" s="1095" t="s">
        <v>699</v>
      </c>
      <c r="F2" s="1096"/>
      <c r="G2" s="1096"/>
      <c r="H2" s="1096"/>
      <c r="I2" s="1096"/>
      <c r="J2" s="1096"/>
      <c r="K2" s="1096"/>
      <c r="L2" s="1096"/>
      <c r="M2" s="1096"/>
      <c r="N2" s="1096"/>
      <c r="O2" s="1096"/>
      <c r="P2" s="1096"/>
      <c r="Q2" s="515"/>
      <c r="R2" s="1100" t="s">
        <v>692</v>
      </c>
      <c r="S2" s="1100"/>
      <c r="T2" s="1100"/>
      <c r="U2" s="1100"/>
      <c r="V2" s="1100"/>
      <c r="W2" s="1100"/>
      <c r="X2" s="515"/>
      <c r="Y2" s="1085" t="s">
        <v>693</v>
      </c>
      <c r="Z2" s="1086"/>
      <c r="AA2" s="1086"/>
      <c r="AB2" s="1086"/>
      <c r="AC2" s="1086"/>
      <c r="AD2" s="1086"/>
      <c r="AE2" s="515"/>
      <c r="AF2" s="1108" t="s">
        <v>694</v>
      </c>
      <c r="AG2" s="1108"/>
      <c r="AH2" s="1108"/>
      <c r="AI2" s="1108"/>
      <c r="AJ2" s="1108"/>
      <c r="AK2" s="1108"/>
      <c r="AL2" s="1108"/>
      <c r="AM2" s="1108"/>
      <c r="AN2" s="1108"/>
      <c r="AO2" s="1108"/>
      <c r="AP2" s="1108"/>
      <c r="AQ2" s="1108"/>
      <c r="AR2" s="1108"/>
      <c r="AS2" s="1108"/>
      <c r="AT2" s="1108"/>
      <c r="AU2" s="1108"/>
      <c r="AV2" s="1045" t="s">
        <v>5</v>
      </c>
      <c r="AW2" s="1046" t="s">
        <v>6</v>
      </c>
      <c r="AX2" s="1047" t="s">
        <v>314</v>
      </c>
      <c r="AY2" s="1048"/>
      <c r="AZ2" s="1048"/>
      <c r="BA2" s="1048"/>
      <c r="BB2" s="1027" t="s">
        <v>1</v>
      </c>
      <c r="BI2" s="294"/>
      <c r="BL2" s="441">
        <f>DEPAN!$E$23</f>
        <v>50</v>
      </c>
      <c r="BM2" s="1091" t="s">
        <v>5</v>
      </c>
      <c r="BN2" s="1093" t="s">
        <v>6</v>
      </c>
      <c r="BO2" s="1047" t="s">
        <v>314</v>
      </c>
      <c r="BP2" s="1048"/>
      <c r="BQ2" s="1048"/>
      <c r="BR2" s="1048"/>
      <c r="BS2" s="1027" t="s">
        <v>1</v>
      </c>
    </row>
    <row r="3" spans="1:77" ht="94.5" customHeight="1">
      <c r="B3" s="1071"/>
      <c r="C3" s="1072"/>
      <c r="D3" s="1073"/>
      <c r="E3" s="1079" t="str">
        <f>""&amp;'KI-KD'!$B109</f>
        <v>3.3</v>
      </c>
      <c r="F3" s="1079" t="str">
        <f>""&amp;'KI-KD'!$B110</f>
        <v>3.2</v>
      </c>
      <c r="G3" s="1079" t="str">
        <f>""&amp;'KI-KD'!$B111</f>
        <v>3.5</v>
      </c>
      <c r="H3" s="1079" t="str">
        <f>""&amp;'KI-KD'!$B112</f>
        <v>3.4</v>
      </c>
      <c r="I3" s="1079" t="str">
        <f>""&amp;'KI-KD'!$B113</f>
        <v>3.6</v>
      </c>
      <c r="J3" s="1079" t="str">
        <f>""&amp;'KI-KD'!$B114</f>
        <v/>
      </c>
      <c r="K3" s="1109"/>
      <c r="L3" s="1109"/>
      <c r="M3" s="1109"/>
      <c r="N3" s="1109"/>
      <c r="O3" s="1109"/>
      <c r="P3" s="1109"/>
      <c r="Q3" s="516"/>
      <c r="R3" s="1101" t="str">
        <f t="shared" ref="R3:U3" si="0">E3</f>
        <v>3.3</v>
      </c>
      <c r="S3" s="1101" t="str">
        <f t="shared" si="0"/>
        <v>3.2</v>
      </c>
      <c r="T3" s="1101" t="str">
        <f t="shared" si="0"/>
        <v>3.5</v>
      </c>
      <c r="U3" s="1101" t="str">
        <f t="shared" si="0"/>
        <v>3.4</v>
      </c>
      <c r="V3" s="1081" t="str">
        <f t="shared" ref="V3" si="1">I3</f>
        <v>3.6</v>
      </c>
      <c r="W3" s="1081" t="str">
        <f t="shared" ref="W3" si="2">J3</f>
        <v/>
      </c>
      <c r="X3" s="516"/>
      <c r="Y3" s="1088" t="str">
        <f>E3</f>
        <v>3.3</v>
      </c>
      <c r="Z3" s="1088" t="str">
        <f t="shared" ref="Z3:AC3" si="3">F3</f>
        <v>3.2</v>
      </c>
      <c r="AA3" s="1088" t="str">
        <f t="shared" si="3"/>
        <v>3.5</v>
      </c>
      <c r="AB3" s="1088" t="str">
        <f t="shared" si="3"/>
        <v>3.4</v>
      </c>
      <c r="AC3" s="1088" t="str">
        <f t="shared" si="3"/>
        <v>3.6</v>
      </c>
      <c r="AD3" s="1088" t="str">
        <f>J3</f>
        <v/>
      </c>
      <c r="AE3" s="516"/>
      <c r="AF3" s="510" t="str">
        <f>'KI-KD'!$C109</f>
        <v>memahami konsep variasi dan kombinasi pola gerak dasar lokomotorr dan nonlokomotor untuk membentuk gerakan dasar atletik jalan cepat dan lari melalui permainan dan atau olahraga tradisional</v>
      </c>
      <c r="AG3" s="510" t="str">
        <f>'KI-KD'!$C110</f>
        <v>memahami konsep variasi dan kombinasi gerak dasar lokomotor,non lokomotor, dan manipulative dalam berbagai permainan dan atau olahraga tradisional bola kecii.</v>
      </c>
      <c r="AH3" s="510" t="str">
        <f>'KI-KD'!$C111</f>
        <v>memahami konsep kombinasi pola gerak dasar dominan statis dan dinamis untuk membentuk keterampilan/ teknik dasar senam (seperti: handstand, kayang, meroda, dsb)</v>
      </c>
      <c r="AI3" s="510" t="str">
        <f>'KI-KD'!$C112</f>
        <v>memahami konsep berbagai aktifitas kebugaran jasmani untuk mencapai tinggi dan berat badan ideal</v>
      </c>
      <c r="AJ3" s="510" t="str">
        <f>'KI-KD'!$C113</f>
        <v>mengetahui konsep penggunaan kombinasi pola gerak dasar lokomotor, non-lokomotor dan manipulatif sesuai dengan irama (ketukan) tanpa/denganmusik dalam aktivitas gerak ritmik.</v>
      </c>
      <c r="AK3" s="510">
        <f>'KI-KD'!$C114</f>
        <v>0</v>
      </c>
      <c r="AL3" s="510">
        <f>'KI-KD'!$C115</f>
        <v>0</v>
      </c>
      <c r="AM3" s="510">
        <f>'KI-KD'!$C116</f>
        <v>0</v>
      </c>
      <c r="AN3" s="510">
        <f>'KI-KD'!$C117</f>
        <v>0</v>
      </c>
      <c r="AO3" s="510">
        <f>'KI-KD'!$C118</f>
        <v>0</v>
      </c>
      <c r="AP3" s="510">
        <f>'KI-KD'!$C119</f>
        <v>0</v>
      </c>
      <c r="AQ3" s="511"/>
      <c r="AR3" s="511"/>
      <c r="AS3" s="511"/>
      <c r="AT3" s="511"/>
      <c r="AU3" s="511"/>
      <c r="AV3" s="1045"/>
      <c r="AW3" s="1046"/>
      <c r="AX3" s="1030" t="s">
        <v>315</v>
      </c>
      <c r="AY3" s="1031"/>
      <c r="AZ3" s="1032" t="s">
        <v>316</v>
      </c>
      <c r="BA3" s="1033"/>
      <c r="BB3" s="1028"/>
      <c r="BI3" s="294"/>
      <c r="BL3" s="408">
        <f>BL4-BL5</f>
        <v>50</v>
      </c>
      <c r="BM3" s="1092"/>
      <c r="BN3" s="1094"/>
      <c r="BO3" s="1067" t="s">
        <v>315</v>
      </c>
      <c r="BP3" s="1068"/>
      <c r="BQ3" s="1069" t="s">
        <v>316</v>
      </c>
      <c r="BR3" s="1070"/>
      <c r="BS3" s="1028"/>
      <c r="BT3" s="1090" t="s">
        <v>730</v>
      </c>
      <c r="BU3" s="1090"/>
      <c r="BV3" s="1090"/>
      <c r="BW3" s="1090"/>
      <c r="BX3" s="1090"/>
      <c r="BY3" s="1090"/>
    </row>
    <row r="4" spans="1:77" s="108" customFormat="1" ht="25.5" customHeight="1">
      <c r="A4" s="448"/>
      <c r="B4" s="1071"/>
      <c r="C4" s="1072"/>
      <c r="D4" s="1073"/>
      <c r="E4" s="1080"/>
      <c r="F4" s="1080"/>
      <c r="G4" s="1080"/>
      <c r="H4" s="1080"/>
      <c r="I4" s="1080"/>
      <c r="J4" s="1080"/>
      <c r="K4" s="1110"/>
      <c r="L4" s="1110"/>
      <c r="M4" s="1110"/>
      <c r="N4" s="1110"/>
      <c r="O4" s="1110"/>
      <c r="P4" s="1110"/>
      <c r="Q4" s="517"/>
      <c r="R4" s="1102"/>
      <c r="S4" s="1102"/>
      <c r="T4" s="1102"/>
      <c r="U4" s="1102"/>
      <c r="V4" s="1082"/>
      <c r="W4" s="1082"/>
      <c r="X4" s="517"/>
      <c r="Y4" s="1089"/>
      <c r="Z4" s="1089"/>
      <c r="AA4" s="1089"/>
      <c r="AB4" s="1089"/>
      <c r="AC4" s="1089"/>
      <c r="AD4" s="1089"/>
      <c r="AE4" s="522"/>
      <c r="AF4" s="512">
        <f>'KI-KD'!$B109</f>
        <v>3.3</v>
      </c>
      <c r="AG4" s="512">
        <f>'KI-KD'!$B110</f>
        <v>3.2</v>
      </c>
      <c r="AH4" s="512">
        <f>'KI-KD'!$B111</f>
        <v>3.5</v>
      </c>
      <c r="AI4" s="512">
        <f>'KI-KD'!$B112</f>
        <v>3.4</v>
      </c>
      <c r="AJ4" s="512">
        <f>'KI-KD'!$B113</f>
        <v>3.6</v>
      </c>
      <c r="AK4" s="512">
        <f>'KI-KD'!$B114</f>
        <v>0</v>
      </c>
      <c r="AL4" s="512">
        <f>'KI-KD'!$B115</f>
        <v>0</v>
      </c>
      <c r="AM4" s="512">
        <f>'KI-KD'!$B116</f>
        <v>0</v>
      </c>
      <c r="AN4" s="512">
        <f>'KI-KD'!$B117</f>
        <v>0</v>
      </c>
      <c r="AO4" s="512">
        <f>'KI-KD'!$B118</f>
        <v>0</v>
      </c>
      <c r="AP4" s="512">
        <f>'KI-KD'!$B119</f>
        <v>0</v>
      </c>
      <c r="AQ4" s="512"/>
      <c r="AR4" s="512"/>
      <c r="AS4" s="512"/>
      <c r="AT4" s="512"/>
      <c r="AU4" s="512"/>
      <c r="AV4" s="1045"/>
      <c r="AW4" s="1046"/>
      <c r="AX4" s="295" t="s">
        <v>317</v>
      </c>
      <c r="AY4" s="296" t="s">
        <v>1</v>
      </c>
      <c r="AZ4" s="297" t="s">
        <v>317</v>
      </c>
      <c r="BA4" s="298" t="s">
        <v>1</v>
      </c>
      <c r="BB4" s="1029"/>
      <c r="BC4" s="104"/>
      <c r="BD4" s="299" t="s">
        <v>318</v>
      </c>
      <c r="BE4" s="299" t="s">
        <v>319</v>
      </c>
      <c r="BF4" s="299" t="s">
        <v>320</v>
      </c>
      <c r="BG4" s="299" t="s">
        <v>321</v>
      </c>
      <c r="BH4" s="300" t="s">
        <v>314</v>
      </c>
      <c r="BI4" s="301"/>
      <c r="BL4" s="108">
        <v>50</v>
      </c>
      <c r="BM4" s="1092"/>
      <c r="BN4" s="1094"/>
      <c r="BO4" s="295" t="s">
        <v>317</v>
      </c>
      <c r="BP4" s="296" t="s">
        <v>1</v>
      </c>
      <c r="BQ4" s="297" t="s">
        <v>317</v>
      </c>
      <c r="BR4" s="298" t="s">
        <v>1</v>
      </c>
      <c r="BS4" s="1028"/>
      <c r="BT4" s="299" t="s">
        <v>318</v>
      </c>
      <c r="BU4" s="299" t="s">
        <v>319</v>
      </c>
      <c r="BV4" s="299" t="s">
        <v>320</v>
      </c>
      <c r="BW4" s="299" t="s">
        <v>321</v>
      </c>
      <c r="BX4" s="300" t="s">
        <v>314</v>
      </c>
      <c r="BY4" s="301"/>
    </row>
    <row r="5" spans="1:77" ht="63" customHeight="1">
      <c r="B5" s="109">
        <v>1</v>
      </c>
      <c r="C5" s="110">
        <f>SISWA!B6</f>
        <v>4822</v>
      </c>
      <c r="D5" s="111" t="str">
        <f>SISWA!E6</f>
        <v>Anak 1</v>
      </c>
      <c r="E5" s="631">
        <v>89</v>
      </c>
      <c r="F5" s="613">
        <v>89</v>
      </c>
      <c r="G5" s="613">
        <v>97</v>
      </c>
      <c r="H5" s="613">
        <v>99</v>
      </c>
      <c r="I5" s="613">
        <v>87</v>
      </c>
      <c r="J5" s="613"/>
      <c r="K5" s="731"/>
      <c r="L5" s="731"/>
      <c r="M5" s="731"/>
      <c r="N5" s="731"/>
      <c r="O5" s="731"/>
      <c r="P5" s="730"/>
      <c r="Q5" s="610"/>
      <c r="R5" s="631">
        <v>89</v>
      </c>
      <c r="S5" s="631">
        <v>51</v>
      </c>
      <c r="T5" s="609"/>
      <c r="U5" s="609"/>
      <c r="V5" s="609"/>
      <c r="W5" s="609"/>
      <c r="X5" s="610"/>
      <c r="Y5" s="613">
        <v>61</v>
      </c>
      <c r="Z5" s="613">
        <v>51</v>
      </c>
      <c r="AA5" s="613">
        <v>89</v>
      </c>
      <c r="AB5" s="613">
        <v>90</v>
      </c>
      <c r="AC5" s="613">
        <v>87</v>
      </c>
      <c r="AD5" s="613"/>
      <c r="AE5" s="518"/>
      <c r="AF5" s="607">
        <f>IFERROR(AVERAGE(E5,E5,R5,Y5),"")</f>
        <v>82</v>
      </c>
      <c r="AG5" s="607">
        <f t="shared" ref="AG5:AJ5" si="4">IFERROR(AVERAGE(F5,F5,S5,Z5),"")</f>
        <v>70</v>
      </c>
      <c r="AH5" s="607">
        <f t="shared" si="4"/>
        <v>94.333333333333329</v>
      </c>
      <c r="AI5" s="607">
        <f t="shared" si="4"/>
        <v>96</v>
      </c>
      <c r="AJ5" s="607">
        <f t="shared" si="4"/>
        <v>87</v>
      </c>
      <c r="AK5" s="607"/>
      <c r="AL5" s="607"/>
      <c r="AM5" s="607"/>
      <c r="AN5" s="607"/>
      <c r="AO5" s="607"/>
      <c r="AP5" s="607"/>
      <c r="AQ5" s="607"/>
      <c r="AR5" s="607"/>
      <c r="AS5" s="607"/>
      <c r="AT5" s="607"/>
      <c r="AU5" s="607"/>
      <c r="AV5" s="302">
        <f>ROUND((AVERAGE(AF5:AU5)),0)</f>
        <v>86</v>
      </c>
      <c r="AW5" s="303" t="str">
        <f>IF(AV5&gt;KKM!$G$10,"A",IF(AV5&gt;KKM!$H$10,"B",IF(AV5&gt;=KKM!$I$10,"C","D")))</f>
        <v>B</v>
      </c>
      <c r="AX5" s="304">
        <f t="shared" ref="AX5:AX54" si="5">MAX(AF5:AU5)</f>
        <v>96</v>
      </c>
      <c r="AY5" s="115" t="str">
        <f>IF(AX5&gt;KKM!$G$10," sangat baik ",IF(AX5&gt;KKM!$H$10," baik ",IF(AX5&gt;=KKM!$I$10," cukup baik "," perlu bimbingan ")))</f>
        <v xml:space="preserve"> sangat baik </v>
      </c>
      <c r="AZ5" s="305">
        <f t="shared" ref="AZ5:AZ54" si="6">MIN(AF5:AU5)</f>
        <v>70</v>
      </c>
      <c r="BA5" s="115" t="str">
        <f>IF(AZ5&gt;KKM!$G$10," sangat baik ",IF(AZ5&gt;KKM!$H$10," baik ",IF(AZ5&gt;=KKM!$I$10," cukup baik "," perlu bimbingan ")))</f>
        <v xml:space="preserve"> cukup baik </v>
      </c>
      <c r="BB5" s="301" t="str">
        <f>IFERROR(BI5," ")</f>
        <v>Anak 1 sangat baik  dalam memahami konsep berbagai aktifitas kebugaran jasmani untuk mencapai tinggi dan berat badan ideal, dan  cukup baik  dalam memahami konsep variasi dan kombinasi gerak dasar lokomotor,non lokomotor, dan manipulative dalam berbagai permainan dan atau olahraga tradisional bola kecii.</v>
      </c>
      <c r="BC5" s="306"/>
      <c r="BD5" s="307" t="str">
        <f t="shared" ref="BD5:BD54" si="7">AY5&amp;" dalam "&amp;INDEX($AF$3:$AU$3,MATCH(AX5,$AF5:$AU5,0))</f>
        <v xml:space="preserve"> sangat baik  dalam memahami konsep berbagai aktifitas kebugaran jasmani untuk mencapai tinggi dan berat badan ideal</v>
      </c>
      <c r="BE5" s="307" t="str">
        <f t="shared" ref="BE5:BE54" si="8">BA5&amp;" dalam "&amp;INDEX($AF$3:$AU$3,MATCH(AZ5,$AF5:$AU5,0))</f>
        <v xml:space="preserve"> cukup baik  dalam memahami konsep variasi dan kombinasi gerak dasar lokomotor,non lokomotor, dan manipulative dalam berbagai permainan dan atau olahraga tradisional bola kecii.</v>
      </c>
      <c r="BF5" s="307" t="str">
        <f>BD5&amp;", dan "&amp;BE5</f>
        <v xml:space="preserve"> sangat baik  dalam memahami konsep berbagai aktifitas kebugaran jasmani untuk mencapai tinggi dan berat badan ideal, dan  cukup baik  dalam memahami konsep variasi dan kombinasi gerak dasar lokomotor,non lokomotor, dan manipulative dalam berbagai permainan dan atau olahraga tradisional bola kecii.</v>
      </c>
      <c r="BG5" s="307" t="str">
        <f>IF(BD5=BE5,BD5," ")</f>
        <v xml:space="preserve"> </v>
      </c>
      <c r="BH5" s="308" t="str">
        <f>IF(BG5=" ",BF5,BG5)</f>
        <v xml:space="preserve"> sangat baik  dalam memahami konsep berbagai aktifitas kebugaran jasmani untuk mencapai tinggi dan berat badan ideal, dan  cukup baik  dalam memahami konsep variasi dan kombinasi gerak dasar lokomotor,non lokomotor, dan manipulative dalam berbagai permainan dan atau olahraga tradisional bola kecii.</v>
      </c>
      <c r="BI5" s="301" t="str">
        <f t="shared" ref="BI5:BI36" si="9">CONCATENATE(D5,BH5)</f>
        <v>Anak 1 sangat baik  dalam memahami konsep berbagai aktifitas kebugaran jasmani untuk mencapai tinggi dan berat badan ideal, dan  cukup baik  dalam memahami konsep variasi dan kombinasi gerak dasar lokomotor,non lokomotor, dan manipulative dalam berbagai permainan dan atau olahraga tradisional bola kecii.</v>
      </c>
      <c r="BK5" s="408">
        <f>IFERROR(AV5,"")</f>
        <v>86</v>
      </c>
      <c r="BL5" s="408">
        <f>COUNTBLANK(BK5:BK54)</f>
        <v>0</v>
      </c>
      <c r="BM5" s="302">
        <f>ROUND((AVERAGE(R5:W5)),0)</f>
        <v>70</v>
      </c>
      <c r="BN5" s="303" t="str">
        <f>IF(BM5&gt;KKM!$G$10,"A",IF(BM5&gt;KKM!$H$10,"B",IF(BM5&gt;=KKM!$I$10,"C","D")))</f>
        <v>C</v>
      </c>
      <c r="BO5" s="523">
        <f>MAX(R5:W5)</f>
        <v>89</v>
      </c>
      <c r="BP5" s="115" t="str">
        <f>IF(BO5&gt;KKM!$G$10," sangat baik ",IF(BO5&gt;KKM!$H$10," baik ",IF(BO5&gt;=KKM!$I$10," cukup baik "," perlu bimbingan ")))</f>
        <v xml:space="preserve"> baik </v>
      </c>
      <c r="BQ5" s="524">
        <f>MIN(R5:W5)</f>
        <v>51</v>
      </c>
      <c r="BR5" s="115" t="str">
        <f>IF(BQ5&gt;KKM!$G$10," sangat baik ",IF(BQ5&gt;KKM!$H$10," baik ",IF(BQ5&gt;=KKM!$I$10," cukup baik "," perlu bimbingan ")))</f>
        <v xml:space="preserve"> perlu bimbingan </v>
      </c>
      <c r="BS5" s="301" t="str">
        <f>IFERROR(BY5," ")</f>
        <v>Anak 1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T5" s="307" t="str">
        <f>BP5&amp;" dalam "&amp;INDEX($AF$3:$AL$3,MATCH(BO5,$R5:$W5,0))</f>
        <v xml:space="preserve"> baik  dalam memahami konsep variasi dan kombinasi pola gerak dasar lokomotorr dan nonlokomotor untuk membentuk gerakan dasar atletik jalan cepat dan lari melalui permainan dan atau olahraga tradisional</v>
      </c>
      <c r="BU5" s="307" t="str">
        <f>BR5&amp;" dalam "&amp;INDEX($AF$3:$AL$3,MATCH(BQ5,$R5:$W5,0))</f>
        <v xml:space="preserve"> perlu bimbingan  dalam memahami konsep variasi dan kombinasi gerak dasar lokomotor,non lokomotor, dan manipulative dalam berbagai permainan dan atau olahraga tradisional bola kecii.</v>
      </c>
      <c r="BV5" s="307" t="str">
        <f>BT5&amp;", dan "&amp;BU5</f>
        <v xml:space="preserve">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W5" s="307" t="str">
        <f>IF(BT5=BU5,BT5," ")</f>
        <v xml:space="preserve"> </v>
      </c>
      <c r="BX5" s="308" t="str">
        <f>IF(BW5=" ",BV5,BW5)</f>
        <v xml:space="preserve">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Y5" s="301" t="str">
        <f>CONCATENATE(D5,BX5)</f>
        <v>Anak 1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row>
    <row r="6" spans="1:77" ht="63" customHeight="1">
      <c r="B6" s="109">
        <v>2</v>
      </c>
      <c r="C6" s="110">
        <f>SISWA!B7</f>
        <v>0</v>
      </c>
      <c r="D6" s="111" t="str">
        <f>SISWA!E7</f>
        <v>Anak 2</v>
      </c>
      <c r="E6" s="631">
        <v>99</v>
      </c>
      <c r="F6" s="613">
        <v>88</v>
      </c>
      <c r="G6" s="613">
        <v>98</v>
      </c>
      <c r="H6" s="613">
        <v>98</v>
      </c>
      <c r="I6" s="613">
        <v>88</v>
      </c>
      <c r="J6" s="613"/>
      <c r="K6" s="731"/>
      <c r="L6" s="731"/>
      <c r="M6" s="731"/>
      <c r="N6" s="731"/>
      <c r="O6" s="731"/>
      <c r="P6" s="730"/>
      <c r="Q6" s="610"/>
      <c r="R6" s="631">
        <v>95.5</v>
      </c>
      <c r="S6" s="631">
        <v>94.5</v>
      </c>
      <c r="T6" s="609"/>
      <c r="U6" s="609"/>
      <c r="V6" s="609"/>
      <c r="W6" s="609"/>
      <c r="X6" s="610"/>
      <c r="Y6" s="613">
        <v>95.5</v>
      </c>
      <c r="Z6" s="613">
        <v>94.5</v>
      </c>
      <c r="AA6" s="613">
        <v>67</v>
      </c>
      <c r="AB6" s="613">
        <v>86</v>
      </c>
      <c r="AC6" s="613">
        <v>66</v>
      </c>
      <c r="AD6" s="613"/>
      <c r="AE6" s="518"/>
      <c r="AF6" s="607">
        <f t="shared" ref="AF6:AF54" si="10">IFERROR(AVERAGE(E6,E6,R6,Y6),"")</f>
        <v>97.25</v>
      </c>
      <c r="AG6" s="607">
        <f t="shared" ref="AG6:AG54" si="11">IFERROR(AVERAGE(F6,F6,S6,Z6),"")</f>
        <v>91.25</v>
      </c>
      <c r="AH6" s="607">
        <f t="shared" ref="AH6:AH54" si="12">IFERROR(AVERAGE(G6,G6,T6,AA6),"")</f>
        <v>87.666666666666671</v>
      </c>
      <c r="AI6" s="607">
        <f t="shared" ref="AI6:AI54" si="13">IFERROR(AVERAGE(H6,H6,U6,AB6),"")</f>
        <v>94</v>
      </c>
      <c r="AJ6" s="607">
        <f t="shared" ref="AJ6:AJ54" si="14">IFERROR(AVERAGE(I6,I6,V6,AC6),"")</f>
        <v>80.666666666666671</v>
      </c>
      <c r="AK6" s="529"/>
      <c r="AL6" s="529"/>
      <c r="AM6" s="529"/>
      <c r="AN6" s="529"/>
      <c r="AO6" s="528"/>
      <c r="AP6" s="528"/>
      <c r="AQ6" s="528"/>
      <c r="AR6" s="528"/>
      <c r="AS6" s="529"/>
      <c r="AT6" s="529"/>
      <c r="AU6" s="528"/>
      <c r="AV6" s="302">
        <f t="shared" ref="AV6:AV54" si="15">ROUND((AVERAGE(AF6:AU6)),0)</f>
        <v>90</v>
      </c>
      <c r="AW6" s="303" t="str">
        <f>IF(AV6&gt;KKM!$G$10,"A",IF(AV6&gt;KKM!$H$10,"B",IF(AV6&gt;=KKM!$I$10,"C","D")))</f>
        <v>B</v>
      </c>
      <c r="AX6" s="304">
        <f t="shared" si="5"/>
        <v>97.25</v>
      </c>
      <c r="AY6" s="115" t="str">
        <f>IF(AX6&gt;KKM!$G$10," sangat baik ",IF(AX6&gt;KKM!$H$10," baik ",IF(AX6&gt;=KKM!$I$10," cukup baik "," perlu bimbingan ")))</f>
        <v xml:space="preserve"> sangat baik </v>
      </c>
      <c r="AZ6" s="305">
        <f t="shared" si="6"/>
        <v>80.666666666666671</v>
      </c>
      <c r="BA6" s="115" t="str">
        <f>IF(AZ6&gt;KKM!$G$10," sangat baik ",IF(AZ6&gt;KKM!$H$10," baik ",IF(AZ6&gt;=KKM!$I$10," cukup baik "," perlu bimbingan ")))</f>
        <v xml:space="preserve"> baik </v>
      </c>
      <c r="BB6" s="301" t="str">
        <f t="shared" ref="BB6:BB54" si="16">IFERROR(BI6," ")</f>
        <v>Anak 2 sangat baik  dalam memahami konsep variasi dan kombinasi pola gerak dasar lokomotorr dan nonlokomotor untuk membentuk gerakan dasar atletik jalan cepat dan lari melalui permainan dan atau olahraga tradisional, dan  baik  dalam mengetahui konsep penggunaan kombinasi pola gerak dasar lokomotor, non-lokomotor dan manipulatif sesuai dengan irama (ketukan) tanpa/denganmusik dalam aktivitas gerak ritmik.</v>
      </c>
      <c r="BC6" s="306"/>
      <c r="BD6" s="307" t="str">
        <f t="shared" si="7"/>
        <v xml:space="preserve"> sangat baik  dalam memahami konsep variasi dan kombinasi pola gerak dasar lokomotorr dan nonlokomotor untuk membentuk gerakan dasar atletik jalan cepat dan lari melalui permainan dan atau olahraga tradisional</v>
      </c>
      <c r="BE6" s="307" t="str">
        <f t="shared" si="8"/>
        <v xml:space="preserve"> baik  dalam mengetahui konsep penggunaan kombinasi pola gerak dasar lokomotor, non-lokomotor dan manipulatif sesuai dengan irama (ketukan) tanpa/denganmusik dalam aktivitas gerak ritmik.</v>
      </c>
      <c r="BF6" s="307" t="str">
        <f t="shared" ref="BF6:BF54" si="17">BD6&amp;", dan "&amp;BE6</f>
        <v xml:space="preserve"> sangat baik  dalam memahami konsep variasi dan kombinasi pola gerak dasar lokomotorr dan nonlokomotor untuk membentuk gerakan dasar atletik jalan cepat dan lari melalui permainan dan atau olahraga tradisional, dan  baik  dalam mengetahui konsep penggunaan kombinasi pola gerak dasar lokomotor, non-lokomotor dan manipulatif sesuai dengan irama (ketukan) tanpa/denganmusik dalam aktivitas gerak ritmik.</v>
      </c>
      <c r="BG6" s="307" t="str">
        <f t="shared" ref="BG6:BG54" si="18">IF(BD6=BE6,BD6," ")</f>
        <v xml:space="preserve"> </v>
      </c>
      <c r="BH6" s="308" t="str">
        <f t="shared" ref="BH6:BH54" si="19">IF(BG6=" ",BF6,BG6)</f>
        <v xml:space="preserve"> sangat baik  dalam memahami konsep variasi dan kombinasi pola gerak dasar lokomotorr dan nonlokomotor untuk membentuk gerakan dasar atletik jalan cepat dan lari melalui permainan dan atau olahraga tradisional, dan  baik  dalam mengetahui konsep penggunaan kombinasi pola gerak dasar lokomotor, non-lokomotor dan manipulatif sesuai dengan irama (ketukan) tanpa/denganmusik dalam aktivitas gerak ritmik.</v>
      </c>
      <c r="BI6" s="301" t="str">
        <f t="shared" si="9"/>
        <v>Anak 2 sangat baik  dalam memahami konsep variasi dan kombinasi pola gerak dasar lokomotorr dan nonlokomotor untuk membentuk gerakan dasar atletik jalan cepat dan lari melalui permainan dan atau olahraga tradisional, dan  baik  dalam mengetahui konsep penggunaan kombinasi pola gerak dasar lokomotor, non-lokomotor dan manipulatif sesuai dengan irama (ketukan) tanpa/denganmusik dalam aktivitas gerak ritmik.</v>
      </c>
      <c r="BK6" s="408">
        <f t="shared" ref="BK6:BK54" si="20">IFERROR(AV6,"")</f>
        <v>90</v>
      </c>
      <c r="BL6" s="442">
        <f>IFERROR(BL3/BL2,"0%")</f>
        <v>1</v>
      </c>
      <c r="BM6" s="302">
        <f t="shared" ref="BM6:BM54" si="21">ROUND((AVERAGE(R6:W6)),0)</f>
        <v>95</v>
      </c>
      <c r="BN6" s="303" t="str">
        <f>IF(BM6&gt;KKM!$G$10,"A",IF(BM6&gt;KKM!$H$10,"B",IF(BM6&gt;=KKM!$I$10,"C","D")))</f>
        <v>A</v>
      </c>
      <c r="BO6" s="523">
        <f t="shared" ref="BO6:BO54" si="22">MAX(R6:W6)</f>
        <v>95.5</v>
      </c>
      <c r="BP6" s="115" t="str">
        <f>IF(BO6&gt;KKM!$G$10," sangat baik ",IF(BO6&gt;KKM!$H$10," baik ",IF(BO6&gt;=KKM!$I$10," cukup baik "," perlu bimbingan ")))</f>
        <v xml:space="preserve"> sangat baik </v>
      </c>
      <c r="BQ6" s="524">
        <f t="shared" ref="BQ6:BQ54" si="23">MIN(R6:W6)</f>
        <v>94.5</v>
      </c>
      <c r="BR6" s="115" t="str">
        <f>IF(BQ6&gt;KKM!$G$10," sangat baik ",IF(BQ6&gt;KKM!$H$10," baik ",IF(BQ6&gt;=KKM!$I$10," cukup baik "," perlu bimbingan ")))</f>
        <v xml:space="preserve"> sangat baik </v>
      </c>
      <c r="BS6" s="301" t="str">
        <f>IFERROR(BY6," ")</f>
        <v>Anak 2 sangat baik  dalam memahami konsep variasi dan kombinasi pola gerak dasar lokomotorr dan nonlokomotor untuk membentuk gerakan dasar atletik jalan cepat dan lari melalui permainan dan atau olahraga tradisional, dan  sangat baik  dalam memahami konsep variasi dan kombinasi gerak dasar lokomotor,non lokomotor, dan manipulative dalam berbagai permainan dan atau olahraga tradisional bola kecii.</v>
      </c>
      <c r="BT6" s="307" t="str">
        <f t="shared" ref="BT6:BT54" si="24">BP6&amp;" dalam "&amp;INDEX($AF$3:$AL$3,MATCH(BO6,$R6:$W6,0))</f>
        <v xml:space="preserve"> sangat baik  dalam memahami konsep variasi dan kombinasi pola gerak dasar lokomotorr dan nonlokomotor untuk membentuk gerakan dasar atletik jalan cepat dan lari melalui permainan dan atau olahraga tradisional</v>
      </c>
      <c r="BU6" s="307" t="str">
        <f t="shared" ref="BU6:BU54" si="25">BR6&amp;" dalam "&amp;INDEX($AF$3:$AL$3,MATCH(BQ6,$R6:$W6,0))</f>
        <v xml:space="preserve"> sangat baik  dalam memahami konsep variasi dan kombinasi gerak dasar lokomotor,non lokomotor, dan manipulative dalam berbagai permainan dan atau olahraga tradisional bola kecii.</v>
      </c>
      <c r="BV6" s="307" t="str">
        <f t="shared" ref="BV6:BV54" si="26">BT6&amp;", dan "&amp;BU6</f>
        <v xml:space="preserve"> sangat baik  dalam memahami konsep variasi dan kombinasi pola gerak dasar lokomotorr dan nonlokomotor untuk membentuk gerakan dasar atletik jalan cepat dan lari melalui permainan dan atau olahraga tradisional, dan  sangat baik  dalam memahami konsep variasi dan kombinasi gerak dasar lokomotor,non lokomotor, dan manipulative dalam berbagai permainan dan atau olahraga tradisional bola kecii.</v>
      </c>
      <c r="BW6" s="307" t="str">
        <f t="shared" ref="BW6:BW54" si="27">IF(BT6=BU6,BT6," ")</f>
        <v xml:space="preserve"> </v>
      </c>
      <c r="BX6" s="308" t="str">
        <f t="shared" ref="BX6:BX54" si="28">IF(BW6=" ",BV6,BW6)</f>
        <v xml:space="preserve"> sangat baik  dalam memahami konsep variasi dan kombinasi pola gerak dasar lokomotorr dan nonlokomotor untuk membentuk gerakan dasar atletik jalan cepat dan lari melalui permainan dan atau olahraga tradisional, dan  sangat baik  dalam memahami konsep variasi dan kombinasi gerak dasar lokomotor,non lokomotor, dan manipulative dalam berbagai permainan dan atau olahraga tradisional bola kecii.</v>
      </c>
      <c r="BY6" s="301" t="str">
        <f t="shared" ref="BY6:BY54" si="29">CONCATENATE(D6,BX6)</f>
        <v>Anak 2 sangat baik  dalam memahami konsep variasi dan kombinasi pola gerak dasar lokomotorr dan nonlokomotor untuk membentuk gerakan dasar atletik jalan cepat dan lari melalui permainan dan atau olahraga tradisional, dan  sangat baik  dalam memahami konsep variasi dan kombinasi gerak dasar lokomotor,non lokomotor, dan manipulative dalam berbagai permainan dan atau olahraga tradisional bola kecii.</v>
      </c>
    </row>
    <row r="7" spans="1:77" ht="63" customHeight="1">
      <c r="B7" s="109">
        <v>3</v>
      </c>
      <c r="C7" s="110">
        <f>SISWA!B8</f>
        <v>0</v>
      </c>
      <c r="D7" s="111" t="str">
        <f>SISWA!E8</f>
        <v>Anak 3</v>
      </c>
      <c r="E7" s="631">
        <v>99</v>
      </c>
      <c r="F7" s="631">
        <v>99</v>
      </c>
      <c r="G7" s="631">
        <v>99</v>
      </c>
      <c r="H7" s="631">
        <v>99</v>
      </c>
      <c r="I7" s="631">
        <v>99</v>
      </c>
      <c r="J7" s="613"/>
      <c r="K7" s="731"/>
      <c r="L7" s="731"/>
      <c r="M7" s="731"/>
      <c r="N7" s="731"/>
      <c r="O7" s="731"/>
      <c r="P7" s="730"/>
      <c r="Q7" s="610"/>
      <c r="R7" s="631">
        <v>94.5</v>
      </c>
      <c r="S7" s="631">
        <v>79</v>
      </c>
      <c r="T7" s="609"/>
      <c r="U7" s="609"/>
      <c r="V7" s="609"/>
      <c r="W7" s="609"/>
      <c r="X7" s="610"/>
      <c r="Y7" s="613">
        <v>94.5</v>
      </c>
      <c r="Z7" s="613">
        <v>79</v>
      </c>
      <c r="AA7" s="613"/>
      <c r="AB7" s="613"/>
      <c r="AC7" s="613"/>
      <c r="AD7" s="613"/>
      <c r="AE7" s="518"/>
      <c r="AF7" s="607">
        <f t="shared" si="10"/>
        <v>96.75</v>
      </c>
      <c r="AG7" s="607">
        <f t="shared" si="11"/>
        <v>89</v>
      </c>
      <c r="AH7" s="607">
        <f t="shared" si="12"/>
        <v>99</v>
      </c>
      <c r="AI7" s="607">
        <f t="shared" si="13"/>
        <v>99</v>
      </c>
      <c r="AJ7" s="607">
        <f t="shared" si="14"/>
        <v>99</v>
      </c>
      <c r="AK7" s="529"/>
      <c r="AL7" s="529"/>
      <c r="AM7" s="529"/>
      <c r="AN7" s="529"/>
      <c r="AO7" s="528"/>
      <c r="AP7" s="528"/>
      <c r="AQ7" s="528"/>
      <c r="AR7" s="528"/>
      <c r="AS7" s="529"/>
      <c r="AT7" s="529"/>
      <c r="AU7" s="528"/>
      <c r="AV7" s="302">
        <f t="shared" si="15"/>
        <v>97</v>
      </c>
      <c r="AW7" s="303" t="str">
        <f>IF(AV7&gt;KKM!$G$10,"A",IF(AV7&gt;KKM!$H$10,"B",IF(AV7&gt;=KKM!$I$10,"C","D")))</f>
        <v>A</v>
      </c>
      <c r="AX7" s="304">
        <f t="shared" si="5"/>
        <v>99</v>
      </c>
      <c r="AY7" s="115" t="str">
        <f>IF(AX7&gt;KKM!$G$10," sangat baik ",IF(AX7&gt;KKM!$H$10," baik ",IF(AX7&gt;=KKM!$I$10," cukup baik "," perlu bimbingan ")))</f>
        <v xml:space="preserve"> sangat baik </v>
      </c>
      <c r="AZ7" s="305">
        <f t="shared" si="6"/>
        <v>89</v>
      </c>
      <c r="BA7" s="115" t="str">
        <f>IF(AZ7&gt;KKM!$G$10," sangat baik ",IF(AZ7&gt;KKM!$H$10," baik ",IF(AZ7&gt;=KKM!$I$10," cukup baik "," perlu bimbingan ")))</f>
        <v xml:space="preserve"> baik </v>
      </c>
      <c r="BB7" s="301" t="str">
        <f t="shared" si="16"/>
        <v>Anak 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7" s="306"/>
      <c r="BD7" s="307" t="str">
        <f t="shared" si="7"/>
        <v xml:space="preserve"> sangat baik  dalam memahami konsep kombinasi pola gerak dasar dominan statis dan dinamis untuk membentuk keterampilan/ teknik dasar senam (seperti: handstand, kayang, meroda, dsb)</v>
      </c>
      <c r="BE7" s="307" t="str">
        <f t="shared" si="8"/>
        <v xml:space="preserve"> baik  dalam memahami konsep variasi dan kombinasi gerak dasar lokomotor,non lokomotor, dan manipulative dalam berbagai permainan dan atau olahraga tradisional bola kecii.</v>
      </c>
      <c r="BF7"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7" s="307" t="str">
        <f t="shared" si="18"/>
        <v xml:space="preserve"> </v>
      </c>
      <c r="BH7"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7" s="301" t="str">
        <f t="shared" si="9"/>
        <v>Anak 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7" s="408">
        <f t="shared" si="20"/>
        <v>97</v>
      </c>
      <c r="BM7" s="302">
        <f t="shared" si="21"/>
        <v>87</v>
      </c>
      <c r="BN7" s="303" t="str">
        <f>IF(BM7&gt;KKM!$G$10,"A",IF(BM7&gt;KKM!$H$10,"B",IF(BM7&gt;=KKM!$I$10,"C","D")))</f>
        <v>B</v>
      </c>
      <c r="BO7" s="523">
        <f t="shared" si="22"/>
        <v>94.5</v>
      </c>
      <c r="BP7" s="115" t="str">
        <f>IF(BO7&gt;KKM!$G$10," sangat baik ",IF(BO7&gt;KKM!$H$10," baik ",IF(BO7&gt;=KKM!$I$10," cukup baik "," perlu bimbingan ")))</f>
        <v xml:space="preserve"> sangat baik </v>
      </c>
      <c r="BQ7" s="524">
        <f t="shared" si="23"/>
        <v>79</v>
      </c>
      <c r="BR7" s="115" t="str">
        <f>IF(BQ7&gt;KKM!$G$10," sangat baik ",IF(BQ7&gt;KKM!$H$10," baik ",IF(BQ7&gt;=KKM!$I$10," cukup baik "," perlu bimbingan ")))</f>
        <v xml:space="preserve"> cukup baik </v>
      </c>
      <c r="BS7" s="301" t="str">
        <f t="shared" ref="BS7:BS54" si="30">IFERROR(BY7," ")</f>
        <v>Anak 3 sangat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7" s="307" t="str">
        <f t="shared" si="24"/>
        <v xml:space="preserve"> sangat baik  dalam memahami konsep variasi dan kombinasi pola gerak dasar lokomotorr dan nonlokomotor untuk membentuk gerakan dasar atletik jalan cepat dan lari melalui permainan dan atau olahraga tradisional</v>
      </c>
      <c r="BU7" s="307" t="str">
        <f t="shared" si="25"/>
        <v xml:space="preserve"> cukup baik  dalam memahami konsep variasi dan kombinasi gerak dasar lokomotor,non lokomotor, dan manipulative dalam berbagai permainan dan atau olahraga tradisional bola kecii.</v>
      </c>
      <c r="BV7" s="307" t="str">
        <f t="shared" si="26"/>
        <v xml:space="preserve"> sangat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7" s="307" t="str">
        <f t="shared" si="27"/>
        <v xml:space="preserve"> </v>
      </c>
      <c r="BX7" s="308" t="str">
        <f t="shared" si="28"/>
        <v xml:space="preserve"> sangat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7" s="301" t="str">
        <f t="shared" si="29"/>
        <v>Anak 3 sangat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8" spans="1:77" ht="63" customHeight="1">
      <c r="B8" s="109">
        <v>4</v>
      </c>
      <c r="C8" s="110">
        <f>SISWA!B9</f>
        <v>0</v>
      </c>
      <c r="D8" s="111" t="str">
        <f>SISWA!E9</f>
        <v>Anak 4</v>
      </c>
      <c r="E8" s="631">
        <v>99</v>
      </c>
      <c r="F8" s="631">
        <v>99</v>
      </c>
      <c r="G8" s="631">
        <v>99</v>
      </c>
      <c r="H8" s="631">
        <v>99</v>
      </c>
      <c r="I8" s="631">
        <v>99</v>
      </c>
      <c r="J8" s="613"/>
      <c r="K8" s="731"/>
      <c r="L8" s="731"/>
      <c r="M8" s="731"/>
      <c r="N8" s="731"/>
      <c r="O8" s="731"/>
      <c r="P8" s="730"/>
      <c r="Q8" s="610"/>
      <c r="R8" s="631">
        <v>79</v>
      </c>
      <c r="S8" s="631">
        <v>79</v>
      </c>
      <c r="T8" s="609"/>
      <c r="U8" s="609"/>
      <c r="V8" s="609"/>
      <c r="W8" s="609"/>
      <c r="X8" s="610"/>
      <c r="Y8" s="613">
        <v>79</v>
      </c>
      <c r="Z8" s="613">
        <v>79</v>
      </c>
      <c r="AA8" s="613"/>
      <c r="AB8" s="613"/>
      <c r="AC8" s="613"/>
      <c r="AD8" s="613"/>
      <c r="AE8" s="518"/>
      <c r="AF8" s="607">
        <f t="shared" si="10"/>
        <v>89</v>
      </c>
      <c r="AG8" s="607">
        <f t="shared" si="11"/>
        <v>89</v>
      </c>
      <c r="AH8" s="607">
        <f t="shared" si="12"/>
        <v>99</v>
      </c>
      <c r="AI8" s="607">
        <f t="shared" si="13"/>
        <v>99</v>
      </c>
      <c r="AJ8" s="607">
        <f t="shared" si="14"/>
        <v>99</v>
      </c>
      <c r="AK8" s="529"/>
      <c r="AL8" s="529"/>
      <c r="AM8" s="529"/>
      <c r="AN8" s="529"/>
      <c r="AO8" s="528"/>
      <c r="AP8" s="528"/>
      <c r="AQ8" s="528"/>
      <c r="AR8" s="528"/>
      <c r="AS8" s="529"/>
      <c r="AT8" s="529"/>
      <c r="AU8" s="528"/>
      <c r="AV8" s="302">
        <f t="shared" si="15"/>
        <v>95</v>
      </c>
      <c r="AW8" s="303" t="str">
        <f>IF(AV8&gt;KKM!$G$10,"A",IF(AV8&gt;KKM!$H$10,"B",IF(AV8&gt;=KKM!$I$10,"C","D")))</f>
        <v>A</v>
      </c>
      <c r="AX8" s="304">
        <f t="shared" si="5"/>
        <v>99</v>
      </c>
      <c r="AY8" s="115" t="str">
        <f>IF(AX8&gt;KKM!$G$10," sangat baik ",IF(AX8&gt;KKM!$H$10," baik ",IF(AX8&gt;=KKM!$I$10," cukup baik "," perlu bimbingan ")))</f>
        <v xml:space="preserve"> sangat baik </v>
      </c>
      <c r="AZ8" s="305">
        <f t="shared" si="6"/>
        <v>89</v>
      </c>
      <c r="BA8" s="115" t="str">
        <f>IF(AZ8&gt;KKM!$G$10," sangat baik ",IF(AZ8&gt;KKM!$H$10," baik ",IF(AZ8&gt;=KKM!$I$10," cukup baik "," perlu bimbingan ")))</f>
        <v xml:space="preserve"> baik </v>
      </c>
      <c r="BB8" s="301" t="str">
        <f t="shared" si="16"/>
        <v>Anak 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8" s="306"/>
      <c r="BD8" s="307" t="str">
        <f t="shared" si="7"/>
        <v xml:space="preserve"> sangat baik  dalam memahami konsep kombinasi pola gerak dasar dominan statis dan dinamis untuk membentuk keterampilan/ teknik dasar senam (seperti: handstand, kayang, meroda, dsb)</v>
      </c>
      <c r="BE8" s="307" t="str">
        <f t="shared" si="8"/>
        <v xml:space="preserve"> baik  dalam memahami konsep variasi dan kombinasi pola gerak dasar lokomotorr dan nonlokomotor untuk membentuk gerakan dasar atletik jalan cepat dan lari melalui permainan dan atau olahraga tradisional</v>
      </c>
      <c r="BF8"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8" s="307" t="str">
        <f t="shared" si="18"/>
        <v xml:space="preserve"> </v>
      </c>
      <c r="BH8"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8" s="301" t="str">
        <f t="shared" si="9"/>
        <v>Anak 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8" s="408">
        <f t="shared" si="20"/>
        <v>95</v>
      </c>
      <c r="BM8" s="302">
        <f t="shared" si="21"/>
        <v>79</v>
      </c>
      <c r="BN8" s="303" t="str">
        <f>IF(BM8&gt;KKM!$G$10,"A",IF(BM8&gt;KKM!$H$10,"B",IF(BM8&gt;=KKM!$I$10,"C","D")))</f>
        <v>C</v>
      </c>
      <c r="BO8" s="523">
        <f t="shared" si="22"/>
        <v>79</v>
      </c>
      <c r="BP8" s="115" t="str">
        <f>IF(BO8&gt;KKM!$G$10," sangat baik ",IF(BO8&gt;KKM!$H$10," baik ",IF(BO8&gt;=KKM!$I$10," cukup baik "," perlu bimbingan ")))</f>
        <v xml:space="preserve"> cukup baik </v>
      </c>
      <c r="BQ8" s="524">
        <f t="shared" si="23"/>
        <v>79</v>
      </c>
      <c r="BR8" s="115" t="str">
        <f>IF(BQ8&gt;KKM!$G$10," sangat baik ",IF(BQ8&gt;KKM!$H$10," baik ",IF(BQ8&gt;=KKM!$I$10," cukup baik "," perlu bimbingan ")))</f>
        <v xml:space="preserve"> cukup baik </v>
      </c>
      <c r="BS8" s="301" t="str">
        <f t="shared" si="30"/>
        <v>Anak 4 cukup baik  dalam memahami konsep variasi dan kombinasi pola gerak dasar lokomotorr dan nonlokomotor untuk membentuk gerakan dasar atletik jalan cepat dan lari melalui permainan dan atau olahraga tradisional</v>
      </c>
      <c r="BT8" s="307" t="str">
        <f t="shared" si="24"/>
        <v xml:space="preserve"> cukup baik  dalam memahami konsep variasi dan kombinasi pola gerak dasar lokomotorr dan nonlokomotor untuk membentuk gerakan dasar atletik jalan cepat dan lari melalui permainan dan atau olahraga tradisional</v>
      </c>
      <c r="BU8" s="307" t="str">
        <f t="shared" si="25"/>
        <v xml:space="preserve"> cukup baik  dalam memahami konsep variasi dan kombinasi pola gerak dasar lokomotorr dan nonlokomotor untuk membentuk gerakan dasar atletik jalan cepat dan lari melalui permainan dan atau olahraga tradisional</v>
      </c>
      <c r="BV8"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pola gerak dasar lokomotorr dan nonlokomotor untuk membentuk gerakan dasar atletik jalan cepat dan lari melalui permainan dan atau olahraga tradisional</v>
      </c>
      <c r="BW8" s="307" t="str">
        <f t="shared" si="27"/>
        <v xml:space="preserve"> cukup baik  dalam memahami konsep variasi dan kombinasi pola gerak dasar lokomotorr dan nonlokomotor untuk membentuk gerakan dasar atletik jalan cepat dan lari melalui permainan dan atau olahraga tradisional</v>
      </c>
      <c r="BX8" s="308" t="str">
        <f t="shared" si="28"/>
        <v xml:space="preserve"> cukup baik  dalam memahami konsep variasi dan kombinasi pola gerak dasar lokomotorr dan nonlokomotor untuk membentuk gerakan dasar atletik jalan cepat dan lari melalui permainan dan atau olahraga tradisional</v>
      </c>
      <c r="BY8" s="301" t="str">
        <f t="shared" si="29"/>
        <v>Anak 4 cukup baik  dalam memahami konsep variasi dan kombinasi pola gerak dasar lokomotorr dan nonlokomotor untuk membentuk gerakan dasar atletik jalan cepat dan lari melalui permainan dan atau olahraga tradisional</v>
      </c>
    </row>
    <row r="9" spans="1:77" ht="63" customHeight="1">
      <c r="B9" s="109">
        <v>5</v>
      </c>
      <c r="C9" s="110">
        <f>SISWA!B10</f>
        <v>0</v>
      </c>
      <c r="D9" s="111" t="str">
        <f>SISWA!E10</f>
        <v>Anak 5</v>
      </c>
      <c r="E9" s="631">
        <v>99</v>
      </c>
      <c r="F9" s="631">
        <v>99</v>
      </c>
      <c r="G9" s="631">
        <v>99</v>
      </c>
      <c r="H9" s="631">
        <v>99</v>
      </c>
      <c r="I9" s="631">
        <v>99</v>
      </c>
      <c r="J9" s="613"/>
      <c r="K9" s="731"/>
      <c r="L9" s="731"/>
      <c r="M9" s="731"/>
      <c r="N9" s="731"/>
      <c r="O9" s="731"/>
      <c r="P9" s="730"/>
      <c r="Q9" s="610"/>
      <c r="R9" s="631">
        <v>79</v>
      </c>
      <c r="S9" s="631">
        <v>79</v>
      </c>
      <c r="T9" s="609"/>
      <c r="U9" s="609"/>
      <c r="V9" s="609"/>
      <c r="W9" s="609"/>
      <c r="X9" s="610"/>
      <c r="Y9" s="613">
        <v>79</v>
      </c>
      <c r="Z9" s="613">
        <v>79</v>
      </c>
      <c r="AA9" s="613"/>
      <c r="AB9" s="613"/>
      <c r="AC9" s="613"/>
      <c r="AD9" s="613"/>
      <c r="AE9" s="518"/>
      <c r="AF9" s="607">
        <f t="shared" si="10"/>
        <v>89</v>
      </c>
      <c r="AG9" s="607">
        <f t="shared" si="11"/>
        <v>89</v>
      </c>
      <c r="AH9" s="607">
        <f t="shared" si="12"/>
        <v>99</v>
      </c>
      <c r="AI9" s="607">
        <f t="shared" si="13"/>
        <v>99</v>
      </c>
      <c r="AJ9" s="607">
        <f t="shared" si="14"/>
        <v>99</v>
      </c>
      <c r="AK9" s="529"/>
      <c r="AL9" s="529"/>
      <c r="AM9" s="529"/>
      <c r="AN9" s="529"/>
      <c r="AO9" s="528"/>
      <c r="AP9" s="528"/>
      <c r="AQ9" s="528"/>
      <c r="AR9" s="528"/>
      <c r="AS9" s="529"/>
      <c r="AT9" s="529"/>
      <c r="AU9" s="528"/>
      <c r="AV9" s="302">
        <f t="shared" si="15"/>
        <v>95</v>
      </c>
      <c r="AW9" s="303" t="str">
        <f>IF(AV9&gt;KKM!$G$10,"A",IF(AV9&gt;KKM!$H$10,"B",IF(AV9&gt;=KKM!$I$10,"C","D")))</f>
        <v>A</v>
      </c>
      <c r="AX9" s="304">
        <f t="shared" si="5"/>
        <v>99</v>
      </c>
      <c r="AY9" s="115" t="str">
        <f>IF(AX9&gt;KKM!$G$10," sangat baik ",IF(AX9&gt;KKM!$H$10," baik ",IF(AX9&gt;=KKM!$I$10," cukup baik "," perlu bimbingan ")))</f>
        <v xml:space="preserve"> sangat baik </v>
      </c>
      <c r="AZ9" s="305">
        <f t="shared" si="6"/>
        <v>89</v>
      </c>
      <c r="BA9" s="115" t="str">
        <f>IF(AZ9&gt;KKM!$G$10," sangat baik ",IF(AZ9&gt;KKM!$H$10," baik ",IF(AZ9&gt;=KKM!$I$10," cukup baik "," perlu bimbingan ")))</f>
        <v xml:space="preserve"> baik </v>
      </c>
      <c r="BB9" s="301" t="str">
        <f t="shared" si="16"/>
        <v>Anak 5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9" s="306"/>
      <c r="BD9" s="307" t="str">
        <f t="shared" si="7"/>
        <v xml:space="preserve"> sangat baik  dalam memahami konsep kombinasi pola gerak dasar dominan statis dan dinamis untuk membentuk keterampilan/ teknik dasar senam (seperti: handstand, kayang, meroda, dsb)</v>
      </c>
      <c r="BE9" s="307" t="str">
        <f t="shared" si="8"/>
        <v xml:space="preserve"> baik  dalam memahami konsep variasi dan kombinasi pola gerak dasar lokomotorr dan nonlokomotor untuk membentuk gerakan dasar atletik jalan cepat dan lari melalui permainan dan atau olahraga tradisional</v>
      </c>
      <c r="BF9"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9" s="307" t="str">
        <f t="shared" si="18"/>
        <v xml:space="preserve"> </v>
      </c>
      <c r="BH9"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9" s="301" t="str">
        <f t="shared" si="9"/>
        <v>Anak 5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9" s="408">
        <f t="shared" si="20"/>
        <v>95</v>
      </c>
      <c r="BM9" s="302">
        <f t="shared" si="21"/>
        <v>79</v>
      </c>
      <c r="BN9" s="303" t="str">
        <f>IF(BM9&gt;KKM!$G$10,"A",IF(BM9&gt;KKM!$H$10,"B",IF(BM9&gt;=KKM!$I$10,"C","D")))</f>
        <v>C</v>
      </c>
      <c r="BO9" s="523">
        <f t="shared" si="22"/>
        <v>79</v>
      </c>
      <c r="BP9" s="115" t="str">
        <f>IF(BO9&gt;KKM!$G$10," sangat baik ",IF(BO9&gt;KKM!$H$10," baik ",IF(BO9&gt;=KKM!$I$10," cukup baik "," perlu bimbingan ")))</f>
        <v xml:space="preserve"> cukup baik </v>
      </c>
      <c r="BQ9" s="524">
        <f t="shared" si="23"/>
        <v>79</v>
      </c>
      <c r="BR9" s="115" t="str">
        <f>IF(BQ9&gt;KKM!$G$10," sangat baik ",IF(BQ9&gt;KKM!$H$10," baik ",IF(BQ9&gt;=KKM!$I$10," cukup baik "," perlu bimbingan ")))</f>
        <v xml:space="preserve"> cukup baik </v>
      </c>
      <c r="BS9" s="301" t="str">
        <f t="shared" si="30"/>
        <v>Anak 5 cukup baik  dalam memahami konsep variasi dan kombinasi pola gerak dasar lokomotorr dan nonlokomotor untuk membentuk gerakan dasar atletik jalan cepat dan lari melalui permainan dan atau olahraga tradisional</v>
      </c>
      <c r="BT9" s="307" t="str">
        <f t="shared" si="24"/>
        <v xml:space="preserve"> cukup baik  dalam memahami konsep variasi dan kombinasi pola gerak dasar lokomotorr dan nonlokomotor untuk membentuk gerakan dasar atletik jalan cepat dan lari melalui permainan dan atau olahraga tradisional</v>
      </c>
      <c r="BU9" s="307" t="str">
        <f t="shared" si="25"/>
        <v xml:space="preserve"> cukup baik  dalam memahami konsep variasi dan kombinasi pola gerak dasar lokomotorr dan nonlokomotor untuk membentuk gerakan dasar atletik jalan cepat dan lari melalui permainan dan atau olahraga tradisional</v>
      </c>
      <c r="BV9"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pola gerak dasar lokomotorr dan nonlokomotor untuk membentuk gerakan dasar atletik jalan cepat dan lari melalui permainan dan atau olahraga tradisional</v>
      </c>
      <c r="BW9" s="307" t="str">
        <f t="shared" si="27"/>
        <v xml:space="preserve"> cukup baik  dalam memahami konsep variasi dan kombinasi pola gerak dasar lokomotorr dan nonlokomotor untuk membentuk gerakan dasar atletik jalan cepat dan lari melalui permainan dan atau olahraga tradisional</v>
      </c>
      <c r="BX9" s="308" t="str">
        <f t="shared" si="28"/>
        <v xml:space="preserve"> cukup baik  dalam memahami konsep variasi dan kombinasi pola gerak dasar lokomotorr dan nonlokomotor untuk membentuk gerakan dasar atletik jalan cepat dan lari melalui permainan dan atau olahraga tradisional</v>
      </c>
      <c r="BY9" s="301" t="str">
        <f t="shared" si="29"/>
        <v>Anak 5 cukup baik  dalam memahami konsep variasi dan kombinasi pola gerak dasar lokomotorr dan nonlokomotor untuk membentuk gerakan dasar atletik jalan cepat dan lari melalui permainan dan atau olahraga tradisional</v>
      </c>
    </row>
    <row r="10" spans="1:77" ht="63" customHeight="1">
      <c r="B10" s="109">
        <v>6</v>
      </c>
      <c r="C10" s="110">
        <f>SISWA!B11</f>
        <v>0</v>
      </c>
      <c r="D10" s="111" t="str">
        <f>SISWA!E11</f>
        <v>Anak 6</v>
      </c>
      <c r="E10" s="631">
        <v>99</v>
      </c>
      <c r="F10" s="631">
        <v>99</v>
      </c>
      <c r="G10" s="631">
        <v>99</v>
      </c>
      <c r="H10" s="631">
        <v>99</v>
      </c>
      <c r="I10" s="631">
        <v>99</v>
      </c>
      <c r="J10" s="613"/>
      <c r="K10" s="731"/>
      <c r="L10" s="731"/>
      <c r="M10" s="731"/>
      <c r="N10" s="731"/>
      <c r="O10" s="731"/>
      <c r="P10" s="730"/>
      <c r="Q10" s="610"/>
      <c r="R10" s="631">
        <v>79</v>
      </c>
      <c r="S10" s="631">
        <v>68.5</v>
      </c>
      <c r="T10" s="609"/>
      <c r="U10" s="609"/>
      <c r="V10" s="609"/>
      <c r="W10" s="609"/>
      <c r="X10" s="610"/>
      <c r="Y10" s="613">
        <v>79</v>
      </c>
      <c r="Z10" s="613">
        <v>68.5</v>
      </c>
      <c r="AA10" s="613"/>
      <c r="AB10" s="613"/>
      <c r="AC10" s="613"/>
      <c r="AD10" s="613"/>
      <c r="AE10" s="518"/>
      <c r="AF10" s="607">
        <f t="shared" si="10"/>
        <v>89</v>
      </c>
      <c r="AG10" s="607">
        <f t="shared" si="11"/>
        <v>83.75</v>
      </c>
      <c r="AH10" s="607">
        <f t="shared" si="12"/>
        <v>99</v>
      </c>
      <c r="AI10" s="607">
        <f t="shared" si="13"/>
        <v>99</v>
      </c>
      <c r="AJ10" s="607">
        <f t="shared" si="14"/>
        <v>99</v>
      </c>
      <c r="AK10" s="529"/>
      <c r="AL10" s="529"/>
      <c r="AM10" s="529"/>
      <c r="AN10" s="529"/>
      <c r="AO10" s="528"/>
      <c r="AP10" s="528"/>
      <c r="AQ10" s="528"/>
      <c r="AR10" s="528"/>
      <c r="AS10" s="529"/>
      <c r="AT10" s="529"/>
      <c r="AU10" s="528"/>
      <c r="AV10" s="302">
        <f t="shared" si="15"/>
        <v>94</v>
      </c>
      <c r="AW10" s="303" t="str">
        <f>IF(AV10&gt;KKM!$G$10,"A",IF(AV10&gt;KKM!$H$10,"B",IF(AV10&gt;=KKM!$I$10,"C","D")))</f>
        <v>A</v>
      </c>
      <c r="AX10" s="304">
        <f t="shared" si="5"/>
        <v>99</v>
      </c>
      <c r="AY10" s="115" t="str">
        <f>IF(AX10&gt;KKM!$G$10," sangat baik ",IF(AX10&gt;KKM!$H$10," baik ",IF(AX10&gt;=KKM!$I$10," cukup baik "," perlu bimbingan ")))</f>
        <v xml:space="preserve"> sangat baik </v>
      </c>
      <c r="AZ10" s="305">
        <f t="shared" si="6"/>
        <v>83.75</v>
      </c>
      <c r="BA10" s="115" t="str">
        <f>IF(AZ10&gt;KKM!$G$10," sangat baik ",IF(AZ10&gt;KKM!$H$10," baik ",IF(AZ10&gt;=KKM!$I$10," cukup baik "," perlu bimbingan ")))</f>
        <v xml:space="preserve"> baik </v>
      </c>
      <c r="BB10" s="301" t="str">
        <f t="shared" si="16"/>
        <v>Anak 6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10" s="306"/>
      <c r="BD10" s="307" t="str">
        <f t="shared" si="7"/>
        <v xml:space="preserve"> sangat baik  dalam memahami konsep kombinasi pola gerak dasar dominan statis dan dinamis untuk membentuk keterampilan/ teknik dasar senam (seperti: handstand, kayang, meroda, dsb)</v>
      </c>
      <c r="BE10" s="307" t="str">
        <f t="shared" si="8"/>
        <v xml:space="preserve"> baik  dalam memahami konsep variasi dan kombinasi gerak dasar lokomotor,non lokomotor, dan manipulative dalam berbagai permainan dan atau olahraga tradisional bola kecii.</v>
      </c>
      <c r="BF10"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10" s="307" t="str">
        <f t="shared" si="18"/>
        <v xml:space="preserve"> </v>
      </c>
      <c r="BH10"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10" s="301" t="str">
        <f t="shared" si="9"/>
        <v>Anak 6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10" s="408">
        <f t="shared" si="20"/>
        <v>94</v>
      </c>
      <c r="BM10" s="302">
        <f t="shared" si="21"/>
        <v>74</v>
      </c>
      <c r="BN10" s="303" t="str">
        <f>IF(BM10&gt;KKM!$G$10,"A",IF(BM10&gt;KKM!$H$10,"B",IF(BM10&gt;=KKM!$I$10,"C","D")))</f>
        <v>C</v>
      </c>
      <c r="BO10" s="523">
        <f t="shared" si="22"/>
        <v>79</v>
      </c>
      <c r="BP10" s="115" t="str">
        <f>IF(BO10&gt;KKM!$G$10," sangat baik ",IF(BO10&gt;KKM!$H$10," baik ",IF(BO10&gt;=KKM!$I$10," cukup baik "," perlu bimbingan ")))</f>
        <v xml:space="preserve"> cukup baik </v>
      </c>
      <c r="BQ10" s="524">
        <f t="shared" si="23"/>
        <v>68.5</v>
      </c>
      <c r="BR10" s="115" t="str">
        <f>IF(BQ10&gt;KKM!$G$10," sangat baik ",IF(BQ10&gt;KKM!$H$10," baik ",IF(BQ10&gt;=KKM!$I$10," cukup baik "," perlu bimbingan ")))</f>
        <v xml:space="preserve"> perlu bimbingan </v>
      </c>
      <c r="BS10" s="301" t="str">
        <f t="shared" si="30"/>
        <v>Anak 6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T10" s="307" t="str">
        <f t="shared" si="24"/>
        <v xml:space="preserve"> cukup baik  dalam memahami konsep variasi dan kombinasi pola gerak dasar lokomotorr dan nonlokomotor untuk membentuk gerakan dasar atletik jalan cepat dan lari melalui permainan dan atau olahraga tradisional</v>
      </c>
      <c r="BU10" s="307" t="str">
        <f t="shared" si="25"/>
        <v xml:space="preserve"> perlu bimbingan  dalam memahami konsep variasi dan kombinasi gerak dasar lokomotor,non lokomotor, dan manipulative dalam berbagai permainan dan atau olahraga tradisional bola kecii.</v>
      </c>
      <c r="BV10" s="307" t="str">
        <f t="shared" si="26"/>
        <v xml:space="preserve">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W10" s="307" t="str">
        <f t="shared" si="27"/>
        <v xml:space="preserve"> </v>
      </c>
      <c r="BX10" s="308" t="str">
        <f t="shared" si="28"/>
        <v xml:space="preserve">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Y10" s="301" t="str">
        <f t="shared" si="29"/>
        <v>Anak 6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row>
    <row r="11" spans="1:77" ht="63" customHeight="1">
      <c r="B11" s="109">
        <v>7</v>
      </c>
      <c r="C11" s="110">
        <f>SISWA!B12</f>
        <v>0</v>
      </c>
      <c r="D11" s="111" t="str">
        <f>SISWA!E12</f>
        <v>Anak 7</v>
      </c>
      <c r="E11" s="631">
        <v>99</v>
      </c>
      <c r="F11" s="631">
        <v>99</v>
      </c>
      <c r="G11" s="631">
        <v>99</v>
      </c>
      <c r="H11" s="631">
        <v>99</v>
      </c>
      <c r="I11" s="631">
        <v>99</v>
      </c>
      <c r="J11" s="613"/>
      <c r="K11" s="731"/>
      <c r="L11" s="731"/>
      <c r="M11" s="731"/>
      <c r="N11" s="731"/>
      <c r="O11" s="731"/>
      <c r="P11" s="730"/>
      <c r="Q11" s="610"/>
      <c r="R11" s="631">
        <v>68.5</v>
      </c>
      <c r="S11" s="631">
        <v>69.5</v>
      </c>
      <c r="T11" s="609"/>
      <c r="U11" s="609"/>
      <c r="V11" s="609"/>
      <c r="W11" s="609"/>
      <c r="X11" s="610"/>
      <c r="Y11" s="613">
        <v>68.5</v>
      </c>
      <c r="Z11" s="613">
        <v>69.5</v>
      </c>
      <c r="AA11" s="613"/>
      <c r="AB11" s="613"/>
      <c r="AC11" s="613"/>
      <c r="AD11" s="613"/>
      <c r="AE11" s="518"/>
      <c r="AF11" s="607">
        <f t="shared" si="10"/>
        <v>83.75</v>
      </c>
      <c r="AG11" s="607">
        <f t="shared" si="11"/>
        <v>84.25</v>
      </c>
      <c r="AH11" s="607">
        <f t="shared" si="12"/>
        <v>99</v>
      </c>
      <c r="AI11" s="607">
        <f t="shared" si="13"/>
        <v>99</v>
      </c>
      <c r="AJ11" s="607">
        <f t="shared" si="14"/>
        <v>99</v>
      </c>
      <c r="AK11" s="529"/>
      <c r="AL11" s="529"/>
      <c r="AM11" s="529"/>
      <c r="AN11" s="529"/>
      <c r="AO11" s="528"/>
      <c r="AP11" s="528"/>
      <c r="AQ11" s="528"/>
      <c r="AR11" s="528"/>
      <c r="AS11" s="529"/>
      <c r="AT11" s="529"/>
      <c r="AU11" s="528"/>
      <c r="AV11" s="302">
        <f t="shared" si="15"/>
        <v>93</v>
      </c>
      <c r="AW11" s="303" t="str">
        <f>IF(AV11&gt;KKM!$G$10,"A",IF(AV11&gt;KKM!$H$10,"B",IF(AV11&gt;=KKM!$I$10,"C","D")))</f>
        <v>A</v>
      </c>
      <c r="AX11" s="304">
        <f t="shared" si="5"/>
        <v>99</v>
      </c>
      <c r="AY11" s="115" t="str">
        <f>IF(AX11&gt;KKM!$G$10," sangat baik ",IF(AX11&gt;KKM!$H$10," baik ",IF(AX11&gt;=KKM!$I$10," cukup baik "," perlu bimbingan ")))</f>
        <v xml:space="preserve"> sangat baik </v>
      </c>
      <c r="AZ11" s="305">
        <f t="shared" si="6"/>
        <v>83.75</v>
      </c>
      <c r="BA11" s="115" t="str">
        <f>IF(AZ11&gt;KKM!$G$10," sangat baik ",IF(AZ11&gt;KKM!$H$10," baik ",IF(AZ11&gt;=KKM!$I$10," cukup baik "," perlu bimbingan ")))</f>
        <v xml:space="preserve"> baik </v>
      </c>
      <c r="BB11" s="301" t="str">
        <f t="shared" si="16"/>
        <v>Anak 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11" s="306"/>
      <c r="BD11" s="307" t="str">
        <f t="shared" si="7"/>
        <v xml:space="preserve"> sangat baik  dalam memahami konsep kombinasi pola gerak dasar dominan statis dan dinamis untuk membentuk keterampilan/ teknik dasar senam (seperti: handstand, kayang, meroda, dsb)</v>
      </c>
      <c r="BE11" s="307" t="str">
        <f t="shared" si="8"/>
        <v xml:space="preserve"> baik  dalam memahami konsep variasi dan kombinasi pola gerak dasar lokomotorr dan nonlokomotor untuk membentuk gerakan dasar atletik jalan cepat dan lari melalui permainan dan atau olahraga tradisional</v>
      </c>
      <c r="BF11"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11" s="307" t="str">
        <f t="shared" si="18"/>
        <v xml:space="preserve"> </v>
      </c>
      <c r="BH11"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11" s="301" t="str">
        <f t="shared" si="9"/>
        <v>Anak 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11" s="408">
        <f t="shared" si="20"/>
        <v>93</v>
      </c>
      <c r="BM11" s="302">
        <f t="shared" si="21"/>
        <v>69</v>
      </c>
      <c r="BN11" s="303" t="str">
        <f>IF(BM11&gt;KKM!$G$10,"A",IF(BM11&gt;KKM!$H$10,"B",IF(BM11&gt;=KKM!$I$10,"C","D")))</f>
        <v>D</v>
      </c>
      <c r="BO11" s="523">
        <f t="shared" si="22"/>
        <v>69.5</v>
      </c>
      <c r="BP11" s="115" t="str">
        <f>IF(BO11&gt;KKM!$G$10," sangat baik ",IF(BO11&gt;KKM!$H$10," baik ",IF(BO11&gt;=KKM!$I$10," cukup baik "," perlu bimbingan ")))</f>
        <v xml:space="preserve"> perlu bimbingan </v>
      </c>
      <c r="BQ11" s="524">
        <f t="shared" si="23"/>
        <v>68.5</v>
      </c>
      <c r="BR11" s="115" t="str">
        <f>IF(BQ11&gt;KKM!$G$10," sangat baik ",IF(BQ11&gt;KKM!$H$10," baik ",IF(BQ11&gt;=KKM!$I$10," cukup baik "," perlu bimbingan ")))</f>
        <v xml:space="preserve"> perlu bimbingan </v>
      </c>
      <c r="BS11" s="301" t="str">
        <f t="shared" si="30"/>
        <v>Anak 7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T11" s="307" t="str">
        <f t="shared" si="24"/>
        <v xml:space="preserve"> perlu bimbingan  dalam memahami konsep variasi dan kombinasi gerak dasar lokomotor,non lokomotor, dan manipulative dalam berbagai permainan dan atau olahraga tradisional bola kecii.</v>
      </c>
      <c r="BU11" s="307" t="str">
        <f t="shared" si="25"/>
        <v xml:space="preserve"> perlu bimbingan  dalam memahami konsep variasi dan kombinasi pola gerak dasar lokomotorr dan nonlokomotor untuk membentuk gerakan dasar atletik jalan cepat dan lari melalui permainan dan atau olahraga tradisional</v>
      </c>
      <c r="BV11" s="307" t="str">
        <f t="shared" si="26"/>
        <v xml:space="preserve">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W11" s="307" t="str">
        <f t="shared" si="27"/>
        <v xml:space="preserve"> </v>
      </c>
      <c r="BX11" s="308" t="str">
        <f t="shared" si="28"/>
        <v xml:space="preserve">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Y11" s="301" t="str">
        <f t="shared" si="29"/>
        <v>Anak 7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row>
    <row r="12" spans="1:77" ht="63" customHeight="1">
      <c r="B12" s="109">
        <v>8</v>
      </c>
      <c r="C12" s="110">
        <f>SISWA!B13</f>
        <v>0</v>
      </c>
      <c r="D12" s="111" t="str">
        <f>SISWA!E13</f>
        <v>Anak 8</v>
      </c>
      <c r="E12" s="631">
        <v>99</v>
      </c>
      <c r="F12" s="631">
        <v>99</v>
      </c>
      <c r="G12" s="631">
        <v>99</v>
      </c>
      <c r="H12" s="631">
        <v>99</v>
      </c>
      <c r="I12" s="631">
        <v>99</v>
      </c>
      <c r="J12" s="613"/>
      <c r="K12" s="731"/>
      <c r="L12" s="731"/>
      <c r="M12" s="731"/>
      <c r="N12" s="731"/>
      <c r="O12" s="731"/>
      <c r="P12" s="730"/>
      <c r="Q12" s="610"/>
      <c r="R12" s="631">
        <v>69.5</v>
      </c>
      <c r="S12" s="631">
        <v>80</v>
      </c>
      <c r="T12" s="609"/>
      <c r="U12" s="609"/>
      <c r="V12" s="609"/>
      <c r="W12" s="609"/>
      <c r="X12" s="610"/>
      <c r="Y12" s="613">
        <v>69.5</v>
      </c>
      <c r="Z12" s="613">
        <v>80</v>
      </c>
      <c r="AA12" s="613"/>
      <c r="AB12" s="613"/>
      <c r="AC12" s="613"/>
      <c r="AD12" s="613"/>
      <c r="AE12" s="518"/>
      <c r="AF12" s="607">
        <f t="shared" si="10"/>
        <v>84.25</v>
      </c>
      <c r="AG12" s="607">
        <f t="shared" si="11"/>
        <v>89.5</v>
      </c>
      <c r="AH12" s="607">
        <f t="shared" si="12"/>
        <v>99</v>
      </c>
      <c r="AI12" s="607">
        <f t="shared" si="13"/>
        <v>99</v>
      </c>
      <c r="AJ12" s="607">
        <f t="shared" si="14"/>
        <v>99</v>
      </c>
      <c r="AK12" s="529"/>
      <c r="AL12" s="529"/>
      <c r="AM12" s="529"/>
      <c r="AN12" s="529"/>
      <c r="AO12" s="528"/>
      <c r="AP12" s="528"/>
      <c r="AQ12" s="528"/>
      <c r="AR12" s="528"/>
      <c r="AS12" s="529"/>
      <c r="AT12" s="529"/>
      <c r="AU12" s="528"/>
      <c r="AV12" s="302">
        <f t="shared" si="15"/>
        <v>94</v>
      </c>
      <c r="AW12" s="303" t="str">
        <f>IF(AV12&gt;KKM!$G$10,"A",IF(AV12&gt;KKM!$H$10,"B",IF(AV12&gt;=KKM!$I$10,"C","D")))</f>
        <v>A</v>
      </c>
      <c r="AX12" s="304">
        <f t="shared" si="5"/>
        <v>99</v>
      </c>
      <c r="AY12" s="115" t="str">
        <f>IF(AX12&gt;KKM!$G$10," sangat baik ",IF(AX12&gt;KKM!$H$10," baik ",IF(AX12&gt;=KKM!$I$10," cukup baik "," perlu bimbingan ")))</f>
        <v xml:space="preserve"> sangat baik </v>
      </c>
      <c r="AZ12" s="305">
        <f t="shared" si="6"/>
        <v>84.25</v>
      </c>
      <c r="BA12" s="115" t="str">
        <f>IF(AZ12&gt;KKM!$G$10," sangat baik ",IF(AZ12&gt;KKM!$H$10," baik ",IF(AZ12&gt;=KKM!$I$10," cukup baik "," perlu bimbingan ")))</f>
        <v xml:space="preserve"> baik </v>
      </c>
      <c r="BB12" s="301" t="str">
        <f t="shared" si="16"/>
        <v>Anak 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12" s="306"/>
      <c r="BD12" s="307" t="str">
        <f t="shared" si="7"/>
        <v xml:space="preserve"> sangat baik  dalam memahami konsep kombinasi pola gerak dasar dominan statis dan dinamis untuk membentuk keterampilan/ teknik dasar senam (seperti: handstand, kayang, meroda, dsb)</v>
      </c>
      <c r="BE12" s="307" t="str">
        <f t="shared" si="8"/>
        <v xml:space="preserve"> baik  dalam memahami konsep variasi dan kombinasi pola gerak dasar lokomotorr dan nonlokomotor untuk membentuk gerakan dasar atletik jalan cepat dan lari melalui permainan dan atau olahraga tradisional</v>
      </c>
      <c r="BF12"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12" s="307" t="str">
        <f t="shared" si="18"/>
        <v xml:space="preserve"> </v>
      </c>
      <c r="BH12"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12" s="301" t="str">
        <f t="shared" si="9"/>
        <v>Anak 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12" s="408">
        <f t="shared" si="20"/>
        <v>94</v>
      </c>
      <c r="BM12" s="302">
        <f t="shared" si="21"/>
        <v>75</v>
      </c>
      <c r="BN12" s="303" t="str">
        <f>IF(BM12&gt;KKM!$G$10,"A",IF(BM12&gt;KKM!$H$10,"B",IF(BM12&gt;=KKM!$I$10,"C","D")))</f>
        <v>C</v>
      </c>
      <c r="BO12" s="523">
        <f t="shared" si="22"/>
        <v>80</v>
      </c>
      <c r="BP12" s="115" t="str">
        <f>IF(BO12&gt;KKM!$G$10," sangat baik ",IF(BO12&gt;KKM!$H$10," baik ",IF(BO12&gt;=KKM!$I$10," cukup baik "," perlu bimbingan ")))</f>
        <v xml:space="preserve"> cukup baik </v>
      </c>
      <c r="BQ12" s="524">
        <f t="shared" si="23"/>
        <v>69.5</v>
      </c>
      <c r="BR12" s="115" t="str">
        <f>IF(BQ12&gt;KKM!$G$10," sangat baik ",IF(BQ12&gt;KKM!$H$10," baik ",IF(BQ12&gt;=KKM!$I$10," cukup baik "," perlu bimbingan ")))</f>
        <v xml:space="preserve"> perlu bimbingan </v>
      </c>
      <c r="BS12" s="301" t="str">
        <f t="shared" si="30"/>
        <v>Anak 8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T12" s="307" t="str">
        <f t="shared" si="24"/>
        <v xml:space="preserve"> cukup baik  dalam memahami konsep variasi dan kombinasi gerak dasar lokomotor,non lokomotor, dan manipulative dalam berbagai permainan dan atau olahraga tradisional bola kecii.</v>
      </c>
      <c r="BU12" s="307" t="str">
        <f t="shared" si="25"/>
        <v xml:space="preserve"> perlu bimbingan  dalam memahami konsep variasi dan kombinasi pola gerak dasar lokomotorr dan nonlokomotor untuk membentuk gerakan dasar atletik jalan cepat dan lari melalui permainan dan atau olahraga tradisional</v>
      </c>
      <c r="BV12" s="307" t="str">
        <f t="shared" si="26"/>
        <v xml:space="preserve">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W12" s="307" t="str">
        <f t="shared" si="27"/>
        <v xml:space="preserve"> </v>
      </c>
      <c r="BX12" s="308" t="str">
        <f t="shared" si="28"/>
        <v xml:space="preserve">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Y12" s="301" t="str">
        <f t="shared" si="29"/>
        <v>Anak 8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row>
    <row r="13" spans="1:77" ht="63" customHeight="1">
      <c r="B13" s="109">
        <v>9</v>
      </c>
      <c r="C13" s="110">
        <f>SISWA!B14</f>
        <v>0</v>
      </c>
      <c r="D13" s="111" t="str">
        <f>SISWA!E14</f>
        <v>Anak 9</v>
      </c>
      <c r="E13" s="631">
        <v>99</v>
      </c>
      <c r="F13" s="631">
        <v>99</v>
      </c>
      <c r="G13" s="631">
        <v>99</v>
      </c>
      <c r="H13" s="631">
        <v>99</v>
      </c>
      <c r="I13" s="631">
        <v>99</v>
      </c>
      <c r="J13" s="613"/>
      <c r="K13" s="731"/>
      <c r="L13" s="731"/>
      <c r="M13" s="731"/>
      <c r="N13" s="731"/>
      <c r="O13" s="731"/>
      <c r="P13" s="730"/>
      <c r="Q13" s="610"/>
      <c r="R13" s="631">
        <v>80</v>
      </c>
      <c r="S13" s="631">
        <v>68.5</v>
      </c>
      <c r="T13" s="609"/>
      <c r="U13" s="609"/>
      <c r="V13" s="609"/>
      <c r="W13" s="609"/>
      <c r="X13" s="610"/>
      <c r="Y13" s="613">
        <v>80</v>
      </c>
      <c r="Z13" s="613">
        <v>68.5</v>
      </c>
      <c r="AA13" s="613"/>
      <c r="AB13" s="613"/>
      <c r="AC13" s="613"/>
      <c r="AD13" s="613"/>
      <c r="AE13" s="518"/>
      <c r="AF13" s="607">
        <f t="shared" si="10"/>
        <v>89.5</v>
      </c>
      <c r="AG13" s="607">
        <f t="shared" si="11"/>
        <v>83.75</v>
      </c>
      <c r="AH13" s="607">
        <f t="shared" si="12"/>
        <v>99</v>
      </c>
      <c r="AI13" s="607">
        <f t="shared" si="13"/>
        <v>99</v>
      </c>
      <c r="AJ13" s="607">
        <f t="shared" si="14"/>
        <v>99</v>
      </c>
      <c r="AK13" s="529"/>
      <c r="AL13" s="529"/>
      <c r="AM13" s="529"/>
      <c r="AN13" s="529"/>
      <c r="AO13" s="528"/>
      <c r="AP13" s="528"/>
      <c r="AQ13" s="528"/>
      <c r="AR13" s="528"/>
      <c r="AS13" s="529"/>
      <c r="AT13" s="529"/>
      <c r="AU13" s="528"/>
      <c r="AV13" s="302">
        <f t="shared" si="15"/>
        <v>94</v>
      </c>
      <c r="AW13" s="303" t="str">
        <f>IF(AV13&gt;KKM!$G$10,"A",IF(AV13&gt;KKM!$H$10,"B",IF(AV13&gt;=KKM!$I$10,"C","D")))</f>
        <v>A</v>
      </c>
      <c r="AX13" s="304">
        <f t="shared" si="5"/>
        <v>99</v>
      </c>
      <c r="AY13" s="115" t="str">
        <f>IF(AX13&gt;KKM!$G$10," sangat baik ",IF(AX13&gt;KKM!$H$10," baik ",IF(AX13&gt;=KKM!$I$10," cukup baik "," perlu bimbingan ")))</f>
        <v xml:space="preserve"> sangat baik </v>
      </c>
      <c r="AZ13" s="305">
        <f t="shared" si="6"/>
        <v>83.75</v>
      </c>
      <c r="BA13" s="115" t="str">
        <f>IF(AZ13&gt;KKM!$G$10," sangat baik ",IF(AZ13&gt;KKM!$H$10," baik ",IF(AZ13&gt;=KKM!$I$10," cukup baik "," perlu bimbingan ")))</f>
        <v xml:space="preserve"> baik </v>
      </c>
      <c r="BB13" s="301" t="str">
        <f t="shared" si="16"/>
        <v>Anak 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13" s="306"/>
      <c r="BD13" s="307" t="str">
        <f t="shared" si="7"/>
        <v xml:space="preserve"> sangat baik  dalam memahami konsep kombinasi pola gerak dasar dominan statis dan dinamis untuk membentuk keterampilan/ teknik dasar senam (seperti: handstand, kayang, meroda, dsb)</v>
      </c>
      <c r="BE13" s="307" t="str">
        <f t="shared" si="8"/>
        <v xml:space="preserve"> baik  dalam memahami konsep variasi dan kombinasi gerak dasar lokomotor,non lokomotor, dan manipulative dalam berbagai permainan dan atau olahraga tradisional bola kecii.</v>
      </c>
      <c r="BF13"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13" s="307" t="str">
        <f t="shared" si="18"/>
        <v xml:space="preserve"> </v>
      </c>
      <c r="BH13"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13" s="301" t="str">
        <f t="shared" si="9"/>
        <v>Anak 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13" s="408">
        <f t="shared" si="20"/>
        <v>94</v>
      </c>
      <c r="BM13" s="302">
        <f t="shared" si="21"/>
        <v>74</v>
      </c>
      <c r="BN13" s="303" t="str">
        <f>IF(BM13&gt;KKM!$G$10,"A",IF(BM13&gt;KKM!$H$10,"B",IF(BM13&gt;=KKM!$I$10,"C","D")))</f>
        <v>C</v>
      </c>
      <c r="BO13" s="523">
        <f t="shared" si="22"/>
        <v>80</v>
      </c>
      <c r="BP13" s="115" t="str">
        <f>IF(BO13&gt;KKM!$G$10," sangat baik ",IF(BO13&gt;KKM!$H$10," baik ",IF(BO13&gt;=KKM!$I$10," cukup baik "," perlu bimbingan ")))</f>
        <v xml:space="preserve"> cukup baik </v>
      </c>
      <c r="BQ13" s="524">
        <f t="shared" si="23"/>
        <v>68.5</v>
      </c>
      <c r="BR13" s="115" t="str">
        <f>IF(BQ13&gt;KKM!$G$10," sangat baik ",IF(BQ13&gt;KKM!$H$10," baik ",IF(BQ13&gt;=KKM!$I$10," cukup baik "," perlu bimbingan ")))</f>
        <v xml:space="preserve"> perlu bimbingan </v>
      </c>
      <c r="BS13" s="301" t="str">
        <f t="shared" si="30"/>
        <v>Anak 9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T13" s="307" t="str">
        <f t="shared" si="24"/>
        <v xml:space="preserve"> cukup baik  dalam memahami konsep variasi dan kombinasi pola gerak dasar lokomotorr dan nonlokomotor untuk membentuk gerakan dasar atletik jalan cepat dan lari melalui permainan dan atau olahraga tradisional</v>
      </c>
      <c r="BU13" s="307" t="str">
        <f t="shared" si="25"/>
        <v xml:space="preserve"> perlu bimbingan  dalam memahami konsep variasi dan kombinasi gerak dasar lokomotor,non lokomotor, dan manipulative dalam berbagai permainan dan atau olahraga tradisional bola kecii.</v>
      </c>
      <c r="BV13" s="307" t="str">
        <f t="shared" si="26"/>
        <v xml:space="preserve">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W13" s="307" t="str">
        <f t="shared" si="27"/>
        <v xml:space="preserve"> </v>
      </c>
      <c r="BX13" s="308" t="str">
        <f t="shared" si="28"/>
        <v xml:space="preserve">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Y13" s="301" t="str">
        <f t="shared" si="29"/>
        <v>Anak 9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row>
    <row r="14" spans="1:77" ht="63" customHeight="1">
      <c r="B14" s="109">
        <v>10</v>
      </c>
      <c r="C14" s="110">
        <f>SISWA!B15</f>
        <v>0</v>
      </c>
      <c r="D14" s="111" t="str">
        <f>SISWA!E15</f>
        <v>Anak 10</v>
      </c>
      <c r="E14" s="631">
        <v>99</v>
      </c>
      <c r="F14" s="631">
        <v>99</v>
      </c>
      <c r="G14" s="631">
        <v>99</v>
      </c>
      <c r="H14" s="631">
        <v>99</v>
      </c>
      <c r="I14" s="631">
        <v>99</v>
      </c>
      <c r="J14" s="613"/>
      <c r="K14" s="731"/>
      <c r="L14" s="731"/>
      <c r="M14" s="731"/>
      <c r="N14" s="731"/>
      <c r="O14" s="731"/>
      <c r="P14" s="730"/>
      <c r="Q14" s="610"/>
      <c r="R14" s="631">
        <v>68.5</v>
      </c>
      <c r="S14" s="631">
        <v>69.5</v>
      </c>
      <c r="T14" s="609"/>
      <c r="U14" s="609"/>
      <c r="V14" s="609"/>
      <c r="W14" s="609"/>
      <c r="X14" s="610"/>
      <c r="Y14" s="613">
        <v>68.5</v>
      </c>
      <c r="Z14" s="613">
        <v>69.5</v>
      </c>
      <c r="AA14" s="613"/>
      <c r="AB14" s="613"/>
      <c r="AC14" s="613"/>
      <c r="AD14" s="613"/>
      <c r="AE14" s="518"/>
      <c r="AF14" s="607">
        <f t="shared" si="10"/>
        <v>83.75</v>
      </c>
      <c r="AG14" s="607">
        <f t="shared" si="11"/>
        <v>84.25</v>
      </c>
      <c r="AH14" s="607">
        <f t="shared" si="12"/>
        <v>99</v>
      </c>
      <c r="AI14" s="607">
        <f t="shared" si="13"/>
        <v>99</v>
      </c>
      <c r="AJ14" s="607">
        <f t="shared" si="14"/>
        <v>99</v>
      </c>
      <c r="AK14" s="529"/>
      <c r="AL14" s="529"/>
      <c r="AM14" s="529"/>
      <c r="AN14" s="529"/>
      <c r="AO14" s="528"/>
      <c r="AP14" s="528"/>
      <c r="AQ14" s="528"/>
      <c r="AR14" s="528"/>
      <c r="AS14" s="529"/>
      <c r="AT14" s="529"/>
      <c r="AU14" s="528"/>
      <c r="AV14" s="302">
        <f t="shared" si="15"/>
        <v>93</v>
      </c>
      <c r="AW14" s="303" t="str">
        <f>IF(AV14&gt;KKM!$G$10,"A",IF(AV14&gt;KKM!$H$10,"B",IF(AV14&gt;=KKM!$I$10,"C","D")))</f>
        <v>A</v>
      </c>
      <c r="AX14" s="304">
        <f t="shared" si="5"/>
        <v>99</v>
      </c>
      <c r="AY14" s="115" t="str">
        <f>IF(AX14&gt;KKM!$G$10," sangat baik ",IF(AX14&gt;KKM!$H$10," baik ",IF(AX14&gt;=KKM!$I$10," cukup baik "," perlu bimbingan ")))</f>
        <v xml:space="preserve"> sangat baik </v>
      </c>
      <c r="AZ14" s="305">
        <f t="shared" si="6"/>
        <v>83.75</v>
      </c>
      <c r="BA14" s="115" t="str">
        <f>IF(AZ14&gt;KKM!$G$10," sangat baik ",IF(AZ14&gt;KKM!$H$10," baik ",IF(AZ14&gt;=KKM!$I$10," cukup baik "," perlu bimbingan ")))</f>
        <v xml:space="preserve"> baik </v>
      </c>
      <c r="BB14" s="301" t="str">
        <f t="shared" si="16"/>
        <v>Anak 10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14" s="306"/>
      <c r="BD14" s="307" t="str">
        <f t="shared" si="7"/>
        <v xml:space="preserve"> sangat baik  dalam memahami konsep kombinasi pola gerak dasar dominan statis dan dinamis untuk membentuk keterampilan/ teknik dasar senam (seperti: handstand, kayang, meroda, dsb)</v>
      </c>
      <c r="BE14" s="307" t="str">
        <f t="shared" si="8"/>
        <v xml:space="preserve"> baik  dalam memahami konsep variasi dan kombinasi pola gerak dasar lokomotorr dan nonlokomotor untuk membentuk gerakan dasar atletik jalan cepat dan lari melalui permainan dan atau olahraga tradisional</v>
      </c>
      <c r="BF14"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14" s="307" t="str">
        <f t="shared" si="18"/>
        <v xml:space="preserve"> </v>
      </c>
      <c r="BH14"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14" s="301" t="str">
        <f t="shared" si="9"/>
        <v>Anak 10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14" s="408">
        <f t="shared" si="20"/>
        <v>93</v>
      </c>
      <c r="BM14" s="302">
        <f t="shared" si="21"/>
        <v>69</v>
      </c>
      <c r="BN14" s="303" t="str">
        <f>IF(BM14&gt;KKM!$G$10,"A",IF(BM14&gt;KKM!$H$10,"B",IF(BM14&gt;=KKM!$I$10,"C","D")))</f>
        <v>D</v>
      </c>
      <c r="BO14" s="523">
        <f t="shared" si="22"/>
        <v>69.5</v>
      </c>
      <c r="BP14" s="115" t="str">
        <f>IF(BO14&gt;KKM!$G$10," sangat baik ",IF(BO14&gt;KKM!$H$10," baik ",IF(BO14&gt;=KKM!$I$10," cukup baik "," perlu bimbingan ")))</f>
        <v xml:space="preserve"> perlu bimbingan </v>
      </c>
      <c r="BQ14" s="524">
        <f t="shared" si="23"/>
        <v>68.5</v>
      </c>
      <c r="BR14" s="115" t="str">
        <f>IF(BQ14&gt;KKM!$G$10," sangat baik ",IF(BQ14&gt;KKM!$H$10," baik ",IF(BQ14&gt;=KKM!$I$10," cukup baik "," perlu bimbingan ")))</f>
        <v xml:space="preserve"> perlu bimbingan </v>
      </c>
      <c r="BS14" s="301" t="str">
        <f t="shared" si="30"/>
        <v>Anak 10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T14" s="307" t="str">
        <f t="shared" si="24"/>
        <v xml:space="preserve"> perlu bimbingan  dalam memahami konsep variasi dan kombinasi gerak dasar lokomotor,non lokomotor, dan manipulative dalam berbagai permainan dan atau olahraga tradisional bola kecii.</v>
      </c>
      <c r="BU14" s="307" t="str">
        <f t="shared" si="25"/>
        <v xml:space="preserve"> perlu bimbingan  dalam memahami konsep variasi dan kombinasi pola gerak dasar lokomotorr dan nonlokomotor untuk membentuk gerakan dasar atletik jalan cepat dan lari melalui permainan dan atau olahraga tradisional</v>
      </c>
      <c r="BV14" s="307" t="str">
        <f t="shared" si="26"/>
        <v xml:space="preserve">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W14" s="307" t="str">
        <f t="shared" si="27"/>
        <v xml:space="preserve"> </v>
      </c>
      <c r="BX14" s="308" t="str">
        <f t="shared" si="28"/>
        <v xml:space="preserve">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Y14" s="301" t="str">
        <f t="shared" si="29"/>
        <v>Anak 10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row>
    <row r="15" spans="1:77" ht="63" customHeight="1">
      <c r="B15" s="109">
        <v>11</v>
      </c>
      <c r="C15" s="110">
        <f>SISWA!B16</f>
        <v>0</v>
      </c>
      <c r="D15" s="111" t="str">
        <f>SISWA!E16</f>
        <v>Anak 11</v>
      </c>
      <c r="E15" s="631">
        <v>99</v>
      </c>
      <c r="F15" s="631">
        <v>99</v>
      </c>
      <c r="G15" s="631">
        <v>99</v>
      </c>
      <c r="H15" s="631">
        <v>99</v>
      </c>
      <c r="I15" s="631">
        <v>99</v>
      </c>
      <c r="J15" s="613"/>
      <c r="K15" s="731"/>
      <c r="L15" s="731"/>
      <c r="M15" s="731"/>
      <c r="N15" s="731"/>
      <c r="O15" s="731"/>
      <c r="P15" s="730"/>
      <c r="Q15" s="610"/>
      <c r="R15" s="631">
        <v>69.5</v>
      </c>
      <c r="S15" s="631">
        <v>70.5</v>
      </c>
      <c r="T15" s="609"/>
      <c r="U15" s="609"/>
      <c r="V15" s="609"/>
      <c r="W15" s="609"/>
      <c r="X15" s="610"/>
      <c r="Y15" s="613">
        <v>69.5</v>
      </c>
      <c r="Z15" s="613">
        <v>70.5</v>
      </c>
      <c r="AA15" s="613"/>
      <c r="AB15" s="613"/>
      <c r="AC15" s="613"/>
      <c r="AD15" s="613"/>
      <c r="AE15" s="518"/>
      <c r="AF15" s="607">
        <f t="shared" si="10"/>
        <v>84.25</v>
      </c>
      <c r="AG15" s="607">
        <f t="shared" si="11"/>
        <v>84.75</v>
      </c>
      <c r="AH15" s="607">
        <f t="shared" si="12"/>
        <v>99</v>
      </c>
      <c r="AI15" s="607">
        <f t="shared" si="13"/>
        <v>99</v>
      </c>
      <c r="AJ15" s="607">
        <f t="shared" si="14"/>
        <v>99</v>
      </c>
      <c r="AK15" s="529"/>
      <c r="AL15" s="529"/>
      <c r="AM15" s="529"/>
      <c r="AN15" s="529"/>
      <c r="AO15" s="528"/>
      <c r="AP15" s="528"/>
      <c r="AQ15" s="528"/>
      <c r="AR15" s="528"/>
      <c r="AS15" s="529"/>
      <c r="AT15" s="529"/>
      <c r="AU15" s="528"/>
      <c r="AV15" s="302">
        <f t="shared" si="15"/>
        <v>93</v>
      </c>
      <c r="AW15" s="303" t="str">
        <f>IF(AV15&gt;KKM!$G$10,"A",IF(AV15&gt;KKM!$H$10,"B",IF(AV15&gt;=KKM!$I$10,"C","D")))</f>
        <v>A</v>
      </c>
      <c r="AX15" s="304">
        <f t="shared" si="5"/>
        <v>99</v>
      </c>
      <c r="AY15" s="115" t="str">
        <f>IF(AX15&gt;KKM!$G$10," sangat baik ",IF(AX15&gt;KKM!$H$10," baik ",IF(AX15&gt;=KKM!$I$10," cukup baik "," perlu bimbingan ")))</f>
        <v xml:space="preserve"> sangat baik </v>
      </c>
      <c r="AZ15" s="305">
        <f t="shared" si="6"/>
        <v>84.25</v>
      </c>
      <c r="BA15" s="115" t="str">
        <f>IF(AZ15&gt;KKM!$G$10," sangat baik ",IF(AZ15&gt;KKM!$H$10," baik ",IF(AZ15&gt;=KKM!$I$10," cukup baik "," perlu bimbingan ")))</f>
        <v xml:space="preserve"> baik </v>
      </c>
      <c r="BB15" s="301" t="str">
        <f t="shared" si="16"/>
        <v>Anak 11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15" s="306"/>
      <c r="BD15" s="307" t="str">
        <f t="shared" si="7"/>
        <v xml:space="preserve"> sangat baik  dalam memahami konsep kombinasi pola gerak dasar dominan statis dan dinamis untuk membentuk keterampilan/ teknik dasar senam (seperti: handstand, kayang, meroda, dsb)</v>
      </c>
      <c r="BE15" s="307" t="str">
        <f t="shared" si="8"/>
        <v xml:space="preserve"> baik  dalam memahami konsep variasi dan kombinasi pola gerak dasar lokomotorr dan nonlokomotor untuk membentuk gerakan dasar atletik jalan cepat dan lari melalui permainan dan atau olahraga tradisional</v>
      </c>
      <c r="BF15"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15" s="307" t="str">
        <f t="shared" si="18"/>
        <v xml:space="preserve"> </v>
      </c>
      <c r="BH15"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15" s="301" t="str">
        <f t="shared" si="9"/>
        <v>Anak 11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15" s="408">
        <f t="shared" si="20"/>
        <v>93</v>
      </c>
      <c r="BM15" s="302">
        <f t="shared" si="21"/>
        <v>70</v>
      </c>
      <c r="BN15" s="303" t="str">
        <f>IF(BM15&gt;KKM!$G$10,"A",IF(BM15&gt;KKM!$H$10,"B",IF(BM15&gt;=KKM!$I$10,"C","D")))</f>
        <v>C</v>
      </c>
      <c r="BO15" s="523">
        <f t="shared" si="22"/>
        <v>70.5</v>
      </c>
      <c r="BP15" s="115" t="str">
        <f>IF(BO15&gt;KKM!$G$10," sangat baik ",IF(BO15&gt;KKM!$H$10," baik ",IF(BO15&gt;=KKM!$I$10," cukup baik "," perlu bimbingan ")))</f>
        <v xml:space="preserve"> cukup baik </v>
      </c>
      <c r="BQ15" s="524">
        <f t="shared" si="23"/>
        <v>69.5</v>
      </c>
      <c r="BR15" s="115" t="str">
        <f>IF(BQ15&gt;KKM!$G$10," sangat baik ",IF(BQ15&gt;KKM!$H$10," baik ",IF(BQ15&gt;=KKM!$I$10," cukup baik "," perlu bimbingan ")))</f>
        <v xml:space="preserve"> perlu bimbingan </v>
      </c>
      <c r="BS15" s="301" t="str">
        <f t="shared" si="30"/>
        <v>Anak 11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T15" s="307" t="str">
        <f t="shared" si="24"/>
        <v xml:space="preserve"> cukup baik  dalam memahami konsep variasi dan kombinasi gerak dasar lokomotor,non lokomotor, dan manipulative dalam berbagai permainan dan atau olahraga tradisional bola kecii.</v>
      </c>
      <c r="BU15" s="307" t="str">
        <f t="shared" si="25"/>
        <v xml:space="preserve"> perlu bimbingan  dalam memahami konsep variasi dan kombinasi pola gerak dasar lokomotorr dan nonlokomotor untuk membentuk gerakan dasar atletik jalan cepat dan lari melalui permainan dan atau olahraga tradisional</v>
      </c>
      <c r="BV15" s="307" t="str">
        <f t="shared" si="26"/>
        <v xml:space="preserve">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W15" s="307" t="str">
        <f t="shared" si="27"/>
        <v xml:space="preserve"> </v>
      </c>
      <c r="BX15" s="308" t="str">
        <f t="shared" si="28"/>
        <v xml:space="preserve">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BY15" s="301" t="str">
        <f t="shared" si="29"/>
        <v>Anak 11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row>
    <row r="16" spans="1:77" ht="63" customHeight="1">
      <c r="B16" s="109">
        <v>12</v>
      </c>
      <c r="C16" s="110">
        <f>SISWA!B17</f>
        <v>0</v>
      </c>
      <c r="D16" s="111" t="str">
        <f>SISWA!E17</f>
        <v>Anak 12</v>
      </c>
      <c r="E16" s="631">
        <v>99</v>
      </c>
      <c r="F16" s="631">
        <v>99</v>
      </c>
      <c r="G16" s="631">
        <v>99</v>
      </c>
      <c r="H16" s="631">
        <v>99</v>
      </c>
      <c r="I16" s="631">
        <v>99</v>
      </c>
      <c r="J16" s="613"/>
      <c r="K16" s="731"/>
      <c r="L16" s="731"/>
      <c r="M16" s="731"/>
      <c r="N16" s="731"/>
      <c r="O16" s="731"/>
      <c r="P16" s="730"/>
      <c r="Q16" s="610"/>
      <c r="R16" s="631">
        <v>70.5</v>
      </c>
      <c r="S16" s="631">
        <v>84.5</v>
      </c>
      <c r="T16" s="609"/>
      <c r="U16" s="609"/>
      <c r="V16" s="609"/>
      <c r="W16" s="609"/>
      <c r="X16" s="610"/>
      <c r="Y16" s="613">
        <v>70.5</v>
      </c>
      <c r="Z16" s="613">
        <v>84.5</v>
      </c>
      <c r="AA16" s="613"/>
      <c r="AB16" s="613"/>
      <c r="AC16" s="613"/>
      <c r="AD16" s="613"/>
      <c r="AE16" s="518"/>
      <c r="AF16" s="607">
        <f t="shared" si="10"/>
        <v>84.75</v>
      </c>
      <c r="AG16" s="607">
        <f t="shared" si="11"/>
        <v>91.75</v>
      </c>
      <c r="AH16" s="607">
        <f t="shared" si="12"/>
        <v>99</v>
      </c>
      <c r="AI16" s="607">
        <f t="shared" si="13"/>
        <v>99</v>
      </c>
      <c r="AJ16" s="607">
        <f t="shared" si="14"/>
        <v>99</v>
      </c>
      <c r="AK16" s="529"/>
      <c r="AL16" s="529"/>
      <c r="AM16" s="529"/>
      <c r="AN16" s="529"/>
      <c r="AO16" s="528"/>
      <c r="AP16" s="528"/>
      <c r="AQ16" s="528"/>
      <c r="AR16" s="528"/>
      <c r="AS16" s="529"/>
      <c r="AT16" s="529"/>
      <c r="AU16" s="528"/>
      <c r="AV16" s="302">
        <f t="shared" si="15"/>
        <v>95</v>
      </c>
      <c r="AW16" s="303" t="str">
        <f>IF(AV16&gt;KKM!$G$10,"A",IF(AV16&gt;KKM!$H$10,"B",IF(AV16&gt;=KKM!$I$10,"C","D")))</f>
        <v>A</v>
      </c>
      <c r="AX16" s="304">
        <f t="shared" si="5"/>
        <v>99</v>
      </c>
      <c r="AY16" s="115" t="str">
        <f>IF(AX16&gt;KKM!$G$10," sangat baik ",IF(AX16&gt;KKM!$H$10," baik ",IF(AX16&gt;=KKM!$I$10," cukup baik "," perlu bimbingan ")))</f>
        <v xml:space="preserve"> sangat baik </v>
      </c>
      <c r="AZ16" s="305">
        <f t="shared" si="6"/>
        <v>84.75</v>
      </c>
      <c r="BA16" s="115" t="str">
        <f>IF(AZ16&gt;KKM!$G$10," sangat baik ",IF(AZ16&gt;KKM!$H$10," baik ",IF(AZ16&gt;=KKM!$I$10," cukup baik "," perlu bimbingan ")))</f>
        <v xml:space="preserve"> baik </v>
      </c>
      <c r="BB16" s="301" t="str">
        <f t="shared" si="16"/>
        <v>Anak 12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16" s="306"/>
      <c r="BD16" s="307" t="str">
        <f t="shared" si="7"/>
        <v xml:space="preserve"> sangat baik  dalam memahami konsep kombinasi pola gerak dasar dominan statis dan dinamis untuk membentuk keterampilan/ teknik dasar senam (seperti: handstand, kayang, meroda, dsb)</v>
      </c>
      <c r="BE16" s="307" t="str">
        <f t="shared" si="8"/>
        <v xml:space="preserve"> baik  dalam memahami konsep variasi dan kombinasi pola gerak dasar lokomotorr dan nonlokomotor untuk membentuk gerakan dasar atletik jalan cepat dan lari melalui permainan dan atau olahraga tradisional</v>
      </c>
      <c r="BF16"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16" s="307" t="str">
        <f t="shared" si="18"/>
        <v xml:space="preserve"> </v>
      </c>
      <c r="BH16"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16" s="301" t="str">
        <f t="shared" si="9"/>
        <v>Anak 12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16" s="408">
        <f t="shared" si="20"/>
        <v>95</v>
      </c>
      <c r="BM16" s="302">
        <f t="shared" si="21"/>
        <v>78</v>
      </c>
      <c r="BN16" s="303" t="str">
        <f>IF(BM16&gt;KKM!$G$10,"A",IF(BM16&gt;KKM!$H$10,"B",IF(BM16&gt;=KKM!$I$10,"C","D")))</f>
        <v>C</v>
      </c>
      <c r="BO16" s="523">
        <f t="shared" si="22"/>
        <v>84.5</v>
      </c>
      <c r="BP16" s="115" t="str">
        <f>IF(BO16&gt;KKM!$G$10," sangat baik ",IF(BO16&gt;KKM!$H$10," baik ",IF(BO16&gt;=KKM!$I$10," cukup baik "," perlu bimbingan ")))</f>
        <v xml:space="preserve"> baik </v>
      </c>
      <c r="BQ16" s="524">
        <f t="shared" si="23"/>
        <v>70.5</v>
      </c>
      <c r="BR16" s="115" t="str">
        <f>IF(BQ16&gt;KKM!$G$10," sangat baik ",IF(BQ16&gt;KKM!$H$10," baik ",IF(BQ16&gt;=KKM!$I$10," cukup baik "," perlu bimbingan ")))</f>
        <v xml:space="preserve"> cukup baik </v>
      </c>
      <c r="BS16" s="301" t="str">
        <f t="shared" si="30"/>
        <v>Anak 12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16" s="307" t="str">
        <f t="shared" si="24"/>
        <v xml:space="preserve"> baik  dalam memahami konsep variasi dan kombinasi gerak dasar lokomotor,non lokomotor, dan manipulative dalam berbagai permainan dan atau olahraga tradisional bola kecii.</v>
      </c>
      <c r="BU16" s="307" t="str">
        <f t="shared" si="25"/>
        <v xml:space="preserve"> cukup baik  dalam memahami konsep variasi dan kombinasi pola gerak dasar lokomotorr dan nonlokomotor untuk membentuk gerakan dasar atletik jalan cepat dan lari melalui permainan dan atau olahraga tradisional</v>
      </c>
      <c r="BV16"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16" s="307" t="str">
        <f t="shared" si="27"/>
        <v xml:space="preserve"> </v>
      </c>
      <c r="BX16"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16" s="301" t="str">
        <f t="shared" si="29"/>
        <v>Anak 12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17" spans="2:77" ht="63" customHeight="1">
      <c r="B17" s="109">
        <v>13</v>
      </c>
      <c r="C17" s="110">
        <f>SISWA!B18</f>
        <v>0</v>
      </c>
      <c r="D17" s="111" t="str">
        <f>SISWA!E18</f>
        <v>Anak 13</v>
      </c>
      <c r="E17" s="631">
        <v>99</v>
      </c>
      <c r="F17" s="631">
        <v>99</v>
      </c>
      <c r="G17" s="631">
        <v>99</v>
      </c>
      <c r="H17" s="631">
        <v>99</v>
      </c>
      <c r="I17" s="631">
        <v>99</v>
      </c>
      <c r="J17" s="613"/>
      <c r="K17" s="731"/>
      <c r="L17" s="731"/>
      <c r="M17" s="731"/>
      <c r="N17" s="731"/>
      <c r="O17" s="731"/>
      <c r="P17" s="730"/>
      <c r="Q17" s="610"/>
      <c r="R17" s="631">
        <v>84.5</v>
      </c>
      <c r="S17" s="631">
        <v>72.5</v>
      </c>
      <c r="T17" s="609"/>
      <c r="U17" s="609"/>
      <c r="V17" s="609"/>
      <c r="W17" s="609"/>
      <c r="X17" s="610"/>
      <c r="Y17" s="613">
        <v>84.5</v>
      </c>
      <c r="Z17" s="613">
        <v>72.5</v>
      </c>
      <c r="AA17" s="613"/>
      <c r="AB17" s="613"/>
      <c r="AC17" s="613"/>
      <c r="AD17" s="613"/>
      <c r="AE17" s="518"/>
      <c r="AF17" s="607">
        <f t="shared" si="10"/>
        <v>91.75</v>
      </c>
      <c r="AG17" s="607">
        <f t="shared" si="11"/>
        <v>85.75</v>
      </c>
      <c r="AH17" s="607">
        <f t="shared" si="12"/>
        <v>99</v>
      </c>
      <c r="AI17" s="607">
        <f t="shared" si="13"/>
        <v>99</v>
      </c>
      <c r="AJ17" s="607">
        <f t="shared" si="14"/>
        <v>99</v>
      </c>
      <c r="AK17" s="529"/>
      <c r="AL17" s="529"/>
      <c r="AM17" s="529"/>
      <c r="AN17" s="529"/>
      <c r="AO17" s="528"/>
      <c r="AP17" s="528"/>
      <c r="AQ17" s="528"/>
      <c r="AR17" s="528"/>
      <c r="AS17" s="529"/>
      <c r="AT17" s="529"/>
      <c r="AU17" s="528"/>
      <c r="AV17" s="302">
        <f t="shared" si="15"/>
        <v>95</v>
      </c>
      <c r="AW17" s="303" t="str">
        <f>IF(AV17&gt;KKM!$G$10,"A",IF(AV17&gt;KKM!$H$10,"B",IF(AV17&gt;=KKM!$I$10,"C","D")))</f>
        <v>A</v>
      </c>
      <c r="AX17" s="304">
        <f t="shared" si="5"/>
        <v>99</v>
      </c>
      <c r="AY17" s="115" t="str">
        <f>IF(AX17&gt;KKM!$G$10," sangat baik ",IF(AX17&gt;KKM!$H$10," baik ",IF(AX17&gt;=KKM!$I$10," cukup baik "," perlu bimbingan ")))</f>
        <v xml:space="preserve"> sangat baik </v>
      </c>
      <c r="AZ17" s="305">
        <f t="shared" si="6"/>
        <v>85.75</v>
      </c>
      <c r="BA17" s="115" t="str">
        <f>IF(AZ17&gt;KKM!$G$10," sangat baik ",IF(AZ17&gt;KKM!$H$10," baik ",IF(AZ17&gt;=KKM!$I$10," cukup baik "," perlu bimbingan ")))</f>
        <v xml:space="preserve"> baik </v>
      </c>
      <c r="BB17" s="301" t="str">
        <f t="shared" si="16"/>
        <v>Anak 13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17" s="306"/>
      <c r="BD17" s="307" t="str">
        <f t="shared" si="7"/>
        <v xml:space="preserve"> sangat baik  dalam memahami konsep kombinasi pola gerak dasar dominan statis dan dinamis untuk membentuk keterampilan/ teknik dasar senam (seperti: handstand, kayang, meroda, dsb)</v>
      </c>
      <c r="BE17" s="307" t="str">
        <f t="shared" si="8"/>
        <v xml:space="preserve"> baik  dalam memahami konsep variasi dan kombinasi gerak dasar lokomotor,non lokomotor, dan manipulative dalam berbagai permainan dan atau olahraga tradisional bola kecii.</v>
      </c>
      <c r="BF17"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17" s="307" t="str">
        <f t="shared" si="18"/>
        <v xml:space="preserve"> </v>
      </c>
      <c r="BH17"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17" s="301" t="str">
        <f t="shared" si="9"/>
        <v>Anak 13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17" s="408">
        <f t="shared" si="20"/>
        <v>95</v>
      </c>
      <c r="BM17" s="302">
        <f t="shared" si="21"/>
        <v>79</v>
      </c>
      <c r="BN17" s="303" t="str">
        <f>IF(BM17&gt;KKM!$G$10,"A",IF(BM17&gt;KKM!$H$10,"B",IF(BM17&gt;=KKM!$I$10,"C","D")))</f>
        <v>C</v>
      </c>
      <c r="BO17" s="523">
        <f t="shared" si="22"/>
        <v>84.5</v>
      </c>
      <c r="BP17" s="115" t="str">
        <f>IF(BO17&gt;KKM!$G$10," sangat baik ",IF(BO17&gt;KKM!$H$10," baik ",IF(BO17&gt;=KKM!$I$10," cukup baik "," perlu bimbingan ")))</f>
        <v xml:space="preserve"> baik </v>
      </c>
      <c r="BQ17" s="524">
        <f t="shared" si="23"/>
        <v>72.5</v>
      </c>
      <c r="BR17" s="115" t="str">
        <f>IF(BQ17&gt;KKM!$G$10," sangat baik ",IF(BQ17&gt;KKM!$H$10," baik ",IF(BQ17&gt;=KKM!$I$10," cukup baik "," perlu bimbingan ")))</f>
        <v xml:space="preserve"> cukup baik </v>
      </c>
      <c r="BS17" s="301" t="str">
        <f t="shared" si="30"/>
        <v>Anak 13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17" s="307" t="str">
        <f t="shared" si="24"/>
        <v xml:space="preserve"> baik  dalam memahami konsep variasi dan kombinasi pola gerak dasar lokomotorr dan nonlokomotor untuk membentuk gerakan dasar atletik jalan cepat dan lari melalui permainan dan atau olahraga tradisional</v>
      </c>
      <c r="BU17" s="307" t="str">
        <f t="shared" si="25"/>
        <v xml:space="preserve"> cukup baik  dalam memahami konsep variasi dan kombinasi gerak dasar lokomotor,non lokomotor, dan manipulative dalam berbagai permainan dan atau olahraga tradisional bola kecii.</v>
      </c>
      <c r="BV17"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17" s="307" t="str">
        <f t="shared" si="27"/>
        <v xml:space="preserve"> </v>
      </c>
      <c r="BX17"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17" s="301" t="str">
        <f t="shared" si="29"/>
        <v>Anak 13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18" spans="2:77" ht="63" customHeight="1">
      <c r="B18" s="109">
        <v>14</v>
      </c>
      <c r="C18" s="110">
        <f>SISWA!B19</f>
        <v>0</v>
      </c>
      <c r="D18" s="111" t="str">
        <f>SISWA!E19</f>
        <v>Anak 14</v>
      </c>
      <c r="E18" s="631">
        <v>99</v>
      </c>
      <c r="F18" s="631">
        <v>99</v>
      </c>
      <c r="G18" s="631">
        <v>99</v>
      </c>
      <c r="H18" s="631">
        <v>99</v>
      </c>
      <c r="I18" s="631">
        <v>99</v>
      </c>
      <c r="J18" s="613"/>
      <c r="K18" s="731"/>
      <c r="L18" s="731"/>
      <c r="M18" s="731"/>
      <c r="N18" s="731"/>
      <c r="O18" s="731"/>
      <c r="P18" s="730"/>
      <c r="Q18" s="610"/>
      <c r="R18" s="631">
        <v>72.5</v>
      </c>
      <c r="S18" s="631">
        <v>80</v>
      </c>
      <c r="T18" s="609"/>
      <c r="U18" s="609"/>
      <c r="V18" s="609"/>
      <c r="W18" s="609"/>
      <c r="X18" s="610"/>
      <c r="Y18" s="613">
        <v>72.5</v>
      </c>
      <c r="Z18" s="613">
        <v>80</v>
      </c>
      <c r="AA18" s="613"/>
      <c r="AB18" s="613"/>
      <c r="AC18" s="613"/>
      <c r="AD18" s="613"/>
      <c r="AE18" s="518"/>
      <c r="AF18" s="607">
        <f t="shared" si="10"/>
        <v>85.75</v>
      </c>
      <c r="AG18" s="607">
        <f t="shared" si="11"/>
        <v>89.5</v>
      </c>
      <c r="AH18" s="607">
        <f t="shared" si="12"/>
        <v>99</v>
      </c>
      <c r="AI18" s="607">
        <f t="shared" si="13"/>
        <v>99</v>
      </c>
      <c r="AJ18" s="607">
        <f t="shared" si="14"/>
        <v>99</v>
      </c>
      <c r="AK18" s="529"/>
      <c r="AL18" s="529"/>
      <c r="AM18" s="529"/>
      <c r="AN18" s="529"/>
      <c r="AO18" s="528"/>
      <c r="AP18" s="528"/>
      <c r="AQ18" s="528"/>
      <c r="AR18" s="528"/>
      <c r="AS18" s="529"/>
      <c r="AT18" s="529"/>
      <c r="AU18" s="528"/>
      <c r="AV18" s="302">
        <f t="shared" si="15"/>
        <v>94</v>
      </c>
      <c r="AW18" s="303" t="str">
        <f>IF(AV18&gt;KKM!$G$10,"A",IF(AV18&gt;KKM!$H$10,"B",IF(AV18&gt;=KKM!$I$10,"C","D")))</f>
        <v>A</v>
      </c>
      <c r="AX18" s="304">
        <f t="shared" si="5"/>
        <v>99</v>
      </c>
      <c r="AY18" s="115" t="str">
        <f>IF(AX18&gt;KKM!$G$10," sangat baik ",IF(AX18&gt;KKM!$H$10," baik ",IF(AX18&gt;=KKM!$I$10," cukup baik "," perlu bimbingan ")))</f>
        <v xml:space="preserve"> sangat baik </v>
      </c>
      <c r="AZ18" s="305">
        <f t="shared" si="6"/>
        <v>85.75</v>
      </c>
      <c r="BA18" s="115" t="str">
        <f>IF(AZ18&gt;KKM!$G$10," sangat baik ",IF(AZ18&gt;KKM!$H$10," baik ",IF(AZ18&gt;=KKM!$I$10," cukup baik "," perlu bimbingan ")))</f>
        <v xml:space="preserve"> baik </v>
      </c>
      <c r="BB18" s="301" t="str">
        <f t="shared" si="16"/>
        <v>Anak 14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18" s="306"/>
      <c r="BD18" s="307" t="str">
        <f t="shared" si="7"/>
        <v xml:space="preserve"> sangat baik  dalam memahami konsep kombinasi pola gerak dasar dominan statis dan dinamis untuk membentuk keterampilan/ teknik dasar senam (seperti: handstand, kayang, meroda, dsb)</v>
      </c>
      <c r="BE18" s="307" t="str">
        <f t="shared" si="8"/>
        <v xml:space="preserve"> baik  dalam memahami konsep variasi dan kombinasi pola gerak dasar lokomotorr dan nonlokomotor untuk membentuk gerakan dasar atletik jalan cepat dan lari melalui permainan dan atau olahraga tradisional</v>
      </c>
      <c r="BF18"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18" s="307" t="str">
        <f t="shared" si="18"/>
        <v xml:space="preserve"> </v>
      </c>
      <c r="BH18"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18" s="301" t="str">
        <f t="shared" si="9"/>
        <v>Anak 14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18" s="408">
        <f t="shared" si="20"/>
        <v>94</v>
      </c>
      <c r="BM18" s="302">
        <f t="shared" si="21"/>
        <v>76</v>
      </c>
      <c r="BN18" s="303" t="str">
        <f>IF(BM18&gt;KKM!$G$10,"A",IF(BM18&gt;KKM!$H$10,"B",IF(BM18&gt;=KKM!$I$10,"C","D")))</f>
        <v>C</v>
      </c>
      <c r="BO18" s="523">
        <f t="shared" si="22"/>
        <v>80</v>
      </c>
      <c r="BP18" s="115" t="str">
        <f>IF(BO18&gt;KKM!$G$10," sangat baik ",IF(BO18&gt;KKM!$H$10," baik ",IF(BO18&gt;=KKM!$I$10," cukup baik "," perlu bimbingan ")))</f>
        <v xml:space="preserve"> cukup baik </v>
      </c>
      <c r="BQ18" s="524">
        <f t="shared" si="23"/>
        <v>72.5</v>
      </c>
      <c r="BR18" s="115" t="str">
        <f>IF(BQ18&gt;KKM!$G$10," sangat baik ",IF(BQ18&gt;KKM!$H$10," baik ",IF(BQ18&gt;=KKM!$I$10," cukup baik "," perlu bimbingan ")))</f>
        <v xml:space="preserve"> cukup baik </v>
      </c>
      <c r="BS18" s="301" t="str">
        <f t="shared" si="30"/>
        <v>Anak 14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18" s="307" t="str">
        <f t="shared" si="24"/>
        <v xml:space="preserve"> cukup baik  dalam memahami konsep variasi dan kombinasi gerak dasar lokomotor,non lokomotor, dan manipulative dalam berbagai permainan dan atau olahraga tradisional bola kecii.</v>
      </c>
      <c r="BU18" s="307" t="str">
        <f t="shared" si="25"/>
        <v xml:space="preserve"> cukup baik  dalam memahami konsep variasi dan kombinasi pola gerak dasar lokomotorr dan nonlokomotor untuk membentuk gerakan dasar atletik jalan cepat dan lari melalui permainan dan atau olahraga tradisional</v>
      </c>
      <c r="BV18" s="307" t="str">
        <f t="shared" si="26"/>
        <v xml:space="preserve">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18" s="307" t="str">
        <f t="shared" si="27"/>
        <v xml:space="preserve"> </v>
      </c>
      <c r="BX18" s="308" t="str">
        <f t="shared" si="28"/>
        <v xml:space="preserve">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18" s="301" t="str">
        <f t="shared" si="29"/>
        <v>Anak 14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19" spans="2:77" ht="63" customHeight="1">
      <c r="B19" s="109">
        <v>15</v>
      </c>
      <c r="C19" s="110">
        <f>SISWA!B20</f>
        <v>0</v>
      </c>
      <c r="D19" s="111" t="str">
        <f>SISWA!E20</f>
        <v>Anak 15</v>
      </c>
      <c r="E19" s="631">
        <v>99</v>
      </c>
      <c r="F19" s="631">
        <v>99</v>
      </c>
      <c r="G19" s="631">
        <v>99</v>
      </c>
      <c r="H19" s="631">
        <v>99</v>
      </c>
      <c r="I19" s="631">
        <v>99</v>
      </c>
      <c r="J19" s="613"/>
      <c r="K19" s="731"/>
      <c r="L19" s="731"/>
      <c r="M19" s="731"/>
      <c r="N19" s="731"/>
      <c r="O19" s="731"/>
      <c r="P19" s="730"/>
      <c r="Q19" s="610"/>
      <c r="R19" s="631">
        <v>80</v>
      </c>
      <c r="S19" s="631">
        <v>79.5</v>
      </c>
      <c r="T19" s="609"/>
      <c r="U19" s="609"/>
      <c r="V19" s="609"/>
      <c r="W19" s="609"/>
      <c r="X19" s="610"/>
      <c r="Y19" s="613">
        <v>80</v>
      </c>
      <c r="Z19" s="613">
        <v>79.5</v>
      </c>
      <c r="AA19" s="613"/>
      <c r="AB19" s="613"/>
      <c r="AC19" s="613"/>
      <c r="AD19" s="613"/>
      <c r="AE19" s="518"/>
      <c r="AF19" s="607">
        <f t="shared" si="10"/>
        <v>89.5</v>
      </c>
      <c r="AG19" s="607">
        <f t="shared" si="11"/>
        <v>89.25</v>
      </c>
      <c r="AH19" s="607">
        <f t="shared" si="12"/>
        <v>99</v>
      </c>
      <c r="AI19" s="607">
        <f t="shared" si="13"/>
        <v>99</v>
      </c>
      <c r="AJ19" s="607">
        <f t="shared" si="14"/>
        <v>99</v>
      </c>
      <c r="AK19" s="529"/>
      <c r="AL19" s="529"/>
      <c r="AM19" s="529"/>
      <c r="AN19" s="529"/>
      <c r="AO19" s="528"/>
      <c r="AP19" s="528"/>
      <c r="AQ19" s="528"/>
      <c r="AR19" s="528"/>
      <c r="AS19" s="529"/>
      <c r="AT19" s="529"/>
      <c r="AU19" s="528"/>
      <c r="AV19" s="302">
        <f t="shared" si="15"/>
        <v>95</v>
      </c>
      <c r="AW19" s="303" t="str">
        <f>IF(AV19&gt;KKM!$G$10,"A",IF(AV19&gt;KKM!$H$10,"B",IF(AV19&gt;=KKM!$I$10,"C","D")))</f>
        <v>A</v>
      </c>
      <c r="AX19" s="304">
        <f t="shared" si="5"/>
        <v>99</v>
      </c>
      <c r="AY19" s="115" t="str">
        <f>IF(AX19&gt;KKM!$G$10," sangat baik ",IF(AX19&gt;KKM!$H$10," baik ",IF(AX19&gt;=KKM!$I$10," cukup baik "," perlu bimbingan ")))</f>
        <v xml:space="preserve"> sangat baik </v>
      </c>
      <c r="AZ19" s="305">
        <f t="shared" si="6"/>
        <v>89.25</v>
      </c>
      <c r="BA19" s="115" t="str">
        <f>IF(AZ19&gt;KKM!$G$10," sangat baik ",IF(AZ19&gt;KKM!$H$10," baik ",IF(AZ19&gt;=KKM!$I$10," cukup baik "," perlu bimbingan ")))</f>
        <v xml:space="preserve"> baik </v>
      </c>
      <c r="BB19" s="301" t="str">
        <f t="shared" si="16"/>
        <v>Anak 15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19" s="306"/>
      <c r="BD19" s="307" t="str">
        <f t="shared" si="7"/>
        <v xml:space="preserve"> sangat baik  dalam memahami konsep kombinasi pola gerak dasar dominan statis dan dinamis untuk membentuk keterampilan/ teknik dasar senam (seperti: handstand, kayang, meroda, dsb)</v>
      </c>
      <c r="BE19" s="307" t="str">
        <f t="shared" si="8"/>
        <v xml:space="preserve"> baik  dalam memahami konsep variasi dan kombinasi gerak dasar lokomotor,non lokomotor, dan manipulative dalam berbagai permainan dan atau olahraga tradisional bola kecii.</v>
      </c>
      <c r="BF19"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19" s="307" t="str">
        <f t="shared" si="18"/>
        <v xml:space="preserve"> </v>
      </c>
      <c r="BH19"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19" s="301" t="str">
        <f t="shared" si="9"/>
        <v>Anak 15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19" s="408">
        <f t="shared" si="20"/>
        <v>95</v>
      </c>
      <c r="BM19" s="302">
        <f t="shared" si="21"/>
        <v>80</v>
      </c>
      <c r="BN19" s="303" t="str">
        <f>IF(BM19&gt;KKM!$G$10,"A",IF(BM19&gt;KKM!$H$10,"B",IF(BM19&gt;=KKM!$I$10,"C","D")))</f>
        <v>C</v>
      </c>
      <c r="BO19" s="523">
        <f t="shared" si="22"/>
        <v>80</v>
      </c>
      <c r="BP19" s="115" t="str">
        <f>IF(BO19&gt;KKM!$G$10," sangat baik ",IF(BO19&gt;KKM!$H$10," baik ",IF(BO19&gt;=KKM!$I$10," cukup baik "," perlu bimbingan ")))</f>
        <v xml:space="preserve"> cukup baik </v>
      </c>
      <c r="BQ19" s="524">
        <f t="shared" si="23"/>
        <v>79.5</v>
      </c>
      <c r="BR19" s="115" t="str">
        <f>IF(BQ19&gt;KKM!$G$10," sangat baik ",IF(BQ19&gt;KKM!$H$10," baik ",IF(BQ19&gt;=KKM!$I$10," cukup baik "," perlu bimbingan ")))</f>
        <v xml:space="preserve"> cukup baik </v>
      </c>
      <c r="BS19" s="301" t="str">
        <f t="shared" si="30"/>
        <v>Anak 15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19" s="307" t="str">
        <f t="shared" si="24"/>
        <v xml:space="preserve"> cukup baik  dalam memahami konsep variasi dan kombinasi pola gerak dasar lokomotorr dan nonlokomotor untuk membentuk gerakan dasar atletik jalan cepat dan lari melalui permainan dan atau olahraga tradisional</v>
      </c>
      <c r="BU19" s="307" t="str">
        <f t="shared" si="25"/>
        <v xml:space="preserve"> cukup baik  dalam memahami konsep variasi dan kombinasi gerak dasar lokomotor,non lokomotor, dan manipulative dalam berbagai permainan dan atau olahraga tradisional bola kecii.</v>
      </c>
      <c r="BV19"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19" s="307" t="str">
        <f t="shared" si="27"/>
        <v xml:space="preserve"> </v>
      </c>
      <c r="BX19" s="308" t="str">
        <f t="shared" si="28"/>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19" s="301" t="str">
        <f t="shared" si="29"/>
        <v>Anak 15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20" spans="2:77" ht="63" customHeight="1">
      <c r="B20" s="109">
        <v>16</v>
      </c>
      <c r="C20" s="110">
        <f>SISWA!B21</f>
        <v>0</v>
      </c>
      <c r="D20" s="111" t="str">
        <f>SISWA!E21</f>
        <v>Anak 16</v>
      </c>
      <c r="E20" s="631">
        <v>99</v>
      </c>
      <c r="F20" s="631">
        <v>99</v>
      </c>
      <c r="G20" s="631">
        <v>99</v>
      </c>
      <c r="H20" s="631">
        <v>99</v>
      </c>
      <c r="I20" s="631">
        <v>99</v>
      </c>
      <c r="J20" s="613"/>
      <c r="K20" s="731"/>
      <c r="L20" s="731"/>
      <c r="M20" s="731"/>
      <c r="N20" s="731"/>
      <c r="O20" s="731"/>
      <c r="P20" s="730"/>
      <c r="Q20" s="610"/>
      <c r="R20" s="631">
        <v>79.5</v>
      </c>
      <c r="S20" s="631">
        <v>79.5</v>
      </c>
      <c r="T20" s="609"/>
      <c r="U20" s="609"/>
      <c r="V20" s="609"/>
      <c r="W20" s="609"/>
      <c r="X20" s="610"/>
      <c r="Y20" s="613">
        <v>79.5</v>
      </c>
      <c r="Z20" s="613">
        <v>79.5</v>
      </c>
      <c r="AA20" s="613"/>
      <c r="AB20" s="613"/>
      <c r="AC20" s="613"/>
      <c r="AD20" s="613"/>
      <c r="AE20" s="518"/>
      <c r="AF20" s="607">
        <f t="shared" si="10"/>
        <v>89.25</v>
      </c>
      <c r="AG20" s="607">
        <f t="shared" si="11"/>
        <v>89.25</v>
      </c>
      <c r="AH20" s="607">
        <f t="shared" si="12"/>
        <v>99</v>
      </c>
      <c r="AI20" s="607">
        <f t="shared" si="13"/>
        <v>99</v>
      </c>
      <c r="AJ20" s="607">
        <f t="shared" si="14"/>
        <v>99</v>
      </c>
      <c r="AK20" s="529"/>
      <c r="AL20" s="529"/>
      <c r="AM20" s="529"/>
      <c r="AN20" s="529"/>
      <c r="AO20" s="528"/>
      <c r="AP20" s="528"/>
      <c r="AQ20" s="528"/>
      <c r="AR20" s="528"/>
      <c r="AS20" s="529"/>
      <c r="AT20" s="529"/>
      <c r="AU20" s="528"/>
      <c r="AV20" s="302">
        <f t="shared" si="15"/>
        <v>95</v>
      </c>
      <c r="AW20" s="303" t="str">
        <f>IF(AV20&gt;KKM!$G$10,"A",IF(AV20&gt;KKM!$H$10,"B",IF(AV20&gt;=KKM!$I$10,"C","D")))</f>
        <v>A</v>
      </c>
      <c r="AX20" s="304">
        <f t="shared" si="5"/>
        <v>99</v>
      </c>
      <c r="AY20" s="115" t="str">
        <f>IF(AX20&gt;KKM!$G$10," sangat baik ",IF(AX20&gt;KKM!$H$10," baik ",IF(AX20&gt;=KKM!$I$10," cukup baik "," perlu bimbingan ")))</f>
        <v xml:space="preserve"> sangat baik </v>
      </c>
      <c r="AZ20" s="305">
        <f t="shared" si="6"/>
        <v>89.25</v>
      </c>
      <c r="BA20" s="115" t="str">
        <f>IF(AZ20&gt;KKM!$G$10," sangat baik ",IF(AZ20&gt;KKM!$H$10," baik ",IF(AZ20&gt;=KKM!$I$10," cukup baik "," perlu bimbingan ")))</f>
        <v xml:space="preserve"> baik </v>
      </c>
      <c r="BB20" s="301" t="str">
        <f t="shared" si="16"/>
        <v>Anak 16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20" s="306"/>
      <c r="BD20" s="307" t="str">
        <f t="shared" si="7"/>
        <v xml:space="preserve"> sangat baik  dalam memahami konsep kombinasi pola gerak dasar dominan statis dan dinamis untuk membentuk keterampilan/ teknik dasar senam (seperti: handstand, kayang, meroda, dsb)</v>
      </c>
      <c r="BE20" s="307" t="str">
        <f t="shared" si="8"/>
        <v xml:space="preserve"> baik  dalam memahami konsep variasi dan kombinasi pola gerak dasar lokomotorr dan nonlokomotor untuk membentuk gerakan dasar atletik jalan cepat dan lari melalui permainan dan atau olahraga tradisional</v>
      </c>
      <c r="BF20"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20" s="307" t="str">
        <f t="shared" si="18"/>
        <v xml:space="preserve"> </v>
      </c>
      <c r="BH20"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20" s="301" t="str">
        <f t="shared" si="9"/>
        <v>Anak 16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20" s="408">
        <f t="shared" si="20"/>
        <v>95</v>
      </c>
      <c r="BM20" s="302">
        <f t="shared" si="21"/>
        <v>80</v>
      </c>
      <c r="BN20" s="303" t="str">
        <f>IF(BM20&gt;KKM!$G$10,"A",IF(BM20&gt;KKM!$H$10,"B",IF(BM20&gt;=KKM!$I$10,"C","D")))</f>
        <v>C</v>
      </c>
      <c r="BO20" s="523">
        <f t="shared" si="22"/>
        <v>79.5</v>
      </c>
      <c r="BP20" s="115" t="str">
        <f>IF(BO20&gt;KKM!$G$10," sangat baik ",IF(BO20&gt;KKM!$H$10," baik ",IF(BO20&gt;=KKM!$I$10," cukup baik "," perlu bimbingan ")))</f>
        <v xml:space="preserve"> cukup baik </v>
      </c>
      <c r="BQ20" s="524">
        <f t="shared" si="23"/>
        <v>79.5</v>
      </c>
      <c r="BR20" s="115" t="str">
        <f>IF(BQ20&gt;KKM!$G$10," sangat baik ",IF(BQ20&gt;KKM!$H$10," baik ",IF(BQ20&gt;=KKM!$I$10," cukup baik "," perlu bimbingan ")))</f>
        <v xml:space="preserve"> cukup baik </v>
      </c>
      <c r="BS20" s="301" t="str">
        <f t="shared" si="30"/>
        <v>Anak 16 cukup baik  dalam memahami konsep variasi dan kombinasi pola gerak dasar lokomotorr dan nonlokomotor untuk membentuk gerakan dasar atletik jalan cepat dan lari melalui permainan dan atau olahraga tradisional</v>
      </c>
      <c r="BT20" s="307" t="str">
        <f t="shared" si="24"/>
        <v xml:space="preserve"> cukup baik  dalam memahami konsep variasi dan kombinasi pola gerak dasar lokomotorr dan nonlokomotor untuk membentuk gerakan dasar atletik jalan cepat dan lari melalui permainan dan atau olahraga tradisional</v>
      </c>
      <c r="BU20" s="307" t="str">
        <f t="shared" si="25"/>
        <v xml:space="preserve"> cukup baik  dalam memahami konsep variasi dan kombinasi pola gerak dasar lokomotorr dan nonlokomotor untuk membentuk gerakan dasar atletik jalan cepat dan lari melalui permainan dan atau olahraga tradisional</v>
      </c>
      <c r="BV20"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pola gerak dasar lokomotorr dan nonlokomotor untuk membentuk gerakan dasar atletik jalan cepat dan lari melalui permainan dan atau olahraga tradisional</v>
      </c>
      <c r="BW20" s="307" t="str">
        <f t="shared" si="27"/>
        <v xml:space="preserve"> cukup baik  dalam memahami konsep variasi dan kombinasi pola gerak dasar lokomotorr dan nonlokomotor untuk membentuk gerakan dasar atletik jalan cepat dan lari melalui permainan dan atau olahraga tradisional</v>
      </c>
      <c r="BX20" s="308" t="str">
        <f t="shared" si="28"/>
        <v xml:space="preserve"> cukup baik  dalam memahami konsep variasi dan kombinasi pola gerak dasar lokomotorr dan nonlokomotor untuk membentuk gerakan dasar atletik jalan cepat dan lari melalui permainan dan atau olahraga tradisional</v>
      </c>
      <c r="BY20" s="301" t="str">
        <f t="shared" si="29"/>
        <v>Anak 16 cukup baik  dalam memahami konsep variasi dan kombinasi pola gerak dasar lokomotorr dan nonlokomotor untuk membentuk gerakan dasar atletik jalan cepat dan lari melalui permainan dan atau olahraga tradisional</v>
      </c>
    </row>
    <row r="21" spans="2:77" ht="63" customHeight="1">
      <c r="B21" s="109">
        <v>17</v>
      </c>
      <c r="C21" s="110">
        <f>SISWA!B22</f>
        <v>0</v>
      </c>
      <c r="D21" s="111" t="str">
        <f>SISWA!E22</f>
        <v>Anak 17</v>
      </c>
      <c r="E21" s="631">
        <v>99</v>
      </c>
      <c r="F21" s="631">
        <v>99</v>
      </c>
      <c r="G21" s="631">
        <v>99</v>
      </c>
      <c r="H21" s="631">
        <v>99</v>
      </c>
      <c r="I21" s="631">
        <v>99</v>
      </c>
      <c r="J21" s="613"/>
      <c r="K21" s="731"/>
      <c r="L21" s="731"/>
      <c r="M21" s="731"/>
      <c r="N21" s="731"/>
      <c r="O21" s="731"/>
      <c r="P21" s="730"/>
      <c r="Q21" s="610"/>
      <c r="R21" s="631">
        <v>79.5</v>
      </c>
      <c r="S21" s="631">
        <v>79.5</v>
      </c>
      <c r="T21" s="609"/>
      <c r="U21" s="609"/>
      <c r="V21" s="609"/>
      <c r="W21" s="609"/>
      <c r="X21" s="610"/>
      <c r="Y21" s="613">
        <v>79.5</v>
      </c>
      <c r="Z21" s="613">
        <v>79.5</v>
      </c>
      <c r="AA21" s="613"/>
      <c r="AB21" s="613"/>
      <c r="AC21" s="613"/>
      <c r="AD21" s="613"/>
      <c r="AE21" s="518"/>
      <c r="AF21" s="607">
        <f t="shared" si="10"/>
        <v>89.25</v>
      </c>
      <c r="AG21" s="607">
        <f t="shared" si="11"/>
        <v>89.25</v>
      </c>
      <c r="AH21" s="607">
        <f t="shared" si="12"/>
        <v>99</v>
      </c>
      <c r="AI21" s="607">
        <f t="shared" si="13"/>
        <v>99</v>
      </c>
      <c r="AJ21" s="607">
        <f t="shared" si="14"/>
        <v>99</v>
      </c>
      <c r="AK21" s="529"/>
      <c r="AL21" s="529"/>
      <c r="AM21" s="529"/>
      <c r="AN21" s="529"/>
      <c r="AO21" s="528"/>
      <c r="AP21" s="528"/>
      <c r="AQ21" s="528"/>
      <c r="AR21" s="528"/>
      <c r="AS21" s="529"/>
      <c r="AT21" s="529"/>
      <c r="AU21" s="528"/>
      <c r="AV21" s="302">
        <f t="shared" si="15"/>
        <v>95</v>
      </c>
      <c r="AW21" s="303" t="str">
        <f>IF(AV21&gt;KKM!$G$10,"A",IF(AV21&gt;KKM!$H$10,"B",IF(AV21&gt;=KKM!$I$10,"C","D")))</f>
        <v>A</v>
      </c>
      <c r="AX21" s="304">
        <f t="shared" si="5"/>
        <v>99</v>
      </c>
      <c r="AY21" s="115" t="str">
        <f>IF(AX21&gt;KKM!$G$10," sangat baik ",IF(AX21&gt;KKM!$H$10," baik ",IF(AX21&gt;=KKM!$I$10," cukup baik "," perlu bimbingan ")))</f>
        <v xml:space="preserve"> sangat baik </v>
      </c>
      <c r="AZ21" s="305">
        <f t="shared" si="6"/>
        <v>89.25</v>
      </c>
      <c r="BA21" s="115" t="str">
        <f>IF(AZ21&gt;KKM!$G$10," sangat baik ",IF(AZ21&gt;KKM!$H$10," baik ",IF(AZ21&gt;=KKM!$I$10," cukup baik "," perlu bimbingan ")))</f>
        <v xml:space="preserve"> baik </v>
      </c>
      <c r="BB21" s="301" t="str">
        <f t="shared" si="16"/>
        <v>Anak 17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21" s="306"/>
      <c r="BD21" s="307" t="str">
        <f t="shared" si="7"/>
        <v xml:space="preserve"> sangat baik  dalam memahami konsep kombinasi pola gerak dasar dominan statis dan dinamis untuk membentuk keterampilan/ teknik dasar senam (seperti: handstand, kayang, meroda, dsb)</v>
      </c>
      <c r="BE21" s="307" t="str">
        <f t="shared" si="8"/>
        <v xml:space="preserve"> baik  dalam memahami konsep variasi dan kombinasi pola gerak dasar lokomotorr dan nonlokomotor untuk membentuk gerakan dasar atletik jalan cepat dan lari melalui permainan dan atau olahraga tradisional</v>
      </c>
      <c r="BF21"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21" s="307" t="str">
        <f t="shared" si="18"/>
        <v xml:space="preserve"> </v>
      </c>
      <c r="BH21"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21" s="301" t="str">
        <f t="shared" si="9"/>
        <v>Anak 17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21" s="408">
        <f t="shared" si="20"/>
        <v>95</v>
      </c>
      <c r="BM21" s="302">
        <f t="shared" si="21"/>
        <v>80</v>
      </c>
      <c r="BN21" s="303" t="str">
        <f>IF(BM21&gt;KKM!$G$10,"A",IF(BM21&gt;KKM!$H$10,"B",IF(BM21&gt;=KKM!$I$10,"C","D")))</f>
        <v>C</v>
      </c>
      <c r="BO21" s="523">
        <f t="shared" si="22"/>
        <v>79.5</v>
      </c>
      <c r="BP21" s="115" t="str">
        <f>IF(BO21&gt;KKM!$G$10," sangat baik ",IF(BO21&gt;KKM!$H$10," baik ",IF(BO21&gt;=KKM!$I$10," cukup baik "," perlu bimbingan ")))</f>
        <v xml:space="preserve"> cukup baik </v>
      </c>
      <c r="BQ21" s="524">
        <f t="shared" si="23"/>
        <v>79.5</v>
      </c>
      <c r="BR21" s="115" t="str">
        <f>IF(BQ21&gt;KKM!$G$10," sangat baik ",IF(BQ21&gt;KKM!$H$10," baik ",IF(BQ21&gt;=KKM!$I$10," cukup baik "," perlu bimbingan ")))</f>
        <v xml:space="preserve"> cukup baik </v>
      </c>
      <c r="BS21" s="301" t="str">
        <f t="shared" si="30"/>
        <v>Anak 17 cukup baik  dalam memahami konsep variasi dan kombinasi pola gerak dasar lokomotorr dan nonlokomotor untuk membentuk gerakan dasar atletik jalan cepat dan lari melalui permainan dan atau olahraga tradisional</v>
      </c>
      <c r="BT21" s="307" t="str">
        <f t="shared" si="24"/>
        <v xml:space="preserve"> cukup baik  dalam memahami konsep variasi dan kombinasi pola gerak dasar lokomotorr dan nonlokomotor untuk membentuk gerakan dasar atletik jalan cepat dan lari melalui permainan dan atau olahraga tradisional</v>
      </c>
      <c r="BU21" s="307" t="str">
        <f t="shared" si="25"/>
        <v xml:space="preserve"> cukup baik  dalam memahami konsep variasi dan kombinasi pola gerak dasar lokomotorr dan nonlokomotor untuk membentuk gerakan dasar atletik jalan cepat dan lari melalui permainan dan atau olahraga tradisional</v>
      </c>
      <c r="BV21"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pola gerak dasar lokomotorr dan nonlokomotor untuk membentuk gerakan dasar atletik jalan cepat dan lari melalui permainan dan atau olahraga tradisional</v>
      </c>
      <c r="BW21" s="307" t="str">
        <f t="shared" si="27"/>
        <v xml:space="preserve"> cukup baik  dalam memahami konsep variasi dan kombinasi pola gerak dasar lokomotorr dan nonlokomotor untuk membentuk gerakan dasar atletik jalan cepat dan lari melalui permainan dan atau olahraga tradisional</v>
      </c>
      <c r="BX21" s="308" t="str">
        <f t="shared" si="28"/>
        <v xml:space="preserve"> cukup baik  dalam memahami konsep variasi dan kombinasi pola gerak dasar lokomotorr dan nonlokomotor untuk membentuk gerakan dasar atletik jalan cepat dan lari melalui permainan dan atau olahraga tradisional</v>
      </c>
      <c r="BY21" s="301" t="str">
        <f t="shared" si="29"/>
        <v>Anak 17 cukup baik  dalam memahami konsep variasi dan kombinasi pola gerak dasar lokomotorr dan nonlokomotor untuk membentuk gerakan dasar atletik jalan cepat dan lari melalui permainan dan atau olahraga tradisional</v>
      </c>
    </row>
    <row r="22" spans="2:77" ht="63" customHeight="1">
      <c r="B22" s="109">
        <v>18</v>
      </c>
      <c r="C22" s="110">
        <f>SISWA!B23</f>
        <v>0</v>
      </c>
      <c r="D22" s="111" t="str">
        <f>SISWA!E23</f>
        <v>Anak 18</v>
      </c>
      <c r="E22" s="631">
        <v>99</v>
      </c>
      <c r="F22" s="631">
        <v>99</v>
      </c>
      <c r="G22" s="631">
        <v>99</v>
      </c>
      <c r="H22" s="631">
        <v>99</v>
      </c>
      <c r="I22" s="631">
        <v>99</v>
      </c>
      <c r="J22" s="613"/>
      <c r="K22" s="731"/>
      <c r="L22" s="731"/>
      <c r="M22" s="731"/>
      <c r="N22" s="731"/>
      <c r="O22" s="731"/>
      <c r="P22" s="730"/>
      <c r="Q22" s="610"/>
      <c r="R22" s="631">
        <v>79.5</v>
      </c>
      <c r="S22" s="631">
        <v>89</v>
      </c>
      <c r="T22" s="609"/>
      <c r="U22" s="609"/>
      <c r="V22" s="609"/>
      <c r="W22" s="609"/>
      <c r="X22" s="610"/>
      <c r="Y22" s="613">
        <v>79.5</v>
      </c>
      <c r="Z22" s="613">
        <v>89</v>
      </c>
      <c r="AA22" s="613"/>
      <c r="AB22" s="613"/>
      <c r="AC22" s="613"/>
      <c r="AD22" s="613"/>
      <c r="AE22" s="518"/>
      <c r="AF22" s="607">
        <f t="shared" si="10"/>
        <v>89.25</v>
      </c>
      <c r="AG22" s="607">
        <f t="shared" si="11"/>
        <v>94</v>
      </c>
      <c r="AH22" s="607">
        <f t="shared" si="12"/>
        <v>99</v>
      </c>
      <c r="AI22" s="607">
        <f t="shared" si="13"/>
        <v>99</v>
      </c>
      <c r="AJ22" s="607">
        <f t="shared" si="14"/>
        <v>99</v>
      </c>
      <c r="AK22" s="529"/>
      <c r="AL22" s="529"/>
      <c r="AM22" s="529"/>
      <c r="AN22" s="529"/>
      <c r="AO22" s="528"/>
      <c r="AP22" s="528"/>
      <c r="AQ22" s="528"/>
      <c r="AR22" s="528"/>
      <c r="AS22" s="529"/>
      <c r="AT22" s="529"/>
      <c r="AU22" s="528"/>
      <c r="AV22" s="302">
        <f t="shared" si="15"/>
        <v>96</v>
      </c>
      <c r="AW22" s="303" t="str">
        <f>IF(AV22&gt;KKM!$G$10,"A",IF(AV22&gt;KKM!$H$10,"B",IF(AV22&gt;=KKM!$I$10,"C","D")))</f>
        <v>A</v>
      </c>
      <c r="AX22" s="304">
        <f t="shared" si="5"/>
        <v>99</v>
      </c>
      <c r="AY22" s="115" t="str">
        <f>IF(AX22&gt;KKM!$G$10," sangat baik ",IF(AX22&gt;KKM!$H$10," baik ",IF(AX22&gt;=KKM!$I$10," cukup baik "," perlu bimbingan ")))</f>
        <v xml:space="preserve"> sangat baik </v>
      </c>
      <c r="AZ22" s="305">
        <f t="shared" si="6"/>
        <v>89.25</v>
      </c>
      <c r="BA22" s="115" t="str">
        <f>IF(AZ22&gt;KKM!$G$10," sangat baik ",IF(AZ22&gt;KKM!$H$10," baik ",IF(AZ22&gt;=KKM!$I$10," cukup baik "," perlu bimbingan ")))</f>
        <v xml:space="preserve"> baik </v>
      </c>
      <c r="BB22" s="301" t="str">
        <f t="shared" si="16"/>
        <v>Anak 18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22" s="306"/>
      <c r="BD22" s="307" t="str">
        <f t="shared" si="7"/>
        <v xml:space="preserve"> sangat baik  dalam memahami konsep kombinasi pola gerak dasar dominan statis dan dinamis untuk membentuk keterampilan/ teknik dasar senam (seperti: handstand, kayang, meroda, dsb)</v>
      </c>
      <c r="BE22" s="307" t="str">
        <f t="shared" si="8"/>
        <v xml:space="preserve"> baik  dalam memahami konsep variasi dan kombinasi pola gerak dasar lokomotorr dan nonlokomotor untuk membentuk gerakan dasar atletik jalan cepat dan lari melalui permainan dan atau olahraga tradisional</v>
      </c>
      <c r="BF22"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22" s="307" t="str">
        <f t="shared" si="18"/>
        <v xml:space="preserve"> </v>
      </c>
      <c r="BH22"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22" s="301" t="str">
        <f t="shared" si="9"/>
        <v>Anak 18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22" s="408">
        <f t="shared" si="20"/>
        <v>96</v>
      </c>
      <c r="BM22" s="302">
        <f t="shared" si="21"/>
        <v>84</v>
      </c>
      <c r="BN22" s="303" t="str">
        <f>IF(BM22&gt;KKM!$G$10,"A",IF(BM22&gt;KKM!$H$10,"B",IF(BM22&gt;=KKM!$I$10,"C","D")))</f>
        <v>B</v>
      </c>
      <c r="BO22" s="523">
        <f t="shared" si="22"/>
        <v>89</v>
      </c>
      <c r="BP22" s="115" t="str">
        <f>IF(BO22&gt;KKM!$G$10," sangat baik ",IF(BO22&gt;KKM!$H$10," baik ",IF(BO22&gt;=KKM!$I$10," cukup baik "," perlu bimbingan ")))</f>
        <v xml:space="preserve"> baik </v>
      </c>
      <c r="BQ22" s="524">
        <f t="shared" si="23"/>
        <v>79.5</v>
      </c>
      <c r="BR22" s="115" t="str">
        <f>IF(BQ22&gt;KKM!$G$10," sangat baik ",IF(BQ22&gt;KKM!$H$10," baik ",IF(BQ22&gt;=KKM!$I$10," cukup baik "," perlu bimbingan ")))</f>
        <v xml:space="preserve"> cukup baik </v>
      </c>
      <c r="BS22" s="301" t="str">
        <f t="shared" si="30"/>
        <v>Anak 18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22" s="307" t="str">
        <f t="shared" si="24"/>
        <v xml:space="preserve"> baik  dalam memahami konsep variasi dan kombinasi gerak dasar lokomotor,non lokomotor, dan manipulative dalam berbagai permainan dan atau olahraga tradisional bola kecii.</v>
      </c>
      <c r="BU22" s="307" t="str">
        <f t="shared" si="25"/>
        <v xml:space="preserve"> cukup baik  dalam memahami konsep variasi dan kombinasi pola gerak dasar lokomotorr dan nonlokomotor untuk membentuk gerakan dasar atletik jalan cepat dan lari melalui permainan dan atau olahraga tradisional</v>
      </c>
      <c r="BV22"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22" s="307" t="str">
        <f t="shared" si="27"/>
        <v xml:space="preserve"> </v>
      </c>
      <c r="BX22"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22" s="301" t="str">
        <f t="shared" si="29"/>
        <v>Anak 18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23" spans="2:77" ht="63" customHeight="1">
      <c r="B23" s="109">
        <v>19</v>
      </c>
      <c r="C23" s="110">
        <f>SISWA!B24</f>
        <v>0</v>
      </c>
      <c r="D23" s="111" t="str">
        <f>SISWA!E24</f>
        <v>Anak 19</v>
      </c>
      <c r="E23" s="631">
        <v>99</v>
      </c>
      <c r="F23" s="631">
        <v>99</v>
      </c>
      <c r="G23" s="631">
        <v>99</v>
      </c>
      <c r="H23" s="631">
        <v>99</v>
      </c>
      <c r="I23" s="631">
        <v>99</v>
      </c>
      <c r="J23" s="613"/>
      <c r="K23" s="731"/>
      <c r="L23" s="731"/>
      <c r="M23" s="731"/>
      <c r="N23" s="731"/>
      <c r="O23" s="731"/>
      <c r="P23" s="730"/>
      <c r="Q23" s="610"/>
      <c r="R23" s="631">
        <v>89</v>
      </c>
      <c r="S23" s="631">
        <v>81</v>
      </c>
      <c r="T23" s="609"/>
      <c r="U23" s="609"/>
      <c r="V23" s="609"/>
      <c r="W23" s="609"/>
      <c r="X23" s="610"/>
      <c r="Y23" s="613">
        <v>89</v>
      </c>
      <c r="Z23" s="613">
        <v>81</v>
      </c>
      <c r="AA23" s="613"/>
      <c r="AB23" s="613"/>
      <c r="AC23" s="613"/>
      <c r="AD23" s="613"/>
      <c r="AE23" s="518"/>
      <c r="AF23" s="607">
        <f t="shared" si="10"/>
        <v>94</v>
      </c>
      <c r="AG23" s="607">
        <f t="shared" si="11"/>
        <v>90</v>
      </c>
      <c r="AH23" s="607">
        <f t="shared" si="12"/>
        <v>99</v>
      </c>
      <c r="AI23" s="607">
        <f t="shared" si="13"/>
        <v>99</v>
      </c>
      <c r="AJ23" s="607">
        <f t="shared" si="14"/>
        <v>99</v>
      </c>
      <c r="AK23" s="529"/>
      <c r="AL23" s="529"/>
      <c r="AM23" s="529"/>
      <c r="AN23" s="529"/>
      <c r="AO23" s="528"/>
      <c r="AP23" s="528"/>
      <c r="AQ23" s="528"/>
      <c r="AR23" s="528"/>
      <c r="AS23" s="529"/>
      <c r="AT23" s="529"/>
      <c r="AU23" s="528"/>
      <c r="AV23" s="302">
        <f t="shared" si="15"/>
        <v>96</v>
      </c>
      <c r="AW23" s="303" t="str">
        <f>IF(AV23&gt;KKM!$G$10,"A",IF(AV23&gt;KKM!$H$10,"B",IF(AV23&gt;=KKM!$I$10,"C","D")))</f>
        <v>A</v>
      </c>
      <c r="AX23" s="304">
        <f t="shared" si="5"/>
        <v>99</v>
      </c>
      <c r="AY23" s="115" t="str">
        <f>IF(AX23&gt;KKM!$G$10," sangat baik ",IF(AX23&gt;KKM!$H$10," baik ",IF(AX23&gt;=KKM!$I$10," cukup baik "," perlu bimbingan ")))</f>
        <v xml:space="preserve"> sangat baik </v>
      </c>
      <c r="AZ23" s="305">
        <f t="shared" si="6"/>
        <v>90</v>
      </c>
      <c r="BA23" s="115" t="str">
        <f>IF(AZ23&gt;KKM!$G$10," sangat baik ",IF(AZ23&gt;KKM!$H$10," baik ",IF(AZ23&gt;=KKM!$I$10," cukup baik "," perlu bimbingan ")))</f>
        <v xml:space="preserve"> baik </v>
      </c>
      <c r="BB23" s="301" t="str">
        <f t="shared" si="16"/>
        <v>Anak 19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23" s="306"/>
      <c r="BD23" s="307" t="str">
        <f t="shared" si="7"/>
        <v xml:space="preserve"> sangat baik  dalam memahami konsep kombinasi pola gerak dasar dominan statis dan dinamis untuk membentuk keterampilan/ teknik dasar senam (seperti: handstand, kayang, meroda, dsb)</v>
      </c>
      <c r="BE23" s="307" t="str">
        <f t="shared" si="8"/>
        <v xml:space="preserve"> baik  dalam memahami konsep variasi dan kombinasi gerak dasar lokomotor,non lokomotor, dan manipulative dalam berbagai permainan dan atau olahraga tradisional bola kecii.</v>
      </c>
      <c r="BF23"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23" s="307" t="str">
        <f t="shared" si="18"/>
        <v xml:space="preserve"> </v>
      </c>
      <c r="BH23"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23" s="301" t="str">
        <f t="shared" si="9"/>
        <v>Anak 19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23" s="408">
        <f t="shared" si="20"/>
        <v>96</v>
      </c>
      <c r="BM23" s="302">
        <f t="shared" si="21"/>
        <v>85</v>
      </c>
      <c r="BN23" s="303" t="str">
        <f>IF(BM23&gt;KKM!$G$10,"A",IF(BM23&gt;KKM!$H$10,"B",IF(BM23&gt;=KKM!$I$10,"C","D")))</f>
        <v>B</v>
      </c>
      <c r="BO23" s="523">
        <f t="shared" si="22"/>
        <v>89</v>
      </c>
      <c r="BP23" s="115" t="str">
        <f>IF(BO23&gt;KKM!$G$10," sangat baik ",IF(BO23&gt;KKM!$H$10," baik ",IF(BO23&gt;=KKM!$I$10," cukup baik "," perlu bimbingan ")))</f>
        <v xml:space="preserve"> baik </v>
      </c>
      <c r="BQ23" s="524">
        <f t="shared" si="23"/>
        <v>81</v>
      </c>
      <c r="BR23" s="115" t="str">
        <f>IF(BQ23&gt;KKM!$G$10," sangat baik ",IF(BQ23&gt;KKM!$H$10," baik ",IF(BQ23&gt;=KKM!$I$10," cukup baik "," perlu bimbingan ")))</f>
        <v xml:space="preserve"> baik </v>
      </c>
      <c r="BS23" s="301" t="str">
        <f t="shared" si="30"/>
        <v>Anak 19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c r="BT23" s="307" t="str">
        <f t="shared" si="24"/>
        <v xml:space="preserve"> baik  dalam memahami konsep variasi dan kombinasi pola gerak dasar lokomotorr dan nonlokomotor untuk membentuk gerakan dasar atletik jalan cepat dan lari melalui permainan dan atau olahraga tradisional</v>
      </c>
      <c r="BU23" s="307" t="str">
        <f t="shared" si="25"/>
        <v xml:space="preserve"> baik  dalam memahami konsep variasi dan kombinasi gerak dasar lokomotor,non lokomotor, dan manipulative dalam berbagai permainan dan atau olahraga tradisional bola kecii.</v>
      </c>
      <c r="BV23" s="307" t="str">
        <f t="shared" si="26"/>
        <v xml:space="preserve">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c r="BW23" s="307" t="str">
        <f t="shared" si="27"/>
        <v xml:space="preserve"> </v>
      </c>
      <c r="BX23" s="308" t="str">
        <f t="shared" si="28"/>
        <v xml:space="preserve">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c r="BY23" s="301" t="str">
        <f t="shared" si="29"/>
        <v>Anak 19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row>
    <row r="24" spans="2:77" ht="63" customHeight="1">
      <c r="B24" s="109">
        <v>20</v>
      </c>
      <c r="C24" s="110">
        <f>SISWA!B25</f>
        <v>0</v>
      </c>
      <c r="D24" s="111" t="str">
        <f>SISWA!E25</f>
        <v>Anak 20</v>
      </c>
      <c r="E24" s="631">
        <v>99</v>
      </c>
      <c r="F24" s="631">
        <v>99</v>
      </c>
      <c r="G24" s="631">
        <v>99</v>
      </c>
      <c r="H24" s="631">
        <v>99</v>
      </c>
      <c r="I24" s="631">
        <v>99</v>
      </c>
      <c r="J24" s="613"/>
      <c r="K24" s="731"/>
      <c r="L24" s="731"/>
      <c r="M24" s="731"/>
      <c r="N24" s="731"/>
      <c r="O24" s="731"/>
      <c r="P24" s="730"/>
      <c r="Q24" s="610"/>
      <c r="R24" s="631">
        <v>81</v>
      </c>
      <c r="S24" s="631">
        <v>76.5</v>
      </c>
      <c r="T24" s="609"/>
      <c r="U24" s="609"/>
      <c r="V24" s="609"/>
      <c r="W24" s="609"/>
      <c r="X24" s="610"/>
      <c r="Y24" s="613">
        <v>81</v>
      </c>
      <c r="Z24" s="613">
        <v>76.5</v>
      </c>
      <c r="AA24" s="613"/>
      <c r="AB24" s="613"/>
      <c r="AC24" s="613"/>
      <c r="AD24" s="613"/>
      <c r="AE24" s="518"/>
      <c r="AF24" s="607">
        <f t="shared" si="10"/>
        <v>90</v>
      </c>
      <c r="AG24" s="607">
        <f t="shared" si="11"/>
        <v>87.75</v>
      </c>
      <c r="AH24" s="607">
        <f t="shared" si="12"/>
        <v>99</v>
      </c>
      <c r="AI24" s="607">
        <f t="shared" si="13"/>
        <v>99</v>
      </c>
      <c r="AJ24" s="607">
        <f t="shared" si="14"/>
        <v>99</v>
      </c>
      <c r="AK24" s="529"/>
      <c r="AL24" s="529"/>
      <c r="AM24" s="529"/>
      <c r="AN24" s="529"/>
      <c r="AO24" s="528"/>
      <c r="AP24" s="528"/>
      <c r="AQ24" s="528"/>
      <c r="AR24" s="528"/>
      <c r="AS24" s="529"/>
      <c r="AT24" s="529"/>
      <c r="AU24" s="528"/>
      <c r="AV24" s="302">
        <f t="shared" si="15"/>
        <v>95</v>
      </c>
      <c r="AW24" s="303" t="str">
        <f>IF(AV24&gt;KKM!$G$10,"A",IF(AV24&gt;KKM!$H$10,"B",IF(AV24&gt;=KKM!$I$10,"C","D")))</f>
        <v>A</v>
      </c>
      <c r="AX24" s="304">
        <f t="shared" si="5"/>
        <v>99</v>
      </c>
      <c r="AY24" s="115" t="str">
        <f>IF(AX24&gt;KKM!$G$10," sangat baik ",IF(AX24&gt;KKM!$H$10," baik ",IF(AX24&gt;=KKM!$I$10," cukup baik "," perlu bimbingan ")))</f>
        <v xml:space="preserve"> sangat baik </v>
      </c>
      <c r="AZ24" s="305">
        <f t="shared" si="6"/>
        <v>87.75</v>
      </c>
      <c r="BA24" s="115" t="str">
        <f>IF(AZ24&gt;KKM!$G$10," sangat baik ",IF(AZ24&gt;KKM!$H$10," baik ",IF(AZ24&gt;=KKM!$I$10," cukup baik "," perlu bimbingan ")))</f>
        <v xml:space="preserve"> baik </v>
      </c>
      <c r="BB24" s="301" t="str">
        <f t="shared" si="16"/>
        <v>Anak 20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24" s="306"/>
      <c r="BD24" s="307" t="str">
        <f t="shared" si="7"/>
        <v xml:space="preserve"> sangat baik  dalam memahami konsep kombinasi pola gerak dasar dominan statis dan dinamis untuk membentuk keterampilan/ teknik dasar senam (seperti: handstand, kayang, meroda, dsb)</v>
      </c>
      <c r="BE24" s="307" t="str">
        <f t="shared" si="8"/>
        <v xml:space="preserve"> baik  dalam memahami konsep variasi dan kombinasi gerak dasar lokomotor,non lokomotor, dan manipulative dalam berbagai permainan dan atau olahraga tradisional bola kecii.</v>
      </c>
      <c r="BF24"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24" s="307" t="str">
        <f t="shared" si="18"/>
        <v xml:space="preserve"> </v>
      </c>
      <c r="BH24"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24" s="301" t="str">
        <f t="shared" si="9"/>
        <v>Anak 20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24" s="408">
        <f t="shared" si="20"/>
        <v>95</v>
      </c>
      <c r="BM24" s="302">
        <f t="shared" si="21"/>
        <v>79</v>
      </c>
      <c r="BN24" s="303" t="str">
        <f>IF(BM24&gt;KKM!$G$10,"A",IF(BM24&gt;KKM!$H$10,"B",IF(BM24&gt;=KKM!$I$10,"C","D")))</f>
        <v>C</v>
      </c>
      <c r="BO24" s="523">
        <f t="shared" si="22"/>
        <v>81</v>
      </c>
      <c r="BP24" s="115" t="str">
        <f>IF(BO24&gt;KKM!$G$10," sangat baik ",IF(BO24&gt;KKM!$H$10," baik ",IF(BO24&gt;=KKM!$I$10," cukup baik "," perlu bimbingan ")))</f>
        <v xml:space="preserve"> baik </v>
      </c>
      <c r="BQ24" s="524">
        <f t="shared" si="23"/>
        <v>76.5</v>
      </c>
      <c r="BR24" s="115" t="str">
        <f>IF(BQ24&gt;KKM!$G$10," sangat baik ",IF(BQ24&gt;KKM!$H$10," baik ",IF(BQ24&gt;=KKM!$I$10," cukup baik "," perlu bimbingan ")))</f>
        <v xml:space="preserve"> cukup baik </v>
      </c>
      <c r="BS24" s="301" t="str">
        <f t="shared" si="30"/>
        <v>Anak 20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24" s="307" t="str">
        <f t="shared" si="24"/>
        <v xml:space="preserve"> baik  dalam memahami konsep variasi dan kombinasi pola gerak dasar lokomotorr dan nonlokomotor untuk membentuk gerakan dasar atletik jalan cepat dan lari melalui permainan dan atau olahraga tradisional</v>
      </c>
      <c r="BU24" s="307" t="str">
        <f t="shared" si="25"/>
        <v xml:space="preserve"> cukup baik  dalam memahami konsep variasi dan kombinasi gerak dasar lokomotor,non lokomotor, dan manipulative dalam berbagai permainan dan atau olahraga tradisional bola kecii.</v>
      </c>
      <c r="BV24"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24" s="307" t="str">
        <f t="shared" si="27"/>
        <v xml:space="preserve"> </v>
      </c>
      <c r="BX24"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24" s="301" t="str">
        <f t="shared" si="29"/>
        <v>Anak 20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25" spans="2:77" ht="63" customHeight="1">
      <c r="B25" s="109">
        <v>21</v>
      </c>
      <c r="C25" s="110">
        <f>SISWA!B26</f>
        <v>0</v>
      </c>
      <c r="D25" s="111" t="str">
        <f>SISWA!E26</f>
        <v>Anak 21</v>
      </c>
      <c r="E25" s="631">
        <v>99</v>
      </c>
      <c r="F25" s="631">
        <v>99</v>
      </c>
      <c r="G25" s="631">
        <v>99</v>
      </c>
      <c r="H25" s="631">
        <v>99</v>
      </c>
      <c r="I25" s="631">
        <v>99</v>
      </c>
      <c r="J25" s="613"/>
      <c r="K25" s="731"/>
      <c r="L25" s="731"/>
      <c r="M25" s="731"/>
      <c r="N25" s="731"/>
      <c r="O25" s="731"/>
      <c r="P25" s="730"/>
      <c r="Q25" s="610"/>
      <c r="R25" s="631">
        <v>76.5</v>
      </c>
      <c r="S25" s="631">
        <v>86.5</v>
      </c>
      <c r="T25" s="609"/>
      <c r="U25" s="609"/>
      <c r="V25" s="609"/>
      <c r="W25" s="609"/>
      <c r="X25" s="610"/>
      <c r="Y25" s="613">
        <v>76.5</v>
      </c>
      <c r="Z25" s="613">
        <v>86.5</v>
      </c>
      <c r="AA25" s="613"/>
      <c r="AB25" s="613"/>
      <c r="AC25" s="613"/>
      <c r="AD25" s="613"/>
      <c r="AE25" s="518"/>
      <c r="AF25" s="607">
        <f t="shared" si="10"/>
        <v>87.75</v>
      </c>
      <c r="AG25" s="607">
        <f t="shared" si="11"/>
        <v>92.75</v>
      </c>
      <c r="AH25" s="607">
        <f t="shared" si="12"/>
        <v>99</v>
      </c>
      <c r="AI25" s="607">
        <f t="shared" si="13"/>
        <v>99</v>
      </c>
      <c r="AJ25" s="607">
        <f t="shared" si="14"/>
        <v>99</v>
      </c>
      <c r="AK25" s="529"/>
      <c r="AL25" s="529"/>
      <c r="AM25" s="529"/>
      <c r="AN25" s="529"/>
      <c r="AO25" s="528"/>
      <c r="AP25" s="528"/>
      <c r="AQ25" s="528"/>
      <c r="AR25" s="528"/>
      <c r="AS25" s="529"/>
      <c r="AT25" s="529"/>
      <c r="AU25" s="528"/>
      <c r="AV25" s="302">
        <f t="shared" si="15"/>
        <v>96</v>
      </c>
      <c r="AW25" s="303" t="str">
        <f>IF(AV25&gt;KKM!$G$10,"A",IF(AV25&gt;KKM!$H$10,"B",IF(AV25&gt;=KKM!$I$10,"C","D")))</f>
        <v>A</v>
      </c>
      <c r="AX25" s="304">
        <f t="shared" si="5"/>
        <v>99</v>
      </c>
      <c r="AY25" s="115" t="str">
        <f>IF(AX25&gt;KKM!$G$10," sangat baik ",IF(AX25&gt;KKM!$H$10," baik ",IF(AX25&gt;=KKM!$I$10," cukup baik "," perlu bimbingan ")))</f>
        <v xml:space="preserve"> sangat baik </v>
      </c>
      <c r="AZ25" s="305">
        <f t="shared" si="6"/>
        <v>87.75</v>
      </c>
      <c r="BA25" s="115" t="str">
        <f>IF(AZ25&gt;KKM!$G$10," sangat baik ",IF(AZ25&gt;KKM!$H$10," baik ",IF(AZ25&gt;=KKM!$I$10," cukup baik "," perlu bimbingan ")))</f>
        <v xml:space="preserve"> baik </v>
      </c>
      <c r="BB25" s="301" t="str">
        <f t="shared" si="16"/>
        <v>Anak 21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25" s="306"/>
      <c r="BD25" s="307" t="str">
        <f t="shared" si="7"/>
        <v xml:space="preserve"> sangat baik  dalam memahami konsep kombinasi pola gerak dasar dominan statis dan dinamis untuk membentuk keterampilan/ teknik dasar senam (seperti: handstand, kayang, meroda, dsb)</v>
      </c>
      <c r="BE25" s="307" t="str">
        <f t="shared" si="8"/>
        <v xml:space="preserve"> baik  dalam memahami konsep variasi dan kombinasi pola gerak dasar lokomotorr dan nonlokomotor untuk membentuk gerakan dasar atletik jalan cepat dan lari melalui permainan dan atau olahraga tradisional</v>
      </c>
      <c r="BF25"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25" s="307" t="str">
        <f t="shared" si="18"/>
        <v xml:space="preserve"> </v>
      </c>
      <c r="BH25"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25" s="301" t="str">
        <f t="shared" si="9"/>
        <v>Anak 21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25" s="408">
        <f t="shared" si="20"/>
        <v>96</v>
      </c>
      <c r="BM25" s="302">
        <f t="shared" si="21"/>
        <v>82</v>
      </c>
      <c r="BN25" s="303" t="str">
        <f>IF(BM25&gt;KKM!$G$10,"A",IF(BM25&gt;KKM!$H$10,"B",IF(BM25&gt;=KKM!$I$10,"C","D")))</f>
        <v>B</v>
      </c>
      <c r="BO25" s="523">
        <f t="shared" si="22"/>
        <v>86.5</v>
      </c>
      <c r="BP25" s="115" t="str">
        <f>IF(BO25&gt;KKM!$G$10," sangat baik ",IF(BO25&gt;KKM!$H$10," baik ",IF(BO25&gt;=KKM!$I$10," cukup baik "," perlu bimbingan ")))</f>
        <v xml:space="preserve"> baik </v>
      </c>
      <c r="BQ25" s="524">
        <f t="shared" si="23"/>
        <v>76.5</v>
      </c>
      <c r="BR25" s="115" t="str">
        <f>IF(BQ25&gt;KKM!$G$10," sangat baik ",IF(BQ25&gt;KKM!$H$10," baik ",IF(BQ25&gt;=KKM!$I$10," cukup baik "," perlu bimbingan ")))</f>
        <v xml:space="preserve"> cukup baik </v>
      </c>
      <c r="BS25" s="301" t="str">
        <f t="shared" si="30"/>
        <v>Anak 21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25" s="307" t="str">
        <f t="shared" si="24"/>
        <v xml:space="preserve"> baik  dalam memahami konsep variasi dan kombinasi gerak dasar lokomotor,non lokomotor, dan manipulative dalam berbagai permainan dan atau olahraga tradisional bola kecii.</v>
      </c>
      <c r="BU25" s="307" t="str">
        <f t="shared" si="25"/>
        <v xml:space="preserve"> cukup baik  dalam memahami konsep variasi dan kombinasi pola gerak dasar lokomotorr dan nonlokomotor untuk membentuk gerakan dasar atletik jalan cepat dan lari melalui permainan dan atau olahraga tradisional</v>
      </c>
      <c r="BV25"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25" s="307" t="str">
        <f t="shared" si="27"/>
        <v xml:space="preserve"> </v>
      </c>
      <c r="BX25"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25" s="301" t="str">
        <f t="shared" si="29"/>
        <v>Anak 21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26" spans="2:77" ht="63" customHeight="1">
      <c r="B26" s="109">
        <v>22</v>
      </c>
      <c r="C26" s="110">
        <f>SISWA!B27</f>
        <v>0</v>
      </c>
      <c r="D26" s="111" t="str">
        <f>SISWA!E27</f>
        <v>Anak 22</v>
      </c>
      <c r="E26" s="631">
        <v>99</v>
      </c>
      <c r="F26" s="631">
        <v>99</v>
      </c>
      <c r="G26" s="631">
        <v>99</v>
      </c>
      <c r="H26" s="631">
        <v>99</v>
      </c>
      <c r="I26" s="631">
        <v>99</v>
      </c>
      <c r="J26" s="613"/>
      <c r="K26" s="731"/>
      <c r="L26" s="731"/>
      <c r="M26" s="731"/>
      <c r="N26" s="731"/>
      <c r="O26" s="731"/>
      <c r="P26" s="730"/>
      <c r="Q26" s="610"/>
      <c r="R26" s="631">
        <v>86.5</v>
      </c>
      <c r="S26" s="631">
        <v>90</v>
      </c>
      <c r="T26" s="609"/>
      <c r="U26" s="609"/>
      <c r="V26" s="609"/>
      <c r="W26" s="609"/>
      <c r="X26" s="610"/>
      <c r="Y26" s="613">
        <v>86.5</v>
      </c>
      <c r="Z26" s="613">
        <v>90</v>
      </c>
      <c r="AA26" s="613"/>
      <c r="AB26" s="613"/>
      <c r="AC26" s="613"/>
      <c r="AD26" s="613"/>
      <c r="AE26" s="518"/>
      <c r="AF26" s="607">
        <f t="shared" si="10"/>
        <v>92.75</v>
      </c>
      <c r="AG26" s="607">
        <f t="shared" si="11"/>
        <v>94.5</v>
      </c>
      <c r="AH26" s="607">
        <f t="shared" si="12"/>
        <v>99</v>
      </c>
      <c r="AI26" s="607">
        <f t="shared" si="13"/>
        <v>99</v>
      </c>
      <c r="AJ26" s="607">
        <f t="shared" si="14"/>
        <v>99</v>
      </c>
      <c r="AK26" s="529"/>
      <c r="AL26" s="529"/>
      <c r="AM26" s="529"/>
      <c r="AN26" s="529"/>
      <c r="AO26" s="528"/>
      <c r="AP26" s="528"/>
      <c r="AQ26" s="528"/>
      <c r="AR26" s="528"/>
      <c r="AS26" s="529"/>
      <c r="AT26" s="529"/>
      <c r="AU26" s="528"/>
      <c r="AV26" s="302">
        <f t="shared" si="15"/>
        <v>97</v>
      </c>
      <c r="AW26" s="303" t="str">
        <f>IF(AV26&gt;KKM!$G$10,"A",IF(AV26&gt;KKM!$H$10,"B",IF(AV26&gt;=KKM!$I$10,"C","D")))</f>
        <v>A</v>
      </c>
      <c r="AX26" s="304">
        <f t="shared" si="5"/>
        <v>99</v>
      </c>
      <c r="AY26" s="115" t="str">
        <f>IF(AX26&gt;KKM!$G$10," sangat baik ",IF(AX26&gt;KKM!$H$10," baik ",IF(AX26&gt;=KKM!$I$10," cukup baik "," perlu bimbingan ")))</f>
        <v xml:space="preserve"> sangat baik </v>
      </c>
      <c r="AZ26" s="305">
        <f t="shared" si="6"/>
        <v>92.75</v>
      </c>
      <c r="BA26" s="115" t="str">
        <f>IF(AZ26&gt;KKM!$G$10," sangat baik ",IF(AZ26&gt;KKM!$H$10," baik ",IF(AZ26&gt;=KKM!$I$10," cukup baik "," perlu bimbingan ")))</f>
        <v xml:space="preserve"> sangat baik </v>
      </c>
      <c r="BB26" s="301" t="str">
        <f t="shared" si="16"/>
        <v>Anak 22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C26" s="306"/>
      <c r="BD26" s="307" t="str">
        <f t="shared" si="7"/>
        <v xml:space="preserve"> sangat baik  dalam memahami konsep kombinasi pola gerak dasar dominan statis dan dinamis untuk membentuk keterampilan/ teknik dasar senam (seperti: handstand, kayang, meroda, dsb)</v>
      </c>
      <c r="BE26" s="307" t="str">
        <f t="shared" si="8"/>
        <v xml:space="preserve"> sangat baik  dalam memahami konsep variasi dan kombinasi pola gerak dasar lokomotorr dan nonlokomotor untuk membentuk gerakan dasar atletik jalan cepat dan lari melalui permainan dan atau olahraga tradisional</v>
      </c>
      <c r="BF26" s="307" t="str">
        <f t="shared" si="17"/>
        <v xml:space="preserve">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G26" s="307" t="str">
        <f t="shared" si="18"/>
        <v xml:space="preserve"> </v>
      </c>
      <c r="BH26" s="308" t="str">
        <f t="shared" si="19"/>
        <v xml:space="preserve">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I26" s="301" t="str">
        <f t="shared" si="9"/>
        <v>Anak 22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K26" s="408">
        <f t="shared" si="20"/>
        <v>97</v>
      </c>
      <c r="BM26" s="302">
        <f t="shared" si="21"/>
        <v>88</v>
      </c>
      <c r="BN26" s="303" t="str">
        <f>IF(BM26&gt;KKM!$G$10,"A",IF(BM26&gt;KKM!$H$10,"B",IF(BM26&gt;=KKM!$I$10,"C","D")))</f>
        <v>B</v>
      </c>
      <c r="BO26" s="523">
        <f t="shared" si="22"/>
        <v>90</v>
      </c>
      <c r="BP26" s="115" t="str">
        <f>IF(BO26&gt;KKM!$G$10," sangat baik ",IF(BO26&gt;KKM!$H$10," baik ",IF(BO26&gt;=KKM!$I$10," cukup baik "," perlu bimbingan ")))</f>
        <v xml:space="preserve"> baik </v>
      </c>
      <c r="BQ26" s="524">
        <f t="shared" si="23"/>
        <v>86.5</v>
      </c>
      <c r="BR26" s="115" t="str">
        <f>IF(BQ26&gt;KKM!$G$10," sangat baik ",IF(BQ26&gt;KKM!$H$10," baik ",IF(BQ26&gt;=KKM!$I$10," cukup baik "," perlu bimbingan ")))</f>
        <v xml:space="preserve"> baik </v>
      </c>
      <c r="BS26" s="301" t="str">
        <f t="shared" si="30"/>
        <v>Anak 22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c r="BT26" s="307" t="str">
        <f t="shared" si="24"/>
        <v xml:space="preserve"> baik  dalam memahami konsep variasi dan kombinasi gerak dasar lokomotor,non lokomotor, dan manipulative dalam berbagai permainan dan atau olahraga tradisional bola kecii.</v>
      </c>
      <c r="BU26" s="307" t="str">
        <f t="shared" si="25"/>
        <v xml:space="preserve"> baik  dalam memahami konsep variasi dan kombinasi pola gerak dasar lokomotorr dan nonlokomotor untuk membentuk gerakan dasar atletik jalan cepat dan lari melalui permainan dan atau olahraga tradisional</v>
      </c>
      <c r="BV26" s="307" t="str">
        <f t="shared" si="26"/>
        <v xml:space="preserve">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c r="BW26" s="307" t="str">
        <f t="shared" si="27"/>
        <v xml:space="preserve"> </v>
      </c>
      <c r="BX26" s="308" t="str">
        <f t="shared" si="28"/>
        <v xml:space="preserve">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c r="BY26" s="301" t="str">
        <f t="shared" si="29"/>
        <v>Anak 22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row>
    <row r="27" spans="2:77" ht="63" customHeight="1">
      <c r="B27" s="109">
        <v>23</v>
      </c>
      <c r="C27" s="110">
        <f>SISWA!B28</f>
        <v>0</v>
      </c>
      <c r="D27" s="111" t="str">
        <f>SISWA!E28</f>
        <v>Anak 23</v>
      </c>
      <c r="E27" s="631">
        <v>99</v>
      </c>
      <c r="F27" s="631">
        <v>99</v>
      </c>
      <c r="G27" s="631">
        <v>99</v>
      </c>
      <c r="H27" s="631">
        <v>99</v>
      </c>
      <c r="I27" s="631">
        <v>99</v>
      </c>
      <c r="J27" s="613"/>
      <c r="K27" s="731"/>
      <c r="L27" s="731"/>
      <c r="M27" s="731"/>
      <c r="N27" s="731"/>
      <c r="O27" s="731"/>
      <c r="P27" s="730"/>
      <c r="Q27" s="610"/>
      <c r="R27" s="631">
        <v>90</v>
      </c>
      <c r="S27" s="631">
        <v>76.5</v>
      </c>
      <c r="T27" s="609"/>
      <c r="U27" s="609"/>
      <c r="V27" s="609"/>
      <c r="W27" s="609"/>
      <c r="X27" s="610"/>
      <c r="Y27" s="613">
        <v>90</v>
      </c>
      <c r="Z27" s="613">
        <v>76.5</v>
      </c>
      <c r="AA27" s="613"/>
      <c r="AB27" s="613"/>
      <c r="AC27" s="613"/>
      <c r="AD27" s="613"/>
      <c r="AE27" s="518"/>
      <c r="AF27" s="607">
        <f t="shared" si="10"/>
        <v>94.5</v>
      </c>
      <c r="AG27" s="607">
        <f t="shared" si="11"/>
        <v>87.75</v>
      </c>
      <c r="AH27" s="607">
        <f t="shared" si="12"/>
        <v>99</v>
      </c>
      <c r="AI27" s="607">
        <f t="shared" si="13"/>
        <v>99</v>
      </c>
      <c r="AJ27" s="607">
        <f t="shared" si="14"/>
        <v>99</v>
      </c>
      <c r="AK27" s="529"/>
      <c r="AL27" s="529"/>
      <c r="AM27" s="529"/>
      <c r="AN27" s="529"/>
      <c r="AO27" s="528"/>
      <c r="AP27" s="528"/>
      <c r="AQ27" s="528"/>
      <c r="AR27" s="528"/>
      <c r="AS27" s="529"/>
      <c r="AT27" s="529"/>
      <c r="AU27" s="528"/>
      <c r="AV27" s="302">
        <f t="shared" si="15"/>
        <v>96</v>
      </c>
      <c r="AW27" s="303" t="str">
        <f>IF(AV27&gt;KKM!$G$10,"A",IF(AV27&gt;KKM!$H$10,"B",IF(AV27&gt;=KKM!$I$10,"C","D")))</f>
        <v>A</v>
      </c>
      <c r="AX27" s="304">
        <f t="shared" si="5"/>
        <v>99</v>
      </c>
      <c r="AY27" s="115" t="str">
        <f>IF(AX27&gt;KKM!$G$10," sangat baik ",IF(AX27&gt;KKM!$H$10," baik ",IF(AX27&gt;=KKM!$I$10," cukup baik "," perlu bimbingan ")))</f>
        <v xml:space="preserve"> sangat baik </v>
      </c>
      <c r="AZ27" s="305">
        <f t="shared" si="6"/>
        <v>87.75</v>
      </c>
      <c r="BA27" s="115" t="str">
        <f>IF(AZ27&gt;KKM!$G$10," sangat baik ",IF(AZ27&gt;KKM!$H$10," baik ",IF(AZ27&gt;=KKM!$I$10," cukup baik "," perlu bimbingan ")))</f>
        <v xml:space="preserve"> baik </v>
      </c>
      <c r="BB27" s="301" t="str">
        <f t="shared" si="16"/>
        <v>Anak 23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27" s="306"/>
      <c r="BD27" s="307" t="str">
        <f t="shared" si="7"/>
        <v xml:space="preserve"> sangat baik  dalam memahami konsep kombinasi pola gerak dasar dominan statis dan dinamis untuk membentuk keterampilan/ teknik dasar senam (seperti: handstand, kayang, meroda, dsb)</v>
      </c>
      <c r="BE27" s="307" t="str">
        <f t="shared" si="8"/>
        <v xml:space="preserve"> baik  dalam memahami konsep variasi dan kombinasi gerak dasar lokomotor,non lokomotor, dan manipulative dalam berbagai permainan dan atau olahraga tradisional bola kecii.</v>
      </c>
      <c r="BF27"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27" s="307" t="str">
        <f t="shared" si="18"/>
        <v xml:space="preserve"> </v>
      </c>
      <c r="BH27"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27" s="301" t="str">
        <f t="shared" si="9"/>
        <v>Anak 23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27" s="408">
        <f t="shared" si="20"/>
        <v>96</v>
      </c>
      <c r="BM27" s="302">
        <f t="shared" si="21"/>
        <v>83</v>
      </c>
      <c r="BN27" s="303" t="str">
        <f>IF(BM27&gt;KKM!$G$10,"A",IF(BM27&gt;KKM!$H$10,"B",IF(BM27&gt;=KKM!$I$10,"C","D")))</f>
        <v>B</v>
      </c>
      <c r="BO27" s="523">
        <f t="shared" si="22"/>
        <v>90</v>
      </c>
      <c r="BP27" s="115" t="str">
        <f>IF(BO27&gt;KKM!$G$10," sangat baik ",IF(BO27&gt;KKM!$H$10," baik ",IF(BO27&gt;=KKM!$I$10," cukup baik "," perlu bimbingan ")))</f>
        <v xml:space="preserve"> baik </v>
      </c>
      <c r="BQ27" s="524">
        <f t="shared" si="23"/>
        <v>76.5</v>
      </c>
      <c r="BR27" s="115" t="str">
        <f>IF(BQ27&gt;KKM!$G$10," sangat baik ",IF(BQ27&gt;KKM!$H$10," baik ",IF(BQ27&gt;=KKM!$I$10," cukup baik "," perlu bimbingan ")))</f>
        <v xml:space="preserve"> cukup baik </v>
      </c>
      <c r="BS27" s="301" t="str">
        <f t="shared" si="30"/>
        <v>Anak 23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27" s="307" t="str">
        <f t="shared" si="24"/>
        <v xml:space="preserve"> baik  dalam memahami konsep variasi dan kombinasi pola gerak dasar lokomotorr dan nonlokomotor untuk membentuk gerakan dasar atletik jalan cepat dan lari melalui permainan dan atau olahraga tradisional</v>
      </c>
      <c r="BU27" s="307" t="str">
        <f t="shared" si="25"/>
        <v xml:space="preserve"> cukup baik  dalam memahami konsep variasi dan kombinasi gerak dasar lokomotor,non lokomotor, dan manipulative dalam berbagai permainan dan atau olahraga tradisional bola kecii.</v>
      </c>
      <c r="BV27"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27" s="307" t="str">
        <f t="shared" si="27"/>
        <v xml:space="preserve"> </v>
      </c>
      <c r="BX27"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27" s="301" t="str">
        <f t="shared" si="29"/>
        <v>Anak 23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28" spans="2:77" ht="63" customHeight="1">
      <c r="B28" s="109">
        <v>24</v>
      </c>
      <c r="C28" s="110">
        <f>SISWA!B29</f>
        <v>0</v>
      </c>
      <c r="D28" s="111" t="str">
        <f>SISWA!E29</f>
        <v>Anak 24</v>
      </c>
      <c r="E28" s="631">
        <v>99</v>
      </c>
      <c r="F28" s="631">
        <v>99</v>
      </c>
      <c r="G28" s="631">
        <v>99</v>
      </c>
      <c r="H28" s="631">
        <v>99</v>
      </c>
      <c r="I28" s="631">
        <v>99</v>
      </c>
      <c r="J28" s="613"/>
      <c r="K28" s="731"/>
      <c r="L28" s="731"/>
      <c r="M28" s="731"/>
      <c r="N28" s="731"/>
      <c r="O28" s="731"/>
      <c r="P28" s="730"/>
      <c r="Q28" s="610"/>
      <c r="R28" s="631">
        <v>76.5</v>
      </c>
      <c r="S28" s="631">
        <v>83</v>
      </c>
      <c r="T28" s="609"/>
      <c r="U28" s="609"/>
      <c r="V28" s="609"/>
      <c r="W28" s="609"/>
      <c r="X28" s="610"/>
      <c r="Y28" s="613">
        <v>76.5</v>
      </c>
      <c r="Z28" s="613">
        <v>83</v>
      </c>
      <c r="AA28" s="613"/>
      <c r="AB28" s="613"/>
      <c r="AC28" s="613"/>
      <c r="AD28" s="613"/>
      <c r="AE28" s="518"/>
      <c r="AF28" s="607">
        <f t="shared" si="10"/>
        <v>87.75</v>
      </c>
      <c r="AG28" s="607">
        <f t="shared" si="11"/>
        <v>91</v>
      </c>
      <c r="AH28" s="607">
        <f t="shared" si="12"/>
        <v>99</v>
      </c>
      <c r="AI28" s="607">
        <f t="shared" si="13"/>
        <v>99</v>
      </c>
      <c r="AJ28" s="607">
        <f t="shared" si="14"/>
        <v>99</v>
      </c>
      <c r="AK28" s="529"/>
      <c r="AL28" s="529"/>
      <c r="AM28" s="529"/>
      <c r="AN28" s="529"/>
      <c r="AO28" s="528"/>
      <c r="AP28" s="528"/>
      <c r="AQ28" s="528"/>
      <c r="AR28" s="528"/>
      <c r="AS28" s="529"/>
      <c r="AT28" s="529"/>
      <c r="AU28" s="528"/>
      <c r="AV28" s="302">
        <f t="shared" si="15"/>
        <v>95</v>
      </c>
      <c r="AW28" s="303" t="str">
        <f>IF(AV28&gt;KKM!$G$10,"A",IF(AV28&gt;KKM!$H$10,"B",IF(AV28&gt;=KKM!$I$10,"C","D")))</f>
        <v>A</v>
      </c>
      <c r="AX28" s="304">
        <f t="shared" si="5"/>
        <v>99</v>
      </c>
      <c r="AY28" s="115" t="str">
        <f>IF(AX28&gt;KKM!$G$10," sangat baik ",IF(AX28&gt;KKM!$H$10," baik ",IF(AX28&gt;=KKM!$I$10," cukup baik "," perlu bimbingan ")))</f>
        <v xml:space="preserve"> sangat baik </v>
      </c>
      <c r="AZ28" s="305">
        <f t="shared" si="6"/>
        <v>87.75</v>
      </c>
      <c r="BA28" s="115" t="str">
        <f>IF(AZ28&gt;KKM!$G$10," sangat baik ",IF(AZ28&gt;KKM!$H$10," baik ",IF(AZ28&gt;=KKM!$I$10," cukup baik "," perlu bimbingan ")))</f>
        <v xml:space="preserve"> baik </v>
      </c>
      <c r="BB28" s="301" t="str">
        <f t="shared" si="16"/>
        <v>Anak 24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28" s="306"/>
      <c r="BD28" s="307" t="str">
        <f t="shared" si="7"/>
        <v xml:space="preserve"> sangat baik  dalam memahami konsep kombinasi pola gerak dasar dominan statis dan dinamis untuk membentuk keterampilan/ teknik dasar senam (seperti: handstand, kayang, meroda, dsb)</v>
      </c>
      <c r="BE28" s="307" t="str">
        <f t="shared" si="8"/>
        <v xml:space="preserve"> baik  dalam memahami konsep variasi dan kombinasi pola gerak dasar lokomotorr dan nonlokomotor untuk membentuk gerakan dasar atletik jalan cepat dan lari melalui permainan dan atau olahraga tradisional</v>
      </c>
      <c r="BF28"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28" s="307" t="str">
        <f t="shared" si="18"/>
        <v xml:space="preserve"> </v>
      </c>
      <c r="BH28"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28" s="301" t="str">
        <f t="shared" si="9"/>
        <v>Anak 24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28" s="408">
        <f t="shared" si="20"/>
        <v>95</v>
      </c>
      <c r="BM28" s="302">
        <f t="shared" si="21"/>
        <v>80</v>
      </c>
      <c r="BN28" s="303" t="str">
        <f>IF(BM28&gt;KKM!$G$10,"A",IF(BM28&gt;KKM!$H$10,"B",IF(BM28&gt;=KKM!$I$10,"C","D")))</f>
        <v>C</v>
      </c>
      <c r="BO28" s="523">
        <f t="shared" si="22"/>
        <v>83</v>
      </c>
      <c r="BP28" s="115" t="str">
        <f>IF(BO28&gt;KKM!$G$10," sangat baik ",IF(BO28&gt;KKM!$H$10," baik ",IF(BO28&gt;=KKM!$I$10," cukup baik "," perlu bimbingan ")))</f>
        <v xml:space="preserve"> baik </v>
      </c>
      <c r="BQ28" s="524">
        <f t="shared" si="23"/>
        <v>76.5</v>
      </c>
      <c r="BR28" s="115" t="str">
        <f>IF(BQ28&gt;KKM!$G$10," sangat baik ",IF(BQ28&gt;KKM!$H$10," baik ",IF(BQ28&gt;=KKM!$I$10," cukup baik "," perlu bimbingan ")))</f>
        <v xml:space="preserve"> cukup baik </v>
      </c>
      <c r="BS28" s="301" t="str">
        <f t="shared" si="30"/>
        <v>Anak 24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28" s="307" t="str">
        <f t="shared" si="24"/>
        <v xml:space="preserve"> baik  dalam memahami konsep variasi dan kombinasi gerak dasar lokomotor,non lokomotor, dan manipulative dalam berbagai permainan dan atau olahraga tradisional bola kecii.</v>
      </c>
      <c r="BU28" s="307" t="str">
        <f t="shared" si="25"/>
        <v xml:space="preserve"> cukup baik  dalam memahami konsep variasi dan kombinasi pola gerak dasar lokomotorr dan nonlokomotor untuk membentuk gerakan dasar atletik jalan cepat dan lari melalui permainan dan atau olahraga tradisional</v>
      </c>
      <c r="BV28"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28" s="307" t="str">
        <f t="shared" si="27"/>
        <v xml:space="preserve"> </v>
      </c>
      <c r="BX28"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28" s="301" t="str">
        <f t="shared" si="29"/>
        <v>Anak 24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29" spans="2:77" ht="63" customHeight="1">
      <c r="B29" s="109">
        <v>25</v>
      </c>
      <c r="C29" s="110">
        <f>SISWA!B30</f>
        <v>0</v>
      </c>
      <c r="D29" s="111" t="str">
        <f>SISWA!E30</f>
        <v>Anak 25</v>
      </c>
      <c r="E29" s="631">
        <v>99</v>
      </c>
      <c r="F29" s="631">
        <v>99</v>
      </c>
      <c r="G29" s="631">
        <v>99</v>
      </c>
      <c r="H29" s="631">
        <v>99</v>
      </c>
      <c r="I29" s="631">
        <v>99</v>
      </c>
      <c r="J29" s="613"/>
      <c r="K29" s="731"/>
      <c r="L29" s="731"/>
      <c r="M29" s="731"/>
      <c r="N29" s="731"/>
      <c r="O29" s="731"/>
      <c r="P29" s="730"/>
      <c r="Q29" s="610"/>
      <c r="R29" s="631">
        <v>83</v>
      </c>
      <c r="S29" s="631">
        <v>74.5</v>
      </c>
      <c r="T29" s="609"/>
      <c r="U29" s="609"/>
      <c r="V29" s="609"/>
      <c r="W29" s="609"/>
      <c r="X29" s="610"/>
      <c r="Y29" s="613">
        <v>83</v>
      </c>
      <c r="Z29" s="613">
        <v>74.5</v>
      </c>
      <c r="AA29" s="613"/>
      <c r="AB29" s="613"/>
      <c r="AC29" s="613"/>
      <c r="AD29" s="613"/>
      <c r="AE29" s="518"/>
      <c r="AF29" s="607">
        <f t="shared" si="10"/>
        <v>91</v>
      </c>
      <c r="AG29" s="607">
        <f t="shared" si="11"/>
        <v>86.75</v>
      </c>
      <c r="AH29" s="607">
        <f t="shared" si="12"/>
        <v>99</v>
      </c>
      <c r="AI29" s="607">
        <f t="shared" si="13"/>
        <v>99</v>
      </c>
      <c r="AJ29" s="607">
        <f t="shared" si="14"/>
        <v>99</v>
      </c>
      <c r="AK29" s="529"/>
      <c r="AL29" s="529"/>
      <c r="AM29" s="529"/>
      <c r="AN29" s="529"/>
      <c r="AO29" s="528"/>
      <c r="AP29" s="528"/>
      <c r="AQ29" s="528"/>
      <c r="AR29" s="528"/>
      <c r="AS29" s="529"/>
      <c r="AT29" s="529"/>
      <c r="AU29" s="528"/>
      <c r="AV29" s="302">
        <f t="shared" si="15"/>
        <v>95</v>
      </c>
      <c r="AW29" s="303" t="str">
        <f>IF(AV29&gt;KKM!$G$10,"A",IF(AV29&gt;KKM!$H$10,"B",IF(AV29&gt;=KKM!$I$10,"C","D")))</f>
        <v>A</v>
      </c>
      <c r="AX29" s="304">
        <f t="shared" si="5"/>
        <v>99</v>
      </c>
      <c r="AY29" s="115" t="str">
        <f>IF(AX29&gt;KKM!$G$10," sangat baik ",IF(AX29&gt;KKM!$H$10," baik ",IF(AX29&gt;=KKM!$I$10," cukup baik "," perlu bimbingan ")))</f>
        <v xml:space="preserve"> sangat baik </v>
      </c>
      <c r="AZ29" s="305">
        <f t="shared" si="6"/>
        <v>86.75</v>
      </c>
      <c r="BA29" s="115" t="str">
        <f>IF(AZ29&gt;KKM!$G$10," sangat baik ",IF(AZ29&gt;KKM!$H$10," baik ",IF(AZ29&gt;=KKM!$I$10," cukup baik "," perlu bimbingan ")))</f>
        <v xml:space="preserve"> baik </v>
      </c>
      <c r="BB29" s="301" t="str">
        <f t="shared" si="16"/>
        <v>Anak 25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29" s="306"/>
      <c r="BD29" s="307" t="str">
        <f t="shared" si="7"/>
        <v xml:space="preserve"> sangat baik  dalam memahami konsep kombinasi pola gerak dasar dominan statis dan dinamis untuk membentuk keterampilan/ teknik dasar senam (seperti: handstand, kayang, meroda, dsb)</v>
      </c>
      <c r="BE29" s="307" t="str">
        <f t="shared" si="8"/>
        <v xml:space="preserve"> baik  dalam memahami konsep variasi dan kombinasi gerak dasar lokomotor,non lokomotor, dan manipulative dalam berbagai permainan dan atau olahraga tradisional bola kecii.</v>
      </c>
      <c r="BF29"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29" s="307" t="str">
        <f t="shared" si="18"/>
        <v xml:space="preserve"> </v>
      </c>
      <c r="BH29"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29" s="301" t="str">
        <f t="shared" si="9"/>
        <v>Anak 25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29" s="408">
        <f t="shared" si="20"/>
        <v>95</v>
      </c>
      <c r="BM29" s="302">
        <f t="shared" si="21"/>
        <v>79</v>
      </c>
      <c r="BN29" s="303" t="str">
        <f>IF(BM29&gt;KKM!$G$10,"A",IF(BM29&gt;KKM!$H$10,"B",IF(BM29&gt;=KKM!$I$10,"C","D")))</f>
        <v>C</v>
      </c>
      <c r="BO29" s="523">
        <f t="shared" si="22"/>
        <v>83</v>
      </c>
      <c r="BP29" s="115" t="str">
        <f>IF(BO29&gt;KKM!$G$10," sangat baik ",IF(BO29&gt;KKM!$H$10," baik ",IF(BO29&gt;=KKM!$I$10," cukup baik "," perlu bimbingan ")))</f>
        <v xml:space="preserve"> baik </v>
      </c>
      <c r="BQ29" s="524">
        <f t="shared" si="23"/>
        <v>74.5</v>
      </c>
      <c r="BR29" s="115" t="str">
        <f>IF(BQ29&gt;KKM!$G$10," sangat baik ",IF(BQ29&gt;KKM!$H$10," baik ",IF(BQ29&gt;=KKM!$I$10," cukup baik "," perlu bimbingan ")))</f>
        <v xml:space="preserve"> cukup baik </v>
      </c>
      <c r="BS29" s="301" t="str">
        <f t="shared" si="30"/>
        <v>Anak 25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29" s="307" t="str">
        <f t="shared" si="24"/>
        <v xml:space="preserve"> baik  dalam memahami konsep variasi dan kombinasi pola gerak dasar lokomotorr dan nonlokomotor untuk membentuk gerakan dasar atletik jalan cepat dan lari melalui permainan dan atau olahraga tradisional</v>
      </c>
      <c r="BU29" s="307" t="str">
        <f t="shared" si="25"/>
        <v xml:space="preserve"> cukup baik  dalam memahami konsep variasi dan kombinasi gerak dasar lokomotor,non lokomotor, dan manipulative dalam berbagai permainan dan atau olahraga tradisional bola kecii.</v>
      </c>
      <c r="BV29"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29" s="307" t="str">
        <f t="shared" si="27"/>
        <v xml:space="preserve"> </v>
      </c>
      <c r="BX29"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29" s="301" t="str">
        <f t="shared" si="29"/>
        <v>Anak 25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30" spans="2:77" ht="63" customHeight="1">
      <c r="B30" s="109">
        <v>26</v>
      </c>
      <c r="C30" s="110">
        <f>SISWA!B31</f>
        <v>0</v>
      </c>
      <c r="D30" s="111" t="str">
        <f>SISWA!E31</f>
        <v>Anak 26</v>
      </c>
      <c r="E30" s="631">
        <v>99</v>
      </c>
      <c r="F30" s="631">
        <v>99</v>
      </c>
      <c r="G30" s="631">
        <v>99</v>
      </c>
      <c r="H30" s="631">
        <v>99</v>
      </c>
      <c r="I30" s="631">
        <v>99</v>
      </c>
      <c r="J30" s="613"/>
      <c r="K30" s="731"/>
      <c r="L30" s="731"/>
      <c r="M30" s="731"/>
      <c r="N30" s="731"/>
      <c r="O30" s="731"/>
      <c r="P30" s="730"/>
      <c r="Q30" s="610"/>
      <c r="R30" s="631">
        <v>74.5</v>
      </c>
      <c r="S30" s="631">
        <v>74.5</v>
      </c>
      <c r="T30" s="609"/>
      <c r="U30" s="609"/>
      <c r="V30" s="609"/>
      <c r="W30" s="609"/>
      <c r="X30" s="610"/>
      <c r="Y30" s="613">
        <v>74.5</v>
      </c>
      <c r="Z30" s="613">
        <v>74.5</v>
      </c>
      <c r="AA30" s="613"/>
      <c r="AB30" s="613"/>
      <c r="AC30" s="613"/>
      <c r="AD30" s="613"/>
      <c r="AE30" s="518"/>
      <c r="AF30" s="607">
        <f t="shared" si="10"/>
        <v>86.75</v>
      </c>
      <c r="AG30" s="607">
        <f t="shared" si="11"/>
        <v>86.75</v>
      </c>
      <c r="AH30" s="607">
        <f t="shared" si="12"/>
        <v>99</v>
      </c>
      <c r="AI30" s="607">
        <f t="shared" si="13"/>
        <v>99</v>
      </c>
      <c r="AJ30" s="607">
        <f t="shared" si="14"/>
        <v>99</v>
      </c>
      <c r="AK30" s="529"/>
      <c r="AL30" s="529"/>
      <c r="AM30" s="529"/>
      <c r="AN30" s="529"/>
      <c r="AO30" s="528"/>
      <c r="AP30" s="528"/>
      <c r="AQ30" s="528"/>
      <c r="AR30" s="528"/>
      <c r="AS30" s="529"/>
      <c r="AT30" s="529"/>
      <c r="AU30" s="528"/>
      <c r="AV30" s="302">
        <f t="shared" si="15"/>
        <v>94</v>
      </c>
      <c r="AW30" s="303" t="str">
        <f>IF(AV30&gt;KKM!$G$10,"A",IF(AV30&gt;KKM!$H$10,"B",IF(AV30&gt;=KKM!$I$10,"C","D")))</f>
        <v>A</v>
      </c>
      <c r="AX30" s="304">
        <f t="shared" si="5"/>
        <v>99</v>
      </c>
      <c r="AY30" s="115" t="str">
        <f>IF(AX30&gt;KKM!$G$10," sangat baik ",IF(AX30&gt;KKM!$H$10," baik ",IF(AX30&gt;=KKM!$I$10," cukup baik "," perlu bimbingan ")))</f>
        <v xml:space="preserve"> sangat baik </v>
      </c>
      <c r="AZ30" s="305">
        <f t="shared" si="6"/>
        <v>86.75</v>
      </c>
      <c r="BA30" s="115" t="str">
        <f>IF(AZ30&gt;KKM!$G$10," sangat baik ",IF(AZ30&gt;KKM!$H$10," baik ",IF(AZ30&gt;=KKM!$I$10," cukup baik "," perlu bimbingan ")))</f>
        <v xml:space="preserve"> baik </v>
      </c>
      <c r="BB30" s="301" t="str">
        <f t="shared" si="16"/>
        <v>Anak 26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30" s="306"/>
      <c r="BD30" s="307" t="str">
        <f t="shared" si="7"/>
        <v xml:space="preserve"> sangat baik  dalam memahami konsep kombinasi pola gerak dasar dominan statis dan dinamis untuk membentuk keterampilan/ teknik dasar senam (seperti: handstand, kayang, meroda, dsb)</v>
      </c>
      <c r="BE30" s="307" t="str">
        <f t="shared" si="8"/>
        <v xml:space="preserve"> baik  dalam memahami konsep variasi dan kombinasi pola gerak dasar lokomotorr dan nonlokomotor untuk membentuk gerakan dasar atletik jalan cepat dan lari melalui permainan dan atau olahraga tradisional</v>
      </c>
      <c r="BF30"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30" s="307" t="str">
        <f t="shared" si="18"/>
        <v xml:space="preserve"> </v>
      </c>
      <c r="BH30"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30" s="301" t="str">
        <f t="shared" si="9"/>
        <v>Anak 26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30" s="408">
        <f t="shared" si="20"/>
        <v>94</v>
      </c>
      <c r="BM30" s="302">
        <f t="shared" si="21"/>
        <v>75</v>
      </c>
      <c r="BN30" s="303" t="str">
        <f>IF(BM30&gt;KKM!$G$10,"A",IF(BM30&gt;KKM!$H$10,"B",IF(BM30&gt;=KKM!$I$10,"C","D")))</f>
        <v>C</v>
      </c>
      <c r="BO30" s="523">
        <f t="shared" si="22"/>
        <v>74.5</v>
      </c>
      <c r="BP30" s="115" t="str">
        <f>IF(BO30&gt;KKM!$G$10," sangat baik ",IF(BO30&gt;KKM!$H$10," baik ",IF(BO30&gt;=KKM!$I$10," cukup baik "," perlu bimbingan ")))</f>
        <v xml:space="preserve"> cukup baik </v>
      </c>
      <c r="BQ30" s="524">
        <f t="shared" si="23"/>
        <v>74.5</v>
      </c>
      <c r="BR30" s="115" t="str">
        <f>IF(BQ30&gt;KKM!$G$10," sangat baik ",IF(BQ30&gt;KKM!$H$10," baik ",IF(BQ30&gt;=KKM!$I$10," cukup baik "," perlu bimbingan ")))</f>
        <v xml:space="preserve"> cukup baik </v>
      </c>
      <c r="BS30" s="301" t="str">
        <f t="shared" si="30"/>
        <v>Anak 26 cukup baik  dalam memahami konsep variasi dan kombinasi pola gerak dasar lokomotorr dan nonlokomotor untuk membentuk gerakan dasar atletik jalan cepat dan lari melalui permainan dan atau olahraga tradisional</v>
      </c>
      <c r="BT30" s="307" t="str">
        <f t="shared" si="24"/>
        <v xml:space="preserve"> cukup baik  dalam memahami konsep variasi dan kombinasi pola gerak dasar lokomotorr dan nonlokomotor untuk membentuk gerakan dasar atletik jalan cepat dan lari melalui permainan dan atau olahraga tradisional</v>
      </c>
      <c r="BU30" s="307" t="str">
        <f t="shared" si="25"/>
        <v xml:space="preserve"> cukup baik  dalam memahami konsep variasi dan kombinasi pola gerak dasar lokomotorr dan nonlokomotor untuk membentuk gerakan dasar atletik jalan cepat dan lari melalui permainan dan atau olahraga tradisional</v>
      </c>
      <c r="BV30"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pola gerak dasar lokomotorr dan nonlokomotor untuk membentuk gerakan dasar atletik jalan cepat dan lari melalui permainan dan atau olahraga tradisional</v>
      </c>
      <c r="BW30" s="307" t="str">
        <f t="shared" si="27"/>
        <v xml:space="preserve"> cukup baik  dalam memahami konsep variasi dan kombinasi pola gerak dasar lokomotorr dan nonlokomotor untuk membentuk gerakan dasar atletik jalan cepat dan lari melalui permainan dan atau olahraga tradisional</v>
      </c>
      <c r="BX30" s="308" t="str">
        <f t="shared" si="28"/>
        <v xml:space="preserve"> cukup baik  dalam memahami konsep variasi dan kombinasi pola gerak dasar lokomotorr dan nonlokomotor untuk membentuk gerakan dasar atletik jalan cepat dan lari melalui permainan dan atau olahraga tradisional</v>
      </c>
      <c r="BY30" s="301" t="str">
        <f t="shared" si="29"/>
        <v>Anak 26 cukup baik  dalam memahami konsep variasi dan kombinasi pola gerak dasar lokomotorr dan nonlokomotor untuk membentuk gerakan dasar atletik jalan cepat dan lari melalui permainan dan atau olahraga tradisional</v>
      </c>
    </row>
    <row r="31" spans="2:77" ht="63" customHeight="1">
      <c r="B31" s="109">
        <v>27</v>
      </c>
      <c r="C31" s="110">
        <f>SISWA!B32</f>
        <v>0</v>
      </c>
      <c r="D31" s="111" t="str">
        <f>SISWA!E32</f>
        <v>Anak 27</v>
      </c>
      <c r="E31" s="631">
        <v>99</v>
      </c>
      <c r="F31" s="631">
        <v>99</v>
      </c>
      <c r="G31" s="631">
        <v>99</v>
      </c>
      <c r="H31" s="631">
        <v>99</v>
      </c>
      <c r="I31" s="631">
        <v>99</v>
      </c>
      <c r="J31" s="613"/>
      <c r="K31" s="731"/>
      <c r="L31" s="731"/>
      <c r="M31" s="731"/>
      <c r="N31" s="731"/>
      <c r="O31" s="731"/>
      <c r="P31" s="730"/>
      <c r="Q31" s="610"/>
      <c r="R31" s="631">
        <v>74.5</v>
      </c>
      <c r="S31" s="631">
        <v>74.5</v>
      </c>
      <c r="T31" s="609"/>
      <c r="U31" s="609"/>
      <c r="V31" s="609"/>
      <c r="W31" s="609"/>
      <c r="X31" s="610"/>
      <c r="Y31" s="613">
        <v>74.5</v>
      </c>
      <c r="Z31" s="613">
        <v>74.5</v>
      </c>
      <c r="AA31" s="613"/>
      <c r="AB31" s="613"/>
      <c r="AC31" s="613"/>
      <c r="AD31" s="613"/>
      <c r="AE31" s="518"/>
      <c r="AF31" s="607">
        <f t="shared" si="10"/>
        <v>86.75</v>
      </c>
      <c r="AG31" s="607">
        <f t="shared" si="11"/>
        <v>86.75</v>
      </c>
      <c r="AH31" s="607">
        <f t="shared" si="12"/>
        <v>99</v>
      </c>
      <c r="AI31" s="607">
        <f t="shared" si="13"/>
        <v>99</v>
      </c>
      <c r="AJ31" s="607">
        <f t="shared" si="14"/>
        <v>99</v>
      </c>
      <c r="AK31" s="529"/>
      <c r="AL31" s="529"/>
      <c r="AM31" s="529"/>
      <c r="AN31" s="529"/>
      <c r="AO31" s="528"/>
      <c r="AP31" s="528"/>
      <c r="AQ31" s="528"/>
      <c r="AR31" s="528"/>
      <c r="AS31" s="529"/>
      <c r="AT31" s="529"/>
      <c r="AU31" s="528"/>
      <c r="AV31" s="302">
        <f t="shared" si="15"/>
        <v>94</v>
      </c>
      <c r="AW31" s="303" t="str">
        <f>IF(AV31&gt;KKM!$G$10,"A",IF(AV31&gt;KKM!$H$10,"B",IF(AV31&gt;=KKM!$I$10,"C","D")))</f>
        <v>A</v>
      </c>
      <c r="AX31" s="304">
        <f t="shared" si="5"/>
        <v>99</v>
      </c>
      <c r="AY31" s="115" t="str">
        <f>IF(AX31&gt;KKM!$G$10," sangat baik ",IF(AX31&gt;KKM!$H$10," baik ",IF(AX31&gt;=KKM!$I$10," cukup baik "," perlu bimbingan ")))</f>
        <v xml:space="preserve"> sangat baik </v>
      </c>
      <c r="AZ31" s="305">
        <f t="shared" si="6"/>
        <v>86.75</v>
      </c>
      <c r="BA31" s="115" t="str">
        <f>IF(AZ31&gt;KKM!$G$10," sangat baik ",IF(AZ31&gt;KKM!$H$10," baik ",IF(AZ31&gt;=KKM!$I$10," cukup baik "," perlu bimbingan ")))</f>
        <v xml:space="preserve"> baik </v>
      </c>
      <c r="BB31" s="301" t="str">
        <f t="shared" si="16"/>
        <v>Anak 27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31" s="306"/>
      <c r="BD31" s="307" t="str">
        <f t="shared" si="7"/>
        <v xml:space="preserve"> sangat baik  dalam memahami konsep kombinasi pola gerak dasar dominan statis dan dinamis untuk membentuk keterampilan/ teknik dasar senam (seperti: handstand, kayang, meroda, dsb)</v>
      </c>
      <c r="BE31" s="307" t="str">
        <f t="shared" si="8"/>
        <v xml:space="preserve"> baik  dalam memahami konsep variasi dan kombinasi pola gerak dasar lokomotorr dan nonlokomotor untuk membentuk gerakan dasar atletik jalan cepat dan lari melalui permainan dan atau olahraga tradisional</v>
      </c>
      <c r="BF31"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31" s="307" t="str">
        <f t="shared" si="18"/>
        <v xml:space="preserve"> </v>
      </c>
      <c r="BH31"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31" s="301" t="str">
        <f t="shared" si="9"/>
        <v>Anak 27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31" s="408">
        <f t="shared" si="20"/>
        <v>94</v>
      </c>
      <c r="BM31" s="302">
        <f t="shared" si="21"/>
        <v>75</v>
      </c>
      <c r="BN31" s="303" t="str">
        <f>IF(BM31&gt;KKM!$G$10,"A",IF(BM31&gt;KKM!$H$10,"B",IF(BM31&gt;=KKM!$I$10,"C","D")))</f>
        <v>C</v>
      </c>
      <c r="BO31" s="523">
        <f t="shared" si="22"/>
        <v>74.5</v>
      </c>
      <c r="BP31" s="115" t="str">
        <f>IF(BO31&gt;KKM!$G$10," sangat baik ",IF(BO31&gt;KKM!$H$10," baik ",IF(BO31&gt;=KKM!$I$10," cukup baik "," perlu bimbingan ")))</f>
        <v xml:space="preserve"> cukup baik </v>
      </c>
      <c r="BQ31" s="524">
        <f t="shared" si="23"/>
        <v>74.5</v>
      </c>
      <c r="BR31" s="115" t="str">
        <f>IF(BQ31&gt;KKM!$G$10," sangat baik ",IF(BQ31&gt;KKM!$H$10," baik ",IF(BQ31&gt;=KKM!$I$10," cukup baik "," perlu bimbingan ")))</f>
        <v xml:space="preserve"> cukup baik </v>
      </c>
      <c r="BS31" s="301" t="str">
        <f t="shared" si="30"/>
        <v>Anak 27 cukup baik  dalam memahami konsep variasi dan kombinasi pola gerak dasar lokomotorr dan nonlokomotor untuk membentuk gerakan dasar atletik jalan cepat dan lari melalui permainan dan atau olahraga tradisional</v>
      </c>
      <c r="BT31" s="307" t="str">
        <f t="shared" si="24"/>
        <v xml:space="preserve"> cukup baik  dalam memahami konsep variasi dan kombinasi pola gerak dasar lokomotorr dan nonlokomotor untuk membentuk gerakan dasar atletik jalan cepat dan lari melalui permainan dan atau olahraga tradisional</v>
      </c>
      <c r="BU31" s="307" t="str">
        <f t="shared" si="25"/>
        <v xml:space="preserve"> cukup baik  dalam memahami konsep variasi dan kombinasi pola gerak dasar lokomotorr dan nonlokomotor untuk membentuk gerakan dasar atletik jalan cepat dan lari melalui permainan dan atau olahraga tradisional</v>
      </c>
      <c r="BV31"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pola gerak dasar lokomotorr dan nonlokomotor untuk membentuk gerakan dasar atletik jalan cepat dan lari melalui permainan dan atau olahraga tradisional</v>
      </c>
      <c r="BW31" s="307" t="str">
        <f t="shared" si="27"/>
        <v xml:space="preserve"> cukup baik  dalam memahami konsep variasi dan kombinasi pola gerak dasar lokomotorr dan nonlokomotor untuk membentuk gerakan dasar atletik jalan cepat dan lari melalui permainan dan atau olahraga tradisional</v>
      </c>
      <c r="BX31" s="308" t="str">
        <f t="shared" si="28"/>
        <v xml:space="preserve"> cukup baik  dalam memahami konsep variasi dan kombinasi pola gerak dasar lokomotorr dan nonlokomotor untuk membentuk gerakan dasar atletik jalan cepat dan lari melalui permainan dan atau olahraga tradisional</v>
      </c>
      <c r="BY31" s="301" t="str">
        <f t="shared" si="29"/>
        <v>Anak 27 cukup baik  dalam memahami konsep variasi dan kombinasi pola gerak dasar lokomotorr dan nonlokomotor untuk membentuk gerakan dasar atletik jalan cepat dan lari melalui permainan dan atau olahraga tradisional</v>
      </c>
    </row>
    <row r="32" spans="2:77" ht="63" customHeight="1">
      <c r="B32" s="109">
        <v>28</v>
      </c>
      <c r="C32" s="110">
        <f>SISWA!B33</f>
        <v>0</v>
      </c>
      <c r="D32" s="111" t="str">
        <f>SISWA!E33</f>
        <v>Anak 28</v>
      </c>
      <c r="E32" s="631">
        <v>99</v>
      </c>
      <c r="F32" s="631">
        <v>99</v>
      </c>
      <c r="G32" s="631">
        <v>99</v>
      </c>
      <c r="H32" s="631">
        <v>99</v>
      </c>
      <c r="I32" s="631">
        <v>99</v>
      </c>
      <c r="J32" s="613"/>
      <c r="K32" s="731"/>
      <c r="L32" s="731"/>
      <c r="M32" s="731"/>
      <c r="N32" s="731"/>
      <c r="O32" s="731"/>
      <c r="P32" s="730"/>
      <c r="Q32" s="610"/>
      <c r="R32" s="631">
        <v>74.5</v>
      </c>
      <c r="S32" s="631">
        <v>84</v>
      </c>
      <c r="T32" s="609"/>
      <c r="U32" s="609"/>
      <c r="V32" s="609"/>
      <c r="W32" s="609"/>
      <c r="X32" s="610"/>
      <c r="Y32" s="613">
        <v>74.5</v>
      </c>
      <c r="Z32" s="613">
        <v>84</v>
      </c>
      <c r="AA32" s="613"/>
      <c r="AB32" s="613"/>
      <c r="AC32" s="613"/>
      <c r="AD32" s="613"/>
      <c r="AE32" s="518"/>
      <c r="AF32" s="607">
        <f t="shared" si="10"/>
        <v>86.75</v>
      </c>
      <c r="AG32" s="607">
        <f t="shared" si="11"/>
        <v>91.5</v>
      </c>
      <c r="AH32" s="607">
        <f t="shared" si="12"/>
        <v>99</v>
      </c>
      <c r="AI32" s="607">
        <f t="shared" si="13"/>
        <v>99</v>
      </c>
      <c r="AJ32" s="607">
        <f t="shared" si="14"/>
        <v>99</v>
      </c>
      <c r="AK32" s="529"/>
      <c r="AL32" s="529"/>
      <c r="AM32" s="529"/>
      <c r="AN32" s="529"/>
      <c r="AO32" s="528"/>
      <c r="AP32" s="528"/>
      <c r="AQ32" s="528"/>
      <c r="AR32" s="528"/>
      <c r="AS32" s="529"/>
      <c r="AT32" s="529"/>
      <c r="AU32" s="528"/>
      <c r="AV32" s="302">
        <f t="shared" si="15"/>
        <v>95</v>
      </c>
      <c r="AW32" s="303" t="str">
        <f>IF(AV32&gt;KKM!$G$10,"A",IF(AV32&gt;KKM!$H$10,"B",IF(AV32&gt;=KKM!$I$10,"C","D")))</f>
        <v>A</v>
      </c>
      <c r="AX32" s="304">
        <f t="shared" si="5"/>
        <v>99</v>
      </c>
      <c r="AY32" s="115" t="str">
        <f>IF(AX32&gt;KKM!$G$10," sangat baik ",IF(AX32&gt;KKM!$H$10," baik ",IF(AX32&gt;=KKM!$I$10," cukup baik "," perlu bimbingan ")))</f>
        <v xml:space="preserve"> sangat baik </v>
      </c>
      <c r="AZ32" s="305">
        <f t="shared" si="6"/>
        <v>86.75</v>
      </c>
      <c r="BA32" s="115" t="str">
        <f>IF(AZ32&gt;KKM!$G$10," sangat baik ",IF(AZ32&gt;KKM!$H$10," baik ",IF(AZ32&gt;=KKM!$I$10," cukup baik "," perlu bimbingan ")))</f>
        <v xml:space="preserve"> baik </v>
      </c>
      <c r="BB32" s="301" t="str">
        <f t="shared" si="16"/>
        <v>Anak 28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32" s="306"/>
      <c r="BD32" s="307" t="str">
        <f t="shared" si="7"/>
        <v xml:space="preserve"> sangat baik  dalam memahami konsep kombinasi pola gerak dasar dominan statis dan dinamis untuk membentuk keterampilan/ teknik dasar senam (seperti: handstand, kayang, meroda, dsb)</v>
      </c>
      <c r="BE32" s="307" t="str">
        <f t="shared" si="8"/>
        <v xml:space="preserve"> baik  dalam memahami konsep variasi dan kombinasi pola gerak dasar lokomotorr dan nonlokomotor untuk membentuk gerakan dasar atletik jalan cepat dan lari melalui permainan dan atau olahraga tradisional</v>
      </c>
      <c r="BF32"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32" s="307" t="str">
        <f t="shared" si="18"/>
        <v xml:space="preserve"> </v>
      </c>
      <c r="BH32"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32" s="301" t="str">
        <f t="shared" si="9"/>
        <v>Anak 28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32" s="408">
        <f t="shared" si="20"/>
        <v>95</v>
      </c>
      <c r="BM32" s="302">
        <f t="shared" si="21"/>
        <v>79</v>
      </c>
      <c r="BN32" s="303" t="str">
        <f>IF(BM32&gt;KKM!$G$10,"A",IF(BM32&gt;KKM!$H$10,"B",IF(BM32&gt;=KKM!$I$10,"C","D")))</f>
        <v>C</v>
      </c>
      <c r="BO32" s="523">
        <f t="shared" si="22"/>
        <v>84</v>
      </c>
      <c r="BP32" s="115" t="str">
        <f>IF(BO32&gt;KKM!$G$10," sangat baik ",IF(BO32&gt;KKM!$H$10," baik ",IF(BO32&gt;=KKM!$I$10," cukup baik "," perlu bimbingan ")))</f>
        <v xml:space="preserve"> baik </v>
      </c>
      <c r="BQ32" s="524">
        <f t="shared" si="23"/>
        <v>74.5</v>
      </c>
      <c r="BR32" s="115" t="str">
        <f>IF(BQ32&gt;KKM!$G$10," sangat baik ",IF(BQ32&gt;KKM!$H$10," baik ",IF(BQ32&gt;=KKM!$I$10," cukup baik "," perlu bimbingan ")))</f>
        <v xml:space="preserve"> cukup baik </v>
      </c>
      <c r="BS32" s="301" t="str">
        <f t="shared" si="30"/>
        <v>Anak 28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32" s="307" t="str">
        <f t="shared" si="24"/>
        <v xml:space="preserve"> baik  dalam memahami konsep variasi dan kombinasi gerak dasar lokomotor,non lokomotor, dan manipulative dalam berbagai permainan dan atau olahraga tradisional bola kecii.</v>
      </c>
      <c r="BU32" s="307" t="str">
        <f t="shared" si="25"/>
        <v xml:space="preserve"> cukup baik  dalam memahami konsep variasi dan kombinasi pola gerak dasar lokomotorr dan nonlokomotor untuk membentuk gerakan dasar atletik jalan cepat dan lari melalui permainan dan atau olahraga tradisional</v>
      </c>
      <c r="BV32"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32" s="307" t="str">
        <f t="shared" si="27"/>
        <v xml:space="preserve"> </v>
      </c>
      <c r="BX32"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32" s="301" t="str">
        <f t="shared" si="29"/>
        <v>Anak 28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33" spans="2:77" ht="63" customHeight="1">
      <c r="B33" s="109">
        <v>29</v>
      </c>
      <c r="C33" s="110">
        <f>SISWA!B34</f>
        <v>0</v>
      </c>
      <c r="D33" s="111" t="str">
        <f>SISWA!E34</f>
        <v>Anak 29</v>
      </c>
      <c r="E33" s="631">
        <v>99</v>
      </c>
      <c r="F33" s="631">
        <v>99</v>
      </c>
      <c r="G33" s="631">
        <v>99</v>
      </c>
      <c r="H33" s="631">
        <v>99</v>
      </c>
      <c r="I33" s="631">
        <v>99</v>
      </c>
      <c r="J33" s="613"/>
      <c r="K33" s="731"/>
      <c r="L33" s="731"/>
      <c r="M33" s="731"/>
      <c r="N33" s="731"/>
      <c r="O33" s="731"/>
      <c r="P33" s="730"/>
      <c r="Q33" s="610"/>
      <c r="R33" s="631">
        <v>84</v>
      </c>
      <c r="S33" s="631">
        <v>68.75</v>
      </c>
      <c r="T33" s="609"/>
      <c r="U33" s="609"/>
      <c r="V33" s="609"/>
      <c r="W33" s="609"/>
      <c r="X33" s="610"/>
      <c r="Y33" s="613">
        <v>84</v>
      </c>
      <c r="Z33" s="613">
        <v>68.75</v>
      </c>
      <c r="AA33" s="613"/>
      <c r="AB33" s="613"/>
      <c r="AC33" s="613"/>
      <c r="AD33" s="613"/>
      <c r="AE33" s="518"/>
      <c r="AF33" s="607">
        <f t="shared" si="10"/>
        <v>91.5</v>
      </c>
      <c r="AG33" s="607">
        <f t="shared" si="11"/>
        <v>83.875</v>
      </c>
      <c r="AH33" s="607">
        <f t="shared" si="12"/>
        <v>99</v>
      </c>
      <c r="AI33" s="607">
        <f t="shared" si="13"/>
        <v>99</v>
      </c>
      <c r="AJ33" s="607">
        <f t="shared" si="14"/>
        <v>99</v>
      </c>
      <c r="AK33" s="529"/>
      <c r="AL33" s="529"/>
      <c r="AM33" s="529"/>
      <c r="AN33" s="529"/>
      <c r="AO33" s="528"/>
      <c r="AP33" s="528"/>
      <c r="AQ33" s="528"/>
      <c r="AR33" s="528"/>
      <c r="AS33" s="529"/>
      <c r="AT33" s="529"/>
      <c r="AU33" s="528"/>
      <c r="AV33" s="302">
        <f t="shared" si="15"/>
        <v>94</v>
      </c>
      <c r="AW33" s="303" t="str">
        <f>IF(AV33&gt;KKM!$G$10,"A",IF(AV33&gt;KKM!$H$10,"B",IF(AV33&gt;=KKM!$I$10,"C","D")))</f>
        <v>A</v>
      </c>
      <c r="AX33" s="304">
        <f t="shared" si="5"/>
        <v>99</v>
      </c>
      <c r="AY33" s="115" t="str">
        <f>IF(AX33&gt;KKM!$G$10," sangat baik ",IF(AX33&gt;KKM!$H$10," baik ",IF(AX33&gt;=KKM!$I$10," cukup baik "," perlu bimbingan ")))</f>
        <v xml:space="preserve"> sangat baik </v>
      </c>
      <c r="AZ33" s="305">
        <f t="shared" si="6"/>
        <v>83.875</v>
      </c>
      <c r="BA33" s="115" t="str">
        <f>IF(AZ33&gt;KKM!$G$10," sangat baik ",IF(AZ33&gt;KKM!$H$10," baik ",IF(AZ33&gt;=KKM!$I$10," cukup baik "," perlu bimbingan ")))</f>
        <v xml:space="preserve"> baik </v>
      </c>
      <c r="BB33" s="301" t="str">
        <f t="shared" si="16"/>
        <v>Anak 29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33" s="306"/>
      <c r="BD33" s="307" t="str">
        <f t="shared" si="7"/>
        <v xml:space="preserve"> sangat baik  dalam memahami konsep kombinasi pola gerak dasar dominan statis dan dinamis untuk membentuk keterampilan/ teknik dasar senam (seperti: handstand, kayang, meroda, dsb)</v>
      </c>
      <c r="BE33" s="307" t="str">
        <f t="shared" si="8"/>
        <v xml:space="preserve"> baik  dalam memahami konsep variasi dan kombinasi gerak dasar lokomotor,non lokomotor, dan manipulative dalam berbagai permainan dan atau olahraga tradisional bola kecii.</v>
      </c>
      <c r="BF33"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33" s="307" t="str">
        <f t="shared" si="18"/>
        <v xml:space="preserve"> </v>
      </c>
      <c r="BH33"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33" s="301" t="str">
        <f t="shared" si="9"/>
        <v>Anak 29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33" s="408">
        <f t="shared" si="20"/>
        <v>94</v>
      </c>
      <c r="BM33" s="302">
        <f t="shared" si="21"/>
        <v>76</v>
      </c>
      <c r="BN33" s="303" t="str">
        <f>IF(BM33&gt;KKM!$G$10,"A",IF(BM33&gt;KKM!$H$10,"B",IF(BM33&gt;=KKM!$I$10,"C","D")))</f>
        <v>C</v>
      </c>
      <c r="BO33" s="523">
        <f t="shared" si="22"/>
        <v>84</v>
      </c>
      <c r="BP33" s="115" t="str">
        <f>IF(BO33&gt;KKM!$G$10," sangat baik ",IF(BO33&gt;KKM!$H$10," baik ",IF(BO33&gt;=KKM!$I$10," cukup baik "," perlu bimbingan ")))</f>
        <v xml:space="preserve"> baik </v>
      </c>
      <c r="BQ33" s="524">
        <f t="shared" si="23"/>
        <v>68.75</v>
      </c>
      <c r="BR33" s="115" t="str">
        <f>IF(BQ33&gt;KKM!$G$10," sangat baik ",IF(BQ33&gt;KKM!$H$10," baik ",IF(BQ33&gt;=KKM!$I$10," cukup baik "," perlu bimbingan ")))</f>
        <v xml:space="preserve"> perlu bimbingan </v>
      </c>
      <c r="BS33" s="301" t="str">
        <f t="shared" si="30"/>
        <v>Anak 29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T33" s="307" t="str">
        <f t="shared" si="24"/>
        <v xml:space="preserve"> baik  dalam memahami konsep variasi dan kombinasi pola gerak dasar lokomotorr dan nonlokomotor untuk membentuk gerakan dasar atletik jalan cepat dan lari melalui permainan dan atau olahraga tradisional</v>
      </c>
      <c r="BU33" s="307" t="str">
        <f t="shared" si="25"/>
        <v xml:space="preserve"> perlu bimbingan  dalam memahami konsep variasi dan kombinasi gerak dasar lokomotor,non lokomotor, dan manipulative dalam berbagai permainan dan atau olahraga tradisional bola kecii.</v>
      </c>
      <c r="BV33" s="307" t="str">
        <f t="shared" si="26"/>
        <v xml:space="preserve">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W33" s="307" t="str">
        <f t="shared" si="27"/>
        <v xml:space="preserve"> </v>
      </c>
      <c r="BX33" s="308" t="str">
        <f t="shared" si="28"/>
        <v xml:space="preserve">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Y33" s="301" t="str">
        <f t="shared" si="29"/>
        <v>Anak 29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row>
    <row r="34" spans="2:77" ht="63" customHeight="1">
      <c r="B34" s="109">
        <v>30</v>
      </c>
      <c r="C34" s="110">
        <f>SISWA!B35</f>
        <v>0</v>
      </c>
      <c r="D34" s="111" t="str">
        <f>SISWA!E35</f>
        <v>Anak 30</v>
      </c>
      <c r="E34" s="631">
        <v>99</v>
      </c>
      <c r="F34" s="631">
        <v>99</v>
      </c>
      <c r="G34" s="631">
        <v>99</v>
      </c>
      <c r="H34" s="631">
        <v>99</v>
      </c>
      <c r="I34" s="631">
        <v>99</v>
      </c>
      <c r="J34" s="613"/>
      <c r="K34" s="731"/>
      <c r="L34" s="731"/>
      <c r="M34" s="731"/>
      <c r="N34" s="731"/>
      <c r="O34" s="731"/>
      <c r="P34" s="730"/>
      <c r="Q34" s="610"/>
      <c r="R34" s="631">
        <v>84.5</v>
      </c>
      <c r="S34" s="631">
        <v>69.75</v>
      </c>
      <c r="T34" s="609"/>
      <c r="U34" s="609"/>
      <c r="V34" s="609"/>
      <c r="W34" s="609"/>
      <c r="X34" s="610"/>
      <c r="Y34" s="613">
        <v>84.5</v>
      </c>
      <c r="Z34" s="613">
        <v>69.75</v>
      </c>
      <c r="AA34" s="613"/>
      <c r="AB34" s="613"/>
      <c r="AC34" s="613"/>
      <c r="AD34" s="613"/>
      <c r="AE34" s="518"/>
      <c r="AF34" s="607">
        <f t="shared" si="10"/>
        <v>91.75</v>
      </c>
      <c r="AG34" s="607">
        <f t="shared" si="11"/>
        <v>84.375</v>
      </c>
      <c r="AH34" s="607">
        <f t="shared" si="12"/>
        <v>99</v>
      </c>
      <c r="AI34" s="607">
        <f t="shared" si="13"/>
        <v>99</v>
      </c>
      <c r="AJ34" s="607">
        <f t="shared" si="14"/>
        <v>99</v>
      </c>
      <c r="AK34" s="529"/>
      <c r="AL34" s="529"/>
      <c r="AM34" s="529"/>
      <c r="AN34" s="529"/>
      <c r="AO34" s="528"/>
      <c r="AP34" s="528"/>
      <c r="AQ34" s="528"/>
      <c r="AR34" s="528"/>
      <c r="AS34" s="529"/>
      <c r="AT34" s="529"/>
      <c r="AU34" s="528"/>
      <c r="AV34" s="302">
        <f t="shared" si="15"/>
        <v>95</v>
      </c>
      <c r="AW34" s="303" t="str">
        <f>IF(AV34&gt;KKM!$G$10,"A",IF(AV34&gt;KKM!$H$10,"B",IF(AV34&gt;=KKM!$I$10,"C","D")))</f>
        <v>A</v>
      </c>
      <c r="AX34" s="304">
        <f t="shared" si="5"/>
        <v>99</v>
      </c>
      <c r="AY34" s="115" t="str">
        <f>IF(AX34&gt;KKM!$G$10," sangat baik ",IF(AX34&gt;KKM!$H$10," baik ",IF(AX34&gt;=KKM!$I$10," cukup baik "," perlu bimbingan ")))</f>
        <v xml:space="preserve"> sangat baik </v>
      </c>
      <c r="AZ34" s="305">
        <f t="shared" si="6"/>
        <v>84.375</v>
      </c>
      <c r="BA34" s="115" t="str">
        <f>IF(AZ34&gt;KKM!$G$10," sangat baik ",IF(AZ34&gt;KKM!$H$10," baik ",IF(AZ34&gt;=KKM!$I$10," cukup baik "," perlu bimbingan ")))</f>
        <v xml:space="preserve"> baik </v>
      </c>
      <c r="BB34" s="301" t="str">
        <f t="shared" si="16"/>
        <v>Anak 30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34" s="306"/>
      <c r="BD34" s="307" t="str">
        <f t="shared" si="7"/>
        <v xml:space="preserve"> sangat baik  dalam memahami konsep kombinasi pola gerak dasar dominan statis dan dinamis untuk membentuk keterampilan/ teknik dasar senam (seperti: handstand, kayang, meroda, dsb)</v>
      </c>
      <c r="BE34" s="307" t="str">
        <f t="shared" si="8"/>
        <v xml:space="preserve"> baik  dalam memahami konsep variasi dan kombinasi gerak dasar lokomotor,non lokomotor, dan manipulative dalam berbagai permainan dan atau olahraga tradisional bola kecii.</v>
      </c>
      <c r="BF34"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34" s="307" t="str">
        <f t="shared" si="18"/>
        <v xml:space="preserve"> </v>
      </c>
      <c r="BH34"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34" s="301" t="str">
        <f t="shared" si="9"/>
        <v>Anak 30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34" s="408">
        <f t="shared" si="20"/>
        <v>95</v>
      </c>
      <c r="BM34" s="302">
        <f t="shared" si="21"/>
        <v>77</v>
      </c>
      <c r="BN34" s="303" t="str">
        <f>IF(BM34&gt;KKM!$G$10,"A",IF(BM34&gt;KKM!$H$10,"B",IF(BM34&gt;=KKM!$I$10,"C","D")))</f>
        <v>C</v>
      </c>
      <c r="BO34" s="523">
        <f t="shared" si="22"/>
        <v>84.5</v>
      </c>
      <c r="BP34" s="115" t="str">
        <f>IF(BO34&gt;KKM!$G$10," sangat baik ",IF(BO34&gt;KKM!$H$10," baik ",IF(BO34&gt;=KKM!$I$10," cukup baik "," perlu bimbingan ")))</f>
        <v xml:space="preserve"> baik </v>
      </c>
      <c r="BQ34" s="524">
        <f t="shared" si="23"/>
        <v>69.75</v>
      </c>
      <c r="BR34" s="115" t="str">
        <f>IF(BQ34&gt;KKM!$G$10," sangat baik ",IF(BQ34&gt;KKM!$H$10," baik ",IF(BQ34&gt;=KKM!$I$10," cukup baik "," perlu bimbingan ")))</f>
        <v xml:space="preserve"> perlu bimbingan </v>
      </c>
      <c r="BS34" s="301" t="str">
        <f t="shared" si="30"/>
        <v>Anak 30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T34" s="307" t="str">
        <f t="shared" si="24"/>
        <v xml:space="preserve"> baik  dalam memahami konsep variasi dan kombinasi pola gerak dasar lokomotorr dan nonlokomotor untuk membentuk gerakan dasar atletik jalan cepat dan lari melalui permainan dan atau olahraga tradisional</v>
      </c>
      <c r="BU34" s="307" t="str">
        <f t="shared" si="25"/>
        <v xml:space="preserve"> perlu bimbingan  dalam memahami konsep variasi dan kombinasi gerak dasar lokomotor,non lokomotor, dan manipulative dalam berbagai permainan dan atau olahraga tradisional bola kecii.</v>
      </c>
      <c r="BV34" s="307" t="str">
        <f t="shared" si="26"/>
        <v xml:space="preserve">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W34" s="307" t="str">
        <f t="shared" si="27"/>
        <v xml:space="preserve"> </v>
      </c>
      <c r="BX34" s="308" t="str">
        <f t="shared" si="28"/>
        <v xml:space="preserve">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BY34" s="301" t="str">
        <f t="shared" si="29"/>
        <v>Anak 30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row>
    <row r="35" spans="2:77" ht="63" customHeight="1">
      <c r="B35" s="109">
        <v>31</v>
      </c>
      <c r="C35" s="110">
        <f>SISWA!B36</f>
        <v>0</v>
      </c>
      <c r="D35" s="111" t="str">
        <f>SISWA!E36</f>
        <v>Anak 31</v>
      </c>
      <c r="E35" s="631">
        <v>99</v>
      </c>
      <c r="F35" s="631">
        <v>99</v>
      </c>
      <c r="G35" s="631">
        <v>99</v>
      </c>
      <c r="H35" s="631">
        <v>99</v>
      </c>
      <c r="I35" s="631">
        <v>99</v>
      </c>
      <c r="J35" s="613"/>
      <c r="K35" s="731"/>
      <c r="L35" s="731"/>
      <c r="M35" s="731"/>
      <c r="N35" s="731"/>
      <c r="O35" s="731"/>
      <c r="P35" s="730"/>
      <c r="Q35" s="610"/>
      <c r="R35" s="631">
        <v>72.5</v>
      </c>
      <c r="S35" s="631">
        <v>77.25</v>
      </c>
      <c r="T35" s="609"/>
      <c r="U35" s="609"/>
      <c r="V35" s="609"/>
      <c r="W35" s="609"/>
      <c r="X35" s="610"/>
      <c r="Y35" s="613">
        <v>72.5</v>
      </c>
      <c r="Z35" s="613">
        <v>77.25</v>
      </c>
      <c r="AA35" s="613"/>
      <c r="AB35" s="613"/>
      <c r="AC35" s="613"/>
      <c r="AD35" s="613"/>
      <c r="AE35" s="518"/>
      <c r="AF35" s="607">
        <f t="shared" si="10"/>
        <v>85.75</v>
      </c>
      <c r="AG35" s="607">
        <f t="shared" si="11"/>
        <v>88.125</v>
      </c>
      <c r="AH35" s="607">
        <f t="shared" si="12"/>
        <v>99</v>
      </c>
      <c r="AI35" s="607">
        <f t="shared" si="13"/>
        <v>99</v>
      </c>
      <c r="AJ35" s="607">
        <f t="shared" si="14"/>
        <v>99</v>
      </c>
      <c r="AK35" s="529"/>
      <c r="AL35" s="529"/>
      <c r="AM35" s="529"/>
      <c r="AN35" s="529"/>
      <c r="AO35" s="528"/>
      <c r="AP35" s="528"/>
      <c r="AQ35" s="528"/>
      <c r="AR35" s="528"/>
      <c r="AS35" s="529"/>
      <c r="AT35" s="529"/>
      <c r="AU35" s="528"/>
      <c r="AV35" s="302">
        <f t="shared" si="15"/>
        <v>94</v>
      </c>
      <c r="AW35" s="303" t="str">
        <f>IF(AV35&gt;KKM!$G$10,"A",IF(AV35&gt;KKM!$H$10,"B",IF(AV35&gt;=KKM!$I$10,"C","D")))</f>
        <v>A</v>
      </c>
      <c r="AX35" s="304">
        <f t="shared" si="5"/>
        <v>99</v>
      </c>
      <c r="AY35" s="115" t="str">
        <f>IF(AX35&gt;KKM!$G$10," sangat baik ",IF(AX35&gt;KKM!$H$10," baik ",IF(AX35&gt;=KKM!$I$10," cukup baik "," perlu bimbingan ")))</f>
        <v xml:space="preserve"> sangat baik </v>
      </c>
      <c r="AZ35" s="305">
        <f t="shared" si="6"/>
        <v>85.75</v>
      </c>
      <c r="BA35" s="115" t="str">
        <f>IF(AZ35&gt;KKM!$G$10," sangat baik ",IF(AZ35&gt;KKM!$H$10," baik ",IF(AZ35&gt;=KKM!$I$10," cukup baik "," perlu bimbingan ")))</f>
        <v xml:space="preserve"> baik </v>
      </c>
      <c r="BB35" s="301" t="str">
        <f t="shared" si="16"/>
        <v>Anak 31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35" s="306"/>
      <c r="BD35" s="307" t="str">
        <f t="shared" si="7"/>
        <v xml:space="preserve"> sangat baik  dalam memahami konsep kombinasi pola gerak dasar dominan statis dan dinamis untuk membentuk keterampilan/ teknik dasar senam (seperti: handstand, kayang, meroda, dsb)</v>
      </c>
      <c r="BE35" s="307" t="str">
        <f t="shared" si="8"/>
        <v xml:space="preserve"> baik  dalam memahami konsep variasi dan kombinasi pola gerak dasar lokomotorr dan nonlokomotor untuk membentuk gerakan dasar atletik jalan cepat dan lari melalui permainan dan atau olahraga tradisional</v>
      </c>
      <c r="BF35"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35" s="307" t="str">
        <f t="shared" si="18"/>
        <v xml:space="preserve"> </v>
      </c>
      <c r="BH35"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35" s="301" t="str">
        <f t="shared" si="9"/>
        <v>Anak 31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35" s="408">
        <f t="shared" si="20"/>
        <v>94</v>
      </c>
      <c r="BM35" s="302">
        <f t="shared" si="21"/>
        <v>75</v>
      </c>
      <c r="BN35" s="303" t="str">
        <f>IF(BM35&gt;KKM!$G$10,"A",IF(BM35&gt;KKM!$H$10,"B",IF(BM35&gt;=KKM!$I$10,"C","D")))</f>
        <v>C</v>
      </c>
      <c r="BO35" s="523">
        <f t="shared" si="22"/>
        <v>77.25</v>
      </c>
      <c r="BP35" s="115" t="str">
        <f>IF(BO35&gt;KKM!$G$10," sangat baik ",IF(BO35&gt;KKM!$H$10," baik ",IF(BO35&gt;=KKM!$I$10," cukup baik "," perlu bimbingan ")))</f>
        <v xml:space="preserve"> cukup baik </v>
      </c>
      <c r="BQ35" s="524">
        <f t="shared" si="23"/>
        <v>72.5</v>
      </c>
      <c r="BR35" s="115" t="str">
        <f>IF(BQ35&gt;KKM!$G$10," sangat baik ",IF(BQ35&gt;KKM!$H$10," baik ",IF(BQ35&gt;=KKM!$I$10," cukup baik "," perlu bimbingan ")))</f>
        <v xml:space="preserve"> cukup baik </v>
      </c>
      <c r="BS35" s="301" t="str">
        <f t="shared" si="30"/>
        <v>Anak 31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35" s="307" t="str">
        <f t="shared" si="24"/>
        <v xml:space="preserve"> cukup baik  dalam memahami konsep variasi dan kombinasi gerak dasar lokomotor,non lokomotor, dan manipulative dalam berbagai permainan dan atau olahraga tradisional bola kecii.</v>
      </c>
      <c r="BU35" s="307" t="str">
        <f t="shared" si="25"/>
        <v xml:space="preserve"> cukup baik  dalam memahami konsep variasi dan kombinasi pola gerak dasar lokomotorr dan nonlokomotor untuk membentuk gerakan dasar atletik jalan cepat dan lari melalui permainan dan atau olahraga tradisional</v>
      </c>
      <c r="BV35" s="307" t="str">
        <f t="shared" si="26"/>
        <v xml:space="preserve">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35" s="307" t="str">
        <f t="shared" si="27"/>
        <v xml:space="preserve"> </v>
      </c>
      <c r="BX35" s="308" t="str">
        <f t="shared" si="28"/>
        <v xml:space="preserve">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35" s="301" t="str">
        <f t="shared" si="29"/>
        <v>Anak 31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36" spans="2:77" ht="63" customHeight="1">
      <c r="B36" s="109">
        <v>32</v>
      </c>
      <c r="C36" s="110">
        <f>SISWA!B37</f>
        <v>0</v>
      </c>
      <c r="D36" s="111" t="str">
        <f>SISWA!E37</f>
        <v>Anak 32</v>
      </c>
      <c r="E36" s="631">
        <v>99</v>
      </c>
      <c r="F36" s="631">
        <v>99</v>
      </c>
      <c r="G36" s="631">
        <v>99</v>
      </c>
      <c r="H36" s="631">
        <v>99</v>
      </c>
      <c r="I36" s="631">
        <v>99</v>
      </c>
      <c r="J36" s="613"/>
      <c r="K36" s="731"/>
      <c r="L36" s="731"/>
      <c r="M36" s="731"/>
      <c r="N36" s="731"/>
      <c r="O36" s="731"/>
      <c r="P36" s="730"/>
      <c r="Q36" s="610"/>
      <c r="R36" s="631">
        <v>80</v>
      </c>
      <c r="S36" s="631">
        <v>71.75</v>
      </c>
      <c r="T36" s="609"/>
      <c r="U36" s="609"/>
      <c r="V36" s="609"/>
      <c r="W36" s="609"/>
      <c r="X36" s="610"/>
      <c r="Y36" s="613">
        <v>80</v>
      </c>
      <c r="Z36" s="613">
        <v>71.75</v>
      </c>
      <c r="AA36" s="613"/>
      <c r="AB36" s="613"/>
      <c r="AC36" s="613"/>
      <c r="AD36" s="613"/>
      <c r="AE36" s="518"/>
      <c r="AF36" s="607">
        <f t="shared" si="10"/>
        <v>89.5</v>
      </c>
      <c r="AG36" s="607">
        <f t="shared" si="11"/>
        <v>85.375</v>
      </c>
      <c r="AH36" s="607">
        <f t="shared" si="12"/>
        <v>99</v>
      </c>
      <c r="AI36" s="607">
        <f t="shared" si="13"/>
        <v>99</v>
      </c>
      <c r="AJ36" s="607">
        <f t="shared" si="14"/>
        <v>99</v>
      </c>
      <c r="AK36" s="529"/>
      <c r="AL36" s="529"/>
      <c r="AM36" s="529"/>
      <c r="AN36" s="529"/>
      <c r="AO36" s="528"/>
      <c r="AP36" s="528"/>
      <c r="AQ36" s="528"/>
      <c r="AR36" s="528"/>
      <c r="AS36" s="529"/>
      <c r="AT36" s="529"/>
      <c r="AU36" s="528"/>
      <c r="AV36" s="302">
        <f t="shared" si="15"/>
        <v>94</v>
      </c>
      <c r="AW36" s="303" t="str">
        <f>IF(AV36&gt;KKM!$G$10,"A",IF(AV36&gt;KKM!$H$10,"B",IF(AV36&gt;=KKM!$I$10,"C","D")))</f>
        <v>A</v>
      </c>
      <c r="AX36" s="304">
        <f t="shared" si="5"/>
        <v>99</v>
      </c>
      <c r="AY36" s="115" t="str">
        <f>IF(AX36&gt;KKM!$G$10," sangat baik ",IF(AX36&gt;KKM!$H$10," baik ",IF(AX36&gt;=KKM!$I$10," cukup baik "," perlu bimbingan ")))</f>
        <v xml:space="preserve"> sangat baik </v>
      </c>
      <c r="AZ36" s="305">
        <f t="shared" si="6"/>
        <v>85.375</v>
      </c>
      <c r="BA36" s="115" t="str">
        <f>IF(AZ36&gt;KKM!$G$10," sangat baik ",IF(AZ36&gt;KKM!$H$10," baik ",IF(AZ36&gt;=KKM!$I$10," cukup baik "," perlu bimbingan ")))</f>
        <v xml:space="preserve"> baik </v>
      </c>
      <c r="BB36" s="301" t="str">
        <f t="shared" si="16"/>
        <v>Anak 32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36" s="306"/>
      <c r="BD36" s="307" t="str">
        <f t="shared" si="7"/>
        <v xml:space="preserve"> sangat baik  dalam memahami konsep kombinasi pola gerak dasar dominan statis dan dinamis untuk membentuk keterampilan/ teknik dasar senam (seperti: handstand, kayang, meroda, dsb)</v>
      </c>
      <c r="BE36" s="307" t="str">
        <f t="shared" si="8"/>
        <v xml:space="preserve"> baik  dalam memahami konsep variasi dan kombinasi gerak dasar lokomotor,non lokomotor, dan manipulative dalam berbagai permainan dan atau olahraga tradisional bola kecii.</v>
      </c>
      <c r="BF36"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36" s="307" t="str">
        <f t="shared" si="18"/>
        <v xml:space="preserve"> </v>
      </c>
      <c r="BH36"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36" s="301" t="str">
        <f t="shared" si="9"/>
        <v>Anak 32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36" s="408">
        <f t="shared" si="20"/>
        <v>94</v>
      </c>
      <c r="BM36" s="302">
        <f t="shared" si="21"/>
        <v>76</v>
      </c>
      <c r="BN36" s="303" t="str">
        <f>IF(BM36&gt;KKM!$G$10,"A",IF(BM36&gt;KKM!$H$10,"B",IF(BM36&gt;=KKM!$I$10,"C","D")))</f>
        <v>C</v>
      </c>
      <c r="BO36" s="523">
        <f t="shared" si="22"/>
        <v>80</v>
      </c>
      <c r="BP36" s="115" t="str">
        <f>IF(BO36&gt;KKM!$G$10," sangat baik ",IF(BO36&gt;KKM!$H$10," baik ",IF(BO36&gt;=KKM!$I$10," cukup baik "," perlu bimbingan ")))</f>
        <v xml:space="preserve"> cukup baik </v>
      </c>
      <c r="BQ36" s="524">
        <f t="shared" si="23"/>
        <v>71.75</v>
      </c>
      <c r="BR36" s="115" t="str">
        <f>IF(BQ36&gt;KKM!$G$10," sangat baik ",IF(BQ36&gt;KKM!$H$10," baik ",IF(BQ36&gt;=KKM!$I$10," cukup baik "," perlu bimbingan ")))</f>
        <v xml:space="preserve"> cukup baik </v>
      </c>
      <c r="BS36" s="301" t="str">
        <f t="shared" si="30"/>
        <v>Anak 32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36" s="307" t="str">
        <f t="shared" si="24"/>
        <v xml:space="preserve"> cukup baik  dalam memahami konsep variasi dan kombinasi pola gerak dasar lokomotorr dan nonlokomotor untuk membentuk gerakan dasar atletik jalan cepat dan lari melalui permainan dan atau olahraga tradisional</v>
      </c>
      <c r="BU36" s="307" t="str">
        <f t="shared" si="25"/>
        <v xml:space="preserve"> cukup baik  dalam memahami konsep variasi dan kombinasi gerak dasar lokomotor,non lokomotor, dan manipulative dalam berbagai permainan dan atau olahraga tradisional bola kecii.</v>
      </c>
      <c r="BV36"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36" s="307" t="str">
        <f t="shared" si="27"/>
        <v xml:space="preserve"> </v>
      </c>
      <c r="BX36" s="308" t="str">
        <f t="shared" si="28"/>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36" s="301" t="str">
        <f t="shared" si="29"/>
        <v>Anak 32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37" spans="2:77" ht="63" customHeight="1">
      <c r="B37" s="109">
        <v>33</v>
      </c>
      <c r="C37" s="110">
        <f>SISWA!B38</f>
        <v>0</v>
      </c>
      <c r="D37" s="111" t="str">
        <f>SISWA!E38</f>
        <v>Anak 33</v>
      </c>
      <c r="E37" s="631">
        <v>99</v>
      </c>
      <c r="F37" s="631">
        <v>99</v>
      </c>
      <c r="G37" s="631">
        <v>99</v>
      </c>
      <c r="H37" s="631">
        <v>99</v>
      </c>
      <c r="I37" s="631">
        <v>99</v>
      </c>
      <c r="J37" s="613"/>
      <c r="K37" s="731"/>
      <c r="L37" s="731"/>
      <c r="M37" s="731"/>
      <c r="N37" s="731"/>
      <c r="O37" s="731"/>
      <c r="P37" s="730"/>
      <c r="Q37" s="610"/>
      <c r="R37" s="631">
        <v>79.5</v>
      </c>
      <c r="S37" s="631">
        <v>76</v>
      </c>
      <c r="T37" s="609"/>
      <c r="U37" s="609"/>
      <c r="V37" s="609"/>
      <c r="W37" s="609"/>
      <c r="X37" s="610"/>
      <c r="Y37" s="613">
        <v>79.5</v>
      </c>
      <c r="Z37" s="613">
        <v>76</v>
      </c>
      <c r="AA37" s="613"/>
      <c r="AB37" s="613"/>
      <c r="AC37" s="613"/>
      <c r="AD37" s="613"/>
      <c r="AE37" s="518"/>
      <c r="AF37" s="607">
        <f t="shared" si="10"/>
        <v>89.25</v>
      </c>
      <c r="AG37" s="607">
        <f t="shared" si="11"/>
        <v>87.5</v>
      </c>
      <c r="AH37" s="607">
        <f t="shared" si="12"/>
        <v>99</v>
      </c>
      <c r="AI37" s="607">
        <f t="shared" si="13"/>
        <v>99</v>
      </c>
      <c r="AJ37" s="607">
        <f t="shared" si="14"/>
        <v>99</v>
      </c>
      <c r="AK37" s="529"/>
      <c r="AL37" s="529"/>
      <c r="AM37" s="529"/>
      <c r="AN37" s="529"/>
      <c r="AO37" s="528"/>
      <c r="AP37" s="528"/>
      <c r="AQ37" s="528"/>
      <c r="AR37" s="528"/>
      <c r="AS37" s="529"/>
      <c r="AT37" s="529"/>
      <c r="AU37" s="528"/>
      <c r="AV37" s="302">
        <f t="shared" si="15"/>
        <v>95</v>
      </c>
      <c r="AW37" s="303" t="str">
        <f>IF(AV37&gt;KKM!$G$10,"A",IF(AV37&gt;KKM!$H$10,"B",IF(AV37&gt;=KKM!$I$10,"C","D")))</f>
        <v>A</v>
      </c>
      <c r="AX37" s="304">
        <f t="shared" si="5"/>
        <v>99</v>
      </c>
      <c r="AY37" s="115" t="str">
        <f>IF(AX37&gt;KKM!$G$10," sangat baik ",IF(AX37&gt;KKM!$H$10," baik ",IF(AX37&gt;=KKM!$I$10," cukup baik "," perlu bimbingan ")))</f>
        <v xml:space="preserve"> sangat baik </v>
      </c>
      <c r="AZ37" s="305">
        <f t="shared" si="6"/>
        <v>87.5</v>
      </c>
      <c r="BA37" s="115" t="str">
        <f>IF(AZ37&gt;KKM!$G$10," sangat baik ",IF(AZ37&gt;KKM!$H$10," baik ",IF(AZ37&gt;=KKM!$I$10," cukup baik "," perlu bimbingan ")))</f>
        <v xml:space="preserve"> baik </v>
      </c>
      <c r="BB37" s="301" t="str">
        <f t="shared" si="16"/>
        <v>Anak 33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37" s="306"/>
      <c r="BD37" s="307" t="str">
        <f t="shared" si="7"/>
        <v xml:space="preserve"> sangat baik  dalam memahami konsep kombinasi pola gerak dasar dominan statis dan dinamis untuk membentuk keterampilan/ teknik dasar senam (seperti: handstand, kayang, meroda, dsb)</v>
      </c>
      <c r="BE37" s="307" t="str">
        <f t="shared" si="8"/>
        <v xml:space="preserve"> baik  dalam memahami konsep variasi dan kombinasi gerak dasar lokomotor,non lokomotor, dan manipulative dalam berbagai permainan dan atau olahraga tradisional bola kecii.</v>
      </c>
      <c r="BF37"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37" s="307" t="str">
        <f t="shared" si="18"/>
        <v xml:space="preserve"> </v>
      </c>
      <c r="BH37"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37" s="301" t="str">
        <f t="shared" ref="BI37:BI54" si="31">CONCATENATE(D37,BH37)</f>
        <v>Anak 33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37" s="408">
        <f t="shared" si="20"/>
        <v>95</v>
      </c>
      <c r="BM37" s="302">
        <f t="shared" si="21"/>
        <v>78</v>
      </c>
      <c r="BN37" s="303" t="str">
        <f>IF(BM37&gt;KKM!$G$10,"A",IF(BM37&gt;KKM!$H$10,"B",IF(BM37&gt;=KKM!$I$10,"C","D")))</f>
        <v>C</v>
      </c>
      <c r="BO37" s="523">
        <f t="shared" si="22"/>
        <v>79.5</v>
      </c>
      <c r="BP37" s="115" t="str">
        <f>IF(BO37&gt;KKM!$G$10," sangat baik ",IF(BO37&gt;KKM!$H$10," baik ",IF(BO37&gt;=KKM!$I$10," cukup baik "," perlu bimbingan ")))</f>
        <v xml:space="preserve"> cukup baik </v>
      </c>
      <c r="BQ37" s="524">
        <f t="shared" si="23"/>
        <v>76</v>
      </c>
      <c r="BR37" s="115" t="str">
        <f>IF(BQ37&gt;KKM!$G$10," sangat baik ",IF(BQ37&gt;KKM!$H$10," baik ",IF(BQ37&gt;=KKM!$I$10," cukup baik "," perlu bimbingan ")))</f>
        <v xml:space="preserve"> cukup baik </v>
      </c>
      <c r="BS37" s="301" t="str">
        <f t="shared" si="30"/>
        <v>Anak 33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37" s="307" t="str">
        <f t="shared" si="24"/>
        <v xml:space="preserve"> cukup baik  dalam memahami konsep variasi dan kombinasi pola gerak dasar lokomotorr dan nonlokomotor untuk membentuk gerakan dasar atletik jalan cepat dan lari melalui permainan dan atau olahraga tradisional</v>
      </c>
      <c r="BU37" s="307" t="str">
        <f t="shared" si="25"/>
        <v xml:space="preserve"> cukup baik  dalam memahami konsep variasi dan kombinasi gerak dasar lokomotor,non lokomotor, dan manipulative dalam berbagai permainan dan atau olahraga tradisional bola kecii.</v>
      </c>
      <c r="BV37"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37" s="307" t="str">
        <f t="shared" si="27"/>
        <v xml:space="preserve"> </v>
      </c>
      <c r="BX37" s="308" t="str">
        <f t="shared" si="28"/>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37" s="301" t="str">
        <f t="shared" si="29"/>
        <v>Anak 33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38" spans="2:77" ht="63" customHeight="1">
      <c r="B38" s="109">
        <v>34</v>
      </c>
      <c r="C38" s="110">
        <f>SISWA!B39</f>
        <v>0</v>
      </c>
      <c r="D38" s="111" t="str">
        <f>SISWA!E39</f>
        <v>Anak 34</v>
      </c>
      <c r="E38" s="631">
        <v>99</v>
      </c>
      <c r="F38" s="631">
        <v>99</v>
      </c>
      <c r="G38" s="631">
        <v>99</v>
      </c>
      <c r="H38" s="631">
        <v>99</v>
      </c>
      <c r="I38" s="631">
        <v>99</v>
      </c>
      <c r="J38" s="613"/>
      <c r="K38" s="731"/>
      <c r="L38" s="731"/>
      <c r="M38" s="731"/>
      <c r="N38" s="731"/>
      <c r="O38" s="731"/>
      <c r="P38" s="730"/>
      <c r="Q38" s="610"/>
      <c r="R38" s="631">
        <v>79.5</v>
      </c>
      <c r="S38" s="631">
        <v>82.75</v>
      </c>
      <c r="T38" s="609"/>
      <c r="U38" s="609"/>
      <c r="V38" s="609"/>
      <c r="W38" s="609"/>
      <c r="X38" s="610"/>
      <c r="Y38" s="613">
        <v>79.5</v>
      </c>
      <c r="Z38" s="613">
        <v>82.75</v>
      </c>
      <c r="AA38" s="613"/>
      <c r="AB38" s="613"/>
      <c r="AC38" s="613"/>
      <c r="AD38" s="613"/>
      <c r="AE38" s="518"/>
      <c r="AF38" s="607">
        <f t="shared" si="10"/>
        <v>89.25</v>
      </c>
      <c r="AG38" s="607">
        <f t="shared" si="11"/>
        <v>90.875</v>
      </c>
      <c r="AH38" s="607">
        <f t="shared" si="12"/>
        <v>99</v>
      </c>
      <c r="AI38" s="607">
        <f t="shared" si="13"/>
        <v>99</v>
      </c>
      <c r="AJ38" s="607">
        <f t="shared" si="14"/>
        <v>99</v>
      </c>
      <c r="AK38" s="529"/>
      <c r="AL38" s="529"/>
      <c r="AM38" s="529"/>
      <c r="AN38" s="529"/>
      <c r="AO38" s="528"/>
      <c r="AP38" s="528"/>
      <c r="AQ38" s="528"/>
      <c r="AR38" s="528"/>
      <c r="AS38" s="529"/>
      <c r="AT38" s="529"/>
      <c r="AU38" s="528"/>
      <c r="AV38" s="302">
        <f t="shared" si="15"/>
        <v>95</v>
      </c>
      <c r="AW38" s="303" t="str">
        <f>IF(AV38&gt;KKM!$G$10,"A",IF(AV38&gt;KKM!$H$10,"B",IF(AV38&gt;=KKM!$I$10,"C","D")))</f>
        <v>A</v>
      </c>
      <c r="AX38" s="304">
        <f t="shared" si="5"/>
        <v>99</v>
      </c>
      <c r="AY38" s="115" t="str">
        <f>IF(AX38&gt;KKM!$G$10," sangat baik ",IF(AX38&gt;KKM!$H$10," baik ",IF(AX38&gt;=KKM!$I$10," cukup baik "," perlu bimbingan ")))</f>
        <v xml:space="preserve"> sangat baik </v>
      </c>
      <c r="AZ38" s="305">
        <f t="shared" si="6"/>
        <v>89.25</v>
      </c>
      <c r="BA38" s="115" t="str">
        <f>IF(AZ38&gt;KKM!$G$10," sangat baik ",IF(AZ38&gt;KKM!$H$10," baik ",IF(AZ38&gt;=KKM!$I$10," cukup baik "," perlu bimbingan ")))</f>
        <v xml:space="preserve"> baik </v>
      </c>
      <c r="BB38" s="301" t="str">
        <f t="shared" si="16"/>
        <v>Anak 34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38" s="306"/>
      <c r="BD38" s="307" t="str">
        <f t="shared" si="7"/>
        <v xml:space="preserve"> sangat baik  dalam memahami konsep kombinasi pola gerak dasar dominan statis dan dinamis untuk membentuk keterampilan/ teknik dasar senam (seperti: handstand, kayang, meroda, dsb)</v>
      </c>
      <c r="BE38" s="307" t="str">
        <f t="shared" si="8"/>
        <v xml:space="preserve"> baik  dalam memahami konsep variasi dan kombinasi pola gerak dasar lokomotorr dan nonlokomotor untuk membentuk gerakan dasar atletik jalan cepat dan lari melalui permainan dan atau olahraga tradisional</v>
      </c>
      <c r="BF38"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38" s="307" t="str">
        <f t="shared" si="18"/>
        <v xml:space="preserve"> </v>
      </c>
      <c r="BH38"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38" s="301" t="str">
        <f t="shared" si="31"/>
        <v>Anak 34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38" s="408">
        <f t="shared" si="20"/>
        <v>95</v>
      </c>
      <c r="BM38" s="302">
        <f t="shared" si="21"/>
        <v>81</v>
      </c>
      <c r="BN38" s="303" t="str">
        <f>IF(BM38&gt;KKM!$G$10,"A",IF(BM38&gt;KKM!$H$10,"B",IF(BM38&gt;=KKM!$I$10,"C","D")))</f>
        <v>B</v>
      </c>
      <c r="BO38" s="523">
        <f t="shared" si="22"/>
        <v>82.75</v>
      </c>
      <c r="BP38" s="115" t="str">
        <f>IF(BO38&gt;KKM!$G$10," sangat baik ",IF(BO38&gt;KKM!$H$10," baik ",IF(BO38&gt;=KKM!$I$10," cukup baik "," perlu bimbingan ")))</f>
        <v xml:space="preserve"> baik </v>
      </c>
      <c r="BQ38" s="524">
        <f t="shared" si="23"/>
        <v>79.5</v>
      </c>
      <c r="BR38" s="115" t="str">
        <f>IF(BQ38&gt;KKM!$G$10," sangat baik ",IF(BQ38&gt;KKM!$H$10," baik ",IF(BQ38&gt;=KKM!$I$10," cukup baik "," perlu bimbingan ")))</f>
        <v xml:space="preserve"> cukup baik </v>
      </c>
      <c r="BS38" s="301" t="str">
        <f t="shared" si="30"/>
        <v>Anak 34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38" s="307" t="str">
        <f t="shared" si="24"/>
        <v xml:space="preserve"> baik  dalam memahami konsep variasi dan kombinasi gerak dasar lokomotor,non lokomotor, dan manipulative dalam berbagai permainan dan atau olahraga tradisional bola kecii.</v>
      </c>
      <c r="BU38" s="307" t="str">
        <f t="shared" si="25"/>
        <v xml:space="preserve"> cukup baik  dalam memahami konsep variasi dan kombinasi pola gerak dasar lokomotorr dan nonlokomotor untuk membentuk gerakan dasar atletik jalan cepat dan lari melalui permainan dan atau olahraga tradisional</v>
      </c>
      <c r="BV38"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38" s="307" t="str">
        <f t="shared" si="27"/>
        <v xml:space="preserve"> </v>
      </c>
      <c r="BX38"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38" s="301" t="str">
        <f t="shared" si="29"/>
        <v>Anak 34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39" spans="2:77" ht="63" customHeight="1">
      <c r="B39" s="109">
        <v>35</v>
      </c>
      <c r="C39" s="110">
        <f>SISWA!B40</f>
        <v>0</v>
      </c>
      <c r="D39" s="111" t="str">
        <f>SISWA!E40</f>
        <v>Anak 35</v>
      </c>
      <c r="E39" s="631">
        <v>99</v>
      </c>
      <c r="F39" s="631">
        <v>99</v>
      </c>
      <c r="G39" s="631">
        <v>99</v>
      </c>
      <c r="H39" s="631">
        <v>99</v>
      </c>
      <c r="I39" s="631">
        <v>99</v>
      </c>
      <c r="J39" s="613"/>
      <c r="K39" s="731"/>
      <c r="L39" s="731"/>
      <c r="M39" s="731"/>
      <c r="N39" s="731"/>
      <c r="O39" s="731"/>
      <c r="P39" s="730"/>
      <c r="Q39" s="610"/>
      <c r="R39" s="631">
        <v>79.5</v>
      </c>
      <c r="S39" s="631">
        <v>74.75</v>
      </c>
      <c r="T39" s="609"/>
      <c r="U39" s="609"/>
      <c r="V39" s="609"/>
      <c r="W39" s="609"/>
      <c r="X39" s="610"/>
      <c r="Y39" s="613">
        <v>79.5</v>
      </c>
      <c r="Z39" s="613">
        <v>74.75</v>
      </c>
      <c r="AA39" s="613"/>
      <c r="AB39" s="613"/>
      <c r="AC39" s="613"/>
      <c r="AD39" s="613"/>
      <c r="AE39" s="518"/>
      <c r="AF39" s="607">
        <f t="shared" si="10"/>
        <v>89.25</v>
      </c>
      <c r="AG39" s="607">
        <f t="shared" si="11"/>
        <v>86.875</v>
      </c>
      <c r="AH39" s="607">
        <f t="shared" si="12"/>
        <v>99</v>
      </c>
      <c r="AI39" s="607">
        <f t="shared" si="13"/>
        <v>99</v>
      </c>
      <c r="AJ39" s="607">
        <f t="shared" si="14"/>
        <v>99</v>
      </c>
      <c r="AK39" s="529"/>
      <c r="AL39" s="529"/>
      <c r="AM39" s="529"/>
      <c r="AN39" s="529"/>
      <c r="AO39" s="528"/>
      <c r="AP39" s="528"/>
      <c r="AQ39" s="528"/>
      <c r="AR39" s="528"/>
      <c r="AS39" s="529"/>
      <c r="AT39" s="529"/>
      <c r="AU39" s="528"/>
      <c r="AV39" s="302">
        <f t="shared" si="15"/>
        <v>95</v>
      </c>
      <c r="AW39" s="303" t="str">
        <f>IF(AV39&gt;KKM!$G$10,"A",IF(AV39&gt;KKM!$H$10,"B",IF(AV39&gt;=KKM!$I$10,"C","D")))</f>
        <v>A</v>
      </c>
      <c r="AX39" s="304">
        <f t="shared" si="5"/>
        <v>99</v>
      </c>
      <c r="AY39" s="115" t="str">
        <f>IF(AX39&gt;KKM!$G$10," sangat baik ",IF(AX39&gt;KKM!$H$10," baik ",IF(AX39&gt;=KKM!$I$10," cukup baik "," perlu bimbingan ")))</f>
        <v xml:space="preserve"> sangat baik </v>
      </c>
      <c r="AZ39" s="305">
        <f t="shared" si="6"/>
        <v>86.875</v>
      </c>
      <c r="BA39" s="115" t="str">
        <f>IF(AZ39&gt;KKM!$G$10," sangat baik ",IF(AZ39&gt;KKM!$H$10," baik ",IF(AZ39&gt;=KKM!$I$10," cukup baik "," perlu bimbingan ")))</f>
        <v xml:space="preserve"> baik </v>
      </c>
      <c r="BB39" s="301" t="str">
        <f t="shared" si="16"/>
        <v>Anak 35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39" s="306"/>
      <c r="BD39" s="307" t="str">
        <f t="shared" si="7"/>
        <v xml:space="preserve"> sangat baik  dalam memahami konsep kombinasi pola gerak dasar dominan statis dan dinamis untuk membentuk keterampilan/ teknik dasar senam (seperti: handstand, kayang, meroda, dsb)</v>
      </c>
      <c r="BE39" s="307" t="str">
        <f t="shared" si="8"/>
        <v xml:space="preserve"> baik  dalam memahami konsep variasi dan kombinasi gerak dasar lokomotor,non lokomotor, dan manipulative dalam berbagai permainan dan atau olahraga tradisional bola kecii.</v>
      </c>
      <c r="BF39"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39" s="307" t="str">
        <f t="shared" si="18"/>
        <v xml:space="preserve"> </v>
      </c>
      <c r="BH39"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39" s="301" t="str">
        <f t="shared" si="31"/>
        <v>Anak 35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39" s="408">
        <f t="shared" si="20"/>
        <v>95</v>
      </c>
      <c r="BM39" s="302">
        <f t="shared" si="21"/>
        <v>77</v>
      </c>
      <c r="BN39" s="303" t="str">
        <f>IF(BM39&gt;KKM!$G$10,"A",IF(BM39&gt;KKM!$H$10,"B",IF(BM39&gt;=KKM!$I$10,"C","D")))</f>
        <v>C</v>
      </c>
      <c r="BO39" s="523">
        <f t="shared" si="22"/>
        <v>79.5</v>
      </c>
      <c r="BP39" s="115" t="str">
        <f>IF(BO39&gt;KKM!$G$10," sangat baik ",IF(BO39&gt;KKM!$H$10," baik ",IF(BO39&gt;=KKM!$I$10," cukup baik "," perlu bimbingan ")))</f>
        <v xml:space="preserve"> cukup baik </v>
      </c>
      <c r="BQ39" s="524">
        <f t="shared" si="23"/>
        <v>74.75</v>
      </c>
      <c r="BR39" s="115" t="str">
        <f>IF(BQ39&gt;KKM!$G$10," sangat baik ",IF(BQ39&gt;KKM!$H$10," baik ",IF(BQ39&gt;=KKM!$I$10," cukup baik "," perlu bimbingan ")))</f>
        <v xml:space="preserve"> cukup baik </v>
      </c>
      <c r="BS39" s="301" t="str">
        <f t="shared" si="30"/>
        <v>Anak 35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39" s="307" t="str">
        <f t="shared" si="24"/>
        <v xml:space="preserve"> cukup baik  dalam memahami konsep variasi dan kombinasi pola gerak dasar lokomotorr dan nonlokomotor untuk membentuk gerakan dasar atletik jalan cepat dan lari melalui permainan dan atau olahraga tradisional</v>
      </c>
      <c r="BU39" s="307" t="str">
        <f t="shared" si="25"/>
        <v xml:space="preserve"> cukup baik  dalam memahami konsep variasi dan kombinasi gerak dasar lokomotor,non lokomotor, dan manipulative dalam berbagai permainan dan atau olahraga tradisional bola kecii.</v>
      </c>
      <c r="BV39"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39" s="307" t="str">
        <f t="shared" si="27"/>
        <v xml:space="preserve"> </v>
      </c>
      <c r="BX39" s="308" t="str">
        <f t="shared" si="28"/>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39" s="301" t="str">
        <f t="shared" si="29"/>
        <v>Anak 35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40" spans="2:77" ht="63" customHeight="1">
      <c r="B40" s="109">
        <v>36</v>
      </c>
      <c r="C40" s="110">
        <f>SISWA!B41</f>
        <v>0</v>
      </c>
      <c r="D40" s="111" t="str">
        <f>SISWA!E41</f>
        <v>Anak 36</v>
      </c>
      <c r="E40" s="631">
        <v>99</v>
      </c>
      <c r="F40" s="631">
        <v>99</v>
      </c>
      <c r="G40" s="631">
        <v>99</v>
      </c>
      <c r="H40" s="631">
        <v>99</v>
      </c>
      <c r="I40" s="631">
        <v>99</v>
      </c>
      <c r="J40" s="613"/>
      <c r="K40" s="731"/>
      <c r="L40" s="731"/>
      <c r="M40" s="731"/>
      <c r="N40" s="731"/>
      <c r="O40" s="731"/>
      <c r="P40" s="730"/>
      <c r="Q40" s="610"/>
      <c r="R40" s="631">
        <v>89</v>
      </c>
      <c r="S40" s="631">
        <v>75.25</v>
      </c>
      <c r="T40" s="609"/>
      <c r="U40" s="609"/>
      <c r="V40" s="609"/>
      <c r="W40" s="609"/>
      <c r="X40" s="610"/>
      <c r="Y40" s="613">
        <v>89</v>
      </c>
      <c r="Z40" s="613">
        <v>75.25</v>
      </c>
      <c r="AA40" s="613"/>
      <c r="AB40" s="613"/>
      <c r="AC40" s="613"/>
      <c r="AD40" s="613"/>
      <c r="AE40" s="518"/>
      <c r="AF40" s="607">
        <f t="shared" si="10"/>
        <v>94</v>
      </c>
      <c r="AG40" s="607">
        <f t="shared" si="11"/>
        <v>87.125</v>
      </c>
      <c r="AH40" s="607">
        <f t="shared" si="12"/>
        <v>99</v>
      </c>
      <c r="AI40" s="607">
        <f t="shared" si="13"/>
        <v>99</v>
      </c>
      <c r="AJ40" s="607">
        <f t="shared" si="14"/>
        <v>99</v>
      </c>
      <c r="AK40" s="529"/>
      <c r="AL40" s="529"/>
      <c r="AM40" s="529"/>
      <c r="AN40" s="529"/>
      <c r="AO40" s="528"/>
      <c r="AP40" s="528"/>
      <c r="AQ40" s="528"/>
      <c r="AR40" s="528"/>
      <c r="AS40" s="529"/>
      <c r="AT40" s="529"/>
      <c r="AU40" s="528"/>
      <c r="AV40" s="302">
        <f t="shared" si="15"/>
        <v>96</v>
      </c>
      <c r="AW40" s="303" t="str">
        <f>IF(AV40&gt;KKM!$G$10,"A",IF(AV40&gt;KKM!$H$10,"B",IF(AV40&gt;=KKM!$I$10,"C","D")))</f>
        <v>A</v>
      </c>
      <c r="AX40" s="304">
        <f t="shared" si="5"/>
        <v>99</v>
      </c>
      <c r="AY40" s="115" t="str">
        <f>IF(AX40&gt;KKM!$G$10," sangat baik ",IF(AX40&gt;KKM!$H$10," baik ",IF(AX40&gt;=KKM!$I$10," cukup baik "," perlu bimbingan ")))</f>
        <v xml:space="preserve"> sangat baik </v>
      </c>
      <c r="AZ40" s="305">
        <f t="shared" si="6"/>
        <v>87.125</v>
      </c>
      <c r="BA40" s="115" t="str">
        <f>IF(AZ40&gt;KKM!$G$10," sangat baik ",IF(AZ40&gt;KKM!$H$10," baik ",IF(AZ40&gt;=KKM!$I$10," cukup baik "," perlu bimbingan ")))</f>
        <v xml:space="preserve"> baik </v>
      </c>
      <c r="BB40" s="301" t="str">
        <f t="shared" si="16"/>
        <v>Anak 36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40" s="306"/>
      <c r="BD40" s="307" t="str">
        <f t="shared" si="7"/>
        <v xml:space="preserve"> sangat baik  dalam memahami konsep kombinasi pola gerak dasar dominan statis dan dinamis untuk membentuk keterampilan/ teknik dasar senam (seperti: handstand, kayang, meroda, dsb)</v>
      </c>
      <c r="BE40" s="307" t="str">
        <f t="shared" si="8"/>
        <v xml:space="preserve"> baik  dalam memahami konsep variasi dan kombinasi gerak dasar lokomotor,non lokomotor, dan manipulative dalam berbagai permainan dan atau olahraga tradisional bola kecii.</v>
      </c>
      <c r="BF40"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40" s="307" t="str">
        <f t="shared" si="18"/>
        <v xml:space="preserve"> </v>
      </c>
      <c r="BH40"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40" s="301" t="str">
        <f t="shared" si="31"/>
        <v>Anak 36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40" s="408">
        <f t="shared" si="20"/>
        <v>96</v>
      </c>
      <c r="BM40" s="302">
        <f t="shared" si="21"/>
        <v>82</v>
      </c>
      <c r="BN40" s="303" t="str">
        <f>IF(BM40&gt;KKM!$G$10,"A",IF(BM40&gt;KKM!$H$10,"B",IF(BM40&gt;=KKM!$I$10,"C","D")))</f>
        <v>B</v>
      </c>
      <c r="BO40" s="523">
        <f t="shared" si="22"/>
        <v>89</v>
      </c>
      <c r="BP40" s="115" t="str">
        <f>IF(BO40&gt;KKM!$G$10," sangat baik ",IF(BO40&gt;KKM!$H$10," baik ",IF(BO40&gt;=KKM!$I$10," cukup baik "," perlu bimbingan ")))</f>
        <v xml:space="preserve"> baik </v>
      </c>
      <c r="BQ40" s="524">
        <f t="shared" si="23"/>
        <v>75.25</v>
      </c>
      <c r="BR40" s="115" t="str">
        <f>IF(BQ40&gt;KKM!$G$10," sangat baik ",IF(BQ40&gt;KKM!$H$10," baik ",IF(BQ40&gt;=KKM!$I$10," cukup baik "," perlu bimbingan ")))</f>
        <v xml:space="preserve"> cukup baik </v>
      </c>
      <c r="BS40" s="301" t="str">
        <f t="shared" si="30"/>
        <v>Anak 36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40" s="307" t="str">
        <f t="shared" si="24"/>
        <v xml:space="preserve"> baik  dalam memahami konsep variasi dan kombinasi pola gerak dasar lokomotorr dan nonlokomotor untuk membentuk gerakan dasar atletik jalan cepat dan lari melalui permainan dan atau olahraga tradisional</v>
      </c>
      <c r="BU40" s="307" t="str">
        <f t="shared" si="25"/>
        <v xml:space="preserve"> cukup baik  dalam memahami konsep variasi dan kombinasi gerak dasar lokomotor,non lokomotor, dan manipulative dalam berbagai permainan dan atau olahraga tradisional bola kecii.</v>
      </c>
      <c r="BV40"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40" s="307" t="str">
        <f t="shared" si="27"/>
        <v xml:space="preserve"> </v>
      </c>
      <c r="BX40"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40" s="301" t="str">
        <f t="shared" si="29"/>
        <v>Anak 36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41" spans="2:77" ht="63" customHeight="1">
      <c r="B41" s="109">
        <v>37</v>
      </c>
      <c r="C41" s="110">
        <f>SISWA!B42</f>
        <v>0</v>
      </c>
      <c r="D41" s="111" t="str">
        <f>SISWA!E42</f>
        <v>Anak 37</v>
      </c>
      <c r="E41" s="631">
        <v>99</v>
      </c>
      <c r="F41" s="631">
        <v>99</v>
      </c>
      <c r="G41" s="631">
        <v>99</v>
      </c>
      <c r="H41" s="631">
        <v>99</v>
      </c>
      <c r="I41" s="631">
        <v>99</v>
      </c>
      <c r="J41" s="613"/>
      <c r="K41" s="731"/>
      <c r="L41" s="731"/>
      <c r="M41" s="731"/>
      <c r="N41" s="731"/>
      <c r="O41" s="731"/>
      <c r="P41" s="730"/>
      <c r="Q41" s="610"/>
      <c r="R41" s="631">
        <v>81</v>
      </c>
      <c r="S41" s="631">
        <v>80.5</v>
      </c>
      <c r="T41" s="609"/>
      <c r="U41" s="609"/>
      <c r="V41" s="609"/>
      <c r="W41" s="609"/>
      <c r="X41" s="610"/>
      <c r="Y41" s="613">
        <v>81</v>
      </c>
      <c r="Z41" s="613">
        <v>80.5</v>
      </c>
      <c r="AA41" s="613"/>
      <c r="AB41" s="613"/>
      <c r="AC41" s="613"/>
      <c r="AD41" s="613"/>
      <c r="AE41" s="518"/>
      <c r="AF41" s="607">
        <f t="shared" si="10"/>
        <v>90</v>
      </c>
      <c r="AG41" s="607">
        <f t="shared" si="11"/>
        <v>89.75</v>
      </c>
      <c r="AH41" s="607">
        <f t="shared" si="12"/>
        <v>99</v>
      </c>
      <c r="AI41" s="607">
        <f t="shared" si="13"/>
        <v>99</v>
      </c>
      <c r="AJ41" s="607">
        <f t="shared" si="14"/>
        <v>99</v>
      </c>
      <c r="AK41" s="529"/>
      <c r="AL41" s="529"/>
      <c r="AM41" s="529"/>
      <c r="AN41" s="529"/>
      <c r="AO41" s="528"/>
      <c r="AP41" s="528"/>
      <c r="AQ41" s="528"/>
      <c r="AR41" s="528"/>
      <c r="AS41" s="529"/>
      <c r="AT41" s="529"/>
      <c r="AU41" s="528"/>
      <c r="AV41" s="302">
        <f t="shared" si="15"/>
        <v>95</v>
      </c>
      <c r="AW41" s="303" t="str">
        <f>IF(AV41&gt;KKM!$G$10,"A",IF(AV41&gt;KKM!$H$10,"B",IF(AV41&gt;=KKM!$I$10,"C","D")))</f>
        <v>A</v>
      </c>
      <c r="AX41" s="304">
        <f t="shared" si="5"/>
        <v>99</v>
      </c>
      <c r="AY41" s="115" t="str">
        <f>IF(AX41&gt;KKM!$G$10," sangat baik ",IF(AX41&gt;KKM!$H$10," baik ",IF(AX41&gt;=KKM!$I$10," cukup baik "," perlu bimbingan ")))</f>
        <v xml:space="preserve"> sangat baik </v>
      </c>
      <c r="AZ41" s="305">
        <f t="shared" si="6"/>
        <v>89.75</v>
      </c>
      <c r="BA41" s="115" t="str">
        <f>IF(AZ41&gt;KKM!$G$10," sangat baik ",IF(AZ41&gt;KKM!$H$10," baik ",IF(AZ41&gt;=KKM!$I$10," cukup baik "," perlu bimbingan ")))</f>
        <v xml:space="preserve"> baik </v>
      </c>
      <c r="BB41" s="301" t="str">
        <f t="shared" si="16"/>
        <v>Anak 37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41" s="306"/>
      <c r="BD41" s="307" t="str">
        <f t="shared" si="7"/>
        <v xml:space="preserve"> sangat baik  dalam memahami konsep kombinasi pola gerak dasar dominan statis dan dinamis untuk membentuk keterampilan/ teknik dasar senam (seperti: handstand, kayang, meroda, dsb)</v>
      </c>
      <c r="BE41" s="307" t="str">
        <f t="shared" si="8"/>
        <v xml:space="preserve"> baik  dalam memahami konsep variasi dan kombinasi gerak dasar lokomotor,non lokomotor, dan manipulative dalam berbagai permainan dan atau olahraga tradisional bola kecii.</v>
      </c>
      <c r="BF41"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41" s="307" t="str">
        <f t="shared" si="18"/>
        <v xml:space="preserve"> </v>
      </c>
      <c r="BH41"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41" s="301" t="str">
        <f t="shared" si="31"/>
        <v>Anak 37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41" s="408">
        <f t="shared" si="20"/>
        <v>95</v>
      </c>
      <c r="BM41" s="302">
        <f t="shared" si="21"/>
        <v>81</v>
      </c>
      <c r="BN41" s="303" t="str">
        <f>IF(BM41&gt;KKM!$G$10,"A",IF(BM41&gt;KKM!$H$10,"B",IF(BM41&gt;=KKM!$I$10,"C","D")))</f>
        <v>B</v>
      </c>
      <c r="BO41" s="523">
        <f t="shared" si="22"/>
        <v>81</v>
      </c>
      <c r="BP41" s="115" t="str">
        <f>IF(BO41&gt;KKM!$G$10," sangat baik ",IF(BO41&gt;KKM!$H$10," baik ",IF(BO41&gt;=KKM!$I$10," cukup baik "," perlu bimbingan ")))</f>
        <v xml:space="preserve"> baik </v>
      </c>
      <c r="BQ41" s="524">
        <f t="shared" si="23"/>
        <v>80.5</v>
      </c>
      <c r="BR41" s="115" t="str">
        <f>IF(BQ41&gt;KKM!$G$10," sangat baik ",IF(BQ41&gt;KKM!$H$10," baik ",IF(BQ41&gt;=KKM!$I$10," cukup baik "," perlu bimbingan ")))</f>
        <v xml:space="preserve"> baik </v>
      </c>
      <c r="BS41" s="301" t="str">
        <f t="shared" si="30"/>
        <v>Anak 37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c r="BT41" s="307" t="str">
        <f t="shared" si="24"/>
        <v xml:space="preserve"> baik  dalam memahami konsep variasi dan kombinasi pola gerak dasar lokomotorr dan nonlokomotor untuk membentuk gerakan dasar atletik jalan cepat dan lari melalui permainan dan atau olahraga tradisional</v>
      </c>
      <c r="BU41" s="307" t="str">
        <f t="shared" si="25"/>
        <v xml:space="preserve"> baik  dalam memahami konsep variasi dan kombinasi gerak dasar lokomotor,non lokomotor, dan manipulative dalam berbagai permainan dan atau olahraga tradisional bola kecii.</v>
      </c>
      <c r="BV41" s="307" t="str">
        <f t="shared" si="26"/>
        <v xml:space="preserve">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c r="BW41" s="307" t="str">
        <f t="shared" si="27"/>
        <v xml:space="preserve"> </v>
      </c>
      <c r="BX41" s="308" t="str">
        <f t="shared" si="28"/>
        <v xml:space="preserve">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c r="BY41" s="301" t="str">
        <f t="shared" si="29"/>
        <v>Anak 37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row>
    <row r="42" spans="2:77" ht="63" customHeight="1">
      <c r="B42" s="109">
        <v>38</v>
      </c>
      <c r="C42" s="110">
        <f>SISWA!B43</f>
        <v>0</v>
      </c>
      <c r="D42" s="111" t="str">
        <f>SISWA!E43</f>
        <v>Anak 38</v>
      </c>
      <c r="E42" s="631">
        <v>99</v>
      </c>
      <c r="F42" s="631">
        <v>99</v>
      </c>
      <c r="G42" s="631">
        <v>99</v>
      </c>
      <c r="H42" s="631">
        <v>99</v>
      </c>
      <c r="I42" s="631">
        <v>99</v>
      </c>
      <c r="J42" s="613"/>
      <c r="K42" s="731"/>
      <c r="L42" s="731"/>
      <c r="M42" s="731"/>
      <c r="N42" s="731"/>
      <c r="O42" s="731"/>
      <c r="P42" s="730"/>
      <c r="Q42" s="610"/>
      <c r="R42" s="631">
        <v>76.5</v>
      </c>
      <c r="S42" s="631">
        <v>86.5</v>
      </c>
      <c r="T42" s="609"/>
      <c r="U42" s="609"/>
      <c r="V42" s="609"/>
      <c r="W42" s="609"/>
      <c r="X42" s="610"/>
      <c r="Y42" s="613">
        <v>76.5</v>
      </c>
      <c r="Z42" s="613">
        <v>86.5</v>
      </c>
      <c r="AA42" s="613"/>
      <c r="AB42" s="613"/>
      <c r="AC42" s="613"/>
      <c r="AD42" s="613"/>
      <c r="AE42" s="518"/>
      <c r="AF42" s="607">
        <f t="shared" si="10"/>
        <v>87.75</v>
      </c>
      <c r="AG42" s="607">
        <f t="shared" si="11"/>
        <v>92.75</v>
      </c>
      <c r="AH42" s="607">
        <f t="shared" si="12"/>
        <v>99</v>
      </c>
      <c r="AI42" s="607">
        <f t="shared" si="13"/>
        <v>99</v>
      </c>
      <c r="AJ42" s="607">
        <f t="shared" si="14"/>
        <v>99</v>
      </c>
      <c r="AK42" s="529"/>
      <c r="AL42" s="529"/>
      <c r="AM42" s="529"/>
      <c r="AN42" s="529"/>
      <c r="AO42" s="528"/>
      <c r="AP42" s="528"/>
      <c r="AQ42" s="528"/>
      <c r="AR42" s="528"/>
      <c r="AS42" s="529"/>
      <c r="AT42" s="529"/>
      <c r="AU42" s="528"/>
      <c r="AV42" s="302">
        <f t="shared" si="15"/>
        <v>96</v>
      </c>
      <c r="AW42" s="303" t="str">
        <f>IF(AV42&gt;KKM!$G$10,"A",IF(AV42&gt;KKM!$H$10,"B",IF(AV42&gt;=KKM!$I$10,"C","D")))</f>
        <v>A</v>
      </c>
      <c r="AX42" s="304">
        <f t="shared" si="5"/>
        <v>99</v>
      </c>
      <c r="AY42" s="115" t="str">
        <f>IF(AX42&gt;KKM!$G$10," sangat baik ",IF(AX42&gt;KKM!$H$10," baik ",IF(AX42&gt;=KKM!$I$10," cukup baik "," perlu bimbingan ")))</f>
        <v xml:space="preserve"> sangat baik </v>
      </c>
      <c r="AZ42" s="305">
        <f t="shared" si="6"/>
        <v>87.75</v>
      </c>
      <c r="BA42" s="115" t="str">
        <f>IF(AZ42&gt;KKM!$G$10," sangat baik ",IF(AZ42&gt;KKM!$H$10," baik ",IF(AZ42&gt;=KKM!$I$10," cukup baik "," perlu bimbingan ")))</f>
        <v xml:space="preserve"> baik </v>
      </c>
      <c r="BB42" s="301" t="str">
        <f t="shared" si="16"/>
        <v>Anak 38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42" s="306"/>
      <c r="BD42" s="307" t="str">
        <f t="shared" si="7"/>
        <v xml:space="preserve"> sangat baik  dalam memahami konsep kombinasi pola gerak dasar dominan statis dan dinamis untuk membentuk keterampilan/ teknik dasar senam (seperti: handstand, kayang, meroda, dsb)</v>
      </c>
      <c r="BE42" s="307" t="str">
        <f t="shared" si="8"/>
        <v xml:space="preserve"> baik  dalam memahami konsep variasi dan kombinasi pola gerak dasar lokomotorr dan nonlokomotor untuk membentuk gerakan dasar atletik jalan cepat dan lari melalui permainan dan atau olahraga tradisional</v>
      </c>
      <c r="BF42"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42" s="307" t="str">
        <f t="shared" si="18"/>
        <v xml:space="preserve"> </v>
      </c>
      <c r="BH42"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42" s="301" t="str">
        <f t="shared" si="31"/>
        <v>Anak 38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42" s="408">
        <f t="shared" si="20"/>
        <v>96</v>
      </c>
      <c r="BM42" s="302">
        <f t="shared" si="21"/>
        <v>82</v>
      </c>
      <c r="BN42" s="303" t="str">
        <f>IF(BM42&gt;KKM!$G$10,"A",IF(BM42&gt;KKM!$H$10,"B",IF(BM42&gt;=KKM!$I$10,"C","D")))</f>
        <v>B</v>
      </c>
      <c r="BO42" s="523">
        <f t="shared" si="22"/>
        <v>86.5</v>
      </c>
      <c r="BP42" s="115" t="str">
        <f>IF(BO42&gt;KKM!$G$10," sangat baik ",IF(BO42&gt;KKM!$H$10," baik ",IF(BO42&gt;=KKM!$I$10," cukup baik "," perlu bimbingan ")))</f>
        <v xml:space="preserve"> baik </v>
      </c>
      <c r="BQ42" s="524">
        <f t="shared" si="23"/>
        <v>76.5</v>
      </c>
      <c r="BR42" s="115" t="str">
        <f>IF(BQ42&gt;KKM!$G$10," sangat baik ",IF(BQ42&gt;KKM!$H$10," baik ",IF(BQ42&gt;=KKM!$I$10," cukup baik "," perlu bimbingan ")))</f>
        <v xml:space="preserve"> cukup baik </v>
      </c>
      <c r="BS42" s="301" t="str">
        <f t="shared" si="30"/>
        <v>Anak 38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42" s="307" t="str">
        <f t="shared" si="24"/>
        <v xml:space="preserve"> baik  dalam memahami konsep variasi dan kombinasi gerak dasar lokomotor,non lokomotor, dan manipulative dalam berbagai permainan dan atau olahraga tradisional bola kecii.</v>
      </c>
      <c r="BU42" s="307" t="str">
        <f t="shared" si="25"/>
        <v xml:space="preserve"> cukup baik  dalam memahami konsep variasi dan kombinasi pola gerak dasar lokomotorr dan nonlokomotor untuk membentuk gerakan dasar atletik jalan cepat dan lari melalui permainan dan atau olahraga tradisional</v>
      </c>
      <c r="BV42"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42" s="307" t="str">
        <f t="shared" si="27"/>
        <v xml:space="preserve"> </v>
      </c>
      <c r="BX42"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42" s="301" t="str">
        <f t="shared" si="29"/>
        <v>Anak 38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43" spans="2:77" ht="63" customHeight="1">
      <c r="B43" s="109">
        <v>39</v>
      </c>
      <c r="C43" s="110">
        <f>SISWA!B44</f>
        <v>0</v>
      </c>
      <c r="D43" s="111" t="str">
        <f>SISWA!E44</f>
        <v>Anak 39</v>
      </c>
      <c r="E43" s="631">
        <v>99</v>
      </c>
      <c r="F43" s="631">
        <v>99</v>
      </c>
      <c r="G43" s="631">
        <v>99</v>
      </c>
      <c r="H43" s="631">
        <v>99</v>
      </c>
      <c r="I43" s="631">
        <v>99</v>
      </c>
      <c r="J43" s="613"/>
      <c r="K43" s="731"/>
      <c r="L43" s="731"/>
      <c r="M43" s="731"/>
      <c r="N43" s="731"/>
      <c r="O43" s="731"/>
      <c r="P43" s="730"/>
      <c r="Q43" s="610"/>
      <c r="R43" s="631">
        <v>86.5</v>
      </c>
      <c r="S43" s="631">
        <v>76.75</v>
      </c>
      <c r="T43" s="609"/>
      <c r="U43" s="609"/>
      <c r="V43" s="609"/>
      <c r="W43" s="609"/>
      <c r="X43" s="610"/>
      <c r="Y43" s="613">
        <v>86.5</v>
      </c>
      <c r="Z43" s="613">
        <v>76.75</v>
      </c>
      <c r="AA43" s="613"/>
      <c r="AB43" s="613"/>
      <c r="AC43" s="613"/>
      <c r="AD43" s="613"/>
      <c r="AE43" s="518"/>
      <c r="AF43" s="607">
        <f t="shared" si="10"/>
        <v>92.75</v>
      </c>
      <c r="AG43" s="607">
        <f t="shared" si="11"/>
        <v>87.875</v>
      </c>
      <c r="AH43" s="607">
        <f t="shared" si="12"/>
        <v>99</v>
      </c>
      <c r="AI43" s="607">
        <f t="shared" si="13"/>
        <v>99</v>
      </c>
      <c r="AJ43" s="607">
        <f t="shared" si="14"/>
        <v>99</v>
      </c>
      <c r="AK43" s="529"/>
      <c r="AL43" s="529"/>
      <c r="AM43" s="529"/>
      <c r="AN43" s="529"/>
      <c r="AO43" s="528"/>
      <c r="AP43" s="528"/>
      <c r="AQ43" s="528"/>
      <c r="AR43" s="528"/>
      <c r="AS43" s="529"/>
      <c r="AT43" s="529"/>
      <c r="AU43" s="528"/>
      <c r="AV43" s="302">
        <f t="shared" si="15"/>
        <v>96</v>
      </c>
      <c r="AW43" s="303" t="str">
        <f>IF(AV43&gt;KKM!$G$10,"A",IF(AV43&gt;KKM!$H$10,"B",IF(AV43&gt;=KKM!$I$10,"C","D")))</f>
        <v>A</v>
      </c>
      <c r="AX43" s="304">
        <f t="shared" si="5"/>
        <v>99</v>
      </c>
      <c r="AY43" s="115" t="str">
        <f>IF(AX43&gt;KKM!$G$10," sangat baik ",IF(AX43&gt;KKM!$H$10," baik ",IF(AX43&gt;=KKM!$I$10," cukup baik "," perlu bimbingan ")))</f>
        <v xml:space="preserve"> sangat baik </v>
      </c>
      <c r="AZ43" s="305">
        <f t="shared" si="6"/>
        <v>87.875</v>
      </c>
      <c r="BA43" s="115" t="str">
        <f>IF(AZ43&gt;KKM!$G$10," sangat baik ",IF(AZ43&gt;KKM!$H$10," baik ",IF(AZ43&gt;=KKM!$I$10," cukup baik "," perlu bimbingan ")))</f>
        <v xml:space="preserve"> baik </v>
      </c>
      <c r="BB43" s="301" t="str">
        <f t="shared" si="16"/>
        <v>Anak 39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43" s="306"/>
      <c r="BD43" s="307" t="str">
        <f t="shared" si="7"/>
        <v xml:space="preserve"> sangat baik  dalam memahami konsep kombinasi pola gerak dasar dominan statis dan dinamis untuk membentuk keterampilan/ teknik dasar senam (seperti: handstand, kayang, meroda, dsb)</v>
      </c>
      <c r="BE43" s="307" t="str">
        <f t="shared" si="8"/>
        <v xml:space="preserve"> baik  dalam memahami konsep variasi dan kombinasi gerak dasar lokomotor,non lokomotor, dan manipulative dalam berbagai permainan dan atau olahraga tradisional bola kecii.</v>
      </c>
      <c r="BF43"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43" s="307" t="str">
        <f t="shared" si="18"/>
        <v xml:space="preserve"> </v>
      </c>
      <c r="BH43"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43" s="301" t="str">
        <f t="shared" si="31"/>
        <v>Anak 39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43" s="408">
        <f t="shared" si="20"/>
        <v>96</v>
      </c>
      <c r="BM43" s="302">
        <f t="shared" si="21"/>
        <v>82</v>
      </c>
      <c r="BN43" s="303" t="str">
        <f>IF(BM43&gt;KKM!$G$10,"A",IF(BM43&gt;KKM!$H$10,"B",IF(BM43&gt;=KKM!$I$10,"C","D")))</f>
        <v>B</v>
      </c>
      <c r="BO43" s="523">
        <f t="shared" si="22"/>
        <v>86.5</v>
      </c>
      <c r="BP43" s="115" t="str">
        <f>IF(BO43&gt;KKM!$G$10," sangat baik ",IF(BO43&gt;KKM!$H$10," baik ",IF(BO43&gt;=KKM!$I$10," cukup baik "," perlu bimbingan ")))</f>
        <v xml:space="preserve"> baik </v>
      </c>
      <c r="BQ43" s="524">
        <f t="shared" si="23"/>
        <v>76.75</v>
      </c>
      <c r="BR43" s="115" t="str">
        <f>IF(BQ43&gt;KKM!$G$10," sangat baik ",IF(BQ43&gt;KKM!$H$10," baik ",IF(BQ43&gt;=KKM!$I$10," cukup baik "," perlu bimbingan ")))</f>
        <v xml:space="preserve"> cukup baik </v>
      </c>
      <c r="BS43" s="301" t="str">
        <f t="shared" si="30"/>
        <v>Anak 39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43" s="307" t="str">
        <f t="shared" si="24"/>
        <v xml:space="preserve"> baik  dalam memahami konsep variasi dan kombinasi pola gerak dasar lokomotorr dan nonlokomotor untuk membentuk gerakan dasar atletik jalan cepat dan lari melalui permainan dan atau olahraga tradisional</v>
      </c>
      <c r="BU43" s="307" t="str">
        <f t="shared" si="25"/>
        <v xml:space="preserve"> cukup baik  dalam memahami konsep variasi dan kombinasi gerak dasar lokomotor,non lokomotor, dan manipulative dalam berbagai permainan dan atau olahraga tradisional bola kecii.</v>
      </c>
      <c r="BV43"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43" s="307" t="str">
        <f t="shared" si="27"/>
        <v xml:space="preserve"> </v>
      </c>
      <c r="BX43"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43" s="301" t="str">
        <f t="shared" si="29"/>
        <v>Anak 39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44" spans="2:77" ht="63" customHeight="1">
      <c r="B44" s="109">
        <v>40</v>
      </c>
      <c r="C44" s="110">
        <f>SISWA!B45</f>
        <v>0</v>
      </c>
      <c r="D44" s="111" t="str">
        <f>SISWA!E45</f>
        <v>Anak 40</v>
      </c>
      <c r="E44" s="631">
        <v>99</v>
      </c>
      <c r="F44" s="631">
        <v>99</v>
      </c>
      <c r="G44" s="631">
        <v>99</v>
      </c>
      <c r="H44" s="631">
        <v>99</v>
      </c>
      <c r="I44" s="631">
        <v>99</v>
      </c>
      <c r="J44" s="613"/>
      <c r="K44" s="731"/>
      <c r="L44" s="731"/>
      <c r="M44" s="731"/>
      <c r="N44" s="731"/>
      <c r="O44" s="731"/>
      <c r="P44" s="730"/>
      <c r="Q44" s="610"/>
      <c r="R44" s="631">
        <v>90</v>
      </c>
      <c r="S44" s="631">
        <v>77.75</v>
      </c>
      <c r="T44" s="609"/>
      <c r="U44" s="609"/>
      <c r="V44" s="609"/>
      <c r="W44" s="609"/>
      <c r="X44" s="610"/>
      <c r="Y44" s="613">
        <v>90</v>
      </c>
      <c r="Z44" s="613">
        <v>77.75</v>
      </c>
      <c r="AA44" s="613"/>
      <c r="AB44" s="613"/>
      <c r="AC44" s="613"/>
      <c r="AD44" s="613"/>
      <c r="AE44" s="518"/>
      <c r="AF44" s="607">
        <f t="shared" si="10"/>
        <v>94.5</v>
      </c>
      <c r="AG44" s="607">
        <f t="shared" si="11"/>
        <v>88.375</v>
      </c>
      <c r="AH44" s="607">
        <f t="shared" si="12"/>
        <v>99</v>
      </c>
      <c r="AI44" s="607">
        <f t="shared" si="13"/>
        <v>99</v>
      </c>
      <c r="AJ44" s="607">
        <f t="shared" si="14"/>
        <v>99</v>
      </c>
      <c r="AK44" s="529"/>
      <c r="AL44" s="529"/>
      <c r="AM44" s="529"/>
      <c r="AN44" s="529"/>
      <c r="AO44" s="528"/>
      <c r="AP44" s="528"/>
      <c r="AQ44" s="528"/>
      <c r="AR44" s="528"/>
      <c r="AS44" s="529"/>
      <c r="AT44" s="529"/>
      <c r="AU44" s="528"/>
      <c r="AV44" s="302">
        <f t="shared" si="15"/>
        <v>96</v>
      </c>
      <c r="AW44" s="303" t="str">
        <f>IF(AV44&gt;KKM!$G$10,"A",IF(AV44&gt;KKM!$H$10,"B",IF(AV44&gt;=KKM!$I$10,"C","D")))</f>
        <v>A</v>
      </c>
      <c r="AX44" s="304">
        <f t="shared" si="5"/>
        <v>99</v>
      </c>
      <c r="AY44" s="115" t="str">
        <f>IF(AX44&gt;KKM!$G$10," sangat baik ",IF(AX44&gt;KKM!$H$10," baik ",IF(AX44&gt;=KKM!$I$10," cukup baik "," perlu bimbingan ")))</f>
        <v xml:space="preserve"> sangat baik </v>
      </c>
      <c r="AZ44" s="305">
        <f t="shared" si="6"/>
        <v>88.375</v>
      </c>
      <c r="BA44" s="115" t="str">
        <f>IF(AZ44&gt;KKM!$G$10," sangat baik ",IF(AZ44&gt;KKM!$H$10," baik ",IF(AZ44&gt;=KKM!$I$10," cukup baik "," perlu bimbingan ")))</f>
        <v xml:space="preserve"> baik </v>
      </c>
      <c r="BB44" s="301" t="str">
        <f t="shared" si="16"/>
        <v>Anak 40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44" s="306"/>
      <c r="BD44" s="307" t="str">
        <f t="shared" si="7"/>
        <v xml:space="preserve"> sangat baik  dalam memahami konsep kombinasi pola gerak dasar dominan statis dan dinamis untuk membentuk keterampilan/ teknik dasar senam (seperti: handstand, kayang, meroda, dsb)</v>
      </c>
      <c r="BE44" s="307" t="str">
        <f t="shared" si="8"/>
        <v xml:space="preserve"> baik  dalam memahami konsep variasi dan kombinasi gerak dasar lokomotor,non lokomotor, dan manipulative dalam berbagai permainan dan atau olahraga tradisional bola kecii.</v>
      </c>
      <c r="BF44"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44" s="307" t="str">
        <f t="shared" si="18"/>
        <v xml:space="preserve"> </v>
      </c>
      <c r="BH44"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44" s="301" t="str">
        <f t="shared" si="31"/>
        <v>Anak 40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44" s="408">
        <f t="shared" si="20"/>
        <v>96</v>
      </c>
      <c r="BM44" s="302">
        <f t="shared" si="21"/>
        <v>84</v>
      </c>
      <c r="BN44" s="303" t="str">
        <f>IF(BM44&gt;KKM!$G$10,"A",IF(BM44&gt;KKM!$H$10,"B",IF(BM44&gt;=KKM!$I$10,"C","D")))</f>
        <v>B</v>
      </c>
      <c r="BO44" s="523">
        <f t="shared" si="22"/>
        <v>90</v>
      </c>
      <c r="BP44" s="115" t="str">
        <f>IF(BO44&gt;KKM!$G$10," sangat baik ",IF(BO44&gt;KKM!$H$10," baik ",IF(BO44&gt;=KKM!$I$10," cukup baik "," perlu bimbingan ")))</f>
        <v xml:space="preserve"> baik </v>
      </c>
      <c r="BQ44" s="524">
        <f t="shared" si="23"/>
        <v>77.75</v>
      </c>
      <c r="BR44" s="115" t="str">
        <f>IF(BQ44&gt;KKM!$G$10," sangat baik ",IF(BQ44&gt;KKM!$H$10," baik ",IF(BQ44&gt;=KKM!$I$10," cukup baik "," perlu bimbingan ")))</f>
        <v xml:space="preserve"> cukup baik </v>
      </c>
      <c r="BS44" s="301" t="str">
        <f t="shared" si="30"/>
        <v>Anak 40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44" s="307" t="str">
        <f t="shared" si="24"/>
        <v xml:space="preserve"> baik  dalam memahami konsep variasi dan kombinasi pola gerak dasar lokomotorr dan nonlokomotor untuk membentuk gerakan dasar atletik jalan cepat dan lari melalui permainan dan atau olahraga tradisional</v>
      </c>
      <c r="BU44" s="307" t="str">
        <f t="shared" si="25"/>
        <v xml:space="preserve"> cukup baik  dalam memahami konsep variasi dan kombinasi gerak dasar lokomotor,non lokomotor, dan manipulative dalam berbagai permainan dan atau olahraga tradisional bola kecii.</v>
      </c>
      <c r="BV44"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44" s="307" t="str">
        <f t="shared" si="27"/>
        <v xml:space="preserve"> </v>
      </c>
      <c r="BX44"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44" s="301" t="str">
        <f t="shared" si="29"/>
        <v>Anak 40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45" spans="2:77" ht="63" customHeight="1">
      <c r="B45" s="109">
        <v>41</v>
      </c>
      <c r="C45" s="110">
        <f>SISWA!B46</f>
        <v>0</v>
      </c>
      <c r="D45" s="111" t="str">
        <f>SISWA!E46</f>
        <v>Anak 41</v>
      </c>
      <c r="E45" s="631">
        <v>99</v>
      </c>
      <c r="F45" s="631">
        <v>99</v>
      </c>
      <c r="G45" s="631">
        <v>99</v>
      </c>
      <c r="H45" s="631">
        <v>99</v>
      </c>
      <c r="I45" s="631">
        <v>99</v>
      </c>
      <c r="J45" s="613"/>
      <c r="K45" s="731"/>
      <c r="L45" s="731"/>
      <c r="M45" s="731"/>
      <c r="N45" s="731"/>
      <c r="O45" s="731"/>
      <c r="P45" s="730"/>
      <c r="Q45" s="610"/>
      <c r="R45" s="631">
        <v>76.5</v>
      </c>
      <c r="S45" s="631">
        <v>90</v>
      </c>
      <c r="T45" s="609"/>
      <c r="U45" s="609"/>
      <c r="V45" s="609"/>
      <c r="W45" s="609"/>
      <c r="X45" s="610"/>
      <c r="Y45" s="613">
        <v>76.5</v>
      </c>
      <c r="Z45" s="613">
        <v>90</v>
      </c>
      <c r="AA45" s="613"/>
      <c r="AB45" s="613"/>
      <c r="AC45" s="613"/>
      <c r="AD45" s="613"/>
      <c r="AE45" s="518"/>
      <c r="AF45" s="607">
        <f t="shared" si="10"/>
        <v>87.75</v>
      </c>
      <c r="AG45" s="607">
        <f t="shared" si="11"/>
        <v>94.5</v>
      </c>
      <c r="AH45" s="607">
        <f t="shared" si="12"/>
        <v>99</v>
      </c>
      <c r="AI45" s="607">
        <f t="shared" si="13"/>
        <v>99</v>
      </c>
      <c r="AJ45" s="607">
        <f t="shared" si="14"/>
        <v>99</v>
      </c>
      <c r="AK45" s="529"/>
      <c r="AL45" s="529"/>
      <c r="AM45" s="529"/>
      <c r="AN45" s="529"/>
      <c r="AO45" s="528"/>
      <c r="AP45" s="528"/>
      <c r="AQ45" s="528"/>
      <c r="AR45" s="528"/>
      <c r="AS45" s="529"/>
      <c r="AT45" s="529"/>
      <c r="AU45" s="528"/>
      <c r="AV45" s="302">
        <f t="shared" si="15"/>
        <v>96</v>
      </c>
      <c r="AW45" s="303" t="str">
        <f>IF(AV45&gt;KKM!$G$10,"A",IF(AV45&gt;KKM!$H$10,"B",IF(AV45&gt;=KKM!$I$10,"C","D")))</f>
        <v>A</v>
      </c>
      <c r="AX45" s="304">
        <f t="shared" si="5"/>
        <v>99</v>
      </c>
      <c r="AY45" s="115" t="str">
        <f>IF(AX45&gt;KKM!$G$10," sangat baik ",IF(AX45&gt;KKM!$H$10," baik ",IF(AX45&gt;=KKM!$I$10," cukup baik "," perlu bimbingan ")))</f>
        <v xml:space="preserve"> sangat baik </v>
      </c>
      <c r="AZ45" s="305">
        <f t="shared" si="6"/>
        <v>87.75</v>
      </c>
      <c r="BA45" s="115" t="str">
        <f>IF(AZ45&gt;KKM!$G$10," sangat baik ",IF(AZ45&gt;KKM!$H$10," baik ",IF(AZ45&gt;=KKM!$I$10," cukup baik "," perlu bimbingan ")))</f>
        <v xml:space="preserve"> baik </v>
      </c>
      <c r="BB45" s="301" t="str">
        <f t="shared" si="16"/>
        <v>Anak 41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45" s="306"/>
      <c r="BD45" s="307" t="str">
        <f t="shared" si="7"/>
        <v xml:space="preserve"> sangat baik  dalam memahami konsep kombinasi pola gerak dasar dominan statis dan dinamis untuk membentuk keterampilan/ teknik dasar senam (seperti: handstand, kayang, meroda, dsb)</v>
      </c>
      <c r="BE45" s="307" t="str">
        <f t="shared" si="8"/>
        <v xml:space="preserve"> baik  dalam memahami konsep variasi dan kombinasi pola gerak dasar lokomotorr dan nonlokomotor untuk membentuk gerakan dasar atletik jalan cepat dan lari melalui permainan dan atau olahraga tradisional</v>
      </c>
      <c r="BF45"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45" s="307" t="str">
        <f t="shared" si="18"/>
        <v xml:space="preserve"> </v>
      </c>
      <c r="BH45"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45" s="301" t="str">
        <f t="shared" si="31"/>
        <v>Anak 41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45" s="408">
        <f t="shared" si="20"/>
        <v>96</v>
      </c>
      <c r="BM45" s="302">
        <f t="shared" si="21"/>
        <v>83</v>
      </c>
      <c r="BN45" s="303" t="str">
        <f>IF(BM45&gt;KKM!$G$10,"A",IF(BM45&gt;KKM!$H$10,"B",IF(BM45&gt;=KKM!$I$10,"C","D")))</f>
        <v>B</v>
      </c>
      <c r="BO45" s="523">
        <f t="shared" si="22"/>
        <v>90</v>
      </c>
      <c r="BP45" s="115" t="str">
        <f>IF(BO45&gt;KKM!$G$10," sangat baik ",IF(BO45&gt;KKM!$H$10," baik ",IF(BO45&gt;=KKM!$I$10," cukup baik "," perlu bimbingan ")))</f>
        <v xml:space="preserve"> baik </v>
      </c>
      <c r="BQ45" s="524">
        <f t="shared" si="23"/>
        <v>76.5</v>
      </c>
      <c r="BR45" s="115" t="str">
        <f>IF(BQ45&gt;KKM!$G$10," sangat baik ",IF(BQ45&gt;KKM!$H$10," baik ",IF(BQ45&gt;=KKM!$I$10," cukup baik "," perlu bimbingan ")))</f>
        <v xml:space="preserve"> cukup baik </v>
      </c>
      <c r="BS45" s="301" t="str">
        <f t="shared" si="30"/>
        <v>Anak 41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45" s="307" t="str">
        <f t="shared" si="24"/>
        <v xml:space="preserve"> baik  dalam memahami konsep variasi dan kombinasi gerak dasar lokomotor,non lokomotor, dan manipulative dalam berbagai permainan dan atau olahraga tradisional bola kecii.</v>
      </c>
      <c r="BU45" s="307" t="str">
        <f t="shared" si="25"/>
        <v xml:space="preserve"> cukup baik  dalam memahami konsep variasi dan kombinasi pola gerak dasar lokomotorr dan nonlokomotor untuk membentuk gerakan dasar atletik jalan cepat dan lari melalui permainan dan atau olahraga tradisional</v>
      </c>
      <c r="BV45"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45" s="307" t="str">
        <f t="shared" si="27"/>
        <v xml:space="preserve"> </v>
      </c>
      <c r="BX45"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45" s="301" t="str">
        <f t="shared" si="29"/>
        <v>Anak 41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46" spans="2:77" ht="63" customHeight="1">
      <c r="B46" s="109">
        <v>42</v>
      </c>
      <c r="C46" s="110">
        <f>SISWA!B47</f>
        <v>0</v>
      </c>
      <c r="D46" s="111" t="str">
        <f>SISWA!E47</f>
        <v>Anak 42</v>
      </c>
      <c r="E46" s="631">
        <v>99</v>
      </c>
      <c r="F46" s="631">
        <v>99</v>
      </c>
      <c r="G46" s="631">
        <v>99</v>
      </c>
      <c r="H46" s="631">
        <v>99</v>
      </c>
      <c r="I46" s="631">
        <v>99</v>
      </c>
      <c r="J46" s="613"/>
      <c r="K46" s="731"/>
      <c r="L46" s="731"/>
      <c r="M46" s="731"/>
      <c r="N46" s="731"/>
      <c r="O46" s="731"/>
      <c r="P46" s="730"/>
      <c r="Q46" s="610"/>
      <c r="R46" s="631">
        <v>83</v>
      </c>
      <c r="S46" s="631">
        <v>87.25</v>
      </c>
      <c r="T46" s="609"/>
      <c r="U46" s="609"/>
      <c r="V46" s="609"/>
      <c r="W46" s="609"/>
      <c r="X46" s="610"/>
      <c r="Y46" s="613">
        <v>83</v>
      </c>
      <c r="Z46" s="613">
        <v>87.25</v>
      </c>
      <c r="AA46" s="613"/>
      <c r="AB46" s="613"/>
      <c r="AC46" s="613"/>
      <c r="AD46" s="613"/>
      <c r="AE46" s="518"/>
      <c r="AF46" s="607">
        <f t="shared" si="10"/>
        <v>91</v>
      </c>
      <c r="AG46" s="607">
        <f t="shared" si="11"/>
        <v>93.125</v>
      </c>
      <c r="AH46" s="607">
        <f t="shared" si="12"/>
        <v>99</v>
      </c>
      <c r="AI46" s="607">
        <f t="shared" si="13"/>
        <v>99</v>
      </c>
      <c r="AJ46" s="607">
        <f t="shared" si="14"/>
        <v>99</v>
      </c>
      <c r="AK46" s="529"/>
      <c r="AL46" s="529"/>
      <c r="AM46" s="529"/>
      <c r="AN46" s="529"/>
      <c r="AO46" s="528"/>
      <c r="AP46" s="528"/>
      <c r="AQ46" s="528"/>
      <c r="AR46" s="528"/>
      <c r="AS46" s="529"/>
      <c r="AT46" s="529"/>
      <c r="AU46" s="528"/>
      <c r="AV46" s="302">
        <f t="shared" si="15"/>
        <v>96</v>
      </c>
      <c r="AW46" s="303" t="str">
        <f>IF(AV46&gt;KKM!$G$10,"A",IF(AV46&gt;KKM!$H$10,"B",IF(AV46&gt;=KKM!$I$10,"C","D")))</f>
        <v>A</v>
      </c>
      <c r="AX46" s="304">
        <f t="shared" si="5"/>
        <v>99</v>
      </c>
      <c r="AY46" s="115" t="str">
        <f>IF(AX46&gt;KKM!$G$10," sangat baik ",IF(AX46&gt;KKM!$H$10," baik ",IF(AX46&gt;=KKM!$I$10," cukup baik "," perlu bimbingan ")))</f>
        <v xml:space="preserve"> sangat baik </v>
      </c>
      <c r="AZ46" s="305">
        <f t="shared" si="6"/>
        <v>91</v>
      </c>
      <c r="BA46" s="115" t="str">
        <f>IF(AZ46&gt;KKM!$G$10," sangat baik ",IF(AZ46&gt;KKM!$H$10," baik ",IF(AZ46&gt;=KKM!$I$10," cukup baik "," perlu bimbingan ")))</f>
        <v xml:space="preserve"> sangat baik </v>
      </c>
      <c r="BB46" s="301" t="str">
        <f t="shared" si="16"/>
        <v>Anak 42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C46" s="306"/>
      <c r="BD46" s="307" t="str">
        <f t="shared" si="7"/>
        <v xml:space="preserve"> sangat baik  dalam memahami konsep kombinasi pola gerak dasar dominan statis dan dinamis untuk membentuk keterampilan/ teknik dasar senam (seperti: handstand, kayang, meroda, dsb)</v>
      </c>
      <c r="BE46" s="307" t="str">
        <f t="shared" si="8"/>
        <v xml:space="preserve"> sangat baik  dalam memahami konsep variasi dan kombinasi pola gerak dasar lokomotorr dan nonlokomotor untuk membentuk gerakan dasar atletik jalan cepat dan lari melalui permainan dan atau olahraga tradisional</v>
      </c>
      <c r="BF46" s="307" t="str">
        <f t="shared" si="17"/>
        <v xml:space="preserve">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G46" s="307" t="str">
        <f t="shared" si="18"/>
        <v xml:space="preserve"> </v>
      </c>
      <c r="BH46" s="308" t="str">
        <f t="shared" si="19"/>
        <v xml:space="preserve">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I46" s="301" t="str">
        <f t="shared" si="31"/>
        <v>Anak 42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K46" s="408">
        <f t="shared" si="20"/>
        <v>96</v>
      </c>
      <c r="BM46" s="302">
        <f t="shared" si="21"/>
        <v>85</v>
      </c>
      <c r="BN46" s="303" t="str">
        <f>IF(BM46&gt;KKM!$G$10,"A",IF(BM46&gt;KKM!$H$10,"B",IF(BM46&gt;=KKM!$I$10,"C","D")))</f>
        <v>B</v>
      </c>
      <c r="BO46" s="523">
        <f t="shared" si="22"/>
        <v>87.25</v>
      </c>
      <c r="BP46" s="115" t="str">
        <f>IF(BO46&gt;KKM!$G$10," sangat baik ",IF(BO46&gt;KKM!$H$10," baik ",IF(BO46&gt;=KKM!$I$10," cukup baik "," perlu bimbingan ")))</f>
        <v xml:space="preserve"> baik </v>
      </c>
      <c r="BQ46" s="524">
        <f t="shared" si="23"/>
        <v>83</v>
      </c>
      <c r="BR46" s="115" t="str">
        <f>IF(BQ46&gt;KKM!$G$10," sangat baik ",IF(BQ46&gt;KKM!$H$10," baik ",IF(BQ46&gt;=KKM!$I$10," cukup baik "," perlu bimbingan ")))</f>
        <v xml:space="preserve"> baik </v>
      </c>
      <c r="BS46" s="301" t="str">
        <f t="shared" si="30"/>
        <v>Anak 42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c r="BT46" s="307" t="str">
        <f t="shared" si="24"/>
        <v xml:space="preserve"> baik  dalam memahami konsep variasi dan kombinasi gerak dasar lokomotor,non lokomotor, dan manipulative dalam berbagai permainan dan atau olahraga tradisional bola kecii.</v>
      </c>
      <c r="BU46" s="307" t="str">
        <f t="shared" si="25"/>
        <v xml:space="preserve"> baik  dalam memahami konsep variasi dan kombinasi pola gerak dasar lokomotorr dan nonlokomotor untuk membentuk gerakan dasar atletik jalan cepat dan lari melalui permainan dan atau olahraga tradisional</v>
      </c>
      <c r="BV46" s="307" t="str">
        <f t="shared" si="26"/>
        <v xml:space="preserve">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c r="BW46" s="307" t="str">
        <f t="shared" si="27"/>
        <v xml:space="preserve"> </v>
      </c>
      <c r="BX46" s="308" t="str">
        <f t="shared" si="28"/>
        <v xml:space="preserve">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c r="BY46" s="301" t="str">
        <f t="shared" si="29"/>
        <v>Anak 42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row>
    <row r="47" spans="2:77" ht="63" customHeight="1">
      <c r="B47" s="109">
        <v>43</v>
      </c>
      <c r="C47" s="110">
        <f>SISWA!B48</f>
        <v>0</v>
      </c>
      <c r="D47" s="111" t="str">
        <f>SISWA!E48</f>
        <v>Anak 43</v>
      </c>
      <c r="E47" s="631">
        <v>99</v>
      </c>
      <c r="F47" s="631">
        <v>99</v>
      </c>
      <c r="G47" s="631">
        <v>99</v>
      </c>
      <c r="H47" s="631">
        <v>99</v>
      </c>
      <c r="I47" s="631">
        <v>99</v>
      </c>
      <c r="J47" s="613"/>
      <c r="K47" s="731"/>
      <c r="L47" s="731"/>
      <c r="M47" s="731"/>
      <c r="N47" s="731"/>
      <c r="O47" s="731"/>
      <c r="P47" s="730"/>
      <c r="Q47" s="610"/>
      <c r="R47" s="631">
        <v>74.5</v>
      </c>
      <c r="S47" s="631">
        <v>77.5</v>
      </c>
      <c r="T47" s="609"/>
      <c r="U47" s="609"/>
      <c r="V47" s="609"/>
      <c r="W47" s="609"/>
      <c r="X47" s="610"/>
      <c r="Y47" s="613">
        <v>74.5</v>
      </c>
      <c r="Z47" s="613">
        <v>77.5</v>
      </c>
      <c r="AA47" s="613"/>
      <c r="AB47" s="613"/>
      <c r="AC47" s="613"/>
      <c r="AD47" s="613"/>
      <c r="AE47" s="518"/>
      <c r="AF47" s="607">
        <f t="shared" si="10"/>
        <v>86.75</v>
      </c>
      <c r="AG47" s="607">
        <f t="shared" si="11"/>
        <v>88.25</v>
      </c>
      <c r="AH47" s="607">
        <f t="shared" si="12"/>
        <v>99</v>
      </c>
      <c r="AI47" s="607">
        <f t="shared" si="13"/>
        <v>99</v>
      </c>
      <c r="AJ47" s="607">
        <f t="shared" si="14"/>
        <v>99</v>
      </c>
      <c r="AK47" s="529"/>
      <c r="AL47" s="529"/>
      <c r="AM47" s="529"/>
      <c r="AN47" s="529"/>
      <c r="AO47" s="528"/>
      <c r="AP47" s="528"/>
      <c r="AQ47" s="528"/>
      <c r="AR47" s="528"/>
      <c r="AS47" s="529"/>
      <c r="AT47" s="529"/>
      <c r="AU47" s="528"/>
      <c r="AV47" s="302">
        <f t="shared" si="15"/>
        <v>94</v>
      </c>
      <c r="AW47" s="303" t="str">
        <f>IF(AV47&gt;KKM!$G$10,"A",IF(AV47&gt;KKM!$H$10,"B",IF(AV47&gt;=KKM!$I$10,"C","D")))</f>
        <v>A</v>
      </c>
      <c r="AX47" s="304">
        <f t="shared" si="5"/>
        <v>99</v>
      </c>
      <c r="AY47" s="115" t="str">
        <f>IF(AX47&gt;KKM!$G$10," sangat baik ",IF(AX47&gt;KKM!$H$10," baik ",IF(AX47&gt;=KKM!$I$10," cukup baik "," perlu bimbingan ")))</f>
        <v xml:space="preserve"> sangat baik </v>
      </c>
      <c r="AZ47" s="305">
        <f t="shared" si="6"/>
        <v>86.75</v>
      </c>
      <c r="BA47" s="115" t="str">
        <f>IF(AZ47&gt;KKM!$G$10," sangat baik ",IF(AZ47&gt;KKM!$H$10," baik ",IF(AZ47&gt;=KKM!$I$10," cukup baik "," perlu bimbingan ")))</f>
        <v xml:space="preserve"> baik </v>
      </c>
      <c r="BB47" s="301" t="str">
        <f t="shared" si="16"/>
        <v>Anak 43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47" s="306"/>
      <c r="BD47" s="307" t="str">
        <f t="shared" si="7"/>
        <v xml:space="preserve"> sangat baik  dalam memahami konsep kombinasi pola gerak dasar dominan statis dan dinamis untuk membentuk keterampilan/ teknik dasar senam (seperti: handstand, kayang, meroda, dsb)</v>
      </c>
      <c r="BE47" s="307" t="str">
        <f t="shared" si="8"/>
        <v xml:space="preserve"> baik  dalam memahami konsep variasi dan kombinasi pola gerak dasar lokomotorr dan nonlokomotor untuk membentuk gerakan dasar atletik jalan cepat dan lari melalui permainan dan atau olahraga tradisional</v>
      </c>
      <c r="BF47"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47" s="307" t="str">
        <f t="shared" si="18"/>
        <v xml:space="preserve"> </v>
      </c>
      <c r="BH47"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47" s="301" t="str">
        <f t="shared" si="31"/>
        <v>Anak 43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47" s="408">
        <f t="shared" si="20"/>
        <v>94</v>
      </c>
      <c r="BM47" s="302">
        <f t="shared" si="21"/>
        <v>76</v>
      </c>
      <c r="BN47" s="303" t="str">
        <f>IF(BM47&gt;KKM!$G$10,"A",IF(BM47&gt;KKM!$H$10,"B",IF(BM47&gt;=KKM!$I$10,"C","D")))</f>
        <v>C</v>
      </c>
      <c r="BO47" s="523">
        <f t="shared" si="22"/>
        <v>77.5</v>
      </c>
      <c r="BP47" s="115" t="str">
        <f>IF(BO47&gt;KKM!$G$10," sangat baik ",IF(BO47&gt;KKM!$H$10," baik ",IF(BO47&gt;=KKM!$I$10," cukup baik "," perlu bimbingan ")))</f>
        <v xml:space="preserve"> cukup baik </v>
      </c>
      <c r="BQ47" s="524">
        <f t="shared" si="23"/>
        <v>74.5</v>
      </c>
      <c r="BR47" s="115" t="str">
        <f>IF(BQ47&gt;KKM!$G$10," sangat baik ",IF(BQ47&gt;KKM!$H$10," baik ",IF(BQ47&gt;=KKM!$I$10," cukup baik "," perlu bimbingan ")))</f>
        <v xml:space="preserve"> cukup baik </v>
      </c>
      <c r="BS47" s="301" t="str">
        <f t="shared" si="30"/>
        <v>Anak 43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47" s="307" t="str">
        <f t="shared" si="24"/>
        <v xml:space="preserve"> cukup baik  dalam memahami konsep variasi dan kombinasi gerak dasar lokomotor,non lokomotor, dan manipulative dalam berbagai permainan dan atau olahraga tradisional bola kecii.</v>
      </c>
      <c r="BU47" s="307" t="str">
        <f t="shared" si="25"/>
        <v xml:space="preserve"> cukup baik  dalam memahami konsep variasi dan kombinasi pola gerak dasar lokomotorr dan nonlokomotor untuk membentuk gerakan dasar atletik jalan cepat dan lari melalui permainan dan atau olahraga tradisional</v>
      </c>
      <c r="BV47" s="307" t="str">
        <f t="shared" si="26"/>
        <v xml:space="preserve">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47" s="307" t="str">
        <f t="shared" si="27"/>
        <v xml:space="preserve"> </v>
      </c>
      <c r="BX47" s="308" t="str">
        <f t="shared" si="28"/>
        <v xml:space="preserve">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47" s="301" t="str">
        <f t="shared" si="29"/>
        <v>Anak 43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48" spans="2:77" ht="63" customHeight="1">
      <c r="B48" s="109">
        <v>44</v>
      </c>
      <c r="C48" s="110">
        <f>SISWA!B49</f>
        <v>0</v>
      </c>
      <c r="D48" s="111" t="str">
        <f>SISWA!E49</f>
        <v>Anak 44</v>
      </c>
      <c r="E48" s="631">
        <v>99</v>
      </c>
      <c r="F48" s="631">
        <v>99</v>
      </c>
      <c r="G48" s="631">
        <v>99</v>
      </c>
      <c r="H48" s="631">
        <v>99</v>
      </c>
      <c r="I48" s="631">
        <v>99</v>
      </c>
      <c r="J48" s="613"/>
      <c r="K48" s="731"/>
      <c r="L48" s="731"/>
      <c r="M48" s="731"/>
      <c r="N48" s="731"/>
      <c r="O48" s="731"/>
      <c r="P48" s="730"/>
      <c r="Q48" s="610"/>
      <c r="R48" s="631">
        <v>74.5</v>
      </c>
      <c r="S48" s="631">
        <v>80.25</v>
      </c>
      <c r="T48" s="609"/>
      <c r="U48" s="609"/>
      <c r="V48" s="609"/>
      <c r="W48" s="609"/>
      <c r="X48" s="610"/>
      <c r="Y48" s="613">
        <v>74.5</v>
      </c>
      <c r="Z48" s="613">
        <v>80.25</v>
      </c>
      <c r="AA48" s="613"/>
      <c r="AB48" s="613"/>
      <c r="AC48" s="613"/>
      <c r="AD48" s="613"/>
      <c r="AE48" s="518"/>
      <c r="AF48" s="607">
        <f t="shared" si="10"/>
        <v>86.75</v>
      </c>
      <c r="AG48" s="607">
        <f t="shared" si="11"/>
        <v>89.625</v>
      </c>
      <c r="AH48" s="607">
        <f t="shared" si="12"/>
        <v>99</v>
      </c>
      <c r="AI48" s="607">
        <f t="shared" si="13"/>
        <v>99</v>
      </c>
      <c r="AJ48" s="607">
        <f t="shared" si="14"/>
        <v>99</v>
      </c>
      <c r="AK48" s="529"/>
      <c r="AL48" s="529"/>
      <c r="AM48" s="529"/>
      <c r="AN48" s="529"/>
      <c r="AO48" s="528"/>
      <c r="AP48" s="528"/>
      <c r="AQ48" s="528"/>
      <c r="AR48" s="528"/>
      <c r="AS48" s="529"/>
      <c r="AT48" s="529"/>
      <c r="AU48" s="528"/>
      <c r="AV48" s="302">
        <f t="shared" si="15"/>
        <v>95</v>
      </c>
      <c r="AW48" s="303" t="str">
        <f>IF(AV48&gt;KKM!$G$10,"A",IF(AV48&gt;KKM!$H$10,"B",IF(AV48&gt;=KKM!$I$10,"C","D")))</f>
        <v>A</v>
      </c>
      <c r="AX48" s="304">
        <f t="shared" si="5"/>
        <v>99</v>
      </c>
      <c r="AY48" s="115" t="str">
        <f>IF(AX48&gt;KKM!$G$10," sangat baik ",IF(AX48&gt;KKM!$H$10," baik ",IF(AX48&gt;=KKM!$I$10," cukup baik "," perlu bimbingan ")))</f>
        <v xml:space="preserve"> sangat baik </v>
      </c>
      <c r="AZ48" s="305">
        <f t="shared" si="6"/>
        <v>86.75</v>
      </c>
      <c r="BA48" s="115" t="str">
        <f>IF(AZ48&gt;KKM!$G$10," sangat baik ",IF(AZ48&gt;KKM!$H$10," baik ",IF(AZ48&gt;=KKM!$I$10," cukup baik "," perlu bimbingan ")))</f>
        <v xml:space="preserve"> baik </v>
      </c>
      <c r="BB48" s="301" t="str">
        <f t="shared" si="16"/>
        <v>Anak 44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48" s="306"/>
      <c r="BD48" s="307" t="str">
        <f t="shared" si="7"/>
        <v xml:space="preserve"> sangat baik  dalam memahami konsep kombinasi pola gerak dasar dominan statis dan dinamis untuk membentuk keterampilan/ teknik dasar senam (seperti: handstand, kayang, meroda, dsb)</v>
      </c>
      <c r="BE48" s="307" t="str">
        <f t="shared" si="8"/>
        <v xml:space="preserve"> baik  dalam memahami konsep variasi dan kombinasi pola gerak dasar lokomotorr dan nonlokomotor untuk membentuk gerakan dasar atletik jalan cepat dan lari melalui permainan dan atau olahraga tradisional</v>
      </c>
      <c r="BF48"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48" s="307" t="str">
        <f t="shared" si="18"/>
        <v xml:space="preserve"> </v>
      </c>
      <c r="BH48"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48" s="301" t="str">
        <f t="shared" si="31"/>
        <v>Anak 44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48" s="408">
        <f t="shared" si="20"/>
        <v>95</v>
      </c>
      <c r="BM48" s="302">
        <f t="shared" si="21"/>
        <v>77</v>
      </c>
      <c r="BN48" s="303" t="str">
        <f>IF(BM48&gt;KKM!$G$10,"A",IF(BM48&gt;KKM!$H$10,"B",IF(BM48&gt;=KKM!$I$10,"C","D")))</f>
        <v>C</v>
      </c>
      <c r="BO48" s="523">
        <f t="shared" si="22"/>
        <v>80.25</v>
      </c>
      <c r="BP48" s="115" t="str">
        <f>IF(BO48&gt;KKM!$G$10," sangat baik ",IF(BO48&gt;KKM!$H$10," baik ",IF(BO48&gt;=KKM!$I$10," cukup baik "," perlu bimbingan ")))</f>
        <v xml:space="preserve"> baik </v>
      </c>
      <c r="BQ48" s="524">
        <f t="shared" si="23"/>
        <v>74.5</v>
      </c>
      <c r="BR48" s="115" t="str">
        <f>IF(BQ48&gt;KKM!$G$10," sangat baik ",IF(BQ48&gt;KKM!$H$10," baik ",IF(BQ48&gt;=KKM!$I$10," cukup baik "," perlu bimbingan ")))</f>
        <v xml:space="preserve"> cukup baik </v>
      </c>
      <c r="BS48" s="301" t="str">
        <f t="shared" si="30"/>
        <v>Anak 44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T48" s="307" t="str">
        <f t="shared" si="24"/>
        <v xml:space="preserve"> baik  dalam memahami konsep variasi dan kombinasi gerak dasar lokomotor,non lokomotor, dan manipulative dalam berbagai permainan dan atau olahraga tradisional bola kecii.</v>
      </c>
      <c r="BU48" s="307" t="str">
        <f t="shared" si="25"/>
        <v xml:space="preserve"> cukup baik  dalam memahami konsep variasi dan kombinasi pola gerak dasar lokomotorr dan nonlokomotor untuk membentuk gerakan dasar atletik jalan cepat dan lari melalui permainan dan atau olahraga tradisional</v>
      </c>
      <c r="BV48" s="307" t="str">
        <f t="shared" si="26"/>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W48" s="307" t="str">
        <f t="shared" si="27"/>
        <v xml:space="preserve"> </v>
      </c>
      <c r="BX48" s="308" t="str">
        <f t="shared" si="28"/>
        <v xml:space="preserve">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BY48" s="301" t="str">
        <f t="shared" si="29"/>
        <v>Anak 44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row>
    <row r="49" spans="2:77" ht="63" customHeight="1">
      <c r="B49" s="109">
        <v>45</v>
      </c>
      <c r="C49" s="110">
        <f>SISWA!B50</f>
        <v>0</v>
      </c>
      <c r="D49" s="111" t="str">
        <f>SISWA!E50</f>
        <v>Anak 45</v>
      </c>
      <c r="E49" s="631">
        <v>99</v>
      </c>
      <c r="F49" s="631">
        <v>99</v>
      </c>
      <c r="G49" s="631">
        <v>99</v>
      </c>
      <c r="H49" s="631">
        <v>99</v>
      </c>
      <c r="I49" s="631">
        <v>99</v>
      </c>
      <c r="J49" s="613"/>
      <c r="K49" s="731"/>
      <c r="L49" s="731"/>
      <c r="M49" s="731"/>
      <c r="N49" s="731"/>
      <c r="O49" s="731"/>
      <c r="P49" s="730"/>
      <c r="Q49" s="610"/>
      <c r="R49" s="631">
        <v>74.5</v>
      </c>
      <c r="S49" s="631">
        <v>72.25</v>
      </c>
      <c r="T49" s="609"/>
      <c r="U49" s="609"/>
      <c r="V49" s="609"/>
      <c r="W49" s="609"/>
      <c r="X49" s="610"/>
      <c r="Y49" s="613">
        <v>74.5</v>
      </c>
      <c r="Z49" s="613">
        <v>72.25</v>
      </c>
      <c r="AA49" s="613"/>
      <c r="AB49" s="613"/>
      <c r="AC49" s="613"/>
      <c r="AD49" s="613"/>
      <c r="AE49" s="518"/>
      <c r="AF49" s="607">
        <f t="shared" si="10"/>
        <v>86.75</v>
      </c>
      <c r="AG49" s="607">
        <f t="shared" si="11"/>
        <v>85.625</v>
      </c>
      <c r="AH49" s="607">
        <f t="shared" si="12"/>
        <v>99</v>
      </c>
      <c r="AI49" s="607">
        <f t="shared" si="13"/>
        <v>99</v>
      </c>
      <c r="AJ49" s="607">
        <f t="shared" si="14"/>
        <v>99</v>
      </c>
      <c r="AK49" s="529"/>
      <c r="AL49" s="529"/>
      <c r="AM49" s="529"/>
      <c r="AN49" s="529"/>
      <c r="AO49" s="528"/>
      <c r="AP49" s="528"/>
      <c r="AQ49" s="528"/>
      <c r="AR49" s="528"/>
      <c r="AS49" s="529"/>
      <c r="AT49" s="529"/>
      <c r="AU49" s="528"/>
      <c r="AV49" s="302">
        <f t="shared" si="15"/>
        <v>94</v>
      </c>
      <c r="AW49" s="303" t="str">
        <f>IF(AV49&gt;KKM!$G$10,"A",IF(AV49&gt;KKM!$H$10,"B",IF(AV49&gt;=KKM!$I$10,"C","D")))</f>
        <v>A</v>
      </c>
      <c r="AX49" s="304">
        <f t="shared" si="5"/>
        <v>99</v>
      </c>
      <c r="AY49" s="115" t="str">
        <f>IF(AX49&gt;KKM!$G$10," sangat baik ",IF(AX49&gt;KKM!$H$10," baik ",IF(AX49&gt;=KKM!$I$10," cukup baik "," perlu bimbingan ")))</f>
        <v xml:space="preserve"> sangat baik </v>
      </c>
      <c r="AZ49" s="305">
        <f t="shared" si="6"/>
        <v>85.625</v>
      </c>
      <c r="BA49" s="115" t="str">
        <f>IF(AZ49&gt;KKM!$G$10," sangat baik ",IF(AZ49&gt;KKM!$H$10," baik ",IF(AZ49&gt;=KKM!$I$10," cukup baik "," perlu bimbingan ")))</f>
        <v xml:space="preserve"> baik </v>
      </c>
      <c r="BB49" s="301" t="str">
        <f t="shared" si="16"/>
        <v>Anak 45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49" s="306"/>
      <c r="BD49" s="307" t="str">
        <f t="shared" si="7"/>
        <v xml:space="preserve"> sangat baik  dalam memahami konsep kombinasi pola gerak dasar dominan statis dan dinamis untuk membentuk keterampilan/ teknik dasar senam (seperti: handstand, kayang, meroda, dsb)</v>
      </c>
      <c r="BE49" s="307" t="str">
        <f t="shared" si="8"/>
        <v xml:space="preserve"> baik  dalam memahami konsep variasi dan kombinasi gerak dasar lokomotor,non lokomotor, dan manipulative dalam berbagai permainan dan atau olahraga tradisional bola kecii.</v>
      </c>
      <c r="BF49"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49" s="307" t="str">
        <f t="shared" si="18"/>
        <v xml:space="preserve"> </v>
      </c>
      <c r="BH49"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49" s="301" t="str">
        <f t="shared" si="31"/>
        <v>Anak 45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49" s="408">
        <f t="shared" si="20"/>
        <v>94</v>
      </c>
      <c r="BM49" s="302">
        <f t="shared" si="21"/>
        <v>73</v>
      </c>
      <c r="BN49" s="303" t="str">
        <f>IF(BM49&gt;KKM!$G$10,"A",IF(BM49&gt;KKM!$H$10,"B",IF(BM49&gt;=KKM!$I$10,"C","D")))</f>
        <v>C</v>
      </c>
      <c r="BO49" s="523">
        <f t="shared" si="22"/>
        <v>74.5</v>
      </c>
      <c r="BP49" s="115" t="str">
        <f>IF(BO49&gt;KKM!$G$10," sangat baik ",IF(BO49&gt;KKM!$H$10," baik ",IF(BO49&gt;=KKM!$I$10," cukup baik "," perlu bimbingan ")))</f>
        <v xml:space="preserve"> cukup baik </v>
      </c>
      <c r="BQ49" s="524">
        <f t="shared" si="23"/>
        <v>72.25</v>
      </c>
      <c r="BR49" s="115" t="str">
        <f>IF(BQ49&gt;KKM!$G$10," sangat baik ",IF(BQ49&gt;KKM!$H$10," baik ",IF(BQ49&gt;=KKM!$I$10," cukup baik "," perlu bimbingan ")))</f>
        <v xml:space="preserve"> cukup baik </v>
      </c>
      <c r="BS49" s="301" t="str">
        <f t="shared" si="30"/>
        <v>Anak 45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49" s="307" t="str">
        <f t="shared" si="24"/>
        <v xml:space="preserve"> cukup baik  dalam memahami konsep variasi dan kombinasi pola gerak dasar lokomotorr dan nonlokomotor untuk membentuk gerakan dasar atletik jalan cepat dan lari melalui permainan dan atau olahraga tradisional</v>
      </c>
      <c r="BU49" s="307" t="str">
        <f t="shared" si="25"/>
        <v xml:space="preserve"> cukup baik  dalam memahami konsep variasi dan kombinasi gerak dasar lokomotor,non lokomotor, dan manipulative dalam berbagai permainan dan atau olahraga tradisional bola kecii.</v>
      </c>
      <c r="BV49" s="307" t="str">
        <f t="shared" si="26"/>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49" s="307" t="str">
        <f t="shared" si="27"/>
        <v xml:space="preserve"> </v>
      </c>
      <c r="BX49" s="308" t="str">
        <f t="shared" si="28"/>
        <v xml:space="preserve">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49" s="301" t="str">
        <f t="shared" si="29"/>
        <v>Anak 45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50" spans="2:77" ht="63" customHeight="1">
      <c r="B50" s="109">
        <v>46</v>
      </c>
      <c r="C50" s="110">
        <f>SISWA!B51</f>
        <v>0</v>
      </c>
      <c r="D50" s="111" t="str">
        <f>SISWA!E51</f>
        <v>Anak 46</v>
      </c>
      <c r="E50" s="631">
        <v>99</v>
      </c>
      <c r="F50" s="631">
        <v>99</v>
      </c>
      <c r="G50" s="631">
        <v>99</v>
      </c>
      <c r="H50" s="631">
        <v>99</v>
      </c>
      <c r="I50" s="631">
        <v>99</v>
      </c>
      <c r="J50" s="613"/>
      <c r="K50" s="731"/>
      <c r="L50" s="731"/>
      <c r="M50" s="731"/>
      <c r="N50" s="731"/>
      <c r="O50" s="731"/>
      <c r="P50" s="730"/>
      <c r="Q50" s="610"/>
      <c r="R50" s="631">
        <v>84</v>
      </c>
      <c r="S50" s="631">
        <v>84</v>
      </c>
      <c r="T50" s="609"/>
      <c r="U50" s="609"/>
      <c r="V50" s="609"/>
      <c r="W50" s="609"/>
      <c r="X50" s="610"/>
      <c r="Y50" s="613">
        <v>84</v>
      </c>
      <c r="Z50" s="613">
        <v>84</v>
      </c>
      <c r="AA50" s="613"/>
      <c r="AB50" s="613"/>
      <c r="AC50" s="613"/>
      <c r="AD50" s="613"/>
      <c r="AE50" s="518"/>
      <c r="AF50" s="607">
        <f t="shared" si="10"/>
        <v>91.5</v>
      </c>
      <c r="AG50" s="607">
        <f t="shared" si="11"/>
        <v>91.5</v>
      </c>
      <c r="AH50" s="607">
        <f t="shared" si="12"/>
        <v>99</v>
      </c>
      <c r="AI50" s="607">
        <f t="shared" si="13"/>
        <v>99</v>
      </c>
      <c r="AJ50" s="607">
        <f t="shared" si="14"/>
        <v>99</v>
      </c>
      <c r="AK50" s="529"/>
      <c r="AL50" s="529"/>
      <c r="AM50" s="529"/>
      <c r="AN50" s="529"/>
      <c r="AO50" s="528"/>
      <c r="AP50" s="528"/>
      <c r="AQ50" s="528"/>
      <c r="AR50" s="528"/>
      <c r="AS50" s="529"/>
      <c r="AT50" s="529"/>
      <c r="AU50" s="528"/>
      <c r="AV50" s="302">
        <f t="shared" si="15"/>
        <v>96</v>
      </c>
      <c r="AW50" s="303" t="str">
        <f>IF(AV50&gt;KKM!$G$10,"A",IF(AV50&gt;KKM!$H$10,"B",IF(AV50&gt;=KKM!$I$10,"C","D")))</f>
        <v>A</v>
      </c>
      <c r="AX50" s="304">
        <f t="shared" si="5"/>
        <v>99</v>
      </c>
      <c r="AY50" s="115" t="str">
        <f>IF(AX50&gt;KKM!$G$10," sangat baik ",IF(AX50&gt;KKM!$H$10," baik ",IF(AX50&gt;=KKM!$I$10," cukup baik "," perlu bimbingan ")))</f>
        <v xml:space="preserve"> sangat baik </v>
      </c>
      <c r="AZ50" s="305">
        <f t="shared" si="6"/>
        <v>91.5</v>
      </c>
      <c r="BA50" s="115" t="str">
        <f>IF(AZ50&gt;KKM!$G$10," sangat baik ",IF(AZ50&gt;KKM!$H$10," baik ",IF(AZ50&gt;=KKM!$I$10," cukup baik "," perlu bimbingan ")))</f>
        <v xml:space="preserve"> sangat baik </v>
      </c>
      <c r="BB50" s="301" t="str">
        <f t="shared" si="16"/>
        <v>Anak 46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C50" s="306"/>
      <c r="BD50" s="307" t="str">
        <f t="shared" si="7"/>
        <v xml:space="preserve"> sangat baik  dalam memahami konsep kombinasi pola gerak dasar dominan statis dan dinamis untuk membentuk keterampilan/ teknik dasar senam (seperti: handstand, kayang, meroda, dsb)</v>
      </c>
      <c r="BE50" s="307" t="str">
        <f t="shared" si="8"/>
        <v xml:space="preserve"> sangat baik  dalam memahami konsep variasi dan kombinasi pola gerak dasar lokomotorr dan nonlokomotor untuk membentuk gerakan dasar atletik jalan cepat dan lari melalui permainan dan atau olahraga tradisional</v>
      </c>
      <c r="BF50" s="307" t="str">
        <f t="shared" si="17"/>
        <v xml:space="preserve">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G50" s="307" t="str">
        <f t="shared" si="18"/>
        <v xml:space="preserve"> </v>
      </c>
      <c r="BH50" s="308" t="str">
        <f t="shared" si="19"/>
        <v xml:space="preserve">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I50" s="301" t="str">
        <f t="shared" si="31"/>
        <v>Anak 46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BK50" s="408">
        <f t="shared" si="20"/>
        <v>96</v>
      </c>
      <c r="BM50" s="302">
        <f t="shared" si="21"/>
        <v>84</v>
      </c>
      <c r="BN50" s="303" t="str">
        <f>IF(BM50&gt;KKM!$G$10,"A",IF(BM50&gt;KKM!$H$10,"B",IF(BM50&gt;=KKM!$I$10,"C","D")))</f>
        <v>B</v>
      </c>
      <c r="BO50" s="523">
        <f t="shared" si="22"/>
        <v>84</v>
      </c>
      <c r="BP50" s="115" t="str">
        <f>IF(BO50&gt;KKM!$G$10," sangat baik ",IF(BO50&gt;KKM!$H$10," baik ",IF(BO50&gt;=KKM!$I$10," cukup baik "," perlu bimbingan ")))</f>
        <v xml:space="preserve"> baik </v>
      </c>
      <c r="BQ50" s="524">
        <f t="shared" si="23"/>
        <v>84</v>
      </c>
      <c r="BR50" s="115" t="str">
        <f>IF(BQ50&gt;KKM!$G$10," sangat baik ",IF(BQ50&gt;KKM!$H$10," baik ",IF(BQ50&gt;=KKM!$I$10," cukup baik "," perlu bimbingan ")))</f>
        <v xml:space="preserve"> baik </v>
      </c>
      <c r="BS50" s="301" t="str">
        <f t="shared" si="30"/>
        <v>Anak 46 baik  dalam memahami konsep variasi dan kombinasi pola gerak dasar lokomotorr dan nonlokomotor untuk membentuk gerakan dasar atletik jalan cepat dan lari melalui permainan dan atau olahraga tradisional</v>
      </c>
      <c r="BT50" s="307" t="str">
        <f t="shared" si="24"/>
        <v xml:space="preserve"> baik  dalam memahami konsep variasi dan kombinasi pola gerak dasar lokomotorr dan nonlokomotor untuk membentuk gerakan dasar atletik jalan cepat dan lari melalui permainan dan atau olahraga tradisional</v>
      </c>
      <c r="BU50" s="307" t="str">
        <f t="shared" si="25"/>
        <v xml:space="preserve"> baik  dalam memahami konsep variasi dan kombinasi pola gerak dasar lokomotorr dan nonlokomotor untuk membentuk gerakan dasar atletik jalan cepat dan lari melalui permainan dan atau olahraga tradisional</v>
      </c>
      <c r="BV50" s="307" t="str">
        <f t="shared" si="26"/>
        <v xml:space="preserve"> baik  dalam memahami konsep variasi dan kombinasi pola gerak dasar lokomotorr dan nonlokomotor untuk membentuk gerakan dasar atletik jalan cepat dan lari melalui permainan dan atau olahraga tradisional, dan  baik  dalam memahami konsep variasi dan kombinasi pola gerak dasar lokomotorr dan nonlokomotor untuk membentuk gerakan dasar atletik jalan cepat dan lari melalui permainan dan atau olahraga tradisional</v>
      </c>
      <c r="BW50" s="307" t="str">
        <f t="shared" si="27"/>
        <v xml:space="preserve"> baik  dalam memahami konsep variasi dan kombinasi pola gerak dasar lokomotorr dan nonlokomotor untuk membentuk gerakan dasar atletik jalan cepat dan lari melalui permainan dan atau olahraga tradisional</v>
      </c>
      <c r="BX50" s="308" t="str">
        <f t="shared" si="28"/>
        <v xml:space="preserve"> baik  dalam memahami konsep variasi dan kombinasi pola gerak dasar lokomotorr dan nonlokomotor untuk membentuk gerakan dasar atletik jalan cepat dan lari melalui permainan dan atau olahraga tradisional</v>
      </c>
      <c r="BY50" s="301" t="str">
        <f t="shared" si="29"/>
        <v>Anak 46 baik  dalam memahami konsep variasi dan kombinasi pola gerak dasar lokomotorr dan nonlokomotor untuk membentuk gerakan dasar atletik jalan cepat dan lari melalui permainan dan atau olahraga tradisional</v>
      </c>
    </row>
    <row r="51" spans="2:77" ht="63" customHeight="1">
      <c r="B51" s="109">
        <v>47</v>
      </c>
      <c r="C51" s="110">
        <f>SISWA!B52</f>
        <v>0</v>
      </c>
      <c r="D51" s="111" t="str">
        <f>SISWA!E52</f>
        <v>Anak 47</v>
      </c>
      <c r="E51" s="631">
        <v>99</v>
      </c>
      <c r="F51" s="631">
        <v>99</v>
      </c>
      <c r="G51" s="631">
        <v>99</v>
      </c>
      <c r="H51" s="631">
        <v>99</v>
      </c>
      <c r="I51" s="631">
        <v>99</v>
      </c>
      <c r="J51" s="613"/>
      <c r="K51" s="731"/>
      <c r="L51" s="731"/>
      <c r="M51" s="731"/>
      <c r="N51" s="731"/>
      <c r="O51" s="731"/>
      <c r="P51" s="730"/>
      <c r="Q51" s="610"/>
      <c r="R51" s="631">
        <v>68.75</v>
      </c>
      <c r="S51" s="631">
        <v>68.75</v>
      </c>
      <c r="T51" s="609"/>
      <c r="U51" s="609"/>
      <c r="V51" s="609"/>
      <c r="W51" s="609"/>
      <c r="X51" s="610"/>
      <c r="Y51" s="613">
        <v>68.75</v>
      </c>
      <c r="Z51" s="613">
        <v>68.75</v>
      </c>
      <c r="AA51" s="613"/>
      <c r="AB51" s="613"/>
      <c r="AC51" s="613"/>
      <c r="AD51" s="613"/>
      <c r="AE51" s="518"/>
      <c r="AF51" s="607">
        <f t="shared" si="10"/>
        <v>83.875</v>
      </c>
      <c r="AG51" s="607">
        <f t="shared" si="11"/>
        <v>83.875</v>
      </c>
      <c r="AH51" s="607">
        <f t="shared" si="12"/>
        <v>99</v>
      </c>
      <c r="AI51" s="607">
        <f t="shared" si="13"/>
        <v>99</v>
      </c>
      <c r="AJ51" s="607">
        <f t="shared" si="14"/>
        <v>99</v>
      </c>
      <c r="AK51" s="529"/>
      <c r="AL51" s="529"/>
      <c r="AM51" s="529"/>
      <c r="AN51" s="529"/>
      <c r="AO51" s="528"/>
      <c r="AP51" s="528"/>
      <c r="AQ51" s="528"/>
      <c r="AR51" s="528"/>
      <c r="AS51" s="529"/>
      <c r="AT51" s="529"/>
      <c r="AU51" s="528"/>
      <c r="AV51" s="302">
        <f t="shared" si="15"/>
        <v>93</v>
      </c>
      <c r="AW51" s="303" t="str">
        <f>IF(AV51&gt;KKM!$G$10,"A",IF(AV51&gt;KKM!$H$10,"B",IF(AV51&gt;=KKM!$I$10,"C","D")))</f>
        <v>A</v>
      </c>
      <c r="AX51" s="304">
        <f t="shared" si="5"/>
        <v>99</v>
      </c>
      <c r="AY51" s="115" t="str">
        <f>IF(AX51&gt;KKM!$G$10," sangat baik ",IF(AX51&gt;KKM!$H$10," baik ",IF(AX51&gt;=KKM!$I$10," cukup baik "," perlu bimbingan ")))</f>
        <v xml:space="preserve"> sangat baik </v>
      </c>
      <c r="AZ51" s="305">
        <f t="shared" si="6"/>
        <v>83.875</v>
      </c>
      <c r="BA51" s="115" t="str">
        <f>IF(AZ51&gt;KKM!$G$10," sangat baik ",IF(AZ51&gt;KKM!$H$10," baik ",IF(AZ51&gt;=KKM!$I$10," cukup baik "," perlu bimbingan ")))</f>
        <v xml:space="preserve"> baik </v>
      </c>
      <c r="BB51" s="301" t="str">
        <f t="shared" si="16"/>
        <v>Anak 47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51" s="306"/>
      <c r="BD51" s="307" t="str">
        <f t="shared" si="7"/>
        <v xml:space="preserve"> sangat baik  dalam memahami konsep kombinasi pola gerak dasar dominan statis dan dinamis untuk membentuk keterampilan/ teknik dasar senam (seperti: handstand, kayang, meroda, dsb)</v>
      </c>
      <c r="BE51" s="307" t="str">
        <f t="shared" si="8"/>
        <v xml:space="preserve"> baik  dalam memahami konsep variasi dan kombinasi pola gerak dasar lokomotorr dan nonlokomotor untuk membentuk gerakan dasar atletik jalan cepat dan lari melalui permainan dan atau olahraga tradisional</v>
      </c>
      <c r="BF51"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51" s="307" t="str">
        <f t="shared" si="18"/>
        <v xml:space="preserve"> </v>
      </c>
      <c r="BH51"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51" s="301" t="str">
        <f t="shared" si="31"/>
        <v>Anak 47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51" s="408">
        <f t="shared" si="20"/>
        <v>93</v>
      </c>
      <c r="BM51" s="302">
        <f t="shared" si="21"/>
        <v>69</v>
      </c>
      <c r="BN51" s="303" t="str">
        <f>IF(BM51&gt;KKM!$G$10,"A",IF(BM51&gt;KKM!$H$10,"B",IF(BM51&gt;=KKM!$I$10,"C","D")))</f>
        <v>D</v>
      </c>
      <c r="BO51" s="523">
        <f t="shared" si="22"/>
        <v>68.75</v>
      </c>
      <c r="BP51" s="115" t="str">
        <f>IF(BO51&gt;KKM!$G$10," sangat baik ",IF(BO51&gt;KKM!$H$10," baik ",IF(BO51&gt;=KKM!$I$10," cukup baik "," perlu bimbingan ")))</f>
        <v xml:space="preserve"> perlu bimbingan </v>
      </c>
      <c r="BQ51" s="524">
        <f t="shared" si="23"/>
        <v>68.75</v>
      </c>
      <c r="BR51" s="115" t="str">
        <f>IF(BQ51&gt;KKM!$G$10," sangat baik ",IF(BQ51&gt;KKM!$H$10," baik ",IF(BQ51&gt;=KKM!$I$10," cukup baik "," perlu bimbingan ")))</f>
        <v xml:space="preserve"> perlu bimbingan </v>
      </c>
      <c r="BS51" s="301" t="str">
        <f t="shared" si="30"/>
        <v>Anak 47 perlu bimbingan  dalam memahami konsep variasi dan kombinasi pola gerak dasar lokomotorr dan nonlokomotor untuk membentuk gerakan dasar atletik jalan cepat dan lari melalui permainan dan atau olahraga tradisional</v>
      </c>
      <c r="BT51" s="307" t="str">
        <f t="shared" si="24"/>
        <v xml:space="preserve"> perlu bimbingan  dalam memahami konsep variasi dan kombinasi pola gerak dasar lokomotorr dan nonlokomotor untuk membentuk gerakan dasar atletik jalan cepat dan lari melalui permainan dan atau olahraga tradisional</v>
      </c>
      <c r="BU51" s="307" t="str">
        <f t="shared" si="25"/>
        <v xml:space="preserve"> perlu bimbingan  dalam memahami konsep variasi dan kombinasi pola gerak dasar lokomotorr dan nonlokomotor untuk membentuk gerakan dasar atletik jalan cepat dan lari melalui permainan dan atau olahraga tradisional</v>
      </c>
      <c r="BV51" s="307" t="str">
        <f t="shared" si="26"/>
        <v xml:space="preserve"> perlu bimbingan  dalam memahami konsep variasi dan kombinasi pola gerak dasar lokomotorr dan nonlokomotor untuk membentuk gerakan dasar atletik jalan cepat dan lari melalui permainan dan atau olahraga tradisional, dan  perlu bimbingan  dalam memahami konsep variasi dan kombinasi pola gerak dasar lokomotorr dan nonlokomotor untuk membentuk gerakan dasar atletik jalan cepat dan lari melalui permainan dan atau olahraga tradisional</v>
      </c>
      <c r="BW51" s="307" t="str">
        <f t="shared" si="27"/>
        <v xml:space="preserve"> perlu bimbingan  dalam memahami konsep variasi dan kombinasi pola gerak dasar lokomotorr dan nonlokomotor untuk membentuk gerakan dasar atletik jalan cepat dan lari melalui permainan dan atau olahraga tradisional</v>
      </c>
      <c r="BX51" s="308" t="str">
        <f t="shared" si="28"/>
        <v xml:space="preserve"> perlu bimbingan  dalam memahami konsep variasi dan kombinasi pola gerak dasar lokomotorr dan nonlokomotor untuk membentuk gerakan dasar atletik jalan cepat dan lari melalui permainan dan atau olahraga tradisional</v>
      </c>
      <c r="BY51" s="301" t="str">
        <f t="shared" si="29"/>
        <v>Anak 47 perlu bimbingan  dalam memahami konsep variasi dan kombinasi pola gerak dasar lokomotorr dan nonlokomotor untuk membentuk gerakan dasar atletik jalan cepat dan lari melalui permainan dan atau olahraga tradisional</v>
      </c>
    </row>
    <row r="52" spans="2:77" ht="63" customHeight="1">
      <c r="B52" s="109">
        <v>48</v>
      </c>
      <c r="C52" s="110">
        <f>SISWA!B53</f>
        <v>0</v>
      </c>
      <c r="D52" s="111" t="str">
        <f>SISWA!E53</f>
        <v>Anak 48</v>
      </c>
      <c r="E52" s="631">
        <v>99</v>
      </c>
      <c r="F52" s="631">
        <v>99</v>
      </c>
      <c r="G52" s="631">
        <v>99</v>
      </c>
      <c r="H52" s="631">
        <v>99</v>
      </c>
      <c r="I52" s="631">
        <v>99</v>
      </c>
      <c r="J52" s="613"/>
      <c r="K52" s="731"/>
      <c r="L52" s="731"/>
      <c r="M52" s="731"/>
      <c r="N52" s="731"/>
      <c r="O52" s="731"/>
      <c r="P52" s="730"/>
      <c r="Q52" s="610"/>
      <c r="R52" s="631">
        <v>69.75</v>
      </c>
      <c r="S52" s="631">
        <v>69.75</v>
      </c>
      <c r="T52" s="609"/>
      <c r="U52" s="609"/>
      <c r="V52" s="609"/>
      <c r="W52" s="609"/>
      <c r="X52" s="610"/>
      <c r="Y52" s="613">
        <v>69.75</v>
      </c>
      <c r="Z52" s="613">
        <v>69.75</v>
      </c>
      <c r="AA52" s="613"/>
      <c r="AB52" s="613"/>
      <c r="AC52" s="613"/>
      <c r="AD52" s="613"/>
      <c r="AE52" s="518"/>
      <c r="AF52" s="607">
        <f t="shared" si="10"/>
        <v>84.375</v>
      </c>
      <c r="AG52" s="607">
        <f t="shared" si="11"/>
        <v>84.375</v>
      </c>
      <c r="AH52" s="607">
        <f t="shared" si="12"/>
        <v>99</v>
      </c>
      <c r="AI52" s="607">
        <f t="shared" si="13"/>
        <v>99</v>
      </c>
      <c r="AJ52" s="607">
        <f t="shared" si="14"/>
        <v>99</v>
      </c>
      <c r="AK52" s="529"/>
      <c r="AL52" s="529"/>
      <c r="AM52" s="529"/>
      <c r="AN52" s="529"/>
      <c r="AO52" s="528"/>
      <c r="AP52" s="528"/>
      <c r="AQ52" s="528"/>
      <c r="AR52" s="528"/>
      <c r="AS52" s="529"/>
      <c r="AT52" s="529"/>
      <c r="AU52" s="528"/>
      <c r="AV52" s="302">
        <f t="shared" si="15"/>
        <v>93</v>
      </c>
      <c r="AW52" s="303" t="str">
        <f>IF(AV52&gt;KKM!$G$10,"A",IF(AV52&gt;KKM!$H$10,"B",IF(AV52&gt;=KKM!$I$10,"C","D")))</f>
        <v>A</v>
      </c>
      <c r="AX52" s="304">
        <f t="shared" si="5"/>
        <v>99</v>
      </c>
      <c r="AY52" s="115" t="str">
        <f>IF(AX52&gt;KKM!$G$10," sangat baik ",IF(AX52&gt;KKM!$H$10," baik ",IF(AX52&gt;=KKM!$I$10," cukup baik "," perlu bimbingan ")))</f>
        <v xml:space="preserve"> sangat baik </v>
      </c>
      <c r="AZ52" s="305">
        <f t="shared" si="6"/>
        <v>84.375</v>
      </c>
      <c r="BA52" s="115" t="str">
        <f>IF(AZ52&gt;KKM!$G$10," sangat baik ",IF(AZ52&gt;KKM!$H$10," baik ",IF(AZ52&gt;=KKM!$I$10," cukup baik "," perlu bimbingan ")))</f>
        <v xml:space="preserve"> baik </v>
      </c>
      <c r="BB52" s="301" t="str">
        <f t="shared" si="16"/>
        <v>Anak 48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C52" s="306"/>
      <c r="BD52" s="307" t="str">
        <f t="shared" si="7"/>
        <v xml:space="preserve"> sangat baik  dalam memahami konsep kombinasi pola gerak dasar dominan statis dan dinamis untuk membentuk keterampilan/ teknik dasar senam (seperti: handstand, kayang, meroda, dsb)</v>
      </c>
      <c r="BE52" s="307" t="str">
        <f t="shared" si="8"/>
        <v xml:space="preserve"> baik  dalam memahami konsep variasi dan kombinasi pola gerak dasar lokomotorr dan nonlokomotor untuk membentuk gerakan dasar atletik jalan cepat dan lari melalui permainan dan atau olahraga tradisional</v>
      </c>
      <c r="BF52" s="307" t="str">
        <f t="shared" si="17"/>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G52" s="307" t="str">
        <f t="shared" si="18"/>
        <v xml:space="preserve"> </v>
      </c>
      <c r="BH52" s="308" t="str">
        <f t="shared" si="19"/>
        <v xml:space="preserve">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I52" s="301" t="str">
        <f t="shared" si="31"/>
        <v>Anak 48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BK52" s="408">
        <f t="shared" si="20"/>
        <v>93</v>
      </c>
      <c r="BM52" s="302">
        <f t="shared" si="21"/>
        <v>70</v>
      </c>
      <c r="BN52" s="303" t="str">
        <f>IF(BM52&gt;KKM!$G$10,"A",IF(BM52&gt;KKM!$H$10,"B",IF(BM52&gt;=KKM!$I$10,"C","D")))</f>
        <v>C</v>
      </c>
      <c r="BO52" s="523">
        <f t="shared" si="22"/>
        <v>69.75</v>
      </c>
      <c r="BP52" s="115" t="str">
        <f>IF(BO52&gt;KKM!$G$10," sangat baik ",IF(BO52&gt;KKM!$H$10," baik ",IF(BO52&gt;=KKM!$I$10," cukup baik "," perlu bimbingan ")))</f>
        <v xml:space="preserve"> perlu bimbingan </v>
      </c>
      <c r="BQ52" s="524">
        <f t="shared" si="23"/>
        <v>69.75</v>
      </c>
      <c r="BR52" s="115" t="str">
        <f>IF(BQ52&gt;KKM!$G$10," sangat baik ",IF(BQ52&gt;KKM!$H$10," baik ",IF(BQ52&gt;=KKM!$I$10," cukup baik "," perlu bimbingan ")))</f>
        <v xml:space="preserve"> perlu bimbingan </v>
      </c>
      <c r="BS52" s="301" t="str">
        <f t="shared" si="30"/>
        <v>Anak 48 perlu bimbingan  dalam memahami konsep variasi dan kombinasi pola gerak dasar lokomotorr dan nonlokomotor untuk membentuk gerakan dasar atletik jalan cepat dan lari melalui permainan dan atau olahraga tradisional</v>
      </c>
      <c r="BT52" s="307" t="str">
        <f t="shared" si="24"/>
        <v xml:space="preserve"> perlu bimbingan  dalam memahami konsep variasi dan kombinasi pola gerak dasar lokomotorr dan nonlokomotor untuk membentuk gerakan dasar atletik jalan cepat dan lari melalui permainan dan atau olahraga tradisional</v>
      </c>
      <c r="BU52" s="307" t="str">
        <f t="shared" si="25"/>
        <v xml:space="preserve"> perlu bimbingan  dalam memahami konsep variasi dan kombinasi pola gerak dasar lokomotorr dan nonlokomotor untuk membentuk gerakan dasar atletik jalan cepat dan lari melalui permainan dan atau olahraga tradisional</v>
      </c>
      <c r="BV52" s="307" t="str">
        <f t="shared" si="26"/>
        <v xml:space="preserve"> perlu bimbingan  dalam memahami konsep variasi dan kombinasi pola gerak dasar lokomotorr dan nonlokomotor untuk membentuk gerakan dasar atletik jalan cepat dan lari melalui permainan dan atau olahraga tradisional, dan  perlu bimbingan  dalam memahami konsep variasi dan kombinasi pola gerak dasar lokomotorr dan nonlokomotor untuk membentuk gerakan dasar atletik jalan cepat dan lari melalui permainan dan atau olahraga tradisional</v>
      </c>
      <c r="BW52" s="307" t="str">
        <f t="shared" si="27"/>
        <v xml:space="preserve"> perlu bimbingan  dalam memahami konsep variasi dan kombinasi pola gerak dasar lokomotorr dan nonlokomotor untuk membentuk gerakan dasar atletik jalan cepat dan lari melalui permainan dan atau olahraga tradisional</v>
      </c>
      <c r="BX52" s="308" t="str">
        <f t="shared" si="28"/>
        <v xml:space="preserve"> perlu bimbingan  dalam memahami konsep variasi dan kombinasi pola gerak dasar lokomotorr dan nonlokomotor untuk membentuk gerakan dasar atletik jalan cepat dan lari melalui permainan dan atau olahraga tradisional</v>
      </c>
      <c r="BY52" s="301" t="str">
        <f t="shared" si="29"/>
        <v>Anak 48 perlu bimbingan  dalam memahami konsep variasi dan kombinasi pola gerak dasar lokomotorr dan nonlokomotor untuk membentuk gerakan dasar atletik jalan cepat dan lari melalui permainan dan atau olahraga tradisional</v>
      </c>
    </row>
    <row r="53" spans="2:77" ht="63" customHeight="1">
      <c r="B53" s="109">
        <v>49</v>
      </c>
      <c r="C53" s="110">
        <f>SISWA!B54</f>
        <v>0</v>
      </c>
      <c r="D53" s="111" t="str">
        <f>SISWA!E54</f>
        <v>Anak 49</v>
      </c>
      <c r="E53" s="631">
        <v>99</v>
      </c>
      <c r="F53" s="631">
        <v>99</v>
      </c>
      <c r="G53" s="631">
        <v>99</v>
      </c>
      <c r="H53" s="631">
        <v>99</v>
      </c>
      <c r="I53" s="631">
        <v>99</v>
      </c>
      <c r="J53" s="613"/>
      <c r="K53" s="731"/>
      <c r="L53" s="731"/>
      <c r="M53" s="731"/>
      <c r="N53" s="731"/>
      <c r="O53" s="731"/>
      <c r="P53" s="730"/>
      <c r="Q53" s="610"/>
      <c r="R53" s="631">
        <v>90</v>
      </c>
      <c r="S53" s="631">
        <v>77.25</v>
      </c>
      <c r="T53" s="609"/>
      <c r="U53" s="609"/>
      <c r="V53" s="609"/>
      <c r="W53" s="609"/>
      <c r="X53" s="610"/>
      <c r="Y53" s="613">
        <v>90</v>
      </c>
      <c r="Z53" s="613">
        <v>77.25</v>
      </c>
      <c r="AA53" s="613"/>
      <c r="AB53" s="613"/>
      <c r="AC53" s="613"/>
      <c r="AD53" s="613"/>
      <c r="AE53" s="518"/>
      <c r="AF53" s="607">
        <f t="shared" si="10"/>
        <v>94.5</v>
      </c>
      <c r="AG53" s="607">
        <f t="shared" si="11"/>
        <v>88.125</v>
      </c>
      <c r="AH53" s="607">
        <f t="shared" si="12"/>
        <v>99</v>
      </c>
      <c r="AI53" s="607">
        <f t="shared" si="13"/>
        <v>99</v>
      </c>
      <c r="AJ53" s="607">
        <f t="shared" si="14"/>
        <v>99</v>
      </c>
      <c r="AK53" s="529"/>
      <c r="AL53" s="529"/>
      <c r="AM53" s="529"/>
      <c r="AN53" s="529"/>
      <c r="AO53" s="528"/>
      <c r="AP53" s="528"/>
      <c r="AQ53" s="528"/>
      <c r="AR53" s="528"/>
      <c r="AS53" s="529"/>
      <c r="AT53" s="529"/>
      <c r="AU53" s="528"/>
      <c r="AV53" s="302">
        <f t="shared" si="15"/>
        <v>96</v>
      </c>
      <c r="AW53" s="303" t="str">
        <f>IF(AV53&gt;KKM!$G$10,"A",IF(AV53&gt;KKM!$H$10,"B",IF(AV53&gt;=KKM!$I$10,"C","D")))</f>
        <v>A</v>
      </c>
      <c r="AX53" s="304">
        <f t="shared" si="5"/>
        <v>99</v>
      </c>
      <c r="AY53" s="115" t="str">
        <f>IF(AX53&gt;KKM!$G$10," sangat baik ",IF(AX53&gt;KKM!$H$10," baik ",IF(AX53&gt;=KKM!$I$10," cukup baik "," perlu bimbingan ")))</f>
        <v xml:space="preserve"> sangat baik </v>
      </c>
      <c r="AZ53" s="305">
        <f t="shared" si="6"/>
        <v>88.125</v>
      </c>
      <c r="BA53" s="115" t="str">
        <f>IF(AZ53&gt;KKM!$G$10," sangat baik ",IF(AZ53&gt;KKM!$H$10," baik ",IF(AZ53&gt;=KKM!$I$10," cukup baik "," perlu bimbingan ")))</f>
        <v xml:space="preserve"> baik </v>
      </c>
      <c r="BB53" s="301" t="str">
        <f t="shared" si="16"/>
        <v>Anak 49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53" s="306"/>
      <c r="BD53" s="307" t="str">
        <f t="shared" si="7"/>
        <v xml:space="preserve"> sangat baik  dalam memahami konsep kombinasi pola gerak dasar dominan statis dan dinamis untuk membentuk keterampilan/ teknik dasar senam (seperti: handstand, kayang, meroda, dsb)</v>
      </c>
      <c r="BE53" s="307" t="str">
        <f t="shared" si="8"/>
        <v xml:space="preserve"> baik  dalam memahami konsep variasi dan kombinasi gerak dasar lokomotor,non lokomotor, dan manipulative dalam berbagai permainan dan atau olahraga tradisional bola kecii.</v>
      </c>
      <c r="BF53"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53" s="307" t="str">
        <f t="shared" si="18"/>
        <v xml:space="preserve"> </v>
      </c>
      <c r="BH53"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53" s="301" t="str">
        <f t="shared" si="31"/>
        <v>Anak 49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53" s="408">
        <f t="shared" si="20"/>
        <v>96</v>
      </c>
      <c r="BM53" s="302">
        <f t="shared" si="21"/>
        <v>84</v>
      </c>
      <c r="BN53" s="303" t="str">
        <f>IF(BM53&gt;KKM!$G$10,"A",IF(BM53&gt;KKM!$H$10,"B",IF(BM53&gt;=KKM!$I$10,"C","D")))</f>
        <v>B</v>
      </c>
      <c r="BO53" s="523">
        <f t="shared" si="22"/>
        <v>90</v>
      </c>
      <c r="BP53" s="115" t="str">
        <f>IF(BO53&gt;KKM!$G$10," sangat baik ",IF(BO53&gt;KKM!$H$10," baik ",IF(BO53&gt;=KKM!$I$10," cukup baik "," perlu bimbingan ")))</f>
        <v xml:space="preserve"> baik </v>
      </c>
      <c r="BQ53" s="524">
        <f t="shared" si="23"/>
        <v>77.25</v>
      </c>
      <c r="BR53" s="115" t="str">
        <f>IF(BQ53&gt;KKM!$G$10," sangat baik ",IF(BQ53&gt;KKM!$H$10," baik ",IF(BQ53&gt;=KKM!$I$10," cukup baik "," perlu bimbingan ")))</f>
        <v xml:space="preserve"> cukup baik </v>
      </c>
      <c r="BS53" s="301" t="str">
        <f t="shared" si="30"/>
        <v>Anak 49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53" s="307" t="str">
        <f t="shared" si="24"/>
        <v xml:space="preserve"> baik  dalam memahami konsep variasi dan kombinasi pola gerak dasar lokomotorr dan nonlokomotor untuk membentuk gerakan dasar atletik jalan cepat dan lari melalui permainan dan atau olahraga tradisional</v>
      </c>
      <c r="BU53" s="307" t="str">
        <f t="shared" si="25"/>
        <v xml:space="preserve"> cukup baik  dalam memahami konsep variasi dan kombinasi gerak dasar lokomotor,non lokomotor, dan manipulative dalam berbagai permainan dan atau olahraga tradisional bola kecii.</v>
      </c>
      <c r="BV53"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53" s="307" t="str">
        <f t="shared" si="27"/>
        <v xml:space="preserve"> </v>
      </c>
      <c r="BX53"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53" s="301" t="str">
        <f t="shared" si="29"/>
        <v>Anak 49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54" spans="2:77" ht="63" customHeight="1">
      <c r="B54" s="109">
        <v>50</v>
      </c>
      <c r="C54" s="110">
        <f>SISWA!B55</f>
        <v>0</v>
      </c>
      <c r="D54" s="111" t="str">
        <f>SISWA!E55</f>
        <v>Anak 50</v>
      </c>
      <c r="E54" s="631">
        <v>99</v>
      </c>
      <c r="F54" s="631">
        <v>99</v>
      </c>
      <c r="G54" s="631">
        <v>99</v>
      </c>
      <c r="H54" s="631">
        <v>99</v>
      </c>
      <c r="I54" s="631">
        <v>99</v>
      </c>
      <c r="J54" s="613"/>
      <c r="K54" s="731"/>
      <c r="L54" s="731"/>
      <c r="M54" s="731"/>
      <c r="N54" s="731"/>
      <c r="O54" s="731"/>
      <c r="P54" s="730"/>
      <c r="Q54" s="610"/>
      <c r="R54" s="631">
        <v>87.25</v>
      </c>
      <c r="S54" s="631">
        <v>71.75</v>
      </c>
      <c r="T54" s="609"/>
      <c r="U54" s="609"/>
      <c r="V54" s="609"/>
      <c r="W54" s="609"/>
      <c r="X54" s="610"/>
      <c r="Y54" s="613">
        <v>87.25</v>
      </c>
      <c r="Z54" s="613">
        <v>71.75</v>
      </c>
      <c r="AA54" s="613"/>
      <c r="AB54" s="613"/>
      <c r="AC54" s="613"/>
      <c r="AD54" s="613"/>
      <c r="AE54" s="518"/>
      <c r="AF54" s="607">
        <f t="shared" si="10"/>
        <v>93.125</v>
      </c>
      <c r="AG54" s="607">
        <f t="shared" si="11"/>
        <v>85.375</v>
      </c>
      <c r="AH54" s="607">
        <f t="shared" si="12"/>
        <v>99</v>
      </c>
      <c r="AI54" s="607">
        <f t="shared" si="13"/>
        <v>99</v>
      </c>
      <c r="AJ54" s="607">
        <f t="shared" si="14"/>
        <v>99</v>
      </c>
      <c r="AK54" s="529"/>
      <c r="AL54" s="529"/>
      <c r="AM54" s="529"/>
      <c r="AN54" s="529"/>
      <c r="AO54" s="528"/>
      <c r="AP54" s="528"/>
      <c r="AQ54" s="528"/>
      <c r="AR54" s="528"/>
      <c r="AS54" s="529"/>
      <c r="AT54" s="529"/>
      <c r="AU54" s="528"/>
      <c r="AV54" s="302">
        <f t="shared" si="15"/>
        <v>95</v>
      </c>
      <c r="AW54" s="303" t="str">
        <f>IF(AV54&gt;KKM!$G$10,"A",IF(AV54&gt;KKM!$H$10,"B",IF(AV54&gt;=KKM!$I$10,"C","D")))</f>
        <v>A</v>
      </c>
      <c r="AX54" s="304">
        <f t="shared" si="5"/>
        <v>99</v>
      </c>
      <c r="AY54" s="115" t="str">
        <f>IF(AX54&gt;KKM!$G$10," sangat baik ",IF(AX54&gt;KKM!$H$10," baik ",IF(AX54&gt;=KKM!$I$10," cukup baik "," perlu bimbingan ")))</f>
        <v xml:space="preserve"> sangat baik </v>
      </c>
      <c r="AZ54" s="305">
        <f t="shared" si="6"/>
        <v>85.375</v>
      </c>
      <c r="BA54" s="115" t="str">
        <f>IF(AZ54&gt;KKM!$G$10," sangat baik ",IF(AZ54&gt;KKM!$H$10," baik ",IF(AZ54&gt;=KKM!$I$10," cukup baik "," perlu bimbingan ")))</f>
        <v xml:space="preserve"> baik </v>
      </c>
      <c r="BB54" s="301" t="str">
        <f t="shared" si="16"/>
        <v>Anak 50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C54" s="306"/>
      <c r="BD54" s="307" t="str">
        <f t="shared" si="7"/>
        <v xml:space="preserve"> sangat baik  dalam memahami konsep kombinasi pola gerak dasar dominan statis dan dinamis untuk membentuk keterampilan/ teknik dasar senam (seperti: handstand, kayang, meroda, dsb)</v>
      </c>
      <c r="BE54" s="307" t="str">
        <f t="shared" si="8"/>
        <v xml:space="preserve"> baik  dalam memahami konsep variasi dan kombinasi gerak dasar lokomotor,non lokomotor, dan manipulative dalam berbagai permainan dan atau olahraga tradisional bola kecii.</v>
      </c>
      <c r="BF54" s="307" t="str">
        <f t="shared" si="17"/>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G54" s="307" t="str">
        <f t="shared" si="18"/>
        <v xml:space="preserve"> </v>
      </c>
      <c r="BH54" s="308" t="str">
        <f t="shared" si="19"/>
        <v xml:space="preserve">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I54" s="301" t="str">
        <f t="shared" si="31"/>
        <v>Anak 50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BK54" s="408">
        <f t="shared" si="20"/>
        <v>95</v>
      </c>
      <c r="BM54" s="302">
        <f t="shared" si="21"/>
        <v>80</v>
      </c>
      <c r="BN54" s="303" t="str">
        <f>IF(BM54&gt;KKM!$G$10,"A",IF(BM54&gt;KKM!$H$10,"B",IF(BM54&gt;=KKM!$I$10,"C","D")))</f>
        <v>C</v>
      </c>
      <c r="BO54" s="523">
        <f t="shared" si="22"/>
        <v>87.25</v>
      </c>
      <c r="BP54" s="115" t="str">
        <f>IF(BO54&gt;KKM!$G$10," sangat baik ",IF(BO54&gt;KKM!$H$10," baik ",IF(BO54&gt;=KKM!$I$10," cukup baik "," perlu bimbingan ")))</f>
        <v xml:space="preserve"> baik </v>
      </c>
      <c r="BQ54" s="524">
        <f t="shared" si="23"/>
        <v>71.75</v>
      </c>
      <c r="BR54" s="115" t="str">
        <f>IF(BQ54&gt;KKM!$G$10," sangat baik ",IF(BQ54&gt;KKM!$H$10," baik ",IF(BQ54&gt;=KKM!$I$10," cukup baik "," perlu bimbingan ")))</f>
        <v xml:space="preserve"> cukup baik </v>
      </c>
      <c r="BS54" s="301" t="str">
        <f t="shared" si="30"/>
        <v>Anak 50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T54" s="307" t="str">
        <f t="shared" si="24"/>
        <v xml:space="preserve"> baik  dalam memahami konsep variasi dan kombinasi pola gerak dasar lokomotorr dan nonlokomotor untuk membentuk gerakan dasar atletik jalan cepat dan lari melalui permainan dan atau olahraga tradisional</v>
      </c>
      <c r="BU54" s="307" t="str">
        <f t="shared" si="25"/>
        <v xml:space="preserve"> cukup baik  dalam memahami konsep variasi dan kombinasi gerak dasar lokomotor,non lokomotor, dan manipulative dalam berbagai permainan dan atau olahraga tradisional bola kecii.</v>
      </c>
      <c r="BV54" s="307" t="str">
        <f t="shared" si="26"/>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W54" s="307" t="str">
        <f t="shared" si="27"/>
        <v xml:space="preserve"> </v>
      </c>
      <c r="BX54" s="308" t="str">
        <f t="shared" si="28"/>
        <v xml:space="preserve">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BY54" s="301" t="str">
        <f t="shared" si="29"/>
        <v>Anak 50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row>
    <row r="55" spans="2:77" ht="15.75">
      <c r="B55" s="121"/>
      <c r="C55" s="121"/>
      <c r="D55" s="121"/>
      <c r="E55" s="121"/>
      <c r="F55" s="121"/>
      <c r="G55" s="121"/>
      <c r="H55" s="121"/>
      <c r="I55" s="121"/>
      <c r="J55" s="121"/>
      <c r="K55" s="121"/>
      <c r="L55" s="121"/>
      <c r="M55" s="121"/>
      <c r="N55" s="121"/>
      <c r="O55" s="629"/>
      <c r="P55" s="121"/>
      <c r="Q55" s="518"/>
      <c r="R55" s="521"/>
      <c r="S55" s="521"/>
      <c r="T55" s="521"/>
      <c r="U55" s="521"/>
      <c r="V55" s="521"/>
      <c r="W55" s="521"/>
      <c r="X55" s="518"/>
      <c r="Y55" s="521"/>
      <c r="Z55" s="521"/>
      <c r="AA55" s="521"/>
      <c r="AB55" s="521"/>
      <c r="AC55" s="521"/>
      <c r="AD55" s="521"/>
      <c r="AE55" s="518"/>
      <c r="AF55" s="607"/>
      <c r="AG55" s="607"/>
      <c r="AH55" s="607"/>
      <c r="AI55" s="607"/>
      <c r="AJ55" s="607"/>
      <c r="AK55" s="529"/>
      <c r="AL55" s="529"/>
      <c r="AM55" s="529"/>
      <c r="AN55" s="529"/>
      <c r="AO55" s="528"/>
      <c r="AP55" s="528"/>
      <c r="AQ55" s="528"/>
      <c r="AR55" s="528"/>
      <c r="AS55" s="529"/>
      <c r="AT55" s="529"/>
      <c r="AU55" s="528"/>
      <c r="AV55" s="114"/>
      <c r="AW55" s="115"/>
      <c r="AX55" s="116"/>
      <c r="AY55" s="116"/>
      <c r="AZ55" s="116"/>
      <c r="BA55" s="116"/>
      <c r="BB55" s="117"/>
      <c r="BC55" s="118"/>
      <c r="BD55" s="119"/>
      <c r="BE55" s="122"/>
      <c r="BF55" s="122"/>
      <c r="BG55" s="122"/>
      <c r="BH55" s="122"/>
      <c r="BI55" s="122"/>
      <c r="BM55" s="302"/>
      <c r="BN55" s="303"/>
      <c r="BO55" s="523"/>
      <c r="BP55" s="115"/>
      <c r="BQ55" s="524"/>
      <c r="BR55" s="115"/>
      <c r="BS55" s="301"/>
      <c r="BT55" s="307"/>
      <c r="BU55" s="307"/>
      <c r="BV55" s="307"/>
      <c r="BW55" s="307"/>
      <c r="BX55" s="308"/>
      <c r="BY55" s="301"/>
    </row>
    <row r="56" spans="2:77">
      <c r="BM56" s="302"/>
      <c r="BT56" s="119"/>
      <c r="BU56" s="122"/>
      <c r="BV56" s="122"/>
      <c r="BW56" s="122"/>
      <c r="BX56" s="122"/>
      <c r="BY56" s="122"/>
    </row>
  </sheetData>
  <sheetProtection sheet="1" objects="1" scenarios="1"/>
  <mergeCells count="45">
    <mergeCell ref="BT3:BY3"/>
    <mergeCell ref="BM2:BM4"/>
    <mergeCell ref="BN2:BN4"/>
    <mergeCell ref="BO2:BR2"/>
    <mergeCell ref="BS2:BS4"/>
    <mergeCell ref="BO3:BP3"/>
    <mergeCell ref="BQ3:BR3"/>
    <mergeCell ref="V3:V4"/>
    <mergeCell ref="K3:K4"/>
    <mergeCell ref="L3:L4"/>
    <mergeCell ref="M3:M4"/>
    <mergeCell ref="N3:N4"/>
    <mergeCell ref="O3:O4"/>
    <mergeCell ref="Y2:AD2"/>
    <mergeCell ref="P3:P4"/>
    <mergeCell ref="E2:P2"/>
    <mergeCell ref="BB2:BB4"/>
    <mergeCell ref="AX3:AY3"/>
    <mergeCell ref="AZ3:BA3"/>
    <mergeCell ref="E3:E4"/>
    <mergeCell ref="F3:F4"/>
    <mergeCell ref="G3:G4"/>
    <mergeCell ref="H3:H4"/>
    <mergeCell ref="I3:I4"/>
    <mergeCell ref="J3:J4"/>
    <mergeCell ref="R3:R4"/>
    <mergeCell ref="S3:S4"/>
    <mergeCell ref="T3:T4"/>
    <mergeCell ref="U3:U4"/>
    <mergeCell ref="W3:W4"/>
    <mergeCell ref="B1:BA1"/>
    <mergeCell ref="B2:B4"/>
    <mergeCell ref="C2:C4"/>
    <mergeCell ref="D2:D4"/>
    <mergeCell ref="AF2:AU2"/>
    <mergeCell ref="AV2:AV4"/>
    <mergeCell ref="AW2:AW4"/>
    <mergeCell ref="AX2:BA2"/>
    <mergeCell ref="Y3:Y4"/>
    <mergeCell ref="Z3:Z4"/>
    <mergeCell ref="AA3:AA4"/>
    <mergeCell ref="R2:W2"/>
    <mergeCell ref="AB3:AB4"/>
    <mergeCell ref="AC3:AC4"/>
    <mergeCell ref="AD3:AD4"/>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Q56"/>
  <sheetViews>
    <sheetView zoomScale="70" zoomScaleNormal="70" workbookViewId="0">
      <pane xSplit="4" ySplit="4" topLeftCell="E5" activePane="bottomRight" state="frozen"/>
      <selection pane="topRight" activeCell="E1" sqref="E1"/>
      <selection pane="bottomLeft" activeCell="A5" sqref="A5"/>
      <selection pane="bottomRight" activeCell="AO4" sqref="AO4"/>
    </sheetView>
  </sheetViews>
  <sheetFormatPr defaultColWidth="0" defaultRowHeight="15"/>
  <cols>
    <col min="1" max="1" width="23.42578125" style="446" customWidth="1"/>
    <col min="2" max="2" width="4.42578125" style="104" customWidth="1"/>
    <col min="3" max="3" width="6.42578125" style="104" customWidth="1"/>
    <col min="4" max="4" width="28.7109375" style="104" customWidth="1"/>
    <col min="5" max="12" width="5.42578125" style="104" customWidth="1"/>
    <col min="13" max="18" width="5.42578125" style="104" hidden="1" customWidth="1"/>
    <col min="19" max="19" width="2.140625" style="104" customWidth="1"/>
    <col min="20" max="27" width="5.42578125" style="104" customWidth="1"/>
    <col min="28" max="28" width="2.140625" style="104" customWidth="1"/>
    <col min="29" max="36" width="5.42578125" style="104" customWidth="1"/>
    <col min="37" max="37" width="2.28515625" style="104" customWidth="1"/>
    <col min="38" max="45" width="6.7109375" style="104" customWidth="1"/>
    <col min="46" max="47" width="4.7109375" style="104" customWidth="1"/>
    <col min="48" max="48" width="5.140625" style="104" customWidth="1"/>
    <col min="49" max="49" width="10.7109375" style="104" customWidth="1"/>
    <col min="50" max="50" width="5.140625" style="104" customWidth="1"/>
    <col min="51" max="51" width="11" style="104" customWidth="1"/>
    <col min="52" max="52" width="84.42578125" style="104" customWidth="1"/>
    <col min="53" max="53" width="29.85546875" style="104" hidden="1" customWidth="1"/>
    <col min="54" max="59" width="10.7109375" style="104" hidden="1" customWidth="1"/>
    <col min="60" max="62" width="9.140625" style="104" hidden="1" customWidth="1"/>
    <col min="63" max="63" width="6.28515625" style="104" hidden="1" customWidth="1"/>
    <col min="64" max="71" width="9.140625" style="104" hidden="1" customWidth="1"/>
    <col min="72" max="74" width="6.5703125" style="104" hidden="1" customWidth="1"/>
    <col min="75" max="75" width="12.42578125" style="104" hidden="1" customWidth="1"/>
    <col min="76" max="76" width="6.5703125" style="104" hidden="1" customWidth="1"/>
    <col min="77" max="77" width="13.5703125" style="104" hidden="1" customWidth="1"/>
    <col min="78" max="78" width="65.85546875" style="104" hidden="1" customWidth="1"/>
    <col min="79" max="79" width="18.7109375" style="104" hidden="1" customWidth="1"/>
    <col min="80" max="85" width="9.140625" style="104" hidden="1" customWidth="1"/>
    <col min="86" max="86" width="9.140625" style="104" customWidth="1"/>
    <col min="87" max="94" width="5" style="104" hidden="1" customWidth="1"/>
    <col min="95" max="96" width="0" style="104" hidden="1" customWidth="1"/>
    <col min="97" max="110" width="10.7109375" style="104" hidden="1" customWidth="1"/>
    <col min="111" max="147" width="0" style="104" hidden="1" customWidth="1"/>
    <col min="148" max="16384" width="9.140625" style="104" hidden="1"/>
  </cols>
  <sheetData>
    <row r="1" spans="1:85" s="449" customFormat="1" ht="45.75" customHeight="1">
      <c r="B1" s="1040" t="str">
        <f>KKM!X7&amp;" (PENGETAHUAN)"</f>
        <v>Bahasa Jawa (PENGETAHUAN)</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c r="AT1" s="1040"/>
      <c r="AU1" s="1040"/>
      <c r="AV1" s="1040"/>
      <c r="AW1" s="1040"/>
      <c r="AX1" s="1040"/>
      <c r="AY1" s="1040"/>
    </row>
    <row r="2" spans="1:85" ht="23.25" customHeight="1">
      <c r="B2" s="1071" t="s">
        <v>2</v>
      </c>
      <c r="C2" s="1072" t="s">
        <v>3</v>
      </c>
      <c r="D2" s="1073" t="s">
        <v>48</v>
      </c>
      <c r="E2" s="1083" t="s">
        <v>699</v>
      </c>
      <c r="F2" s="1083"/>
      <c r="G2" s="1083"/>
      <c r="H2" s="1083"/>
      <c r="I2" s="1083"/>
      <c r="J2" s="1083"/>
      <c r="K2" s="1083"/>
      <c r="L2" s="1083"/>
      <c r="M2" s="1095"/>
      <c r="N2" s="1096"/>
      <c r="O2" s="1096"/>
      <c r="P2" s="1096"/>
      <c r="Q2" s="1096"/>
      <c r="R2" s="1096"/>
      <c r="S2" s="515"/>
      <c r="T2" s="1100" t="s">
        <v>692</v>
      </c>
      <c r="U2" s="1100"/>
      <c r="V2" s="1100"/>
      <c r="W2" s="1100"/>
      <c r="X2" s="1100"/>
      <c r="Y2" s="1100"/>
      <c r="Z2" s="1100"/>
      <c r="AA2" s="1100"/>
      <c r="AB2" s="515"/>
      <c r="AC2" s="1085" t="s">
        <v>693</v>
      </c>
      <c r="AD2" s="1086"/>
      <c r="AE2" s="1086"/>
      <c r="AF2" s="1086"/>
      <c r="AG2" s="1086"/>
      <c r="AH2" s="1086"/>
      <c r="AI2" s="1086"/>
      <c r="AJ2" s="1086"/>
      <c r="AK2" s="515"/>
      <c r="AL2" s="1111" t="s">
        <v>694</v>
      </c>
      <c r="AM2" s="1111"/>
      <c r="AN2" s="1111"/>
      <c r="AO2" s="1111"/>
      <c r="AP2" s="1111"/>
      <c r="AQ2" s="1111"/>
      <c r="AR2" s="1111"/>
      <c r="AS2" s="1111"/>
      <c r="AT2" s="1045" t="s">
        <v>5</v>
      </c>
      <c r="AU2" s="1046" t="s">
        <v>6</v>
      </c>
      <c r="AV2" s="1047" t="s">
        <v>314</v>
      </c>
      <c r="AW2" s="1048"/>
      <c r="AX2" s="1048"/>
      <c r="AY2" s="1048"/>
      <c r="AZ2" s="1027" t="s">
        <v>1</v>
      </c>
      <c r="BG2" s="294"/>
      <c r="BM2" s="441">
        <f>DEPAN!$E$23</f>
        <v>50</v>
      </c>
      <c r="BN2" s="441"/>
      <c r="BO2" s="441"/>
      <c r="BP2" s="441"/>
      <c r="BQ2" s="441"/>
      <c r="BR2" s="441"/>
      <c r="BS2" s="441"/>
      <c r="BT2" s="1091" t="s">
        <v>5</v>
      </c>
      <c r="BU2" s="1093" t="s">
        <v>6</v>
      </c>
      <c r="BV2" s="1047" t="s">
        <v>314</v>
      </c>
      <c r="BW2" s="1048"/>
      <c r="BX2" s="1048"/>
      <c r="BY2" s="1048"/>
      <c r="BZ2" s="1027" t="s">
        <v>1</v>
      </c>
      <c r="CG2" s="441"/>
    </row>
    <row r="3" spans="1:85" ht="94.5" customHeight="1">
      <c r="B3" s="1071"/>
      <c r="C3" s="1072"/>
      <c r="D3" s="1073"/>
      <c r="E3" s="1079" t="str">
        <f>""&amp;'KI-KD'!$B123</f>
        <v>3.5</v>
      </c>
      <c r="F3" s="1079" t="str">
        <f>""&amp;'KI-KD'!$B124</f>
        <v>3.6</v>
      </c>
      <c r="G3" s="1079" t="str">
        <f>""&amp;'KI-KD'!$B125</f>
        <v>3.7</v>
      </c>
      <c r="H3" s="1079" t="str">
        <f>""&amp;'KI-KD'!$B126</f>
        <v/>
      </c>
      <c r="I3" s="1079" t="str">
        <f>""&amp;'KI-KD'!$B127</f>
        <v/>
      </c>
      <c r="J3" s="1079" t="str">
        <f>""&amp;'KI-KD'!$B128</f>
        <v/>
      </c>
      <c r="K3" s="1079" t="str">
        <f>""&amp;'KI-KD'!$B129</f>
        <v/>
      </c>
      <c r="L3" s="1079" t="str">
        <f>""&amp;'KI-KD'!$B130</f>
        <v/>
      </c>
      <c r="M3" s="1109"/>
      <c r="N3" s="1109"/>
      <c r="O3" s="1109"/>
      <c r="P3" s="1109"/>
      <c r="Q3" s="1109"/>
      <c r="R3" s="1109"/>
      <c r="S3" s="516"/>
      <c r="T3" s="1101" t="str">
        <f>E3</f>
        <v>3.5</v>
      </c>
      <c r="U3" s="1101" t="str">
        <f t="shared" ref="U3:AA3" si="0">F3</f>
        <v>3.6</v>
      </c>
      <c r="V3" s="1101" t="str">
        <f t="shared" si="0"/>
        <v>3.7</v>
      </c>
      <c r="W3" s="1101" t="str">
        <f t="shared" si="0"/>
        <v/>
      </c>
      <c r="X3" s="1101" t="str">
        <f t="shared" si="0"/>
        <v/>
      </c>
      <c r="Y3" s="1101" t="str">
        <f t="shared" si="0"/>
        <v/>
      </c>
      <c r="Z3" s="1101" t="str">
        <f t="shared" si="0"/>
        <v/>
      </c>
      <c r="AA3" s="1101" t="str">
        <f t="shared" si="0"/>
        <v/>
      </c>
      <c r="AB3" s="516"/>
      <c r="AC3" s="1088" t="str">
        <f t="shared" ref="AC3:AJ3" si="1">E3</f>
        <v>3.5</v>
      </c>
      <c r="AD3" s="1088" t="str">
        <f t="shared" si="1"/>
        <v>3.6</v>
      </c>
      <c r="AE3" s="1088" t="str">
        <f t="shared" si="1"/>
        <v>3.7</v>
      </c>
      <c r="AF3" s="1088" t="str">
        <f t="shared" si="1"/>
        <v/>
      </c>
      <c r="AG3" s="1088" t="str">
        <f t="shared" si="1"/>
        <v/>
      </c>
      <c r="AH3" s="1088" t="str">
        <f t="shared" si="1"/>
        <v/>
      </c>
      <c r="AI3" s="1088" t="str">
        <f t="shared" si="1"/>
        <v/>
      </c>
      <c r="AJ3" s="1088" t="str">
        <f t="shared" si="1"/>
        <v/>
      </c>
      <c r="AK3" s="516"/>
      <c r="AL3" s="510" t="str">
        <f>'KI-KD'!$C123</f>
        <v>mengenal dan memahmi teks tembang dolanan</v>
      </c>
      <c r="AM3" s="510" t="str">
        <f>'KI-KD'!$C124</f>
        <v>mengenal dan memahami sandhangan aksara Jawa.</v>
      </c>
      <c r="AN3" s="510" t="str">
        <f>'KI-KD'!$C125</f>
        <v>mengenal, memahami, dan mengidentifikasi kata berimbuhan dalam teks sesuai kaidah</v>
      </c>
      <c r="AO3" s="510">
        <f>'KI-KD'!$C126</f>
        <v>0</v>
      </c>
      <c r="AP3" s="510">
        <f>'KI-KD'!$C127</f>
        <v>0</v>
      </c>
      <c r="AQ3" s="510">
        <f>'KI-KD'!$C128</f>
        <v>0</v>
      </c>
      <c r="AR3" s="510">
        <f>'KI-KD'!$C1269</f>
        <v>0</v>
      </c>
      <c r="AS3" s="510">
        <f>'KI-KD'!$C130</f>
        <v>0</v>
      </c>
      <c r="AT3" s="1045"/>
      <c r="AU3" s="1046"/>
      <c r="AV3" s="1030" t="s">
        <v>315</v>
      </c>
      <c r="AW3" s="1031"/>
      <c r="AX3" s="1032" t="s">
        <v>316</v>
      </c>
      <c r="AY3" s="1033"/>
      <c r="AZ3" s="1028"/>
      <c r="BG3" s="294"/>
      <c r="BM3" s="408">
        <f>BM4-BM5</f>
        <v>50</v>
      </c>
      <c r="BN3" s="408"/>
      <c r="BO3" s="408"/>
      <c r="BP3" s="408"/>
      <c r="BQ3" s="408"/>
      <c r="BR3" s="408"/>
      <c r="BS3" s="408"/>
      <c r="BT3" s="1092"/>
      <c r="BU3" s="1094"/>
      <c r="BV3" s="1067" t="s">
        <v>315</v>
      </c>
      <c r="BW3" s="1068"/>
      <c r="BX3" s="1069" t="s">
        <v>316</v>
      </c>
      <c r="BY3" s="1070"/>
      <c r="BZ3" s="1028"/>
      <c r="CA3" s="1090" t="s">
        <v>730</v>
      </c>
      <c r="CB3" s="1090"/>
      <c r="CC3" s="1090"/>
      <c r="CD3" s="1090"/>
      <c r="CE3" s="1090"/>
      <c r="CF3" s="1090"/>
      <c r="CG3" s="408"/>
    </row>
    <row r="4" spans="1:85" s="108" customFormat="1" ht="25.5" customHeight="1">
      <c r="A4" s="448"/>
      <c r="B4" s="1071"/>
      <c r="C4" s="1072"/>
      <c r="D4" s="1073"/>
      <c r="E4" s="1080"/>
      <c r="F4" s="1080"/>
      <c r="G4" s="1080"/>
      <c r="H4" s="1080"/>
      <c r="I4" s="1080"/>
      <c r="J4" s="1080"/>
      <c r="K4" s="1080"/>
      <c r="L4" s="1080"/>
      <c r="M4" s="1110"/>
      <c r="N4" s="1110"/>
      <c r="O4" s="1110"/>
      <c r="P4" s="1110"/>
      <c r="Q4" s="1110"/>
      <c r="R4" s="1110"/>
      <c r="S4" s="517"/>
      <c r="T4" s="1102"/>
      <c r="U4" s="1102"/>
      <c r="V4" s="1102"/>
      <c r="W4" s="1102"/>
      <c r="X4" s="1102"/>
      <c r="Y4" s="1102"/>
      <c r="Z4" s="1102"/>
      <c r="AA4" s="1102"/>
      <c r="AB4" s="517"/>
      <c r="AC4" s="1089"/>
      <c r="AD4" s="1089"/>
      <c r="AE4" s="1089"/>
      <c r="AF4" s="1089"/>
      <c r="AG4" s="1089"/>
      <c r="AH4" s="1089"/>
      <c r="AI4" s="1089"/>
      <c r="AJ4" s="1089"/>
      <c r="AK4" s="522"/>
      <c r="AL4" s="512">
        <f>'KI-KD'!$B123</f>
        <v>3.5</v>
      </c>
      <c r="AM4" s="512">
        <f>'KI-KD'!$B124</f>
        <v>3.6</v>
      </c>
      <c r="AN4" s="512">
        <f>'KI-KD'!$B125</f>
        <v>3.7</v>
      </c>
      <c r="AO4" s="512">
        <f>'KI-KD'!$B126</f>
        <v>0</v>
      </c>
      <c r="AP4" s="512">
        <f>'KI-KD'!$B127</f>
        <v>0</v>
      </c>
      <c r="AQ4" s="512">
        <f>'KI-KD'!$B128</f>
        <v>0</v>
      </c>
      <c r="AR4" s="512">
        <f>'KI-KD'!$B129</f>
        <v>0</v>
      </c>
      <c r="AS4" s="512">
        <f>'KI-KD'!$B130</f>
        <v>0</v>
      </c>
      <c r="AT4" s="1045"/>
      <c r="AU4" s="1046"/>
      <c r="AV4" s="295" t="s">
        <v>317</v>
      </c>
      <c r="AW4" s="296" t="s">
        <v>1</v>
      </c>
      <c r="AX4" s="297" t="s">
        <v>317</v>
      </c>
      <c r="AY4" s="298" t="s">
        <v>1</v>
      </c>
      <c r="AZ4" s="1029"/>
      <c r="BA4" s="104"/>
      <c r="BB4" s="299" t="s">
        <v>318</v>
      </c>
      <c r="BC4" s="299" t="s">
        <v>319</v>
      </c>
      <c r="BD4" s="299" t="s">
        <v>320</v>
      </c>
      <c r="BE4" s="299" t="s">
        <v>321</v>
      </c>
      <c r="BF4" s="300" t="s">
        <v>314</v>
      </c>
      <c r="BG4" s="301"/>
      <c r="BM4" s="108">
        <v>50</v>
      </c>
      <c r="BT4" s="1092"/>
      <c r="BU4" s="1094"/>
      <c r="BV4" s="295" t="s">
        <v>317</v>
      </c>
      <c r="BW4" s="296" t="s">
        <v>1</v>
      </c>
      <c r="BX4" s="297" t="s">
        <v>317</v>
      </c>
      <c r="BY4" s="298" t="s">
        <v>1</v>
      </c>
      <c r="BZ4" s="1028"/>
      <c r="CA4" s="299" t="s">
        <v>318</v>
      </c>
      <c r="CB4" s="299" t="s">
        <v>319</v>
      </c>
      <c r="CC4" s="299" t="s">
        <v>320</v>
      </c>
      <c r="CD4" s="299" t="s">
        <v>321</v>
      </c>
      <c r="CE4" s="300" t="s">
        <v>314</v>
      </c>
      <c r="CF4" s="301"/>
    </row>
    <row r="5" spans="1:85" ht="63" customHeight="1">
      <c r="B5" s="109">
        <v>1</v>
      </c>
      <c r="C5" s="110">
        <f>SISWA!B6</f>
        <v>4822</v>
      </c>
      <c r="D5" s="111" t="str">
        <f>SISWA!E6</f>
        <v>Anak 1</v>
      </c>
      <c r="E5" s="631">
        <v>89</v>
      </c>
      <c r="F5" s="613">
        <v>89</v>
      </c>
      <c r="G5" s="613">
        <v>97</v>
      </c>
      <c r="H5" s="613"/>
      <c r="I5" s="613"/>
      <c r="J5" s="613"/>
      <c r="K5" s="613"/>
      <c r="L5" s="613"/>
      <c r="M5" s="731"/>
      <c r="N5" s="731"/>
      <c r="O5" s="731"/>
      <c r="P5" s="731"/>
      <c r="Q5" s="730"/>
      <c r="R5" s="730"/>
      <c r="S5" s="610"/>
      <c r="T5" s="609">
        <v>32</v>
      </c>
      <c r="U5" s="609">
        <v>78</v>
      </c>
      <c r="V5" s="609">
        <v>99</v>
      </c>
      <c r="W5" s="609"/>
      <c r="X5" s="609"/>
      <c r="Y5" s="609"/>
      <c r="Z5" s="609"/>
      <c r="AA5" s="609"/>
      <c r="AB5" s="610"/>
      <c r="AC5" s="613">
        <v>88</v>
      </c>
      <c r="AD5" s="613">
        <v>61</v>
      </c>
      <c r="AE5" s="613">
        <v>51</v>
      </c>
      <c r="AF5" s="613"/>
      <c r="AG5" s="613"/>
      <c r="AH5" s="613"/>
      <c r="AI5" s="613"/>
      <c r="AJ5" s="613"/>
      <c r="AK5" s="518"/>
      <c r="AL5" s="607">
        <f>IFERROR(AVERAGE(E5,E5,T5,AC5),"")</f>
        <v>74.5</v>
      </c>
      <c r="AM5" s="607">
        <f t="shared" ref="AM5:AS5" si="2">IFERROR(AVERAGE(F5,F5,U5,AD5),"")</f>
        <v>79.25</v>
      </c>
      <c r="AN5" s="607">
        <f t="shared" si="2"/>
        <v>86</v>
      </c>
      <c r="AO5" s="607" t="str">
        <f t="shared" si="2"/>
        <v/>
      </c>
      <c r="AP5" s="607" t="str">
        <f t="shared" si="2"/>
        <v/>
      </c>
      <c r="AQ5" s="607" t="str">
        <f t="shared" si="2"/>
        <v/>
      </c>
      <c r="AR5" s="607" t="str">
        <f t="shared" si="2"/>
        <v/>
      </c>
      <c r="AS5" s="607" t="str">
        <f t="shared" si="2"/>
        <v/>
      </c>
      <c r="AT5" s="302">
        <f t="shared" ref="AT5:AT36" si="3">ROUND((AVERAGE(AL5:AS5)),0)</f>
        <v>80</v>
      </c>
      <c r="AU5" s="303" t="str">
        <f>IF(AT5&gt;KKM!$G$10,"A",IF(AT5&gt;KKM!$H$10,"B",IF(AT5&gt;=KKM!$I$10,"C","D")))</f>
        <v>C</v>
      </c>
      <c r="AV5" s="304">
        <f t="shared" ref="AV5:AV36" si="4">MAX(AL5:AS5)</f>
        <v>86</v>
      </c>
      <c r="AW5" s="115" t="str">
        <f>IF(AV5&gt;KKM!$G$10," sangat baik ",IF(AV5&gt;KKM!$H$10," baik ",IF(AV5&gt;=KKM!$I$10," cukup baik "," perlu bimbingan ")))</f>
        <v xml:space="preserve"> baik </v>
      </c>
      <c r="AX5" s="305">
        <f t="shared" ref="AX5:AX36" si="5">MIN(AL5:AS5)</f>
        <v>74.5</v>
      </c>
      <c r="AY5" s="115" t="str">
        <f>IF(AX5&gt;KKM!$G$10," sangat baik ",IF(AX5&gt;KKM!$H$10," baik ",IF(AX5&gt;=KKM!$I$10," cukup baik "," perlu bimbingan ")))</f>
        <v xml:space="preserve"> cukup baik </v>
      </c>
      <c r="AZ5" s="301" t="str">
        <f>IFERROR(BG5," ")</f>
        <v>Anak 1 baik  dalam mengenal, memahami, dan mengidentifikasi kata berimbuhan dalam teks sesuai kaidah, dan  cukup baik  dalam mengenal dan memahmi teks tembang dolanan</v>
      </c>
      <c r="BA5" s="306"/>
      <c r="BB5" s="307" t="str">
        <f t="shared" ref="BB5:BB36" si="6">AW5&amp;" dalam "&amp;INDEX($AL$3:$AS$3,MATCH(AV5,$AL5:$AS5,0))</f>
        <v xml:space="preserve"> baik  dalam mengenal, memahami, dan mengidentifikasi kata berimbuhan dalam teks sesuai kaidah</v>
      </c>
      <c r="BC5" s="307" t="str">
        <f t="shared" ref="BC5:BC36" si="7">AY5&amp;" dalam "&amp;INDEX($AL$3:$AS$3,MATCH(AX5,$AL5:$AS5,0))</f>
        <v xml:space="preserve"> cukup baik  dalam mengenal dan memahmi teks tembang dolanan</v>
      </c>
      <c r="BD5" s="307" t="str">
        <f>BB5&amp;", dan "&amp;BC5</f>
        <v xml:space="preserve"> baik  dalam mengenal, memahami, dan mengidentifikasi kata berimbuhan dalam teks sesuai kaidah, dan  cukup baik  dalam mengenal dan memahmi teks tembang dolanan</v>
      </c>
      <c r="BE5" s="307" t="str">
        <f>IF(BB5=BC5,BB5," ")</f>
        <v xml:space="preserve"> </v>
      </c>
      <c r="BF5" s="308" t="str">
        <f>IF(BE5=" ",BD5,BE5)</f>
        <v xml:space="preserve"> baik  dalam mengenal, memahami, dan mengidentifikasi kata berimbuhan dalam teks sesuai kaidah, dan  cukup baik  dalam mengenal dan memahmi teks tembang dolanan</v>
      </c>
      <c r="BG5" s="301" t="str">
        <f t="shared" ref="BG5:BG36" si="8">CONCATENATE(D5,BF5)</f>
        <v>Anak 1 baik  dalam mengenal, memahami, dan mengidentifikasi kata berimbuhan dalam teks sesuai kaidah, dan  cukup baik  dalam mengenal dan memahmi teks tembang dolanan</v>
      </c>
      <c r="BH5" s="106"/>
      <c r="BL5" s="408">
        <f>IFERROR(AT5,"")</f>
        <v>80</v>
      </c>
      <c r="BM5" s="408">
        <f>COUNTBLANK(BL5:BL54)</f>
        <v>0</v>
      </c>
      <c r="BN5" s="408"/>
      <c r="BO5" s="408"/>
      <c r="BP5" s="408"/>
      <c r="BQ5" s="408"/>
      <c r="BR5" s="408"/>
      <c r="BS5" s="408"/>
      <c r="BT5" s="302">
        <f>ROUND((AVERAGE(T5:AA5)),0)</f>
        <v>70</v>
      </c>
      <c r="BU5" s="303" t="str">
        <f>IF(BT5&gt;KKM!$G$10,"A",IF(BT5&gt;KKM!$H$10,"B",IF(BT5&gt;=KKM!$I$10,"C","D")))</f>
        <v>C</v>
      </c>
      <c r="BV5" s="523">
        <f>MAX(T5:AA5)</f>
        <v>99</v>
      </c>
      <c r="BW5" s="115" t="str">
        <f>IF(BV5&gt;KKM!$G$10," sangat baik ",IF(BV5&gt;KKM!$H$10," baik ",IF(BV5&gt;=KKM!$I$10," cukup baik "," perlu bimbingan ")))</f>
        <v xml:space="preserve"> sangat baik </v>
      </c>
      <c r="BX5" s="524">
        <f>MIN(T5:AA5)</f>
        <v>32</v>
      </c>
      <c r="BY5" s="115" t="str">
        <f>IF(BX5&gt;KKM!$G$10," sangat baik ",IF(BX5&gt;KKM!$H$10," baik ",IF(BX5&gt;=KKM!$I$10," cukup baik "," perlu bimbingan ")))</f>
        <v xml:space="preserve"> perlu bimbingan </v>
      </c>
      <c r="BZ5" s="301" t="str">
        <f>IFERROR(CF5," ")</f>
        <v>Anak 1 sangat baik  dalam mengenal, memahami, dan mengidentifikasi kata berimbuhan dalam teks sesuai kaidah, dan  perlu bimbingan  dalam mengenal dan memahmi teks tembang dolanan</v>
      </c>
      <c r="CA5" s="307" t="str">
        <f>BW5&amp;" dalam "&amp;INDEX($AL$3:$AS$3,MATCH(BV5,$T5:$AA5,0))</f>
        <v xml:space="preserve"> sangat baik  dalam mengenal, memahami, dan mengidentifikasi kata berimbuhan dalam teks sesuai kaidah</v>
      </c>
      <c r="CB5" s="307" t="str">
        <f>BY5&amp;" dalam "&amp;INDEX($AL$3:$AS$3,MATCH(BX5,$T5:$AA5,0))</f>
        <v xml:space="preserve"> perlu bimbingan  dalam mengenal dan memahmi teks tembang dolanan</v>
      </c>
      <c r="CC5" s="307" t="str">
        <f>CA5&amp;", dan "&amp;CB5</f>
        <v xml:space="preserve"> sangat baik  dalam mengenal, memahami, dan mengidentifikasi kata berimbuhan dalam teks sesuai kaidah, dan  perlu bimbingan  dalam mengenal dan memahmi teks tembang dolanan</v>
      </c>
      <c r="CD5" s="307" t="str">
        <f>IF(CA5=CB5,CA5," ")</f>
        <v xml:space="preserve"> </v>
      </c>
      <c r="CE5" s="308" t="str">
        <f>IF(CD5=" ",CC5,CD5)</f>
        <v xml:space="preserve"> sangat baik  dalam mengenal, memahami, dan mengidentifikasi kata berimbuhan dalam teks sesuai kaidah, dan  perlu bimbingan  dalam mengenal dan memahmi teks tembang dolanan</v>
      </c>
      <c r="CF5" s="301" t="str">
        <f>CONCATENATE(D5,CE5)</f>
        <v>Anak 1 sangat baik  dalam mengenal, memahami, dan mengidentifikasi kata berimbuhan dalam teks sesuai kaidah, dan  perlu bimbingan  dalam mengenal dan memahmi teks tembang dolanan</v>
      </c>
      <c r="CG5" s="408"/>
    </row>
    <row r="6" spans="1:85" ht="63" customHeight="1">
      <c r="B6" s="109">
        <v>2</v>
      </c>
      <c r="C6" s="110">
        <f>SISWA!B7</f>
        <v>0</v>
      </c>
      <c r="D6" s="111" t="str">
        <f>SISWA!E7</f>
        <v>Anak 2</v>
      </c>
      <c r="E6" s="631">
        <v>99</v>
      </c>
      <c r="F6" s="613">
        <v>88</v>
      </c>
      <c r="G6" s="613">
        <v>98</v>
      </c>
      <c r="H6" s="613"/>
      <c r="I6" s="613"/>
      <c r="J6" s="613"/>
      <c r="K6" s="613"/>
      <c r="L6" s="613"/>
      <c r="M6" s="731"/>
      <c r="N6" s="731"/>
      <c r="O6" s="731"/>
      <c r="P6" s="731"/>
      <c r="Q6" s="730"/>
      <c r="R6" s="730"/>
      <c r="S6" s="610"/>
      <c r="T6" s="609">
        <v>87</v>
      </c>
      <c r="U6" s="609">
        <v>87</v>
      </c>
      <c r="V6" s="609">
        <v>87</v>
      </c>
      <c r="W6" s="609"/>
      <c r="X6" s="609"/>
      <c r="Y6" s="609"/>
      <c r="Z6" s="609"/>
      <c r="AA6" s="609"/>
      <c r="AB6" s="610"/>
      <c r="AC6" s="613">
        <v>67</v>
      </c>
      <c r="AD6" s="613">
        <v>95.5</v>
      </c>
      <c r="AE6" s="613">
        <v>94.5</v>
      </c>
      <c r="AF6" s="613"/>
      <c r="AG6" s="613"/>
      <c r="AH6" s="613"/>
      <c r="AI6" s="613"/>
      <c r="AJ6" s="613"/>
      <c r="AK6" s="518"/>
      <c r="AL6" s="607">
        <f t="shared" ref="AL6:AL54" si="9">IFERROR(AVERAGE(E6,E6,T6,AC6),"")</f>
        <v>88</v>
      </c>
      <c r="AM6" s="607">
        <f t="shared" ref="AM6:AM54" si="10">IFERROR(AVERAGE(F6,F6,U6,AD6),"")</f>
        <v>89.625</v>
      </c>
      <c r="AN6" s="607">
        <f t="shared" ref="AN6:AN54" si="11">IFERROR(AVERAGE(G6,G6,V6,AE6),"")</f>
        <v>94.375</v>
      </c>
      <c r="AO6" s="607" t="str">
        <f t="shared" ref="AO6:AO54" si="12">IFERROR(AVERAGE(H6,H6,W6,AF6),"")</f>
        <v/>
      </c>
      <c r="AP6" s="607" t="str">
        <f t="shared" ref="AP6:AP54" si="13">IFERROR(AVERAGE(I6,I6,X6,AG6),"")</f>
        <v/>
      </c>
      <c r="AQ6" s="607" t="str">
        <f t="shared" ref="AQ6:AQ54" si="14">IFERROR(AVERAGE(J6,J6,Y6,AH6),"")</f>
        <v/>
      </c>
      <c r="AR6" s="607" t="str">
        <f t="shared" ref="AR6:AR54" si="15">IFERROR(AVERAGE(K6,K6,Z6,AI6),"")</f>
        <v/>
      </c>
      <c r="AS6" s="607" t="str">
        <f t="shared" ref="AS6:AS54" si="16">IFERROR(AVERAGE(L6,L6,AA6,AJ6),"")</f>
        <v/>
      </c>
      <c r="AT6" s="302">
        <f t="shared" si="3"/>
        <v>91</v>
      </c>
      <c r="AU6" s="303" t="str">
        <f>IF(AT6&gt;KKM!$G$10,"A",IF(AT6&gt;KKM!$H$10,"B",IF(AT6&gt;=KKM!$I$10,"C","D")))</f>
        <v>A</v>
      </c>
      <c r="AV6" s="304">
        <f t="shared" si="4"/>
        <v>94.375</v>
      </c>
      <c r="AW6" s="115" t="str">
        <f>IF(AV6&gt;KKM!$G$10," sangat baik ",IF(AV6&gt;KKM!$H$10," baik ",IF(AV6&gt;=KKM!$I$10," cukup baik "," perlu bimbingan ")))</f>
        <v xml:space="preserve"> sangat baik </v>
      </c>
      <c r="AX6" s="305">
        <f t="shared" si="5"/>
        <v>88</v>
      </c>
      <c r="AY6" s="115" t="str">
        <f>IF(AX6&gt;KKM!$G$10," sangat baik ",IF(AX6&gt;KKM!$H$10," baik ",IF(AX6&gt;=KKM!$I$10," cukup baik "," perlu bimbingan ")))</f>
        <v xml:space="preserve"> baik </v>
      </c>
      <c r="AZ6" s="301" t="str">
        <f t="shared" ref="AZ6:AZ54" si="17">IFERROR(BG6," ")</f>
        <v>Anak 2 sangat baik  dalam mengenal, memahami, dan mengidentifikasi kata berimbuhan dalam teks sesuai kaidah, dan  baik  dalam mengenal dan memahmi teks tembang dolanan</v>
      </c>
      <c r="BA6" s="306"/>
      <c r="BB6" s="307" t="str">
        <f t="shared" si="6"/>
        <v xml:space="preserve"> sangat baik  dalam mengenal, memahami, dan mengidentifikasi kata berimbuhan dalam teks sesuai kaidah</v>
      </c>
      <c r="BC6" s="307" t="str">
        <f t="shared" si="7"/>
        <v xml:space="preserve"> baik  dalam mengenal dan memahmi teks tembang dolanan</v>
      </c>
      <c r="BD6" s="307" t="str">
        <f t="shared" ref="BD6:BD54" si="18">BB6&amp;", dan "&amp;BC6</f>
        <v xml:space="preserve"> sangat baik  dalam mengenal, memahami, dan mengidentifikasi kata berimbuhan dalam teks sesuai kaidah, dan  baik  dalam mengenal dan memahmi teks tembang dolanan</v>
      </c>
      <c r="BE6" s="307" t="str">
        <f t="shared" ref="BE6:BE54" si="19">IF(BB6=BC6,BB6," ")</f>
        <v xml:space="preserve"> </v>
      </c>
      <c r="BF6" s="308" t="str">
        <f t="shared" ref="BF6:BF54" si="20">IF(BE6=" ",BD6,BE6)</f>
        <v xml:space="preserve"> sangat baik  dalam mengenal, memahami, dan mengidentifikasi kata berimbuhan dalam teks sesuai kaidah, dan  baik  dalam mengenal dan memahmi teks tembang dolanan</v>
      </c>
      <c r="BG6" s="301" t="str">
        <f t="shared" si="8"/>
        <v>Anak 2 sangat baik  dalam mengenal, memahami, dan mengidentifikasi kata berimbuhan dalam teks sesuai kaidah, dan  baik  dalam mengenal dan memahmi teks tembang dolanan</v>
      </c>
      <c r="BH6" s="106"/>
      <c r="BL6" s="408">
        <f t="shared" ref="BL6:BL54" si="21">IFERROR(AT6,"")</f>
        <v>91</v>
      </c>
      <c r="BM6" s="442">
        <f>IFERROR(BM3/BM2,"0%")</f>
        <v>1</v>
      </c>
      <c r="BN6" s="442"/>
      <c r="BO6" s="442"/>
      <c r="BP6" s="442"/>
      <c r="BQ6" s="442"/>
      <c r="BR6" s="442"/>
      <c r="BS6" s="442"/>
      <c r="BT6" s="302">
        <f t="shared" ref="BT6:BT54" si="22">ROUND((AVERAGE(T6:AA6)),0)</f>
        <v>87</v>
      </c>
      <c r="BU6" s="303" t="str">
        <f>IF(BT6&gt;KKM!$G$10,"A",IF(BT6&gt;KKM!$H$10,"B",IF(BT6&gt;=KKM!$I$10,"C","D")))</f>
        <v>B</v>
      </c>
      <c r="BV6" s="523">
        <f t="shared" ref="BV6:BV54" si="23">MAX(T6:AA6)</f>
        <v>87</v>
      </c>
      <c r="BW6" s="115" t="str">
        <f>IF(BV6&gt;KKM!$G$10," sangat baik ",IF(BV6&gt;KKM!$H$10," baik ",IF(BV6&gt;=KKM!$I$10," cukup baik "," perlu bimbingan ")))</f>
        <v xml:space="preserve"> baik </v>
      </c>
      <c r="BX6" s="524">
        <f t="shared" ref="BX6:BX54" si="24">MIN(T6:AA6)</f>
        <v>87</v>
      </c>
      <c r="BY6" s="115" t="str">
        <f>IF(BX6&gt;KKM!$G$10," sangat baik ",IF(BX6&gt;KKM!$H$10," baik ",IF(BX6&gt;=KKM!$I$10," cukup baik "," perlu bimbingan ")))</f>
        <v xml:space="preserve"> baik </v>
      </c>
      <c r="BZ6" s="301" t="str">
        <f>IFERROR(CF6," ")</f>
        <v>Anak 2 baik  dalam mengenal dan memahmi teks tembang dolanan</v>
      </c>
      <c r="CA6" s="307" t="str">
        <f t="shared" ref="CA6:CA54" si="25">BW6&amp;" dalam "&amp;INDEX($AL$3:$AS$3,MATCH(BV6,$T6:$AA6,0))</f>
        <v xml:space="preserve"> baik  dalam mengenal dan memahmi teks tembang dolanan</v>
      </c>
      <c r="CB6" s="307" t="str">
        <f t="shared" ref="CB6:CB54" si="26">BY6&amp;" dalam "&amp;INDEX($AL$3:$AS$3,MATCH(BX6,$T6:$AA6,0))</f>
        <v xml:space="preserve"> baik  dalam mengenal dan memahmi teks tembang dolanan</v>
      </c>
      <c r="CC6" s="307" t="str">
        <f t="shared" ref="CC6:CC54" si="27">CA6&amp;", dan "&amp;CB6</f>
        <v xml:space="preserve"> baik  dalam mengenal dan memahmi teks tembang dolanan, dan  baik  dalam mengenal dan memahmi teks tembang dolanan</v>
      </c>
      <c r="CD6" s="307" t="str">
        <f t="shared" ref="CD6:CD54" si="28">IF(CA6=CB6,CA6," ")</f>
        <v xml:space="preserve"> baik  dalam mengenal dan memahmi teks tembang dolanan</v>
      </c>
      <c r="CE6" s="308" t="str">
        <f t="shared" ref="CE6:CE54" si="29">IF(CD6=" ",CC6,CD6)</f>
        <v xml:space="preserve"> baik  dalam mengenal dan memahmi teks tembang dolanan</v>
      </c>
      <c r="CF6" s="301" t="str">
        <f t="shared" ref="CF6:CF54" si="30">CONCATENATE(D6,CE6)</f>
        <v>Anak 2 baik  dalam mengenal dan memahmi teks tembang dolanan</v>
      </c>
      <c r="CG6" s="442">
        <f>AVERAGE('PAI3'!ET7,'PKN3'!BG6,BIND3!BR6,'MTK3'!CA6,'IPA3'!BK6,'IPS3'!BK6,SBDP3!BK6,PJOK3!BL6,'MLK1-3'!BM6)</f>
        <v>1</v>
      </c>
    </row>
    <row r="7" spans="1:85" ht="63" customHeight="1">
      <c r="B7" s="109">
        <v>3</v>
      </c>
      <c r="C7" s="110">
        <f>SISWA!B8</f>
        <v>0</v>
      </c>
      <c r="D7" s="111" t="str">
        <f>SISWA!E8</f>
        <v>Anak 3</v>
      </c>
      <c r="E7" s="631">
        <v>99</v>
      </c>
      <c r="F7" s="631">
        <v>99</v>
      </c>
      <c r="G7" s="631">
        <v>99</v>
      </c>
      <c r="H7" s="613"/>
      <c r="I7" s="613"/>
      <c r="J7" s="613"/>
      <c r="K7" s="613"/>
      <c r="L7" s="613"/>
      <c r="M7" s="731"/>
      <c r="N7" s="731"/>
      <c r="O7" s="731"/>
      <c r="P7" s="731"/>
      <c r="Q7" s="730"/>
      <c r="R7" s="730"/>
      <c r="S7" s="610"/>
      <c r="T7" s="613">
        <v>94.5</v>
      </c>
      <c r="U7" s="613">
        <v>79</v>
      </c>
      <c r="V7" s="609"/>
      <c r="W7" s="609"/>
      <c r="X7" s="609"/>
      <c r="Y7" s="609"/>
      <c r="Z7" s="609"/>
      <c r="AA7" s="609"/>
      <c r="AB7" s="610"/>
      <c r="AC7" s="613"/>
      <c r="AD7" s="613">
        <v>94.5</v>
      </c>
      <c r="AE7" s="613">
        <v>79</v>
      </c>
      <c r="AF7" s="613"/>
      <c r="AG7" s="613"/>
      <c r="AH7" s="613"/>
      <c r="AI7" s="613"/>
      <c r="AJ7" s="613" t="str">
        <f>IFERROR(AVERAGE(#REF!),"")</f>
        <v/>
      </c>
      <c r="AK7" s="518"/>
      <c r="AL7" s="607">
        <f t="shared" si="9"/>
        <v>97.5</v>
      </c>
      <c r="AM7" s="607">
        <f t="shared" si="10"/>
        <v>92.875</v>
      </c>
      <c r="AN7" s="607">
        <f t="shared" si="11"/>
        <v>92.333333333333329</v>
      </c>
      <c r="AO7" s="607" t="str">
        <f t="shared" si="12"/>
        <v/>
      </c>
      <c r="AP7" s="607" t="str">
        <f t="shared" si="13"/>
        <v/>
      </c>
      <c r="AQ7" s="607" t="str">
        <f t="shared" si="14"/>
        <v/>
      </c>
      <c r="AR7" s="607" t="str">
        <f t="shared" si="15"/>
        <v/>
      </c>
      <c r="AS7" s="607" t="str">
        <f t="shared" si="16"/>
        <v/>
      </c>
      <c r="AT7" s="302">
        <f t="shared" si="3"/>
        <v>94</v>
      </c>
      <c r="AU7" s="303" t="str">
        <f>IF(AT7&gt;KKM!$G$10,"A",IF(AT7&gt;KKM!$H$10,"B",IF(AT7&gt;=KKM!$I$10,"C","D")))</f>
        <v>A</v>
      </c>
      <c r="AV7" s="304">
        <f t="shared" si="4"/>
        <v>97.5</v>
      </c>
      <c r="AW7" s="115" t="str">
        <f>IF(AV7&gt;KKM!$G$10," sangat baik ",IF(AV7&gt;KKM!$H$10," baik ",IF(AV7&gt;=KKM!$I$10," cukup baik "," perlu bimbingan ")))</f>
        <v xml:space="preserve"> sangat baik </v>
      </c>
      <c r="AX7" s="305">
        <f t="shared" si="5"/>
        <v>92.333333333333329</v>
      </c>
      <c r="AY7" s="115" t="str">
        <f>IF(AX7&gt;KKM!$G$10," sangat baik ",IF(AX7&gt;KKM!$H$10," baik ",IF(AX7&gt;=KKM!$I$10," cukup baik "," perlu bimbingan ")))</f>
        <v xml:space="preserve"> sangat baik </v>
      </c>
      <c r="AZ7" s="301" t="str">
        <f t="shared" si="17"/>
        <v>Anak 3 sangat baik  dalam mengenal dan memahmi teks tembang dolanan, dan  sangat baik  dalam mengenal, memahami, dan mengidentifikasi kata berimbuhan dalam teks sesuai kaidah</v>
      </c>
      <c r="BA7" s="306"/>
      <c r="BB7" s="307" t="str">
        <f t="shared" si="6"/>
        <v xml:space="preserve"> sangat baik  dalam mengenal dan memahmi teks tembang dolanan</v>
      </c>
      <c r="BC7" s="307" t="str">
        <f t="shared" si="7"/>
        <v xml:space="preserve"> sangat baik  dalam mengenal, memahami, dan mengidentifikasi kata berimbuhan dalam teks sesuai kaidah</v>
      </c>
      <c r="BD7" s="307" t="str">
        <f t="shared" si="18"/>
        <v xml:space="preserve"> sangat baik  dalam mengenal dan memahmi teks tembang dolanan, dan  sangat baik  dalam mengenal, memahami, dan mengidentifikasi kata berimbuhan dalam teks sesuai kaidah</v>
      </c>
      <c r="BE7" s="307" t="str">
        <f t="shared" si="19"/>
        <v xml:space="preserve"> </v>
      </c>
      <c r="BF7" s="308" t="str">
        <f t="shared" si="20"/>
        <v xml:space="preserve"> sangat baik  dalam mengenal dan memahmi teks tembang dolanan, dan  sangat baik  dalam mengenal, memahami, dan mengidentifikasi kata berimbuhan dalam teks sesuai kaidah</v>
      </c>
      <c r="BG7" s="301" t="str">
        <f t="shared" si="8"/>
        <v>Anak 3 sangat baik  dalam mengenal dan memahmi teks tembang dolanan, dan  sangat baik  dalam mengenal, memahami, dan mengidentifikasi kata berimbuhan dalam teks sesuai kaidah</v>
      </c>
      <c r="BH7" s="106"/>
      <c r="BL7" s="408">
        <f t="shared" si="21"/>
        <v>94</v>
      </c>
      <c r="BT7" s="302">
        <f t="shared" si="22"/>
        <v>87</v>
      </c>
      <c r="BU7" s="303" t="str">
        <f>IF(BT7&gt;KKM!$G$10,"A",IF(BT7&gt;KKM!$H$10,"B",IF(BT7&gt;=KKM!$I$10,"C","D")))</f>
        <v>B</v>
      </c>
      <c r="BV7" s="523">
        <f t="shared" si="23"/>
        <v>94.5</v>
      </c>
      <c r="BW7" s="115" t="str">
        <f>IF(BV7&gt;KKM!$G$10," sangat baik ",IF(BV7&gt;KKM!$H$10," baik ",IF(BV7&gt;=KKM!$I$10," cukup baik "," perlu bimbingan ")))</f>
        <v xml:space="preserve"> sangat baik </v>
      </c>
      <c r="BX7" s="524">
        <f t="shared" si="24"/>
        <v>79</v>
      </c>
      <c r="BY7" s="115" t="str">
        <f>IF(BX7&gt;KKM!$G$10," sangat baik ",IF(BX7&gt;KKM!$H$10," baik ",IF(BX7&gt;=KKM!$I$10," cukup baik "," perlu bimbingan ")))</f>
        <v xml:space="preserve"> cukup baik </v>
      </c>
      <c r="BZ7" s="301" t="str">
        <f t="shared" ref="BZ7:BZ54" si="31">IFERROR(CF7," ")</f>
        <v>Anak 3 sangat baik  dalam mengenal dan memahmi teks tembang dolanan, dan  cukup baik  dalam mengenal dan memahami sandhangan aksara Jawa.</v>
      </c>
      <c r="CA7" s="307" t="str">
        <f t="shared" si="25"/>
        <v xml:space="preserve"> sangat baik  dalam mengenal dan memahmi teks tembang dolanan</v>
      </c>
      <c r="CB7" s="307" t="str">
        <f t="shared" si="26"/>
        <v xml:space="preserve"> cukup baik  dalam mengenal dan memahami sandhangan aksara Jawa.</v>
      </c>
      <c r="CC7" s="307" t="str">
        <f t="shared" si="27"/>
        <v xml:space="preserve"> sangat baik  dalam mengenal dan memahmi teks tembang dolanan, dan  cukup baik  dalam mengenal dan memahami sandhangan aksara Jawa.</v>
      </c>
      <c r="CD7" s="307" t="str">
        <f t="shared" si="28"/>
        <v xml:space="preserve"> </v>
      </c>
      <c r="CE7" s="308" t="str">
        <f t="shared" si="29"/>
        <v xml:space="preserve"> sangat baik  dalam mengenal dan memahmi teks tembang dolanan, dan  cukup baik  dalam mengenal dan memahami sandhangan aksara Jawa.</v>
      </c>
      <c r="CF7" s="301" t="str">
        <f t="shared" si="30"/>
        <v>Anak 3 sangat baik  dalam mengenal dan memahmi teks tembang dolanan, dan  cukup baik  dalam mengenal dan memahami sandhangan aksara Jawa.</v>
      </c>
    </row>
    <row r="8" spans="1:85" ht="63" customHeight="1">
      <c r="B8" s="109">
        <v>4</v>
      </c>
      <c r="C8" s="110">
        <f>SISWA!B9</f>
        <v>0</v>
      </c>
      <c r="D8" s="111" t="str">
        <f>SISWA!E9</f>
        <v>Anak 4</v>
      </c>
      <c r="E8" s="631">
        <v>99</v>
      </c>
      <c r="F8" s="631">
        <v>99</v>
      </c>
      <c r="G8" s="631">
        <v>99</v>
      </c>
      <c r="H8" s="613"/>
      <c r="I8" s="613"/>
      <c r="J8" s="613"/>
      <c r="K8" s="613"/>
      <c r="L8" s="613"/>
      <c r="M8" s="731"/>
      <c r="N8" s="731"/>
      <c r="O8" s="731"/>
      <c r="P8" s="731"/>
      <c r="Q8" s="730"/>
      <c r="R8" s="730"/>
      <c r="S8" s="610"/>
      <c r="T8" s="613">
        <v>79</v>
      </c>
      <c r="U8" s="613">
        <v>79</v>
      </c>
      <c r="V8" s="609"/>
      <c r="W8" s="609"/>
      <c r="X8" s="609"/>
      <c r="Y8" s="609"/>
      <c r="Z8" s="609"/>
      <c r="AA8" s="609"/>
      <c r="AB8" s="610"/>
      <c r="AC8" s="613"/>
      <c r="AD8" s="613">
        <v>79</v>
      </c>
      <c r="AE8" s="613">
        <v>79</v>
      </c>
      <c r="AF8" s="613"/>
      <c r="AG8" s="613"/>
      <c r="AH8" s="613"/>
      <c r="AI8" s="613"/>
      <c r="AJ8" s="613" t="str">
        <f>IFERROR(AVERAGE(#REF!),"")</f>
        <v/>
      </c>
      <c r="AK8" s="518"/>
      <c r="AL8" s="607">
        <f t="shared" si="9"/>
        <v>92.333333333333329</v>
      </c>
      <c r="AM8" s="607">
        <f t="shared" si="10"/>
        <v>89</v>
      </c>
      <c r="AN8" s="607">
        <f t="shared" si="11"/>
        <v>92.333333333333329</v>
      </c>
      <c r="AO8" s="607" t="str">
        <f t="shared" si="12"/>
        <v/>
      </c>
      <c r="AP8" s="607" t="str">
        <f t="shared" si="13"/>
        <v/>
      </c>
      <c r="AQ8" s="607" t="str">
        <f t="shared" si="14"/>
        <v/>
      </c>
      <c r="AR8" s="607" t="str">
        <f t="shared" si="15"/>
        <v/>
      </c>
      <c r="AS8" s="607" t="str">
        <f t="shared" si="16"/>
        <v/>
      </c>
      <c r="AT8" s="302">
        <f t="shared" si="3"/>
        <v>91</v>
      </c>
      <c r="AU8" s="303" t="str">
        <f>IF(AT8&gt;KKM!$G$10,"A",IF(AT8&gt;KKM!$H$10,"B",IF(AT8&gt;=KKM!$I$10,"C","D")))</f>
        <v>A</v>
      </c>
      <c r="AV8" s="304">
        <f t="shared" si="4"/>
        <v>92.333333333333329</v>
      </c>
      <c r="AW8" s="115" t="str">
        <f>IF(AV8&gt;KKM!$G$10," sangat baik ",IF(AV8&gt;KKM!$H$10," baik ",IF(AV8&gt;=KKM!$I$10," cukup baik "," perlu bimbingan ")))</f>
        <v xml:space="preserve"> sangat baik </v>
      </c>
      <c r="AX8" s="305">
        <f t="shared" si="5"/>
        <v>89</v>
      </c>
      <c r="AY8" s="115" t="str">
        <f>IF(AX8&gt;KKM!$G$10," sangat baik ",IF(AX8&gt;KKM!$H$10," baik ",IF(AX8&gt;=KKM!$I$10," cukup baik "," perlu bimbingan ")))</f>
        <v xml:space="preserve"> baik </v>
      </c>
      <c r="AZ8" s="301" t="str">
        <f t="shared" si="17"/>
        <v>Anak 4 sangat baik  dalam mengenal dan memahmi teks tembang dolanan, dan  baik  dalam mengenal dan memahami sandhangan aksara Jawa.</v>
      </c>
      <c r="BA8" s="306"/>
      <c r="BB8" s="307" t="str">
        <f t="shared" si="6"/>
        <v xml:space="preserve"> sangat baik  dalam mengenal dan memahmi teks tembang dolanan</v>
      </c>
      <c r="BC8" s="307" t="str">
        <f t="shared" si="7"/>
        <v xml:space="preserve"> baik  dalam mengenal dan memahami sandhangan aksara Jawa.</v>
      </c>
      <c r="BD8" s="307" t="str">
        <f t="shared" si="18"/>
        <v xml:space="preserve"> sangat baik  dalam mengenal dan memahmi teks tembang dolanan, dan  baik  dalam mengenal dan memahami sandhangan aksara Jawa.</v>
      </c>
      <c r="BE8" s="307" t="str">
        <f t="shared" si="19"/>
        <v xml:space="preserve"> </v>
      </c>
      <c r="BF8" s="308" t="str">
        <f t="shared" si="20"/>
        <v xml:space="preserve"> sangat baik  dalam mengenal dan memahmi teks tembang dolanan, dan  baik  dalam mengenal dan memahami sandhangan aksara Jawa.</v>
      </c>
      <c r="BG8" s="301" t="str">
        <f t="shared" si="8"/>
        <v>Anak 4 sangat baik  dalam mengenal dan memahmi teks tembang dolanan, dan  baik  dalam mengenal dan memahami sandhangan aksara Jawa.</v>
      </c>
      <c r="BH8" s="106"/>
      <c r="BL8" s="408">
        <f t="shared" si="21"/>
        <v>91</v>
      </c>
      <c r="BT8" s="302">
        <f t="shared" si="22"/>
        <v>79</v>
      </c>
      <c r="BU8" s="303" t="str">
        <f>IF(BT8&gt;KKM!$G$10,"A",IF(BT8&gt;KKM!$H$10,"B",IF(BT8&gt;=KKM!$I$10,"C","D")))</f>
        <v>C</v>
      </c>
      <c r="BV8" s="523">
        <f t="shared" si="23"/>
        <v>79</v>
      </c>
      <c r="BW8" s="115" t="str">
        <f>IF(BV8&gt;KKM!$G$10," sangat baik ",IF(BV8&gt;KKM!$H$10," baik ",IF(BV8&gt;=KKM!$I$10," cukup baik "," perlu bimbingan ")))</f>
        <v xml:space="preserve"> cukup baik </v>
      </c>
      <c r="BX8" s="524">
        <f t="shared" si="24"/>
        <v>79</v>
      </c>
      <c r="BY8" s="115" t="str">
        <f>IF(BX8&gt;KKM!$G$10," sangat baik ",IF(BX8&gt;KKM!$H$10," baik ",IF(BX8&gt;=KKM!$I$10," cukup baik "," perlu bimbingan ")))</f>
        <v xml:space="preserve"> cukup baik </v>
      </c>
      <c r="BZ8" s="301" t="str">
        <f t="shared" si="31"/>
        <v>Anak 4 cukup baik  dalam mengenal dan memahmi teks tembang dolanan</v>
      </c>
      <c r="CA8" s="307" t="str">
        <f t="shared" si="25"/>
        <v xml:space="preserve"> cukup baik  dalam mengenal dan memahmi teks tembang dolanan</v>
      </c>
      <c r="CB8" s="307" t="str">
        <f t="shared" si="26"/>
        <v xml:space="preserve"> cukup baik  dalam mengenal dan memahmi teks tembang dolanan</v>
      </c>
      <c r="CC8" s="307" t="str">
        <f t="shared" si="27"/>
        <v xml:space="preserve"> cukup baik  dalam mengenal dan memahmi teks tembang dolanan, dan  cukup baik  dalam mengenal dan memahmi teks tembang dolanan</v>
      </c>
      <c r="CD8" s="307" t="str">
        <f t="shared" si="28"/>
        <v xml:space="preserve"> cukup baik  dalam mengenal dan memahmi teks tembang dolanan</v>
      </c>
      <c r="CE8" s="308" t="str">
        <f t="shared" si="29"/>
        <v xml:space="preserve"> cukup baik  dalam mengenal dan memahmi teks tembang dolanan</v>
      </c>
      <c r="CF8" s="301" t="str">
        <f t="shared" si="30"/>
        <v>Anak 4 cukup baik  dalam mengenal dan memahmi teks tembang dolanan</v>
      </c>
    </row>
    <row r="9" spans="1:85" ht="63" customHeight="1">
      <c r="B9" s="109">
        <v>5</v>
      </c>
      <c r="C9" s="110">
        <f>SISWA!B10</f>
        <v>0</v>
      </c>
      <c r="D9" s="111" t="str">
        <f>SISWA!E10</f>
        <v>Anak 5</v>
      </c>
      <c r="E9" s="631">
        <v>99</v>
      </c>
      <c r="F9" s="631">
        <v>99</v>
      </c>
      <c r="G9" s="631">
        <v>99</v>
      </c>
      <c r="H9" s="613"/>
      <c r="I9" s="613"/>
      <c r="J9" s="613"/>
      <c r="K9" s="613"/>
      <c r="L9" s="613"/>
      <c r="M9" s="731"/>
      <c r="N9" s="731"/>
      <c r="O9" s="731"/>
      <c r="P9" s="731"/>
      <c r="Q9" s="730"/>
      <c r="R9" s="730"/>
      <c r="S9" s="610"/>
      <c r="T9" s="613">
        <v>79</v>
      </c>
      <c r="U9" s="613">
        <v>79</v>
      </c>
      <c r="V9" s="609"/>
      <c r="W9" s="609"/>
      <c r="X9" s="609"/>
      <c r="Y9" s="609"/>
      <c r="Z9" s="609"/>
      <c r="AA9" s="609"/>
      <c r="AB9" s="610"/>
      <c r="AC9" s="613"/>
      <c r="AD9" s="613">
        <v>79</v>
      </c>
      <c r="AE9" s="613">
        <v>79</v>
      </c>
      <c r="AF9" s="613"/>
      <c r="AG9" s="613"/>
      <c r="AH9" s="613"/>
      <c r="AI9" s="613"/>
      <c r="AJ9" s="613" t="str">
        <f>IFERROR(AVERAGE(#REF!),"")</f>
        <v/>
      </c>
      <c r="AK9" s="518"/>
      <c r="AL9" s="607">
        <f t="shared" si="9"/>
        <v>92.333333333333329</v>
      </c>
      <c r="AM9" s="607">
        <f t="shared" si="10"/>
        <v>89</v>
      </c>
      <c r="AN9" s="607">
        <f t="shared" si="11"/>
        <v>92.333333333333329</v>
      </c>
      <c r="AO9" s="607" t="str">
        <f t="shared" si="12"/>
        <v/>
      </c>
      <c r="AP9" s="607" t="str">
        <f t="shared" si="13"/>
        <v/>
      </c>
      <c r="AQ9" s="607" t="str">
        <f t="shared" si="14"/>
        <v/>
      </c>
      <c r="AR9" s="607" t="str">
        <f t="shared" si="15"/>
        <v/>
      </c>
      <c r="AS9" s="607" t="str">
        <f t="shared" si="16"/>
        <v/>
      </c>
      <c r="AT9" s="302">
        <f t="shared" si="3"/>
        <v>91</v>
      </c>
      <c r="AU9" s="303" t="str">
        <f>IF(AT9&gt;KKM!$G$10,"A",IF(AT9&gt;KKM!$H$10,"B",IF(AT9&gt;=KKM!$I$10,"C","D")))</f>
        <v>A</v>
      </c>
      <c r="AV9" s="304">
        <f t="shared" si="4"/>
        <v>92.333333333333329</v>
      </c>
      <c r="AW9" s="115" t="str">
        <f>IF(AV9&gt;KKM!$G$10," sangat baik ",IF(AV9&gt;KKM!$H$10," baik ",IF(AV9&gt;=KKM!$I$10," cukup baik "," perlu bimbingan ")))</f>
        <v xml:space="preserve"> sangat baik </v>
      </c>
      <c r="AX9" s="305">
        <f t="shared" si="5"/>
        <v>89</v>
      </c>
      <c r="AY9" s="115" t="str">
        <f>IF(AX9&gt;KKM!$G$10," sangat baik ",IF(AX9&gt;KKM!$H$10," baik ",IF(AX9&gt;=KKM!$I$10," cukup baik "," perlu bimbingan ")))</f>
        <v xml:space="preserve"> baik </v>
      </c>
      <c r="AZ9" s="301" t="str">
        <f t="shared" si="17"/>
        <v>Anak 5 sangat baik  dalam mengenal dan memahmi teks tembang dolanan, dan  baik  dalam mengenal dan memahami sandhangan aksara Jawa.</v>
      </c>
      <c r="BA9" s="306"/>
      <c r="BB9" s="307" t="str">
        <f t="shared" si="6"/>
        <v xml:space="preserve"> sangat baik  dalam mengenal dan memahmi teks tembang dolanan</v>
      </c>
      <c r="BC9" s="307" t="str">
        <f t="shared" si="7"/>
        <v xml:space="preserve"> baik  dalam mengenal dan memahami sandhangan aksara Jawa.</v>
      </c>
      <c r="BD9" s="307" t="str">
        <f t="shared" si="18"/>
        <v xml:space="preserve"> sangat baik  dalam mengenal dan memahmi teks tembang dolanan, dan  baik  dalam mengenal dan memahami sandhangan aksara Jawa.</v>
      </c>
      <c r="BE9" s="307" t="str">
        <f t="shared" si="19"/>
        <v xml:space="preserve"> </v>
      </c>
      <c r="BF9" s="308" t="str">
        <f t="shared" si="20"/>
        <v xml:space="preserve"> sangat baik  dalam mengenal dan memahmi teks tembang dolanan, dan  baik  dalam mengenal dan memahami sandhangan aksara Jawa.</v>
      </c>
      <c r="BG9" s="301" t="str">
        <f t="shared" si="8"/>
        <v>Anak 5 sangat baik  dalam mengenal dan memahmi teks tembang dolanan, dan  baik  dalam mengenal dan memahami sandhangan aksara Jawa.</v>
      </c>
      <c r="BH9" s="106"/>
      <c r="BL9" s="408">
        <f t="shared" si="21"/>
        <v>91</v>
      </c>
      <c r="BT9" s="302">
        <f t="shared" si="22"/>
        <v>79</v>
      </c>
      <c r="BU9" s="303" t="str">
        <f>IF(BT9&gt;KKM!$G$10,"A",IF(BT9&gt;KKM!$H$10,"B",IF(BT9&gt;=KKM!$I$10,"C","D")))</f>
        <v>C</v>
      </c>
      <c r="BV9" s="523">
        <f t="shared" si="23"/>
        <v>79</v>
      </c>
      <c r="BW9" s="115" t="str">
        <f>IF(BV9&gt;KKM!$G$10," sangat baik ",IF(BV9&gt;KKM!$H$10," baik ",IF(BV9&gt;=KKM!$I$10," cukup baik "," perlu bimbingan ")))</f>
        <v xml:space="preserve"> cukup baik </v>
      </c>
      <c r="BX9" s="524">
        <f t="shared" si="24"/>
        <v>79</v>
      </c>
      <c r="BY9" s="115" t="str">
        <f>IF(BX9&gt;KKM!$G$10," sangat baik ",IF(BX9&gt;KKM!$H$10," baik ",IF(BX9&gt;=KKM!$I$10," cukup baik "," perlu bimbingan ")))</f>
        <v xml:space="preserve"> cukup baik </v>
      </c>
      <c r="BZ9" s="301" t="str">
        <f t="shared" si="31"/>
        <v>Anak 5 cukup baik  dalam mengenal dan memahmi teks tembang dolanan</v>
      </c>
      <c r="CA9" s="307" t="str">
        <f t="shared" si="25"/>
        <v xml:space="preserve"> cukup baik  dalam mengenal dan memahmi teks tembang dolanan</v>
      </c>
      <c r="CB9" s="307" t="str">
        <f t="shared" si="26"/>
        <v xml:space="preserve"> cukup baik  dalam mengenal dan memahmi teks tembang dolanan</v>
      </c>
      <c r="CC9" s="307" t="str">
        <f t="shared" si="27"/>
        <v xml:space="preserve"> cukup baik  dalam mengenal dan memahmi teks tembang dolanan, dan  cukup baik  dalam mengenal dan memahmi teks tembang dolanan</v>
      </c>
      <c r="CD9" s="307" t="str">
        <f t="shared" si="28"/>
        <v xml:space="preserve"> cukup baik  dalam mengenal dan memahmi teks tembang dolanan</v>
      </c>
      <c r="CE9" s="308" t="str">
        <f t="shared" si="29"/>
        <v xml:space="preserve"> cukup baik  dalam mengenal dan memahmi teks tembang dolanan</v>
      </c>
      <c r="CF9" s="301" t="str">
        <f t="shared" si="30"/>
        <v>Anak 5 cukup baik  dalam mengenal dan memahmi teks tembang dolanan</v>
      </c>
    </row>
    <row r="10" spans="1:85" ht="63" customHeight="1">
      <c r="B10" s="109">
        <v>6</v>
      </c>
      <c r="C10" s="110">
        <f>SISWA!B11</f>
        <v>0</v>
      </c>
      <c r="D10" s="111" t="str">
        <f>SISWA!E11</f>
        <v>Anak 6</v>
      </c>
      <c r="E10" s="631">
        <v>99</v>
      </c>
      <c r="F10" s="631">
        <v>99</v>
      </c>
      <c r="G10" s="631">
        <v>99</v>
      </c>
      <c r="H10" s="613"/>
      <c r="I10" s="613"/>
      <c r="J10" s="613"/>
      <c r="K10" s="613"/>
      <c r="L10" s="613"/>
      <c r="M10" s="731"/>
      <c r="N10" s="731"/>
      <c r="O10" s="731"/>
      <c r="P10" s="731"/>
      <c r="Q10" s="730"/>
      <c r="R10" s="730"/>
      <c r="S10" s="610"/>
      <c r="T10" s="613">
        <v>79</v>
      </c>
      <c r="U10" s="613">
        <v>68.5</v>
      </c>
      <c r="V10" s="609"/>
      <c r="W10" s="609"/>
      <c r="X10" s="609"/>
      <c r="Y10" s="609"/>
      <c r="Z10" s="609"/>
      <c r="AA10" s="609"/>
      <c r="AB10" s="610"/>
      <c r="AC10" s="613"/>
      <c r="AD10" s="613">
        <v>79</v>
      </c>
      <c r="AE10" s="613">
        <v>68.5</v>
      </c>
      <c r="AF10" s="613"/>
      <c r="AG10" s="613"/>
      <c r="AH10" s="613"/>
      <c r="AI10" s="613"/>
      <c r="AJ10" s="613" t="str">
        <f>IFERROR(AVERAGE(#REF!),"")</f>
        <v/>
      </c>
      <c r="AK10" s="518"/>
      <c r="AL10" s="607">
        <f t="shared" si="9"/>
        <v>92.333333333333329</v>
      </c>
      <c r="AM10" s="607">
        <f t="shared" si="10"/>
        <v>86.375</v>
      </c>
      <c r="AN10" s="607">
        <f t="shared" si="11"/>
        <v>88.833333333333329</v>
      </c>
      <c r="AO10" s="607" t="str">
        <f t="shared" si="12"/>
        <v/>
      </c>
      <c r="AP10" s="607" t="str">
        <f t="shared" si="13"/>
        <v/>
      </c>
      <c r="AQ10" s="607" t="str">
        <f t="shared" si="14"/>
        <v/>
      </c>
      <c r="AR10" s="607" t="str">
        <f t="shared" si="15"/>
        <v/>
      </c>
      <c r="AS10" s="607" t="str">
        <f t="shared" si="16"/>
        <v/>
      </c>
      <c r="AT10" s="302">
        <f t="shared" si="3"/>
        <v>89</v>
      </c>
      <c r="AU10" s="303" t="str">
        <f>IF(AT10&gt;KKM!$G$10,"A",IF(AT10&gt;KKM!$H$10,"B",IF(AT10&gt;=KKM!$I$10,"C","D")))</f>
        <v>B</v>
      </c>
      <c r="AV10" s="304">
        <f t="shared" si="4"/>
        <v>92.333333333333329</v>
      </c>
      <c r="AW10" s="115" t="str">
        <f>IF(AV10&gt;KKM!$G$10," sangat baik ",IF(AV10&gt;KKM!$H$10," baik ",IF(AV10&gt;=KKM!$I$10," cukup baik "," perlu bimbingan ")))</f>
        <v xml:space="preserve"> sangat baik </v>
      </c>
      <c r="AX10" s="305">
        <f t="shared" si="5"/>
        <v>86.375</v>
      </c>
      <c r="AY10" s="115" t="str">
        <f>IF(AX10&gt;KKM!$G$10," sangat baik ",IF(AX10&gt;KKM!$H$10," baik ",IF(AX10&gt;=KKM!$I$10," cukup baik "," perlu bimbingan ")))</f>
        <v xml:space="preserve"> baik </v>
      </c>
      <c r="AZ10" s="301" t="str">
        <f t="shared" si="17"/>
        <v>Anak 6 sangat baik  dalam mengenal dan memahmi teks tembang dolanan, dan  baik  dalam mengenal dan memahami sandhangan aksara Jawa.</v>
      </c>
      <c r="BA10" s="306"/>
      <c r="BB10" s="307" t="str">
        <f t="shared" si="6"/>
        <v xml:space="preserve"> sangat baik  dalam mengenal dan memahmi teks tembang dolanan</v>
      </c>
      <c r="BC10" s="307" t="str">
        <f t="shared" si="7"/>
        <v xml:space="preserve"> baik  dalam mengenal dan memahami sandhangan aksara Jawa.</v>
      </c>
      <c r="BD10" s="307" t="str">
        <f t="shared" si="18"/>
        <v xml:space="preserve"> sangat baik  dalam mengenal dan memahmi teks tembang dolanan, dan  baik  dalam mengenal dan memahami sandhangan aksara Jawa.</v>
      </c>
      <c r="BE10" s="307" t="str">
        <f t="shared" si="19"/>
        <v xml:space="preserve"> </v>
      </c>
      <c r="BF10" s="308" t="str">
        <f t="shared" si="20"/>
        <v xml:space="preserve"> sangat baik  dalam mengenal dan memahmi teks tembang dolanan, dan  baik  dalam mengenal dan memahami sandhangan aksara Jawa.</v>
      </c>
      <c r="BG10" s="301" t="str">
        <f t="shared" si="8"/>
        <v>Anak 6 sangat baik  dalam mengenal dan memahmi teks tembang dolanan, dan  baik  dalam mengenal dan memahami sandhangan aksara Jawa.</v>
      </c>
      <c r="BH10" s="106"/>
      <c r="BL10" s="408">
        <f t="shared" si="21"/>
        <v>89</v>
      </c>
      <c r="BT10" s="302">
        <f t="shared" si="22"/>
        <v>74</v>
      </c>
      <c r="BU10" s="303" t="str">
        <f>IF(BT10&gt;KKM!$G$10,"A",IF(BT10&gt;KKM!$H$10,"B",IF(BT10&gt;=KKM!$I$10,"C","D")))</f>
        <v>C</v>
      </c>
      <c r="BV10" s="523">
        <f t="shared" si="23"/>
        <v>79</v>
      </c>
      <c r="BW10" s="115" t="str">
        <f>IF(BV10&gt;KKM!$G$10," sangat baik ",IF(BV10&gt;KKM!$H$10," baik ",IF(BV10&gt;=KKM!$I$10," cukup baik "," perlu bimbingan ")))</f>
        <v xml:space="preserve"> cukup baik </v>
      </c>
      <c r="BX10" s="524">
        <f t="shared" si="24"/>
        <v>68.5</v>
      </c>
      <c r="BY10" s="115" t="str">
        <f>IF(BX10&gt;KKM!$G$10," sangat baik ",IF(BX10&gt;KKM!$H$10," baik ",IF(BX10&gt;=KKM!$I$10," cukup baik "," perlu bimbingan ")))</f>
        <v xml:space="preserve"> perlu bimbingan </v>
      </c>
      <c r="BZ10" s="301" t="str">
        <f t="shared" si="31"/>
        <v>Anak 6 cukup baik  dalam mengenal dan memahmi teks tembang dolanan, dan  perlu bimbingan  dalam mengenal dan memahami sandhangan aksara Jawa.</v>
      </c>
      <c r="CA10" s="307" t="str">
        <f t="shared" si="25"/>
        <v xml:space="preserve"> cukup baik  dalam mengenal dan memahmi teks tembang dolanan</v>
      </c>
      <c r="CB10" s="307" t="str">
        <f t="shared" si="26"/>
        <v xml:space="preserve"> perlu bimbingan  dalam mengenal dan memahami sandhangan aksara Jawa.</v>
      </c>
      <c r="CC10" s="307" t="str">
        <f t="shared" si="27"/>
        <v xml:space="preserve"> cukup baik  dalam mengenal dan memahmi teks tembang dolanan, dan  perlu bimbingan  dalam mengenal dan memahami sandhangan aksara Jawa.</v>
      </c>
      <c r="CD10" s="307" t="str">
        <f t="shared" si="28"/>
        <v xml:space="preserve"> </v>
      </c>
      <c r="CE10" s="308" t="str">
        <f t="shared" si="29"/>
        <v xml:space="preserve"> cukup baik  dalam mengenal dan memahmi teks tembang dolanan, dan  perlu bimbingan  dalam mengenal dan memahami sandhangan aksara Jawa.</v>
      </c>
      <c r="CF10" s="301" t="str">
        <f t="shared" si="30"/>
        <v>Anak 6 cukup baik  dalam mengenal dan memahmi teks tembang dolanan, dan  perlu bimbingan  dalam mengenal dan memahami sandhangan aksara Jawa.</v>
      </c>
    </row>
    <row r="11" spans="1:85" ht="63" customHeight="1">
      <c r="B11" s="109">
        <v>7</v>
      </c>
      <c r="C11" s="110">
        <f>SISWA!B12</f>
        <v>0</v>
      </c>
      <c r="D11" s="111" t="str">
        <f>SISWA!E12</f>
        <v>Anak 7</v>
      </c>
      <c r="E11" s="631">
        <v>99</v>
      </c>
      <c r="F11" s="631">
        <v>99</v>
      </c>
      <c r="G11" s="631">
        <v>99</v>
      </c>
      <c r="H11" s="613"/>
      <c r="I11" s="613"/>
      <c r="J11" s="613"/>
      <c r="K11" s="613"/>
      <c r="L11" s="613"/>
      <c r="M11" s="731"/>
      <c r="N11" s="731"/>
      <c r="O11" s="731"/>
      <c r="P11" s="731"/>
      <c r="Q11" s="730"/>
      <c r="R11" s="730"/>
      <c r="S11" s="610"/>
      <c r="T11" s="613">
        <v>68.5</v>
      </c>
      <c r="U11" s="613">
        <v>69.5</v>
      </c>
      <c r="V11" s="609"/>
      <c r="W11" s="609"/>
      <c r="X11" s="609"/>
      <c r="Y11" s="609"/>
      <c r="Z11" s="609"/>
      <c r="AA11" s="609"/>
      <c r="AB11" s="610"/>
      <c r="AC11" s="613"/>
      <c r="AD11" s="613">
        <v>68.5</v>
      </c>
      <c r="AE11" s="613">
        <v>69.5</v>
      </c>
      <c r="AF11" s="613"/>
      <c r="AG11" s="613"/>
      <c r="AH11" s="613"/>
      <c r="AI11" s="613"/>
      <c r="AJ11" s="613" t="str">
        <f>IFERROR(AVERAGE(#REF!),"")</f>
        <v/>
      </c>
      <c r="AK11" s="518"/>
      <c r="AL11" s="607">
        <f t="shared" si="9"/>
        <v>88.833333333333329</v>
      </c>
      <c r="AM11" s="607">
        <f t="shared" si="10"/>
        <v>84</v>
      </c>
      <c r="AN11" s="607">
        <f t="shared" si="11"/>
        <v>89.166666666666671</v>
      </c>
      <c r="AO11" s="607" t="str">
        <f t="shared" si="12"/>
        <v/>
      </c>
      <c r="AP11" s="607" t="str">
        <f t="shared" si="13"/>
        <v/>
      </c>
      <c r="AQ11" s="607" t="str">
        <f t="shared" si="14"/>
        <v/>
      </c>
      <c r="AR11" s="607" t="str">
        <f t="shared" si="15"/>
        <v/>
      </c>
      <c r="AS11" s="607" t="str">
        <f t="shared" si="16"/>
        <v/>
      </c>
      <c r="AT11" s="302">
        <f t="shared" si="3"/>
        <v>87</v>
      </c>
      <c r="AU11" s="303" t="str">
        <f>IF(AT11&gt;KKM!$G$10,"A",IF(AT11&gt;KKM!$H$10,"B",IF(AT11&gt;=KKM!$I$10,"C","D")))</f>
        <v>B</v>
      </c>
      <c r="AV11" s="304">
        <f t="shared" si="4"/>
        <v>89.166666666666671</v>
      </c>
      <c r="AW11" s="115" t="str">
        <f>IF(AV11&gt;KKM!$G$10," sangat baik ",IF(AV11&gt;KKM!$H$10," baik ",IF(AV11&gt;=KKM!$I$10," cukup baik "," perlu bimbingan ")))</f>
        <v xml:space="preserve"> baik </v>
      </c>
      <c r="AX11" s="305">
        <f t="shared" si="5"/>
        <v>84</v>
      </c>
      <c r="AY11" s="115" t="str">
        <f>IF(AX11&gt;KKM!$G$10," sangat baik ",IF(AX11&gt;KKM!$H$10," baik ",IF(AX11&gt;=KKM!$I$10," cukup baik "," perlu bimbingan ")))</f>
        <v xml:space="preserve"> baik </v>
      </c>
      <c r="AZ11" s="301" t="str">
        <f t="shared" si="17"/>
        <v>Anak 7 baik  dalam mengenal, memahami, dan mengidentifikasi kata berimbuhan dalam teks sesuai kaidah, dan  baik  dalam mengenal dan memahami sandhangan aksara Jawa.</v>
      </c>
      <c r="BA11" s="306"/>
      <c r="BB11" s="307" t="str">
        <f t="shared" si="6"/>
        <v xml:space="preserve"> baik  dalam mengenal, memahami, dan mengidentifikasi kata berimbuhan dalam teks sesuai kaidah</v>
      </c>
      <c r="BC11" s="307" t="str">
        <f t="shared" si="7"/>
        <v xml:space="preserve"> baik  dalam mengenal dan memahami sandhangan aksara Jawa.</v>
      </c>
      <c r="BD11" s="307" t="str">
        <f t="shared" si="18"/>
        <v xml:space="preserve"> baik  dalam mengenal, memahami, dan mengidentifikasi kata berimbuhan dalam teks sesuai kaidah, dan  baik  dalam mengenal dan memahami sandhangan aksara Jawa.</v>
      </c>
      <c r="BE11" s="307" t="str">
        <f t="shared" si="19"/>
        <v xml:space="preserve"> </v>
      </c>
      <c r="BF11" s="308" t="str">
        <f t="shared" si="20"/>
        <v xml:space="preserve"> baik  dalam mengenal, memahami, dan mengidentifikasi kata berimbuhan dalam teks sesuai kaidah, dan  baik  dalam mengenal dan memahami sandhangan aksara Jawa.</v>
      </c>
      <c r="BG11" s="301" t="str">
        <f t="shared" si="8"/>
        <v>Anak 7 baik  dalam mengenal, memahami, dan mengidentifikasi kata berimbuhan dalam teks sesuai kaidah, dan  baik  dalam mengenal dan memahami sandhangan aksara Jawa.</v>
      </c>
      <c r="BH11" s="106"/>
      <c r="BL11" s="408">
        <f t="shared" si="21"/>
        <v>87</v>
      </c>
      <c r="BT11" s="302">
        <f t="shared" si="22"/>
        <v>69</v>
      </c>
      <c r="BU11" s="303" t="str">
        <f>IF(BT11&gt;KKM!$G$10,"A",IF(BT11&gt;KKM!$H$10,"B",IF(BT11&gt;=KKM!$I$10,"C","D")))</f>
        <v>D</v>
      </c>
      <c r="BV11" s="523">
        <f t="shared" si="23"/>
        <v>69.5</v>
      </c>
      <c r="BW11" s="115" t="str">
        <f>IF(BV11&gt;KKM!$G$10," sangat baik ",IF(BV11&gt;KKM!$H$10," baik ",IF(BV11&gt;=KKM!$I$10," cukup baik "," perlu bimbingan ")))</f>
        <v xml:space="preserve"> perlu bimbingan </v>
      </c>
      <c r="BX11" s="524">
        <f t="shared" si="24"/>
        <v>68.5</v>
      </c>
      <c r="BY11" s="115" t="str">
        <f>IF(BX11&gt;KKM!$G$10," sangat baik ",IF(BX11&gt;KKM!$H$10," baik ",IF(BX11&gt;=KKM!$I$10," cukup baik "," perlu bimbingan ")))</f>
        <v xml:space="preserve"> perlu bimbingan </v>
      </c>
      <c r="BZ11" s="301" t="str">
        <f t="shared" si="31"/>
        <v>Anak 7 perlu bimbingan  dalam mengenal dan memahami sandhangan aksara Jawa., dan  perlu bimbingan  dalam mengenal dan memahmi teks tembang dolanan</v>
      </c>
      <c r="CA11" s="307" t="str">
        <f t="shared" si="25"/>
        <v xml:space="preserve"> perlu bimbingan  dalam mengenal dan memahami sandhangan aksara Jawa.</v>
      </c>
      <c r="CB11" s="307" t="str">
        <f t="shared" si="26"/>
        <v xml:space="preserve"> perlu bimbingan  dalam mengenal dan memahmi teks tembang dolanan</v>
      </c>
      <c r="CC11" s="307" t="str">
        <f t="shared" si="27"/>
        <v xml:space="preserve"> perlu bimbingan  dalam mengenal dan memahami sandhangan aksara Jawa., dan  perlu bimbingan  dalam mengenal dan memahmi teks tembang dolanan</v>
      </c>
      <c r="CD11" s="307" t="str">
        <f t="shared" si="28"/>
        <v xml:space="preserve"> </v>
      </c>
      <c r="CE11" s="308" t="str">
        <f t="shared" si="29"/>
        <v xml:space="preserve"> perlu bimbingan  dalam mengenal dan memahami sandhangan aksara Jawa., dan  perlu bimbingan  dalam mengenal dan memahmi teks tembang dolanan</v>
      </c>
      <c r="CF11" s="301" t="str">
        <f t="shared" si="30"/>
        <v>Anak 7 perlu bimbingan  dalam mengenal dan memahami sandhangan aksara Jawa., dan  perlu bimbingan  dalam mengenal dan memahmi teks tembang dolanan</v>
      </c>
    </row>
    <row r="12" spans="1:85" ht="63" customHeight="1">
      <c r="B12" s="109">
        <v>8</v>
      </c>
      <c r="C12" s="110">
        <f>SISWA!B13</f>
        <v>0</v>
      </c>
      <c r="D12" s="111" t="str">
        <f>SISWA!E13</f>
        <v>Anak 8</v>
      </c>
      <c r="E12" s="631">
        <v>99</v>
      </c>
      <c r="F12" s="631">
        <v>99</v>
      </c>
      <c r="G12" s="631">
        <v>99</v>
      </c>
      <c r="H12" s="613"/>
      <c r="I12" s="613"/>
      <c r="J12" s="613"/>
      <c r="K12" s="613"/>
      <c r="L12" s="613"/>
      <c r="M12" s="731"/>
      <c r="N12" s="731"/>
      <c r="O12" s="731"/>
      <c r="P12" s="731"/>
      <c r="Q12" s="730"/>
      <c r="R12" s="730"/>
      <c r="S12" s="610"/>
      <c r="T12" s="613">
        <v>69.5</v>
      </c>
      <c r="U12" s="613">
        <v>80</v>
      </c>
      <c r="V12" s="609"/>
      <c r="W12" s="609"/>
      <c r="X12" s="609"/>
      <c r="Y12" s="609"/>
      <c r="Z12" s="609"/>
      <c r="AA12" s="609"/>
      <c r="AB12" s="610"/>
      <c r="AC12" s="613"/>
      <c r="AD12" s="613">
        <v>69.5</v>
      </c>
      <c r="AE12" s="613">
        <v>80</v>
      </c>
      <c r="AF12" s="613"/>
      <c r="AG12" s="613"/>
      <c r="AH12" s="613"/>
      <c r="AI12" s="613"/>
      <c r="AJ12" s="613" t="str">
        <f>IFERROR(AVERAGE(#REF!),"")</f>
        <v/>
      </c>
      <c r="AK12" s="518"/>
      <c r="AL12" s="607">
        <f t="shared" si="9"/>
        <v>89.166666666666671</v>
      </c>
      <c r="AM12" s="607">
        <f t="shared" si="10"/>
        <v>86.875</v>
      </c>
      <c r="AN12" s="607">
        <f t="shared" si="11"/>
        <v>92.666666666666671</v>
      </c>
      <c r="AO12" s="607" t="str">
        <f t="shared" si="12"/>
        <v/>
      </c>
      <c r="AP12" s="607" t="str">
        <f t="shared" si="13"/>
        <v/>
      </c>
      <c r="AQ12" s="607" t="str">
        <f t="shared" si="14"/>
        <v/>
      </c>
      <c r="AR12" s="607" t="str">
        <f t="shared" si="15"/>
        <v/>
      </c>
      <c r="AS12" s="607" t="str">
        <f t="shared" si="16"/>
        <v/>
      </c>
      <c r="AT12" s="302">
        <f t="shared" si="3"/>
        <v>90</v>
      </c>
      <c r="AU12" s="303" t="str">
        <f>IF(AT12&gt;KKM!$G$10,"A",IF(AT12&gt;KKM!$H$10,"B",IF(AT12&gt;=KKM!$I$10,"C","D")))</f>
        <v>B</v>
      </c>
      <c r="AV12" s="304">
        <f t="shared" si="4"/>
        <v>92.666666666666671</v>
      </c>
      <c r="AW12" s="115" t="str">
        <f>IF(AV12&gt;KKM!$G$10," sangat baik ",IF(AV12&gt;KKM!$H$10," baik ",IF(AV12&gt;=KKM!$I$10," cukup baik "," perlu bimbingan ")))</f>
        <v xml:space="preserve"> sangat baik </v>
      </c>
      <c r="AX12" s="305">
        <f t="shared" si="5"/>
        <v>86.875</v>
      </c>
      <c r="AY12" s="115" t="str">
        <f>IF(AX12&gt;KKM!$G$10," sangat baik ",IF(AX12&gt;KKM!$H$10," baik ",IF(AX12&gt;=KKM!$I$10," cukup baik "," perlu bimbingan ")))</f>
        <v xml:space="preserve"> baik </v>
      </c>
      <c r="AZ12" s="301" t="str">
        <f t="shared" si="17"/>
        <v>Anak 8 sangat baik  dalam mengenal, memahami, dan mengidentifikasi kata berimbuhan dalam teks sesuai kaidah, dan  baik  dalam mengenal dan memahami sandhangan aksara Jawa.</v>
      </c>
      <c r="BA12" s="306"/>
      <c r="BB12" s="307" t="str">
        <f t="shared" si="6"/>
        <v xml:space="preserve"> sangat baik  dalam mengenal, memahami, dan mengidentifikasi kata berimbuhan dalam teks sesuai kaidah</v>
      </c>
      <c r="BC12" s="307" t="str">
        <f t="shared" si="7"/>
        <v xml:space="preserve"> baik  dalam mengenal dan memahami sandhangan aksara Jawa.</v>
      </c>
      <c r="BD12" s="307" t="str">
        <f t="shared" si="18"/>
        <v xml:space="preserve"> sangat baik  dalam mengenal, memahami, dan mengidentifikasi kata berimbuhan dalam teks sesuai kaidah, dan  baik  dalam mengenal dan memahami sandhangan aksara Jawa.</v>
      </c>
      <c r="BE12" s="307" t="str">
        <f t="shared" si="19"/>
        <v xml:space="preserve"> </v>
      </c>
      <c r="BF12" s="308" t="str">
        <f t="shared" si="20"/>
        <v xml:space="preserve"> sangat baik  dalam mengenal, memahami, dan mengidentifikasi kata berimbuhan dalam teks sesuai kaidah, dan  baik  dalam mengenal dan memahami sandhangan aksara Jawa.</v>
      </c>
      <c r="BG12" s="301" t="str">
        <f t="shared" si="8"/>
        <v>Anak 8 sangat baik  dalam mengenal, memahami, dan mengidentifikasi kata berimbuhan dalam teks sesuai kaidah, dan  baik  dalam mengenal dan memahami sandhangan aksara Jawa.</v>
      </c>
      <c r="BH12" s="106"/>
      <c r="BL12" s="408">
        <f t="shared" si="21"/>
        <v>90</v>
      </c>
      <c r="BT12" s="302">
        <f t="shared" si="22"/>
        <v>75</v>
      </c>
      <c r="BU12" s="303" t="str">
        <f>IF(BT12&gt;KKM!$G$10,"A",IF(BT12&gt;KKM!$H$10,"B",IF(BT12&gt;=KKM!$I$10,"C","D")))</f>
        <v>C</v>
      </c>
      <c r="BV12" s="523">
        <f t="shared" si="23"/>
        <v>80</v>
      </c>
      <c r="BW12" s="115" t="str">
        <f>IF(BV12&gt;KKM!$G$10," sangat baik ",IF(BV12&gt;KKM!$H$10," baik ",IF(BV12&gt;=KKM!$I$10," cukup baik "," perlu bimbingan ")))</f>
        <v xml:space="preserve"> cukup baik </v>
      </c>
      <c r="BX12" s="524">
        <f t="shared" si="24"/>
        <v>69.5</v>
      </c>
      <c r="BY12" s="115" t="str">
        <f>IF(BX12&gt;KKM!$G$10," sangat baik ",IF(BX12&gt;KKM!$H$10," baik ",IF(BX12&gt;=KKM!$I$10," cukup baik "," perlu bimbingan ")))</f>
        <v xml:space="preserve"> perlu bimbingan </v>
      </c>
      <c r="BZ12" s="301" t="str">
        <f t="shared" si="31"/>
        <v>Anak 8 cukup baik  dalam mengenal dan memahami sandhangan aksara Jawa., dan  perlu bimbingan  dalam mengenal dan memahmi teks tembang dolanan</v>
      </c>
      <c r="CA12" s="307" t="str">
        <f t="shared" si="25"/>
        <v xml:space="preserve"> cukup baik  dalam mengenal dan memahami sandhangan aksara Jawa.</v>
      </c>
      <c r="CB12" s="307" t="str">
        <f t="shared" si="26"/>
        <v xml:space="preserve"> perlu bimbingan  dalam mengenal dan memahmi teks tembang dolanan</v>
      </c>
      <c r="CC12" s="307" t="str">
        <f t="shared" si="27"/>
        <v xml:space="preserve"> cukup baik  dalam mengenal dan memahami sandhangan aksara Jawa., dan  perlu bimbingan  dalam mengenal dan memahmi teks tembang dolanan</v>
      </c>
      <c r="CD12" s="307" t="str">
        <f t="shared" si="28"/>
        <v xml:space="preserve"> </v>
      </c>
      <c r="CE12" s="308" t="str">
        <f t="shared" si="29"/>
        <v xml:space="preserve"> cukup baik  dalam mengenal dan memahami sandhangan aksara Jawa., dan  perlu bimbingan  dalam mengenal dan memahmi teks tembang dolanan</v>
      </c>
      <c r="CF12" s="301" t="str">
        <f t="shared" si="30"/>
        <v>Anak 8 cukup baik  dalam mengenal dan memahami sandhangan aksara Jawa., dan  perlu bimbingan  dalam mengenal dan memahmi teks tembang dolanan</v>
      </c>
    </row>
    <row r="13" spans="1:85" ht="63" customHeight="1">
      <c r="B13" s="109">
        <v>9</v>
      </c>
      <c r="C13" s="110">
        <f>SISWA!B14</f>
        <v>0</v>
      </c>
      <c r="D13" s="111" t="str">
        <f>SISWA!E14</f>
        <v>Anak 9</v>
      </c>
      <c r="E13" s="631">
        <v>99</v>
      </c>
      <c r="F13" s="631">
        <v>99</v>
      </c>
      <c r="G13" s="631">
        <v>99</v>
      </c>
      <c r="H13" s="613"/>
      <c r="I13" s="613"/>
      <c r="J13" s="613"/>
      <c r="K13" s="613"/>
      <c r="L13" s="613"/>
      <c r="M13" s="731"/>
      <c r="N13" s="731"/>
      <c r="O13" s="731"/>
      <c r="P13" s="731"/>
      <c r="Q13" s="730"/>
      <c r="R13" s="730"/>
      <c r="S13" s="610"/>
      <c r="T13" s="613">
        <v>80</v>
      </c>
      <c r="U13" s="613">
        <v>68.5</v>
      </c>
      <c r="V13" s="609"/>
      <c r="W13" s="609"/>
      <c r="X13" s="609"/>
      <c r="Y13" s="609"/>
      <c r="Z13" s="609"/>
      <c r="AA13" s="609"/>
      <c r="AB13" s="610"/>
      <c r="AC13" s="613"/>
      <c r="AD13" s="613">
        <v>80</v>
      </c>
      <c r="AE13" s="613">
        <v>68.5</v>
      </c>
      <c r="AF13" s="613"/>
      <c r="AG13" s="613"/>
      <c r="AH13" s="613"/>
      <c r="AI13" s="613"/>
      <c r="AJ13" s="613" t="str">
        <f>IFERROR(AVERAGE(#REF!),"")</f>
        <v/>
      </c>
      <c r="AK13" s="518"/>
      <c r="AL13" s="607">
        <f t="shared" si="9"/>
        <v>92.666666666666671</v>
      </c>
      <c r="AM13" s="607">
        <f t="shared" si="10"/>
        <v>86.625</v>
      </c>
      <c r="AN13" s="607">
        <f t="shared" si="11"/>
        <v>88.833333333333329</v>
      </c>
      <c r="AO13" s="607" t="str">
        <f t="shared" si="12"/>
        <v/>
      </c>
      <c r="AP13" s="607" t="str">
        <f t="shared" si="13"/>
        <v/>
      </c>
      <c r="AQ13" s="607" t="str">
        <f t="shared" si="14"/>
        <v/>
      </c>
      <c r="AR13" s="607" t="str">
        <f t="shared" si="15"/>
        <v/>
      </c>
      <c r="AS13" s="607" t="str">
        <f t="shared" si="16"/>
        <v/>
      </c>
      <c r="AT13" s="302">
        <f t="shared" si="3"/>
        <v>89</v>
      </c>
      <c r="AU13" s="303" t="str">
        <f>IF(AT13&gt;KKM!$G$10,"A",IF(AT13&gt;KKM!$H$10,"B",IF(AT13&gt;=KKM!$I$10,"C","D")))</f>
        <v>B</v>
      </c>
      <c r="AV13" s="304">
        <f t="shared" si="4"/>
        <v>92.666666666666671</v>
      </c>
      <c r="AW13" s="115" t="str">
        <f>IF(AV13&gt;KKM!$G$10," sangat baik ",IF(AV13&gt;KKM!$H$10," baik ",IF(AV13&gt;=KKM!$I$10," cukup baik "," perlu bimbingan ")))</f>
        <v xml:space="preserve"> sangat baik </v>
      </c>
      <c r="AX13" s="305">
        <f t="shared" si="5"/>
        <v>86.625</v>
      </c>
      <c r="AY13" s="115" t="str">
        <f>IF(AX13&gt;KKM!$G$10," sangat baik ",IF(AX13&gt;KKM!$H$10," baik ",IF(AX13&gt;=KKM!$I$10," cukup baik "," perlu bimbingan ")))</f>
        <v xml:space="preserve"> baik </v>
      </c>
      <c r="AZ13" s="301" t="str">
        <f t="shared" si="17"/>
        <v>Anak 9 sangat baik  dalam mengenal dan memahmi teks tembang dolanan, dan  baik  dalam mengenal dan memahami sandhangan aksara Jawa.</v>
      </c>
      <c r="BA13" s="306"/>
      <c r="BB13" s="307" t="str">
        <f t="shared" si="6"/>
        <v xml:space="preserve"> sangat baik  dalam mengenal dan memahmi teks tembang dolanan</v>
      </c>
      <c r="BC13" s="307" t="str">
        <f t="shared" si="7"/>
        <v xml:space="preserve"> baik  dalam mengenal dan memahami sandhangan aksara Jawa.</v>
      </c>
      <c r="BD13" s="307" t="str">
        <f t="shared" si="18"/>
        <v xml:space="preserve"> sangat baik  dalam mengenal dan memahmi teks tembang dolanan, dan  baik  dalam mengenal dan memahami sandhangan aksara Jawa.</v>
      </c>
      <c r="BE13" s="307" t="str">
        <f t="shared" si="19"/>
        <v xml:space="preserve"> </v>
      </c>
      <c r="BF13" s="308" t="str">
        <f t="shared" si="20"/>
        <v xml:space="preserve"> sangat baik  dalam mengenal dan memahmi teks tembang dolanan, dan  baik  dalam mengenal dan memahami sandhangan aksara Jawa.</v>
      </c>
      <c r="BG13" s="301" t="str">
        <f t="shared" si="8"/>
        <v>Anak 9 sangat baik  dalam mengenal dan memahmi teks tembang dolanan, dan  baik  dalam mengenal dan memahami sandhangan aksara Jawa.</v>
      </c>
      <c r="BH13" s="106"/>
      <c r="BL13" s="408">
        <f t="shared" si="21"/>
        <v>89</v>
      </c>
      <c r="BT13" s="302">
        <f t="shared" si="22"/>
        <v>74</v>
      </c>
      <c r="BU13" s="303" t="str">
        <f>IF(BT13&gt;KKM!$G$10,"A",IF(BT13&gt;KKM!$H$10,"B",IF(BT13&gt;=KKM!$I$10,"C","D")))</f>
        <v>C</v>
      </c>
      <c r="BV13" s="523">
        <f t="shared" si="23"/>
        <v>80</v>
      </c>
      <c r="BW13" s="115" t="str">
        <f>IF(BV13&gt;KKM!$G$10," sangat baik ",IF(BV13&gt;KKM!$H$10," baik ",IF(BV13&gt;=KKM!$I$10," cukup baik "," perlu bimbingan ")))</f>
        <v xml:space="preserve"> cukup baik </v>
      </c>
      <c r="BX13" s="524">
        <f t="shared" si="24"/>
        <v>68.5</v>
      </c>
      <c r="BY13" s="115" t="str">
        <f>IF(BX13&gt;KKM!$G$10," sangat baik ",IF(BX13&gt;KKM!$H$10," baik ",IF(BX13&gt;=KKM!$I$10," cukup baik "," perlu bimbingan ")))</f>
        <v xml:space="preserve"> perlu bimbingan </v>
      </c>
      <c r="BZ13" s="301" t="str">
        <f t="shared" si="31"/>
        <v>Anak 9 cukup baik  dalam mengenal dan memahmi teks tembang dolanan, dan  perlu bimbingan  dalam mengenal dan memahami sandhangan aksara Jawa.</v>
      </c>
      <c r="CA13" s="307" t="str">
        <f t="shared" si="25"/>
        <v xml:space="preserve"> cukup baik  dalam mengenal dan memahmi teks tembang dolanan</v>
      </c>
      <c r="CB13" s="307" t="str">
        <f t="shared" si="26"/>
        <v xml:space="preserve"> perlu bimbingan  dalam mengenal dan memahami sandhangan aksara Jawa.</v>
      </c>
      <c r="CC13" s="307" t="str">
        <f t="shared" si="27"/>
        <v xml:space="preserve"> cukup baik  dalam mengenal dan memahmi teks tembang dolanan, dan  perlu bimbingan  dalam mengenal dan memahami sandhangan aksara Jawa.</v>
      </c>
      <c r="CD13" s="307" t="str">
        <f t="shared" si="28"/>
        <v xml:space="preserve"> </v>
      </c>
      <c r="CE13" s="308" t="str">
        <f t="shared" si="29"/>
        <v xml:space="preserve"> cukup baik  dalam mengenal dan memahmi teks tembang dolanan, dan  perlu bimbingan  dalam mengenal dan memahami sandhangan aksara Jawa.</v>
      </c>
      <c r="CF13" s="301" t="str">
        <f t="shared" si="30"/>
        <v>Anak 9 cukup baik  dalam mengenal dan memahmi teks tembang dolanan, dan  perlu bimbingan  dalam mengenal dan memahami sandhangan aksara Jawa.</v>
      </c>
    </row>
    <row r="14" spans="1:85" ht="63" customHeight="1">
      <c r="B14" s="109">
        <v>10</v>
      </c>
      <c r="C14" s="110">
        <f>SISWA!B15</f>
        <v>0</v>
      </c>
      <c r="D14" s="111" t="str">
        <f>SISWA!E15</f>
        <v>Anak 10</v>
      </c>
      <c r="E14" s="631">
        <v>99</v>
      </c>
      <c r="F14" s="631">
        <v>99</v>
      </c>
      <c r="G14" s="631">
        <v>99</v>
      </c>
      <c r="H14" s="613"/>
      <c r="I14" s="613"/>
      <c r="J14" s="613"/>
      <c r="K14" s="613"/>
      <c r="L14" s="613"/>
      <c r="M14" s="731"/>
      <c r="N14" s="731"/>
      <c r="O14" s="731"/>
      <c r="P14" s="731"/>
      <c r="Q14" s="730"/>
      <c r="R14" s="730"/>
      <c r="S14" s="610"/>
      <c r="T14" s="613">
        <v>68.5</v>
      </c>
      <c r="U14" s="613">
        <v>69.5</v>
      </c>
      <c r="V14" s="609"/>
      <c r="W14" s="609"/>
      <c r="X14" s="609"/>
      <c r="Y14" s="609"/>
      <c r="Z14" s="609"/>
      <c r="AA14" s="609"/>
      <c r="AB14" s="610"/>
      <c r="AC14" s="613"/>
      <c r="AD14" s="613">
        <v>68.5</v>
      </c>
      <c r="AE14" s="613">
        <v>69.5</v>
      </c>
      <c r="AF14" s="613"/>
      <c r="AG14" s="613"/>
      <c r="AH14" s="613"/>
      <c r="AI14" s="613"/>
      <c r="AJ14" s="613" t="str">
        <f>IFERROR(AVERAGE(#REF!),"")</f>
        <v/>
      </c>
      <c r="AK14" s="518"/>
      <c r="AL14" s="607">
        <f t="shared" si="9"/>
        <v>88.833333333333329</v>
      </c>
      <c r="AM14" s="607">
        <f t="shared" si="10"/>
        <v>84</v>
      </c>
      <c r="AN14" s="607">
        <f t="shared" si="11"/>
        <v>89.166666666666671</v>
      </c>
      <c r="AO14" s="607" t="str">
        <f t="shared" si="12"/>
        <v/>
      </c>
      <c r="AP14" s="607" t="str">
        <f t="shared" si="13"/>
        <v/>
      </c>
      <c r="AQ14" s="607" t="str">
        <f t="shared" si="14"/>
        <v/>
      </c>
      <c r="AR14" s="607" t="str">
        <f t="shared" si="15"/>
        <v/>
      </c>
      <c r="AS14" s="607" t="str">
        <f t="shared" si="16"/>
        <v/>
      </c>
      <c r="AT14" s="302">
        <f t="shared" si="3"/>
        <v>87</v>
      </c>
      <c r="AU14" s="303" t="str">
        <f>IF(AT14&gt;KKM!$G$10,"A",IF(AT14&gt;KKM!$H$10,"B",IF(AT14&gt;=KKM!$I$10,"C","D")))</f>
        <v>B</v>
      </c>
      <c r="AV14" s="304">
        <f t="shared" si="4"/>
        <v>89.166666666666671</v>
      </c>
      <c r="AW14" s="115" t="str">
        <f>IF(AV14&gt;KKM!$G$10," sangat baik ",IF(AV14&gt;KKM!$H$10," baik ",IF(AV14&gt;=KKM!$I$10," cukup baik "," perlu bimbingan ")))</f>
        <v xml:space="preserve"> baik </v>
      </c>
      <c r="AX14" s="305">
        <f t="shared" si="5"/>
        <v>84</v>
      </c>
      <c r="AY14" s="115" t="str">
        <f>IF(AX14&gt;KKM!$G$10," sangat baik ",IF(AX14&gt;KKM!$H$10," baik ",IF(AX14&gt;=KKM!$I$10," cukup baik "," perlu bimbingan ")))</f>
        <v xml:space="preserve"> baik </v>
      </c>
      <c r="AZ14" s="301" t="str">
        <f t="shared" si="17"/>
        <v>Anak 10 baik  dalam mengenal, memahami, dan mengidentifikasi kata berimbuhan dalam teks sesuai kaidah, dan  baik  dalam mengenal dan memahami sandhangan aksara Jawa.</v>
      </c>
      <c r="BA14" s="306"/>
      <c r="BB14" s="307" t="str">
        <f t="shared" si="6"/>
        <v xml:space="preserve"> baik  dalam mengenal, memahami, dan mengidentifikasi kata berimbuhan dalam teks sesuai kaidah</v>
      </c>
      <c r="BC14" s="307" t="str">
        <f t="shared" si="7"/>
        <v xml:space="preserve"> baik  dalam mengenal dan memahami sandhangan aksara Jawa.</v>
      </c>
      <c r="BD14" s="307" t="str">
        <f t="shared" si="18"/>
        <v xml:space="preserve"> baik  dalam mengenal, memahami, dan mengidentifikasi kata berimbuhan dalam teks sesuai kaidah, dan  baik  dalam mengenal dan memahami sandhangan aksara Jawa.</v>
      </c>
      <c r="BE14" s="307" t="str">
        <f t="shared" si="19"/>
        <v xml:space="preserve"> </v>
      </c>
      <c r="BF14" s="308" t="str">
        <f t="shared" si="20"/>
        <v xml:space="preserve"> baik  dalam mengenal, memahami, dan mengidentifikasi kata berimbuhan dalam teks sesuai kaidah, dan  baik  dalam mengenal dan memahami sandhangan aksara Jawa.</v>
      </c>
      <c r="BG14" s="301" t="str">
        <f t="shared" si="8"/>
        <v>Anak 10 baik  dalam mengenal, memahami, dan mengidentifikasi kata berimbuhan dalam teks sesuai kaidah, dan  baik  dalam mengenal dan memahami sandhangan aksara Jawa.</v>
      </c>
      <c r="BH14" s="106"/>
      <c r="BL14" s="408">
        <f t="shared" si="21"/>
        <v>87</v>
      </c>
      <c r="BT14" s="302">
        <f t="shared" si="22"/>
        <v>69</v>
      </c>
      <c r="BU14" s="303" t="str">
        <f>IF(BT14&gt;KKM!$G$10,"A",IF(BT14&gt;KKM!$H$10,"B",IF(BT14&gt;=KKM!$I$10,"C","D")))</f>
        <v>D</v>
      </c>
      <c r="BV14" s="523">
        <f t="shared" si="23"/>
        <v>69.5</v>
      </c>
      <c r="BW14" s="115" t="str">
        <f>IF(BV14&gt;KKM!$G$10," sangat baik ",IF(BV14&gt;KKM!$H$10," baik ",IF(BV14&gt;=KKM!$I$10," cukup baik "," perlu bimbingan ")))</f>
        <v xml:space="preserve"> perlu bimbingan </v>
      </c>
      <c r="BX14" s="524">
        <f t="shared" si="24"/>
        <v>68.5</v>
      </c>
      <c r="BY14" s="115" t="str">
        <f>IF(BX14&gt;KKM!$G$10," sangat baik ",IF(BX14&gt;KKM!$H$10," baik ",IF(BX14&gt;=KKM!$I$10," cukup baik "," perlu bimbingan ")))</f>
        <v xml:space="preserve"> perlu bimbingan </v>
      </c>
      <c r="BZ14" s="301" t="str">
        <f t="shared" si="31"/>
        <v>Anak 10 perlu bimbingan  dalam mengenal dan memahami sandhangan aksara Jawa., dan  perlu bimbingan  dalam mengenal dan memahmi teks tembang dolanan</v>
      </c>
      <c r="CA14" s="307" t="str">
        <f t="shared" si="25"/>
        <v xml:space="preserve"> perlu bimbingan  dalam mengenal dan memahami sandhangan aksara Jawa.</v>
      </c>
      <c r="CB14" s="307" t="str">
        <f t="shared" si="26"/>
        <v xml:space="preserve"> perlu bimbingan  dalam mengenal dan memahmi teks tembang dolanan</v>
      </c>
      <c r="CC14" s="307" t="str">
        <f t="shared" si="27"/>
        <v xml:space="preserve"> perlu bimbingan  dalam mengenal dan memahami sandhangan aksara Jawa., dan  perlu bimbingan  dalam mengenal dan memahmi teks tembang dolanan</v>
      </c>
      <c r="CD14" s="307" t="str">
        <f t="shared" si="28"/>
        <v xml:space="preserve"> </v>
      </c>
      <c r="CE14" s="308" t="str">
        <f t="shared" si="29"/>
        <v xml:space="preserve"> perlu bimbingan  dalam mengenal dan memahami sandhangan aksara Jawa., dan  perlu bimbingan  dalam mengenal dan memahmi teks tembang dolanan</v>
      </c>
      <c r="CF14" s="301" t="str">
        <f t="shared" si="30"/>
        <v>Anak 10 perlu bimbingan  dalam mengenal dan memahami sandhangan aksara Jawa., dan  perlu bimbingan  dalam mengenal dan memahmi teks tembang dolanan</v>
      </c>
    </row>
    <row r="15" spans="1:85" ht="63" customHeight="1">
      <c r="B15" s="109">
        <v>11</v>
      </c>
      <c r="C15" s="110">
        <f>SISWA!B16</f>
        <v>0</v>
      </c>
      <c r="D15" s="111" t="str">
        <f>SISWA!E16</f>
        <v>Anak 11</v>
      </c>
      <c r="E15" s="631">
        <v>99</v>
      </c>
      <c r="F15" s="631">
        <v>99</v>
      </c>
      <c r="G15" s="631">
        <v>99</v>
      </c>
      <c r="H15" s="613"/>
      <c r="I15" s="613"/>
      <c r="J15" s="613"/>
      <c r="K15" s="613"/>
      <c r="L15" s="613"/>
      <c r="M15" s="731"/>
      <c r="N15" s="731"/>
      <c r="O15" s="731"/>
      <c r="P15" s="731"/>
      <c r="Q15" s="730"/>
      <c r="R15" s="730"/>
      <c r="S15" s="610"/>
      <c r="T15" s="613">
        <v>69.5</v>
      </c>
      <c r="U15" s="613">
        <v>70.5</v>
      </c>
      <c r="V15" s="609"/>
      <c r="W15" s="609"/>
      <c r="X15" s="609"/>
      <c r="Y15" s="609"/>
      <c r="Z15" s="609"/>
      <c r="AA15" s="609"/>
      <c r="AB15" s="610"/>
      <c r="AC15" s="613"/>
      <c r="AD15" s="613">
        <v>69.5</v>
      </c>
      <c r="AE15" s="613">
        <v>70.5</v>
      </c>
      <c r="AF15" s="613"/>
      <c r="AG15" s="613"/>
      <c r="AH15" s="613"/>
      <c r="AI15" s="613"/>
      <c r="AJ15" s="613" t="str">
        <f>IFERROR(AVERAGE(#REF!),"")</f>
        <v/>
      </c>
      <c r="AK15" s="518"/>
      <c r="AL15" s="607">
        <f t="shared" si="9"/>
        <v>89.166666666666671</v>
      </c>
      <c r="AM15" s="607">
        <f t="shared" si="10"/>
        <v>84.5</v>
      </c>
      <c r="AN15" s="607">
        <f t="shared" si="11"/>
        <v>89.5</v>
      </c>
      <c r="AO15" s="607" t="str">
        <f t="shared" si="12"/>
        <v/>
      </c>
      <c r="AP15" s="607" t="str">
        <f t="shared" si="13"/>
        <v/>
      </c>
      <c r="AQ15" s="607" t="str">
        <f t="shared" si="14"/>
        <v/>
      </c>
      <c r="AR15" s="607" t="str">
        <f t="shared" si="15"/>
        <v/>
      </c>
      <c r="AS15" s="607" t="str">
        <f t="shared" si="16"/>
        <v/>
      </c>
      <c r="AT15" s="302">
        <f t="shared" si="3"/>
        <v>88</v>
      </c>
      <c r="AU15" s="303" t="str">
        <f>IF(AT15&gt;KKM!$G$10,"A",IF(AT15&gt;KKM!$H$10,"B",IF(AT15&gt;=KKM!$I$10,"C","D")))</f>
        <v>B</v>
      </c>
      <c r="AV15" s="304">
        <f t="shared" si="4"/>
        <v>89.5</v>
      </c>
      <c r="AW15" s="115" t="str">
        <f>IF(AV15&gt;KKM!$G$10," sangat baik ",IF(AV15&gt;KKM!$H$10," baik ",IF(AV15&gt;=KKM!$I$10," cukup baik "," perlu bimbingan ")))</f>
        <v xml:space="preserve"> baik </v>
      </c>
      <c r="AX15" s="305">
        <f t="shared" si="5"/>
        <v>84.5</v>
      </c>
      <c r="AY15" s="115" t="str">
        <f>IF(AX15&gt;KKM!$G$10," sangat baik ",IF(AX15&gt;KKM!$H$10," baik ",IF(AX15&gt;=KKM!$I$10," cukup baik "," perlu bimbingan ")))</f>
        <v xml:space="preserve"> baik </v>
      </c>
      <c r="AZ15" s="301" t="str">
        <f t="shared" si="17"/>
        <v>Anak 11 baik  dalam mengenal, memahami, dan mengidentifikasi kata berimbuhan dalam teks sesuai kaidah, dan  baik  dalam mengenal dan memahami sandhangan aksara Jawa.</v>
      </c>
      <c r="BA15" s="306"/>
      <c r="BB15" s="307" t="str">
        <f t="shared" si="6"/>
        <v xml:space="preserve"> baik  dalam mengenal, memahami, dan mengidentifikasi kata berimbuhan dalam teks sesuai kaidah</v>
      </c>
      <c r="BC15" s="307" t="str">
        <f t="shared" si="7"/>
        <v xml:space="preserve"> baik  dalam mengenal dan memahami sandhangan aksara Jawa.</v>
      </c>
      <c r="BD15" s="307" t="str">
        <f t="shared" si="18"/>
        <v xml:space="preserve"> baik  dalam mengenal, memahami, dan mengidentifikasi kata berimbuhan dalam teks sesuai kaidah, dan  baik  dalam mengenal dan memahami sandhangan aksara Jawa.</v>
      </c>
      <c r="BE15" s="307" t="str">
        <f t="shared" si="19"/>
        <v xml:space="preserve"> </v>
      </c>
      <c r="BF15" s="308" t="str">
        <f t="shared" si="20"/>
        <v xml:space="preserve"> baik  dalam mengenal, memahami, dan mengidentifikasi kata berimbuhan dalam teks sesuai kaidah, dan  baik  dalam mengenal dan memahami sandhangan aksara Jawa.</v>
      </c>
      <c r="BG15" s="301" t="str">
        <f t="shared" si="8"/>
        <v>Anak 11 baik  dalam mengenal, memahami, dan mengidentifikasi kata berimbuhan dalam teks sesuai kaidah, dan  baik  dalam mengenal dan memahami sandhangan aksara Jawa.</v>
      </c>
      <c r="BH15" s="106"/>
      <c r="BL15" s="408">
        <f t="shared" si="21"/>
        <v>88</v>
      </c>
      <c r="BT15" s="302">
        <f t="shared" si="22"/>
        <v>70</v>
      </c>
      <c r="BU15" s="303" t="str">
        <f>IF(BT15&gt;KKM!$G$10,"A",IF(BT15&gt;KKM!$H$10,"B",IF(BT15&gt;=KKM!$I$10,"C","D")))</f>
        <v>C</v>
      </c>
      <c r="BV15" s="523">
        <f t="shared" si="23"/>
        <v>70.5</v>
      </c>
      <c r="BW15" s="115" t="str">
        <f>IF(BV15&gt;KKM!$G$10," sangat baik ",IF(BV15&gt;KKM!$H$10," baik ",IF(BV15&gt;=KKM!$I$10," cukup baik "," perlu bimbingan ")))</f>
        <v xml:space="preserve"> cukup baik </v>
      </c>
      <c r="BX15" s="524">
        <f t="shared" si="24"/>
        <v>69.5</v>
      </c>
      <c r="BY15" s="115" t="str">
        <f>IF(BX15&gt;KKM!$G$10," sangat baik ",IF(BX15&gt;KKM!$H$10," baik ",IF(BX15&gt;=KKM!$I$10," cukup baik "," perlu bimbingan ")))</f>
        <v xml:space="preserve"> perlu bimbingan </v>
      </c>
      <c r="BZ15" s="301" t="str">
        <f t="shared" si="31"/>
        <v>Anak 11 cukup baik  dalam mengenal dan memahami sandhangan aksara Jawa., dan  perlu bimbingan  dalam mengenal dan memahmi teks tembang dolanan</v>
      </c>
      <c r="CA15" s="307" t="str">
        <f t="shared" si="25"/>
        <v xml:space="preserve"> cukup baik  dalam mengenal dan memahami sandhangan aksara Jawa.</v>
      </c>
      <c r="CB15" s="307" t="str">
        <f t="shared" si="26"/>
        <v xml:space="preserve"> perlu bimbingan  dalam mengenal dan memahmi teks tembang dolanan</v>
      </c>
      <c r="CC15" s="307" t="str">
        <f t="shared" si="27"/>
        <v xml:space="preserve"> cukup baik  dalam mengenal dan memahami sandhangan aksara Jawa., dan  perlu bimbingan  dalam mengenal dan memahmi teks tembang dolanan</v>
      </c>
      <c r="CD15" s="307" t="str">
        <f t="shared" si="28"/>
        <v xml:space="preserve"> </v>
      </c>
      <c r="CE15" s="308" t="str">
        <f t="shared" si="29"/>
        <v xml:space="preserve"> cukup baik  dalam mengenal dan memahami sandhangan aksara Jawa., dan  perlu bimbingan  dalam mengenal dan memahmi teks tembang dolanan</v>
      </c>
      <c r="CF15" s="301" t="str">
        <f t="shared" si="30"/>
        <v>Anak 11 cukup baik  dalam mengenal dan memahami sandhangan aksara Jawa., dan  perlu bimbingan  dalam mengenal dan memahmi teks tembang dolanan</v>
      </c>
    </row>
    <row r="16" spans="1:85" ht="63" customHeight="1">
      <c r="B16" s="109">
        <v>12</v>
      </c>
      <c r="C16" s="110">
        <f>SISWA!B17</f>
        <v>0</v>
      </c>
      <c r="D16" s="111" t="str">
        <f>SISWA!E17</f>
        <v>Anak 12</v>
      </c>
      <c r="E16" s="631">
        <v>99</v>
      </c>
      <c r="F16" s="631">
        <v>99</v>
      </c>
      <c r="G16" s="631">
        <v>99</v>
      </c>
      <c r="H16" s="613"/>
      <c r="I16" s="613"/>
      <c r="J16" s="613"/>
      <c r="K16" s="613"/>
      <c r="L16" s="613"/>
      <c r="M16" s="731"/>
      <c r="N16" s="731"/>
      <c r="O16" s="731"/>
      <c r="P16" s="731"/>
      <c r="Q16" s="730"/>
      <c r="R16" s="730"/>
      <c r="S16" s="610"/>
      <c r="T16" s="613">
        <v>70.5</v>
      </c>
      <c r="U16" s="613">
        <v>84.5</v>
      </c>
      <c r="V16" s="609"/>
      <c r="W16" s="609"/>
      <c r="X16" s="609"/>
      <c r="Y16" s="609"/>
      <c r="Z16" s="609"/>
      <c r="AA16" s="609"/>
      <c r="AB16" s="610"/>
      <c r="AC16" s="613"/>
      <c r="AD16" s="613">
        <v>70.5</v>
      </c>
      <c r="AE16" s="613">
        <v>84.5</v>
      </c>
      <c r="AF16" s="613"/>
      <c r="AG16" s="613"/>
      <c r="AH16" s="613"/>
      <c r="AI16" s="613"/>
      <c r="AJ16" s="613" t="str">
        <f>IFERROR(AVERAGE(#REF!),"")</f>
        <v/>
      </c>
      <c r="AK16" s="518"/>
      <c r="AL16" s="607">
        <f t="shared" si="9"/>
        <v>89.5</v>
      </c>
      <c r="AM16" s="607">
        <f t="shared" si="10"/>
        <v>88.25</v>
      </c>
      <c r="AN16" s="607">
        <f t="shared" si="11"/>
        <v>94.166666666666671</v>
      </c>
      <c r="AO16" s="607" t="str">
        <f t="shared" si="12"/>
        <v/>
      </c>
      <c r="AP16" s="607" t="str">
        <f t="shared" si="13"/>
        <v/>
      </c>
      <c r="AQ16" s="607" t="str">
        <f t="shared" si="14"/>
        <v/>
      </c>
      <c r="AR16" s="607" t="str">
        <f t="shared" si="15"/>
        <v/>
      </c>
      <c r="AS16" s="607" t="str">
        <f t="shared" si="16"/>
        <v/>
      </c>
      <c r="AT16" s="302">
        <f t="shared" si="3"/>
        <v>91</v>
      </c>
      <c r="AU16" s="303" t="str">
        <f>IF(AT16&gt;KKM!$G$10,"A",IF(AT16&gt;KKM!$H$10,"B",IF(AT16&gt;=KKM!$I$10,"C","D")))</f>
        <v>A</v>
      </c>
      <c r="AV16" s="304">
        <f t="shared" si="4"/>
        <v>94.166666666666671</v>
      </c>
      <c r="AW16" s="115" t="str">
        <f>IF(AV16&gt;KKM!$G$10," sangat baik ",IF(AV16&gt;KKM!$H$10," baik ",IF(AV16&gt;=KKM!$I$10," cukup baik "," perlu bimbingan ")))</f>
        <v xml:space="preserve"> sangat baik </v>
      </c>
      <c r="AX16" s="305">
        <f t="shared" si="5"/>
        <v>88.25</v>
      </c>
      <c r="AY16" s="115" t="str">
        <f>IF(AX16&gt;KKM!$G$10," sangat baik ",IF(AX16&gt;KKM!$H$10," baik ",IF(AX16&gt;=KKM!$I$10," cukup baik "," perlu bimbingan ")))</f>
        <v xml:space="preserve"> baik </v>
      </c>
      <c r="AZ16" s="301" t="str">
        <f t="shared" si="17"/>
        <v>Anak 12 sangat baik  dalam mengenal, memahami, dan mengidentifikasi kata berimbuhan dalam teks sesuai kaidah, dan  baik  dalam mengenal dan memahami sandhangan aksara Jawa.</v>
      </c>
      <c r="BA16" s="306"/>
      <c r="BB16" s="307" t="str">
        <f t="shared" si="6"/>
        <v xml:space="preserve"> sangat baik  dalam mengenal, memahami, dan mengidentifikasi kata berimbuhan dalam teks sesuai kaidah</v>
      </c>
      <c r="BC16" s="307" t="str">
        <f t="shared" si="7"/>
        <v xml:space="preserve"> baik  dalam mengenal dan memahami sandhangan aksara Jawa.</v>
      </c>
      <c r="BD16" s="307" t="str">
        <f t="shared" si="18"/>
        <v xml:space="preserve"> sangat baik  dalam mengenal, memahami, dan mengidentifikasi kata berimbuhan dalam teks sesuai kaidah, dan  baik  dalam mengenal dan memahami sandhangan aksara Jawa.</v>
      </c>
      <c r="BE16" s="307" t="str">
        <f t="shared" si="19"/>
        <v xml:space="preserve"> </v>
      </c>
      <c r="BF16" s="308" t="str">
        <f t="shared" si="20"/>
        <v xml:space="preserve"> sangat baik  dalam mengenal, memahami, dan mengidentifikasi kata berimbuhan dalam teks sesuai kaidah, dan  baik  dalam mengenal dan memahami sandhangan aksara Jawa.</v>
      </c>
      <c r="BG16" s="301" t="str">
        <f t="shared" si="8"/>
        <v>Anak 12 sangat baik  dalam mengenal, memahami, dan mengidentifikasi kata berimbuhan dalam teks sesuai kaidah, dan  baik  dalam mengenal dan memahami sandhangan aksara Jawa.</v>
      </c>
      <c r="BH16" s="106"/>
      <c r="BL16" s="408">
        <f t="shared" si="21"/>
        <v>91</v>
      </c>
      <c r="BT16" s="302">
        <f t="shared" si="22"/>
        <v>78</v>
      </c>
      <c r="BU16" s="303" t="str">
        <f>IF(BT16&gt;KKM!$G$10,"A",IF(BT16&gt;KKM!$H$10,"B",IF(BT16&gt;=KKM!$I$10,"C","D")))</f>
        <v>C</v>
      </c>
      <c r="BV16" s="523">
        <f t="shared" si="23"/>
        <v>84.5</v>
      </c>
      <c r="BW16" s="115" t="str">
        <f>IF(BV16&gt;KKM!$G$10," sangat baik ",IF(BV16&gt;KKM!$H$10," baik ",IF(BV16&gt;=KKM!$I$10," cukup baik "," perlu bimbingan ")))</f>
        <v xml:space="preserve"> baik </v>
      </c>
      <c r="BX16" s="524">
        <f t="shared" si="24"/>
        <v>70.5</v>
      </c>
      <c r="BY16" s="115" t="str">
        <f>IF(BX16&gt;KKM!$G$10," sangat baik ",IF(BX16&gt;KKM!$H$10," baik ",IF(BX16&gt;=KKM!$I$10," cukup baik "," perlu bimbingan ")))</f>
        <v xml:space="preserve"> cukup baik </v>
      </c>
      <c r="BZ16" s="301" t="str">
        <f t="shared" si="31"/>
        <v>Anak 12 baik  dalam mengenal dan memahami sandhangan aksara Jawa., dan  cukup baik  dalam mengenal dan memahmi teks tembang dolanan</v>
      </c>
      <c r="CA16" s="307" t="str">
        <f t="shared" si="25"/>
        <v xml:space="preserve"> baik  dalam mengenal dan memahami sandhangan aksara Jawa.</v>
      </c>
      <c r="CB16" s="307" t="str">
        <f t="shared" si="26"/>
        <v xml:space="preserve"> cukup baik  dalam mengenal dan memahmi teks tembang dolanan</v>
      </c>
      <c r="CC16" s="307" t="str">
        <f t="shared" si="27"/>
        <v xml:space="preserve"> baik  dalam mengenal dan memahami sandhangan aksara Jawa., dan  cukup baik  dalam mengenal dan memahmi teks tembang dolanan</v>
      </c>
      <c r="CD16" s="307" t="str">
        <f t="shared" si="28"/>
        <v xml:space="preserve"> </v>
      </c>
      <c r="CE16" s="308" t="str">
        <f t="shared" si="29"/>
        <v xml:space="preserve"> baik  dalam mengenal dan memahami sandhangan aksara Jawa., dan  cukup baik  dalam mengenal dan memahmi teks tembang dolanan</v>
      </c>
      <c r="CF16" s="301" t="str">
        <f t="shared" si="30"/>
        <v>Anak 12 baik  dalam mengenal dan memahami sandhangan aksara Jawa., dan  cukup baik  dalam mengenal dan memahmi teks tembang dolanan</v>
      </c>
    </row>
    <row r="17" spans="2:84" ht="63" customHeight="1">
      <c r="B17" s="109">
        <v>13</v>
      </c>
      <c r="C17" s="110">
        <f>SISWA!B18</f>
        <v>0</v>
      </c>
      <c r="D17" s="111" t="str">
        <f>SISWA!E18</f>
        <v>Anak 13</v>
      </c>
      <c r="E17" s="631">
        <v>99</v>
      </c>
      <c r="F17" s="631">
        <v>99</v>
      </c>
      <c r="G17" s="631">
        <v>99</v>
      </c>
      <c r="H17" s="613"/>
      <c r="I17" s="613"/>
      <c r="J17" s="613"/>
      <c r="K17" s="613"/>
      <c r="L17" s="613"/>
      <c r="M17" s="731"/>
      <c r="N17" s="731"/>
      <c r="O17" s="731"/>
      <c r="P17" s="731"/>
      <c r="Q17" s="730"/>
      <c r="R17" s="730"/>
      <c r="S17" s="610"/>
      <c r="T17" s="613">
        <v>84.5</v>
      </c>
      <c r="U17" s="613">
        <v>72.5</v>
      </c>
      <c r="V17" s="609"/>
      <c r="W17" s="609"/>
      <c r="X17" s="609"/>
      <c r="Y17" s="609"/>
      <c r="Z17" s="609"/>
      <c r="AA17" s="609"/>
      <c r="AB17" s="610"/>
      <c r="AC17" s="613"/>
      <c r="AD17" s="613">
        <v>84.5</v>
      </c>
      <c r="AE17" s="613">
        <v>72.5</v>
      </c>
      <c r="AF17" s="613"/>
      <c r="AG17" s="613"/>
      <c r="AH17" s="613"/>
      <c r="AI17" s="613"/>
      <c r="AJ17" s="613" t="str">
        <f>IFERROR(AVERAGE(#REF!),"")</f>
        <v/>
      </c>
      <c r="AK17" s="518"/>
      <c r="AL17" s="607">
        <f t="shared" si="9"/>
        <v>94.166666666666671</v>
      </c>
      <c r="AM17" s="607">
        <f t="shared" si="10"/>
        <v>88.75</v>
      </c>
      <c r="AN17" s="607">
        <f t="shared" si="11"/>
        <v>90.166666666666671</v>
      </c>
      <c r="AO17" s="607" t="str">
        <f t="shared" si="12"/>
        <v/>
      </c>
      <c r="AP17" s="607" t="str">
        <f t="shared" si="13"/>
        <v/>
      </c>
      <c r="AQ17" s="607" t="str">
        <f t="shared" si="14"/>
        <v/>
      </c>
      <c r="AR17" s="607" t="str">
        <f t="shared" si="15"/>
        <v/>
      </c>
      <c r="AS17" s="607" t="str">
        <f t="shared" si="16"/>
        <v/>
      </c>
      <c r="AT17" s="302">
        <f t="shared" si="3"/>
        <v>91</v>
      </c>
      <c r="AU17" s="303" t="str">
        <f>IF(AT17&gt;KKM!$G$10,"A",IF(AT17&gt;KKM!$H$10,"B",IF(AT17&gt;=KKM!$I$10,"C","D")))</f>
        <v>A</v>
      </c>
      <c r="AV17" s="304">
        <f t="shared" si="4"/>
        <v>94.166666666666671</v>
      </c>
      <c r="AW17" s="115" t="str">
        <f>IF(AV17&gt;KKM!$G$10," sangat baik ",IF(AV17&gt;KKM!$H$10," baik ",IF(AV17&gt;=KKM!$I$10," cukup baik "," perlu bimbingan ")))</f>
        <v xml:space="preserve"> sangat baik </v>
      </c>
      <c r="AX17" s="305">
        <f t="shared" si="5"/>
        <v>88.75</v>
      </c>
      <c r="AY17" s="115" t="str">
        <f>IF(AX17&gt;KKM!$G$10," sangat baik ",IF(AX17&gt;KKM!$H$10," baik ",IF(AX17&gt;=KKM!$I$10," cukup baik "," perlu bimbingan ")))</f>
        <v xml:space="preserve"> baik </v>
      </c>
      <c r="AZ17" s="301" t="str">
        <f t="shared" si="17"/>
        <v>Anak 13 sangat baik  dalam mengenal dan memahmi teks tembang dolanan, dan  baik  dalam mengenal dan memahami sandhangan aksara Jawa.</v>
      </c>
      <c r="BA17" s="306"/>
      <c r="BB17" s="307" t="str">
        <f t="shared" si="6"/>
        <v xml:space="preserve"> sangat baik  dalam mengenal dan memahmi teks tembang dolanan</v>
      </c>
      <c r="BC17" s="307" t="str">
        <f t="shared" si="7"/>
        <v xml:space="preserve"> baik  dalam mengenal dan memahami sandhangan aksara Jawa.</v>
      </c>
      <c r="BD17" s="307" t="str">
        <f t="shared" si="18"/>
        <v xml:space="preserve"> sangat baik  dalam mengenal dan memahmi teks tembang dolanan, dan  baik  dalam mengenal dan memahami sandhangan aksara Jawa.</v>
      </c>
      <c r="BE17" s="307" t="str">
        <f t="shared" si="19"/>
        <v xml:space="preserve"> </v>
      </c>
      <c r="BF17" s="308" t="str">
        <f t="shared" si="20"/>
        <v xml:space="preserve"> sangat baik  dalam mengenal dan memahmi teks tembang dolanan, dan  baik  dalam mengenal dan memahami sandhangan aksara Jawa.</v>
      </c>
      <c r="BG17" s="301" t="str">
        <f t="shared" si="8"/>
        <v>Anak 13 sangat baik  dalam mengenal dan memahmi teks tembang dolanan, dan  baik  dalam mengenal dan memahami sandhangan aksara Jawa.</v>
      </c>
      <c r="BH17" s="106"/>
      <c r="BL17" s="408">
        <f t="shared" si="21"/>
        <v>91</v>
      </c>
      <c r="BT17" s="302">
        <f t="shared" si="22"/>
        <v>79</v>
      </c>
      <c r="BU17" s="303" t="str">
        <f>IF(BT17&gt;KKM!$G$10,"A",IF(BT17&gt;KKM!$H$10,"B",IF(BT17&gt;=KKM!$I$10,"C","D")))</f>
        <v>C</v>
      </c>
      <c r="BV17" s="523">
        <f t="shared" si="23"/>
        <v>84.5</v>
      </c>
      <c r="BW17" s="115" t="str">
        <f>IF(BV17&gt;KKM!$G$10," sangat baik ",IF(BV17&gt;KKM!$H$10," baik ",IF(BV17&gt;=KKM!$I$10," cukup baik "," perlu bimbingan ")))</f>
        <v xml:space="preserve"> baik </v>
      </c>
      <c r="BX17" s="524">
        <f t="shared" si="24"/>
        <v>72.5</v>
      </c>
      <c r="BY17" s="115" t="str">
        <f>IF(BX17&gt;KKM!$G$10," sangat baik ",IF(BX17&gt;KKM!$H$10," baik ",IF(BX17&gt;=KKM!$I$10," cukup baik "," perlu bimbingan ")))</f>
        <v xml:space="preserve"> cukup baik </v>
      </c>
      <c r="BZ17" s="301" t="str">
        <f t="shared" si="31"/>
        <v>Anak 13 baik  dalam mengenal dan memahmi teks tembang dolanan, dan  cukup baik  dalam mengenal dan memahami sandhangan aksara Jawa.</v>
      </c>
      <c r="CA17" s="307" t="str">
        <f t="shared" si="25"/>
        <v xml:space="preserve"> baik  dalam mengenal dan memahmi teks tembang dolanan</v>
      </c>
      <c r="CB17" s="307" t="str">
        <f t="shared" si="26"/>
        <v xml:space="preserve"> cukup baik  dalam mengenal dan memahami sandhangan aksara Jawa.</v>
      </c>
      <c r="CC17" s="307" t="str">
        <f t="shared" si="27"/>
        <v xml:space="preserve"> baik  dalam mengenal dan memahmi teks tembang dolanan, dan  cukup baik  dalam mengenal dan memahami sandhangan aksara Jawa.</v>
      </c>
      <c r="CD17" s="307" t="str">
        <f t="shared" si="28"/>
        <v xml:space="preserve"> </v>
      </c>
      <c r="CE17" s="308" t="str">
        <f t="shared" si="29"/>
        <v xml:space="preserve"> baik  dalam mengenal dan memahmi teks tembang dolanan, dan  cukup baik  dalam mengenal dan memahami sandhangan aksara Jawa.</v>
      </c>
      <c r="CF17" s="301" t="str">
        <f t="shared" si="30"/>
        <v>Anak 13 baik  dalam mengenal dan memahmi teks tembang dolanan, dan  cukup baik  dalam mengenal dan memahami sandhangan aksara Jawa.</v>
      </c>
    </row>
    <row r="18" spans="2:84" ht="63" customHeight="1">
      <c r="B18" s="109">
        <v>14</v>
      </c>
      <c r="C18" s="110">
        <f>SISWA!B19</f>
        <v>0</v>
      </c>
      <c r="D18" s="111" t="str">
        <f>SISWA!E19</f>
        <v>Anak 14</v>
      </c>
      <c r="E18" s="631">
        <v>99</v>
      </c>
      <c r="F18" s="631">
        <v>99</v>
      </c>
      <c r="G18" s="631">
        <v>99</v>
      </c>
      <c r="H18" s="613"/>
      <c r="I18" s="613"/>
      <c r="J18" s="613"/>
      <c r="K18" s="613"/>
      <c r="L18" s="613"/>
      <c r="M18" s="731"/>
      <c r="N18" s="731"/>
      <c r="O18" s="731"/>
      <c r="P18" s="731"/>
      <c r="Q18" s="730"/>
      <c r="R18" s="730"/>
      <c r="S18" s="610"/>
      <c r="T18" s="613">
        <v>72.5</v>
      </c>
      <c r="U18" s="613">
        <v>80</v>
      </c>
      <c r="V18" s="609"/>
      <c r="W18" s="609"/>
      <c r="X18" s="609"/>
      <c r="Y18" s="609"/>
      <c r="Z18" s="609"/>
      <c r="AA18" s="609"/>
      <c r="AB18" s="610"/>
      <c r="AC18" s="613"/>
      <c r="AD18" s="613">
        <v>72.5</v>
      </c>
      <c r="AE18" s="613">
        <v>80</v>
      </c>
      <c r="AF18" s="613"/>
      <c r="AG18" s="613"/>
      <c r="AH18" s="613"/>
      <c r="AI18" s="613"/>
      <c r="AJ18" s="613" t="str">
        <f>IFERROR(AVERAGE(#REF!),"")</f>
        <v/>
      </c>
      <c r="AK18" s="518"/>
      <c r="AL18" s="607">
        <f t="shared" si="9"/>
        <v>90.166666666666671</v>
      </c>
      <c r="AM18" s="607">
        <f t="shared" si="10"/>
        <v>87.625</v>
      </c>
      <c r="AN18" s="607">
        <f t="shared" si="11"/>
        <v>92.666666666666671</v>
      </c>
      <c r="AO18" s="607" t="str">
        <f t="shared" si="12"/>
        <v/>
      </c>
      <c r="AP18" s="607" t="str">
        <f t="shared" si="13"/>
        <v/>
      </c>
      <c r="AQ18" s="607" t="str">
        <f t="shared" si="14"/>
        <v/>
      </c>
      <c r="AR18" s="607" t="str">
        <f t="shared" si="15"/>
        <v/>
      </c>
      <c r="AS18" s="607" t="str">
        <f t="shared" si="16"/>
        <v/>
      </c>
      <c r="AT18" s="302">
        <f t="shared" si="3"/>
        <v>90</v>
      </c>
      <c r="AU18" s="303" t="str">
        <f>IF(AT18&gt;KKM!$G$10,"A",IF(AT18&gt;KKM!$H$10,"B",IF(AT18&gt;=KKM!$I$10,"C","D")))</f>
        <v>B</v>
      </c>
      <c r="AV18" s="304">
        <f t="shared" si="4"/>
        <v>92.666666666666671</v>
      </c>
      <c r="AW18" s="115" t="str">
        <f>IF(AV18&gt;KKM!$G$10," sangat baik ",IF(AV18&gt;KKM!$H$10," baik ",IF(AV18&gt;=KKM!$I$10," cukup baik "," perlu bimbingan ")))</f>
        <v xml:space="preserve"> sangat baik </v>
      </c>
      <c r="AX18" s="305">
        <f t="shared" si="5"/>
        <v>87.625</v>
      </c>
      <c r="AY18" s="115" t="str">
        <f>IF(AX18&gt;KKM!$G$10," sangat baik ",IF(AX18&gt;KKM!$H$10," baik ",IF(AX18&gt;=KKM!$I$10," cukup baik "," perlu bimbingan ")))</f>
        <v xml:space="preserve"> baik </v>
      </c>
      <c r="AZ18" s="301" t="str">
        <f t="shared" si="17"/>
        <v>Anak 14 sangat baik  dalam mengenal, memahami, dan mengidentifikasi kata berimbuhan dalam teks sesuai kaidah, dan  baik  dalam mengenal dan memahami sandhangan aksara Jawa.</v>
      </c>
      <c r="BA18" s="306"/>
      <c r="BB18" s="307" t="str">
        <f t="shared" si="6"/>
        <v xml:space="preserve"> sangat baik  dalam mengenal, memahami, dan mengidentifikasi kata berimbuhan dalam teks sesuai kaidah</v>
      </c>
      <c r="BC18" s="307" t="str">
        <f t="shared" si="7"/>
        <v xml:space="preserve"> baik  dalam mengenal dan memahami sandhangan aksara Jawa.</v>
      </c>
      <c r="BD18" s="307" t="str">
        <f t="shared" si="18"/>
        <v xml:space="preserve"> sangat baik  dalam mengenal, memahami, dan mengidentifikasi kata berimbuhan dalam teks sesuai kaidah, dan  baik  dalam mengenal dan memahami sandhangan aksara Jawa.</v>
      </c>
      <c r="BE18" s="307" t="str">
        <f t="shared" si="19"/>
        <v xml:space="preserve"> </v>
      </c>
      <c r="BF18" s="308" t="str">
        <f t="shared" si="20"/>
        <v xml:space="preserve"> sangat baik  dalam mengenal, memahami, dan mengidentifikasi kata berimbuhan dalam teks sesuai kaidah, dan  baik  dalam mengenal dan memahami sandhangan aksara Jawa.</v>
      </c>
      <c r="BG18" s="301" t="str">
        <f t="shared" si="8"/>
        <v>Anak 14 sangat baik  dalam mengenal, memahami, dan mengidentifikasi kata berimbuhan dalam teks sesuai kaidah, dan  baik  dalam mengenal dan memahami sandhangan aksara Jawa.</v>
      </c>
      <c r="BH18" s="106"/>
      <c r="BL18" s="408">
        <f t="shared" si="21"/>
        <v>90</v>
      </c>
      <c r="BT18" s="302">
        <f t="shared" si="22"/>
        <v>76</v>
      </c>
      <c r="BU18" s="303" t="str">
        <f>IF(BT18&gt;KKM!$G$10,"A",IF(BT18&gt;KKM!$H$10,"B",IF(BT18&gt;=KKM!$I$10,"C","D")))</f>
        <v>C</v>
      </c>
      <c r="BV18" s="523">
        <f t="shared" si="23"/>
        <v>80</v>
      </c>
      <c r="BW18" s="115" t="str">
        <f>IF(BV18&gt;KKM!$G$10," sangat baik ",IF(BV18&gt;KKM!$H$10," baik ",IF(BV18&gt;=KKM!$I$10," cukup baik "," perlu bimbingan ")))</f>
        <v xml:space="preserve"> cukup baik </v>
      </c>
      <c r="BX18" s="524">
        <f t="shared" si="24"/>
        <v>72.5</v>
      </c>
      <c r="BY18" s="115" t="str">
        <f>IF(BX18&gt;KKM!$G$10," sangat baik ",IF(BX18&gt;KKM!$H$10," baik ",IF(BX18&gt;=KKM!$I$10," cukup baik "," perlu bimbingan ")))</f>
        <v xml:space="preserve"> cukup baik </v>
      </c>
      <c r="BZ18" s="301" t="str">
        <f t="shared" si="31"/>
        <v>Anak 14 cukup baik  dalam mengenal dan memahami sandhangan aksara Jawa., dan  cukup baik  dalam mengenal dan memahmi teks tembang dolanan</v>
      </c>
      <c r="CA18" s="307" t="str">
        <f t="shared" si="25"/>
        <v xml:space="preserve"> cukup baik  dalam mengenal dan memahami sandhangan aksara Jawa.</v>
      </c>
      <c r="CB18" s="307" t="str">
        <f t="shared" si="26"/>
        <v xml:space="preserve"> cukup baik  dalam mengenal dan memahmi teks tembang dolanan</v>
      </c>
      <c r="CC18" s="307" t="str">
        <f t="shared" si="27"/>
        <v xml:space="preserve"> cukup baik  dalam mengenal dan memahami sandhangan aksara Jawa., dan  cukup baik  dalam mengenal dan memahmi teks tembang dolanan</v>
      </c>
      <c r="CD18" s="307" t="str">
        <f t="shared" si="28"/>
        <v xml:space="preserve"> </v>
      </c>
      <c r="CE18" s="308" t="str">
        <f t="shared" si="29"/>
        <v xml:space="preserve"> cukup baik  dalam mengenal dan memahami sandhangan aksara Jawa., dan  cukup baik  dalam mengenal dan memahmi teks tembang dolanan</v>
      </c>
      <c r="CF18" s="301" t="str">
        <f t="shared" si="30"/>
        <v>Anak 14 cukup baik  dalam mengenal dan memahami sandhangan aksara Jawa., dan  cukup baik  dalam mengenal dan memahmi teks tembang dolanan</v>
      </c>
    </row>
    <row r="19" spans="2:84" ht="63" customHeight="1">
      <c r="B19" s="109">
        <v>15</v>
      </c>
      <c r="C19" s="110">
        <f>SISWA!B20</f>
        <v>0</v>
      </c>
      <c r="D19" s="111" t="str">
        <f>SISWA!E20</f>
        <v>Anak 15</v>
      </c>
      <c r="E19" s="631">
        <v>99</v>
      </c>
      <c r="F19" s="631">
        <v>99</v>
      </c>
      <c r="G19" s="631">
        <v>99</v>
      </c>
      <c r="H19" s="613"/>
      <c r="I19" s="613"/>
      <c r="J19" s="613"/>
      <c r="K19" s="613"/>
      <c r="L19" s="613"/>
      <c r="M19" s="731"/>
      <c r="N19" s="731"/>
      <c r="O19" s="731"/>
      <c r="P19" s="731"/>
      <c r="Q19" s="730"/>
      <c r="R19" s="730"/>
      <c r="S19" s="610"/>
      <c r="T19" s="613">
        <v>80</v>
      </c>
      <c r="U19" s="613">
        <v>79.5</v>
      </c>
      <c r="V19" s="609"/>
      <c r="W19" s="609"/>
      <c r="X19" s="609"/>
      <c r="Y19" s="609"/>
      <c r="Z19" s="609"/>
      <c r="AA19" s="609"/>
      <c r="AB19" s="610"/>
      <c r="AC19" s="613"/>
      <c r="AD19" s="613">
        <v>80</v>
      </c>
      <c r="AE19" s="613">
        <v>79.5</v>
      </c>
      <c r="AF19" s="613"/>
      <c r="AG19" s="613"/>
      <c r="AH19" s="613"/>
      <c r="AI19" s="613"/>
      <c r="AJ19" s="613" t="str">
        <f>IFERROR(AVERAGE(#REF!),"")</f>
        <v/>
      </c>
      <c r="AK19" s="518"/>
      <c r="AL19" s="607">
        <f t="shared" si="9"/>
        <v>92.666666666666671</v>
      </c>
      <c r="AM19" s="607">
        <f t="shared" si="10"/>
        <v>89.375</v>
      </c>
      <c r="AN19" s="607">
        <f t="shared" si="11"/>
        <v>92.5</v>
      </c>
      <c r="AO19" s="607" t="str">
        <f t="shared" si="12"/>
        <v/>
      </c>
      <c r="AP19" s="607" t="str">
        <f t="shared" si="13"/>
        <v/>
      </c>
      <c r="AQ19" s="607" t="str">
        <f t="shared" si="14"/>
        <v/>
      </c>
      <c r="AR19" s="607" t="str">
        <f t="shared" si="15"/>
        <v/>
      </c>
      <c r="AS19" s="607" t="str">
        <f t="shared" si="16"/>
        <v/>
      </c>
      <c r="AT19" s="302">
        <f t="shared" si="3"/>
        <v>92</v>
      </c>
      <c r="AU19" s="303" t="str">
        <f>IF(AT19&gt;KKM!$G$10,"A",IF(AT19&gt;KKM!$H$10,"B",IF(AT19&gt;=KKM!$I$10,"C","D")))</f>
        <v>A</v>
      </c>
      <c r="AV19" s="304">
        <f t="shared" si="4"/>
        <v>92.666666666666671</v>
      </c>
      <c r="AW19" s="115" t="str">
        <f>IF(AV19&gt;KKM!$G$10," sangat baik ",IF(AV19&gt;KKM!$H$10," baik ",IF(AV19&gt;=KKM!$I$10," cukup baik "," perlu bimbingan ")))</f>
        <v xml:space="preserve"> sangat baik </v>
      </c>
      <c r="AX19" s="305">
        <f t="shared" si="5"/>
        <v>89.375</v>
      </c>
      <c r="AY19" s="115" t="str">
        <f>IF(AX19&gt;KKM!$G$10," sangat baik ",IF(AX19&gt;KKM!$H$10," baik ",IF(AX19&gt;=KKM!$I$10," cukup baik "," perlu bimbingan ")))</f>
        <v xml:space="preserve"> baik </v>
      </c>
      <c r="AZ19" s="301" t="str">
        <f t="shared" si="17"/>
        <v>Anak 15 sangat baik  dalam mengenal dan memahmi teks tembang dolanan, dan  baik  dalam mengenal dan memahami sandhangan aksara Jawa.</v>
      </c>
      <c r="BA19" s="306"/>
      <c r="BB19" s="307" t="str">
        <f t="shared" si="6"/>
        <v xml:space="preserve"> sangat baik  dalam mengenal dan memahmi teks tembang dolanan</v>
      </c>
      <c r="BC19" s="307" t="str">
        <f t="shared" si="7"/>
        <v xml:space="preserve"> baik  dalam mengenal dan memahami sandhangan aksara Jawa.</v>
      </c>
      <c r="BD19" s="307" t="str">
        <f t="shared" si="18"/>
        <v xml:space="preserve"> sangat baik  dalam mengenal dan memahmi teks tembang dolanan, dan  baik  dalam mengenal dan memahami sandhangan aksara Jawa.</v>
      </c>
      <c r="BE19" s="307" t="str">
        <f t="shared" si="19"/>
        <v xml:space="preserve"> </v>
      </c>
      <c r="BF19" s="308" t="str">
        <f t="shared" si="20"/>
        <v xml:space="preserve"> sangat baik  dalam mengenal dan memahmi teks tembang dolanan, dan  baik  dalam mengenal dan memahami sandhangan aksara Jawa.</v>
      </c>
      <c r="BG19" s="301" t="str">
        <f t="shared" si="8"/>
        <v>Anak 15 sangat baik  dalam mengenal dan memahmi teks tembang dolanan, dan  baik  dalam mengenal dan memahami sandhangan aksara Jawa.</v>
      </c>
      <c r="BH19" s="106"/>
      <c r="BL19" s="408">
        <f t="shared" si="21"/>
        <v>92</v>
      </c>
      <c r="BT19" s="302">
        <f t="shared" si="22"/>
        <v>80</v>
      </c>
      <c r="BU19" s="303" t="str">
        <f>IF(BT19&gt;KKM!$G$10,"A",IF(BT19&gt;KKM!$H$10,"B",IF(BT19&gt;=KKM!$I$10,"C","D")))</f>
        <v>C</v>
      </c>
      <c r="BV19" s="523">
        <f t="shared" si="23"/>
        <v>80</v>
      </c>
      <c r="BW19" s="115" t="str">
        <f>IF(BV19&gt;KKM!$G$10," sangat baik ",IF(BV19&gt;KKM!$H$10," baik ",IF(BV19&gt;=KKM!$I$10," cukup baik "," perlu bimbingan ")))</f>
        <v xml:space="preserve"> cukup baik </v>
      </c>
      <c r="BX19" s="524">
        <f t="shared" si="24"/>
        <v>79.5</v>
      </c>
      <c r="BY19" s="115" t="str">
        <f>IF(BX19&gt;KKM!$G$10," sangat baik ",IF(BX19&gt;KKM!$H$10," baik ",IF(BX19&gt;=KKM!$I$10," cukup baik "," perlu bimbingan ")))</f>
        <v xml:space="preserve"> cukup baik </v>
      </c>
      <c r="BZ19" s="301" t="str">
        <f t="shared" si="31"/>
        <v>Anak 15 cukup baik  dalam mengenal dan memahmi teks tembang dolanan, dan  cukup baik  dalam mengenal dan memahami sandhangan aksara Jawa.</v>
      </c>
      <c r="CA19" s="307" t="str">
        <f t="shared" si="25"/>
        <v xml:space="preserve"> cukup baik  dalam mengenal dan memahmi teks tembang dolanan</v>
      </c>
      <c r="CB19" s="307" t="str">
        <f t="shared" si="26"/>
        <v xml:space="preserve"> cukup baik  dalam mengenal dan memahami sandhangan aksara Jawa.</v>
      </c>
      <c r="CC19" s="307" t="str">
        <f t="shared" si="27"/>
        <v xml:space="preserve"> cukup baik  dalam mengenal dan memahmi teks tembang dolanan, dan  cukup baik  dalam mengenal dan memahami sandhangan aksara Jawa.</v>
      </c>
      <c r="CD19" s="307" t="str">
        <f t="shared" si="28"/>
        <v xml:space="preserve"> </v>
      </c>
      <c r="CE19" s="308" t="str">
        <f t="shared" si="29"/>
        <v xml:space="preserve"> cukup baik  dalam mengenal dan memahmi teks tembang dolanan, dan  cukup baik  dalam mengenal dan memahami sandhangan aksara Jawa.</v>
      </c>
      <c r="CF19" s="301" t="str">
        <f t="shared" si="30"/>
        <v>Anak 15 cukup baik  dalam mengenal dan memahmi teks tembang dolanan, dan  cukup baik  dalam mengenal dan memahami sandhangan aksara Jawa.</v>
      </c>
    </row>
    <row r="20" spans="2:84" ht="63" customHeight="1">
      <c r="B20" s="109">
        <v>16</v>
      </c>
      <c r="C20" s="110">
        <f>SISWA!B21</f>
        <v>0</v>
      </c>
      <c r="D20" s="111" t="str">
        <f>SISWA!E21</f>
        <v>Anak 16</v>
      </c>
      <c r="E20" s="631">
        <v>99</v>
      </c>
      <c r="F20" s="631">
        <v>99</v>
      </c>
      <c r="G20" s="631">
        <v>99</v>
      </c>
      <c r="H20" s="613"/>
      <c r="I20" s="613"/>
      <c r="J20" s="613"/>
      <c r="K20" s="613"/>
      <c r="L20" s="613"/>
      <c r="M20" s="731"/>
      <c r="N20" s="731"/>
      <c r="O20" s="731"/>
      <c r="P20" s="731"/>
      <c r="Q20" s="730"/>
      <c r="R20" s="730"/>
      <c r="S20" s="610"/>
      <c r="T20" s="613">
        <v>79.5</v>
      </c>
      <c r="U20" s="613">
        <v>79.5</v>
      </c>
      <c r="V20" s="609"/>
      <c r="W20" s="609"/>
      <c r="X20" s="609"/>
      <c r="Y20" s="609"/>
      <c r="Z20" s="609"/>
      <c r="AA20" s="609"/>
      <c r="AB20" s="610"/>
      <c r="AC20" s="613"/>
      <c r="AD20" s="613">
        <v>79.5</v>
      </c>
      <c r="AE20" s="613">
        <v>79.5</v>
      </c>
      <c r="AF20" s="613"/>
      <c r="AG20" s="613"/>
      <c r="AH20" s="613"/>
      <c r="AI20" s="613"/>
      <c r="AJ20" s="613" t="str">
        <f>IFERROR(AVERAGE(#REF!),"")</f>
        <v/>
      </c>
      <c r="AK20" s="518"/>
      <c r="AL20" s="607">
        <f t="shared" si="9"/>
        <v>92.5</v>
      </c>
      <c r="AM20" s="607">
        <f t="shared" si="10"/>
        <v>89.25</v>
      </c>
      <c r="AN20" s="607">
        <f t="shared" si="11"/>
        <v>92.5</v>
      </c>
      <c r="AO20" s="607" t="str">
        <f t="shared" si="12"/>
        <v/>
      </c>
      <c r="AP20" s="607" t="str">
        <f t="shared" si="13"/>
        <v/>
      </c>
      <c r="AQ20" s="607" t="str">
        <f t="shared" si="14"/>
        <v/>
      </c>
      <c r="AR20" s="607" t="str">
        <f t="shared" si="15"/>
        <v/>
      </c>
      <c r="AS20" s="607" t="str">
        <f t="shared" si="16"/>
        <v/>
      </c>
      <c r="AT20" s="302">
        <f t="shared" si="3"/>
        <v>91</v>
      </c>
      <c r="AU20" s="303" t="str">
        <f>IF(AT20&gt;KKM!$G$10,"A",IF(AT20&gt;KKM!$H$10,"B",IF(AT20&gt;=KKM!$I$10,"C","D")))</f>
        <v>A</v>
      </c>
      <c r="AV20" s="304">
        <f t="shared" si="4"/>
        <v>92.5</v>
      </c>
      <c r="AW20" s="115" t="str">
        <f>IF(AV20&gt;KKM!$G$10," sangat baik ",IF(AV20&gt;KKM!$H$10," baik ",IF(AV20&gt;=KKM!$I$10," cukup baik "," perlu bimbingan ")))</f>
        <v xml:space="preserve"> sangat baik </v>
      </c>
      <c r="AX20" s="305">
        <f t="shared" si="5"/>
        <v>89.25</v>
      </c>
      <c r="AY20" s="115" t="str">
        <f>IF(AX20&gt;KKM!$G$10," sangat baik ",IF(AX20&gt;KKM!$H$10," baik ",IF(AX20&gt;=KKM!$I$10," cukup baik "," perlu bimbingan ")))</f>
        <v xml:space="preserve"> baik </v>
      </c>
      <c r="AZ20" s="301" t="str">
        <f t="shared" si="17"/>
        <v>Anak 16 sangat baik  dalam mengenal dan memahmi teks tembang dolanan, dan  baik  dalam mengenal dan memahami sandhangan aksara Jawa.</v>
      </c>
      <c r="BA20" s="306"/>
      <c r="BB20" s="307" t="str">
        <f t="shared" si="6"/>
        <v xml:space="preserve"> sangat baik  dalam mengenal dan memahmi teks tembang dolanan</v>
      </c>
      <c r="BC20" s="307" t="str">
        <f t="shared" si="7"/>
        <v xml:space="preserve"> baik  dalam mengenal dan memahami sandhangan aksara Jawa.</v>
      </c>
      <c r="BD20" s="307" t="str">
        <f t="shared" si="18"/>
        <v xml:space="preserve"> sangat baik  dalam mengenal dan memahmi teks tembang dolanan, dan  baik  dalam mengenal dan memahami sandhangan aksara Jawa.</v>
      </c>
      <c r="BE20" s="307" t="str">
        <f t="shared" si="19"/>
        <v xml:space="preserve"> </v>
      </c>
      <c r="BF20" s="308" t="str">
        <f t="shared" si="20"/>
        <v xml:space="preserve"> sangat baik  dalam mengenal dan memahmi teks tembang dolanan, dan  baik  dalam mengenal dan memahami sandhangan aksara Jawa.</v>
      </c>
      <c r="BG20" s="301" t="str">
        <f t="shared" si="8"/>
        <v>Anak 16 sangat baik  dalam mengenal dan memahmi teks tembang dolanan, dan  baik  dalam mengenal dan memahami sandhangan aksara Jawa.</v>
      </c>
      <c r="BH20" s="106"/>
      <c r="BL20" s="408">
        <f t="shared" si="21"/>
        <v>91</v>
      </c>
      <c r="BT20" s="302">
        <f t="shared" si="22"/>
        <v>80</v>
      </c>
      <c r="BU20" s="303" t="str">
        <f>IF(BT20&gt;KKM!$G$10,"A",IF(BT20&gt;KKM!$H$10,"B",IF(BT20&gt;=KKM!$I$10,"C","D")))</f>
        <v>C</v>
      </c>
      <c r="BV20" s="523">
        <f t="shared" si="23"/>
        <v>79.5</v>
      </c>
      <c r="BW20" s="115" t="str">
        <f>IF(BV20&gt;KKM!$G$10," sangat baik ",IF(BV20&gt;KKM!$H$10," baik ",IF(BV20&gt;=KKM!$I$10," cukup baik "," perlu bimbingan ")))</f>
        <v xml:space="preserve"> cukup baik </v>
      </c>
      <c r="BX20" s="524">
        <f t="shared" si="24"/>
        <v>79.5</v>
      </c>
      <c r="BY20" s="115" t="str">
        <f>IF(BX20&gt;KKM!$G$10," sangat baik ",IF(BX20&gt;KKM!$H$10," baik ",IF(BX20&gt;=KKM!$I$10," cukup baik "," perlu bimbingan ")))</f>
        <v xml:space="preserve"> cukup baik </v>
      </c>
      <c r="BZ20" s="301" t="str">
        <f t="shared" si="31"/>
        <v>Anak 16 cukup baik  dalam mengenal dan memahmi teks tembang dolanan</v>
      </c>
      <c r="CA20" s="307" t="str">
        <f t="shared" si="25"/>
        <v xml:space="preserve"> cukup baik  dalam mengenal dan memahmi teks tembang dolanan</v>
      </c>
      <c r="CB20" s="307" t="str">
        <f t="shared" si="26"/>
        <v xml:space="preserve"> cukup baik  dalam mengenal dan memahmi teks tembang dolanan</v>
      </c>
      <c r="CC20" s="307" t="str">
        <f t="shared" si="27"/>
        <v xml:space="preserve"> cukup baik  dalam mengenal dan memahmi teks tembang dolanan, dan  cukup baik  dalam mengenal dan memahmi teks tembang dolanan</v>
      </c>
      <c r="CD20" s="307" t="str">
        <f t="shared" si="28"/>
        <v xml:space="preserve"> cukup baik  dalam mengenal dan memahmi teks tembang dolanan</v>
      </c>
      <c r="CE20" s="308" t="str">
        <f t="shared" si="29"/>
        <v xml:space="preserve"> cukup baik  dalam mengenal dan memahmi teks tembang dolanan</v>
      </c>
      <c r="CF20" s="301" t="str">
        <f t="shared" si="30"/>
        <v>Anak 16 cukup baik  dalam mengenal dan memahmi teks tembang dolanan</v>
      </c>
    </row>
    <row r="21" spans="2:84" ht="63" customHeight="1">
      <c r="B21" s="109">
        <v>17</v>
      </c>
      <c r="C21" s="110">
        <f>SISWA!B22</f>
        <v>0</v>
      </c>
      <c r="D21" s="111" t="str">
        <f>SISWA!E22</f>
        <v>Anak 17</v>
      </c>
      <c r="E21" s="631">
        <v>99</v>
      </c>
      <c r="F21" s="631">
        <v>99</v>
      </c>
      <c r="G21" s="631">
        <v>99</v>
      </c>
      <c r="H21" s="613"/>
      <c r="I21" s="613"/>
      <c r="J21" s="613"/>
      <c r="K21" s="613"/>
      <c r="L21" s="613"/>
      <c r="M21" s="731"/>
      <c r="N21" s="731"/>
      <c r="O21" s="731"/>
      <c r="P21" s="731"/>
      <c r="Q21" s="730"/>
      <c r="R21" s="730"/>
      <c r="S21" s="610"/>
      <c r="T21" s="613">
        <v>79.5</v>
      </c>
      <c r="U21" s="613">
        <v>79.5</v>
      </c>
      <c r="V21" s="609"/>
      <c r="W21" s="609"/>
      <c r="X21" s="609"/>
      <c r="Y21" s="609"/>
      <c r="Z21" s="609"/>
      <c r="AA21" s="609"/>
      <c r="AB21" s="610"/>
      <c r="AC21" s="613"/>
      <c r="AD21" s="613">
        <v>79.5</v>
      </c>
      <c r="AE21" s="613">
        <v>79.5</v>
      </c>
      <c r="AF21" s="613"/>
      <c r="AG21" s="613"/>
      <c r="AH21" s="613"/>
      <c r="AI21" s="613"/>
      <c r="AJ21" s="613" t="str">
        <f>IFERROR(AVERAGE(#REF!),"")</f>
        <v/>
      </c>
      <c r="AK21" s="518"/>
      <c r="AL21" s="607">
        <f t="shared" si="9"/>
        <v>92.5</v>
      </c>
      <c r="AM21" s="607">
        <f t="shared" si="10"/>
        <v>89.25</v>
      </c>
      <c r="AN21" s="607">
        <f t="shared" si="11"/>
        <v>92.5</v>
      </c>
      <c r="AO21" s="607" t="str">
        <f t="shared" si="12"/>
        <v/>
      </c>
      <c r="AP21" s="607" t="str">
        <f t="shared" si="13"/>
        <v/>
      </c>
      <c r="AQ21" s="607" t="str">
        <f t="shared" si="14"/>
        <v/>
      </c>
      <c r="AR21" s="607" t="str">
        <f t="shared" si="15"/>
        <v/>
      </c>
      <c r="AS21" s="607" t="str">
        <f t="shared" si="16"/>
        <v/>
      </c>
      <c r="AT21" s="302">
        <f t="shared" si="3"/>
        <v>91</v>
      </c>
      <c r="AU21" s="303" t="str">
        <f>IF(AT21&gt;KKM!$G$10,"A",IF(AT21&gt;KKM!$H$10,"B",IF(AT21&gt;=KKM!$I$10,"C","D")))</f>
        <v>A</v>
      </c>
      <c r="AV21" s="304">
        <f t="shared" si="4"/>
        <v>92.5</v>
      </c>
      <c r="AW21" s="115" t="str">
        <f>IF(AV21&gt;KKM!$G$10," sangat baik ",IF(AV21&gt;KKM!$H$10," baik ",IF(AV21&gt;=KKM!$I$10," cukup baik "," perlu bimbingan ")))</f>
        <v xml:space="preserve"> sangat baik </v>
      </c>
      <c r="AX21" s="305">
        <f t="shared" si="5"/>
        <v>89.25</v>
      </c>
      <c r="AY21" s="115" t="str">
        <f>IF(AX21&gt;KKM!$G$10," sangat baik ",IF(AX21&gt;KKM!$H$10," baik ",IF(AX21&gt;=KKM!$I$10," cukup baik "," perlu bimbingan ")))</f>
        <v xml:space="preserve"> baik </v>
      </c>
      <c r="AZ21" s="301" t="str">
        <f t="shared" si="17"/>
        <v>Anak 17 sangat baik  dalam mengenal dan memahmi teks tembang dolanan, dan  baik  dalam mengenal dan memahami sandhangan aksara Jawa.</v>
      </c>
      <c r="BA21" s="306"/>
      <c r="BB21" s="307" t="str">
        <f t="shared" si="6"/>
        <v xml:space="preserve"> sangat baik  dalam mengenal dan memahmi teks tembang dolanan</v>
      </c>
      <c r="BC21" s="307" t="str">
        <f t="shared" si="7"/>
        <v xml:space="preserve"> baik  dalam mengenal dan memahami sandhangan aksara Jawa.</v>
      </c>
      <c r="BD21" s="307" t="str">
        <f t="shared" si="18"/>
        <v xml:space="preserve"> sangat baik  dalam mengenal dan memahmi teks tembang dolanan, dan  baik  dalam mengenal dan memahami sandhangan aksara Jawa.</v>
      </c>
      <c r="BE21" s="307" t="str">
        <f t="shared" si="19"/>
        <v xml:space="preserve"> </v>
      </c>
      <c r="BF21" s="308" t="str">
        <f t="shared" si="20"/>
        <v xml:space="preserve"> sangat baik  dalam mengenal dan memahmi teks tembang dolanan, dan  baik  dalam mengenal dan memahami sandhangan aksara Jawa.</v>
      </c>
      <c r="BG21" s="301" t="str">
        <f t="shared" si="8"/>
        <v>Anak 17 sangat baik  dalam mengenal dan memahmi teks tembang dolanan, dan  baik  dalam mengenal dan memahami sandhangan aksara Jawa.</v>
      </c>
      <c r="BH21" s="106"/>
      <c r="BL21" s="408">
        <f t="shared" si="21"/>
        <v>91</v>
      </c>
      <c r="BT21" s="302">
        <f t="shared" si="22"/>
        <v>80</v>
      </c>
      <c r="BU21" s="303" t="str">
        <f>IF(BT21&gt;KKM!$G$10,"A",IF(BT21&gt;KKM!$H$10,"B",IF(BT21&gt;=KKM!$I$10,"C","D")))</f>
        <v>C</v>
      </c>
      <c r="BV21" s="523">
        <f t="shared" si="23"/>
        <v>79.5</v>
      </c>
      <c r="BW21" s="115" t="str">
        <f>IF(BV21&gt;KKM!$G$10," sangat baik ",IF(BV21&gt;KKM!$H$10," baik ",IF(BV21&gt;=KKM!$I$10," cukup baik "," perlu bimbingan ")))</f>
        <v xml:space="preserve"> cukup baik </v>
      </c>
      <c r="BX21" s="524">
        <f t="shared" si="24"/>
        <v>79.5</v>
      </c>
      <c r="BY21" s="115" t="str">
        <f>IF(BX21&gt;KKM!$G$10," sangat baik ",IF(BX21&gt;KKM!$H$10," baik ",IF(BX21&gt;=KKM!$I$10," cukup baik "," perlu bimbingan ")))</f>
        <v xml:space="preserve"> cukup baik </v>
      </c>
      <c r="BZ21" s="301" t="str">
        <f t="shared" si="31"/>
        <v>Anak 17 cukup baik  dalam mengenal dan memahmi teks tembang dolanan</v>
      </c>
      <c r="CA21" s="307" t="str">
        <f t="shared" si="25"/>
        <v xml:space="preserve"> cukup baik  dalam mengenal dan memahmi teks tembang dolanan</v>
      </c>
      <c r="CB21" s="307" t="str">
        <f t="shared" si="26"/>
        <v xml:space="preserve"> cukup baik  dalam mengenal dan memahmi teks tembang dolanan</v>
      </c>
      <c r="CC21" s="307" t="str">
        <f t="shared" si="27"/>
        <v xml:space="preserve"> cukup baik  dalam mengenal dan memahmi teks tembang dolanan, dan  cukup baik  dalam mengenal dan memahmi teks tembang dolanan</v>
      </c>
      <c r="CD21" s="307" t="str">
        <f t="shared" si="28"/>
        <v xml:space="preserve"> cukup baik  dalam mengenal dan memahmi teks tembang dolanan</v>
      </c>
      <c r="CE21" s="308" t="str">
        <f t="shared" si="29"/>
        <v xml:space="preserve"> cukup baik  dalam mengenal dan memahmi teks tembang dolanan</v>
      </c>
      <c r="CF21" s="301" t="str">
        <f t="shared" si="30"/>
        <v>Anak 17 cukup baik  dalam mengenal dan memahmi teks tembang dolanan</v>
      </c>
    </row>
    <row r="22" spans="2:84" ht="63" customHeight="1">
      <c r="B22" s="109">
        <v>18</v>
      </c>
      <c r="C22" s="110">
        <f>SISWA!B23</f>
        <v>0</v>
      </c>
      <c r="D22" s="111" t="str">
        <f>SISWA!E23</f>
        <v>Anak 18</v>
      </c>
      <c r="E22" s="631">
        <v>99</v>
      </c>
      <c r="F22" s="631">
        <v>99</v>
      </c>
      <c r="G22" s="631">
        <v>99</v>
      </c>
      <c r="H22" s="613"/>
      <c r="I22" s="613"/>
      <c r="J22" s="613"/>
      <c r="K22" s="613"/>
      <c r="L22" s="613"/>
      <c r="M22" s="731"/>
      <c r="N22" s="731"/>
      <c r="O22" s="731"/>
      <c r="P22" s="731"/>
      <c r="Q22" s="730"/>
      <c r="R22" s="730"/>
      <c r="S22" s="610"/>
      <c r="T22" s="613">
        <v>79.5</v>
      </c>
      <c r="U22" s="613">
        <v>89</v>
      </c>
      <c r="V22" s="609"/>
      <c r="W22" s="609"/>
      <c r="X22" s="609"/>
      <c r="Y22" s="609"/>
      <c r="Z22" s="609"/>
      <c r="AA22" s="609"/>
      <c r="AB22" s="610"/>
      <c r="AC22" s="613"/>
      <c r="AD22" s="613">
        <v>79.5</v>
      </c>
      <c r="AE22" s="613">
        <v>89</v>
      </c>
      <c r="AF22" s="613"/>
      <c r="AG22" s="613"/>
      <c r="AH22" s="613"/>
      <c r="AI22" s="613"/>
      <c r="AJ22" s="613" t="str">
        <f>IFERROR(AVERAGE(#REF!),"")</f>
        <v/>
      </c>
      <c r="AK22" s="518"/>
      <c r="AL22" s="607">
        <f t="shared" si="9"/>
        <v>92.5</v>
      </c>
      <c r="AM22" s="607">
        <f t="shared" si="10"/>
        <v>91.625</v>
      </c>
      <c r="AN22" s="607">
        <f t="shared" si="11"/>
        <v>95.666666666666671</v>
      </c>
      <c r="AO22" s="607" t="str">
        <f t="shared" si="12"/>
        <v/>
      </c>
      <c r="AP22" s="607" t="str">
        <f t="shared" si="13"/>
        <v/>
      </c>
      <c r="AQ22" s="607" t="str">
        <f t="shared" si="14"/>
        <v/>
      </c>
      <c r="AR22" s="607" t="str">
        <f t="shared" si="15"/>
        <v/>
      </c>
      <c r="AS22" s="607" t="str">
        <f t="shared" si="16"/>
        <v/>
      </c>
      <c r="AT22" s="302">
        <f t="shared" si="3"/>
        <v>93</v>
      </c>
      <c r="AU22" s="303" t="str">
        <f>IF(AT22&gt;KKM!$G$10,"A",IF(AT22&gt;KKM!$H$10,"B",IF(AT22&gt;=KKM!$I$10,"C","D")))</f>
        <v>A</v>
      </c>
      <c r="AV22" s="304">
        <f t="shared" si="4"/>
        <v>95.666666666666671</v>
      </c>
      <c r="AW22" s="115" t="str">
        <f>IF(AV22&gt;KKM!$G$10," sangat baik ",IF(AV22&gt;KKM!$H$10," baik ",IF(AV22&gt;=KKM!$I$10," cukup baik "," perlu bimbingan ")))</f>
        <v xml:space="preserve"> sangat baik </v>
      </c>
      <c r="AX22" s="305">
        <f t="shared" si="5"/>
        <v>91.625</v>
      </c>
      <c r="AY22" s="115" t="str">
        <f>IF(AX22&gt;KKM!$G$10," sangat baik ",IF(AX22&gt;KKM!$H$10," baik ",IF(AX22&gt;=KKM!$I$10," cukup baik "," perlu bimbingan ")))</f>
        <v xml:space="preserve"> sangat baik </v>
      </c>
      <c r="AZ22" s="301" t="str">
        <f t="shared" si="17"/>
        <v>Anak 18 sangat baik  dalam mengenal, memahami, dan mengidentifikasi kata berimbuhan dalam teks sesuai kaidah, dan  sangat baik  dalam mengenal dan memahami sandhangan aksara Jawa.</v>
      </c>
      <c r="BA22" s="306"/>
      <c r="BB22" s="307" t="str">
        <f t="shared" si="6"/>
        <v xml:space="preserve"> sangat baik  dalam mengenal, memahami, dan mengidentifikasi kata berimbuhan dalam teks sesuai kaidah</v>
      </c>
      <c r="BC22" s="307" t="str">
        <f t="shared" si="7"/>
        <v xml:space="preserve"> sangat baik  dalam mengenal dan memahami sandhangan aksara Jawa.</v>
      </c>
      <c r="BD22" s="307" t="str">
        <f t="shared" si="18"/>
        <v xml:space="preserve"> sangat baik  dalam mengenal, memahami, dan mengidentifikasi kata berimbuhan dalam teks sesuai kaidah, dan  sangat baik  dalam mengenal dan memahami sandhangan aksara Jawa.</v>
      </c>
      <c r="BE22" s="307" t="str">
        <f t="shared" si="19"/>
        <v xml:space="preserve"> </v>
      </c>
      <c r="BF22" s="308" t="str">
        <f t="shared" si="20"/>
        <v xml:space="preserve"> sangat baik  dalam mengenal, memahami, dan mengidentifikasi kata berimbuhan dalam teks sesuai kaidah, dan  sangat baik  dalam mengenal dan memahami sandhangan aksara Jawa.</v>
      </c>
      <c r="BG22" s="301" t="str">
        <f t="shared" si="8"/>
        <v>Anak 18 sangat baik  dalam mengenal, memahami, dan mengidentifikasi kata berimbuhan dalam teks sesuai kaidah, dan  sangat baik  dalam mengenal dan memahami sandhangan aksara Jawa.</v>
      </c>
      <c r="BH22" s="106"/>
      <c r="BL22" s="408">
        <f t="shared" si="21"/>
        <v>93</v>
      </c>
      <c r="BT22" s="302">
        <f t="shared" si="22"/>
        <v>84</v>
      </c>
      <c r="BU22" s="303" t="str">
        <f>IF(BT22&gt;KKM!$G$10,"A",IF(BT22&gt;KKM!$H$10,"B",IF(BT22&gt;=KKM!$I$10,"C","D")))</f>
        <v>B</v>
      </c>
      <c r="BV22" s="523">
        <f t="shared" si="23"/>
        <v>89</v>
      </c>
      <c r="BW22" s="115" t="str">
        <f>IF(BV22&gt;KKM!$G$10," sangat baik ",IF(BV22&gt;KKM!$H$10," baik ",IF(BV22&gt;=KKM!$I$10," cukup baik "," perlu bimbingan ")))</f>
        <v xml:space="preserve"> baik </v>
      </c>
      <c r="BX22" s="524">
        <f t="shared" si="24"/>
        <v>79.5</v>
      </c>
      <c r="BY22" s="115" t="str">
        <f>IF(BX22&gt;KKM!$G$10," sangat baik ",IF(BX22&gt;KKM!$H$10," baik ",IF(BX22&gt;=KKM!$I$10," cukup baik "," perlu bimbingan ")))</f>
        <v xml:space="preserve"> cukup baik </v>
      </c>
      <c r="BZ22" s="301" t="str">
        <f t="shared" si="31"/>
        <v>Anak 18 baik  dalam mengenal dan memahami sandhangan aksara Jawa., dan  cukup baik  dalam mengenal dan memahmi teks tembang dolanan</v>
      </c>
      <c r="CA22" s="307" t="str">
        <f t="shared" si="25"/>
        <v xml:space="preserve"> baik  dalam mengenal dan memahami sandhangan aksara Jawa.</v>
      </c>
      <c r="CB22" s="307" t="str">
        <f t="shared" si="26"/>
        <v xml:space="preserve"> cukup baik  dalam mengenal dan memahmi teks tembang dolanan</v>
      </c>
      <c r="CC22" s="307" t="str">
        <f t="shared" si="27"/>
        <v xml:space="preserve"> baik  dalam mengenal dan memahami sandhangan aksara Jawa., dan  cukup baik  dalam mengenal dan memahmi teks tembang dolanan</v>
      </c>
      <c r="CD22" s="307" t="str">
        <f t="shared" si="28"/>
        <v xml:space="preserve"> </v>
      </c>
      <c r="CE22" s="308" t="str">
        <f t="shared" si="29"/>
        <v xml:space="preserve"> baik  dalam mengenal dan memahami sandhangan aksara Jawa., dan  cukup baik  dalam mengenal dan memahmi teks tembang dolanan</v>
      </c>
      <c r="CF22" s="301" t="str">
        <f t="shared" si="30"/>
        <v>Anak 18 baik  dalam mengenal dan memahami sandhangan aksara Jawa., dan  cukup baik  dalam mengenal dan memahmi teks tembang dolanan</v>
      </c>
    </row>
    <row r="23" spans="2:84" ht="63" customHeight="1">
      <c r="B23" s="109">
        <v>19</v>
      </c>
      <c r="C23" s="110">
        <f>SISWA!B24</f>
        <v>0</v>
      </c>
      <c r="D23" s="111" t="str">
        <f>SISWA!E24</f>
        <v>Anak 19</v>
      </c>
      <c r="E23" s="631">
        <v>99</v>
      </c>
      <c r="F23" s="631">
        <v>99</v>
      </c>
      <c r="G23" s="631">
        <v>99</v>
      </c>
      <c r="H23" s="613"/>
      <c r="I23" s="613"/>
      <c r="J23" s="613"/>
      <c r="K23" s="613"/>
      <c r="L23" s="613"/>
      <c r="M23" s="731"/>
      <c r="N23" s="731"/>
      <c r="O23" s="731"/>
      <c r="P23" s="731"/>
      <c r="Q23" s="730"/>
      <c r="R23" s="730"/>
      <c r="S23" s="610"/>
      <c r="T23" s="613">
        <v>89</v>
      </c>
      <c r="U23" s="613">
        <v>81</v>
      </c>
      <c r="V23" s="609"/>
      <c r="W23" s="609"/>
      <c r="X23" s="609"/>
      <c r="Y23" s="609"/>
      <c r="Z23" s="609"/>
      <c r="AA23" s="609"/>
      <c r="AB23" s="610"/>
      <c r="AC23" s="613"/>
      <c r="AD23" s="613">
        <v>89</v>
      </c>
      <c r="AE23" s="613">
        <v>81</v>
      </c>
      <c r="AF23" s="613"/>
      <c r="AG23" s="613"/>
      <c r="AH23" s="613"/>
      <c r="AI23" s="613"/>
      <c r="AJ23" s="613" t="str">
        <f>IFERROR(AVERAGE(#REF!),"")</f>
        <v/>
      </c>
      <c r="AK23" s="518"/>
      <c r="AL23" s="607">
        <f t="shared" si="9"/>
        <v>95.666666666666671</v>
      </c>
      <c r="AM23" s="607">
        <f t="shared" si="10"/>
        <v>92</v>
      </c>
      <c r="AN23" s="607">
        <f t="shared" si="11"/>
        <v>93</v>
      </c>
      <c r="AO23" s="607" t="str">
        <f t="shared" si="12"/>
        <v/>
      </c>
      <c r="AP23" s="607" t="str">
        <f t="shared" si="13"/>
        <v/>
      </c>
      <c r="AQ23" s="607" t="str">
        <f t="shared" si="14"/>
        <v/>
      </c>
      <c r="AR23" s="607" t="str">
        <f t="shared" si="15"/>
        <v/>
      </c>
      <c r="AS23" s="607" t="str">
        <f t="shared" si="16"/>
        <v/>
      </c>
      <c r="AT23" s="302">
        <f t="shared" si="3"/>
        <v>94</v>
      </c>
      <c r="AU23" s="303" t="str">
        <f>IF(AT23&gt;KKM!$G$10,"A",IF(AT23&gt;KKM!$H$10,"B",IF(AT23&gt;=KKM!$I$10,"C","D")))</f>
        <v>A</v>
      </c>
      <c r="AV23" s="304">
        <f t="shared" si="4"/>
        <v>95.666666666666671</v>
      </c>
      <c r="AW23" s="115" t="str">
        <f>IF(AV23&gt;KKM!$G$10," sangat baik ",IF(AV23&gt;KKM!$H$10," baik ",IF(AV23&gt;=KKM!$I$10," cukup baik "," perlu bimbingan ")))</f>
        <v xml:space="preserve"> sangat baik </v>
      </c>
      <c r="AX23" s="305">
        <f t="shared" si="5"/>
        <v>92</v>
      </c>
      <c r="AY23" s="115" t="str">
        <f>IF(AX23&gt;KKM!$G$10," sangat baik ",IF(AX23&gt;KKM!$H$10," baik ",IF(AX23&gt;=KKM!$I$10," cukup baik "," perlu bimbingan ")))</f>
        <v xml:space="preserve"> sangat baik </v>
      </c>
      <c r="AZ23" s="301" t="str">
        <f t="shared" si="17"/>
        <v>Anak 19 sangat baik  dalam mengenal dan memahmi teks tembang dolanan, dan  sangat baik  dalam mengenal dan memahami sandhangan aksara Jawa.</v>
      </c>
      <c r="BA23" s="306"/>
      <c r="BB23" s="307" t="str">
        <f t="shared" si="6"/>
        <v xml:space="preserve"> sangat baik  dalam mengenal dan memahmi teks tembang dolanan</v>
      </c>
      <c r="BC23" s="307" t="str">
        <f t="shared" si="7"/>
        <v xml:space="preserve"> sangat baik  dalam mengenal dan memahami sandhangan aksara Jawa.</v>
      </c>
      <c r="BD23" s="307" t="str">
        <f t="shared" si="18"/>
        <v xml:space="preserve"> sangat baik  dalam mengenal dan memahmi teks tembang dolanan, dan  sangat baik  dalam mengenal dan memahami sandhangan aksara Jawa.</v>
      </c>
      <c r="BE23" s="307" t="str">
        <f t="shared" si="19"/>
        <v xml:space="preserve"> </v>
      </c>
      <c r="BF23" s="308" t="str">
        <f t="shared" si="20"/>
        <v xml:space="preserve"> sangat baik  dalam mengenal dan memahmi teks tembang dolanan, dan  sangat baik  dalam mengenal dan memahami sandhangan aksara Jawa.</v>
      </c>
      <c r="BG23" s="301" t="str">
        <f t="shared" si="8"/>
        <v>Anak 19 sangat baik  dalam mengenal dan memahmi teks tembang dolanan, dan  sangat baik  dalam mengenal dan memahami sandhangan aksara Jawa.</v>
      </c>
      <c r="BH23" s="106"/>
      <c r="BL23" s="408">
        <f t="shared" si="21"/>
        <v>94</v>
      </c>
      <c r="BT23" s="302">
        <f t="shared" si="22"/>
        <v>85</v>
      </c>
      <c r="BU23" s="303" t="str">
        <f>IF(BT23&gt;KKM!$G$10,"A",IF(BT23&gt;KKM!$H$10,"B",IF(BT23&gt;=KKM!$I$10,"C","D")))</f>
        <v>B</v>
      </c>
      <c r="BV23" s="523">
        <f t="shared" si="23"/>
        <v>89</v>
      </c>
      <c r="BW23" s="115" t="str">
        <f>IF(BV23&gt;KKM!$G$10," sangat baik ",IF(BV23&gt;KKM!$H$10," baik ",IF(BV23&gt;=KKM!$I$10," cukup baik "," perlu bimbingan ")))</f>
        <v xml:space="preserve"> baik </v>
      </c>
      <c r="BX23" s="524">
        <f t="shared" si="24"/>
        <v>81</v>
      </c>
      <c r="BY23" s="115" t="str">
        <f>IF(BX23&gt;KKM!$G$10," sangat baik ",IF(BX23&gt;KKM!$H$10," baik ",IF(BX23&gt;=KKM!$I$10," cukup baik "," perlu bimbingan ")))</f>
        <v xml:space="preserve"> baik </v>
      </c>
      <c r="BZ23" s="301" t="str">
        <f t="shared" si="31"/>
        <v>Anak 19 baik  dalam mengenal dan memahmi teks tembang dolanan, dan  baik  dalam mengenal dan memahami sandhangan aksara Jawa.</v>
      </c>
      <c r="CA23" s="307" t="str">
        <f t="shared" si="25"/>
        <v xml:space="preserve"> baik  dalam mengenal dan memahmi teks tembang dolanan</v>
      </c>
      <c r="CB23" s="307" t="str">
        <f t="shared" si="26"/>
        <v xml:space="preserve"> baik  dalam mengenal dan memahami sandhangan aksara Jawa.</v>
      </c>
      <c r="CC23" s="307" t="str">
        <f t="shared" si="27"/>
        <v xml:space="preserve"> baik  dalam mengenal dan memahmi teks tembang dolanan, dan  baik  dalam mengenal dan memahami sandhangan aksara Jawa.</v>
      </c>
      <c r="CD23" s="307" t="str">
        <f t="shared" si="28"/>
        <v xml:space="preserve"> </v>
      </c>
      <c r="CE23" s="308" t="str">
        <f t="shared" si="29"/>
        <v xml:space="preserve"> baik  dalam mengenal dan memahmi teks tembang dolanan, dan  baik  dalam mengenal dan memahami sandhangan aksara Jawa.</v>
      </c>
      <c r="CF23" s="301" t="str">
        <f t="shared" si="30"/>
        <v>Anak 19 baik  dalam mengenal dan memahmi teks tembang dolanan, dan  baik  dalam mengenal dan memahami sandhangan aksara Jawa.</v>
      </c>
    </row>
    <row r="24" spans="2:84" ht="63" customHeight="1">
      <c r="B24" s="109">
        <v>20</v>
      </c>
      <c r="C24" s="110">
        <f>SISWA!B25</f>
        <v>0</v>
      </c>
      <c r="D24" s="111" t="str">
        <f>SISWA!E25</f>
        <v>Anak 20</v>
      </c>
      <c r="E24" s="631">
        <v>99</v>
      </c>
      <c r="F24" s="631">
        <v>99</v>
      </c>
      <c r="G24" s="631">
        <v>99</v>
      </c>
      <c r="H24" s="613"/>
      <c r="I24" s="613"/>
      <c r="J24" s="613"/>
      <c r="K24" s="613"/>
      <c r="L24" s="613"/>
      <c r="M24" s="731"/>
      <c r="N24" s="731"/>
      <c r="O24" s="731"/>
      <c r="P24" s="731"/>
      <c r="Q24" s="730"/>
      <c r="R24" s="730"/>
      <c r="S24" s="610"/>
      <c r="T24" s="613">
        <v>81</v>
      </c>
      <c r="U24" s="613">
        <v>76.5</v>
      </c>
      <c r="V24" s="609"/>
      <c r="W24" s="609"/>
      <c r="X24" s="609"/>
      <c r="Y24" s="609"/>
      <c r="Z24" s="609"/>
      <c r="AA24" s="609"/>
      <c r="AB24" s="610"/>
      <c r="AC24" s="613"/>
      <c r="AD24" s="613">
        <v>81</v>
      </c>
      <c r="AE24" s="613">
        <v>76.5</v>
      </c>
      <c r="AF24" s="613"/>
      <c r="AG24" s="613"/>
      <c r="AH24" s="613"/>
      <c r="AI24" s="613"/>
      <c r="AJ24" s="613" t="str">
        <f>IFERROR(AVERAGE(#REF!),"")</f>
        <v/>
      </c>
      <c r="AK24" s="518"/>
      <c r="AL24" s="607">
        <f t="shared" si="9"/>
        <v>93</v>
      </c>
      <c r="AM24" s="607">
        <f t="shared" si="10"/>
        <v>88.875</v>
      </c>
      <c r="AN24" s="607">
        <f t="shared" si="11"/>
        <v>91.5</v>
      </c>
      <c r="AO24" s="607" t="str">
        <f t="shared" si="12"/>
        <v/>
      </c>
      <c r="AP24" s="607" t="str">
        <f t="shared" si="13"/>
        <v/>
      </c>
      <c r="AQ24" s="607" t="str">
        <f t="shared" si="14"/>
        <v/>
      </c>
      <c r="AR24" s="607" t="str">
        <f t="shared" si="15"/>
        <v/>
      </c>
      <c r="AS24" s="607" t="str">
        <f t="shared" si="16"/>
        <v/>
      </c>
      <c r="AT24" s="302">
        <f t="shared" si="3"/>
        <v>91</v>
      </c>
      <c r="AU24" s="303" t="str">
        <f>IF(AT24&gt;KKM!$G$10,"A",IF(AT24&gt;KKM!$H$10,"B",IF(AT24&gt;=KKM!$I$10,"C","D")))</f>
        <v>A</v>
      </c>
      <c r="AV24" s="304">
        <f t="shared" si="4"/>
        <v>93</v>
      </c>
      <c r="AW24" s="115" t="str">
        <f>IF(AV24&gt;KKM!$G$10," sangat baik ",IF(AV24&gt;KKM!$H$10," baik ",IF(AV24&gt;=KKM!$I$10," cukup baik "," perlu bimbingan ")))</f>
        <v xml:space="preserve"> sangat baik </v>
      </c>
      <c r="AX24" s="305">
        <f t="shared" si="5"/>
        <v>88.875</v>
      </c>
      <c r="AY24" s="115" t="str">
        <f>IF(AX24&gt;KKM!$G$10," sangat baik ",IF(AX24&gt;KKM!$H$10," baik ",IF(AX24&gt;=KKM!$I$10," cukup baik "," perlu bimbingan ")))</f>
        <v xml:space="preserve"> baik </v>
      </c>
      <c r="AZ24" s="301" t="str">
        <f t="shared" si="17"/>
        <v>Anak 20 sangat baik  dalam mengenal dan memahmi teks tembang dolanan, dan  baik  dalam mengenal dan memahami sandhangan aksara Jawa.</v>
      </c>
      <c r="BA24" s="306"/>
      <c r="BB24" s="307" t="str">
        <f t="shared" si="6"/>
        <v xml:space="preserve"> sangat baik  dalam mengenal dan memahmi teks tembang dolanan</v>
      </c>
      <c r="BC24" s="307" t="str">
        <f t="shared" si="7"/>
        <v xml:space="preserve"> baik  dalam mengenal dan memahami sandhangan aksara Jawa.</v>
      </c>
      <c r="BD24" s="307" t="str">
        <f t="shared" si="18"/>
        <v xml:space="preserve"> sangat baik  dalam mengenal dan memahmi teks tembang dolanan, dan  baik  dalam mengenal dan memahami sandhangan aksara Jawa.</v>
      </c>
      <c r="BE24" s="307" t="str">
        <f t="shared" si="19"/>
        <v xml:space="preserve"> </v>
      </c>
      <c r="BF24" s="308" t="str">
        <f t="shared" si="20"/>
        <v xml:space="preserve"> sangat baik  dalam mengenal dan memahmi teks tembang dolanan, dan  baik  dalam mengenal dan memahami sandhangan aksara Jawa.</v>
      </c>
      <c r="BG24" s="301" t="str">
        <f t="shared" si="8"/>
        <v>Anak 20 sangat baik  dalam mengenal dan memahmi teks tembang dolanan, dan  baik  dalam mengenal dan memahami sandhangan aksara Jawa.</v>
      </c>
      <c r="BH24" s="106"/>
      <c r="BL24" s="408">
        <f t="shared" si="21"/>
        <v>91</v>
      </c>
      <c r="BT24" s="302">
        <f t="shared" si="22"/>
        <v>79</v>
      </c>
      <c r="BU24" s="303" t="str">
        <f>IF(BT24&gt;KKM!$G$10,"A",IF(BT24&gt;KKM!$H$10,"B",IF(BT24&gt;=KKM!$I$10,"C","D")))</f>
        <v>C</v>
      </c>
      <c r="BV24" s="523">
        <f t="shared" si="23"/>
        <v>81</v>
      </c>
      <c r="BW24" s="115" t="str">
        <f>IF(BV24&gt;KKM!$G$10," sangat baik ",IF(BV24&gt;KKM!$H$10," baik ",IF(BV24&gt;=KKM!$I$10," cukup baik "," perlu bimbingan ")))</f>
        <v xml:space="preserve"> baik </v>
      </c>
      <c r="BX24" s="524">
        <f t="shared" si="24"/>
        <v>76.5</v>
      </c>
      <c r="BY24" s="115" t="str">
        <f>IF(BX24&gt;KKM!$G$10," sangat baik ",IF(BX24&gt;KKM!$H$10," baik ",IF(BX24&gt;=KKM!$I$10," cukup baik "," perlu bimbingan ")))</f>
        <v xml:space="preserve"> cukup baik </v>
      </c>
      <c r="BZ24" s="301" t="str">
        <f t="shared" si="31"/>
        <v>Anak 20 baik  dalam mengenal dan memahmi teks tembang dolanan, dan  cukup baik  dalam mengenal dan memahami sandhangan aksara Jawa.</v>
      </c>
      <c r="CA24" s="307" t="str">
        <f t="shared" si="25"/>
        <v xml:space="preserve"> baik  dalam mengenal dan memahmi teks tembang dolanan</v>
      </c>
      <c r="CB24" s="307" t="str">
        <f t="shared" si="26"/>
        <v xml:space="preserve"> cukup baik  dalam mengenal dan memahami sandhangan aksara Jawa.</v>
      </c>
      <c r="CC24" s="307" t="str">
        <f t="shared" si="27"/>
        <v xml:space="preserve"> baik  dalam mengenal dan memahmi teks tembang dolanan, dan  cukup baik  dalam mengenal dan memahami sandhangan aksara Jawa.</v>
      </c>
      <c r="CD24" s="307" t="str">
        <f t="shared" si="28"/>
        <v xml:space="preserve"> </v>
      </c>
      <c r="CE24" s="308" t="str">
        <f t="shared" si="29"/>
        <v xml:space="preserve"> baik  dalam mengenal dan memahmi teks tembang dolanan, dan  cukup baik  dalam mengenal dan memahami sandhangan aksara Jawa.</v>
      </c>
      <c r="CF24" s="301" t="str">
        <f t="shared" si="30"/>
        <v>Anak 20 baik  dalam mengenal dan memahmi teks tembang dolanan, dan  cukup baik  dalam mengenal dan memahami sandhangan aksara Jawa.</v>
      </c>
    </row>
    <row r="25" spans="2:84" ht="63" customHeight="1">
      <c r="B25" s="109">
        <v>21</v>
      </c>
      <c r="C25" s="110">
        <f>SISWA!B26</f>
        <v>0</v>
      </c>
      <c r="D25" s="111" t="str">
        <f>SISWA!E26</f>
        <v>Anak 21</v>
      </c>
      <c r="E25" s="631">
        <v>99</v>
      </c>
      <c r="F25" s="631">
        <v>99</v>
      </c>
      <c r="G25" s="631">
        <v>99</v>
      </c>
      <c r="H25" s="613"/>
      <c r="I25" s="613"/>
      <c r="J25" s="613"/>
      <c r="K25" s="613"/>
      <c r="L25" s="613"/>
      <c r="M25" s="731"/>
      <c r="N25" s="731"/>
      <c r="O25" s="731"/>
      <c r="P25" s="731"/>
      <c r="Q25" s="730"/>
      <c r="R25" s="730"/>
      <c r="S25" s="610"/>
      <c r="T25" s="613">
        <v>76.5</v>
      </c>
      <c r="U25" s="613">
        <v>86.5</v>
      </c>
      <c r="V25" s="609"/>
      <c r="W25" s="609"/>
      <c r="X25" s="609"/>
      <c r="Y25" s="609"/>
      <c r="Z25" s="609"/>
      <c r="AA25" s="609"/>
      <c r="AB25" s="610"/>
      <c r="AC25" s="613"/>
      <c r="AD25" s="613">
        <v>76.5</v>
      </c>
      <c r="AE25" s="613">
        <v>86.5</v>
      </c>
      <c r="AF25" s="613"/>
      <c r="AG25" s="613"/>
      <c r="AH25" s="613"/>
      <c r="AI25" s="613"/>
      <c r="AJ25" s="613" t="str">
        <f>IFERROR(AVERAGE(#REF!),"")</f>
        <v/>
      </c>
      <c r="AK25" s="518"/>
      <c r="AL25" s="607">
        <f t="shared" si="9"/>
        <v>91.5</v>
      </c>
      <c r="AM25" s="607">
        <f t="shared" si="10"/>
        <v>90.25</v>
      </c>
      <c r="AN25" s="607">
        <f t="shared" si="11"/>
        <v>94.833333333333329</v>
      </c>
      <c r="AO25" s="607" t="str">
        <f t="shared" si="12"/>
        <v/>
      </c>
      <c r="AP25" s="607" t="str">
        <f t="shared" si="13"/>
        <v/>
      </c>
      <c r="AQ25" s="607" t="str">
        <f t="shared" si="14"/>
        <v/>
      </c>
      <c r="AR25" s="607" t="str">
        <f t="shared" si="15"/>
        <v/>
      </c>
      <c r="AS25" s="607" t="str">
        <f t="shared" si="16"/>
        <v/>
      </c>
      <c r="AT25" s="302">
        <f t="shared" si="3"/>
        <v>92</v>
      </c>
      <c r="AU25" s="303" t="str">
        <f>IF(AT25&gt;KKM!$G$10,"A",IF(AT25&gt;KKM!$H$10,"B",IF(AT25&gt;=KKM!$I$10,"C","D")))</f>
        <v>A</v>
      </c>
      <c r="AV25" s="304">
        <f t="shared" si="4"/>
        <v>94.833333333333329</v>
      </c>
      <c r="AW25" s="115" t="str">
        <f>IF(AV25&gt;KKM!$G$10," sangat baik ",IF(AV25&gt;KKM!$H$10," baik ",IF(AV25&gt;=KKM!$I$10," cukup baik "," perlu bimbingan ")))</f>
        <v xml:space="preserve"> sangat baik </v>
      </c>
      <c r="AX25" s="305">
        <f t="shared" si="5"/>
        <v>90.25</v>
      </c>
      <c r="AY25" s="115" t="str">
        <f>IF(AX25&gt;KKM!$G$10," sangat baik ",IF(AX25&gt;KKM!$H$10," baik ",IF(AX25&gt;=KKM!$I$10," cukup baik "," perlu bimbingan ")))</f>
        <v xml:space="preserve"> sangat baik </v>
      </c>
      <c r="AZ25" s="301" t="str">
        <f t="shared" si="17"/>
        <v>Anak 21 sangat baik  dalam mengenal, memahami, dan mengidentifikasi kata berimbuhan dalam teks sesuai kaidah, dan  sangat baik  dalam mengenal dan memahami sandhangan aksara Jawa.</v>
      </c>
      <c r="BA25" s="306"/>
      <c r="BB25" s="307" t="str">
        <f t="shared" si="6"/>
        <v xml:space="preserve"> sangat baik  dalam mengenal, memahami, dan mengidentifikasi kata berimbuhan dalam teks sesuai kaidah</v>
      </c>
      <c r="BC25" s="307" t="str">
        <f t="shared" si="7"/>
        <v xml:space="preserve"> sangat baik  dalam mengenal dan memahami sandhangan aksara Jawa.</v>
      </c>
      <c r="BD25" s="307" t="str">
        <f t="shared" si="18"/>
        <v xml:space="preserve"> sangat baik  dalam mengenal, memahami, dan mengidentifikasi kata berimbuhan dalam teks sesuai kaidah, dan  sangat baik  dalam mengenal dan memahami sandhangan aksara Jawa.</v>
      </c>
      <c r="BE25" s="307" t="str">
        <f t="shared" si="19"/>
        <v xml:space="preserve"> </v>
      </c>
      <c r="BF25" s="308" t="str">
        <f t="shared" si="20"/>
        <v xml:space="preserve"> sangat baik  dalam mengenal, memahami, dan mengidentifikasi kata berimbuhan dalam teks sesuai kaidah, dan  sangat baik  dalam mengenal dan memahami sandhangan aksara Jawa.</v>
      </c>
      <c r="BG25" s="301" t="str">
        <f t="shared" si="8"/>
        <v>Anak 21 sangat baik  dalam mengenal, memahami, dan mengidentifikasi kata berimbuhan dalam teks sesuai kaidah, dan  sangat baik  dalam mengenal dan memahami sandhangan aksara Jawa.</v>
      </c>
      <c r="BH25" s="106"/>
      <c r="BL25" s="408">
        <f t="shared" si="21"/>
        <v>92</v>
      </c>
      <c r="BT25" s="302">
        <f t="shared" si="22"/>
        <v>82</v>
      </c>
      <c r="BU25" s="303" t="str">
        <f>IF(BT25&gt;KKM!$G$10,"A",IF(BT25&gt;KKM!$H$10,"B",IF(BT25&gt;=KKM!$I$10,"C","D")))</f>
        <v>B</v>
      </c>
      <c r="BV25" s="523">
        <f t="shared" si="23"/>
        <v>86.5</v>
      </c>
      <c r="BW25" s="115" t="str">
        <f>IF(BV25&gt;KKM!$G$10," sangat baik ",IF(BV25&gt;KKM!$H$10," baik ",IF(BV25&gt;=KKM!$I$10," cukup baik "," perlu bimbingan ")))</f>
        <v xml:space="preserve"> baik </v>
      </c>
      <c r="BX25" s="524">
        <f t="shared" si="24"/>
        <v>76.5</v>
      </c>
      <c r="BY25" s="115" t="str">
        <f>IF(BX25&gt;KKM!$G$10," sangat baik ",IF(BX25&gt;KKM!$H$10," baik ",IF(BX25&gt;=KKM!$I$10," cukup baik "," perlu bimbingan ")))</f>
        <v xml:space="preserve"> cukup baik </v>
      </c>
      <c r="BZ25" s="301" t="str">
        <f t="shared" si="31"/>
        <v>Anak 21 baik  dalam mengenal dan memahami sandhangan aksara Jawa., dan  cukup baik  dalam mengenal dan memahmi teks tembang dolanan</v>
      </c>
      <c r="CA25" s="307" t="str">
        <f t="shared" si="25"/>
        <v xml:space="preserve"> baik  dalam mengenal dan memahami sandhangan aksara Jawa.</v>
      </c>
      <c r="CB25" s="307" t="str">
        <f t="shared" si="26"/>
        <v xml:space="preserve"> cukup baik  dalam mengenal dan memahmi teks tembang dolanan</v>
      </c>
      <c r="CC25" s="307" t="str">
        <f t="shared" si="27"/>
        <v xml:space="preserve"> baik  dalam mengenal dan memahami sandhangan aksara Jawa., dan  cukup baik  dalam mengenal dan memahmi teks tembang dolanan</v>
      </c>
      <c r="CD25" s="307" t="str">
        <f t="shared" si="28"/>
        <v xml:space="preserve"> </v>
      </c>
      <c r="CE25" s="308" t="str">
        <f t="shared" si="29"/>
        <v xml:space="preserve"> baik  dalam mengenal dan memahami sandhangan aksara Jawa., dan  cukup baik  dalam mengenal dan memahmi teks tembang dolanan</v>
      </c>
      <c r="CF25" s="301" t="str">
        <f t="shared" si="30"/>
        <v>Anak 21 baik  dalam mengenal dan memahami sandhangan aksara Jawa., dan  cukup baik  dalam mengenal dan memahmi teks tembang dolanan</v>
      </c>
    </row>
    <row r="26" spans="2:84" ht="63" customHeight="1">
      <c r="B26" s="109">
        <v>22</v>
      </c>
      <c r="C26" s="110">
        <f>SISWA!B27</f>
        <v>0</v>
      </c>
      <c r="D26" s="111" t="str">
        <f>SISWA!E27</f>
        <v>Anak 22</v>
      </c>
      <c r="E26" s="631">
        <v>99</v>
      </c>
      <c r="F26" s="631">
        <v>99</v>
      </c>
      <c r="G26" s="631">
        <v>99</v>
      </c>
      <c r="H26" s="613"/>
      <c r="I26" s="613"/>
      <c r="J26" s="613"/>
      <c r="K26" s="613"/>
      <c r="L26" s="613"/>
      <c r="M26" s="731"/>
      <c r="N26" s="731"/>
      <c r="O26" s="731"/>
      <c r="P26" s="731"/>
      <c r="Q26" s="730"/>
      <c r="R26" s="730"/>
      <c r="S26" s="610"/>
      <c r="T26" s="613">
        <v>86.5</v>
      </c>
      <c r="U26" s="613">
        <v>90</v>
      </c>
      <c r="V26" s="609"/>
      <c r="W26" s="609"/>
      <c r="X26" s="609"/>
      <c r="Y26" s="609"/>
      <c r="Z26" s="609"/>
      <c r="AA26" s="609"/>
      <c r="AB26" s="610"/>
      <c r="AC26" s="613"/>
      <c r="AD26" s="613">
        <v>86.5</v>
      </c>
      <c r="AE26" s="613">
        <v>90</v>
      </c>
      <c r="AF26" s="613"/>
      <c r="AG26" s="613"/>
      <c r="AH26" s="613"/>
      <c r="AI26" s="613"/>
      <c r="AJ26" s="613" t="str">
        <f>IFERROR(AVERAGE(#REF!),"")</f>
        <v/>
      </c>
      <c r="AK26" s="518"/>
      <c r="AL26" s="607">
        <f t="shared" si="9"/>
        <v>94.833333333333329</v>
      </c>
      <c r="AM26" s="607">
        <f t="shared" si="10"/>
        <v>93.625</v>
      </c>
      <c r="AN26" s="607">
        <f t="shared" si="11"/>
        <v>96</v>
      </c>
      <c r="AO26" s="607" t="str">
        <f t="shared" si="12"/>
        <v/>
      </c>
      <c r="AP26" s="607" t="str">
        <f t="shared" si="13"/>
        <v/>
      </c>
      <c r="AQ26" s="607" t="str">
        <f t="shared" si="14"/>
        <v/>
      </c>
      <c r="AR26" s="607" t="str">
        <f t="shared" si="15"/>
        <v/>
      </c>
      <c r="AS26" s="607" t="str">
        <f t="shared" si="16"/>
        <v/>
      </c>
      <c r="AT26" s="302">
        <f t="shared" si="3"/>
        <v>95</v>
      </c>
      <c r="AU26" s="303" t="str">
        <f>IF(AT26&gt;KKM!$G$10,"A",IF(AT26&gt;KKM!$H$10,"B",IF(AT26&gt;=KKM!$I$10,"C","D")))</f>
        <v>A</v>
      </c>
      <c r="AV26" s="304">
        <f t="shared" si="4"/>
        <v>96</v>
      </c>
      <c r="AW26" s="115" t="str">
        <f>IF(AV26&gt;KKM!$G$10," sangat baik ",IF(AV26&gt;KKM!$H$10," baik ",IF(AV26&gt;=KKM!$I$10," cukup baik "," perlu bimbingan ")))</f>
        <v xml:space="preserve"> sangat baik </v>
      </c>
      <c r="AX26" s="305">
        <f t="shared" si="5"/>
        <v>93.625</v>
      </c>
      <c r="AY26" s="115" t="str">
        <f>IF(AX26&gt;KKM!$G$10," sangat baik ",IF(AX26&gt;KKM!$H$10," baik ",IF(AX26&gt;=KKM!$I$10," cukup baik "," perlu bimbingan ")))</f>
        <v xml:space="preserve"> sangat baik </v>
      </c>
      <c r="AZ26" s="301" t="str">
        <f t="shared" si="17"/>
        <v>Anak 22 sangat baik  dalam mengenal, memahami, dan mengidentifikasi kata berimbuhan dalam teks sesuai kaidah, dan  sangat baik  dalam mengenal dan memahami sandhangan aksara Jawa.</v>
      </c>
      <c r="BA26" s="306"/>
      <c r="BB26" s="307" t="str">
        <f t="shared" si="6"/>
        <v xml:space="preserve"> sangat baik  dalam mengenal, memahami, dan mengidentifikasi kata berimbuhan dalam teks sesuai kaidah</v>
      </c>
      <c r="BC26" s="307" t="str">
        <f t="shared" si="7"/>
        <v xml:space="preserve"> sangat baik  dalam mengenal dan memahami sandhangan aksara Jawa.</v>
      </c>
      <c r="BD26" s="307" t="str">
        <f t="shared" si="18"/>
        <v xml:space="preserve"> sangat baik  dalam mengenal, memahami, dan mengidentifikasi kata berimbuhan dalam teks sesuai kaidah, dan  sangat baik  dalam mengenal dan memahami sandhangan aksara Jawa.</v>
      </c>
      <c r="BE26" s="307" t="str">
        <f t="shared" si="19"/>
        <v xml:space="preserve"> </v>
      </c>
      <c r="BF26" s="308" t="str">
        <f t="shared" si="20"/>
        <v xml:space="preserve"> sangat baik  dalam mengenal, memahami, dan mengidentifikasi kata berimbuhan dalam teks sesuai kaidah, dan  sangat baik  dalam mengenal dan memahami sandhangan aksara Jawa.</v>
      </c>
      <c r="BG26" s="301" t="str">
        <f t="shared" si="8"/>
        <v>Anak 22 sangat baik  dalam mengenal, memahami, dan mengidentifikasi kata berimbuhan dalam teks sesuai kaidah, dan  sangat baik  dalam mengenal dan memahami sandhangan aksara Jawa.</v>
      </c>
      <c r="BH26" s="106"/>
      <c r="BL26" s="408">
        <f t="shared" si="21"/>
        <v>95</v>
      </c>
      <c r="BT26" s="302">
        <f t="shared" si="22"/>
        <v>88</v>
      </c>
      <c r="BU26" s="303" t="str">
        <f>IF(BT26&gt;KKM!$G$10,"A",IF(BT26&gt;KKM!$H$10,"B",IF(BT26&gt;=KKM!$I$10,"C","D")))</f>
        <v>B</v>
      </c>
      <c r="BV26" s="523">
        <f t="shared" si="23"/>
        <v>90</v>
      </c>
      <c r="BW26" s="115" t="str">
        <f>IF(BV26&gt;KKM!$G$10," sangat baik ",IF(BV26&gt;KKM!$H$10," baik ",IF(BV26&gt;=KKM!$I$10," cukup baik "," perlu bimbingan ")))</f>
        <v xml:space="preserve"> baik </v>
      </c>
      <c r="BX26" s="524">
        <f t="shared" si="24"/>
        <v>86.5</v>
      </c>
      <c r="BY26" s="115" t="str">
        <f>IF(BX26&gt;KKM!$G$10," sangat baik ",IF(BX26&gt;KKM!$H$10," baik ",IF(BX26&gt;=KKM!$I$10," cukup baik "," perlu bimbingan ")))</f>
        <v xml:space="preserve"> baik </v>
      </c>
      <c r="BZ26" s="301" t="str">
        <f t="shared" si="31"/>
        <v>Anak 22 baik  dalam mengenal dan memahami sandhangan aksara Jawa., dan  baik  dalam mengenal dan memahmi teks tembang dolanan</v>
      </c>
      <c r="CA26" s="307" t="str">
        <f t="shared" si="25"/>
        <v xml:space="preserve"> baik  dalam mengenal dan memahami sandhangan aksara Jawa.</v>
      </c>
      <c r="CB26" s="307" t="str">
        <f t="shared" si="26"/>
        <v xml:space="preserve"> baik  dalam mengenal dan memahmi teks tembang dolanan</v>
      </c>
      <c r="CC26" s="307" t="str">
        <f t="shared" si="27"/>
        <v xml:space="preserve"> baik  dalam mengenal dan memahami sandhangan aksara Jawa., dan  baik  dalam mengenal dan memahmi teks tembang dolanan</v>
      </c>
      <c r="CD26" s="307" t="str">
        <f t="shared" si="28"/>
        <v xml:space="preserve"> </v>
      </c>
      <c r="CE26" s="308" t="str">
        <f t="shared" si="29"/>
        <v xml:space="preserve"> baik  dalam mengenal dan memahami sandhangan aksara Jawa., dan  baik  dalam mengenal dan memahmi teks tembang dolanan</v>
      </c>
      <c r="CF26" s="301" t="str">
        <f t="shared" si="30"/>
        <v>Anak 22 baik  dalam mengenal dan memahami sandhangan aksara Jawa., dan  baik  dalam mengenal dan memahmi teks tembang dolanan</v>
      </c>
    </row>
    <row r="27" spans="2:84" ht="63" customHeight="1">
      <c r="B27" s="109">
        <v>23</v>
      </c>
      <c r="C27" s="110">
        <f>SISWA!B28</f>
        <v>0</v>
      </c>
      <c r="D27" s="111" t="str">
        <f>SISWA!E28</f>
        <v>Anak 23</v>
      </c>
      <c r="E27" s="631">
        <v>99</v>
      </c>
      <c r="F27" s="631">
        <v>99</v>
      </c>
      <c r="G27" s="631">
        <v>99</v>
      </c>
      <c r="H27" s="613"/>
      <c r="I27" s="613"/>
      <c r="J27" s="613"/>
      <c r="K27" s="613"/>
      <c r="L27" s="613"/>
      <c r="M27" s="731"/>
      <c r="N27" s="731"/>
      <c r="O27" s="731"/>
      <c r="P27" s="731"/>
      <c r="Q27" s="730"/>
      <c r="R27" s="730"/>
      <c r="S27" s="610"/>
      <c r="T27" s="613">
        <v>90</v>
      </c>
      <c r="U27" s="613">
        <v>76.5</v>
      </c>
      <c r="V27" s="609"/>
      <c r="W27" s="609"/>
      <c r="X27" s="609"/>
      <c r="Y27" s="609"/>
      <c r="Z27" s="609"/>
      <c r="AA27" s="609"/>
      <c r="AB27" s="610"/>
      <c r="AC27" s="613"/>
      <c r="AD27" s="613">
        <v>90</v>
      </c>
      <c r="AE27" s="613">
        <v>76.5</v>
      </c>
      <c r="AF27" s="613"/>
      <c r="AG27" s="613"/>
      <c r="AH27" s="613"/>
      <c r="AI27" s="613"/>
      <c r="AJ27" s="613" t="str">
        <f>IFERROR(AVERAGE(#REF!),"")</f>
        <v/>
      </c>
      <c r="AK27" s="518"/>
      <c r="AL27" s="607">
        <f t="shared" si="9"/>
        <v>96</v>
      </c>
      <c r="AM27" s="607">
        <f t="shared" si="10"/>
        <v>91.125</v>
      </c>
      <c r="AN27" s="607">
        <f t="shared" si="11"/>
        <v>91.5</v>
      </c>
      <c r="AO27" s="607" t="str">
        <f t="shared" si="12"/>
        <v/>
      </c>
      <c r="AP27" s="607" t="str">
        <f t="shared" si="13"/>
        <v/>
      </c>
      <c r="AQ27" s="607" t="str">
        <f t="shared" si="14"/>
        <v/>
      </c>
      <c r="AR27" s="607" t="str">
        <f t="shared" si="15"/>
        <v/>
      </c>
      <c r="AS27" s="607" t="str">
        <f t="shared" si="16"/>
        <v/>
      </c>
      <c r="AT27" s="302">
        <f t="shared" si="3"/>
        <v>93</v>
      </c>
      <c r="AU27" s="303" t="str">
        <f>IF(AT27&gt;KKM!$G$10,"A",IF(AT27&gt;KKM!$H$10,"B",IF(AT27&gt;=KKM!$I$10,"C","D")))</f>
        <v>A</v>
      </c>
      <c r="AV27" s="304">
        <f t="shared" si="4"/>
        <v>96</v>
      </c>
      <c r="AW27" s="115" t="str">
        <f>IF(AV27&gt;KKM!$G$10," sangat baik ",IF(AV27&gt;KKM!$H$10," baik ",IF(AV27&gt;=KKM!$I$10," cukup baik "," perlu bimbingan ")))</f>
        <v xml:space="preserve"> sangat baik </v>
      </c>
      <c r="AX27" s="305">
        <f t="shared" si="5"/>
        <v>91.125</v>
      </c>
      <c r="AY27" s="115" t="str">
        <f>IF(AX27&gt;KKM!$G$10," sangat baik ",IF(AX27&gt;KKM!$H$10," baik ",IF(AX27&gt;=KKM!$I$10," cukup baik "," perlu bimbingan ")))</f>
        <v xml:space="preserve"> sangat baik </v>
      </c>
      <c r="AZ27" s="301" t="str">
        <f t="shared" si="17"/>
        <v>Anak 23 sangat baik  dalam mengenal dan memahmi teks tembang dolanan, dan  sangat baik  dalam mengenal dan memahami sandhangan aksara Jawa.</v>
      </c>
      <c r="BA27" s="306"/>
      <c r="BB27" s="307" t="str">
        <f t="shared" si="6"/>
        <v xml:space="preserve"> sangat baik  dalam mengenal dan memahmi teks tembang dolanan</v>
      </c>
      <c r="BC27" s="307" t="str">
        <f t="shared" si="7"/>
        <v xml:space="preserve"> sangat baik  dalam mengenal dan memahami sandhangan aksara Jawa.</v>
      </c>
      <c r="BD27" s="307" t="str">
        <f t="shared" si="18"/>
        <v xml:space="preserve"> sangat baik  dalam mengenal dan memahmi teks tembang dolanan, dan  sangat baik  dalam mengenal dan memahami sandhangan aksara Jawa.</v>
      </c>
      <c r="BE27" s="307" t="str">
        <f t="shared" si="19"/>
        <v xml:space="preserve"> </v>
      </c>
      <c r="BF27" s="308" t="str">
        <f t="shared" si="20"/>
        <v xml:space="preserve"> sangat baik  dalam mengenal dan memahmi teks tembang dolanan, dan  sangat baik  dalam mengenal dan memahami sandhangan aksara Jawa.</v>
      </c>
      <c r="BG27" s="301" t="str">
        <f t="shared" si="8"/>
        <v>Anak 23 sangat baik  dalam mengenal dan memahmi teks tembang dolanan, dan  sangat baik  dalam mengenal dan memahami sandhangan aksara Jawa.</v>
      </c>
      <c r="BH27" s="106"/>
      <c r="BL27" s="408">
        <f t="shared" si="21"/>
        <v>93</v>
      </c>
      <c r="BT27" s="302">
        <f t="shared" si="22"/>
        <v>83</v>
      </c>
      <c r="BU27" s="303" t="str">
        <f>IF(BT27&gt;KKM!$G$10,"A",IF(BT27&gt;KKM!$H$10,"B",IF(BT27&gt;=KKM!$I$10,"C","D")))</f>
        <v>B</v>
      </c>
      <c r="BV27" s="523">
        <f t="shared" si="23"/>
        <v>90</v>
      </c>
      <c r="BW27" s="115" t="str">
        <f>IF(BV27&gt;KKM!$G$10," sangat baik ",IF(BV27&gt;KKM!$H$10," baik ",IF(BV27&gt;=KKM!$I$10," cukup baik "," perlu bimbingan ")))</f>
        <v xml:space="preserve"> baik </v>
      </c>
      <c r="BX27" s="524">
        <f t="shared" si="24"/>
        <v>76.5</v>
      </c>
      <c r="BY27" s="115" t="str">
        <f>IF(BX27&gt;KKM!$G$10," sangat baik ",IF(BX27&gt;KKM!$H$10," baik ",IF(BX27&gt;=KKM!$I$10," cukup baik "," perlu bimbingan ")))</f>
        <v xml:space="preserve"> cukup baik </v>
      </c>
      <c r="BZ27" s="301" t="str">
        <f t="shared" si="31"/>
        <v>Anak 23 baik  dalam mengenal dan memahmi teks tembang dolanan, dan  cukup baik  dalam mengenal dan memahami sandhangan aksara Jawa.</v>
      </c>
      <c r="CA27" s="307" t="str">
        <f t="shared" si="25"/>
        <v xml:space="preserve"> baik  dalam mengenal dan memahmi teks tembang dolanan</v>
      </c>
      <c r="CB27" s="307" t="str">
        <f t="shared" si="26"/>
        <v xml:space="preserve"> cukup baik  dalam mengenal dan memahami sandhangan aksara Jawa.</v>
      </c>
      <c r="CC27" s="307" t="str">
        <f t="shared" si="27"/>
        <v xml:space="preserve"> baik  dalam mengenal dan memahmi teks tembang dolanan, dan  cukup baik  dalam mengenal dan memahami sandhangan aksara Jawa.</v>
      </c>
      <c r="CD27" s="307" t="str">
        <f t="shared" si="28"/>
        <v xml:space="preserve"> </v>
      </c>
      <c r="CE27" s="308" t="str">
        <f t="shared" si="29"/>
        <v xml:space="preserve"> baik  dalam mengenal dan memahmi teks tembang dolanan, dan  cukup baik  dalam mengenal dan memahami sandhangan aksara Jawa.</v>
      </c>
      <c r="CF27" s="301" t="str">
        <f t="shared" si="30"/>
        <v>Anak 23 baik  dalam mengenal dan memahmi teks tembang dolanan, dan  cukup baik  dalam mengenal dan memahami sandhangan aksara Jawa.</v>
      </c>
    </row>
    <row r="28" spans="2:84" ht="63" customHeight="1">
      <c r="B28" s="109">
        <v>24</v>
      </c>
      <c r="C28" s="110">
        <f>SISWA!B29</f>
        <v>0</v>
      </c>
      <c r="D28" s="111" t="str">
        <f>SISWA!E29</f>
        <v>Anak 24</v>
      </c>
      <c r="E28" s="631">
        <v>99</v>
      </c>
      <c r="F28" s="631">
        <v>99</v>
      </c>
      <c r="G28" s="631">
        <v>99</v>
      </c>
      <c r="H28" s="613"/>
      <c r="I28" s="613"/>
      <c r="J28" s="613"/>
      <c r="K28" s="613"/>
      <c r="L28" s="613"/>
      <c r="M28" s="731"/>
      <c r="N28" s="731"/>
      <c r="O28" s="731"/>
      <c r="P28" s="731"/>
      <c r="Q28" s="730"/>
      <c r="R28" s="730"/>
      <c r="S28" s="610"/>
      <c r="T28" s="613">
        <v>76.5</v>
      </c>
      <c r="U28" s="613">
        <v>83</v>
      </c>
      <c r="V28" s="609"/>
      <c r="W28" s="609"/>
      <c r="X28" s="609"/>
      <c r="Y28" s="609"/>
      <c r="Z28" s="609"/>
      <c r="AA28" s="609"/>
      <c r="AB28" s="610"/>
      <c r="AC28" s="613"/>
      <c r="AD28" s="613">
        <v>76.5</v>
      </c>
      <c r="AE28" s="613">
        <v>83</v>
      </c>
      <c r="AF28" s="613"/>
      <c r="AG28" s="613"/>
      <c r="AH28" s="613"/>
      <c r="AI28" s="613"/>
      <c r="AJ28" s="613" t="str">
        <f>IFERROR(AVERAGE(#REF!),"")</f>
        <v/>
      </c>
      <c r="AK28" s="518"/>
      <c r="AL28" s="607">
        <f t="shared" si="9"/>
        <v>91.5</v>
      </c>
      <c r="AM28" s="607">
        <f t="shared" si="10"/>
        <v>89.375</v>
      </c>
      <c r="AN28" s="607">
        <f t="shared" si="11"/>
        <v>93.666666666666671</v>
      </c>
      <c r="AO28" s="607" t="str">
        <f t="shared" si="12"/>
        <v/>
      </c>
      <c r="AP28" s="607" t="str">
        <f t="shared" si="13"/>
        <v/>
      </c>
      <c r="AQ28" s="607" t="str">
        <f t="shared" si="14"/>
        <v/>
      </c>
      <c r="AR28" s="607" t="str">
        <f t="shared" si="15"/>
        <v/>
      </c>
      <c r="AS28" s="607" t="str">
        <f t="shared" si="16"/>
        <v/>
      </c>
      <c r="AT28" s="302">
        <f t="shared" si="3"/>
        <v>92</v>
      </c>
      <c r="AU28" s="303" t="str">
        <f>IF(AT28&gt;KKM!$G$10,"A",IF(AT28&gt;KKM!$H$10,"B",IF(AT28&gt;=KKM!$I$10,"C","D")))</f>
        <v>A</v>
      </c>
      <c r="AV28" s="304">
        <f t="shared" si="4"/>
        <v>93.666666666666671</v>
      </c>
      <c r="AW28" s="115" t="str">
        <f>IF(AV28&gt;KKM!$G$10," sangat baik ",IF(AV28&gt;KKM!$H$10," baik ",IF(AV28&gt;=KKM!$I$10," cukup baik "," perlu bimbingan ")))</f>
        <v xml:space="preserve"> sangat baik </v>
      </c>
      <c r="AX28" s="305">
        <f t="shared" si="5"/>
        <v>89.375</v>
      </c>
      <c r="AY28" s="115" t="str">
        <f>IF(AX28&gt;KKM!$G$10," sangat baik ",IF(AX28&gt;KKM!$H$10," baik ",IF(AX28&gt;=KKM!$I$10," cukup baik "," perlu bimbingan ")))</f>
        <v xml:space="preserve"> baik </v>
      </c>
      <c r="AZ28" s="301" t="str">
        <f t="shared" si="17"/>
        <v>Anak 24 sangat baik  dalam mengenal, memahami, dan mengidentifikasi kata berimbuhan dalam teks sesuai kaidah, dan  baik  dalam mengenal dan memahami sandhangan aksara Jawa.</v>
      </c>
      <c r="BA28" s="306"/>
      <c r="BB28" s="307" t="str">
        <f t="shared" si="6"/>
        <v xml:space="preserve"> sangat baik  dalam mengenal, memahami, dan mengidentifikasi kata berimbuhan dalam teks sesuai kaidah</v>
      </c>
      <c r="BC28" s="307" t="str">
        <f t="shared" si="7"/>
        <v xml:space="preserve"> baik  dalam mengenal dan memahami sandhangan aksara Jawa.</v>
      </c>
      <c r="BD28" s="307" t="str">
        <f t="shared" si="18"/>
        <v xml:space="preserve"> sangat baik  dalam mengenal, memahami, dan mengidentifikasi kata berimbuhan dalam teks sesuai kaidah, dan  baik  dalam mengenal dan memahami sandhangan aksara Jawa.</v>
      </c>
      <c r="BE28" s="307" t="str">
        <f t="shared" si="19"/>
        <v xml:space="preserve"> </v>
      </c>
      <c r="BF28" s="308" t="str">
        <f t="shared" si="20"/>
        <v xml:space="preserve"> sangat baik  dalam mengenal, memahami, dan mengidentifikasi kata berimbuhan dalam teks sesuai kaidah, dan  baik  dalam mengenal dan memahami sandhangan aksara Jawa.</v>
      </c>
      <c r="BG28" s="301" t="str">
        <f t="shared" si="8"/>
        <v>Anak 24 sangat baik  dalam mengenal, memahami, dan mengidentifikasi kata berimbuhan dalam teks sesuai kaidah, dan  baik  dalam mengenal dan memahami sandhangan aksara Jawa.</v>
      </c>
      <c r="BH28" s="106"/>
      <c r="BL28" s="408">
        <f t="shared" si="21"/>
        <v>92</v>
      </c>
      <c r="BT28" s="302">
        <f t="shared" si="22"/>
        <v>80</v>
      </c>
      <c r="BU28" s="303" t="str">
        <f>IF(BT28&gt;KKM!$G$10,"A",IF(BT28&gt;KKM!$H$10,"B",IF(BT28&gt;=KKM!$I$10,"C","D")))</f>
        <v>C</v>
      </c>
      <c r="BV28" s="523">
        <f t="shared" si="23"/>
        <v>83</v>
      </c>
      <c r="BW28" s="115" t="str">
        <f>IF(BV28&gt;KKM!$G$10," sangat baik ",IF(BV28&gt;KKM!$H$10," baik ",IF(BV28&gt;=KKM!$I$10," cukup baik "," perlu bimbingan ")))</f>
        <v xml:space="preserve"> baik </v>
      </c>
      <c r="BX28" s="524">
        <f t="shared" si="24"/>
        <v>76.5</v>
      </c>
      <c r="BY28" s="115" t="str">
        <f>IF(BX28&gt;KKM!$G$10," sangat baik ",IF(BX28&gt;KKM!$H$10," baik ",IF(BX28&gt;=KKM!$I$10," cukup baik "," perlu bimbingan ")))</f>
        <v xml:space="preserve"> cukup baik </v>
      </c>
      <c r="BZ28" s="301" t="str">
        <f t="shared" si="31"/>
        <v>Anak 24 baik  dalam mengenal dan memahami sandhangan aksara Jawa., dan  cukup baik  dalam mengenal dan memahmi teks tembang dolanan</v>
      </c>
      <c r="CA28" s="307" t="str">
        <f t="shared" si="25"/>
        <v xml:space="preserve"> baik  dalam mengenal dan memahami sandhangan aksara Jawa.</v>
      </c>
      <c r="CB28" s="307" t="str">
        <f t="shared" si="26"/>
        <v xml:space="preserve"> cukup baik  dalam mengenal dan memahmi teks tembang dolanan</v>
      </c>
      <c r="CC28" s="307" t="str">
        <f t="shared" si="27"/>
        <v xml:space="preserve"> baik  dalam mengenal dan memahami sandhangan aksara Jawa., dan  cukup baik  dalam mengenal dan memahmi teks tembang dolanan</v>
      </c>
      <c r="CD28" s="307" t="str">
        <f t="shared" si="28"/>
        <v xml:space="preserve"> </v>
      </c>
      <c r="CE28" s="308" t="str">
        <f t="shared" si="29"/>
        <v xml:space="preserve"> baik  dalam mengenal dan memahami sandhangan aksara Jawa., dan  cukup baik  dalam mengenal dan memahmi teks tembang dolanan</v>
      </c>
      <c r="CF28" s="301" t="str">
        <f t="shared" si="30"/>
        <v>Anak 24 baik  dalam mengenal dan memahami sandhangan aksara Jawa., dan  cukup baik  dalam mengenal dan memahmi teks tembang dolanan</v>
      </c>
    </row>
    <row r="29" spans="2:84" ht="63" customHeight="1">
      <c r="B29" s="109">
        <v>25</v>
      </c>
      <c r="C29" s="110">
        <f>SISWA!B30</f>
        <v>0</v>
      </c>
      <c r="D29" s="111" t="str">
        <f>SISWA!E30</f>
        <v>Anak 25</v>
      </c>
      <c r="E29" s="631">
        <v>99</v>
      </c>
      <c r="F29" s="631">
        <v>99</v>
      </c>
      <c r="G29" s="631">
        <v>99</v>
      </c>
      <c r="H29" s="613"/>
      <c r="I29" s="613"/>
      <c r="J29" s="613"/>
      <c r="K29" s="613"/>
      <c r="L29" s="613"/>
      <c r="M29" s="731"/>
      <c r="N29" s="731"/>
      <c r="O29" s="731"/>
      <c r="P29" s="731"/>
      <c r="Q29" s="730"/>
      <c r="R29" s="730"/>
      <c r="S29" s="610"/>
      <c r="T29" s="613">
        <v>83</v>
      </c>
      <c r="U29" s="613">
        <v>74.5</v>
      </c>
      <c r="V29" s="609"/>
      <c r="W29" s="609"/>
      <c r="X29" s="609"/>
      <c r="Y29" s="609"/>
      <c r="Z29" s="609"/>
      <c r="AA29" s="609"/>
      <c r="AB29" s="610"/>
      <c r="AC29" s="613"/>
      <c r="AD29" s="613">
        <v>83</v>
      </c>
      <c r="AE29" s="613">
        <v>74.5</v>
      </c>
      <c r="AF29" s="613"/>
      <c r="AG29" s="613"/>
      <c r="AH29" s="613"/>
      <c r="AI29" s="613"/>
      <c r="AJ29" s="613" t="str">
        <f>IFERROR(AVERAGE(#REF!),"")</f>
        <v/>
      </c>
      <c r="AK29" s="518"/>
      <c r="AL29" s="607">
        <f t="shared" si="9"/>
        <v>93.666666666666671</v>
      </c>
      <c r="AM29" s="607">
        <f t="shared" si="10"/>
        <v>88.875</v>
      </c>
      <c r="AN29" s="607">
        <f t="shared" si="11"/>
        <v>90.833333333333329</v>
      </c>
      <c r="AO29" s="607" t="str">
        <f t="shared" si="12"/>
        <v/>
      </c>
      <c r="AP29" s="607" t="str">
        <f t="shared" si="13"/>
        <v/>
      </c>
      <c r="AQ29" s="607" t="str">
        <f t="shared" si="14"/>
        <v/>
      </c>
      <c r="AR29" s="607" t="str">
        <f t="shared" si="15"/>
        <v/>
      </c>
      <c r="AS29" s="607" t="str">
        <f t="shared" si="16"/>
        <v/>
      </c>
      <c r="AT29" s="302">
        <f t="shared" si="3"/>
        <v>91</v>
      </c>
      <c r="AU29" s="303" t="str">
        <f>IF(AT29&gt;KKM!$G$10,"A",IF(AT29&gt;KKM!$H$10,"B",IF(AT29&gt;=KKM!$I$10,"C","D")))</f>
        <v>A</v>
      </c>
      <c r="AV29" s="304">
        <f t="shared" si="4"/>
        <v>93.666666666666671</v>
      </c>
      <c r="AW29" s="115" t="str">
        <f>IF(AV29&gt;KKM!$G$10," sangat baik ",IF(AV29&gt;KKM!$H$10," baik ",IF(AV29&gt;=KKM!$I$10," cukup baik "," perlu bimbingan ")))</f>
        <v xml:space="preserve"> sangat baik </v>
      </c>
      <c r="AX29" s="305">
        <f t="shared" si="5"/>
        <v>88.875</v>
      </c>
      <c r="AY29" s="115" t="str">
        <f>IF(AX29&gt;KKM!$G$10," sangat baik ",IF(AX29&gt;KKM!$H$10," baik ",IF(AX29&gt;=KKM!$I$10," cukup baik "," perlu bimbingan ")))</f>
        <v xml:space="preserve"> baik </v>
      </c>
      <c r="AZ29" s="301" t="str">
        <f t="shared" si="17"/>
        <v>Anak 25 sangat baik  dalam mengenal dan memahmi teks tembang dolanan, dan  baik  dalam mengenal dan memahami sandhangan aksara Jawa.</v>
      </c>
      <c r="BA29" s="306"/>
      <c r="BB29" s="307" t="str">
        <f t="shared" si="6"/>
        <v xml:space="preserve"> sangat baik  dalam mengenal dan memahmi teks tembang dolanan</v>
      </c>
      <c r="BC29" s="307" t="str">
        <f t="shared" si="7"/>
        <v xml:space="preserve"> baik  dalam mengenal dan memahami sandhangan aksara Jawa.</v>
      </c>
      <c r="BD29" s="307" t="str">
        <f t="shared" si="18"/>
        <v xml:space="preserve"> sangat baik  dalam mengenal dan memahmi teks tembang dolanan, dan  baik  dalam mengenal dan memahami sandhangan aksara Jawa.</v>
      </c>
      <c r="BE29" s="307" t="str">
        <f t="shared" si="19"/>
        <v xml:space="preserve"> </v>
      </c>
      <c r="BF29" s="308" t="str">
        <f t="shared" si="20"/>
        <v xml:space="preserve"> sangat baik  dalam mengenal dan memahmi teks tembang dolanan, dan  baik  dalam mengenal dan memahami sandhangan aksara Jawa.</v>
      </c>
      <c r="BG29" s="301" t="str">
        <f t="shared" si="8"/>
        <v>Anak 25 sangat baik  dalam mengenal dan memahmi teks tembang dolanan, dan  baik  dalam mengenal dan memahami sandhangan aksara Jawa.</v>
      </c>
      <c r="BH29" s="106"/>
      <c r="BL29" s="408">
        <f t="shared" si="21"/>
        <v>91</v>
      </c>
      <c r="BT29" s="302">
        <f t="shared" si="22"/>
        <v>79</v>
      </c>
      <c r="BU29" s="303" t="str">
        <f>IF(BT29&gt;KKM!$G$10,"A",IF(BT29&gt;KKM!$H$10,"B",IF(BT29&gt;=KKM!$I$10,"C","D")))</f>
        <v>C</v>
      </c>
      <c r="BV29" s="523">
        <f t="shared" si="23"/>
        <v>83</v>
      </c>
      <c r="BW29" s="115" t="str">
        <f>IF(BV29&gt;KKM!$G$10," sangat baik ",IF(BV29&gt;KKM!$H$10," baik ",IF(BV29&gt;=KKM!$I$10," cukup baik "," perlu bimbingan ")))</f>
        <v xml:space="preserve"> baik </v>
      </c>
      <c r="BX29" s="524">
        <f t="shared" si="24"/>
        <v>74.5</v>
      </c>
      <c r="BY29" s="115" t="str">
        <f>IF(BX29&gt;KKM!$G$10," sangat baik ",IF(BX29&gt;KKM!$H$10," baik ",IF(BX29&gt;=KKM!$I$10," cukup baik "," perlu bimbingan ")))</f>
        <v xml:space="preserve"> cukup baik </v>
      </c>
      <c r="BZ29" s="301" t="str">
        <f t="shared" si="31"/>
        <v>Anak 25 baik  dalam mengenal dan memahmi teks tembang dolanan, dan  cukup baik  dalam mengenal dan memahami sandhangan aksara Jawa.</v>
      </c>
      <c r="CA29" s="307" t="str">
        <f t="shared" si="25"/>
        <v xml:space="preserve"> baik  dalam mengenal dan memahmi teks tembang dolanan</v>
      </c>
      <c r="CB29" s="307" t="str">
        <f t="shared" si="26"/>
        <v xml:space="preserve"> cukup baik  dalam mengenal dan memahami sandhangan aksara Jawa.</v>
      </c>
      <c r="CC29" s="307" t="str">
        <f t="shared" si="27"/>
        <v xml:space="preserve"> baik  dalam mengenal dan memahmi teks tembang dolanan, dan  cukup baik  dalam mengenal dan memahami sandhangan aksara Jawa.</v>
      </c>
      <c r="CD29" s="307" t="str">
        <f t="shared" si="28"/>
        <v xml:space="preserve"> </v>
      </c>
      <c r="CE29" s="308" t="str">
        <f t="shared" si="29"/>
        <v xml:space="preserve"> baik  dalam mengenal dan memahmi teks tembang dolanan, dan  cukup baik  dalam mengenal dan memahami sandhangan aksara Jawa.</v>
      </c>
      <c r="CF29" s="301" t="str">
        <f t="shared" si="30"/>
        <v>Anak 25 baik  dalam mengenal dan memahmi teks tembang dolanan, dan  cukup baik  dalam mengenal dan memahami sandhangan aksara Jawa.</v>
      </c>
    </row>
    <row r="30" spans="2:84" ht="63" customHeight="1">
      <c r="B30" s="109">
        <v>26</v>
      </c>
      <c r="C30" s="110">
        <f>SISWA!B31</f>
        <v>0</v>
      </c>
      <c r="D30" s="111" t="str">
        <f>SISWA!E31</f>
        <v>Anak 26</v>
      </c>
      <c r="E30" s="631">
        <v>99</v>
      </c>
      <c r="F30" s="631">
        <v>99</v>
      </c>
      <c r="G30" s="631">
        <v>99</v>
      </c>
      <c r="H30" s="613"/>
      <c r="I30" s="613"/>
      <c r="J30" s="613"/>
      <c r="K30" s="613"/>
      <c r="L30" s="613"/>
      <c r="M30" s="731"/>
      <c r="N30" s="731"/>
      <c r="O30" s="731"/>
      <c r="P30" s="731"/>
      <c r="Q30" s="730"/>
      <c r="R30" s="730"/>
      <c r="S30" s="610"/>
      <c r="T30" s="613">
        <v>74.5</v>
      </c>
      <c r="U30" s="613">
        <v>74.5</v>
      </c>
      <c r="V30" s="609"/>
      <c r="W30" s="609"/>
      <c r="X30" s="609"/>
      <c r="Y30" s="609"/>
      <c r="Z30" s="609"/>
      <c r="AA30" s="609"/>
      <c r="AB30" s="610"/>
      <c r="AC30" s="613"/>
      <c r="AD30" s="613">
        <v>74.5</v>
      </c>
      <c r="AE30" s="613">
        <v>74.5</v>
      </c>
      <c r="AF30" s="613"/>
      <c r="AG30" s="613"/>
      <c r="AH30" s="613"/>
      <c r="AI30" s="613"/>
      <c r="AJ30" s="613" t="str">
        <f>IFERROR(AVERAGE(#REF!),"")</f>
        <v/>
      </c>
      <c r="AK30" s="518"/>
      <c r="AL30" s="607">
        <f t="shared" si="9"/>
        <v>90.833333333333329</v>
      </c>
      <c r="AM30" s="607">
        <f t="shared" si="10"/>
        <v>86.75</v>
      </c>
      <c r="AN30" s="607">
        <f t="shared" si="11"/>
        <v>90.833333333333329</v>
      </c>
      <c r="AO30" s="607" t="str">
        <f t="shared" si="12"/>
        <v/>
      </c>
      <c r="AP30" s="607" t="str">
        <f t="shared" si="13"/>
        <v/>
      </c>
      <c r="AQ30" s="607" t="str">
        <f t="shared" si="14"/>
        <v/>
      </c>
      <c r="AR30" s="607" t="str">
        <f t="shared" si="15"/>
        <v/>
      </c>
      <c r="AS30" s="607" t="str">
        <f t="shared" si="16"/>
        <v/>
      </c>
      <c r="AT30" s="302">
        <f t="shared" si="3"/>
        <v>89</v>
      </c>
      <c r="AU30" s="303" t="str">
        <f>IF(AT30&gt;KKM!$G$10,"A",IF(AT30&gt;KKM!$H$10,"B",IF(AT30&gt;=KKM!$I$10,"C","D")))</f>
        <v>B</v>
      </c>
      <c r="AV30" s="304">
        <f t="shared" si="4"/>
        <v>90.833333333333329</v>
      </c>
      <c r="AW30" s="115" t="str">
        <f>IF(AV30&gt;KKM!$G$10," sangat baik ",IF(AV30&gt;KKM!$H$10," baik ",IF(AV30&gt;=KKM!$I$10," cukup baik "," perlu bimbingan ")))</f>
        <v xml:space="preserve"> sangat baik </v>
      </c>
      <c r="AX30" s="305">
        <f t="shared" si="5"/>
        <v>86.75</v>
      </c>
      <c r="AY30" s="115" t="str">
        <f>IF(AX30&gt;KKM!$G$10," sangat baik ",IF(AX30&gt;KKM!$H$10," baik ",IF(AX30&gt;=KKM!$I$10," cukup baik "," perlu bimbingan ")))</f>
        <v xml:space="preserve"> baik </v>
      </c>
      <c r="AZ30" s="301" t="str">
        <f t="shared" si="17"/>
        <v>Anak 26 sangat baik  dalam mengenal dan memahmi teks tembang dolanan, dan  baik  dalam mengenal dan memahami sandhangan aksara Jawa.</v>
      </c>
      <c r="BA30" s="306"/>
      <c r="BB30" s="307" t="str">
        <f t="shared" si="6"/>
        <v xml:space="preserve"> sangat baik  dalam mengenal dan memahmi teks tembang dolanan</v>
      </c>
      <c r="BC30" s="307" t="str">
        <f t="shared" si="7"/>
        <v xml:space="preserve"> baik  dalam mengenal dan memahami sandhangan aksara Jawa.</v>
      </c>
      <c r="BD30" s="307" t="str">
        <f t="shared" si="18"/>
        <v xml:space="preserve"> sangat baik  dalam mengenal dan memahmi teks tembang dolanan, dan  baik  dalam mengenal dan memahami sandhangan aksara Jawa.</v>
      </c>
      <c r="BE30" s="307" t="str">
        <f t="shared" si="19"/>
        <v xml:space="preserve"> </v>
      </c>
      <c r="BF30" s="308" t="str">
        <f t="shared" si="20"/>
        <v xml:space="preserve"> sangat baik  dalam mengenal dan memahmi teks tembang dolanan, dan  baik  dalam mengenal dan memahami sandhangan aksara Jawa.</v>
      </c>
      <c r="BG30" s="301" t="str">
        <f t="shared" si="8"/>
        <v>Anak 26 sangat baik  dalam mengenal dan memahmi teks tembang dolanan, dan  baik  dalam mengenal dan memahami sandhangan aksara Jawa.</v>
      </c>
      <c r="BH30" s="106"/>
      <c r="BL30" s="408">
        <f t="shared" si="21"/>
        <v>89</v>
      </c>
      <c r="BT30" s="302">
        <f t="shared" si="22"/>
        <v>75</v>
      </c>
      <c r="BU30" s="303" t="str">
        <f>IF(BT30&gt;KKM!$G$10,"A",IF(BT30&gt;KKM!$H$10,"B",IF(BT30&gt;=KKM!$I$10,"C","D")))</f>
        <v>C</v>
      </c>
      <c r="BV30" s="523">
        <f t="shared" si="23"/>
        <v>74.5</v>
      </c>
      <c r="BW30" s="115" t="str">
        <f>IF(BV30&gt;KKM!$G$10," sangat baik ",IF(BV30&gt;KKM!$H$10," baik ",IF(BV30&gt;=KKM!$I$10," cukup baik "," perlu bimbingan ")))</f>
        <v xml:space="preserve"> cukup baik </v>
      </c>
      <c r="BX30" s="524">
        <f t="shared" si="24"/>
        <v>74.5</v>
      </c>
      <c r="BY30" s="115" t="str">
        <f>IF(BX30&gt;KKM!$G$10," sangat baik ",IF(BX30&gt;KKM!$H$10," baik ",IF(BX30&gt;=KKM!$I$10," cukup baik "," perlu bimbingan ")))</f>
        <v xml:space="preserve"> cukup baik </v>
      </c>
      <c r="BZ30" s="301" t="str">
        <f t="shared" si="31"/>
        <v>Anak 26 cukup baik  dalam mengenal dan memahmi teks tembang dolanan</v>
      </c>
      <c r="CA30" s="307" t="str">
        <f t="shared" si="25"/>
        <v xml:space="preserve"> cukup baik  dalam mengenal dan memahmi teks tembang dolanan</v>
      </c>
      <c r="CB30" s="307" t="str">
        <f t="shared" si="26"/>
        <v xml:space="preserve"> cukup baik  dalam mengenal dan memahmi teks tembang dolanan</v>
      </c>
      <c r="CC30" s="307" t="str">
        <f t="shared" si="27"/>
        <v xml:space="preserve"> cukup baik  dalam mengenal dan memahmi teks tembang dolanan, dan  cukup baik  dalam mengenal dan memahmi teks tembang dolanan</v>
      </c>
      <c r="CD30" s="307" t="str">
        <f t="shared" si="28"/>
        <v xml:space="preserve"> cukup baik  dalam mengenal dan memahmi teks tembang dolanan</v>
      </c>
      <c r="CE30" s="308" t="str">
        <f t="shared" si="29"/>
        <v xml:space="preserve"> cukup baik  dalam mengenal dan memahmi teks tembang dolanan</v>
      </c>
      <c r="CF30" s="301" t="str">
        <f t="shared" si="30"/>
        <v>Anak 26 cukup baik  dalam mengenal dan memahmi teks tembang dolanan</v>
      </c>
    </row>
    <row r="31" spans="2:84" ht="63" customHeight="1">
      <c r="B31" s="109">
        <v>27</v>
      </c>
      <c r="C31" s="110">
        <f>SISWA!B32</f>
        <v>0</v>
      </c>
      <c r="D31" s="111" t="str">
        <f>SISWA!E32</f>
        <v>Anak 27</v>
      </c>
      <c r="E31" s="631">
        <v>99</v>
      </c>
      <c r="F31" s="631">
        <v>99</v>
      </c>
      <c r="G31" s="631">
        <v>99</v>
      </c>
      <c r="H31" s="613"/>
      <c r="I31" s="613"/>
      <c r="J31" s="613"/>
      <c r="K31" s="613"/>
      <c r="L31" s="613"/>
      <c r="M31" s="731"/>
      <c r="N31" s="731"/>
      <c r="O31" s="731"/>
      <c r="P31" s="731"/>
      <c r="Q31" s="730"/>
      <c r="R31" s="730"/>
      <c r="S31" s="610"/>
      <c r="T31" s="613">
        <v>74.5</v>
      </c>
      <c r="U31" s="613">
        <v>74.5</v>
      </c>
      <c r="V31" s="609"/>
      <c r="W31" s="609"/>
      <c r="X31" s="609"/>
      <c r="Y31" s="609"/>
      <c r="Z31" s="609"/>
      <c r="AA31" s="609"/>
      <c r="AB31" s="610"/>
      <c r="AC31" s="613"/>
      <c r="AD31" s="613">
        <v>74.5</v>
      </c>
      <c r="AE31" s="613">
        <v>74.5</v>
      </c>
      <c r="AF31" s="613"/>
      <c r="AG31" s="613"/>
      <c r="AH31" s="613"/>
      <c r="AI31" s="613"/>
      <c r="AJ31" s="613" t="str">
        <f>IFERROR(AVERAGE(#REF!),"")</f>
        <v/>
      </c>
      <c r="AK31" s="518"/>
      <c r="AL31" s="607">
        <f t="shared" si="9"/>
        <v>90.833333333333329</v>
      </c>
      <c r="AM31" s="607">
        <f t="shared" si="10"/>
        <v>86.75</v>
      </c>
      <c r="AN31" s="607">
        <f t="shared" si="11"/>
        <v>90.833333333333329</v>
      </c>
      <c r="AO31" s="607" t="str">
        <f t="shared" si="12"/>
        <v/>
      </c>
      <c r="AP31" s="607" t="str">
        <f t="shared" si="13"/>
        <v/>
      </c>
      <c r="AQ31" s="607" t="str">
        <f t="shared" si="14"/>
        <v/>
      </c>
      <c r="AR31" s="607" t="str">
        <f t="shared" si="15"/>
        <v/>
      </c>
      <c r="AS31" s="607" t="str">
        <f t="shared" si="16"/>
        <v/>
      </c>
      <c r="AT31" s="302">
        <f t="shared" si="3"/>
        <v>89</v>
      </c>
      <c r="AU31" s="303" t="str">
        <f>IF(AT31&gt;KKM!$G$10,"A",IF(AT31&gt;KKM!$H$10,"B",IF(AT31&gt;=KKM!$I$10,"C","D")))</f>
        <v>B</v>
      </c>
      <c r="AV31" s="304">
        <f t="shared" si="4"/>
        <v>90.833333333333329</v>
      </c>
      <c r="AW31" s="115" t="str">
        <f>IF(AV31&gt;KKM!$G$10," sangat baik ",IF(AV31&gt;KKM!$H$10," baik ",IF(AV31&gt;=KKM!$I$10," cukup baik "," perlu bimbingan ")))</f>
        <v xml:space="preserve"> sangat baik </v>
      </c>
      <c r="AX31" s="305">
        <f t="shared" si="5"/>
        <v>86.75</v>
      </c>
      <c r="AY31" s="115" t="str">
        <f>IF(AX31&gt;KKM!$G$10," sangat baik ",IF(AX31&gt;KKM!$H$10," baik ",IF(AX31&gt;=KKM!$I$10," cukup baik "," perlu bimbingan ")))</f>
        <v xml:space="preserve"> baik </v>
      </c>
      <c r="AZ31" s="301" t="str">
        <f t="shared" si="17"/>
        <v>Anak 27 sangat baik  dalam mengenal dan memahmi teks tembang dolanan, dan  baik  dalam mengenal dan memahami sandhangan aksara Jawa.</v>
      </c>
      <c r="BA31" s="306"/>
      <c r="BB31" s="307" t="str">
        <f t="shared" si="6"/>
        <v xml:space="preserve"> sangat baik  dalam mengenal dan memahmi teks tembang dolanan</v>
      </c>
      <c r="BC31" s="307" t="str">
        <f t="shared" si="7"/>
        <v xml:space="preserve"> baik  dalam mengenal dan memahami sandhangan aksara Jawa.</v>
      </c>
      <c r="BD31" s="307" t="str">
        <f t="shared" si="18"/>
        <v xml:space="preserve"> sangat baik  dalam mengenal dan memahmi teks tembang dolanan, dan  baik  dalam mengenal dan memahami sandhangan aksara Jawa.</v>
      </c>
      <c r="BE31" s="307" t="str">
        <f t="shared" si="19"/>
        <v xml:space="preserve"> </v>
      </c>
      <c r="BF31" s="308" t="str">
        <f t="shared" si="20"/>
        <v xml:space="preserve"> sangat baik  dalam mengenal dan memahmi teks tembang dolanan, dan  baik  dalam mengenal dan memahami sandhangan aksara Jawa.</v>
      </c>
      <c r="BG31" s="301" t="str">
        <f t="shared" si="8"/>
        <v>Anak 27 sangat baik  dalam mengenal dan memahmi teks tembang dolanan, dan  baik  dalam mengenal dan memahami sandhangan aksara Jawa.</v>
      </c>
      <c r="BH31" s="106"/>
      <c r="BL31" s="408">
        <f t="shared" si="21"/>
        <v>89</v>
      </c>
      <c r="BT31" s="302">
        <f t="shared" si="22"/>
        <v>75</v>
      </c>
      <c r="BU31" s="303" t="str">
        <f>IF(BT31&gt;KKM!$G$10,"A",IF(BT31&gt;KKM!$H$10,"B",IF(BT31&gt;=KKM!$I$10,"C","D")))</f>
        <v>C</v>
      </c>
      <c r="BV31" s="523">
        <f t="shared" si="23"/>
        <v>74.5</v>
      </c>
      <c r="BW31" s="115" t="str">
        <f>IF(BV31&gt;KKM!$G$10," sangat baik ",IF(BV31&gt;KKM!$H$10," baik ",IF(BV31&gt;=KKM!$I$10," cukup baik "," perlu bimbingan ")))</f>
        <v xml:space="preserve"> cukup baik </v>
      </c>
      <c r="BX31" s="524">
        <f t="shared" si="24"/>
        <v>74.5</v>
      </c>
      <c r="BY31" s="115" t="str">
        <f>IF(BX31&gt;KKM!$G$10," sangat baik ",IF(BX31&gt;KKM!$H$10," baik ",IF(BX31&gt;=KKM!$I$10," cukup baik "," perlu bimbingan ")))</f>
        <v xml:space="preserve"> cukup baik </v>
      </c>
      <c r="BZ31" s="301" t="str">
        <f t="shared" si="31"/>
        <v>Anak 27 cukup baik  dalam mengenal dan memahmi teks tembang dolanan</v>
      </c>
      <c r="CA31" s="307" t="str">
        <f t="shared" si="25"/>
        <v xml:space="preserve"> cukup baik  dalam mengenal dan memahmi teks tembang dolanan</v>
      </c>
      <c r="CB31" s="307" t="str">
        <f t="shared" si="26"/>
        <v xml:space="preserve"> cukup baik  dalam mengenal dan memahmi teks tembang dolanan</v>
      </c>
      <c r="CC31" s="307" t="str">
        <f t="shared" si="27"/>
        <v xml:space="preserve"> cukup baik  dalam mengenal dan memahmi teks tembang dolanan, dan  cukup baik  dalam mengenal dan memahmi teks tembang dolanan</v>
      </c>
      <c r="CD31" s="307" t="str">
        <f t="shared" si="28"/>
        <v xml:space="preserve"> cukup baik  dalam mengenal dan memahmi teks tembang dolanan</v>
      </c>
      <c r="CE31" s="308" t="str">
        <f t="shared" si="29"/>
        <v xml:space="preserve"> cukup baik  dalam mengenal dan memahmi teks tembang dolanan</v>
      </c>
      <c r="CF31" s="301" t="str">
        <f t="shared" si="30"/>
        <v>Anak 27 cukup baik  dalam mengenal dan memahmi teks tembang dolanan</v>
      </c>
    </row>
    <row r="32" spans="2:84" ht="63" customHeight="1">
      <c r="B32" s="109">
        <v>28</v>
      </c>
      <c r="C32" s="110">
        <f>SISWA!B33</f>
        <v>0</v>
      </c>
      <c r="D32" s="111" t="str">
        <f>SISWA!E33</f>
        <v>Anak 28</v>
      </c>
      <c r="E32" s="631">
        <v>99</v>
      </c>
      <c r="F32" s="631">
        <v>99</v>
      </c>
      <c r="G32" s="631">
        <v>99</v>
      </c>
      <c r="H32" s="613"/>
      <c r="I32" s="613"/>
      <c r="J32" s="613"/>
      <c r="K32" s="613"/>
      <c r="L32" s="613"/>
      <c r="M32" s="731"/>
      <c r="N32" s="731"/>
      <c r="O32" s="731"/>
      <c r="P32" s="731"/>
      <c r="Q32" s="730"/>
      <c r="R32" s="730"/>
      <c r="S32" s="610"/>
      <c r="T32" s="613">
        <v>74.5</v>
      </c>
      <c r="U32" s="613">
        <v>84</v>
      </c>
      <c r="V32" s="609"/>
      <c r="W32" s="609"/>
      <c r="X32" s="609"/>
      <c r="Y32" s="609"/>
      <c r="Z32" s="609"/>
      <c r="AA32" s="609"/>
      <c r="AB32" s="610"/>
      <c r="AC32" s="613"/>
      <c r="AD32" s="613">
        <v>74.5</v>
      </c>
      <c r="AE32" s="613">
        <v>84</v>
      </c>
      <c r="AF32" s="613"/>
      <c r="AG32" s="613"/>
      <c r="AH32" s="613"/>
      <c r="AI32" s="613"/>
      <c r="AJ32" s="613" t="str">
        <f>IFERROR(AVERAGE(#REF!),"")</f>
        <v/>
      </c>
      <c r="AK32" s="518"/>
      <c r="AL32" s="607">
        <f t="shared" si="9"/>
        <v>90.833333333333329</v>
      </c>
      <c r="AM32" s="607">
        <f t="shared" si="10"/>
        <v>89.125</v>
      </c>
      <c r="AN32" s="607">
        <f t="shared" si="11"/>
        <v>94</v>
      </c>
      <c r="AO32" s="607" t="str">
        <f t="shared" si="12"/>
        <v/>
      </c>
      <c r="AP32" s="607" t="str">
        <f t="shared" si="13"/>
        <v/>
      </c>
      <c r="AQ32" s="607" t="str">
        <f t="shared" si="14"/>
        <v/>
      </c>
      <c r="AR32" s="607" t="str">
        <f t="shared" si="15"/>
        <v/>
      </c>
      <c r="AS32" s="607" t="str">
        <f t="shared" si="16"/>
        <v/>
      </c>
      <c r="AT32" s="302">
        <f t="shared" si="3"/>
        <v>91</v>
      </c>
      <c r="AU32" s="303" t="str">
        <f>IF(AT32&gt;KKM!$G$10,"A",IF(AT32&gt;KKM!$H$10,"B",IF(AT32&gt;=KKM!$I$10,"C","D")))</f>
        <v>A</v>
      </c>
      <c r="AV32" s="304">
        <f t="shared" si="4"/>
        <v>94</v>
      </c>
      <c r="AW32" s="115" t="str">
        <f>IF(AV32&gt;KKM!$G$10," sangat baik ",IF(AV32&gt;KKM!$H$10," baik ",IF(AV32&gt;=KKM!$I$10," cukup baik "," perlu bimbingan ")))</f>
        <v xml:space="preserve"> sangat baik </v>
      </c>
      <c r="AX32" s="305">
        <f t="shared" si="5"/>
        <v>89.125</v>
      </c>
      <c r="AY32" s="115" t="str">
        <f>IF(AX32&gt;KKM!$G$10," sangat baik ",IF(AX32&gt;KKM!$H$10," baik ",IF(AX32&gt;=KKM!$I$10," cukup baik "," perlu bimbingan ")))</f>
        <v xml:space="preserve"> baik </v>
      </c>
      <c r="AZ32" s="301" t="str">
        <f t="shared" si="17"/>
        <v>Anak 28 sangat baik  dalam mengenal, memahami, dan mengidentifikasi kata berimbuhan dalam teks sesuai kaidah, dan  baik  dalam mengenal dan memahami sandhangan aksara Jawa.</v>
      </c>
      <c r="BA32" s="306"/>
      <c r="BB32" s="307" t="str">
        <f t="shared" si="6"/>
        <v xml:space="preserve"> sangat baik  dalam mengenal, memahami, dan mengidentifikasi kata berimbuhan dalam teks sesuai kaidah</v>
      </c>
      <c r="BC32" s="307" t="str">
        <f t="shared" si="7"/>
        <v xml:space="preserve"> baik  dalam mengenal dan memahami sandhangan aksara Jawa.</v>
      </c>
      <c r="BD32" s="307" t="str">
        <f t="shared" si="18"/>
        <v xml:space="preserve"> sangat baik  dalam mengenal, memahami, dan mengidentifikasi kata berimbuhan dalam teks sesuai kaidah, dan  baik  dalam mengenal dan memahami sandhangan aksara Jawa.</v>
      </c>
      <c r="BE32" s="307" t="str">
        <f t="shared" si="19"/>
        <v xml:space="preserve"> </v>
      </c>
      <c r="BF32" s="308" t="str">
        <f t="shared" si="20"/>
        <v xml:space="preserve"> sangat baik  dalam mengenal, memahami, dan mengidentifikasi kata berimbuhan dalam teks sesuai kaidah, dan  baik  dalam mengenal dan memahami sandhangan aksara Jawa.</v>
      </c>
      <c r="BG32" s="301" t="str">
        <f t="shared" si="8"/>
        <v>Anak 28 sangat baik  dalam mengenal, memahami, dan mengidentifikasi kata berimbuhan dalam teks sesuai kaidah, dan  baik  dalam mengenal dan memahami sandhangan aksara Jawa.</v>
      </c>
      <c r="BH32" s="106"/>
      <c r="BL32" s="408">
        <f t="shared" si="21"/>
        <v>91</v>
      </c>
      <c r="BT32" s="302">
        <f t="shared" si="22"/>
        <v>79</v>
      </c>
      <c r="BU32" s="303" t="str">
        <f>IF(BT32&gt;KKM!$G$10,"A",IF(BT32&gt;KKM!$H$10,"B",IF(BT32&gt;=KKM!$I$10,"C","D")))</f>
        <v>C</v>
      </c>
      <c r="BV32" s="523">
        <f t="shared" si="23"/>
        <v>84</v>
      </c>
      <c r="BW32" s="115" t="str">
        <f>IF(BV32&gt;KKM!$G$10," sangat baik ",IF(BV32&gt;KKM!$H$10," baik ",IF(BV32&gt;=KKM!$I$10," cukup baik "," perlu bimbingan ")))</f>
        <v xml:space="preserve"> baik </v>
      </c>
      <c r="BX32" s="524">
        <f t="shared" si="24"/>
        <v>74.5</v>
      </c>
      <c r="BY32" s="115" t="str">
        <f>IF(BX32&gt;KKM!$G$10," sangat baik ",IF(BX32&gt;KKM!$H$10," baik ",IF(BX32&gt;=KKM!$I$10," cukup baik "," perlu bimbingan ")))</f>
        <v xml:space="preserve"> cukup baik </v>
      </c>
      <c r="BZ32" s="301" t="str">
        <f t="shared" si="31"/>
        <v>Anak 28 baik  dalam mengenal dan memahami sandhangan aksara Jawa., dan  cukup baik  dalam mengenal dan memahmi teks tembang dolanan</v>
      </c>
      <c r="CA32" s="307" t="str">
        <f t="shared" si="25"/>
        <v xml:space="preserve"> baik  dalam mengenal dan memahami sandhangan aksara Jawa.</v>
      </c>
      <c r="CB32" s="307" t="str">
        <f t="shared" si="26"/>
        <v xml:space="preserve"> cukup baik  dalam mengenal dan memahmi teks tembang dolanan</v>
      </c>
      <c r="CC32" s="307" t="str">
        <f t="shared" si="27"/>
        <v xml:space="preserve"> baik  dalam mengenal dan memahami sandhangan aksara Jawa., dan  cukup baik  dalam mengenal dan memahmi teks tembang dolanan</v>
      </c>
      <c r="CD32" s="307" t="str">
        <f t="shared" si="28"/>
        <v xml:space="preserve"> </v>
      </c>
      <c r="CE32" s="308" t="str">
        <f t="shared" si="29"/>
        <v xml:space="preserve"> baik  dalam mengenal dan memahami sandhangan aksara Jawa., dan  cukup baik  dalam mengenal dan memahmi teks tembang dolanan</v>
      </c>
      <c r="CF32" s="301" t="str">
        <f t="shared" si="30"/>
        <v>Anak 28 baik  dalam mengenal dan memahami sandhangan aksara Jawa., dan  cukup baik  dalam mengenal dan memahmi teks tembang dolanan</v>
      </c>
    </row>
    <row r="33" spans="2:84" ht="63" customHeight="1">
      <c r="B33" s="109">
        <v>29</v>
      </c>
      <c r="C33" s="110">
        <f>SISWA!B34</f>
        <v>0</v>
      </c>
      <c r="D33" s="111" t="str">
        <f>SISWA!E34</f>
        <v>Anak 29</v>
      </c>
      <c r="E33" s="631">
        <v>99</v>
      </c>
      <c r="F33" s="631">
        <v>99</v>
      </c>
      <c r="G33" s="631">
        <v>99</v>
      </c>
      <c r="H33" s="613"/>
      <c r="I33" s="613"/>
      <c r="J33" s="613"/>
      <c r="K33" s="613"/>
      <c r="L33" s="613"/>
      <c r="M33" s="731"/>
      <c r="N33" s="731"/>
      <c r="O33" s="731"/>
      <c r="P33" s="731"/>
      <c r="Q33" s="730"/>
      <c r="R33" s="730"/>
      <c r="S33" s="610"/>
      <c r="T33" s="613">
        <v>84</v>
      </c>
      <c r="U33" s="613">
        <v>68.75</v>
      </c>
      <c r="V33" s="609"/>
      <c r="W33" s="609"/>
      <c r="X33" s="609"/>
      <c r="Y33" s="609"/>
      <c r="Z33" s="609"/>
      <c r="AA33" s="609"/>
      <c r="AB33" s="610"/>
      <c r="AC33" s="613"/>
      <c r="AD33" s="613">
        <v>84</v>
      </c>
      <c r="AE33" s="613">
        <v>68.75</v>
      </c>
      <c r="AF33" s="613"/>
      <c r="AG33" s="613"/>
      <c r="AH33" s="613"/>
      <c r="AI33" s="613"/>
      <c r="AJ33" s="613" t="str">
        <f>IFERROR(AVERAGE(#REF!),"")</f>
        <v/>
      </c>
      <c r="AK33" s="518"/>
      <c r="AL33" s="607">
        <f t="shared" si="9"/>
        <v>94</v>
      </c>
      <c r="AM33" s="607">
        <f t="shared" si="10"/>
        <v>87.6875</v>
      </c>
      <c r="AN33" s="607">
        <f t="shared" si="11"/>
        <v>88.916666666666671</v>
      </c>
      <c r="AO33" s="607" t="str">
        <f t="shared" si="12"/>
        <v/>
      </c>
      <c r="AP33" s="607" t="str">
        <f t="shared" si="13"/>
        <v/>
      </c>
      <c r="AQ33" s="607" t="str">
        <f t="shared" si="14"/>
        <v/>
      </c>
      <c r="AR33" s="607" t="str">
        <f t="shared" si="15"/>
        <v/>
      </c>
      <c r="AS33" s="607" t="str">
        <f t="shared" si="16"/>
        <v/>
      </c>
      <c r="AT33" s="302">
        <f t="shared" si="3"/>
        <v>90</v>
      </c>
      <c r="AU33" s="303" t="str">
        <f>IF(AT33&gt;KKM!$G$10,"A",IF(AT33&gt;KKM!$H$10,"B",IF(AT33&gt;=KKM!$I$10,"C","D")))</f>
        <v>B</v>
      </c>
      <c r="AV33" s="304">
        <f t="shared" si="4"/>
        <v>94</v>
      </c>
      <c r="AW33" s="115" t="str">
        <f>IF(AV33&gt;KKM!$G$10," sangat baik ",IF(AV33&gt;KKM!$H$10," baik ",IF(AV33&gt;=KKM!$I$10," cukup baik "," perlu bimbingan ")))</f>
        <v xml:space="preserve"> sangat baik </v>
      </c>
      <c r="AX33" s="305">
        <f t="shared" si="5"/>
        <v>87.6875</v>
      </c>
      <c r="AY33" s="115" t="str">
        <f>IF(AX33&gt;KKM!$G$10," sangat baik ",IF(AX33&gt;KKM!$H$10," baik ",IF(AX33&gt;=KKM!$I$10," cukup baik "," perlu bimbingan ")))</f>
        <v xml:space="preserve"> baik </v>
      </c>
      <c r="AZ33" s="301" t="str">
        <f t="shared" si="17"/>
        <v>Anak 29 sangat baik  dalam mengenal dan memahmi teks tembang dolanan, dan  baik  dalam mengenal dan memahami sandhangan aksara Jawa.</v>
      </c>
      <c r="BA33" s="306"/>
      <c r="BB33" s="307" t="str">
        <f t="shared" si="6"/>
        <v xml:space="preserve"> sangat baik  dalam mengenal dan memahmi teks tembang dolanan</v>
      </c>
      <c r="BC33" s="307" t="str">
        <f t="shared" si="7"/>
        <v xml:space="preserve"> baik  dalam mengenal dan memahami sandhangan aksara Jawa.</v>
      </c>
      <c r="BD33" s="307" t="str">
        <f t="shared" si="18"/>
        <v xml:space="preserve"> sangat baik  dalam mengenal dan memahmi teks tembang dolanan, dan  baik  dalam mengenal dan memahami sandhangan aksara Jawa.</v>
      </c>
      <c r="BE33" s="307" t="str">
        <f t="shared" si="19"/>
        <v xml:space="preserve"> </v>
      </c>
      <c r="BF33" s="308" t="str">
        <f t="shared" si="20"/>
        <v xml:space="preserve"> sangat baik  dalam mengenal dan memahmi teks tembang dolanan, dan  baik  dalam mengenal dan memahami sandhangan aksara Jawa.</v>
      </c>
      <c r="BG33" s="301" t="str">
        <f t="shared" si="8"/>
        <v>Anak 29 sangat baik  dalam mengenal dan memahmi teks tembang dolanan, dan  baik  dalam mengenal dan memahami sandhangan aksara Jawa.</v>
      </c>
      <c r="BH33" s="106"/>
      <c r="BL33" s="408">
        <f t="shared" si="21"/>
        <v>90</v>
      </c>
      <c r="BT33" s="302">
        <f t="shared" si="22"/>
        <v>76</v>
      </c>
      <c r="BU33" s="303" t="str">
        <f>IF(BT33&gt;KKM!$G$10,"A",IF(BT33&gt;KKM!$H$10,"B",IF(BT33&gt;=KKM!$I$10,"C","D")))</f>
        <v>C</v>
      </c>
      <c r="BV33" s="523">
        <f t="shared" si="23"/>
        <v>84</v>
      </c>
      <c r="BW33" s="115" t="str">
        <f>IF(BV33&gt;KKM!$G$10," sangat baik ",IF(BV33&gt;KKM!$H$10," baik ",IF(BV33&gt;=KKM!$I$10," cukup baik "," perlu bimbingan ")))</f>
        <v xml:space="preserve"> baik </v>
      </c>
      <c r="BX33" s="524">
        <f t="shared" si="24"/>
        <v>68.75</v>
      </c>
      <c r="BY33" s="115" t="str">
        <f>IF(BX33&gt;KKM!$G$10," sangat baik ",IF(BX33&gt;KKM!$H$10," baik ",IF(BX33&gt;=KKM!$I$10," cukup baik "," perlu bimbingan ")))</f>
        <v xml:space="preserve"> perlu bimbingan </v>
      </c>
      <c r="BZ33" s="301" t="str">
        <f t="shared" si="31"/>
        <v>Anak 29 baik  dalam mengenal dan memahmi teks tembang dolanan, dan  perlu bimbingan  dalam mengenal dan memahami sandhangan aksara Jawa.</v>
      </c>
      <c r="CA33" s="307" t="str">
        <f t="shared" si="25"/>
        <v xml:space="preserve"> baik  dalam mengenal dan memahmi teks tembang dolanan</v>
      </c>
      <c r="CB33" s="307" t="str">
        <f t="shared" si="26"/>
        <v xml:space="preserve"> perlu bimbingan  dalam mengenal dan memahami sandhangan aksara Jawa.</v>
      </c>
      <c r="CC33" s="307" t="str">
        <f t="shared" si="27"/>
        <v xml:space="preserve"> baik  dalam mengenal dan memahmi teks tembang dolanan, dan  perlu bimbingan  dalam mengenal dan memahami sandhangan aksara Jawa.</v>
      </c>
      <c r="CD33" s="307" t="str">
        <f t="shared" si="28"/>
        <v xml:space="preserve"> </v>
      </c>
      <c r="CE33" s="308" t="str">
        <f t="shared" si="29"/>
        <v xml:space="preserve"> baik  dalam mengenal dan memahmi teks tembang dolanan, dan  perlu bimbingan  dalam mengenal dan memahami sandhangan aksara Jawa.</v>
      </c>
      <c r="CF33" s="301" t="str">
        <f t="shared" si="30"/>
        <v>Anak 29 baik  dalam mengenal dan memahmi teks tembang dolanan, dan  perlu bimbingan  dalam mengenal dan memahami sandhangan aksara Jawa.</v>
      </c>
    </row>
    <row r="34" spans="2:84" ht="63" customHeight="1">
      <c r="B34" s="109">
        <v>30</v>
      </c>
      <c r="C34" s="110">
        <f>SISWA!B35</f>
        <v>0</v>
      </c>
      <c r="D34" s="111" t="str">
        <f>SISWA!E35</f>
        <v>Anak 30</v>
      </c>
      <c r="E34" s="631">
        <v>99</v>
      </c>
      <c r="F34" s="631">
        <v>99</v>
      </c>
      <c r="G34" s="631">
        <v>99</v>
      </c>
      <c r="H34" s="613"/>
      <c r="I34" s="613"/>
      <c r="J34" s="613"/>
      <c r="K34" s="613"/>
      <c r="L34" s="613"/>
      <c r="M34" s="731"/>
      <c r="N34" s="731"/>
      <c r="O34" s="731"/>
      <c r="P34" s="731"/>
      <c r="Q34" s="730"/>
      <c r="R34" s="730"/>
      <c r="S34" s="610"/>
      <c r="T34" s="613">
        <v>84.5</v>
      </c>
      <c r="U34" s="613">
        <v>69.75</v>
      </c>
      <c r="V34" s="609"/>
      <c r="W34" s="609"/>
      <c r="X34" s="609"/>
      <c r="Y34" s="609"/>
      <c r="Z34" s="609"/>
      <c r="AA34" s="609"/>
      <c r="AB34" s="610"/>
      <c r="AC34" s="613"/>
      <c r="AD34" s="613">
        <v>84.5</v>
      </c>
      <c r="AE34" s="613">
        <v>69.75</v>
      </c>
      <c r="AF34" s="613"/>
      <c r="AG34" s="613"/>
      <c r="AH34" s="613"/>
      <c r="AI34" s="613"/>
      <c r="AJ34" s="613" t="str">
        <f>IFERROR(AVERAGE(#REF!),"")</f>
        <v/>
      </c>
      <c r="AK34" s="518"/>
      <c r="AL34" s="607">
        <f t="shared" si="9"/>
        <v>94.166666666666671</v>
      </c>
      <c r="AM34" s="607">
        <f t="shared" si="10"/>
        <v>88.0625</v>
      </c>
      <c r="AN34" s="607">
        <f t="shared" si="11"/>
        <v>89.25</v>
      </c>
      <c r="AO34" s="607" t="str">
        <f t="shared" si="12"/>
        <v/>
      </c>
      <c r="AP34" s="607" t="str">
        <f t="shared" si="13"/>
        <v/>
      </c>
      <c r="AQ34" s="607" t="str">
        <f t="shared" si="14"/>
        <v/>
      </c>
      <c r="AR34" s="607" t="str">
        <f t="shared" si="15"/>
        <v/>
      </c>
      <c r="AS34" s="607" t="str">
        <f t="shared" si="16"/>
        <v/>
      </c>
      <c r="AT34" s="302">
        <f t="shared" si="3"/>
        <v>90</v>
      </c>
      <c r="AU34" s="303" t="str">
        <f>IF(AT34&gt;KKM!$G$10,"A",IF(AT34&gt;KKM!$H$10,"B",IF(AT34&gt;=KKM!$I$10,"C","D")))</f>
        <v>B</v>
      </c>
      <c r="AV34" s="304">
        <f t="shared" si="4"/>
        <v>94.166666666666671</v>
      </c>
      <c r="AW34" s="115" t="str">
        <f>IF(AV34&gt;KKM!$G$10," sangat baik ",IF(AV34&gt;KKM!$H$10," baik ",IF(AV34&gt;=KKM!$I$10," cukup baik "," perlu bimbingan ")))</f>
        <v xml:space="preserve"> sangat baik </v>
      </c>
      <c r="AX34" s="305">
        <f t="shared" si="5"/>
        <v>88.0625</v>
      </c>
      <c r="AY34" s="115" t="str">
        <f>IF(AX34&gt;KKM!$G$10," sangat baik ",IF(AX34&gt;KKM!$H$10," baik ",IF(AX34&gt;=KKM!$I$10," cukup baik "," perlu bimbingan ")))</f>
        <v xml:space="preserve"> baik </v>
      </c>
      <c r="AZ34" s="301" t="str">
        <f t="shared" si="17"/>
        <v>Anak 30 sangat baik  dalam mengenal dan memahmi teks tembang dolanan, dan  baik  dalam mengenal dan memahami sandhangan aksara Jawa.</v>
      </c>
      <c r="BA34" s="306"/>
      <c r="BB34" s="307" t="str">
        <f t="shared" si="6"/>
        <v xml:space="preserve"> sangat baik  dalam mengenal dan memahmi teks tembang dolanan</v>
      </c>
      <c r="BC34" s="307" t="str">
        <f t="shared" si="7"/>
        <v xml:space="preserve"> baik  dalam mengenal dan memahami sandhangan aksara Jawa.</v>
      </c>
      <c r="BD34" s="307" t="str">
        <f t="shared" si="18"/>
        <v xml:space="preserve"> sangat baik  dalam mengenal dan memahmi teks tembang dolanan, dan  baik  dalam mengenal dan memahami sandhangan aksara Jawa.</v>
      </c>
      <c r="BE34" s="307" t="str">
        <f t="shared" si="19"/>
        <v xml:space="preserve"> </v>
      </c>
      <c r="BF34" s="308" t="str">
        <f t="shared" si="20"/>
        <v xml:space="preserve"> sangat baik  dalam mengenal dan memahmi teks tembang dolanan, dan  baik  dalam mengenal dan memahami sandhangan aksara Jawa.</v>
      </c>
      <c r="BG34" s="301" t="str">
        <f t="shared" si="8"/>
        <v>Anak 30 sangat baik  dalam mengenal dan memahmi teks tembang dolanan, dan  baik  dalam mengenal dan memahami sandhangan aksara Jawa.</v>
      </c>
      <c r="BH34" s="106"/>
      <c r="BL34" s="408">
        <f t="shared" si="21"/>
        <v>90</v>
      </c>
      <c r="BT34" s="302">
        <f t="shared" si="22"/>
        <v>77</v>
      </c>
      <c r="BU34" s="303" t="str">
        <f>IF(BT34&gt;KKM!$G$10,"A",IF(BT34&gt;KKM!$H$10,"B",IF(BT34&gt;=KKM!$I$10,"C","D")))</f>
        <v>C</v>
      </c>
      <c r="BV34" s="523">
        <f t="shared" si="23"/>
        <v>84.5</v>
      </c>
      <c r="BW34" s="115" t="str">
        <f>IF(BV34&gt;KKM!$G$10," sangat baik ",IF(BV34&gt;KKM!$H$10," baik ",IF(BV34&gt;=KKM!$I$10," cukup baik "," perlu bimbingan ")))</f>
        <v xml:space="preserve"> baik </v>
      </c>
      <c r="BX34" s="524">
        <f t="shared" si="24"/>
        <v>69.75</v>
      </c>
      <c r="BY34" s="115" t="str">
        <f>IF(BX34&gt;KKM!$G$10," sangat baik ",IF(BX34&gt;KKM!$H$10," baik ",IF(BX34&gt;=KKM!$I$10," cukup baik "," perlu bimbingan ")))</f>
        <v xml:space="preserve"> perlu bimbingan </v>
      </c>
      <c r="BZ34" s="301" t="str">
        <f t="shared" si="31"/>
        <v>Anak 30 baik  dalam mengenal dan memahmi teks tembang dolanan, dan  perlu bimbingan  dalam mengenal dan memahami sandhangan aksara Jawa.</v>
      </c>
      <c r="CA34" s="307" t="str">
        <f t="shared" si="25"/>
        <v xml:space="preserve"> baik  dalam mengenal dan memahmi teks tembang dolanan</v>
      </c>
      <c r="CB34" s="307" t="str">
        <f t="shared" si="26"/>
        <v xml:space="preserve"> perlu bimbingan  dalam mengenal dan memahami sandhangan aksara Jawa.</v>
      </c>
      <c r="CC34" s="307" t="str">
        <f t="shared" si="27"/>
        <v xml:space="preserve"> baik  dalam mengenal dan memahmi teks tembang dolanan, dan  perlu bimbingan  dalam mengenal dan memahami sandhangan aksara Jawa.</v>
      </c>
      <c r="CD34" s="307" t="str">
        <f t="shared" si="28"/>
        <v xml:space="preserve"> </v>
      </c>
      <c r="CE34" s="308" t="str">
        <f t="shared" si="29"/>
        <v xml:space="preserve"> baik  dalam mengenal dan memahmi teks tembang dolanan, dan  perlu bimbingan  dalam mengenal dan memahami sandhangan aksara Jawa.</v>
      </c>
      <c r="CF34" s="301" t="str">
        <f t="shared" si="30"/>
        <v>Anak 30 baik  dalam mengenal dan memahmi teks tembang dolanan, dan  perlu bimbingan  dalam mengenal dan memahami sandhangan aksara Jawa.</v>
      </c>
    </row>
    <row r="35" spans="2:84" ht="63" customHeight="1">
      <c r="B35" s="109">
        <v>31</v>
      </c>
      <c r="C35" s="110">
        <f>SISWA!B36</f>
        <v>0</v>
      </c>
      <c r="D35" s="111" t="str">
        <f>SISWA!E36</f>
        <v>Anak 31</v>
      </c>
      <c r="E35" s="631">
        <v>99</v>
      </c>
      <c r="F35" s="631">
        <v>99</v>
      </c>
      <c r="G35" s="631">
        <v>99</v>
      </c>
      <c r="H35" s="613"/>
      <c r="I35" s="613"/>
      <c r="J35" s="613"/>
      <c r="K35" s="613"/>
      <c r="L35" s="613"/>
      <c r="M35" s="731"/>
      <c r="N35" s="731"/>
      <c r="O35" s="731"/>
      <c r="P35" s="731"/>
      <c r="Q35" s="730"/>
      <c r="R35" s="730"/>
      <c r="S35" s="610"/>
      <c r="T35" s="613">
        <v>72.5</v>
      </c>
      <c r="U35" s="613">
        <v>77.25</v>
      </c>
      <c r="V35" s="609"/>
      <c r="W35" s="609"/>
      <c r="X35" s="609"/>
      <c r="Y35" s="609"/>
      <c r="Z35" s="609"/>
      <c r="AA35" s="609"/>
      <c r="AB35" s="610"/>
      <c r="AC35" s="613"/>
      <c r="AD35" s="613">
        <v>72.5</v>
      </c>
      <c r="AE35" s="613">
        <v>77.25</v>
      </c>
      <c r="AF35" s="613"/>
      <c r="AG35" s="613"/>
      <c r="AH35" s="613"/>
      <c r="AI35" s="613"/>
      <c r="AJ35" s="613" t="str">
        <f>IFERROR(AVERAGE(#REF!),"")</f>
        <v/>
      </c>
      <c r="AK35" s="518"/>
      <c r="AL35" s="607">
        <f t="shared" si="9"/>
        <v>90.166666666666671</v>
      </c>
      <c r="AM35" s="607">
        <f t="shared" si="10"/>
        <v>86.9375</v>
      </c>
      <c r="AN35" s="607">
        <f t="shared" si="11"/>
        <v>91.75</v>
      </c>
      <c r="AO35" s="607" t="str">
        <f t="shared" si="12"/>
        <v/>
      </c>
      <c r="AP35" s="607" t="str">
        <f t="shared" si="13"/>
        <v/>
      </c>
      <c r="AQ35" s="607" t="str">
        <f t="shared" si="14"/>
        <v/>
      </c>
      <c r="AR35" s="607" t="str">
        <f t="shared" si="15"/>
        <v/>
      </c>
      <c r="AS35" s="607" t="str">
        <f t="shared" si="16"/>
        <v/>
      </c>
      <c r="AT35" s="302">
        <f t="shared" si="3"/>
        <v>90</v>
      </c>
      <c r="AU35" s="303" t="str">
        <f>IF(AT35&gt;KKM!$G$10,"A",IF(AT35&gt;KKM!$H$10,"B",IF(AT35&gt;=KKM!$I$10,"C","D")))</f>
        <v>B</v>
      </c>
      <c r="AV35" s="304">
        <f t="shared" si="4"/>
        <v>91.75</v>
      </c>
      <c r="AW35" s="115" t="str">
        <f>IF(AV35&gt;KKM!$G$10," sangat baik ",IF(AV35&gt;KKM!$H$10," baik ",IF(AV35&gt;=KKM!$I$10," cukup baik "," perlu bimbingan ")))</f>
        <v xml:space="preserve"> sangat baik </v>
      </c>
      <c r="AX35" s="305">
        <f t="shared" si="5"/>
        <v>86.9375</v>
      </c>
      <c r="AY35" s="115" t="str">
        <f>IF(AX35&gt;KKM!$G$10," sangat baik ",IF(AX35&gt;KKM!$H$10," baik ",IF(AX35&gt;=KKM!$I$10," cukup baik "," perlu bimbingan ")))</f>
        <v xml:space="preserve"> baik </v>
      </c>
      <c r="AZ35" s="301" t="str">
        <f t="shared" si="17"/>
        <v>Anak 31 sangat baik  dalam mengenal, memahami, dan mengidentifikasi kata berimbuhan dalam teks sesuai kaidah, dan  baik  dalam mengenal dan memahami sandhangan aksara Jawa.</v>
      </c>
      <c r="BA35" s="306"/>
      <c r="BB35" s="307" t="str">
        <f t="shared" si="6"/>
        <v xml:space="preserve"> sangat baik  dalam mengenal, memahami, dan mengidentifikasi kata berimbuhan dalam teks sesuai kaidah</v>
      </c>
      <c r="BC35" s="307" t="str">
        <f t="shared" si="7"/>
        <v xml:space="preserve"> baik  dalam mengenal dan memahami sandhangan aksara Jawa.</v>
      </c>
      <c r="BD35" s="307" t="str">
        <f t="shared" si="18"/>
        <v xml:space="preserve"> sangat baik  dalam mengenal, memahami, dan mengidentifikasi kata berimbuhan dalam teks sesuai kaidah, dan  baik  dalam mengenal dan memahami sandhangan aksara Jawa.</v>
      </c>
      <c r="BE35" s="307" t="str">
        <f t="shared" si="19"/>
        <v xml:space="preserve"> </v>
      </c>
      <c r="BF35" s="308" t="str">
        <f t="shared" si="20"/>
        <v xml:space="preserve"> sangat baik  dalam mengenal, memahami, dan mengidentifikasi kata berimbuhan dalam teks sesuai kaidah, dan  baik  dalam mengenal dan memahami sandhangan aksara Jawa.</v>
      </c>
      <c r="BG35" s="301" t="str">
        <f t="shared" si="8"/>
        <v>Anak 31 sangat baik  dalam mengenal, memahami, dan mengidentifikasi kata berimbuhan dalam teks sesuai kaidah, dan  baik  dalam mengenal dan memahami sandhangan aksara Jawa.</v>
      </c>
      <c r="BH35" s="106"/>
      <c r="BL35" s="408">
        <f t="shared" si="21"/>
        <v>90</v>
      </c>
      <c r="BT35" s="302">
        <f t="shared" si="22"/>
        <v>75</v>
      </c>
      <c r="BU35" s="303" t="str">
        <f>IF(BT35&gt;KKM!$G$10,"A",IF(BT35&gt;KKM!$H$10,"B",IF(BT35&gt;=KKM!$I$10,"C","D")))</f>
        <v>C</v>
      </c>
      <c r="BV35" s="523">
        <f t="shared" si="23"/>
        <v>77.25</v>
      </c>
      <c r="BW35" s="115" t="str">
        <f>IF(BV35&gt;KKM!$G$10," sangat baik ",IF(BV35&gt;KKM!$H$10," baik ",IF(BV35&gt;=KKM!$I$10," cukup baik "," perlu bimbingan ")))</f>
        <v xml:space="preserve"> cukup baik </v>
      </c>
      <c r="BX35" s="524">
        <f t="shared" si="24"/>
        <v>72.5</v>
      </c>
      <c r="BY35" s="115" t="str">
        <f>IF(BX35&gt;KKM!$G$10," sangat baik ",IF(BX35&gt;KKM!$H$10," baik ",IF(BX35&gt;=KKM!$I$10," cukup baik "," perlu bimbingan ")))</f>
        <v xml:space="preserve"> cukup baik </v>
      </c>
      <c r="BZ35" s="301" t="str">
        <f t="shared" si="31"/>
        <v>Anak 31 cukup baik  dalam mengenal dan memahami sandhangan aksara Jawa., dan  cukup baik  dalam mengenal dan memahmi teks tembang dolanan</v>
      </c>
      <c r="CA35" s="307" t="str">
        <f t="shared" si="25"/>
        <v xml:space="preserve"> cukup baik  dalam mengenal dan memahami sandhangan aksara Jawa.</v>
      </c>
      <c r="CB35" s="307" t="str">
        <f t="shared" si="26"/>
        <v xml:space="preserve"> cukup baik  dalam mengenal dan memahmi teks tembang dolanan</v>
      </c>
      <c r="CC35" s="307" t="str">
        <f t="shared" si="27"/>
        <v xml:space="preserve"> cukup baik  dalam mengenal dan memahami sandhangan aksara Jawa., dan  cukup baik  dalam mengenal dan memahmi teks tembang dolanan</v>
      </c>
      <c r="CD35" s="307" t="str">
        <f t="shared" si="28"/>
        <v xml:space="preserve"> </v>
      </c>
      <c r="CE35" s="308" t="str">
        <f t="shared" si="29"/>
        <v xml:space="preserve"> cukup baik  dalam mengenal dan memahami sandhangan aksara Jawa., dan  cukup baik  dalam mengenal dan memahmi teks tembang dolanan</v>
      </c>
      <c r="CF35" s="301" t="str">
        <f t="shared" si="30"/>
        <v>Anak 31 cukup baik  dalam mengenal dan memahami sandhangan aksara Jawa., dan  cukup baik  dalam mengenal dan memahmi teks tembang dolanan</v>
      </c>
    </row>
    <row r="36" spans="2:84" ht="63" customHeight="1">
      <c r="B36" s="109">
        <v>32</v>
      </c>
      <c r="C36" s="110">
        <f>SISWA!B37</f>
        <v>0</v>
      </c>
      <c r="D36" s="111" t="str">
        <f>SISWA!E37</f>
        <v>Anak 32</v>
      </c>
      <c r="E36" s="631">
        <v>99</v>
      </c>
      <c r="F36" s="631">
        <v>99</v>
      </c>
      <c r="G36" s="631">
        <v>99</v>
      </c>
      <c r="H36" s="613"/>
      <c r="I36" s="613"/>
      <c r="J36" s="613"/>
      <c r="K36" s="613"/>
      <c r="L36" s="613"/>
      <c r="M36" s="731"/>
      <c r="N36" s="731"/>
      <c r="O36" s="731"/>
      <c r="P36" s="731"/>
      <c r="Q36" s="730"/>
      <c r="R36" s="730"/>
      <c r="S36" s="610"/>
      <c r="T36" s="613">
        <v>80</v>
      </c>
      <c r="U36" s="613">
        <v>71.75</v>
      </c>
      <c r="V36" s="609"/>
      <c r="W36" s="609"/>
      <c r="X36" s="609"/>
      <c r="Y36" s="609"/>
      <c r="Z36" s="609"/>
      <c r="AA36" s="609"/>
      <c r="AB36" s="610"/>
      <c r="AC36" s="613"/>
      <c r="AD36" s="613">
        <v>80</v>
      </c>
      <c r="AE36" s="613">
        <v>71.75</v>
      </c>
      <c r="AF36" s="613"/>
      <c r="AG36" s="613"/>
      <c r="AH36" s="613"/>
      <c r="AI36" s="613"/>
      <c r="AJ36" s="613" t="str">
        <f>IFERROR(AVERAGE(#REF!),"")</f>
        <v/>
      </c>
      <c r="AK36" s="518"/>
      <c r="AL36" s="607">
        <f t="shared" si="9"/>
        <v>92.666666666666671</v>
      </c>
      <c r="AM36" s="607">
        <f t="shared" si="10"/>
        <v>87.4375</v>
      </c>
      <c r="AN36" s="607">
        <f t="shared" si="11"/>
        <v>89.916666666666671</v>
      </c>
      <c r="AO36" s="607" t="str">
        <f t="shared" si="12"/>
        <v/>
      </c>
      <c r="AP36" s="607" t="str">
        <f t="shared" si="13"/>
        <v/>
      </c>
      <c r="AQ36" s="607" t="str">
        <f t="shared" si="14"/>
        <v/>
      </c>
      <c r="AR36" s="607" t="str">
        <f t="shared" si="15"/>
        <v/>
      </c>
      <c r="AS36" s="607" t="str">
        <f t="shared" si="16"/>
        <v/>
      </c>
      <c r="AT36" s="302">
        <f t="shared" si="3"/>
        <v>90</v>
      </c>
      <c r="AU36" s="303" t="str">
        <f>IF(AT36&gt;KKM!$G$10,"A",IF(AT36&gt;KKM!$H$10,"B",IF(AT36&gt;=KKM!$I$10,"C","D")))</f>
        <v>B</v>
      </c>
      <c r="AV36" s="304">
        <f t="shared" si="4"/>
        <v>92.666666666666671</v>
      </c>
      <c r="AW36" s="115" t="str">
        <f>IF(AV36&gt;KKM!$G$10," sangat baik ",IF(AV36&gt;KKM!$H$10," baik ",IF(AV36&gt;=KKM!$I$10," cukup baik "," perlu bimbingan ")))</f>
        <v xml:space="preserve"> sangat baik </v>
      </c>
      <c r="AX36" s="305">
        <f t="shared" si="5"/>
        <v>87.4375</v>
      </c>
      <c r="AY36" s="115" t="str">
        <f>IF(AX36&gt;KKM!$G$10," sangat baik ",IF(AX36&gt;KKM!$H$10," baik ",IF(AX36&gt;=KKM!$I$10," cukup baik "," perlu bimbingan ")))</f>
        <v xml:space="preserve"> baik </v>
      </c>
      <c r="AZ36" s="301" t="str">
        <f t="shared" si="17"/>
        <v>Anak 32 sangat baik  dalam mengenal dan memahmi teks tembang dolanan, dan  baik  dalam mengenal dan memahami sandhangan aksara Jawa.</v>
      </c>
      <c r="BA36" s="306"/>
      <c r="BB36" s="307" t="str">
        <f t="shared" si="6"/>
        <v xml:space="preserve"> sangat baik  dalam mengenal dan memahmi teks tembang dolanan</v>
      </c>
      <c r="BC36" s="307" t="str">
        <f t="shared" si="7"/>
        <v xml:space="preserve"> baik  dalam mengenal dan memahami sandhangan aksara Jawa.</v>
      </c>
      <c r="BD36" s="307" t="str">
        <f t="shared" si="18"/>
        <v xml:space="preserve"> sangat baik  dalam mengenal dan memahmi teks tembang dolanan, dan  baik  dalam mengenal dan memahami sandhangan aksara Jawa.</v>
      </c>
      <c r="BE36" s="307" t="str">
        <f t="shared" si="19"/>
        <v xml:space="preserve"> </v>
      </c>
      <c r="BF36" s="308" t="str">
        <f t="shared" si="20"/>
        <v xml:space="preserve"> sangat baik  dalam mengenal dan memahmi teks tembang dolanan, dan  baik  dalam mengenal dan memahami sandhangan aksara Jawa.</v>
      </c>
      <c r="BG36" s="301" t="str">
        <f t="shared" si="8"/>
        <v>Anak 32 sangat baik  dalam mengenal dan memahmi teks tembang dolanan, dan  baik  dalam mengenal dan memahami sandhangan aksara Jawa.</v>
      </c>
      <c r="BH36" s="106"/>
      <c r="BL36" s="408">
        <f t="shared" si="21"/>
        <v>90</v>
      </c>
      <c r="BT36" s="302">
        <f t="shared" si="22"/>
        <v>76</v>
      </c>
      <c r="BU36" s="303" t="str">
        <f>IF(BT36&gt;KKM!$G$10,"A",IF(BT36&gt;KKM!$H$10,"B",IF(BT36&gt;=KKM!$I$10,"C","D")))</f>
        <v>C</v>
      </c>
      <c r="BV36" s="523">
        <f t="shared" si="23"/>
        <v>80</v>
      </c>
      <c r="BW36" s="115" t="str">
        <f>IF(BV36&gt;KKM!$G$10," sangat baik ",IF(BV36&gt;KKM!$H$10," baik ",IF(BV36&gt;=KKM!$I$10," cukup baik "," perlu bimbingan ")))</f>
        <v xml:space="preserve"> cukup baik </v>
      </c>
      <c r="BX36" s="524">
        <f t="shared" si="24"/>
        <v>71.75</v>
      </c>
      <c r="BY36" s="115" t="str">
        <f>IF(BX36&gt;KKM!$G$10," sangat baik ",IF(BX36&gt;KKM!$H$10," baik ",IF(BX36&gt;=KKM!$I$10," cukup baik "," perlu bimbingan ")))</f>
        <v xml:space="preserve"> cukup baik </v>
      </c>
      <c r="BZ36" s="301" t="str">
        <f t="shared" si="31"/>
        <v>Anak 32 cukup baik  dalam mengenal dan memahmi teks tembang dolanan, dan  cukup baik  dalam mengenal dan memahami sandhangan aksara Jawa.</v>
      </c>
      <c r="CA36" s="307" t="str">
        <f t="shared" si="25"/>
        <v xml:space="preserve"> cukup baik  dalam mengenal dan memahmi teks tembang dolanan</v>
      </c>
      <c r="CB36" s="307" t="str">
        <f t="shared" si="26"/>
        <v xml:space="preserve"> cukup baik  dalam mengenal dan memahami sandhangan aksara Jawa.</v>
      </c>
      <c r="CC36" s="307" t="str">
        <f t="shared" si="27"/>
        <v xml:space="preserve"> cukup baik  dalam mengenal dan memahmi teks tembang dolanan, dan  cukup baik  dalam mengenal dan memahami sandhangan aksara Jawa.</v>
      </c>
      <c r="CD36" s="307" t="str">
        <f t="shared" si="28"/>
        <v xml:space="preserve"> </v>
      </c>
      <c r="CE36" s="308" t="str">
        <f t="shared" si="29"/>
        <v xml:space="preserve"> cukup baik  dalam mengenal dan memahmi teks tembang dolanan, dan  cukup baik  dalam mengenal dan memahami sandhangan aksara Jawa.</v>
      </c>
      <c r="CF36" s="301" t="str">
        <f t="shared" si="30"/>
        <v>Anak 32 cukup baik  dalam mengenal dan memahmi teks tembang dolanan, dan  cukup baik  dalam mengenal dan memahami sandhangan aksara Jawa.</v>
      </c>
    </row>
    <row r="37" spans="2:84" ht="63" customHeight="1">
      <c r="B37" s="109">
        <v>33</v>
      </c>
      <c r="C37" s="110">
        <f>SISWA!B38</f>
        <v>0</v>
      </c>
      <c r="D37" s="111" t="str">
        <f>SISWA!E38</f>
        <v>Anak 33</v>
      </c>
      <c r="E37" s="631">
        <v>99</v>
      </c>
      <c r="F37" s="631">
        <v>99</v>
      </c>
      <c r="G37" s="631">
        <v>99</v>
      </c>
      <c r="H37" s="613"/>
      <c r="I37" s="613"/>
      <c r="J37" s="613"/>
      <c r="K37" s="613"/>
      <c r="L37" s="613"/>
      <c r="M37" s="731"/>
      <c r="N37" s="731"/>
      <c r="O37" s="731"/>
      <c r="P37" s="731"/>
      <c r="Q37" s="730"/>
      <c r="R37" s="730"/>
      <c r="S37" s="610"/>
      <c r="T37" s="613">
        <v>79.5</v>
      </c>
      <c r="U37" s="613">
        <v>76</v>
      </c>
      <c r="V37" s="609"/>
      <c r="W37" s="609"/>
      <c r="X37" s="609"/>
      <c r="Y37" s="609"/>
      <c r="Z37" s="609"/>
      <c r="AA37" s="609"/>
      <c r="AB37" s="610"/>
      <c r="AC37" s="613"/>
      <c r="AD37" s="613">
        <v>79.5</v>
      </c>
      <c r="AE37" s="613">
        <v>76</v>
      </c>
      <c r="AF37" s="613"/>
      <c r="AG37" s="613"/>
      <c r="AH37" s="613"/>
      <c r="AI37" s="613"/>
      <c r="AJ37" s="613" t="str">
        <f>IFERROR(AVERAGE(#REF!),"")</f>
        <v/>
      </c>
      <c r="AK37" s="518"/>
      <c r="AL37" s="607">
        <f t="shared" si="9"/>
        <v>92.5</v>
      </c>
      <c r="AM37" s="607">
        <f t="shared" si="10"/>
        <v>88.375</v>
      </c>
      <c r="AN37" s="607">
        <f t="shared" si="11"/>
        <v>91.333333333333329</v>
      </c>
      <c r="AO37" s="607" t="str">
        <f t="shared" si="12"/>
        <v/>
      </c>
      <c r="AP37" s="607" t="str">
        <f t="shared" si="13"/>
        <v/>
      </c>
      <c r="AQ37" s="607" t="str">
        <f t="shared" si="14"/>
        <v/>
      </c>
      <c r="AR37" s="607" t="str">
        <f t="shared" si="15"/>
        <v/>
      </c>
      <c r="AS37" s="607" t="str">
        <f t="shared" si="16"/>
        <v/>
      </c>
      <c r="AT37" s="302">
        <f t="shared" ref="AT37:AT54" si="32">ROUND((AVERAGE(AL37:AS37)),0)</f>
        <v>91</v>
      </c>
      <c r="AU37" s="303" t="str">
        <f>IF(AT37&gt;KKM!$G$10,"A",IF(AT37&gt;KKM!$H$10,"B",IF(AT37&gt;=KKM!$I$10,"C","D")))</f>
        <v>A</v>
      </c>
      <c r="AV37" s="304">
        <f t="shared" ref="AV37:AV54" si="33">MAX(AL37:AS37)</f>
        <v>92.5</v>
      </c>
      <c r="AW37" s="115" t="str">
        <f>IF(AV37&gt;KKM!$G$10," sangat baik ",IF(AV37&gt;KKM!$H$10," baik ",IF(AV37&gt;=KKM!$I$10," cukup baik "," perlu bimbingan ")))</f>
        <v xml:space="preserve"> sangat baik </v>
      </c>
      <c r="AX37" s="305">
        <f t="shared" ref="AX37:AX54" si="34">MIN(AL37:AS37)</f>
        <v>88.375</v>
      </c>
      <c r="AY37" s="115" t="str">
        <f>IF(AX37&gt;KKM!$G$10," sangat baik ",IF(AX37&gt;KKM!$H$10," baik ",IF(AX37&gt;=KKM!$I$10," cukup baik "," perlu bimbingan ")))</f>
        <v xml:space="preserve"> baik </v>
      </c>
      <c r="AZ37" s="301" t="str">
        <f t="shared" si="17"/>
        <v>Anak 33 sangat baik  dalam mengenal dan memahmi teks tembang dolanan, dan  baik  dalam mengenal dan memahami sandhangan aksara Jawa.</v>
      </c>
      <c r="BA37" s="306"/>
      <c r="BB37" s="307" t="str">
        <f t="shared" ref="BB37:BB54" si="35">AW37&amp;" dalam "&amp;INDEX($AL$3:$AS$3,MATCH(AV37,$AL37:$AS37,0))</f>
        <v xml:space="preserve"> sangat baik  dalam mengenal dan memahmi teks tembang dolanan</v>
      </c>
      <c r="BC37" s="307" t="str">
        <f t="shared" ref="BC37:BC54" si="36">AY37&amp;" dalam "&amp;INDEX($AL$3:$AS$3,MATCH(AX37,$AL37:$AS37,0))</f>
        <v xml:space="preserve"> baik  dalam mengenal dan memahami sandhangan aksara Jawa.</v>
      </c>
      <c r="BD37" s="307" t="str">
        <f t="shared" si="18"/>
        <v xml:space="preserve"> sangat baik  dalam mengenal dan memahmi teks tembang dolanan, dan  baik  dalam mengenal dan memahami sandhangan aksara Jawa.</v>
      </c>
      <c r="BE37" s="307" t="str">
        <f t="shared" si="19"/>
        <v xml:space="preserve"> </v>
      </c>
      <c r="BF37" s="308" t="str">
        <f t="shared" si="20"/>
        <v xml:space="preserve"> sangat baik  dalam mengenal dan memahmi teks tembang dolanan, dan  baik  dalam mengenal dan memahami sandhangan aksara Jawa.</v>
      </c>
      <c r="BG37" s="301" t="str">
        <f t="shared" ref="BG37:BG54" si="37">CONCATENATE(D37,BF37)</f>
        <v>Anak 33 sangat baik  dalam mengenal dan memahmi teks tembang dolanan, dan  baik  dalam mengenal dan memahami sandhangan aksara Jawa.</v>
      </c>
      <c r="BH37" s="106"/>
      <c r="BL37" s="408">
        <f t="shared" si="21"/>
        <v>91</v>
      </c>
      <c r="BT37" s="302">
        <f t="shared" si="22"/>
        <v>78</v>
      </c>
      <c r="BU37" s="303" t="str">
        <f>IF(BT37&gt;KKM!$G$10,"A",IF(BT37&gt;KKM!$H$10,"B",IF(BT37&gt;=KKM!$I$10,"C","D")))</f>
        <v>C</v>
      </c>
      <c r="BV37" s="523">
        <f t="shared" si="23"/>
        <v>79.5</v>
      </c>
      <c r="BW37" s="115" t="str">
        <f>IF(BV37&gt;KKM!$G$10," sangat baik ",IF(BV37&gt;KKM!$H$10," baik ",IF(BV37&gt;=KKM!$I$10," cukup baik "," perlu bimbingan ")))</f>
        <v xml:space="preserve"> cukup baik </v>
      </c>
      <c r="BX37" s="524">
        <f t="shared" si="24"/>
        <v>76</v>
      </c>
      <c r="BY37" s="115" t="str">
        <f>IF(BX37&gt;KKM!$G$10," sangat baik ",IF(BX37&gt;KKM!$H$10," baik ",IF(BX37&gt;=KKM!$I$10," cukup baik "," perlu bimbingan ")))</f>
        <v xml:space="preserve"> cukup baik </v>
      </c>
      <c r="BZ37" s="301" t="str">
        <f t="shared" si="31"/>
        <v>Anak 33 cukup baik  dalam mengenal dan memahmi teks tembang dolanan, dan  cukup baik  dalam mengenal dan memahami sandhangan aksara Jawa.</v>
      </c>
      <c r="CA37" s="307" t="str">
        <f t="shared" si="25"/>
        <v xml:space="preserve"> cukup baik  dalam mengenal dan memahmi teks tembang dolanan</v>
      </c>
      <c r="CB37" s="307" t="str">
        <f t="shared" si="26"/>
        <v xml:space="preserve"> cukup baik  dalam mengenal dan memahami sandhangan aksara Jawa.</v>
      </c>
      <c r="CC37" s="307" t="str">
        <f t="shared" si="27"/>
        <v xml:space="preserve"> cukup baik  dalam mengenal dan memahmi teks tembang dolanan, dan  cukup baik  dalam mengenal dan memahami sandhangan aksara Jawa.</v>
      </c>
      <c r="CD37" s="307" t="str">
        <f t="shared" si="28"/>
        <v xml:space="preserve"> </v>
      </c>
      <c r="CE37" s="308" t="str">
        <f t="shared" si="29"/>
        <v xml:space="preserve"> cukup baik  dalam mengenal dan memahmi teks tembang dolanan, dan  cukup baik  dalam mengenal dan memahami sandhangan aksara Jawa.</v>
      </c>
      <c r="CF37" s="301" t="str">
        <f t="shared" si="30"/>
        <v>Anak 33 cukup baik  dalam mengenal dan memahmi teks tembang dolanan, dan  cukup baik  dalam mengenal dan memahami sandhangan aksara Jawa.</v>
      </c>
    </row>
    <row r="38" spans="2:84" ht="63" customHeight="1">
      <c r="B38" s="109">
        <v>34</v>
      </c>
      <c r="C38" s="110">
        <f>SISWA!B39</f>
        <v>0</v>
      </c>
      <c r="D38" s="111" t="str">
        <f>SISWA!E39</f>
        <v>Anak 34</v>
      </c>
      <c r="E38" s="631">
        <v>99</v>
      </c>
      <c r="F38" s="631">
        <v>99</v>
      </c>
      <c r="G38" s="631">
        <v>99</v>
      </c>
      <c r="H38" s="613"/>
      <c r="I38" s="613"/>
      <c r="J38" s="613"/>
      <c r="K38" s="613"/>
      <c r="L38" s="613"/>
      <c r="M38" s="731"/>
      <c r="N38" s="731"/>
      <c r="O38" s="731"/>
      <c r="P38" s="731"/>
      <c r="Q38" s="730"/>
      <c r="R38" s="730"/>
      <c r="S38" s="610"/>
      <c r="T38" s="613">
        <v>79.5</v>
      </c>
      <c r="U38" s="613">
        <v>82.75</v>
      </c>
      <c r="V38" s="609"/>
      <c r="W38" s="609"/>
      <c r="X38" s="609"/>
      <c r="Y38" s="609"/>
      <c r="Z38" s="609"/>
      <c r="AA38" s="609"/>
      <c r="AB38" s="610"/>
      <c r="AC38" s="613"/>
      <c r="AD38" s="613">
        <v>79.5</v>
      </c>
      <c r="AE38" s="613">
        <v>82.75</v>
      </c>
      <c r="AF38" s="613"/>
      <c r="AG38" s="613"/>
      <c r="AH38" s="613"/>
      <c r="AI38" s="613"/>
      <c r="AJ38" s="613" t="str">
        <f>IFERROR(AVERAGE(#REF!),"")</f>
        <v/>
      </c>
      <c r="AK38" s="518"/>
      <c r="AL38" s="607">
        <f t="shared" si="9"/>
        <v>92.5</v>
      </c>
      <c r="AM38" s="607">
        <f t="shared" si="10"/>
        <v>90.0625</v>
      </c>
      <c r="AN38" s="607">
        <f t="shared" si="11"/>
        <v>93.583333333333329</v>
      </c>
      <c r="AO38" s="607" t="str">
        <f t="shared" si="12"/>
        <v/>
      </c>
      <c r="AP38" s="607" t="str">
        <f t="shared" si="13"/>
        <v/>
      </c>
      <c r="AQ38" s="607" t="str">
        <f t="shared" si="14"/>
        <v/>
      </c>
      <c r="AR38" s="607" t="str">
        <f t="shared" si="15"/>
        <v/>
      </c>
      <c r="AS38" s="607" t="str">
        <f t="shared" si="16"/>
        <v/>
      </c>
      <c r="AT38" s="302">
        <f t="shared" si="32"/>
        <v>92</v>
      </c>
      <c r="AU38" s="303" t="str">
        <f>IF(AT38&gt;KKM!$G$10,"A",IF(AT38&gt;KKM!$H$10,"B",IF(AT38&gt;=KKM!$I$10,"C","D")))</f>
        <v>A</v>
      </c>
      <c r="AV38" s="304">
        <f t="shared" si="33"/>
        <v>93.583333333333329</v>
      </c>
      <c r="AW38" s="115" t="str">
        <f>IF(AV38&gt;KKM!$G$10," sangat baik ",IF(AV38&gt;KKM!$H$10," baik ",IF(AV38&gt;=KKM!$I$10," cukup baik "," perlu bimbingan ")))</f>
        <v xml:space="preserve"> sangat baik </v>
      </c>
      <c r="AX38" s="305">
        <f t="shared" si="34"/>
        <v>90.0625</v>
      </c>
      <c r="AY38" s="115" t="str">
        <f>IF(AX38&gt;KKM!$G$10," sangat baik ",IF(AX38&gt;KKM!$H$10," baik ",IF(AX38&gt;=KKM!$I$10," cukup baik "," perlu bimbingan ")))</f>
        <v xml:space="preserve"> sangat baik </v>
      </c>
      <c r="AZ38" s="301" t="str">
        <f t="shared" si="17"/>
        <v>Anak 34 sangat baik  dalam mengenal, memahami, dan mengidentifikasi kata berimbuhan dalam teks sesuai kaidah, dan  sangat baik  dalam mengenal dan memahami sandhangan aksara Jawa.</v>
      </c>
      <c r="BA38" s="306"/>
      <c r="BB38" s="307" t="str">
        <f t="shared" si="35"/>
        <v xml:space="preserve"> sangat baik  dalam mengenal, memahami, dan mengidentifikasi kata berimbuhan dalam teks sesuai kaidah</v>
      </c>
      <c r="BC38" s="307" t="str">
        <f t="shared" si="36"/>
        <v xml:space="preserve"> sangat baik  dalam mengenal dan memahami sandhangan aksara Jawa.</v>
      </c>
      <c r="BD38" s="307" t="str">
        <f t="shared" si="18"/>
        <v xml:space="preserve"> sangat baik  dalam mengenal, memahami, dan mengidentifikasi kata berimbuhan dalam teks sesuai kaidah, dan  sangat baik  dalam mengenal dan memahami sandhangan aksara Jawa.</v>
      </c>
      <c r="BE38" s="307" t="str">
        <f t="shared" si="19"/>
        <v xml:space="preserve"> </v>
      </c>
      <c r="BF38" s="308" t="str">
        <f t="shared" si="20"/>
        <v xml:space="preserve"> sangat baik  dalam mengenal, memahami, dan mengidentifikasi kata berimbuhan dalam teks sesuai kaidah, dan  sangat baik  dalam mengenal dan memahami sandhangan aksara Jawa.</v>
      </c>
      <c r="BG38" s="301" t="str">
        <f t="shared" si="37"/>
        <v>Anak 34 sangat baik  dalam mengenal, memahami, dan mengidentifikasi kata berimbuhan dalam teks sesuai kaidah, dan  sangat baik  dalam mengenal dan memahami sandhangan aksara Jawa.</v>
      </c>
      <c r="BH38" s="106"/>
      <c r="BL38" s="408">
        <f t="shared" si="21"/>
        <v>92</v>
      </c>
      <c r="BT38" s="302">
        <f t="shared" si="22"/>
        <v>81</v>
      </c>
      <c r="BU38" s="303" t="str">
        <f>IF(BT38&gt;KKM!$G$10,"A",IF(BT38&gt;KKM!$H$10,"B",IF(BT38&gt;=KKM!$I$10,"C","D")))</f>
        <v>B</v>
      </c>
      <c r="BV38" s="523">
        <f t="shared" si="23"/>
        <v>82.75</v>
      </c>
      <c r="BW38" s="115" t="str">
        <f>IF(BV38&gt;KKM!$G$10," sangat baik ",IF(BV38&gt;KKM!$H$10," baik ",IF(BV38&gt;=KKM!$I$10," cukup baik "," perlu bimbingan ")))</f>
        <v xml:space="preserve"> baik </v>
      </c>
      <c r="BX38" s="524">
        <f t="shared" si="24"/>
        <v>79.5</v>
      </c>
      <c r="BY38" s="115" t="str">
        <f>IF(BX38&gt;KKM!$G$10," sangat baik ",IF(BX38&gt;KKM!$H$10," baik ",IF(BX38&gt;=KKM!$I$10," cukup baik "," perlu bimbingan ")))</f>
        <v xml:space="preserve"> cukup baik </v>
      </c>
      <c r="BZ38" s="301" t="str">
        <f t="shared" si="31"/>
        <v>Anak 34 baik  dalam mengenal dan memahami sandhangan aksara Jawa., dan  cukup baik  dalam mengenal dan memahmi teks tembang dolanan</v>
      </c>
      <c r="CA38" s="307" t="str">
        <f t="shared" si="25"/>
        <v xml:space="preserve"> baik  dalam mengenal dan memahami sandhangan aksara Jawa.</v>
      </c>
      <c r="CB38" s="307" t="str">
        <f t="shared" si="26"/>
        <v xml:space="preserve"> cukup baik  dalam mengenal dan memahmi teks tembang dolanan</v>
      </c>
      <c r="CC38" s="307" t="str">
        <f t="shared" si="27"/>
        <v xml:space="preserve"> baik  dalam mengenal dan memahami sandhangan aksara Jawa., dan  cukup baik  dalam mengenal dan memahmi teks tembang dolanan</v>
      </c>
      <c r="CD38" s="307" t="str">
        <f t="shared" si="28"/>
        <v xml:space="preserve"> </v>
      </c>
      <c r="CE38" s="308" t="str">
        <f t="shared" si="29"/>
        <v xml:space="preserve"> baik  dalam mengenal dan memahami sandhangan aksara Jawa., dan  cukup baik  dalam mengenal dan memahmi teks tembang dolanan</v>
      </c>
      <c r="CF38" s="301" t="str">
        <f t="shared" si="30"/>
        <v>Anak 34 baik  dalam mengenal dan memahami sandhangan aksara Jawa., dan  cukup baik  dalam mengenal dan memahmi teks tembang dolanan</v>
      </c>
    </row>
    <row r="39" spans="2:84" ht="63" customHeight="1">
      <c r="B39" s="109">
        <v>35</v>
      </c>
      <c r="C39" s="110">
        <f>SISWA!B40</f>
        <v>0</v>
      </c>
      <c r="D39" s="111" t="str">
        <f>SISWA!E40</f>
        <v>Anak 35</v>
      </c>
      <c r="E39" s="631">
        <v>99</v>
      </c>
      <c r="F39" s="631">
        <v>99</v>
      </c>
      <c r="G39" s="631">
        <v>99</v>
      </c>
      <c r="H39" s="613"/>
      <c r="I39" s="613"/>
      <c r="J39" s="613"/>
      <c r="K39" s="613"/>
      <c r="L39" s="613"/>
      <c r="M39" s="731"/>
      <c r="N39" s="731"/>
      <c r="O39" s="731"/>
      <c r="P39" s="731"/>
      <c r="Q39" s="730"/>
      <c r="R39" s="730"/>
      <c r="S39" s="610"/>
      <c r="T39" s="613">
        <v>79.5</v>
      </c>
      <c r="U39" s="613">
        <v>74.75</v>
      </c>
      <c r="V39" s="609"/>
      <c r="W39" s="609"/>
      <c r="X39" s="609"/>
      <c r="Y39" s="609"/>
      <c r="Z39" s="609"/>
      <c r="AA39" s="609"/>
      <c r="AB39" s="610"/>
      <c r="AC39" s="613"/>
      <c r="AD39" s="613">
        <v>79.5</v>
      </c>
      <c r="AE39" s="613">
        <v>74.75</v>
      </c>
      <c r="AF39" s="613"/>
      <c r="AG39" s="613"/>
      <c r="AH39" s="613"/>
      <c r="AI39" s="613"/>
      <c r="AJ39" s="613" t="str">
        <f>IFERROR(AVERAGE(#REF!),"")</f>
        <v/>
      </c>
      <c r="AK39" s="518"/>
      <c r="AL39" s="607">
        <f t="shared" si="9"/>
        <v>92.5</v>
      </c>
      <c r="AM39" s="607">
        <f t="shared" si="10"/>
        <v>88.0625</v>
      </c>
      <c r="AN39" s="607">
        <f t="shared" si="11"/>
        <v>90.916666666666671</v>
      </c>
      <c r="AO39" s="607" t="str">
        <f t="shared" si="12"/>
        <v/>
      </c>
      <c r="AP39" s="607" t="str">
        <f t="shared" si="13"/>
        <v/>
      </c>
      <c r="AQ39" s="607" t="str">
        <f t="shared" si="14"/>
        <v/>
      </c>
      <c r="AR39" s="607" t="str">
        <f t="shared" si="15"/>
        <v/>
      </c>
      <c r="AS39" s="607" t="str">
        <f t="shared" si="16"/>
        <v/>
      </c>
      <c r="AT39" s="302">
        <f t="shared" si="32"/>
        <v>90</v>
      </c>
      <c r="AU39" s="303" t="str">
        <f>IF(AT39&gt;KKM!$G$10,"A",IF(AT39&gt;KKM!$H$10,"B",IF(AT39&gt;=KKM!$I$10,"C","D")))</f>
        <v>B</v>
      </c>
      <c r="AV39" s="304">
        <f t="shared" si="33"/>
        <v>92.5</v>
      </c>
      <c r="AW39" s="115" t="str">
        <f>IF(AV39&gt;KKM!$G$10," sangat baik ",IF(AV39&gt;KKM!$H$10," baik ",IF(AV39&gt;=KKM!$I$10," cukup baik "," perlu bimbingan ")))</f>
        <v xml:space="preserve"> sangat baik </v>
      </c>
      <c r="AX39" s="305">
        <f t="shared" si="34"/>
        <v>88.0625</v>
      </c>
      <c r="AY39" s="115" t="str">
        <f>IF(AX39&gt;KKM!$G$10," sangat baik ",IF(AX39&gt;KKM!$H$10," baik ",IF(AX39&gt;=KKM!$I$10," cukup baik "," perlu bimbingan ")))</f>
        <v xml:space="preserve"> baik </v>
      </c>
      <c r="AZ39" s="301" t="str">
        <f t="shared" si="17"/>
        <v>Anak 35 sangat baik  dalam mengenal dan memahmi teks tembang dolanan, dan  baik  dalam mengenal dan memahami sandhangan aksara Jawa.</v>
      </c>
      <c r="BA39" s="306"/>
      <c r="BB39" s="307" t="str">
        <f t="shared" si="35"/>
        <v xml:space="preserve"> sangat baik  dalam mengenal dan memahmi teks tembang dolanan</v>
      </c>
      <c r="BC39" s="307" t="str">
        <f t="shared" si="36"/>
        <v xml:space="preserve"> baik  dalam mengenal dan memahami sandhangan aksara Jawa.</v>
      </c>
      <c r="BD39" s="307" t="str">
        <f t="shared" si="18"/>
        <v xml:space="preserve"> sangat baik  dalam mengenal dan memahmi teks tembang dolanan, dan  baik  dalam mengenal dan memahami sandhangan aksara Jawa.</v>
      </c>
      <c r="BE39" s="307" t="str">
        <f t="shared" si="19"/>
        <v xml:space="preserve"> </v>
      </c>
      <c r="BF39" s="308" t="str">
        <f t="shared" si="20"/>
        <v xml:space="preserve"> sangat baik  dalam mengenal dan memahmi teks tembang dolanan, dan  baik  dalam mengenal dan memahami sandhangan aksara Jawa.</v>
      </c>
      <c r="BG39" s="301" t="str">
        <f t="shared" si="37"/>
        <v>Anak 35 sangat baik  dalam mengenal dan memahmi teks tembang dolanan, dan  baik  dalam mengenal dan memahami sandhangan aksara Jawa.</v>
      </c>
      <c r="BH39" s="106"/>
      <c r="BL39" s="408">
        <f t="shared" si="21"/>
        <v>90</v>
      </c>
      <c r="BT39" s="302">
        <f t="shared" si="22"/>
        <v>77</v>
      </c>
      <c r="BU39" s="303" t="str">
        <f>IF(BT39&gt;KKM!$G$10,"A",IF(BT39&gt;KKM!$H$10,"B",IF(BT39&gt;=KKM!$I$10,"C","D")))</f>
        <v>C</v>
      </c>
      <c r="BV39" s="523">
        <f t="shared" si="23"/>
        <v>79.5</v>
      </c>
      <c r="BW39" s="115" t="str">
        <f>IF(BV39&gt;KKM!$G$10," sangat baik ",IF(BV39&gt;KKM!$H$10," baik ",IF(BV39&gt;=KKM!$I$10," cukup baik "," perlu bimbingan ")))</f>
        <v xml:space="preserve"> cukup baik </v>
      </c>
      <c r="BX39" s="524">
        <f t="shared" si="24"/>
        <v>74.75</v>
      </c>
      <c r="BY39" s="115" t="str">
        <f>IF(BX39&gt;KKM!$G$10," sangat baik ",IF(BX39&gt;KKM!$H$10," baik ",IF(BX39&gt;=KKM!$I$10," cukup baik "," perlu bimbingan ")))</f>
        <v xml:space="preserve"> cukup baik </v>
      </c>
      <c r="BZ39" s="301" t="str">
        <f t="shared" si="31"/>
        <v>Anak 35 cukup baik  dalam mengenal dan memahmi teks tembang dolanan, dan  cukup baik  dalam mengenal dan memahami sandhangan aksara Jawa.</v>
      </c>
      <c r="CA39" s="307" t="str">
        <f t="shared" si="25"/>
        <v xml:space="preserve"> cukup baik  dalam mengenal dan memahmi teks tembang dolanan</v>
      </c>
      <c r="CB39" s="307" t="str">
        <f t="shared" si="26"/>
        <v xml:space="preserve"> cukup baik  dalam mengenal dan memahami sandhangan aksara Jawa.</v>
      </c>
      <c r="CC39" s="307" t="str">
        <f t="shared" si="27"/>
        <v xml:space="preserve"> cukup baik  dalam mengenal dan memahmi teks tembang dolanan, dan  cukup baik  dalam mengenal dan memahami sandhangan aksara Jawa.</v>
      </c>
      <c r="CD39" s="307" t="str">
        <f t="shared" si="28"/>
        <v xml:space="preserve"> </v>
      </c>
      <c r="CE39" s="308" t="str">
        <f t="shared" si="29"/>
        <v xml:space="preserve"> cukup baik  dalam mengenal dan memahmi teks tembang dolanan, dan  cukup baik  dalam mengenal dan memahami sandhangan aksara Jawa.</v>
      </c>
      <c r="CF39" s="301" t="str">
        <f t="shared" si="30"/>
        <v>Anak 35 cukup baik  dalam mengenal dan memahmi teks tembang dolanan, dan  cukup baik  dalam mengenal dan memahami sandhangan aksara Jawa.</v>
      </c>
    </row>
    <row r="40" spans="2:84" ht="63" customHeight="1">
      <c r="B40" s="109">
        <v>36</v>
      </c>
      <c r="C40" s="110">
        <f>SISWA!B41</f>
        <v>0</v>
      </c>
      <c r="D40" s="111" t="str">
        <f>SISWA!E41</f>
        <v>Anak 36</v>
      </c>
      <c r="E40" s="631">
        <v>99</v>
      </c>
      <c r="F40" s="631">
        <v>99</v>
      </c>
      <c r="G40" s="631">
        <v>99</v>
      </c>
      <c r="H40" s="613"/>
      <c r="I40" s="613"/>
      <c r="J40" s="613"/>
      <c r="K40" s="613"/>
      <c r="L40" s="613"/>
      <c r="M40" s="731"/>
      <c r="N40" s="731"/>
      <c r="O40" s="731"/>
      <c r="P40" s="731"/>
      <c r="Q40" s="730"/>
      <c r="R40" s="730"/>
      <c r="S40" s="610"/>
      <c r="T40" s="613">
        <v>89</v>
      </c>
      <c r="U40" s="613">
        <v>75.25</v>
      </c>
      <c r="V40" s="609"/>
      <c r="W40" s="609"/>
      <c r="X40" s="609"/>
      <c r="Y40" s="609"/>
      <c r="Z40" s="609"/>
      <c r="AA40" s="609"/>
      <c r="AB40" s="610"/>
      <c r="AC40" s="613"/>
      <c r="AD40" s="613">
        <v>89</v>
      </c>
      <c r="AE40" s="613">
        <v>75.25</v>
      </c>
      <c r="AF40" s="613"/>
      <c r="AG40" s="613"/>
      <c r="AH40" s="613"/>
      <c r="AI40" s="613"/>
      <c r="AJ40" s="613" t="str">
        <f>IFERROR(AVERAGE(#REF!),"")</f>
        <v/>
      </c>
      <c r="AK40" s="518"/>
      <c r="AL40" s="607">
        <f t="shared" si="9"/>
        <v>95.666666666666671</v>
      </c>
      <c r="AM40" s="607">
        <f t="shared" si="10"/>
        <v>90.5625</v>
      </c>
      <c r="AN40" s="607">
        <f t="shared" si="11"/>
        <v>91.083333333333329</v>
      </c>
      <c r="AO40" s="607" t="str">
        <f t="shared" si="12"/>
        <v/>
      </c>
      <c r="AP40" s="607" t="str">
        <f t="shared" si="13"/>
        <v/>
      </c>
      <c r="AQ40" s="607" t="str">
        <f t="shared" si="14"/>
        <v/>
      </c>
      <c r="AR40" s="607" t="str">
        <f t="shared" si="15"/>
        <v/>
      </c>
      <c r="AS40" s="607" t="str">
        <f t="shared" si="16"/>
        <v/>
      </c>
      <c r="AT40" s="302">
        <f t="shared" si="32"/>
        <v>92</v>
      </c>
      <c r="AU40" s="303" t="str">
        <f>IF(AT40&gt;KKM!$G$10,"A",IF(AT40&gt;KKM!$H$10,"B",IF(AT40&gt;=KKM!$I$10,"C","D")))</f>
        <v>A</v>
      </c>
      <c r="AV40" s="304">
        <f t="shared" si="33"/>
        <v>95.666666666666671</v>
      </c>
      <c r="AW40" s="115" t="str">
        <f>IF(AV40&gt;KKM!$G$10," sangat baik ",IF(AV40&gt;KKM!$H$10," baik ",IF(AV40&gt;=KKM!$I$10," cukup baik "," perlu bimbingan ")))</f>
        <v xml:space="preserve"> sangat baik </v>
      </c>
      <c r="AX40" s="305">
        <f t="shared" si="34"/>
        <v>90.5625</v>
      </c>
      <c r="AY40" s="115" t="str">
        <f>IF(AX40&gt;KKM!$G$10," sangat baik ",IF(AX40&gt;KKM!$H$10," baik ",IF(AX40&gt;=KKM!$I$10," cukup baik "," perlu bimbingan ")))</f>
        <v xml:space="preserve"> sangat baik </v>
      </c>
      <c r="AZ40" s="301" t="str">
        <f t="shared" si="17"/>
        <v>Anak 36 sangat baik  dalam mengenal dan memahmi teks tembang dolanan, dan  sangat baik  dalam mengenal dan memahami sandhangan aksara Jawa.</v>
      </c>
      <c r="BA40" s="306"/>
      <c r="BB40" s="307" t="str">
        <f t="shared" si="35"/>
        <v xml:space="preserve"> sangat baik  dalam mengenal dan memahmi teks tembang dolanan</v>
      </c>
      <c r="BC40" s="307" t="str">
        <f t="shared" si="36"/>
        <v xml:space="preserve"> sangat baik  dalam mengenal dan memahami sandhangan aksara Jawa.</v>
      </c>
      <c r="BD40" s="307" t="str">
        <f t="shared" si="18"/>
        <v xml:space="preserve"> sangat baik  dalam mengenal dan memahmi teks tembang dolanan, dan  sangat baik  dalam mengenal dan memahami sandhangan aksara Jawa.</v>
      </c>
      <c r="BE40" s="307" t="str">
        <f t="shared" si="19"/>
        <v xml:space="preserve"> </v>
      </c>
      <c r="BF40" s="308" t="str">
        <f t="shared" si="20"/>
        <v xml:space="preserve"> sangat baik  dalam mengenal dan memahmi teks tembang dolanan, dan  sangat baik  dalam mengenal dan memahami sandhangan aksara Jawa.</v>
      </c>
      <c r="BG40" s="301" t="str">
        <f t="shared" si="37"/>
        <v>Anak 36 sangat baik  dalam mengenal dan memahmi teks tembang dolanan, dan  sangat baik  dalam mengenal dan memahami sandhangan aksara Jawa.</v>
      </c>
      <c r="BH40" s="106"/>
      <c r="BL40" s="408">
        <f t="shared" si="21"/>
        <v>92</v>
      </c>
      <c r="BT40" s="302">
        <f t="shared" si="22"/>
        <v>82</v>
      </c>
      <c r="BU40" s="303" t="str">
        <f>IF(BT40&gt;KKM!$G$10,"A",IF(BT40&gt;KKM!$H$10,"B",IF(BT40&gt;=KKM!$I$10,"C","D")))</f>
        <v>B</v>
      </c>
      <c r="BV40" s="523">
        <f t="shared" si="23"/>
        <v>89</v>
      </c>
      <c r="BW40" s="115" t="str">
        <f>IF(BV40&gt;KKM!$G$10," sangat baik ",IF(BV40&gt;KKM!$H$10," baik ",IF(BV40&gt;=KKM!$I$10," cukup baik "," perlu bimbingan ")))</f>
        <v xml:space="preserve"> baik </v>
      </c>
      <c r="BX40" s="524">
        <f t="shared" si="24"/>
        <v>75.25</v>
      </c>
      <c r="BY40" s="115" t="str">
        <f>IF(BX40&gt;KKM!$G$10," sangat baik ",IF(BX40&gt;KKM!$H$10," baik ",IF(BX40&gt;=KKM!$I$10," cukup baik "," perlu bimbingan ")))</f>
        <v xml:space="preserve"> cukup baik </v>
      </c>
      <c r="BZ40" s="301" t="str">
        <f t="shared" si="31"/>
        <v>Anak 36 baik  dalam mengenal dan memahmi teks tembang dolanan, dan  cukup baik  dalam mengenal dan memahami sandhangan aksara Jawa.</v>
      </c>
      <c r="CA40" s="307" t="str">
        <f t="shared" si="25"/>
        <v xml:space="preserve"> baik  dalam mengenal dan memahmi teks tembang dolanan</v>
      </c>
      <c r="CB40" s="307" t="str">
        <f t="shared" si="26"/>
        <v xml:space="preserve"> cukup baik  dalam mengenal dan memahami sandhangan aksara Jawa.</v>
      </c>
      <c r="CC40" s="307" t="str">
        <f t="shared" si="27"/>
        <v xml:space="preserve"> baik  dalam mengenal dan memahmi teks tembang dolanan, dan  cukup baik  dalam mengenal dan memahami sandhangan aksara Jawa.</v>
      </c>
      <c r="CD40" s="307" t="str">
        <f t="shared" si="28"/>
        <v xml:space="preserve"> </v>
      </c>
      <c r="CE40" s="308" t="str">
        <f t="shared" si="29"/>
        <v xml:space="preserve"> baik  dalam mengenal dan memahmi teks tembang dolanan, dan  cukup baik  dalam mengenal dan memahami sandhangan aksara Jawa.</v>
      </c>
      <c r="CF40" s="301" t="str">
        <f t="shared" si="30"/>
        <v>Anak 36 baik  dalam mengenal dan memahmi teks tembang dolanan, dan  cukup baik  dalam mengenal dan memahami sandhangan aksara Jawa.</v>
      </c>
    </row>
    <row r="41" spans="2:84" ht="63" customHeight="1">
      <c r="B41" s="109">
        <v>37</v>
      </c>
      <c r="C41" s="110">
        <f>SISWA!B42</f>
        <v>0</v>
      </c>
      <c r="D41" s="111" t="str">
        <f>SISWA!E42</f>
        <v>Anak 37</v>
      </c>
      <c r="E41" s="631">
        <v>99</v>
      </c>
      <c r="F41" s="631">
        <v>99</v>
      </c>
      <c r="G41" s="631">
        <v>99</v>
      </c>
      <c r="H41" s="613"/>
      <c r="I41" s="613"/>
      <c r="J41" s="613"/>
      <c r="K41" s="613"/>
      <c r="L41" s="613"/>
      <c r="M41" s="731"/>
      <c r="N41" s="731"/>
      <c r="O41" s="731"/>
      <c r="P41" s="731"/>
      <c r="Q41" s="730"/>
      <c r="R41" s="730"/>
      <c r="S41" s="610"/>
      <c r="T41" s="613">
        <v>81</v>
      </c>
      <c r="U41" s="613">
        <v>80.5</v>
      </c>
      <c r="V41" s="609"/>
      <c r="W41" s="609"/>
      <c r="X41" s="609"/>
      <c r="Y41" s="609"/>
      <c r="Z41" s="609"/>
      <c r="AA41" s="609"/>
      <c r="AB41" s="610"/>
      <c r="AC41" s="613"/>
      <c r="AD41" s="613">
        <v>81</v>
      </c>
      <c r="AE41" s="613">
        <v>80.5</v>
      </c>
      <c r="AF41" s="613"/>
      <c r="AG41" s="613"/>
      <c r="AH41" s="613"/>
      <c r="AI41" s="613"/>
      <c r="AJ41" s="613" t="str">
        <f>IFERROR(AVERAGE(#REF!),"")</f>
        <v/>
      </c>
      <c r="AK41" s="518"/>
      <c r="AL41" s="607">
        <f t="shared" si="9"/>
        <v>93</v>
      </c>
      <c r="AM41" s="607">
        <f t="shared" si="10"/>
        <v>89.875</v>
      </c>
      <c r="AN41" s="607">
        <f t="shared" si="11"/>
        <v>92.833333333333329</v>
      </c>
      <c r="AO41" s="607" t="str">
        <f t="shared" si="12"/>
        <v/>
      </c>
      <c r="AP41" s="607" t="str">
        <f t="shared" si="13"/>
        <v/>
      </c>
      <c r="AQ41" s="607" t="str">
        <f t="shared" si="14"/>
        <v/>
      </c>
      <c r="AR41" s="607" t="str">
        <f t="shared" si="15"/>
        <v/>
      </c>
      <c r="AS41" s="607" t="str">
        <f t="shared" si="16"/>
        <v/>
      </c>
      <c r="AT41" s="302">
        <f t="shared" si="32"/>
        <v>92</v>
      </c>
      <c r="AU41" s="303" t="str">
        <f>IF(AT41&gt;KKM!$G$10,"A",IF(AT41&gt;KKM!$H$10,"B",IF(AT41&gt;=KKM!$I$10,"C","D")))</f>
        <v>A</v>
      </c>
      <c r="AV41" s="304">
        <f t="shared" si="33"/>
        <v>93</v>
      </c>
      <c r="AW41" s="115" t="str">
        <f>IF(AV41&gt;KKM!$G$10," sangat baik ",IF(AV41&gt;KKM!$H$10," baik ",IF(AV41&gt;=KKM!$I$10," cukup baik "," perlu bimbingan ")))</f>
        <v xml:space="preserve"> sangat baik </v>
      </c>
      <c r="AX41" s="305">
        <f t="shared" si="34"/>
        <v>89.875</v>
      </c>
      <c r="AY41" s="115" t="str">
        <f>IF(AX41&gt;KKM!$G$10," sangat baik ",IF(AX41&gt;KKM!$H$10," baik ",IF(AX41&gt;=KKM!$I$10," cukup baik "," perlu bimbingan ")))</f>
        <v xml:space="preserve"> baik </v>
      </c>
      <c r="AZ41" s="301" t="str">
        <f t="shared" si="17"/>
        <v>Anak 37 sangat baik  dalam mengenal dan memahmi teks tembang dolanan, dan  baik  dalam mengenal dan memahami sandhangan aksara Jawa.</v>
      </c>
      <c r="BA41" s="306"/>
      <c r="BB41" s="307" t="str">
        <f t="shared" si="35"/>
        <v xml:space="preserve"> sangat baik  dalam mengenal dan memahmi teks tembang dolanan</v>
      </c>
      <c r="BC41" s="307" t="str">
        <f t="shared" si="36"/>
        <v xml:space="preserve"> baik  dalam mengenal dan memahami sandhangan aksara Jawa.</v>
      </c>
      <c r="BD41" s="307" t="str">
        <f t="shared" si="18"/>
        <v xml:space="preserve"> sangat baik  dalam mengenal dan memahmi teks tembang dolanan, dan  baik  dalam mengenal dan memahami sandhangan aksara Jawa.</v>
      </c>
      <c r="BE41" s="307" t="str">
        <f t="shared" si="19"/>
        <v xml:space="preserve"> </v>
      </c>
      <c r="BF41" s="308" t="str">
        <f t="shared" si="20"/>
        <v xml:space="preserve"> sangat baik  dalam mengenal dan memahmi teks tembang dolanan, dan  baik  dalam mengenal dan memahami sandhangan aksara Jawa.</v>
      </c>
      <c r="BG41" s="301" t="str">
        <f t="shared" si="37"/>
        <v>Anak 37 sangat baik  dalam mengenal dan memahmi teks tembang dolanan, dan  baik  dalam mengenal dan memahami sandhangan aksara Jawa.</v>
      </c>
      <c r="BH41" s="106"/>
      <c r="BL41" s="408">
        <f t="shared" si="21"/>
        <v>92</v>
      </c>
      <c r="BT41" s="302">
        <f t="shared" si="22"/>
        <v>81</v>
      </c>
      <c r="BU41" s="303" t="str">
        <f>IF(BT41&gt;KKM!$G$10,"A",IF(BT41&gt;KKM!$H$10,"B",IF(BT41&gt;=KKM!$I$10,"C","D")))</f>
        <v>B</v>
      </c>
      <c r="BV41" s="523">
        <f t="shared" si="23"/>
        <v>81</v>
      </c>
      <c r="BW41" s="115" t="str">
        <f>IF(BV41&gt;KKM!$G$10," sangat baik ",IF(BV41&gt;KKM!$H$10," baik ",IF(BV41&gt;=KKM!$I$10," cukup baik "," perlu bimbingan ")))</f>
        <v xml:space="preserve"> baik </v>
      </c>
      <c r="BX41" s="524">
        <f t="shared" si="24"/>
        <v>80.5</v>
      </c>
      <c r="BY41" s="115" t="str">
        <f>IF(BX41&gt;KKM!$G$10," sangat baik ",IF(BX41&gt;KKM!$H$10," baik ",IF(BX41&gt;=KKM!$I$10," cukup baik "," perlu bimbingan ")))</f>
        <v xml:space="preserve"> baik </v>
      </c>
      <c r="BZ41" s="301" t="str">
        <f t="shared" si="31"/>
        <v>Anak 37 baik  dalam mengenal dan memahmi teks tembang dolanan, dan  baik  dalam mengenal dan memahami sandhangan aksara Jawa.</v>
      </c>
      <c r="CA41" s="307" t="str">
        <f t="shared" si="25"/>
        <v xml:space="preserve"> baik  dalam mengenal dan memahmi teks tembang dolanan</v>
      </c>
      <c r="CB41" s="307" t="str">
        <f t="shared" si="26"/>
        <v xml:space="preserve"> baik  dalam mengenal dan memahami sandhangan aksara Jawa.</v>
      </c>
      <c r="CC41" s="307" t="str">
        <f t="shared" si="27"/>
        <v xml:space="preserve"> baik  dalam mengenal dan memahmi teks tembang dolanan, dan  baik  dalam mengenal dan memahami sandhangan aksara Jawa.</v>
      </c>
      <c r="CD41" s="307" t="str">
        <f t="shared" si="28"/>
        <v xml:space="preserve"> </v>
      </c>
      <c r="CE41" s="308" t="str">
        <f t="shared" si="29"/>
        <v xml:space="preserve"> baik  dalam mengenal dan memahmi teks tembang dolanan, dan  baik  dalam mengenal dan memahami sandhangan aksara Jawa.</v>
      </c>
      <c r="CF41" s="301" t="str">
        <f t="shared" si="30"/>
        <v>Anak 37 baik  dalam mengenal dan memahmi teks tembang dolanan, dan  baik  dalam mengenal dan memahami sandhangan aksara Jawa.</v>
      </c>
    </row>
    <row r="42" spans="2:84" ht="63" customHeight="1">
      <c r="B42" s="109">
        <v>38</v>
      </c>
      <c r="C42" s="110">
        <f>SISWA!B43</f>
        <v>0</v>
      </c>
      <c r="D42" s="111" t="str">
        <f>SISWA!E43</f>
        <v>Anak 38</v>
      </c>
      <c r="E42" s="631">
        <v>99</v>
      </c>
      <c r="F42" s="631">
        <v>99</v>
      </c>
      <c r="G42" s="631">
        <v>99</v>
      </c>
      <c r="H42" s="613"/>
      <c r="I42" s="613"/>
      <c r="J42" s="613"/>
      <c r="K42" s="613"/>
      <c r="L42" s="613"/>
      <c r="M42" s="731"/>
      <c r="N42" s="731"/>
      <c r="O42" s="731"/>
      <c r="P42" s="731"/>
      <c r="Q42" s="730"/>
      <c r="R42" s="730"/>
      <c r="S42" s="610"/>
      <c r="T42" s="613">
        <v>76.5</v>
      </c>
      <c r="U42" s="613">
        <v>86.5</v>
      </c>
      <c r="V42" s="609"/>
      <c r="W42" s="609"/>
      <c r="X42" s="609"/>
      <c r="Y42" s="609"/>
      <c r="Z42" s="609"/>
      <c r="AA42" s="609"/>
      <c r="AB42" s="610"/>
      <c r="AC42" s="613"/>
      <c r="AD42" s="613">
        <v>76.5</v>
      </c>
      <c r="AE42" s="613">
        <v>86.5</v>
      </c>
      <c r="AF42" s="613"/>
      <c r="AG42" s="613"/>
      <c r="AH42" s="613"/>
      <c r="AI42" s="613"/>
      <c r="AJ42" s="613" t="str">
        <f>IFERROR(AVERAGE(#REF!),"")</f>
        <v/>
      </c>
      <c r="AK42" s="518"/>
      <c r="AL42" s="607">
        <f t="shared" si="9"/>
        <v>91.5</v>
      </c>
      <c r="AM42" s="607">
        <f t="shared" si="10"/>
        <v>90.25</v>
      </c>
      <c r="AN42" s="607">
        <f t="shared" si="11"/>
        <v>94.833333333333329</v>
      </c>
      <c r="AO42" s="607" t="str">
        <f t="shared" si="12"/>
        <v/>
      </c>
      <c r="AP42" s="607" t="str">
        <f t="shared" si="13"/>
        <v/>
      </c>
      <c r="AQ42" s="607" t="str">
        <f t="shared" si="14"/>
        <v/>
      </c>
      <c r="AR42" s="607" t="str">
        <f t="shared" si="15"/>
        <v/>
      </c>
      <c r="AS42" s="607" t="str">
        <f t="shared" si="16"/>
        <v/>
      </c>
      <c r="AT42" s="302">
        <f t="shared" si="32"/>
        <v>92</v>
      </c>
      <c r="AU42" s="303" t="str">
        <f>IF(AT42&gt;KKM!$G$10,"A",IF(AT42&gt;KKM!$H$10,"B",IF(AT42&gt;=KKM!$I$10,"C","D")))</f>
        <v>A</v>
      </c>
      <c r="AV42" s="304">
        <f t="shared" si="33"/>
        <v>94.833333333333329</v>
      </c>
      <c r="AW42" s="115" t="str">
        <f>IF(AV42&gt;KKM!$G$10," sangat baik ",IF(AV42&gt;KKM!$H$10," baik ",IF(AV42&gt;=KKM!$I$10," cukup baik "," perlu bimbingan ")))</f>
        <v xml:space="preserve"> sangat baik </v>
      </c>
      <c r="AX42" s="305">
        <f t="shared" si="34"/>
        <v>90.25</v>
      </c>
      <c r="AY42" s="115" t="str">
        <f>IF(AX42&gt;KKM!$G$10," sangat baik ",IF(AX42&gt;KKM!$H$10," baik ",IF(AX42&gt;=KKM!$I$10," cukup baik "," perlu bimbingan ")))</f>
        <v xml:space="preserve"> sangat baik </v>
      </c>
      <c r="AZ42" s="301" t="str">
        <f t="shared" si="17"/>
        <v>Anak 38 sangat baik  dalam mengenal, memahami, dan mengidentifikasi kata berimbuhan dalam teks sesuai kaidah, dan  sangat baik  dalam mengenal dan memahami sandhangan aksara Jawa.</v>
      </c>
      <c r="BA42" s="306"/>
      <c r="BB42" s="307" t="str">
        <f t="shared" si="35"/>
        <v xml:space="preserve"> sangat baik  dalam mengenal, memahami, dan mengidentifikasi kata berimbuhan dalam teks sesuai kaidah</v>
      </c>
      <c r="BC42" s="307" t="str">
        <f t="shared" si="36"/>
        <v xml:space="preserve"> sangat baik  dalam mengenal dan memahami sandhangan aksara Jawa.</v>
      </c>
      <c r="BD42" s="307" t="str">
        <f t="shared" si="18"/>
        <v xml:space="preserve"> sangat baik  dalam mengenal, memahami, dan mengidentifikasi kata berimbuhan dalam teks sesuai kaidah, dan  sangat baik  dalam mengenal dan memahami sandhangan aksara Jawa.</v>
      </c>
      <c r="BE42" s="307" t="str">
        <f t="shared" si="19"/>
        <v xml:space="preserve"> </v>
      </c>
      <c r="BF42" s="308" t="str">
        <f t="shared" si="20"/>
        <v xml:space="preserve"> sangat baik  dalam mengenal, memahami, dan mengidentifikasi kata berimbuhan dalam teks sesuai kaidah, dan  sangat baik  dalam mengenal dan memahami sandhangan aksara Jawa.</v>
      </c>
      <c r="BG42" s="301" t="str">
        <f t="shared" si="37"/>
        <v>Anak 38 sangat baik  dalam mengenal, memahami, dan mengidentifikasi kata berimbuhan dalam teks sesuai kaidah, dan  sangat baik  dalam mengenal dan memahami sandhangan aksara Jawa.</v>
      </c>
      <c r="BH42" s="106"/>
      <c r="BL42" s="408">
        <f t="shared" si="21"/>
        <v>92</v>
      </c>
      <c r="BT42" s="302">
        <f t="shared" si="22"/>
        <v>82</v>
      </c>
      <c r="BU42" s="303" t="str">
        <f>IF(BT42&gt;KKM!$G$10,"A",IF(BT42&gt;KKM!$H$10,"B",IF(BT42&gt;=KKM!$I$10,"C","D")))</f>
        <v>B</v>
      </c>
      <c r="BV42" s="523">
        <f t="shared" si="23"/>
        <v>86.5</v>
      </c>
      <c r="BW42" s="115" t="str">
        <f>IF(BV42&gt;KKM!$G$10," sangat baik ",IF(BV42&gt;KKM!$H$10," baik ",IF(BV42&gt;=KKM!$I$10," cukup baik "," perlu bimbingan ")))</f>
        <v xml:space="preserve"> baik </v>
      </c>
      <c r="BX42" s="524">
        <f t="shared" si="24"/>
        <v>76.5</v>
      </c>
      <c r="BY42" s="115" t="str">
        <f>IF(BX42&gt;KKM!$G$10," sangat baik ",IF(BX42&gt;KKM!$H$10," baik ",IF(BX42&gt;=KKM!$I$10," cukup baik "," perlu bimbingan ")))</f>
        <v xml:space="preserve"> cukup baik </v>
      </c>
      <c r="BZ42" s="301" t="str">
        <f t="shared" si="31"/>
        <v>Anak 38 baik  dalam mengenal dan memahami sandhangan aksara Jawa., dan  cukup baik  dalam mengenal dan memahmi teks tembang dolanan</v>
      </c>
      <c r="CA42" s="307" t="str">
        <f t="shared" si="25"/>
        <v xml:space="preserve"> baik  dalam mengenal dan memahami sandhangan aksara Jawa.</v>
      </c>
      <c r="CB42" s="307" t="str">
        <f t="shared" si="26"/>
        <v xml:space="preserve"> cukup baik  dalam mengenal dan memahmi teks tembang dolanan</v>
      </c>
      <c r="CC42" s="307" t="str">
        <f t="shared" si="27"/>
        <v xml:space="preserve"> baik  dalam mengenal dan memahami sandhangan aksara Jawa., dan  cukup baik  dalam mengenal dan memahmi teks tembang dolanan</v>
      </c>
      <c r="CD42" s="307" t="str">
        <f t="shared" si="28"/>
        <v xml:space="preserve"> </v>
      </c>
      <c r="CE42" s="308" t="str">
        <f t="shared" si="29"/>
        <v xml:space="preserve"> baik  dalam mengenal dan memahami sandhangan aksara Jawa., dan  cukup baik  dalam mengenal dan memahmi teks tembang dolanan</v>
      </c>
      <c r="CF42" s="301" t="str">
        <f t="shared" si="30"/>
        <v>Anak 38 baik  dalam mengenal dan memahami sandhangan aksara Jawa., dan  cukup baik  dalam mengenal dan memahmi teks tembang dolanan</v>
      </c>
    </row>
    <row r="43" spans="2:84" ht="63" customHeight="1">
      <c r="B43" s="109">
        <v>39</v>
      </c>
      <c r="C43" s="110">
        <f>SISWA!B44</f>
        <v>0</v>
      </c>
      <c r="D43" s="111" t="str">
        <f>SISWA!E44</f>
        <v>Anak 39</v>
      </c>
      <c r="E43" s="631">
        <v>99</v>
      </c>
      <c r="F43" s="631">
        <v>99</v>
      </c>
      <c r="G43" s="631">
        <v>99</v>
      </c>
      <c r="H43" s="613"/>
      <c r="I43" s="613"/>
      <c r="J43" s="613"/>
      <c r="K43" s="613"/>
      <c r="L43" s="613"/>
      <c r="M43" s="731"/>
      <c r="N43" s="731"/>
      <c r="O43" s="731"/>
      <c r="P43" s="731"/>
      <c r="Q43" s="730"/>
      <c r="R43" s="730"/>
      <c r="S43" s="610"/>
      <c r="T43" s="613">
        <v>86.5</v>
      </c>
      <c r="U43" s="613">
        <v>76.75</v>
      </c>
      <c r="V43" s="609"/>
      <c r="W43" s="609"/>
      <c r="X43" s="609"/>
      <c r="Y43" s="609"/>
      <c r="Z43" s="609"/>
      <c r="AA43" s="609"/>
      <c r="AB43" s="610"/>
      <c r="AC43" s="613"/>
      <c r="AD43" s="613">
        <v>86.5</v>
      </c>
      <c r="AE43" s="613">
        <v>76.75</v>
      </c>
      <c r="AF43" s="613"/>
      <c r="AG43" s="613"/>
      <c r="AH43" s="613"/>
      <c r="AI43" s="613"/>
      <c r="AJ43" s="613" t="str">
        <f>IFERROR(AVERAGE(#REF!),"")</f>
        <v/>
      </c>
      <c r="AK43" s="518"/>
      <c r="AL43" s="607">
        <f t="shared" si="9"/>
        <v>94.833333333333329</v>
      </c>
      <c r="AM43" s="607">
        <f t="shared" si="10"/>
        <v>90.3125</v>
      </c>
      <c r="AN43" s="607">
        <f t="shared" si="11"/>
        <v>91.583333333333329</v>
      </c>
      <c r="AO43" s="607" t="str">
        <f t="shared" si="12"/>
        <v/>
      </c>
      <c r="AP43" s="607" t="str">
        <f t="shared" si="13"/>
        <v/>
      </c>
      <c r="AQ43" s="607" t="str">
        <f t="shared" si="14"/>
        <v/>
      </c>
      <c r="AR43" s="607" t="str">
        <f t="shared" si="15"/>
        <v/>
      </c>
      <c r="AS43" s="607" t="str">
        <f t="shared" si="16"/>
        <v/>
      </c>
      <c r="AT43" s="302">
        <f t="shared" si="32"/>
        <v>92</v>
      </c>
      <c r="AU43" s="303" t="str">
        <f>IF(AT43&gt;KKM!$G$10,"A",IF(AT43&gt;KKM!$H$10,"B",IF(AT43&gt;=KKM!$I$10,"C","D")))</f>
        <v>A</v>
      </c>
      <c r="AV43" s="304">
        <f t="shared" si="33"/>
        <v>94.833333333333329</v>
      </c>
      <c r="AW43" s="115" t="str">
        <f>IF(AV43&gt;KKM!$G$10," sangat baik ",IF(AV43&gt;KKM!$H$10," baik ",IF(AV43&gt;=KKM!$I$10," cukup baik "," perlu bimbingan ")))</f>
        <v xml:space="preserve"> sangat baik </v>
      </c>
      <c r="AX43" s="305">
        <f t="shared" si="34"/>
        <v>90.3125</v>
      </c>
      <c r="AY43" s="115" t="str">
        <f>IF(AX43&gt;KKM!$G$10," sangat baik ",IF(AX43&gt;KKM!$H$10," baik ",IF(AX43&gt;=KKM!$I$10," cukup baik "," perlu bimbingan ")))</f>
        <v xml:space="preserve"> sangat baik </v>
      </c>
      <c r="AZ43" s="301" t="str">
        <f t="shared" si="17"/>
        <v>Anak 39 sangat baik  dalam mengenal dan memahmi teks tembang dolanan, dan  sangat baik  dalam mengenal dan memahami sandhangan aksara Jawa.</v>
      </c>
      <c r="BA43" s="306"/>
      <c r="BB43" s="307" t="str">
        <f t="shared" si="35"/>
        <v xml:space="preserve"> sangat baik  dalam mengenal dan memahmi teks tembang dolanan</v>
      </c>
      <c r="BC43" s="307" t="str">
        <f t="shared" si="36"/>
        <v xml:space="preserve"> sangat baik  dalam mengenal dan memahami sandhangan aksara Jawa.</v>
      </c>
      <c r="BD43" s="307" t="str">
        <f t="shared" si="18"/>
        <v xml:space="preserve"> sangat baik  dalam mengenal dan memahmi teks tembang dolanan, dan  sangat baik  dalam mengenal dan memahami sandhangan aksara Jawa.</v>
      </c>
      <c r="BE43" s="307" t="str">
        <f t="shared" si="19"/>
        <v xml:space="preserve"> </v>
      </c>
      <c r="BF43" s="308" t="str">
        <f t="shared" si="20"/>
        <v xml:space="preserve"> sangat baik  dalam mengenal dan memahmi teks tembang dolanan, dan  sangat baik  dalam mengenal dan memahami sandhangan aksara Jawa.</v>
      </c>
      <c r="BG43" s="301" t="str">
        <f t="shared" si="37"/>
        <v>Anak 39 sangat baik  dalam mengenal dan memahmi teks tembang dolanan, dan  sangat baik  dalam mengenal dan memahami sandhangan aksara Jawa.</v>
      </c>
      <c r="BH43" s="106"/>
      <c r="BL43" s="408">
        <f t="shared" si="21"/>
        <v>92</v>
      </c>
      <c r="BT43" s="302">
        <f t="shared" si="22"/>
        <v>82</v>
      </c>
      <c r="BU43" s="303" t="str">
        <f>IF(BT43&gt;KKM!$G$10,"A",IF(BT43&gt;KKM!$H$10,"B",IF(BT43&gt;=KKM!$I$10,"C","D")))</f>
        <v>B</v>
      </c>
      <c r="BV43" s="523">
        <f t="shared" si="23"/>
        <v>86.5</v>
      </c>
      <c r="BW43" s="115" t="str">
        <f>IF(BV43&gt;KKM!$G$10," sangat baik ",IF(BV43&gt;KKM!$H$10," baik ",IF(BV43&gt;=KKM!$I$10," cukup baik "," perlu bimbingan ")))</f>
        <v xml:space="preserve"> baik </v>
      </c>
      <c r="BX43" s="524">
        <f t="shared" si="24"/>
        <v>76.75</v>
      </c>
      <c r="BY43" s="115" t="str">
        <f>IF(BX43&gt;KKM!$G$10," sangat baik ",IF(BX43&gt;KKM!$H$10," baik ",IF(BX43&gt;=KKM!$I$10," cukup baik "," perlu bimbingan ")))</f>
        <v xml:space="preserve"> cukup baik </v>
      </c>
      <c r="BZ43" s="301" t="str">
        <f t="shared" si="31"/>
        <v>Anak 39 baik  dalam mengenal dan memahmi teks tembang dolanan, dan  cukup baik  dalam mengenal dan memahami sandhangan aksara Jawa.</v>
      </c>
      <c r="CA43" s="307" t="str">
        <f t="shared" si="25"/>
        <v xml:space="preserve"> baik  dalam mengenal dan memahmi teks tembang dolanan</v>
      </c>
      <c r="CB43" s="307" t="str">
        <f t="shared" si="26"/>
        <v xml:space="preserve"> cukup baik  dalam mengenal dan memahami sandhangan aksara Jawa.</v>
      </c>
      <c r="CC43" s="307" t="str">
        <f t="shared" si="27"/>
        <v xml:space="preserve"> baik  dalam mengenal dan memahmi teks tembang dolanan, dan  cukup baik  dalam mengenal dan memahami sandhangan aksara Jawa.</v>
      </c>
      <c r="CD43" s="307" t="str">
        <f t="shared" si="28"/>
        <v xml:space="preserve"> </v>
      </c>
      <c r="CE43" s="308" t="str">
        <f t="shared" si="29"/>
        <v xml:space="preserve"> baik  dalam mengenal dan memahmi teks tembang dolanan, dan  cukup baik  dalam mengenal dan memahami sandhangan aksara Jawa.</v>
      </c>
      <c r="CF43" s="301" t="str">
        <f t="shared" si="30"/>
        <v>Anak 39 baik  dalam mengenal dan memahmi teks tembang dolanan, dan  cukup baik  dalam mengenal dan memahami sandhangan aksara Jawa.</v>
      </c>
    </row>
    <row r="44" spans="2:84" ht="63" customHeight="1">
      <c r="B44" s="109">
        <v>40</v>
      </c>
      <c r="C44" s="110">
        <f>SISWA!B45</f>
        <v>0</v>
      </c>
      <c r="D44" s="111" t="str">
        <f>SISWA!E45</f>
        <v>Anak 40</v>
      </c>
      <c r="E44" s="631">
        <v>99</v>
      </c>
      <c r="F44" s="631">
        <v>99</v>
      </c>
      <c r="G44" s="631">
        <v>99</v>
      </c>
      <c r="H44" s="613"/>
      <c r="I44" s="613"/>
      <c r="J44" s="613"/>
      <c r="K44" s="613"/>
      <c r="L44" s="613"/>
      <c r="M44" s="731"/>
      <c r="N44" s="731"/>
      <c r="O44" s="731"/>
      <c r="P44" s="731"/>
      <c r="Q44" s="730"/>
      <c r="R44" s="730"/>
      <c r="S44" s="610"/>
      <c r="T44" s="613">
        <v>90</v>
      </c>
      <c r="U44" s="613">
        <v>77.75</v>
      </c>
      <c r="V44" s="609"/>
      <c r="W44" s="609"/>
      <c r="X44" s="609"/>
      <c r="Y44" s="609"/>
      <c r="Z44" s="609"/>
      <c r="AA44" s="609"/>
      <c r="AB44" s="610"/>
      <c r="AC44" s="613"/>
      <c r="AD44" s="613">
        <v>90</v>
      </c>
      <c r="AE44" s="613">
        <v>77.75</v>
      </c>
      <c r="AF44" s="613"/>
      <c r="AG44" s="613"/>
      <c r="AH44" s="613"/>
      <c r="AI44" s="613"/>
      <c r="AJ44" s="613" t="str">
        <f>IFERROR(AVERAGE(#REF!),"")</f>
        <v/>
      </c>
      <c r="AK44" s="518"/>
      <c r="AL44" s="607">
        <f t="shared" si="9"/>
        <v>96</v>
      </c>
      <c r="AM44" s="607">
        <f t="shared" si="10"/>
        <v>91.4375</v>
      </c>
      <c r="AN44" s="607">
        <f t="shared" si="11"/>
        <v>91.916666666666671</v>
      </c>
      <c r="AO44" s="607" t="str">
        <f t="shared" si="12"/>
        <v/>
      </c>
      <c r="AP44" s="607" t="str">
        <f t="shared" si="13"/>
        <v/>
      </c>
      <c r="AQ44" s="607" t="str">
        <f t="shared" si="14"/>
        <v/>
      </c>
      <c r="AR44" s="607" t="str">
        <f t="shared" si="15"/>
        <v/>
      </c>
      <c r="AS44" s="607" t="str">
        <f t="shared" si="16"/>
        <v/>
      </c>
      <c r="AT44" s="302">
        <f t="shared" si="32"/>
        <v>93</v>
      </c>
      <c r="AU44" s="303" t="str">
        <f>IF(AT44&gt;KKM!$G$10,"A",IF(AT44&gt;KKM!$H$10,"B",IF(AT44&gt;=KKM!$I$10,"C","D")))</f>
        <v>A</v>
      </c>
      <c r="AV44" s="304">
        <f t="shared" si="33"/>
        <v>96</v>
      </c>
      <c r="AW44" s="115" t="str">
        <f>IF(AV44&gt;KKM!$G$10," sangat baik ",IF(AV44&gt;KKM!$H$10," baik ",IF(AV44&gt;=KKM!$I$10," cukup baik "," perlu bimbingan ")))</f>
        <v xml:space="preserve"> sangat baik </v>
      </c>
      <c r="AX44" s="305">
        <f t="shared" si="34"/>
        <v>91.4375</v>
      </c>
      <c r="AY44" s="115" t="str">
        <f>IF(AX44&gt;KKM!$G$10," sangat baik ",IF(AX44&gt;KKM!$H$10," baik ",IF(AX44&gt;=KKM!$I$10," cukup baik "," perlu bimbingan ")))</f>
        <v xml:space="preserve"> sangat baik </v>
      </c>
      <c r="AZ44" s="301" t="str">
        <f t="shared" si="17"/>
        <v>Anak 40 sangat baik  dalam mengenal dan memahmi teks tembang dolanan, dan  sangat baik  dalam mengenal dan memahami sandhangan aksara Jawa.</v>
      </c>
      <c r="BA44" s="306"/>
      <c r="BB44" s="307" t="str">
        <f t="shared" si="35"/>
        <v xml:space="preserve"> sangat baik  dalam mengenal dan memahmi teks tembang dolanan</v>
      </c>
      <c r="BC44" s="307" t="str">
        <f t="shared" si="36"/>
        <v xml:space="preserve"> sangat baik  dalam mengenal dan memahami sandhangan aksara Jawa.</v>
      </c>
      <c r="BD44" s="307" t="str">
        <f t="shared" si="18"/>
        <v xml:space="preserve"> sangat baik  dalam mengenal dan memahmi teks tembang dolanan, dan  sangat baik  dalam mengenal dan memahami sandhangan aksara Jawa.</v>
      </c>
      <c r="BE44" s="307" t="str">
        <f t="shared" si="19"/>
        <v xml:space="preserve"> </v>
      </c>
      <c r="BF44" s="308" t="str">
        <f t="shared" si="20"/>
        <v xml:space="preserve"> sangat baik  dalam mengenal dan memahmi teks tembang dolanan, dan  sangat baik  dalam mengenal dan memahami sandhangan aksara Jawa.</v>
      </c>
      <c r="BG44" s="301" t="str">
        <f t="shared" si="37"/>
        <v>Anak 40 sangat baik  dalam mengenal dan memahmi teks tembang dolanan, dan  sangat baik  dalam mengenal dan memahami sandhangan aksara Jawa.</v>
      </c>
      <c r="BH44" s="106"/>
      <c r="BL44" s="408">
        <f t="shared" si="21"/>
        <v>93</v>
      </c>
      <c r="BT44" s="302">
        <f t="shared" si="22"/>
        <v>84</v>
      </c>
      <c r="BU44" s="303" t="str">
        <f>IF(BT44&gt;KKM!$G$10,"A",IF(BT44&gt;KKM!$H$10,"B",IF(BT44&gt;=KKM!$I$10,"C","D")))</f>
        <v>B</v>
      </c>
      <c r="BV44" s="523">
        <f t="shared" si="23"/>
        <v>90</v>
      </c>
      <c r="BW44" s="115" t="str">
        <f>IF(BV44&gt;KKM!$G$10," sangat baik ",IF(BV44&gt;KKM!$H$10," baik ",IF(BV44&gt;=KKM!$I$10," cukup baik "," perlu bimbingan ")))</f>
        <v xml:space="preserve"> baik </v>
      </c>
      <c r="BX44" s="524">
        <f t="shared" si="24"/>
        <v>77.75</v>
      </c>
      <c r="BY44" s="115" t="str">
        <f>IF(BX44&gt;KKM!$G$10," sangat baik ",IF(BX44&gt;KKM!$H$10," baik ",IF(BX44&gt;=KKM!$I$10," cukup baik "," perlu bimbingan ")))</f>
        <v xml:space="preserve"> cukup baik </v>
      </c>
      <c r="BZ44" s="301" t="str">
        <f t="shared" si="31"/>
        <v>Anak 40 baik  dalam mengenal dan memahmi teks tembang dolanan, dan  cukup baik  dalam mengenal dan memahami sandhangan aksara Jawa.</v>
      </c>
      <c r="CA44" s="307" t="str">
        <f t="shared" si="25"/>
        <v xml:space="preserve"> baik  dalam mengenal dan memahmi teks tembang dolanan</v>
      </c>
      <c r="CB44" s="307" t="str">
        <f t="shared" si="26"/>
        <v xml:space="preserve"> cukup baik  dalam mengenal dan memahami sandhangan aksara Jawa.</v>
      </c>
      <c r="CC44" s="307" t="str">
        <f t="shared" si="27"/>
        <v xml:space="preserve"> baik  dalam mengenal dan memahmi teks tembang dolanan, dan  cukup baik  dalam mengenal dan memahami sandhangan aksara Jawa.</v>
      </c>
      <c r="CD44" s="307" t="str">
        <f t="shared" si="28"/>
        <v xml:space="preserve"> </v>
      </c>
      <c r="CE44" s="308" t="str">
        <f t="shared" si="29"/>
        <v xml:space="preserve"> baik  dalam mengenal dan memahmi teks tembang dolanan, dan  cukup baik  dalam mengenal dan memahami sandhangan aksara Jawa.</v>
      </c>
      <c r="CF44" s="301" t="str">
        <f t="shared" si="30"/>
        <v>Anak 40 baik  dalam mengenal dan memahmi teks tembang dolanan, dan  cukup baik  dalam mengenal dan memahami sandhangan aksara Jawa.</v>
      </c>
    </row>
    <row r="45" spans="2:84" ht="63" customHeight="1">
      <c r="B45" s="109">
        <v>41</v>
      </c>
      <c r="C45" s="110">
        <f>SISWA!B46</f>
        <v>0</v>
      </c>
      <c r="D45" s="111" t="str">
        <f>SISWA!E46</f>
        <v>Anak 41</v>
      </c>
      <c r="E45" s="631">
        <v>99</v>
      </c>
      <c r="F45" s="631">
        <v>99</v>
      </c>
      <c r="G45" s="631">
        <v>99</v>
      </c>
      <c r="H45" s="613"/>
      <c r="I45" s="613"/>
      <c r="J45" s="613"/>
      <c r="K45" s="613"/>
      <c r="L45" s="613"/>
      <c r="M45" s="731"/>
      <c r="N45" s="731"/>
      <c r="O45" s="731"/>
      <c r="P45" s="731"/>
      <c r="Q45" s="730"/>
      <c r="R45" s="730"/>
      <c r="S45" s="610"/>
      <c r="T45" s="613">
        <v>76.5</v>
      </c>
      <c r="U45" s="613">
        <v>90</v>
      </c>
      <c r="V45" s="609"/>
      <c r="W45" s="609"/>
      <c r="X45" s="609"/>
      <c r="Y45" s="609"/>
      <c r="Z45" s="609"/>
      <c r="AA45" s="609"/>
      <c r="AB45" s="610"/>
      <c r="AC45" s="613"/>
      <c r="AD45" s="613">
        <v>76.5</v>
      </c>
      <c r="AE45" s="613">
        <v>90</v>
      </c>
      <c r="AF45" s="613"/>
      <c r="AG45" s="613"/>
      <c r="AH45" s="613"/>
      <c r="AI45" s="613"/>
      <c r="AJ45" s="613" t="str">
        <f>IFERROR(AVERAGE(#REF!),"")</f>
        <v/>
      </c>
      <c r="AK45" s="518"/>
      <c r="AL45" s="607">
        <f t="shared" si="9"/>
        <v>91.5</v>
      </c>
      <c r="AM45" s="607">
        <f t="shared" si="10"/>
        <v>91.125</v>
      </c>
      <c r="AN45" s="607">
        <f t="shared" si="11"/>
        <v>96</v>
      </c>
      <c r="AO45" s="607" t="str">
        <f t="shared" si="12"/>
        <v/>
      </c>
      <c r="AP45" s="607" t="str">
        <f t="shared" si="13"/>
        <v/>
      </c>
      <c r="AQ45" s="607" t="str">
        <f t="shared" si="14"/>
        <v/>
      </c>
      <c r="AR45" s="607" t="str">
        <f t="shared" si="15"/>
        <v/>
      </c>
      <c r="AS45" s="607" t="str">
        <f t="shared" si="16"/>
        <v/>
      </c>
      <c r="AT45" s="302">
        <f t="shared" si="32"/>
        <v>93</v>
      </c>
      <c r="AU45" s="303" t="str">
        <f>IF(AT45&gt;KKM!$G$10,"A",IF(AT45&gt;KKM!$H$10,"B",IF(AT45&gt;=KKM!$I$10,"C","D")))</f>
        <v>A</v>
      </c>
      <c r="AV45" s="304">
        <f t="shared" si="33"/>
        <v>96</v>
      </c>
      <c r="AW45" s="115" t="str">
        <f>IF(AV45&gt;KKM!$G$10," sangat baik ",IF(AV45&gt;KKM!$H$10," baik ",IF(AV45&gt;=KKM!$I$10," cukup baik "," perlu bimbingan ")))</f>
        <v xml:space="preserve"> sangat baik </v>
      </c>
      <c r="AX45" s="305">
        <f t="shared" si="34"/>
        <v>91.125</v>
      </c>
      <c r="AY45" s="115" t="str">
        <f>IF(AX45&gt;KKM!$G$10," sangat baik ",IF(AX45&gt;KKM!$H$10," baik ",IF(AX45&gt;=KKM!$I$10," cukup baik "," perlu bimbingan ")))</f>
        <v xml:space="preserve"> sangat baik </v>
      </c>
      <c r="AZ45" s="301" t="str">
        <f t="shared" si="17"/>
        <v>Anak 41 sangat baik  dalam mengenal, memahami, dan mengidentifikasi kata berimbuhan dalam teks sesuai kaidah, dan  sangat baik  dalam mengenal dan memahami sandhangan aksara Jawa.</v>
      </c>
      <c r="BA45" s="306"/>
      <c r="BB45" s="307" t="str">
        <f t="shared" si="35"/>
        <v xml:space="preserve"> sangat baik  dalam mengenal, memahami, dan mengidentifikasi kata berimbuhan dalam teks sesuai kaidah</v>
      </c>
      <c r="BC45" s="307" t="str">
        <f t="shared" si="36"/>
        <v xml:space="preserve"> sangat baik  dalam mengenal dan memahami sandhangan aksara Jawa.</v>
      </c>
      <c r="BD45" s="307" t="str">
        <f t="shared" si="18"/>
        <v xml:space="preserve"> sangat baik  dalam mengenal, memahami, dan mengidentifikasi kata berimbuhan dalam teks sesuai kaidah, dan  sangat baik  dalam mengenal dan memahami sandhangan aksara Jawa.</v>
      </c>
      <c r="BE45" s="307" t="str">
        <f t="shared" si="19"/>
        <v xml:space="preserve"> </v>
      </c>
      <c r="BF45" s="308" t="str">
        <f t="shared" si="20"/>
        <v xml:space="preserve"> sangat baik  dalam mengenal, memahami, dan mengidentifikasi kata berimbuhan dalam teks sesuai kaidah, dan  sangat baik  dalam mengenal dan memahami sandhangan aksara Jawa.</v>
      </c>
      <c r="BG45" s="301" t="str">
        <f t="shared" si="37"/>
        <v>Anak 41 sangat baik  dalam mengenal, memahami, dan mengidentifikasi kata berimbuhan dalam teks sesuai kaidah, dan  sangat baik  dalam mengenal dan memahami sandhangan aksara Jawa.</v>
      </c>
      <c r="BH45" s="106"/>
      <c r="BL45" s="408">
        <f t="shared" si="21"/>
        <v>93</v>
      </c>
      <c r="BT45" s="302">
        <f t="shared" si="22"/>
        <v>83</v>
      </c>
      <c r="BU45" s="303" t="str">
        <f>IF(BT45&gt;KKM!$G$10,"A",IF(BT45&gt;KKM!$H$10,"B",IF(BT45&gt;=KKM!$I$10,"C","D")))</f>
        <v>B</v>
      </c>
      <c r="BV45" s="523">
        <f t="shared" si="23"/>
        <v>90</v>
      </c>
      <c r="BW45" s="115" t="str">
        <f>IF(BV45&gt;KKM!$G$10," sangat baik ",IF(BV45&gt;KKM!$H$10," baik ",IF(BV45&gt;=KKM!$I$10," cukup baik "," perlu bimbingan ")))</f>
        <v xml:space="preserve"> baik </v>
      </c>
      <c r="BX45" s="524">
        <f t="shared" si="24"/>
        <v>76.5</v>
      </c>
      <c r="BY45" s="115" t="str">
        <f>IF(BX45&gt;KKM!$G$10," sangat baik ",IF(BX45&gt;KKM!$H$10," baik ",IF(BX45&gt;=KKM!$I$10," cukup baik "," perlu bimbingan ")))</f>
        <v xml:space="preserve"> cukup baik </v>
      </c>
      <c r="BZ45" s="301" t="str">
        <f t="shared" si="31"/>
        <v>Anak 41 baik  dalam mengenal dan memahami sandhangan aksara Jawa., dan  cukup baik  dalam mengenal dan memahmi teks tembang dolanan</v>
      </c>
      <c r="CA45" s="307" t="str">
        <f t="shared" si="25"/>
        <v xml:space="preserve"> baik  dalam mengenal dan memahami sandhangan aksara Jawa.</v>
      </c>
      <c r="CB45" s="307" t="str">
        <f t="shared" si="26"/>
        <v xml:space="preserve"> cukup baik  dalam mengenal dan memahmi teks tembang dolanan</v>
      </c>
      <c r="CC45" s="307" t="str">
        <f t="shared" si="27"/>
        <v xml:space="preserve"> baik  dalam mengenal dan memahami sandhangan aksara Jawa., dan  cukup baik  dalam mengenal dan memahmi teks tembang dolanan</v>
      </c>
      <c r="CD45" s="307" t="str">
        <f t="shared" si="28"/>
        <v xml:space="preserve"> </v>
      </c>
      <c r="CE45" s="308" t="str">
        <f t="shared" si="29"/>
        <v xml:space="preserve"> baik  dalam mengenal dan memahami sandhangan aksara Jawa., dan  cukup baik  dalam mengenal dan memahmi teks tembang dolanan</v>
      </c>
      <c r="CF45" s="301" t="str">
        <f t="shared" si="30"/>
        <v>Anak 41 baik  dalam mengenal dan memahami sandhangan aksara Jawa., dan  cukup baik  dalam mengenal dan memahmi teks tembang dolanan</v>
      </c>
    </row>
    <row r="46" spans="2:84" ht="63" customHeight="1">
      <c r="B46" s="109">
        <v>42</v>
      </c>
      <c r="C46" s="110">
        <f>SISWA!B47</f>
        <v>0</v>
      </c>
      <c r="D46" s="111" t="str">
        <f>SISWA!E47</f>
        <v>Anak 42</v>
      </c>
      <c r="E46" s="631">
        <v>99</v>
      </c>
      <c r="F46" s="631">
        <v>99</v>
      </c>
      <c r="G46" s="631">
        <v>99</v>
      </c>
      <c r="H46" s="613"/>
      <c r="I46" s="613"/>
      <c r="J46" s="613"/>
      <c r="K46" s="613"/>
      <c r="L46" s="613"/>
      <c r="M46" s="731"/>
      <c r="N46" s="731"/>
      <c r="O46" s="731"/>
      <c r="P46" s="731"/>
      <c r="Q46" s="730"/>
      <c r="R46" s="730"/>
      <c r="S46" s="610"/>
      <c r="T46" s="613">
        <v>83</v>
      </c>
      <c r="U46" s="613">
        <v>87.25</v>
      </c>
      <c r="V46" s="609"/>
      <c r="W46" s="609"/>
      <c r="X46" s="609"/>
      <c r="Y46" s="609"/>
      <c r="Z46" s="609"/>
      <c r="AA46" s="609"/>
      <c r="AB46" s="610"/>
      <c r="AC46" s="613"/>
      <c r="AD46" s="613">
        <v>83</v>
      </c>
      <c r="AE46" s="613">
        <v>87.25</v>
      </c>
      <c r="AF46" s="613"/>
      <c r="AG46" s="613"/>
      <c r="AH46" s="613"/>
      <c r="AI46" s="613"/>
      <c r="AJ46" s="613" t="str">
        <f>IFERROR(AVERAGE(#REF!),"")</f>
        <v/>
      </c>
      <c r="AK46" s="518"/>
      <c r="AL46" s="607">
        <f t="shared" si="9"/>
        <v>93.666666666666671</v>
      </c>
      <c r="AM46" s="607">
        <f t="shared" si="10"/>
        <v>92.0625</v>
      </c>
      <c r="AN46" s="607">
        <f t="shared" si="11"/>
        <v>95.083333333333329</v>
      </c>
      <c r="AO46" s="607" t="str">
        <f t="shared" si="12"/>
        <v/>
      </c>
      <c r="AP46" s="607" t="str">
        <f t="shared" si="13"/>
        <v/>
      </c>
      <c r="AQ46" s="607" t="str">
        <f t="shared" si="14"/>
        <v/>
      </c>
      <c r="AR46" s="607" t="str">
        <f t="shared" si="15"/>
        <v/>
      </c>
      <c r="AS46" s="607" t="str">
        <f t="shared" si="16"/>
        <v/>
      </c>
      <c r="AT46" s="302">
        <f t="shared" si="32"/>
        <v>94</v>
      </c>
      <c r="AU46" s="303" t="str">
        <f>IF(AT46&gt;KKM!$G$10,"A",IF(AT46&gt;KKM!$H$10,"B",IF(AT46&gt;=KKM!$I$10,"C","D")))</f>
        <v>A</v>
      </c>
      <c r="AV46" s="304">
        <f t="shared" si="33"/>
        <v>95.083333333333329</v>
      </c>
      <c r="AW46" s="115" t="str">
        <f>IF(AV46&gt;KKM!$G$10," sangat baik ",IF(AV46&gt;KKM!$H$10," baik ",IF(AV46&gt;=KKM!$I$10," cukup baik "," perlu bimbingan ")))</f>
        <v xml:space="preserve"> sangat baik </v>
      </c>
      <c r="AX46" s="305">
        <f t="shared" si="34"/>
        <v>92.0625</v>
      </c>
      <c r="AY46" s="115" t="str">
        <f>IF(AX46&gt;KKM!$G$10," sangat baik ",IF(AX46&gt;KKM!$H$10," baik ",IF(AX46&gt;=KKM!$I$10," cukup baik "," perlu bimbingan ")))</f>
        <v xml:space="preserve"> sangat baik </v>
      </c>
      <c r="AZ46" s="301" t="str">
        <f t="shared" si="17"/>
        <v>Anak 42 sangat baik  dalam mengenal, memahami, dan mengidentifikasi kata berimbuhan dalam teks sesuai kaidah, dan  sangat baik  dalam mengenal dan memahami sandhangan aksara Jawa.</v>
      </c>
      <c r="BA46" s="306"/>
      <c r="BB46" s="307" t="str">
        <f t="shared" si="35"/>
        <v xml:space="preserve"> sangat baik  dalam mengenal, memahami, dan mengidentifikasi kata berimbuhan dalam teks sesuai kaidah</v>
      </c>
      <c r="BC46" s="307" t="str">
        <f t="shared" si="36"/>
        <v xml:space="preserve"> sangat baik  dalam mengenal dan memahami sandhangan aksara Jawa.</v>
      </c>
      <c r="BD46" s="307" t="str">
        <f t="shared" si="18"/>
        <v xml:space="preserve"> sangat baik  dalam mengenal, memahami, dan mengidentifikasi kata berimbuhan dalam teks sesuai kaidah, dan  sangat baik  dalam mengenal dan memahami sandhangan aksara Jawa.</v>
      </c>
      <c r="BE46" s="307" t="str">
        <f t="shared" si="19"/>
        <v xml:space="preserve"> </v>
      </c>
      <c r="BF46" s="308" t="str">
        <f t="shared" si="20"/>
        <v xml:space="preserve"> sangat baik  dalam mengenal, memahami, dan mengidentifikasi kata berimbuhan dalam teks sesuai kaidah, dan  sangat baik  dalam mengenal dan memahami sandhangan aksara Jawa.</v>
      </c>
      <c r="BG46" s="301" t="str">
        <f t="shared" si="37"/>
        <v>Anak 42 sangat baik  dalam mengenal, memahami, dan mengidentifikasi kata berimbuhan dalam teks sesuai kaidah, dan  sangat baik  dalam mengenal dan memahami sandhangan aksara Jawa.</v>
      </c>
      <c r="BH46" s="106"/>
      <c r="BL46" s="408">
        <f t="shared" si="21"/>
        <v>94</v>
      </c>
      <c r="BT46" s="302">
        <f t="shared" si="22"/>
        <v>85</v>
      </c>
      <c r="BU46" s="303" t="str">
        <f>IF(BT46&gt;KKM!$G$10,"A",IF(BT46&gt;KKM!$H$10,"B",IF(BT46&gt;=KKM!$I$10,"C","D")))</f>
        <v>B</v>
      </c>
      <c r="BV46" s="523">
        <f t="shared" si="23"/>
        <v>87.25</v>
      </c>
      <c r="BW46" s="115" t="str">
        <f>IF(BV46&gt;KKM!$G$10," sangat baik ",IF(BV46&gt;KKM!$H$10," baik ",IF(BV46&gt;=KKM!$I$10," cukup baik "," perlu bimbingan ")))</f>
        <v xml:space="preserve"> baik </v>
      </c>
      <c r="BX46" s="524">
        <f t="shared" si="24"/>
        <v>83</v>
      </c>
      <c r="BY46" s="115" t="str">
        <f>IF(BX46&gt;KKM!$G$10," sangat baik ",IF(BX46&gt;KKM!$H$10," baik ",IF(BX46&gt;=KKM!$I$10," cukup baik "," perlu bimbingan ")))</f>
        <v xml:space="preserve"> baik </v>
      </c>
      <c r="BZ46" s="301" t="str">
        <f t="shared" si="31"/>
        <v>Anak 42 baik  dalam mengenal dan memahami sandhangan aksara Jawa., dan  baik  dalam mengenal dan memahmi teks tembang dolanan</v>
      </c>
      <c r="CA46" s="307" t="str">
        <f t="shared" si="25"/>
        <v xml:space="preserve"> baik  dalam mengenal dan memahami sandhangan aksara Jawa.</v>
      </c>
      <c r="CB46" s="307" t="str">
        <f t="shared" si="26"/>
        <v xml:space="preserve"> baik  dalam mengenal dan memahmi teks tembang dolanan</v>
      </c>
      <c r="CC46" s="307" t="str">
        <f t="shared" si="27"/>
        <v xml:space="preserve"> baik  dalam mengenal dan memahami sandhangan aksara Jawa., dan  baik  dalam mengenal dan memahmi teks tembang dolanan</v>
      </c>
      <c r="CD46" s="307" t="str">
        <f t="shared" si="28"/>
        <v xml:space="preserve"> </v>
      </c>
      <c r="CE46" s="308" t="str">
        <f t="shared" si="29"/>
        <v xml:space="preserve"> baik  dalam mengenal dan memahami sandhangan aksara Jawa., dan  baik  dalam mengenal dan memahmi teks tembang dolanan</v>
      </c>
      <c r="CF46" s="301" t="str">
        <f t="shared" si="30"/>
        <v>Anak 42 baik  dalam mengenal dan memahami sandhangan aksara Jawa., dan  baik  dalam mengenal dan memahmi teks tembang dolanan</v>
      </c>
    </row>
    <row r="47" spans="2:84" ht="63" customHeight="1">
      <c r="B47" s="109">
        <v>43</v>
      </c>
      <c r="C47" s="110">
        <f>SISWA!B48</f>
        <v>0</v>
      </c>
      <c r="D47" s="111" t="str">
        <f>SISWA!E48</f>
        <v>Anak 43</v>
      </c>
      <c r="E47" s="631">
        <v>99</v>
      </c>
      <c r="F47" s="631">
        <v>99</v>
      </c>
      <c r="G47" s="631">
        <v>99</v>
      </c>
      <c r="H47" s="613"/>
      <c r="I47" s="613"/>
      <c r="J47" s="613"/>
      <c r="K47" s="613"/>
      <c r="L47" s="613"/>
      <c r="M47" s="731"/>
      <c r="N47" s="731"/>
      <c r="O47" s="731"/>
      <c r="P47" s="731"/>
      <c r="Q47" s="730"/>
      <c r="R47" s="730"/>
      <c r="S47" s="610"/>
      <c r="T47" s="613">
        <v>74.5</v>
      </c>
      <c r="U47" s="613">
        <v>77.5</v>
      </c>
      <c r="V47" s="609"/>
      <c r="W47" s="609"/>
      <c r="X47" s="609"/>
      <c r="Y47" s="609"/>
      <c r="Z47" s="609"/>
      <c r="AA47" s="609"/>
      <c r="AB47" s="610"/>
      <c r="AC47" s="613"/>
      <c r="AD47" s="613">
        <v>74.5</v>
      </c>
      <c r="AE47" s="613">
        <v>77.5</v>
      </c>
      <c r="AF47" s="613"/>
      <c r="AG47" s="613"/>
      <c r="AH47" s="613"/>
      <c r="AI47" s="613"/>
      <c r="AJ47" s="613" t="str">
        <f>IFERROR(AVERAGE(#REF!),"")</f>
        <v/>
      </c>
      <c r="AK47" s="518"/>
      <c r="AL47" s="607">
        <f t="shared" si="9"/>
        <v>90.833333333333329</v>
      </c>
      <c r="AM47" s="607">
        <f t="shared" si="10"/>
        <v>87.5</v>
      </c>
      <c r="AN47" s="607">
        <f t="shared" si="11"/>
        <v>91.833333333333329</v>
      </c>
      <c r="AO47" s="607" t="str">
        <f t="shared" si="12"/>
        <v/>
      </c>
      <c r="AP47" s="607" t="str">
        <f t="shared" si="13"/>
        <v/>
      </c>
      <c r="AQ47" s="607" t="str">
        <f t="shared" si="14"/>
        <v/>
      </c>
      <c r="AR47" s="607" t="str">
        <f t="shared" si="15"/>
        <v/>
      </c>
      <c r="AS47" s="607" t="str">
        <f t="shared" si="16"/>
        <v/>
      </c>
      <c r="AT47" s="302">
        <f t="shared" si="32"/>
        <v>90</v>
      </c>
      <c r="AU47" s="303" t="str">
        <f>IF(AT47&gt;KKM!$G$10,"A",IF(AT47&gt;KKM!$H$10,"B",IF(AT47&gt;=KKM!$I$10,"C","D")))</f>
        <v>B</v>
      </c>
      <c r="AV47" s="304">
        <f t="shared" si="33"/>
        <v>91.833333333333329</v>
      </c>
      <c r="AW47" s="115" t="str">
        <f>IF(AV47&gt;KKM!$G$10," sangat baik ",IF(AV47&gt;KKM!$H$10," baik ",IF(AV47&gt;=KKM!$I$10," cukup baik "," perlu bimbingan ")))</f>
        <v xml:space="preserve"> sangat baik </v>
      </c>
      <c r="AX47" s="305">
        <f t="shared" si="34"/>
        <v>87.5</v>
      </c>
      <c r="AY47" s="115" t="str">
        <f>IF(AX47&gt;KKM!$G$10," sangat baik ",IF(AX47&gt;KKM!$H$10," baik ",IF(AX47&gt;=KKM!$I$10," cukup baik "," perlu bimbingan ")))</f>
        <v xml:space="preserve"> baik </v>
      </c>
      <c r="AZ47" s="301" t="str">
        <f t="shared" si="17"/>
        <v>Anak 43 sangat baik  dalam mengenal, memahami, dan mengidentifikasi kata berimbuhan dalam teks sesuai kaidah, dan  baik  dalam mengenal dan memahami sandhangan aksara Jawa.</v>
      </c>
      <c r="BA47" s="306"/>
      <c r="BB47" s="307" t="str">
        <f t="shared" si="35"/>
        <v xml:space="preserve"> sangat baik  dalam mengenal, memahami, dan mengidentifikasi kata berimbuhan dalam teks sesuai kaidah</v>
      </c>
      <c r="BC47" s="307" t="str">
        <f t="shared" si="36"/>
        <v xml:space="preserve"> baik  dalam mengenal dan memahami sandhangan aksara Jawa.</v>
      </c>
      <c r="BD47" s="307" t="str">
        <f t="shared" si="18"/>
        <v xml:space="preserve"> sangat baik  dalam mengenal, memahami, dan mengidentifikasi kata berimbuhan dalam teks sesuai kaidah, dan  baik  dalam mengenal dan memahami sandhangan aksara Jawa.</v>
      </c>
      <c r="BE47" s="307" t="str">
        <f t="shared" si="19"/>
        <v xml:space="preserve"> </v>
      </c>
      <c r="BF47" s="308" t="str">
        <f t="shared" si="20"/>
        <v xml:space="preserve"> sangat baik  dalam mengenal, memahami, dan mengidentifikasi kata berimbuhan dalam teks sesuai kaidah, dan  baik  dalam mengenal dan memahami sandhangan aksara Jawa.</v>
      </c>
      <c r="BG47" s="301" t="str">
        <f t="shared" si="37"/>
        <v>Anak 43 sangat baik  dalam mengenal, memahami, dan mengidentifikasi kata berimbuhan dalam teks sesuai kaidah, dan  baik  dalam mengenal dan memahami sandhangan aksara Jawa.</v>
      </c>
      <c r="BH47" s="106"/>
      <c r="BL47" s="408">
        <f t="shared" si="21"/>
        <v>90</v>
      </c>
      <c r="BT47" s="302">
        <f t="shared" si="22"/>
        <v>76</v>
      </c>
      <c r="BU47" s="303" t="str">
        <f>IF(BT47&gt;KKM!$G$10,"A",IF(BT47&gt;KKM!$H$10,"B",IF(BT47&gt;=KKM!$I$10,"C","D")))</f>
        <v>C</v>
      </c>
      <c r="BV47" s="523">
        <f t="shared" si="23"/>
        <v>77.5</v>
      </c>
      <c r="BW47" s="115" t="str">
        <f>IF(BV47&gt;KKM!$G$10," sangat baik ",IF(BV47&gt;KKM!$H$10," baik ",IF(BV47&gt;=KKM!$I$10," cukup baik "," perlu bimbingan ")))</f>
        <v xml:space="preserve"> cukup baik </v>
      </c>
      <c r="BX47" s="524">
        <f t="shared" si="24"/>
        <v>74.5</v>
      </c>
      <c r="BY47" s="115" t="str">
        <f>IF(BX47&gt;KKM!$G$10," sangat baik ",IF(BX47&gt;KKM!$H$10," baik ",IF(BX47&gt;=KKM!$I$10," cukup baik "," perlu bimbingan ")))</f>
        <v xml:space="preserve"> cukup baik </v>
      </c>
      <c r="BZ47" s="301" t="str">
        <f t="shared" si="31"/>
        <v>Anak 43 cukup baik  dalam mengenal dan memahami sandhangan aksara Jawa., dan  cukup baik  dalam mengenal dan memahmi teks tembang dolanan</v>
      </c>
      <c r="CA47" s="307" t="str">
        <f t="shared" si="25"/>
        <v xml:space="preserve"> cukup baik  dalam mengenal dan memahami sandhangan aksara Jawa.</v>
      </c>
      <c r="CB47" s="307" t="str">
        <f t="shared" si="26"/>
        <v xml:space="preserve"> cukup baik  dalam mengenal dan memahmi teks tembang dolanan</v>
      </c>
      <c r="CC47" s="307" t="str">
        <f t="shared" si="27"/>
        <v xml:space="preserve"> cukup baik  dalam mengenal dan memahami sandhangan aksara Jawa., dan  cukup baik  dalam mengenal dan memahmi teks tembang dolanan</v>
      </c>
      <c r="CD47" s="307" t="str">
        <f t="shared" si="28"/>
        <v xml:space="preserve"> </v>
      </c>
      <c r="CE47" s="308" t="str">
        <f t="shared" si="29"/>
        <v xml:space="preserve"> cukup baik  dalam mengenal dan memahami sandhangan aksara Jawa., dan  cukup baik  dalam mengenal dan memahmi teks tembang dolanan</v>
      </c>
      <c r="CF47" s="301" t="str">
        <f t="shared" si="30"/>
        <v>Anak 43 cukup baik  dalam mengenal dan memahami sandhangan aksara Jawa., dan  cukup baik  dalam mengenal dan memahmi teks tembang dolanan</v>
      </c>
    </row>
    <row r="48" spans="2:84" ht="63" customHeight="1">
      <c r="B48" s="109">
        <v>44</v>
      </c>
      <c r="C48" s="110">
        <f>SISWA!B49</f>
        <v>0</v>
      </c>
      <c r="D48" s="111" t="str">
        <f>SISWA!E49</f>
        <v>Anak 44</v>
      </c>
      <c r="E48" s="631">
        <v>99</v>
      </c>
      <c r="F48" s="631">
        <v>99</v>
      </c>
      <c r="G48" s="631">
        <v>99</v>
      </c>
      <c r="H48" s="613"/>
      <c r="I48" s="613"/>
      <c r="J48" s="613"/>
      <c r="K48" s="613"/>
      <c r="L48" s="613"/>
      <c r="M48" s="731"/>
      <c r="N48" s="731"/>
      <c r="O48" s="731"/>
      <c r="P48" s="731"/>
      <c r="Q48" s="730"/>
      <c r="R48" s="730"/>
      <c r="S48" s="610"/>
      <c r="T48" s="613">
        <v>74.5</v>
      </c>
      <c r="U48" s="613">
        <v>80.25</v>
      </c>
      <c r="V48" s="609"/>
      <c r="W48" s="609"/>
      <c r="X48" s="609"/>
      <c r="Y48" s="609"/>
      <c r="Z48" s="609"/>
      <c r="AA48" s="609"/>
      <c r="AB48" s="610"/>
      <c r="AC48" s="613"/>
      <c r="AD48" s="613">
        <v>74.5</v>
      </c>
      <c r="AE48" s="613">
        <v>80.25</v>
      </c>
      <c r="AF48" s="613"/>
      <c r="AG48" s="613"/>
      <c r="AH48" s="613"/>
      <c r="AI48" s="613"/>
      <c r="AJ48" s="613" t="str">
        <f>IFERROR(AVERAGE(#REF!),"")</f>
        <v/>
      </c>
      <c r="AK48" s="518"/>
      <c r="AL48" s="607">
        <f t="shared" si="9"/>
        <v>90.833333333333329</v>
      </c>
      <c r="AM48" s="607">
        <f t="shared" si="10"/>
        <v>88.1875</v>
      </c>
      <c r="AN48" s="607">
        <f t="shared" si="11"/>
        <v>92.75</v>
      </c>
      <c r="AO48" s="607" t="str">
        <f t="shared" si="12"/>
        <v/>
      </c>
      <c r="AP48" s="607" t="str">
        <f t="shared" si="13"/>
        <v/>
      </c>
      <c r="AQ48" s="607" t="str">
        <f t="shared" si="14"/>
        <v/>
      </c>
      <c r="AR48" s="607" t="str">
        <f t="shared" si="15"/>
        <v/>
      </c>
      <c r="AS48" s="607" t="str">
        <f t="shared" si="16"/>
        <v/>
      </c>
      <c r="AT48" s="302">
        <f t="shared" si="32"/>
        <v>91</v>
      </c>
      <c r="AU48" s="303" t="str">
        <f>IF(AT48&gt;KKM!$G$10,"A",IF(AT48&gt;KKM!$H$10,"B",IF(AT48&gt;=KKM!$I$10,"C","D")))</f>
        <v>A</v>
      </c>
      <c r="AV48" s="304">
        <f t="shared" si="33"/>
        <v>92.75</v>
      </c>
      <c r="AW48" s="115" t="str">
        <f>IF(AV48&gt;KKM!$G$10," sangat baik ",IF(AV48&gt;KKM!$H$10," baik ",IF(AV48&gt;=KKM!$I$10," cukup baik "," perlu bimbingan ")))</f>
        <v xml:space="preserve"> sangat baik </v>
      </c>
      <c r="AX48" s="305">
        <f t="shared" si="34"/>
        <v>88.1875</v>
      </c>
      <c r="AY48" s="115" t="str">
        <f>IF(AX48&gt;KKM!$G$10," sangat baik ",IF(AX48&gt;KKM!$H$10," baik ",IF(AX48&gt;=KKM!$I$10," cukup baik "," perlu bimbingan ")))</f>
        <v xml:space="preserve"> baik </v>
      </c>
      <c r="AZ48" s="301" t="str">
        <f t="shared" si="17"/>
        <v>Anak 44 sangat baik  dalam mengenal, memahami, dan mengidentifikasi kata berimbuhan dalam teks sesuai kaidah, dan  baik  dalam mengenal dan memahami sandhangan aksara Jawa.</v>
      </c>
      <c r="BA48" s="306"/>
      <c r="BB48" s="307" t="str">
        <f t="shared" si="35"/>
        <v xml:space="preserve"> sangat baik  dalam mengenal, memahami, dan mengidentifikasi kata berimbuhan dalam teks sesuai kaidah</v>
      </c>
      <c r="BC48" s="307" t="str">
        <f t="shared" si="36"/>
        <v xml:space="preserve"> baik  dalam mengenal dan memahami sandhangan aksara Jawa.</v>
      </c>
      <c r="BD48" s="307" t="str">
        <f t="shared" si="18"/>
        <v xml:space="preserve"> sangat baik  dalam mengenal, memahami, dan mengidentifikasi kata berimbuhan dalam teks sesuai kaidah, dan  baik  dalam mengenal dan memahami sandhangan aksara Jawa.</v>
      </c>
      <c r="BE48" s="307" t="str">
        <f t="shared" si="19"/>
        <v xml:space="preserve"> </v>
      </c>
      <c r="BF48" s="308" t="str">
        <f t="shared" si="20"/>
        <v xml:space="preserve"> sangat baik  dalam mengenal, memahami, dan mengidentifikasi kata berimbuhan dalam teks sesuai kaidah, dan  baik  dalam mengenal dan memahami sandhangan aksara Jawa.</v>
      </c>
      <c r="BG48" s="301" t="str">
        <f t="shared" si="37"/>
        <v>Anak 44 sangat baik  dalam mengenal, memahami, dan mengidentifikasi kata berimbuhan dalam teks sesuai kaidah, dan  baik  dalam mengenal dan memahami sandhangan aksara Jawa.</v>
      </c>
      <c r="BH48" s="106"/>
      <c r="BL48" s="408">
        <f t="shared" si="21"/>
        <v>91</v>
      </c>
      <c r="BT48" s="302">
        <f t="shared" si="22"/>
        <v>77</v>
      </c>
      <c r="BU48" s="303" t="str">
        <f>IF(BT48&gt;KKM!$G$10,"A",IF(BT48&gt;KKM!$H$10,"B",IF(BT48&gt;=KKM!$I$10,"C","D")))</f>
        <v>C</v>
      </c>
      <c r="BV48" s="523">
        <f t="shared" si="23"/>
        <v>80.25</v>
      </c>
      <c r="BW48" s="115" t="str">
        <f>IF(BV48&gt;KKM!$G$10," sangat baik ",IF(BV48&gt;KKM!$H$10," baik ",IF(BV48&gt;=KKM!$I$10," cukup baik "," perlu bimbingan ")))</f>
        <v xml:space="preserve"> baik </v>
      </c>
      <c r="BX48" s="524">
        <f t="shared" si="24"/>
        <v>74.5</v>
      </c>
      <c r="BY48" s="115" t="str">
        <f>IF(BX48&gt;KKM!$G$10," sangat baik ",IF(BX48&gt;KKM!$H$10," baik ",IF(BX48&gt;=KKM!$I$10," cukup baik "," perlu bimbingan ")))</f>
        <v xml:space="preserve"> cukup baik </v>
      </c>
      <c r="BZ48" s="301" t="str">
        <f t="shared" si="31"/>
        <v>Anak 44 baik  dalam mengenal dan memahami sandhangan aksara Jawa., dan  cukup baik  dalam mengenal dan memahmi teks tembang dolanan</v>
      </c>
      <c r="CA48" s="307" t="str">
        <f t="shared" si="25"/>
        <v xml:space="preserve"> baik  dalam mengenal dan memahami sandhangan aksara Jawa.</v>
      </c>
      <c r="CB48" s="307" t="str">
        <f t="shared" si="26"/>
        <v xml:space="preserve"> cukup baik  dalam mengenal dan memahmi teks tembang dolanan</v>
      </c>
      <c r="CC48" s="307" t="str">
        <f t="shared" si="27"/>
        <v xml:space="preserve"> baik  dalam mengenal dan memahami sandhangan aksara Jawa., dan  cukup baik  dalam mengenal dan memahmi teks tembang dolanan</v>
      </c>
      <c r="CD48" s="307" t="str">
        <f t="shared" si="28"/>
        <v xml:space="preserve"> </v>
      </c>
      <c r="CE48" s="308" t="str">
        <f t="shared" si="29"/>
        <v xml:space="preserve"> baik  dalam mengenal dan memahami sandhangan aksara Jawa., dan  cukup baik  dalam mengenal dan memahmi teks tembang dolanan</v>
      </c>
      <c r="CF48" s="301" t="str">
        <f t="shared" si="30"/>
        <v>Anak 44 baik  dalam mengenal dan memahami sandhangan aksara Jawa., dan  cukup baik  dalam mengenal dan memahmi teks tembang dolanan</v>
      </c>
    </row>
    <row r="49" spans="2:84" ht="63" customHeight="1">
      <c r="B49" s="109">
        <v>45</v>
      </c>
      <c r="C49" s="110">
        <f>SISWA!B50</f>
        <v>0</v>
      </c>
      <c r="D49" s="111" t="str">
        <f>SISWA!E50</f>
        <v>Anak 45</v>
      </c>
      <c r="E49" s="631">
        <v>99</v>
      </c>
      <c r="F49" s="631">
        <v>99</v>
      </c>
      <c r="G49" s="631">
        <v>99</v>
      </c>
      <c r="H49" s="613"/>
      <c r="I49" s="613"/>
      <c r="J49" s="613"/>
      <c r="K49" s="613"/>
      <c r="L49" s="613"/>
      <c r="M49" s="731"/>
      <c r="N49" s="731"/>
      <c r="O49" s="731"/>
      <c r="P49" s="731"/>
      <c r="Q49" s="730"/>
      <c r="R49" s="730"/>
      <c r="S49" s="610"/>
      <c r="T49" s="613">
        <v>74.5</v>
      </c>
      <c r="U49" s="613">
        <v>72.25</v>
      </c>
      <c r="V49" s="609"/>
      <c r="W49" s="609"/>
      <c r="X49" s="609"/>
      <c r="Y49" s="609"/>
      <c r="Z49" s="609"/>
      <c r="AA49" s="609"/>
      <c r="AB49" s="610"/>
      <c r="AC49" s="613"/>
      <c r="AD49" s="613">
        <v>74.5</v>
      </c>
      <c r="AE49" s="613">
        <v>72.25</v>
      </c>
      <c r="AF49" s="613"/>
      <c r="AG49" s="613"/>
      <c r="AH49" s="613"/>
      <c r="AI49" s="613"/>
      <c r="AJ49" s="613" t="str">
        <f>IFERROR(AVERAGE(#REF!),"")</f>
        <v/>
      </c>
      <c r="AK49" s="518"/>
      <c r="AL49" s="607">
        <f t="shared" si="9"/>
        <v>90.833333333333329</v>
      </c>
      <c r="AM49" s="607">
        <f t="shared" si="10"/>
        <v>86.1875</v>
      </c>
      <c r="AN49" s="607">
        <f t="shared" si="11"/>
        <v>90.083333333333329</v>
      </c>
      <c r="AO49" s="607" t="str">
        <f t="shared" si="12"/>
        <v/>
      </c>
      <c r="AP49" s="607" t="str">
        <f t="shared" si="13"/>
        <v/>
      </c>
      <c r="AQ49" s="607" t="str">
        <f t="shared" si="14"/>
        <v/>
      </c>
      <c r="AR49" s="607" t="str">
        <f t="shared" si="15"/>
        <v/>
      </c>
      <c r="AS49" s="607" t="str">
        <f t="shared" si="16"/>
        <v/>
      </c>
      <c r="AT49" s="302">
        <f t="shared" si="32"/>
        <v>89</v>
      </c>
      <c r="AU49" s="303" t="str">
        <f>IF(AT49&gt;KKM!$G$10,"A",IF(AT49&gt;KKM!$H$10,"B",IF(AT49&gt;=KKM!$I$10,"C","D")))</f>
        <v>B</v>
      </c>
      <c r="AV49" s="304">
        <f t="shared" si="33"/>
        <v>90.833333333333329</v>
      </c>
      <c r="AW49" s="115" t="str">
        <f>IF(AV49&gt;KKM!$G$10," sangat baik ",IF(AV49&gt;KKM!$H$10," baik ",IF(AV49&gt;=KKM!$I$10," cukup baik "," perlu bimbingan ")))</f>
        <v xml:space="preserve"> sangat baik </v>
      </c>
      <c r="AX49" s="305">
        <f t="shared" si="34"/>
        <v>86.1875</v>
      </c>
      <c r="AY49" s="115" t="str">
        <f>IF(AX49&gt;KKM!$G$10," sangat baik ",IF(AX49&gt;KKM!$H$10," baik ",IF(AX49&gt;=KKM!$I$10," cukup baik "," perlu bimbingan ")))</f>
        <v xml:space="preserve"> baik </v>
      </c>
      <c r="AZ49" s="301" t="str">
        <f t="shared" si="17"/>
        <v>Anak 45 sangat baik  dalam mengenal dan memahmi teks tembang dolanan, dan  baik  dalam mengenal dan memahami sandhangan aksara Jawa.</v>
      </c>
      <c r="BA49" s="306"/>
      <c r="BB49" s="307" t="str">
        <f t="shared" si="35"/>
        <v xml:space="preserve"> sangat baik  dalam mengenal dan memahmi teks tembang dolanan</v>
      </c>
      <c r="BC49" s="307" t="str">
        <f t="shared" si="36"/>
        <v xml:space="preserve"> baik  dalam mengenal dan memahami sandhangan aksara Jawa.</v>
      </c>
      <c r="BD49" s="307" t="str">
        <f t="shared" si="18"/>
        <v xml:space="preserve"> sangat baik  dalam mengenal dan memahmi teks tembang dolanan, dan  baik  dalam mengenal dan memahami sandhangan aksara Jawa.</v>
      </c>
      <c r="BE49" s="307" t="str">
        <f t="shared" si="19"/>
        <v xml:space="preserve"> </v>
      </c>
      <c r="BF49" s="308" t="str">
        <f t="shared" si="20"/>
        <v xml:space="preserve"> sangat baik  dalam mengenal dan memahmi teks tembang dolanan, dan  baik  dalam mengenal dan memahami sandhangan aksara Jawa.</v>
      </c>
      <c r="BG49" s="301" t="str">
        <f t="shared" si="37"/>
        <v>Anak 45 sangat baik  dalam mengenal dan memahmi teks tembang dolanan, dan  baik  dalam mengenal dan memahami sandhangan aksara Jawa.</v>
      </c>
      <c r="BH49" s="106"/>
      <c r="BL49" s="408">
        <f t="shared" si="21"/>
        <v>89</v>
      </c>
      <c r="BT49" s="302">
        <f t="shared" si="22"/>
        <v>73</v>
      </c>
      <c r="BU49" s="303" t="str">
        <f>IF(BT49&gt;KKM!$G$10,"A",IF(BT49&gt;KKM!$H$10,"B",IF(BT49&gt;=KKM!$I$10,"C","D")))</f>
        <v>C</v>
      </c>
      <c r="BV49" s="523">
        <f t="shared" si="23"/>
        <v>74.5</v>
      </c>
      <c r="BW49" s="115" t="str">
        <f>IF(BV49&gt;KKM!$G$10," sangat baik ",IF(BV49&gt;KKM!$H$10," baik ",IF(BV49&gt;=KKM!$I$10," cukup baik "," perlu bimbingan ")))</f>
        <v xml:space="preserve"> cukup baik </v>
      </c>
      <c r="BX49" s="524">
        <f t="shared" si="24"/>
        <v>72.25</v>
      </c>
      <c r="BY49" s="115" t="str">
        <f>IF(BX49&gt;KKM!$G$10," sangat baik ",IF(BX49&gt;KKM!$H$10," baik ",IF(BX49&gt;=KKM!$I$10," cukup baik "," perlu bimbingan ")))</f>
        <v xml:space="preserve"> cukup baik </v>
      </c>
      <c r="BZ49" s="301" t="str">
        <f t="shared" si="31"/>
        <v>Anak 45 cukup baik  dalam mengenal dan memahmi teks tembang dolanan, dan  cukup baik  dalam mengenal dan memahami sandhangan aksara Jawa.</v>
      </c>
      <c r="CA49" s="307" t="str">
        <f t="shared" si="25"/>
        <v xml:space="preserve"> cukup baik  dalam mengenal dan memahmi teks tembang dolanan</v>
      </c>
      <c r="CB49" s="307" t="str">
        <f t="shared" si="26"/>
        <v xml:space="preserve"> cukup baik  dalam mengenal dan memahami sandhangan aksara Jawa.</v>
      </c>
      <c r="CC49" s="307" t="str">
        <f t="shared" si="27"/>
        <v xml:space="preserve"> cukup baik  dalam mengenal dan memahmi teks tembang dolanan, dan  cukup baik  dalam mengenal dan memahami sandhangan aksara Jawa.</v>
      </c>
      <c r="CD49" s="307" t="str">
        <f t="shared" si="28"/>
        <v xml:space="preserve"> </v>
      </c>
      <c r="CE49" s="308" t="str">
        <f t="shared" si="29"/>
        <v xml:space="preserve"> cukup baik  dalam mengenal dan memahmi teks tembang dolanan, dan  cukup baik  dalam mengenal dan memahami sandhangan aksara Jawa.</v>
      </c>
      <c r="CF49" s="301" t="str">
        <f t="shared" si="30"/>
        <v>Anak 45 cukup baik  dalam mengenal dan memahmi teks tembang dolanan, dan  cukup baik  dalam mengenal dan memahami sandhangan aksara Jawa.</v>
      </c>
    </row>
    <row r="50" spans="2:84" ht="63" customHeight="1">
      <c r="B50" s="109">
        <v>46</v>
      </c>
      <c r="C50" s="110">
        <f>SISWA!B51</f>
        <v>0</v>
      </c>
      <c r="D50" s="111" t="str">
        <f>SISWA!E51</f>
        <v>Anak 46</v>
      </c>
      <c r="E50" s="631">
        <v>99</v>
      </c>
      <c r="F50" s="631">
        <v>99</v>
      </c>
      <c r="G50" s="631">
        <v>99</v>
      </c>
      <c r="H50" s="613"/>
      <c r="I50" s="613"/>
      <c r="J50" s="613"/>
      <c r="K50" s="613"/>
      <c r="L50" s="613"/>
      <c r="M50" s="731"/>
      <c r="N50" s="731"/>
      <c r="O50" s="731"/>
      <c r="P50" s="731"/>
      <c r="Q50" s="730"/>
      <c r="R50" s="730"/>
      <c r="S50" s="610"/>
      <c r="T50" s="613">
        <v>84</v>
      </c>
      <c r="U50" s="613">
        <v>84</v>
      </c>
      <c r="V50" s="609"/>
      <c r="W50" s="609"/>
      <c r="X50" s="609"/>
      <c r="Y50" s="609"/>
      <c r="Z50" s="609"/>
      <c r="AA50" s="609"/>
      <c r="AB50" s="610"/>
      <c r="AC50" s="613"/>
      <c r="AD50" s="613">
        <v>84</v>
      </c>
      <c r="AE50" s="613">
        <v>84</v>
      </c>
      <c r="AF50" s="613"/>
      <c r="AG50" s="613"/>
      <c r="AH50" s="613"/>
      <c r="AI50" s="613"/>
      <c r="AJ50" s="613" t="str">
        <f>IFERROR(AVERAGE(#REF!),"")</f>
        <v/>
      </c>
      <c r="AK50" s="518"/>
      <c r="AL50" s="607">
        <f t="shared" si="9"/>
        <v>94</v>
      </c>
      <c r="AM50" s="607">
        <f t="shared" si="10"/>
        <v>91.5</v>
      </c>
      <c r="AN50" s="607">
        <f t="shared" si="11"/>
        <v>94</v>
      </c>
      <c r="AO50" s="607" t="str">
        <f t="shared" si="12"/>
        <v/>
      </c>
      <c r="AP50" s="607" t="str">
        <f t="shared" si="13"/>
        <v/>
      </c>
      <c r="AQ50" s="607" t="str">
        <f t="shared" si="14"/>
        <v/>
      </c>
      <c r="AR50" s="607" t="str">
        <f t="shared" si="15"/>
        <v/>
      </c>
      <c r="AS50" s="607" t="str">
        <f t="shared" si="16"/>
        <v/>
      </c>
      <c r="AT50" s="302">
        <f t="shared" si="32"/>
        <v>93</v>
      </c>
      <c r="AU50" s="303" t="str">
        <f>IF(AT50&gt;KKM!$G$10,"A",IF(AT50&gt;KKM!$H$10,"B",IF(AT50&gt;=KKM!$I$10,"C","D")))</f>
        <v>A</v>
      </c>
      <c r="AV50" s="304">
        <f t="shared" si="33"/>
        <v>94</v>
      </c>
      <c r="AW50" s="115" t="str">
        <f>IF(AV50&gt;KKM!$G$10," sangat baik ",IF(AV50&gt;KKM!$H$10," baik ",IF(AV50&gt;=KKM!$I$10," cukup baik "," perlu bimbingan ")))</f>
        <v xml:space="preserve"> sangat baik </v>
      </c>
      <c r="AX50" s="305">
        <f t="shared" si="34"/>
        <v>91.5</v>
      </c>
      <c r="AY50" s="115" t="str">
        <f>IF(AX50&gt;KKM!$G$10," sangat baik ",IF(AX50&gt;KKM!$H$10," baik ",IF(AX50&gt;=KKM!$I$10," cukup baik "," perlu bimbingan ")))</f>
        <v xml:space="preserve"> sangat baik </v>
      </c>
      <c r="AZ50" s="301" t="str">
        <f t="shared" si="17"/>
        <v>Anak 46 sangat baik  dalam mengenal dan memahmi teks tembang dolanan, dan  sangat baik  dalam mengenal dan memahami sandhangan aksara Jawa.</v>
      </c>
      <c r="BA50" s="306"/>
      <c r="BB50" s="307" t="str">
        <f t="shared" si="35"/>
        <v xml:space="preserve"> sangat baik  dalam mengenal dan memahmi teks tembang dolanan</v>
      </c>
      <c r="BC50" s="307" t="str">
        <f t="shared" si="36"/>
        <v xml:space="preserve"> sangat baik  dalam mengenal dan memahami sandhangan aksara Jawa.</v>
      </c>
      <c r="BD50" s="307" t="str">
        <f t="shared" si="18"/>
        <v xml:space="preserve"> sangat baik  dalam mengenal dan memahmi teks tembang dolanan, dan  sangat baik  dalam mengenal dan memahami sandhangan aksara Jawa.</v>
      </c>
      <c r="BE50" s="307" t="str">
        <f t="shared" si="19"/>
        <v xml:space="preserve"> </v>
      </c>
      <c r="BF50" s="308" t="str">
        <f t="shared" si="20"/>
        <v xml:space="preserve"> sangat baik  dalam mengenal dan memahmi teks tembang dolanan, dan  sangat baik  dalam mengenal dan memahami sandhangan aksara Jawa.</v>
      </c>
      <c r="BG50" s="301" t="str">
        <f t="shared" si="37"/>
        <v>Anak 46 sangat baik  dalam mengenal dan memahmi teks tembang dolanan, dan  sangat baik  dalam mengenal dan memahami sandhangan aksara Jawa.</v>
      </c>
      <c r="BH50" s="106"/>
      <c r="BL50" s="408">
        <f t="shared" si="21"/>
        <v>93</v>
      </c>
      <c r="BT50" s="302">
        <f t="shared" si="22"/>
        <v>84</v>
      </c>
      <c r="BU50" s="303" t="str">
        <f>IF(BT50&gt;KKM!$G$10,"A",IF(BT50&gt;KKM!$H$10,"B",IF(BT50&gt;=KKM!$I$10,"C","D")))</f>
        <v>B</v>
      </c>
      <c r="BV50" s="523">
        <f t="shared" si="23"/>
        <v>84</v>
      </c>
      <c r="BW50" s="115" t="str">
        <f>IF(BV50&gt;KKM!$G$10," sangat baik ",IF(BV50&gt;KKM!$H$10," baik ",IF(BV50&gt;=KKM!$I$10," cukup baik "," perlu bimbingan ")))</f>
        <v xml:space="preserve"> baik </v>
      </c>
      <c r="BX50" s="524">
        <f t="shared" si="24"/>
        <v>84</v>
      </c>
      <c r="BY50" s="115" t="str">
        <f>IF(BX50&gt;KKM!$G$10," sangat baik ",IF(BX50&gt;KKM!$H$10," baik ",IF(BX50&gt;=KKM!$I$10," cukup baik "," perlu bimbingan ")))</f>
        <v xml:space="preserve"> baik </v>
      </c>
      <c r="BZ50" s="301" t="str">
        <f t="shared" si="31"/>
        <v>Anak 46 baik  dalam mengenal dan memahmi teks tembang dolanan</v>
      </c>
      <c r="CA50" s="307" t="str">
        <f t="shared" si="25"/>
        <v xml:space="preserve"> baik  dalam mengenal dan memahmi teks tembang dolanan</v>
      </c>
      <c r="CB50" s="307" t="str">
        <f t="shared" si="26"/>
        <v xml:space="preserve"> baik  dalam mengenal dan memahmi teks tembang dolanan</v>
      </c>
      <c r="CC50" s="307" t="str">
        <f t="shared" si="27"/>
        <v xml:space="preserve"> baik  dalam mengenal dan memahmi teks tembang dolanan, dan  baik  dalam mengenal dan memahmi teks tembang dolanan</v>
      </c>
      <c r="CD50" s="307" t="str">
        <f t="shared" si="28"/>
        <v xml:space="preserve"> baik  dalam mengenal dan memahmi teks tembang dolanan</v>
      </c>
      <c r="CE50" s="308" t="str">
        <f t="shared" si="29"/>
        <v xml:space="preserve"> baik  dalam mengenal dan memahmi teks tembang dolanan</v>
      </c>
      <c r="CF50" s="301" t="str">
        <f t="shared" si="30"/>
        <v>Anak 46 baik  dalam mengenal dan memahmi teks tembang dolanan</v>
      </c>
    </row>
    <row r="51" spans="2:84" ht="63" customHeight="1">
      <c r="B51" s="109">
        <v>47</v>
      </c>
      <c r="C51" s="110">
        <f>SISWA!B52</f>
        <v>0</v>
      </c>
      <c r="D51" s="111" t="str">
        <f>SISWA!E52</f>
        <v>Anak 47</v>
      </c>
      <c r="E51" s="631">
        <v>99</v>
      </c>
      <c r="F51" s="631">
        <v>99</v>
      </c>
      <c r="G51" s="631">
        <v>99</v>
      </c>
      <c r="H51" s="613"/>
      <c r="I51" s="613"/>
      <c r="J51" s="613"/>
      <c r="K51" s="613"/>
      <c r="L51" s="613"/>
      <c r="M51" s="731"/>
      <c r="N51" s="731"/>
      <c r="O51" s="731"/>
      <c r="P51" s="731"/>
      <c r="Q51" s="730"/>
      <c r="R51" s="730"/>
      <c r="S51" s="610"/>
      <c r="T51" s="613">
        <v>68.75</v>
      </c>
      <c r="U51" s="613">
        <v>68.75</v>
      </c>
      <c r="V51" s="609"/>
      <c r="W51" s="609"/>
      <c r="X51" s="609"/>
      <c r="Y51" s="609"/>
      <c r="Z51" s="609"/>
      <c r="AA51" s="609"/>
      <c r="AB51" s="610"/>
      <c r="AC51" s="613"/>
      <c r="AD51" s="613">
        <v>68.75</v>
      </c>
      <c r="AE51" s="613">
        <v>68.75</v>
      </c>
      <c r="AF51" s="613"/>
      <c r="AG51" s="613"/>
      <c r="AH51" s="613"/>
      <c r="AI51" s="613"/>
      <c r="AJ51" s="613" t="str">
        <f>IFERROR(AVERAGE(#REF!),"")</f>
        <v/>
      </c>
      <c r="AK51" s="518"/>
      <c r="AL51" s="607">
        <f t="shared" si="9"/>
        <v>88.916666666666671</v>
      </c>
      <c r="AM51" s="607">
        <f t="shared" si="10"/>
        <v>83.875</v>
      </c>
      <c r="AN51" s="607">
        <f t="shared" si="11"/>
        <v>88.916666666666671</v>
      </c>
      <c r="AO51" s="607" t="str">
        <f t="shared" si="12"/>
        <v/>
      </c>
      <c r="AP51" s="607" t="str">
        <f t="shared" si="13"/>
        <v/>
      </c>
      <c r="AQ51" s="607" t="str">
        <f t="shared" si="14"/>
        <v/>
      </c>
      <c r="AR51" s="607" t="str">
        <f t="shared" si="15"/>
        <v/>
      </c>
      <c r="AS51" s="607" t="str">
        <f t="shared" si="16"/>
        <v/>
      </c>
      <c r="AT51" s="302">
        <f t="shared" si="32"/>
        <v>87</v>
      </c>
      <c r="AU51" s="303" t="str">
        <f>IF(AT51&gt;KKM!$G$10,"A",IF(AT51&gt;KKM!$H$10,"B",IF(AT51&gt;=KKM!$I$10,"C","D")))</f>
        <v>B</v>
      </c>
      <c r="AV51" s="304">
        <f t="shared" si="33"/>
        <v>88.916666666666671</v>
      </c>
      <c r="AW51" s="115" t="str">
        <f>IF(AV51&gt;KKM!$G$10," sangat baik ",IF(AV51&gt;KKM!$H$10," baik ",IF(AV51&gt;=KKM!$I$10," cukup baik "," perlu bimbingan ")))</f>
        <v xml:space="preserve"> baik </v>
      </c>
      <c r="AX51" s="305">
        <f t="shared" si="34"/>
        <v>83.875</v>
      </c>
      <c r="AY51" s="115" t="str">
        <f>IF(AX51&gt;KKM!$G$10," sangat baik ",IF(AX51&gt;KKM!$H$10," baik ",IF(AX51&gt;=KKM!$I$10," cukup baik "," perlu bimbingan ")))</f>
        <v xml:space="preserve"> baik </v>
      </c>
      <c r="AZ51" s="301" t="str">
        <f t="shared" si="17"/>
        <v>Anak 47 baik  dalam mengenal dan memahmi teks tembang dolanan, dan  baik  dalam mengenal dan memahami sandhangan aksara Jawa.</v>
      </c>
      <c r="BA51" s="306"/>
      <c r="BB51" s="307" t="str">
        <f t="shared" si="35"/>
        <v xml:space="preserve"> baik  dalam mengenal dan memahmi teks tembang dolanan</v>
      </c>
      <c r="BC51" s="307" t="str">
        <f t="shared" si="36"/>
        <v xml:space="preserve"> baik  dalam mengenal dan memahami sandhangan aksara Jawa.</v>
      </c>
      <c r="BD51" s="307" t="str">
        <f t="shared" si="18"/>
        <v xml:space="preserve"> baik  dalam mengenal dan memahmi teks tembang dolanan, dan  baik  dalam mengenal dan memahami sandhangan aksara Jawa.</v>
      </c>
      <c r="BE51" s="307" t="str">
        <f t="shared" si="19"/>
        <v xml:space="preserve"> </v>
      </c>
      <c r="BF51" s="308" t="str">
        <f t="shared" si="20"/>
        <v xml:space="preserve"> baik  dalam mengenal dan memahmi teks tembang dolanan, dan  baik  dalam mengenal dan memahami sandhangan aksara Jawa.</v>
      </c>
      <c r="BG51" s="301" t="str">
        <f t="shared" si="37"/>
        <v>Anak 47 baik  dalam mengenal dan memahmi teks tembang dolanan, dan  baik  dalam mengenal dan memahami sandhangan aksara Jawa.</v>
      </c>
      <c r="BH51" s="106"/>
      <c r="BL51" s="408">
        <f t="shared" si="21"/>
        <v>87</v>
      </c>
      <c r="BT51" s="302">
        <f t="shared" si="22"/>
        <v>69</v>
      </c>
      <c r="BU51" s="303" t="str">
        <f>IF(BT51&gt;KKM!$G$10,"A",IF(BT51&gt;KKM!$H$10,"B",IF(BT51&gt;=KKM!$I$10,"C","D")))</f>
        <v>D</v>
      </c>
      <c r="BV51" s="523">
        <f t="shared" si="23"/>
        <v>68.75</v>
      </c>
      <c r="BW51" s="115" t="str">
        <f>IF(BV51&gt;KKM!$G$10," sangat baik ",IF(BV51&gt;KKM!$H$10," baik ",IF(BV51&gt;=KKM!$I$10," cukup baik "," perlu bimbingan ")))</f>
        <v xml:space="preserve"> perlu bimbingan </v>
      </c>
      <c r="BX51" s="524">
        <f t="shared" si="24"/>
        <v>68.75</v>
      </c>
      <c r="BY51" s="115" t="str">
        <f>IF(BX51&gt;KKM!$G$10," sangat baik ",IF(BX51&gt;KKM!$H$10," baik ",IF(BX51&gt;=KKM!$I$10," cukup baik "," perlu bimbingan ")))</f>
        <v xml:space="preserve"> perlu bimbingan </v>
      </c>
      <c r="BZ51" s="301" t="str">
        <f t="shared" si="31"/>
        <v>Anak 47 perlu bimbingan  dalam mengenal dan memahmi teks tembang dolanan</v>
      </c>
      <c r="CA51" s="307" t="str">
        <f t="shared" si="25"/>
        <v xml:space="preserve"> perlu bimbingan  dalam mengenal dan memahmi teks tembang dolanan</v>
      </c>
      <c r="CB51" s="307" t="str">
        <f t="shared" si="26"/>
        <v xml:space="preserve"> perlu bimbingan  dalam mengenal dan memahmi teks tembang dolanan</v>
      </c>
      <c r="CC51" s="307" t="str">
        <f t="shared" si="27"/>
        <v xml:space="preserve"> perlu bimbingan  dalam mengenal dan memahmi teks tembang dolanan, dan  perlu bimbingan  dalam mengenal dan memahmi teks tembang dolanan</v>
      </c>
      <c r="CD51" s="307" t="str">
        <f t="shared" si="28"/>
        <v xml:space="preserve"> perlu bimbingan  dalam mengenal dan memahmi teks tembang dolanan</v>
      </c>
      <c r="CE51" s="308" t="str">
        <f t="shared" si="29"/>
        <v xml:space="preserve"> perlu bimbingan  dalam mengenal dan memahmi teks tembang dolanan</v>
      </c>
      <c r="CF51" s="301" t="str">
        <f t="shared" si="30"/>
        <v>Anak 47 perlu bimbingan  dalam mengenal dan memahmi teks tembang dolanan</v>
      </c>
    </row>
    <row r="52" spans="2:84" ht="63" customHeight="1">
      <c r="B52" s="109">
        <v>48</v>
      </c>
      <c r="C52" s="110">
        <f>SISWA!B53</f>
        <v>0</v>
      </c>
      <c r="D52" s="111" t="str">
        <f>SISWA!E53</f>
        <v>Anak 48</v>
      </c>
      <c r="E52" s="631">
        <v>99</v>
      </c>
      <c r="F52" s="631">
        <v>99</v>
      </c>
      <c r="G52" s="631">
        <v>99</v>
      </c>
      <c r="H52" s="613"/>
      <c r="I52" s="613"/>
      <c r="J52" s="613"/>
      <c r="K52" s="613"/>
      <c r="L52" s="613"/>
      <c r="M52" s="731"/>
      <c r="N52" s="731"/>
      <c r="O52" s="731"/>
      <c r="P52" s="731"/>
      <c r="Q52" s="730"/>
      <c r="R52" s="730"/>
      <c r="S52" s="610"/>
      <c r="T52" s="613">
        <v>69.75</v>
      </c>
      <c r="U52" s="613">
        <v>69.75</v>
      </c>
      <c r="V52" s="609"/>
      <c r="W52" s="609"/>
      <c r="X52" s="609"/>
      <c r="Y52" s="609"/>
      <c r="Z52" s="609"/>
      <c r="AA52" s="609"/>
      <c r="AB52" s="610"/>
      <c r="AC52" s="613"/>
      <c r="AD52" s="613">
        <v>69.75</v>
      </c>
      <c r="AE52" s="613">
        <v>69.75</v>
      </c>
      <c r="AF52" s="613"/>
      <c r="AG52" s="613"/>
      <c r="AH52" s="613"/>
      <c r="AI52" s="613"/>
      <c r="AJ52" s="613" t="str">
        <f>IFERROR(AVERAGE(#REF!),"")</f>
        <v/>
      </c>
      <c r="AK52" s="518"/>
      <c r="AL52" s="607">
        <f t="shared" si="9"/>
        <v>89.25</v>
      </c>
      <c r="AM52" s="607">
        <f t="shared" si="10"/>
        <v>84.375</v>
      </c>
      <c r="AN52" s="607">
        <f t="shared" si="11"/>
        <v>89.25</v>
      </c>
      <c r="AO52" s="607" t="str">
        <f t="shared" si="12"/>
        <v/>
      </c>
      <c r="AP52" s="607" t="str">
        <f t="shared" si="13"/>
        <v/>
      </c>
      <c r="AQ52" s="607" t="str">
        <f t="shared" si="14"/>
        <v/>
      </c>
      <c r="AR52" s="607" t="str">
        <f t="shared" si="15"/>
        <v/>
      </c>
      <c r="AS52" s="607" t="str">
        <f t="shared" si="16"/>
        <v/>
      </c>
      <c r="AT52" s="302">
        <f t="shared" si="32"/>
        <v>88</v>
      </c>
      <c r="AU52" s="303" t="str">
        <f>IF(AT52&gt;KKM!$G$10,"A",IF(AT52&gt;KKM!$H$10,"B",IF(AT52&gt;=KKM!$I$10,"C","D")))</f>
        <v>B</v>
      </c>
      <c r="AV52" s="304">
        <f t="shared" si="33"/>
        <v>89.25</v>
      </c>
      <c r="AW52" s="115" t="str">
        <f>IF(AV52&gt;KKM!$G$10," sangat baik ",IF(AV52&gt;KKM!$H$10," baik ",IF(AV52&gt;=KKM!$I$10," cukup baik "," perlu bimbingan ")))</f>
        <v xml:space="preserve"> baik </v>
      </c>
      <c r="AX52" s="305">
        <f t="shared" si="34"/>
        <v>84.375</v>
      </c>
      <c r="AY52" s="115" t="str">
        <f>IF(AX52&gt;KKM!$G$10," sangat baik ",IF(AX52&gt;KKM!$H$10," baik ",IF(AX52&gt;=KKM!$I$10," cukup baik "," perlu bimbingan ")))</f>
        <v xml:space="preserve"> baik </v>
      </c>
      <c r="AZ52" s="301" t="str">
        <f t="shared" si="17"/>
        <v>Anak 48 baik  dalam mengenal dan memahmi teks tembang dolanan, dan  baik  dalam mengenal dan memahami sandhangan aksara Jawa.</v>
      </c>
      <c r="BA52" s="306"/>
      <c r="BB52" s="307" t="str">
        <f t="shared" si="35"/>
        <v xml:space="preserve"> baik  dalam mengenal dan memahmi teks tembang dolanan</v>
      </c>
      <c r="BC52" s="307" t="str">
        <f t="shared" si="36"/>
        <v xml:space="preserve"> baik  dalam mengenal dan memahami sandhangan aksara Jawa.</v>
      </c>
      <c r="BD52" s="307" t="str">
        <f t="shared" si="18"/>
        <v xml:space="preserve"> baik  dalam mengenal dan memahmi teks tembang dolanan, dan  baik  dalam mengenal dan memahami sandhangan aksara Jawa.</v>
      </c>
      <c r="BE52" s="307" t="str">
        <f t="shared" si="19"/>
        <v xml:space="preserve"> </v>
      </c>
      <c r="BF52" s="308" t="str">
        <f t="shared" si="20"/>
        <v xml:space="preserve"> baik  dalam mengenal dan memahmi teks tembang dolanan, dan  baik  dalam mengenal dan memahami sandhangan aksara Jawa.</v>
      </c>
      <c r="BG52" s="301" t="str">
        <f t="shared" si="37"/>
        <v>Anak 48 baik  dalam mengenal dan memahmi teks tembang dolanan, dan  baik  dalam mengenal dan memahami sandhangan aksara Jawa.</v>
      </c>
      <c r="BH52" s="106"/>
      <c r="BL52" s="408">
        <f t="shared" si="21"/>
        <v>88</v>
      </c>
      <c r="BT52" s="302">
        <f t="shared" si="22"/>
        <v>70</v>
      </c>
      <c r="BU52" s="303" t="str">
        <f>IF(BT52&gt;KKM!$G$10,"A",IF(BT52&gt;KKM!$H$10,"B",IF(BT52&gt;=KKM!$I$10,"C","D")))</f>
        <v>C</v>
      </c>
      <c r="BV52" s="523">
        <f t="shared" si="23"/>
        <v>69.75</v>
      </c>
      <c r="BW52" s="115" t="str">
        <f>IF(BV52&gt;KKM!$G$10," sangat baik ",IF(BV52&gt;KKM!$H$10," baik ",IF(BV52&gt;=KKM!$I$10," cukup baik "," perlu bimbingan ")))</f>
        <v xml:space="preserve"> perlu bimbingan </v>
      </c>
      <c r="BX52" s="524">
        <f t="shared" si="24"/>
        <v>69.75</v>
      </c>
      <c r="BY52" s="115" t="str">
        <f>IF(BX52&gt;KKM!$G$10," sangat baik ",IF(BX52&gt;KKM!$H$10," baik ",IF(BX52&gt;=KKM!$I$10," cukup baik "," perlu bimbingan ")))</f>
        <v xml:space="preserve"> perlu bimbingan </v>
      </c>
      <c r="BZ52" s="301" t="str">
        <f t="shared" si="31"/>
        <v>Anak 48 perlu bimbingan  dalam mengenal dan memahmi teks tembang dolanan</v>
      </c>
      <c r="CA52" s="307" t="str">
        <f t="shared" si="25"/>
        <v xml:space="preserve"> perlu bimbingan  dalam mengenal dan memahmi teks tembang dolanan</v>
      </c>
      <c r="CB52" s="307" t="str">
        <f t="shared" si="26"/>
        <v xml:space="preserve"> perlu bimbingan  dalam mengenal dan memahmi teks tembang dolanan</v>
      </c>
      <c r="CC52" s="307" t="str">
        <f t="shared" si="27"/>
        <v xml:space="preserve"> perlu bimbingan  dalam mengenal dan memahmi teks tembang dolanan, dan  perlu bimbingan  dalam mengenal dan memahmi teks tembang dolanan</v>
      </c>
      <c r="CD52" s="307" t="str">
        <f t="shared" si="28"/>
        <v xml:space="preserve"> perlu bimbingan  dalam mengenal dan memahmi teks tembang dolanan</v>
      </c>
      <c r="CE52" s="308" t="str">
        <f t="shared" si="29"/>
        <v xml:space="preserve"> perlu bimbingan  dalam mengenal dan memahmi teks tembang dolanan</v>
      </c>
      <c r="CF52" s="301" t="str">
        <f t="shared" si="30"/>
        <v>Anak 48 perlu bimbingan  dalam mengenal dan memahmi teks tembang dolanan</v>
      </c>
    </row>
    <row r="53" spans="2:84" ht="63" customHeight="1">
      <c r="B53" s="109">
        <v>49</v>
      </c>
      <c r="C53" s="110">
        <f>SISWA!B54</f>
        <v>0</v>
      </c>
      <c r="D53" s="111" t="str">
        <f>SISWA!E54</f>
        <v>Anak 49</v>
      </c>
      <c r="E53" s="631">
        <v>99</v>
      </c>
      <c r="F53" s="631">
        <v>99</v>
      </c>
      <c r="G53" s="631">
        <v>99</v>
      </c>
      <c r="H53" s="613"/>
      <c r="I53" s="613"/>
      <c r="J53" s="613"/>
      <c r="K53" s="613"/>
      <c r="L53" s="613"/>
      <c r="M53" s="731"/>
      <c r="N53" s="731"/>
      <c r="O53" s="731"/>
      <c r="P53" s="731"/>
      <c r="Q53" s="730"/>
      <c r="R53" s="730"/>
      <c r="S53" s="610"/>
      <c r="T53" s="613">
        <v>90</v>
      </c>
      <c r="U53" s="613">
        <v>77.25</v>
      </c>
      <c r="V53" s="609"/>
      <c r="W53" s="609"/>
      <c r="X53" s="609"/>
      <c r="Y53" s="609"/>
      <c r="Z53" s="609"/>
      <c r="AA53" s="609"/>
      <c r="AB53" s="610"/>
      <c r="AC53" s="613"/>
      <c r="AD53" s="613">
        <v>90</v>
      </c>
      <c r="AE53" s="613">
        <v>77.25</v>
      </c>
      <c r="AF53" s="613"/>
      <c r="AG53" s="613"/>
      <c r="AH53" s="613"/>
      <c r="AI53" s="613"/>
      <c r="AJ53" s="613" t="str">
        <f>IFERROR(AVERAGE(#REF!),"")</f>
        <v/>
      </c>
      <c r="AK53" s="518"/>
      <c r="AL53" s="607">
        <f t="shared" si="9"/>
        <v>96</v>
      </c>
      <c r="AM53" s="607">
        <f t="shared" si="10"/>
        <v>91.3125</v>
      </c>
      <c r="AN53" s="607">
        <f t="shared" si="11"/>
        <v>91.75</v>
      </c>
      <c r="AO53" s="607" t="str">
        <f t="shared" si="12"/>
        <v/>
      </c>
      <c r="AP53" s="607" t="str">
        <f t="shared" si="13"/>
        <v/>
      </c>
      <c r="AQ53" s="607" t="str">
        <f t="shared" si="14"/>
        <v/>
      </c>
      <c r="AR53" s="607" t="str">
        <f t="shared" si="15"/>
        <v/>
      </c>
      <c r="AS53" s="607" t="str">
        <f t="shared" si="16"/>
        <v/>
      </c>
      <c r="AT53" s="302">
        <f t="shared" si="32"/>
        <v>93</v>
      </c>
      <c r="AU53" s="303" t="str">
        <f>IF(AT53&gt;KKM!$G$10,"A",IF(AT53&gt;KKM!$H$10,"B",IF(AT53&gt;=KKM!$I$10,"C","D")))</f>
        <v>A</v>
      </c>
      <c r="AV53" s="304">
        <f t="shared" si="33"/>
        <v>96</v>
      </c>
      <c r="AW53" s="115" t="str">
        <f>IF(AV53&gt;KKM!$G$10," sangat baik ",IF(AV53&gt;KKM!$H$10," baik ",IF(AV53&gt;=KKM!$I$10," cukup baik "," perlu bimbingan ")))</f>
        <v xml:space="preserve"> sangat baik </v>
      </c>
      <c r="AX53" s="305">
        <f t="shared" si="34"/>
        <v>91.3125</v>
      </c>
      <c r="AY53" s="115" t="str">
        <f>IF(AX53&gt;KKM!$G$10," sangat baik ",IF(AX53&gt;KKM!$H$10," baik ",IF(AX53&gt;=KKM!$I$10," cukup baik "," perlu bimbingan ")))</f>
        <v xml:space="preserve"> sangat baik </v>
      </c>
      <c r="AZ53" s="301" t="str">
        <f t="shared" si="17"/>
        <v>Anak 49 sangat baik  dalam mengenal dan memahmi teks tembang dolanan, dan  sangat baik  dalam mengenal dan memahami sandhangan aksara Jawa.</v>
      </c>
      <c r="BA53" s="306"/>
      <c r="BB53" s="307" t="str">
        <f t="shared" si="35"/>
        <v xml:space="preserve"> sangat baik  dalam mengenal dan memahmi teks tembang dolanan</v>
      </c>
      <c r="BC53" s="307" t="str">
        <f t="shared" si="36"/>
        <v xml:space="preserve"> sangat baik  dalam mengenal dan memahami sandhangan aksara Jawa.</v>
      </c>
      <c r="BD53" s="307" t="str">
        <f t="shared" si="18"/>
        <v xml:space="preserve"> sangat baik  dalam mengenal dan memahmi teks tembang dolanan, dan  sangat baik  dalam mengenal dan memahami sandhangan aksara Jawa.</v>
      </c>
      <c r="BE53" s="307" t="str">
        <f t="shared" si="19"/>
        <v xml:space="preserve"> </v>
      </c>
      <c r="BF53" s="308" t="str">
        <f t="shared" si="20"/>
        <v xml:space="preserve"> sangat baik  dalam mengenal dan memahmi teks tembang dolanan, dan  sangat baik  dalam mengenal dan memahami sandhangan aksara Jawa.</v>
      </c>
      <c r="BG53" s="301" t="str">
        <f t="shared" si="37"/>
        <v>Anak 49 sangat baik  dalam mengenal dan memahmi teks tembang dolanan, dan  sangat baik  dalam mengenal dan memahami sandhangan aksara Jawa.</v>
      </c>
      <c r="BH53" s="106"/>
      <c r="BL53" s="408">
        <f t="shared" si="21"/>
        <v>93</v>
      </c>
      <c r="BT53" s="302">
        <f t="shared" si="22"/>
        <v>84</v>
      </c>
      <c r="BU53" s="303" t="str">
        <f>IF(BT53&gt;KKM!$G$10,"A",IF(BT53&gt;KKM!$H$10,"B",IF(BT53&gt;=KKM!$I$10,"C","D")))</f>
        <v>B</v>
      </c>
      <c r="BV53" s="523">
        <f t="shared" si="23"/>
        <v>90</v>
      </c>
      <c r="BW53" s="115" t="str">
        <f>IF(BV53&gt;KKM!$G$10," sangat baik ",IF(BV53&gt;KKM!$H$10," baik ",IF(BV53&gt;=KKM!$I$10," cukup baik "," perlu bimbingan ")))</f>
        <v xml:space="preserve"> baik </v>
      </c>
      <c r="BX53" s="524">
        <f t="shared" si="24"/>
        <v>77.25</v>
      </c>
      <c r="BY53" s="115" t="str">
        <f>IF(BX53&gt;KKM!$G$10," sangat baik ",IF(BX53&gt;KKM!$H$10," baik ",IF(BX53&gt;=KKM!$I$10," cukup baik "," perlu bimbingan ")))</f>
        <v xml:space="preserve"> cukup baik </v>
      </c>
      <c r="BZ53" s="301" t="str">
        <f t="shared" si="31"/>
        <v>Anak 49 baik  dalam mengenal dan memahmi teks tembang dolanan, dan  cukup baik  dalam mengenal dan memahami sandhangan aksara Jawa.</v>
      </c>
      <c r="CA53" s="307" t="str">
        <f t="shared" si="25"/>
        <v xml:space="preserve"> baik  dalam mengenal dan memahmi teks tembang dolanan</v>
      </c>
      <c r="CB53" s="307" t="str">
        <f t="shared" si="26"/>
        <v xml:space="preserve"> cukup baik  dalam mengenal dan memahami sandhangan aksara Jawa.</v>
      </c>
      <c r="CC53" s="307" t="str">
        <f t="shared" si="27"/>
        <v xml:space="preserve"> baik  dalam mengenal dan memahmi teks tembang dolanan, dan  cukup baik  dalam mengenal dan memahami sandhangan aksara Jawa.</v>
      </c>
      <c r="CD53" s="307" t="str">
        <f t="shared" si="28"/>
        <v xml:space="preserve"> </v>
      </c>
      <c r="CE53" s="308" t="str">
        <f t="shared" si="29"/>
        <v xml:space="preserve"> baik  dalam mengenal dan memahmi teks tembang dolanan, dan  cukup baik  dalam mengenal dan memahami sandhangan aksara Jawa.</v>
      </c>
      <c r="CF53" s="301" t="str">
        <f t="shared" si="30"/>
        <v>Anak 49 baik  dalam mengenal dan memahmi teks tembang dolanan, dan  cukup baik  dalam mengenal dan memahami sandhangan aksara Jawa.</v>
      </c>
    </row>
    <row r="54" spans="2:84" ht="63" customHeight="1">
      <c r="B54" s="109">
        <v>50</v>
      </c>
      <c r="C54" s="110">
        <f>SISWA!B55</f>
        <v>0</v>
      </c>
      <c r="D54" s="111" t="str">
        <f>SISWA!E55</f>
        <v>Anak 50</v>
      </c>
      <c r="E54" s="631">
        <v>99</v>
      </c>
      <c r="F54" s="631">
        <v>99</v>
      </c>
      <c r="G54" s="631">
        <v>99</v>
      </c>
      <c r="H54" s="613"/>
      <c r="I54" s="613"/>
      <c r="J54" s="613"/>
      <c r="K54" s="613"/>
      <c r="L54" s="613"/>
      <c r="M54" s="731"/>
      <c r="N54" s="731"/>
      <c r="O54" s="731"/>
      <c r="P54" s="731"/>
      <c r="Q54" s="730"/>
      <c r="R54" s="730"/>
      <c r="S54" s="610"/>
      <c r="T54" s="613">
        <v>87.25</v>
      </c>
      <c r="U54" s="613">
        <v>71.75</v>
      </c>
      <c r="V54" s="609"/>
      <c r="W54" s="609"/>
      <c r="X54" s="609"/>
      <c r="Y54" s="609"/>
      <c r="Z54" s="609"/>
      <c r="AA54" s="609"/>
      <c r="AB54" s="610"/>
      <c r="AC54" s="613"/>
      <c r="AD54" s="613">
        <v>87.25</v>
      </c>
      <c r="AE54" s="613">
        <v>71.75</v>
      </c>
      <c r="AF54" s="613"/>
      <c r="AG54" s="613"/>
      <c r="AH54" s="613"/>
      <c r="AI54" s="613"/>
      <c r="AJ54" s="613" t="str">
        <f>IFERROR(AVERAGE(#REF!),"")</f>
        <v/>
      </c>
      <c r="AK54" s="518"/>
      <c r="AL54" s="607">
        <f t="shared" si="9"/>
        <v>95.083333333333329</v>
      </c>
      <c r="AM54" s="607">
        <f t="shared" si="10"/>
        <v>89.25</v>
      </c>
      <c r="AN54" s="607">
        <f t="shared" si="11"/>
        <v>89.916666666666671</v>
      </c>
      <c r="AO54" s="607" t="str">
        <f t="shared" si="12"/>
        <v/>
      </c>
      <c r="AP54" s="607" t="str">
        <f t="shared" si="13"/>
        <v/>
      </c>
      <c r="AQ54" s="607" t="str">
        <f t="shared" si="14"/>
        <v/>
      </c>
      <c r="AR54" s="607" t="str">
        <f t="shared" si="15"/>
        <v/>
      </c>
      <c r="AS54" s="607" t="str">
        <f t="shared" si="16"/>
        <v/>
      </c>
      <c r="AT54" s="302">
        <f t="shared" si="32"/>
        <v>91</v>
      </c>
      <c r="AU54" s="303" t="str">
        <f>IF(AT54&gt;KKM!$G$10,"A",IF(AT54&gt;KKM!$H$10,"B",IF(AT54&gt;=KKM!$I$10,"C","D")))</f>
        <v>A</v>
      </c>
      <c r="AV54" s="304">
        <f t="shared" si="33"/>
        <v>95.083333333333329</v>
      </c>
      <c r="AW54" s="115" t="str">
        <f>IF(AV54&gt;KKM!$G$10," sangat baik ",IF(AV54&gt;KKM!$H$10," baik ",IF(AV54&gt;=KKM!$I$10," cukup baik "," perlu bimbingan ")))</f>
        <v xml:space="preserve"> sangat baik </v>
      </c>
      <c r="AX54" s="305">
        <f t="shared" si="34"/>
        <v>89.25</v>
      </c>
      <c r="AY54" s="115" t="str">
        <f>IF(AX54&gt;KKM!$G$10," sangat baik ",IF(AX54&gt;KKM!$H$10," baik ",IF(AX54&gt;=KKM!$I$10," cukup baik "," perlu bimbingan ")))</f>
        <v xml:space="preserve"> baik </v>
      </c>
      <c r="AZ54" s="301" t="str">
        <f t="shared" si="17"/>
        <v>Anak 50 sangat baik  dalam mengenal dan memahmi teks tembang dolanan, dan  baik  dalam mengenal dan memahami sandhangan aksara Jawa.</v>
      </c>
      <c r="BA54" s="306"/>
      <c r="BB54" s="307" t="str">
        <f t="shared" si="35"/>
        <v xml:space="preserve"> sangat baik  dalam mengenal dan memahmi teks tembang dolanan</v>
      </c>
      <c r="BC54" s="307" t="str">
        <f t="shared" si="36"/>
        <v xml:space="preserve"> baik  dalam mengenal dan memahami sandhangan aksara Jawa.</v>
      </c>
      <c r="BD54" s="307" t="str">
        <f t="shared" si="18"/>
        <v xml:space="preserve"> sangat baik  dalam mengenal dan memahmi teks tembang dolanan, dan  baik  dalam mengenal dan memahami sandhangan aksara Jawa.</v>
      </c>
      <c r="BE54" s="307" t="str">
        <f t="shared" si="19"/>
        <v xml:space="preserve"> </v>
      </c>
      <c r="BF54" s="308" t="str">
        <f t="shared" si="20"/>
        <v xml:space="preserve"> sangat baik  dalam mengenal dan memahmi teks tembang dolanan, dan  baik  dalam mengenal dan memahami sandhangan aksara Jawa.</v>
      </c>
      <c r="BG54" s="301" t="str">
        <f t="shared" si="37"/>
        <v>Anak 50 sangat baik  dalam mengenal dan memahmi teks tembang dolanan, dan  baik  dalam mengenal dan memahami sandhangan aksara Jawa.</v>
      </c>
      <c r="BH54" s="106"/>
      <c r="BL54" s="408">
        <f t="shared" si="21"/>
        <v>91</v>
      </c>
      <c r="BT54" s="302">
        <f t="shared" si="22"/>
        <v>80</v>
      </c>
      <c r="BU54" s="303" t="str">
        <f>IF(BT54&gt;KKM!$G$10,"A",IF(BT54&gt;KKM!$H$10,"B",IF(BT54&gt;=KKM!$I$10,"C","D")))</f>
        <v>C</v>
      </c>
      <c r="BV54" s="523">
        <f t="shared" si="23"/>
        <v>87.25</v>
      </c>
      <c r="BW54" s="115" t="str">
        <f>IF(BV54&gt;KKM!$G$10," sangat baik ",IF(BV54&gt;KKM!$H$10," baik ",IF(BV54&gt;=KKM!$I$10," cukup baik "," perlu bimbingan ")))</f>
        <v xml:space="preserve"> baik </v>
      </c>
      <c r="BX54" s="524">
        <f t="shared" si="24"/>
        <v>71.75</v>
      </c>
      <c r="BY54" s="115" t="str">
        <f>IF(BX54&gt;KKM!$G$10," sangat baik ",IF(BX54&gt;KKM!$H$10," baik ",IF(BX54&gt;=KKM!$I$10," cukup baik "," perlu bimbingan ")))</f>
        <v xml:space="preserve"> cukup baik </v>
      </c>
      <c r="BZ54" s="301" t="str">
        <f t="shared" si="31"/>
        <v>Anak 50 baik  dalam mengenal dan memahmi teks tembang dolanan, dan  cukup baik  dalam mengenal dan memahami sandhangan aksara Jawa.</v>
      </c>
      <c r="CA54" s="307" t="str">
        <f t="shared" si="25"/>
        <v xml:space="preserve"> baik  dalam mengenal dan memahmi teks tembang dolanan</v>
      </c>
      <c r="CB54" s="307" t="str">
        <f t="shared" si="26"/>
        <v xml:space="preserve"> cukup baik  dalam mengenal dan memahami sandhangan aksara Jawa.</v>
      </c>
      <c r="CC54" s="307" t="str">
        <f t="shared" si="27"/>
        <v xml:space="preserve"> baik  dalam mengenal dan memahmi teks tembang dolanan, dan  cukup baik  dalam mengenal dan memahami sandhangan aksara Jawa.</v>
      </c>
      <c r="CD54" s="307" t="str">
        <f t="shared" si="28"/>
        <v xml:space="preserve"> </v>
      </c>
      <c r="CE54" s="308" t="str">
        <f t="shared" si="29"/>
        <v xml:space="preserve"> baik  dalam mengenal dan memahmi teks tembang dolanan, dan  cukup baik  dalam mengenal dan memahami sandhangan aksara Jawa.</v>
      </c>
      <c r="CF54" s="301" t="str">
        <f t="shared" si="30"/>
        <v>Anak 50 baik  dalam mengenal dan memahmi teks tembang dolanan, dan  cukup baik  dalam mengenal dan memahami sandhangan aksara Jawa.</v>
      </c>
    </row>
    <row r="55" spans="2:84" ht="15.75">
      <c r="B55" s="121"/>
      <c r="C55" s="121"/>
      <c r="D55" s="121"/>
      <c r="E55" s="121"/>
      <c r="F55" s="121"/>
      <c r="G55" s="121"/>
      <c r="H55" s="121"/>
      <c r="I55" s="121"/>
      <c r="J55" s="121"/>
      <c r="K55" s="121"/>
      <c r="L55" s="121"/>
      <c r="M55" s="121"/>
      <c r="N55" s="121"/>
      <c r="O55" s="121"/>
      <c r="P55" s="121"/>
      <c r="Q55" s="121"/>
      <c r="R55" s="121"/>
      <c r="S55" s="518"/>
      <c r="T55" s="521"/>
      <c r="U55" s="521"/>
      <c r="V55" s="521"/>
      <c r="W55" s="521"/>
      <c r="X55" s="521"/>
      <c r="Y55" s="521"/>
      <c r="Z55" s="521"/>
      <c r="AA55" s="521"/>
      <c r="AB55" s="518"/>
      <c r="AC55" s="521"/>
      <c r="AD55" s="521"/>
      <c r="AE55" s="521"/>
      <c r="AF55" s="521"/>
      <c r="AG55" s="521"/>
      <c r="AH55" s="521"/>
      <c r="AI55" s="521"/>
      <c r="AJ55" s="521"/>
      <c r="AK55" s="518"/>
      <c r="AL55" s="607" t="str">
        <f t="shared" ref="AL55" si="38">IFERROR(AVERAGE(E55,E55,T55,AC55),"")</f>
        <v/>
      </c>
      <c r="AM55" s="607" t="str">
        <f t="shared" ref="AM55" si="39">IFERROR(AVERAGE(F55,F55,U55,AD55),"")</f>
        <v/>
      </c>
      <c r="AN55" s="607" t="str">
        <f t="shared" ref="AN55" si="40">IFERROR(AVERAGE(G55,G55,V55,AE55),"")</f>
        <v/>
      </c>
      <c r="AO55" s="607" t="str">
        <f t="shared" ref="AO55" si="41">IFERROR(AVERAGE(H55,P55,W55,AF55),"")</f>
        <v/>
      </c>
      <c r="AP55" s="607" t="str">
        <f t="shared" ref="AP55" si="42">IFERROR(AVERAGE(I55,Q55,X55,AG55),"")</f>
        <v/>
      </c>
      <c r="AQ55" s="529"/>
      <c r="AR55" s="529"/>
      <c r="AS55" s="529"/>
      <c r="AT55" s="114"/>
      <c r="AU55" s="115"/>
      <c r="AV55" s="116"/>
      <c r="AW55" s="116"/>
      <c r="AX55" s="116"/>
      <c r="AY55" s="116"/>
      <c r="AZ55" s="117"/>
      <c r="BA55" s="118"/>
      <c r="BB55" s="119"/>
      <c r="BC55" s="122"/>
      <c r="BD55" s="122"/>
      <c r="BE55" s="122"/>
      <c r="BF55" s="122"/>
      <c r="BG55" s="122"/>
      <c r="BH55" s="123"/>
      <c r="BT55" s="302"/>
      <c r="BU55" s="303"/>
      <c r="BV55" s="523"/>
      <c r="BW55" s="115"/>
      <c r="BX55" s="524"/>
      <c r="BY55" s="115"/>
      <c r="BZ55" s="301"/>
      <c r="CA55" s="307"/>
      <c r="CB55" s="307"/>
      <c r="CC55" s="307"/>
      <c r="CD55" s="307"/>
      <c r="CE55" s="308"/>
      <c r="CF55" s="301"/>
    </row>
    <row r="56" spans="2:84">
      <c r="BT56" s="302"/>
      <c r="CA56" s="119"/>
      <c r="CB56" s="122"/>
      <c r="CC56" s="122"/>
      <c r="CD56" s="122"/>
      <c r="CE56" s="122"/>
      <c r="CF56" s="122"/>
    </row>
  </sheetData>
  <mergeCells count="52">
    <mergeCell ref="CA3:CF3"/>
    <mergeCell ref="BT2:BT4"/>
    <mergeCell ref="BU2:BU4"/>
    <mergeCell ref="BV2:BY2"/>
    <mergeCell ref="BZ2:BZ4"/>
    <mergeCell ref="BV3:BW3"/>
    <mergeCell ref="BX3:BY3"/>
    <mergeCell ref="M2:R2"/>
    <mergeCell ref="M3:M4"/>
    <mergeCell ref="N3:N4"/>
    <mergeCell ref="O3:O4"/>
    <mergeCell ref="P3:P4"/>
    <mergeCell ref="Q3:Q4"/>
    <mergeCell ref="R3:R4"/>
    <mergeCell ref="AZ2:AZ4"/>
    <mergeCell ref="AV3:AW3"/>
    <mergeCell ref="AX3:AY3"/>
    <mergeCell ref="B1:AY1"/>
    <mergeCell ref="B2:B4"/>
    <mergeCell ref="C2:C4"/>
    <mergeCell ref="D2:D4"/>
    <mergeCell ref="AL2:AS2"/>
    <mergeCell ref="AT2:AT4"/>
    <mergeCell ref="AU2:AU4"/>
    <mergeCell ref="AV2:AY2"/>
    <mergeCell ref="E2:L2"/>
    <mergeCell ref="T2:AA2"/>
    <mergeCell ref="AC2:AJ2"/>
    <mergeCell ref="E3:E4"/>
    <mergeCell ref="F3:F4"/>
    <mergeCell ref="G3:G4"/>
    <mergeCell ref="H3:H4"/>
    <mergeCell ref="I3:I4"/>
    <mergeCell ref="L3:L4"/>
    <mergeCell ref="T3:T4"/>
    <mergeCell ref="J3:J4"/>
    <mergeCell ref="K3:K4"/>
    <mergeCell ref="U3:U4"/>
    <mergeCell ref="V3:V4"/>
    <mergeCell ref="W3:W4"/>
    <mergeCell ref="X3:X4"/>
    <mergeCell ref="AA3:AA4"/>
    <mergeCell ref="Y3:Y4"/>
    <mergeCell ref="Z3:Z4"/>
    <mergeCell ref="AJ3:AJ4"/>
    <mergeCell ref="AC3:AC4"/>
    <mergeCell ref="AD3:AD4"/>
    <mergeCell ref="AE3:AE4"/>
    <mergeCell ref="AF3:AF4"/>
    <mergeCell ref="AG3:AG4"/>
    <mergeCell ref="AH3:AH4"/>
    <mergeCell ref="AI3:AI4"/>
  </mergeCells>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H56"/>
  <sheetViews>
    <sheetView zoomScale="70" zoomScaleNormal="7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5703125" style="446" customWidth="1"/>
    <col min="2" max="2" width="4.42578125" style="104" customWidth="1"/>
    <col min="3" max="3" width="6.42578125" style="104" customWidth="1"/>
    <col min="4" max="4" width="28.7109375" style="104" customWidth="1"/>
    <col min="5" max="11" width="5.42578125" style="104" customWidth="1"/>
    <col min="12" max="17" width="5.42578125" style="104" hidden="1" customWidth="1"/>
    <col min="18" max="18" width="2.28515625" style="104" customWidth="1"/>
    <col min="19" max="25" width="5.42578125" style="104" customWidth="1"/>
    <col min="26" max="26" width="2" style="104" customWidth="1"/>
    <col min="27" max="33" width="5.42578125" style="104" customWidth="1"/>
    <col min="34" max="34" width="2.28515625" style="104" customWidth="1"/>
    <col min="35" max="41" width="6.7109375" style="104" customWidth="1"/>
    <col min="42" max="43" width="4.7109375" style="104" customWidth="1"/>
    <col min="44" max="44" width="5.140625" style="104" customWidth="1"/>
    <col min="45" max="45" width="10.42578125" style="104" customWidth="1"/>
    <col min="46" max="46" width="5.140625" style="104" customWidth="1"/>
    <col min="47" max="47" width="10.85546875" style="104" customWidth="1"/>
    <col min="48" max="48" width="84.42578125" style="104" customWidth="1"/>
    <col min="49" max="49" width="29.85546875" style="104" hidden="1" customWidth="1"/>
    <col min="50" max="55" width="10.7109375" style="104" hidden="1" customWidth="1"/>
    <col min="56" max="67" width="9.140625" style="104" hidden="1" customWidth="1"/>
    <col min="68" max="70" width="6.5703125" style="104" hidden="1" customWidth="1"/>
    <col min="71" max="71" width="12.42578125" style="104" hidden="1" customWidth="1"/>
    <col min="72" max="72" width="6.5703125" style="104" hidden="1" customWidth="1"/>
    <col min="73" max="73" width="13.5703125" style="104" hidden="1" customWidth="1"/>
    <col min="74" max="74" width="65.85546875" style="104" hidden="1" customWidth="1"/>
    <col min="75" max="75" width="18.7109375" style="104" hidden="1" customWidth="1"/>
    <col min="76" max="81" width="9.140625" style="104" hidden="1" customWidth="1"/>
    <col min="82" max="82" width="9.140625" style="104" customWidth="1"/>
    <col min="83" max="90" width="5" style="104" hidden="1" customWidth="1"/>
    <col min="91" max="92" width="0" style="104" hidden="1" customWidth="1"/>
    <col min="93" max="106" width="10.7109375" style="104" hidden="1" customWidth="1"/>
    <col min="107" max="138" width="0" style="104" hidden="1" customWidth="1"/>
    <col min="139" max="16384" width="9.140625" style="104" hidden="1"/>
  </cols>
  <sheetData>
    <row r="1" spans="1:80" s="449" customFormat="1" ht="45.75" customHeight="1">
      <c r="B1" s="1040" t="str">
        <f>KKM!X8&amp;" (PENGETAHUAN)"</f>
        <v>Bahasa Inggris (PENGETAHUAN)</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c r="AT1" s="1040"/>
      <c r="AU1" s="1040"/>
    </row>
    <row r="2" spans="1:80" ht="23.25" customHeight="1">
      <c r="B2" s="1071" t="s">
        <v>2</v>
      </c>
      <c r="C2" s="1072" t="s">
        <v>3</v>
      </c>
      <c r="D2" s="1073" t="s">
        <v>48</v>
      </c>
      <c r="E2" s="1083" t="s">
        <v>699</v>
      </c>
      <c r="F2" s="1083"/>
      <c r="G2" s="1083"/>
      <c r="H2" s="1083"/>
      <c r="I2" s="1083"/>
      <c r="J2" s="1083"/>
      <c r="K2" s="1083"/>
      <c r="L2" s="1095"/>
      <c r="M2" s="1096"/>
      <c r="N2" s="1096"/>
      <c r="O2" s="1096"/>
      <c r="P2" s="1096"/>
      <c r="Q2" s="1096"/>
      <c r="R2" s="515"/>
      <c r="S2" s="1100" t="s">
        <v>692</v>
      </c>
      <c r="T2" s="1100"/>
      <c r="U2" s="1100"/>
      <c r="V2" s="1100"/>
      <c r="W2" s="1100"/>
      <c r="X2" s="1100"/>
      <c r="Y2" s="1100"/>
      <c r="Z2" s="515"/>
      <c r="AA2" s="1085" t="s">
        <v>693</v>
      </c>
      <c r="AB2" s="1086"/>
      <c r="AC2" s="1086"/>
      <c r="AD2" s="1086"/>
      <c r="AE2" s="1086"/>
      <c r="AF2" s="1086"/>
      <c r="AG2" s="1086"/>
      <c r="AH2" s="515"/>
      <c r="AI2" s="1111" t="s">
        <v>694</v>
      </c>
      <c r="AJ2" s="1111"/>
      <c r="AK2" s="1111"/>
      <c r="AL2" s="1111"/>
      <c r="AM2" s="1111"/>
      <c r="AN2" s="1111"/>
      <c r="AO2" s="1111"/>
      <c r="AP2" s="1045" t="s">
        <v>5</v>
      </c>
      <c r="AQ2" s="1046" t="s">
        <v>6</v>
      </c>
      <c r="AR2" s="1047" t="s">
        <v>314</v>
      </c>
      <c r="AS2" s="1048"/>
      <c r="AT2" s="1048"/>
      <c r="AU2" s="1048"/>
      <c r="AV2" s="1027" t="s">
        <v>1</v>
      </c>
      <c r="BC2" s="294"/>
      <c r="BP2" s="1091" t="s">
        <v>5</v>
      </c>
      <c r="BQ2" s="1093" t="s">
        <v>6</v>
      </c>
      <c r="BR2" s="1047" t="s">
        <v>314</v>
      </c>
      <c r="BS2" s="1048"/>
      <c r="BT2" s="1048"/>
      <c r="BU2" s="1048"/>
      <c r="BV2" s="1027" t="s">
        <v>1</v>
      </c>
    </row>
    <row r="3" spans="1:80" ht="94.5" customHeight="1">
      <c r="B3" s="1071"/>
      <c r="C3" s="1072"/>
      <c r="D3" s="1073"/>
      <c r="E3" s="1079" t="str">
        <f>""&amp;'KI-KD'!$B134</f>
        <v>3.5</v>
      </c>
      <c r="F3" s="1079" t="str">
        <f>""&amp;'KI-KD'!$B135</f>
        <v>3.6</v>
      </c>
      <c r="G3" s="1079" t="str">
        <f>""&amp;'KI-KD'!$B136</f>
        <v>3.7</v>
      </c>
      <c r="H3" s="1079" t="str">
        <f>""&amp;'KI-KD'!$B137</f>
        <v>3.8</v>
      </c>
      <c r="I3" s="1079" t="str">
        <f>""&amp;'KI-KD'!$B138</f>
        <v/>
      </c>
      <c r="J3" s="1079" t="str">
        <f>""&amp;'KI-KD'!$B139</f>
        <v/>
      </c>
      <c r="K3" s="1079" t="str">
        <f>""&amp;'KI-KD'!$B140</f>
        <v/>
      </c>
      <c r="L3" s="1109"/>
      <c r="M3" s="1109"/>
      <c r="N3" s="1109"/>
      <c r="O3" s="1109"/>
      <c r="P3" s="1109"/>
      <c r="Q3" s="1109"/>
      <c r="R3" s="516"/>
      <c r="S3" s="1101" t="str">
        <f t="shared" ref="S3:Y3" si="0">E3</f>
        <v>3.5</v>
      </c>
      <c r="T3" s="1101" t="str">
        <f t="shared" si="0"/>
        <v>3.6</v>
      </c>
      <c r="U3" s="1101" t="str">
        <f t="shared" si="0"/>
        <v>3.7</v>
      </c>
      <c r="V3" s="1101" t="str">
        <f t="shared" si="0"/>
        <v>3.8</v>
      </c>
      <c r="W3" s="1101" t="str">
        <f t="shared" si="0"/>
        <v/>
      </c>
      <c r="X3" s="1101" t="str">
        <f t="shared" si="0"/>
        <v/>
      </c>
      <c r="Y3" s="1101" t="str">
        <f t="shared" si="0"/>
        <v/>
      </c>
      <c r="Z3" s="516"/>
      <c r="AA3" s="1088" t="str">
        <f t="shared" ref="AA3:AG3" si="1">E3</f>
        <v>3.5</v>
      </c>
      <c r="AB3" s="1088" t="str">
        <f t="shared" si="1"/>
        <v>3.6</v>
      </c>
      <c r="AC3" s="1088" t="str">
        <f t="shared" si="1"/>
        <v>3.7</v>
      </c>
      <c r="AD3" s="1088" t="str">
        <f t="shared" si="1"/>
        <v>3.8</v>
      </c>
      <c r="AE3" s="1088" t="str">
        <f t="shared" si="1"/>
        <v/>
      </c>
      <c r="AF3" s="1088" t="str">
        <f t="shared" si="1"/>
        <v/>
      </c>
      <c r="AG3" s="1088" t="str">
        <f t="shared" si="1"/>
        <v/>
      </c>
      <c r="AH3" s="516"/>
      <c r="AI3" s="510" t="str">
        <f>'KI-KD'!$C134</f>
        <v>mengenal, memahami dan mengidentifikasi macam-macam kalimat (order, request, and prengenal obyek-obyek wisata dan memahami penggunaan kalimat ungkapan terima kasih</v>
      </c>
      <c r="AJ3" s="510" t="str">
        <f>'KI-KD'!$C135</f>
        <v>memahami penggunaan kalimat yang menunjukkan letak suatu tempat</v>
      </c>
      <c r="AK3" s="510" t="str">
        <f>'KI-KD'!$C136</f>
        <v>memahami penggunaan waktu, tanggal, bulan, dan tahun</v>
      </c>
      <c r="AL3" s="510" t="str">
        <f>'KI-KD'!$C137</f>
        <v>mengenal dan mengidentifikasi benda-benda di dapur dan nama-nama bunga</v>
      </c>
      <c r="AM3" s="510">
        <f>'KI-KD'!$C140</f>
        <v>0</v>
      </c>
      <c r="AN3" s="511"/>
      <c r="AO3" s="511"/>
      <c r="AP3" s="1045"/>
      <c r="AQ3" s="1046"/>
      <c r="AR3" s="1030" t="s">
        <v>315</v>
      </c>
      <c r="AS3" s="1031"/>
      <c r="AT3" s="1032" t="s">
        <v>316</v>
      </c>
      <c r="AU3" s="1033"/>
      <c r="AV3" s="1028"/>
      <c r="BC3" s="294"/>
      <c r="BP3" s="1092"/>
      <c r="BQ3" s="1094"/>
      <c r="BR3" s="1067" t="s">
        <v>315</v>
      </c>
      <c r="BS3" s="1068"/>
      <c r="BT3" s="1069" t="s">
        <v>316</v>
      </c>
      <c r="BU3" s="1070"/>
      <c r="BV3" s="1028"/>
      <c r="BW3" s="1090" t="s">
        <v>730</v>
      </c>
      <c r="BX3" s="1090"/>
      <c r="BY3" s="1090"/>
      <c r="BZ3" s="1090"/>
      <c r="CA3" s="1090"/>
      <c r="CB3" s="1090"/>
    </row>
    <row r="4" spans="1:80" s="108" customFormat="1" ht="25.5" customHeight="1">
      <c r="A4" s="448"/>
      <c r="B4" s="1071"/>
      <c r="C4" s="1072"/>
      <c r="D4" s="1073"/>
      <c r="E4" s="1080"/>
      <c r="F4" s="1080"/>
      <c r="G4" s="1080"/>
      <c r="H4" s="1080"/>
      <c r="I4" s="1080"/>
      <c r="J4" s="1080"/>
      <c r="K4" s="1080"/>
      <c r="L4" s="1110"/>
      <c r="M4" s="1110"/>
      <c r="N4" s="1110"/>
      <c r="O4" s="1110"/>
      <c r="P4" s="1110"/>
      <c r="Q4" s="1110"/>
      <c r="R4" s="517"/>
      <c r="S4" s="1102"/>
      <c r="T4" s="1102"/>
      <c r="U4" s="1102"/>
      <c r="V4" s="1102"/>
      <c r="W4" s="1102"/>
      <c r="X4" s="1102"/>
      <c r="Y4" s="1102"/>
      <c r="Z4" s="517"/>
      <c r="AA4" s="1089"/>
      <c r="AB4" s="1089"/>
      <c r="AC4" s="1089"/>
      <c r="AD4" s="1089"/>
      <c r="AE4" s="1089"/>
      <c r="AF4" s="1089"/>
      <c r="AG4" s="1089"/>
      <c r="AH4" s="522"/>
      <c r="AI4" s="512">
        <f>'KI-KD'!$B134</f>
        <v>3.5</v>
      </c>
      <c r="AJ4" s="512">
        <f>'KI-KD'!$B135</f>
        <v>3.6</v>
      </c>
      <c r="AK4" s="512">
        <f>'KI-KD'!$B136</f>
        <v>3.7</v>
      </c>
      <c r="AL4" s="512">
        <f>'KI-KD'!$B137</f>
        <v>3.8</v>
      </c>
      <c r="AM4" s="512">
        <f>'KI-KD'!$B138</f>
        <v>0</v>
      </c>
      <c r="AN4" s="512">
        <f>'KI-KD'!$B139</f>
        <v>0</v>
      </c>
      <c r="AO4" s="512">
        <f>'KI-KD'!$B140</f>
        <v>0</v>
      </c>
      <c r="AP4" s="1045"/>
      <c r="AQ4" s="1046"/>
      <c r="AR4" s="295" t="s">
        <v>317</v>
      </c>
      <c r="AS4" s="296" t="s">
        <v>1</v>
      </c>
      <c r="AT4" s="297" t="s">
        <v>317</v>
      </c>
      <c r="AU4" s="298" t="s">
        <v>1</v>
      </c>
      <c r="AV4" s="1029"/>
      <c r="AW4" s="104"/>
      <c r="AX4" s="299" t="s">
        <v>318</v>
      </c>
      <c r="AY4" s="299" t="s">
        <v>319</v>
      </c>
      <c r="AZ4" s="299" t="s">
        <v>320</v>
      </c>
      <c r="BA4" s="299" t="s">
        <v>321</v>
      </c>
      <c r="BB4" s="300" t="s">
        <v>314</v>
      </c>
      <c r="BC4" s="301"/>
      <c r="BP4" s="1092"/>
      <c r="BQ4" s="1094"/>
      <c r="BR4" s="295" t="s">
        <v>317</v>
      </c>
      <c r="BS4" s="296" t="s">
        <v>1</v>
      </c>
      <c r="BT4" s="297" t="s">
        <v>317</v>
      </c>
      <c r="BU4" s="298" t="s">
        <v>1</v>
      </c>
      <c r="BV4" s="1028"/>
      <c r="BW4" s="299" t="s">
        <v>318</v>
      </c>
      <c r="BX4" s="299" t="s">
        <v>319</v>
      </c>
      <c r="BY4" s="299" t="s">
        <v>320</v>
      </c>
      <c r="BZ4" s="299" t="s">
        <v>321</v>
      </c>
      <c r="CA4" s="300" t="s">
        <v>314</v>
      </c>
      <c r="CB4" s="301"/>
    </row>
    <row r="5" spans="1:80" ht="57" customHeight="1">
      <c r="B5" s="109">
        <v>1</v>
      </c>
      <c r="C5" s="110">
        <f>SISWA!B6</f>
        <v>4822</v>
      </c>
      <c r="D5" s="111" t="str">
        <f>SISWA!E6</f>
        <v>Anak 1</v>
      </c>
      <c r="E5" s="631">
        <v>89</v>
      </c>
      <c r="F5" s="613">
        <v>89</v>
      </c>
      <c r="G5" s="613">
        <v>97</v>
      </c>
      <c r="H5" s="613">
        <v>88</v>
      </c>
      <c r="I5" s="613"/>
      <c r="J5" s="613"/>
      <c r="K5" s="613"/>
      <c r="L5" s="731"/>
      <c r="M5" s="731"/>
      <c r="N5" s="731"/>
      <c r="O5" s="731"/>
      <c r="P5" s="730"/>
      <c r="Q5" s="730"/>
      <c r="R5" s="610"/>
      <c r="S5" s="609">
        <v>32</v>
      </c>
      <c r="T5" s="609">
        <v>78</v>
      </c>
      <c r="U5" s="609">
        <v>87</v>
      </c>
      <c r="V5" s="609">
        <v>77</v>
      </c>
      <c r="W5" s="609"/>
      <c r="X5" s="609"/>
      <c r="Y5" s="609"/>
      <c r="Z5" s="610"/>
      <c r="AA5" s="613">
        <v>88</v>
      </c>
      <c r="AB5" s="613">
        <v>61</v>
      </c>
      <c r="AC5" s="613">
        <v>51</v>
      </c>
      <c r="AD5" s="613">
        <v>90</v>
      </c>
      <c r="AE5" s="613"/>
      <c r="AF5" s="613"/>
      <c r="AG5" s="613"/>
      <c r="AH5" s="518"/>
      <c r="AI5" s="607">
        <f>IFERROR(AVERAGE(E5,E5,S5,AA5),"")</f>
        <v>74.5</v>
      </c>
      <c r="AJ5" s="607">
        <f t="shared" ref="AJ5:AO5" si="2">IFERROR(AVERAGE(F5,F5,T5,AB5),"")</f>
        <v>79.25</v>
      </c>
      <c r="AK5" s="607">
        <f t="shared" si="2"/>
        <v>83</v>
      </c>
      <c r="AL5" s="607">
        <f t="shared" si="2"/>
        <v>85.75</v>
      </c>
      <c r="AM5" s="607" t="str">
        <f t="shared" si="2"/>
        <v/>
      </c>
      <c r="AN5" s="607" t="str">
        <f t="shared" si="2"/>
        <v/>
      </c>
      <c r="AO5" s="607" t="str">
        <f t="shared" si="2"/>
        <v/>
      </c>
      <c r="AP5" s="302">
        <f t="shared" ref="AP5:AP36" si="3">ROUND((AVERAGE(AI5:AO5)),0)</f>
        <v>81</v>
      </c>
      <c r="AQ5" s="303" t="str">
        <f>IF(AP5&gt;KKM!$G$10,"A",IF(AP5&gt;KKM!$H$10,"B",IF(AP5&gt;=KKM!$I$10,"C","D")))</f>
        <v>B</v>
      </c>
      <c r="AR5" s="304">
        <f t="shared" ref="AR5:AR36" si="4">MAX(AI5:AO5)</f>
        <v>85.75</v>
      </c>
      <c r="AS5" s="115" t="str">
        <f>IF(AR5&gt;KKM!$G$10," sangat baik ",IF(AR5&gt;KKM!$H$10," baik ",IF(AR5&gt;=KKM!$I$10," cukup baik "," perlu bimbingan ")))</f>
        <v xml:space="preserve"> baik </v>
      </c>
      <c r="AT5" s="305">
        <f t="shared" ref="AT5:AT36" si="5">MIN(AI5:AO5)</f>
        <v>74.5</v>
      </c>
      <c r="AU5" s="115" t="str">
        <f>IF(AT5&gt;KKM!$G$10," sangat baik ",IF(AT5&gt;KKM!$H$10," baik ",IF(AT5&gt;=KKM!$I$10," cukup baik "," perlu bimbingan ")))</f>
        <v xml:space="preserve"> cukup baik </v>
      </c>
      <c r="AV5" s="301" t="str">
        <f>IFERROR(BC5," ")</f>
        <v>Anak 1 baik  dalam mengenal dan mengidentifikasi benda-benda di dapur dan nama-nama bunga, dan  cukup baik  dalam mengenal, memahami dan mengidentifikasi macam-macam kalimat (order, request, and prengenal obyek-obyek wisata dan memahami penggunaan kalimat ungkapan terima kasih</v>
      </c>
      <c r="AW5" s="306"/>
      <c r="AX5" s="307" t="str">
        <f t="shared" ref="AX5:AX36" si="6">AS5&amp;" dalam "&amp;INDEX($AI$3:$AO$3,MATCH(AR5,$AI5:$AO5,0))</f>
        <v xml:space="preserve"> baik  dalam mengenal dan mengidentifikasi benda-benda di dapur dan nama-nama bunga</v>
      </c>
      <c r="AY5" s="307" t="str">
        <f t="shared" ref="AY5:AY36" si="7">AU5&amp;" dalam "&amp;INDEX($AI$3:$AO$3,MATCH(AT5,$AI5:$AO5,0))</f>
        <v xml:space="preserve"> cukup baik  dalam mengenal, memahami dan mengidentifikasi macam-macam kalimat (order, request, and prengenal obyek-obyek wisata dan memahami penggunaan kalimat ungkapan terima kasih</v>
      </c>
      <c r="AZ5" s="307" t="str">
        <f>AX5&amp;", dan "&amp;AY5</f>
        <v xml:space="preserve"> baik  dalam mengenal dan mengidentifikasi benda-benda di dapur dan nama-nama bunga, dan  cukup baik  dalam mengenal, memahami dan mengidentifikasi macam-macam kalimat (order, request, and prengenal obyek-obyek wisata dan memahami penggunaan kalimat ungkapan terima kasih</v>
      </c>
      <c r="BA5" s="307" t="str">
        <f>IF(AX5=AY5,AX5," ")</f>
        <v xml:space="preserve"> </v>
      </c>
      <c r="BB5" s="308" t="str">
        <f>IF(BA5=" ",AZ5,BA5)</f>
        <v xml:space="preserve"> baik  dalam mengenal dan mengidentifikasi benda-benda di dapur dan nama-nama bunga, dan  cukup baik  dalam mengenal, memahami dan mengidentifikasi macam-macam kalimat (order, request, and prengenal obyek-obyek wisata dan memahami penggunaan kalimat ungkapan terima kasih</v>
      </c>
      <c r="BC5" s="301" t="str">
        <f t="shared" ref="BC5:BC36" si="8">CONCATENATE(D5,BB5)</f>
        <v>Anak 1 baik  dalam mengenal dan mengidentifikasi benda-benda di dapur dan nama-nama bunga, dan  cukup baik  dalam mengenal, memahami dan mengidentifikasi macam-macam kalimat (order, request, and prengenal obyek-obyek wisata dan memahami penggunaan kalimat ungkapan terima kasih</v>
      </c>
      <c r="BD5" s="120"/>
      <c r="BP5" s="302">
        <f>ROUND((AVERAGE(S5:Y5)),0)</f>
        <v>69</v>
      </c>
      <c r="BQ5" s="303" t="str">
        <f>IF(BP5&gt;KKM!$G$10,"A",IF(BP5&gt;KKM!$H$10,"B",IF(BP5&gt;=KKM!$I$10,"C","D")))</f>
        <v>D</v>
      </c>
      <c r="BR5" s="523">
        <f>MAX(S5:Y5)</f>
        <v>87</v>
      </c>
      <c r="BS5" s="115" t="str">
        <f>IF(BR5&gt;KKM!$G$10," sangat baik ",IF(BR5&gt;KKM!$H$10," baik ",IF(BR5&gt;=KKM!$I$10," cukup baik "," perlu bimbingan ")))</f>
        <v xml:space="preserve"> baik </v>
      </c>
      <c r="BT5" s="524">
        <f>MIN(S5:Y5)</f>
        <v>32</v>
      </c>
      <c r="BU5" s="115" t="str">
        <f>IF(BT5&gt;KKM!$G$10," sangat baik ",IF(BT5&gt;KKM!$H$10," baik ",IF(BT5&gt;=KKM!$I$10," cukup baik "," perlu bimbingan ")))</f>
        <v xml:space="preserve"> perlu bimbingan </v>
      </c>
      <c r="BV5" s="301" t="str">
        <f>IFERROR(CB5," ")</f>
        <v>Anak 1 baik  dalam memahami penggunaan waktu, tanggal, bulan, dan tahun, dan  perlu bimbingan  dalam mengenal, memahami dan mengidentifikasi macam-macam kalimat (order, request, and prengenal obyek-obyek wisata dan memahami penggunaan kalimat ungkapan terima kasih</v>
      </c>
      <c r="BW5" s="307" t="str">
        <f>BS5&amp;" dalam "&amp;INDEX($AI$3:$AO$3,MATCH(BR5,$S5:$Y5,0))</f>
        <v xml:space="preserve"> baik  dalam memahami penggunaan waktu, tanggal, bulan, dan tahun</v>
      </c>
      <c r="BX5" s="307" t="str">
        <f>BU5&amp;" dalam "&amp;INDEX($AI$3:$AO$3,MATCH(BT5,$S5:$Y5,0))</f>
        <v xml:space="preserve"> perlu bimbingan  dalam mengenal, memahami dan mengidentifikasi macam-macam kalimat (order, request, and prengenal obyek-obyek wisata dan memahami penggunaan kalimat ungkapan terima kasih</v>
      </c>
      <c r="BY5" s="307" t="str">
        <f>BW5&amp;", dan "&amp;BX5</f>
        <v xml:space="preserve"> baik  dalam memahami penggunaan waktu, tanggal, bulan, dan tahun, dan  perlu bimbingan  dalam mengenal, memahami dan mengidentifikasi macam-macam kalimat (order, request, and prengenal obyek-obyek wisata dan memahami penggunaan kalimat ungkapan terima kasih</v>
      </c>
      <c r="BZ5" s="307" t="str">
        <f>IF(BW5=BX5,BW5," ")</f>
        <v xml:space="preserve"> </v>
      </c>
      <c r="CA5" s="308" t="str">
        <f>IF(BZ5=" ",BY5,BZ5)</f>
        <v xml:space="preserve"> baik  dalam memahami penggunaan waktu, tanggal, bulan, dan tahun, dan  perlu bimbingan  dalam mengenal, memahami dan mengidentifikasi macam-macam kalimat (order, request, and prengenal obyek-obyek wisata dan memahami penggunaan kalimat ungkapan terima kasih</v>
      </c>
      <c r="CB5" s="301" t="str">
        <f>CONCATENATE(D5,CA5)</f>
        <v>Anak 1 baik  dalam memahami penggunaan waktu, tanggal, bulan, dan tahun, dan  perlu bimbingan  dalam mengenal, memahami dan mengidentifikasi macam-macam kalimat (order, request, and prengenal obyek-obyek wisata dan memahami penggunaan kalimat ungkapan terima kasih</v>
      </c>
    </row>
    <row r="6" spans="1:80" ht="57" customHeight="1">
      <c r="B6" s="109">
        <v>2</v>
      </c>
      <c r="C6" s="110">
        <f>SISWA!B7</f>
        <v>0</v>
      </c>
      <c r="D6" s="111" t="str">
        <f>SISWA!E7</f>
        <v>Anak 2</v>
      </c>
      <c r="E6" s="631">
        <v>99</v>
      </c>
      <c r="F6" s="613">
        <v>88</v>
      </c>
      <c r="G6" s="613">
        <v>98</v>
      </c>
      <c r="H6" s="613">
        <v>98</v>
      </c>
      <c r="I6" s="613"/>
      <c r="J6" s="613"/>
      <c r="K6" s="613"/>
      <c r="L6" s="731"/>
      <c r="M6" s="731"/>
      <c r="N6" s="731"/>
      <c r="O6" s="731"/>
      <c r="P6" s="613"/>
      <c r="Q6" s="613"/>
      <c r="R6" s="610"/>
      <c r="S6" s="605">
        <v>65</v>
      </c>
      <c r="T6" s="605">
        <v>77</v>
      </c>
      <c r="U6" s="609">
        <v>87</v>
      </c>
      <c r="V6" s="609">
        <v>87</v>
      </c>
      <c r="W6" s="609"/>
      <c r="X6" s="609"/>
      <c r="Y6" s="609"/>
      <c r="Z6" s="610"/>
      <c r="AA6" s="613">
        <v>65</v>
      </c>
      <c r="AB6" s="613">
        <v>95.5</v>
      </c>
      <c r="AC6" s="613">
        <v>94.5</v>
      </c>
      <c r="AD6" s="613">
        <v>86</v>
      </c>
      <c r="AE6" s="613"/>
      <c r="AF6" s="613"/>
      <c r="AG6" s="613"/>
      <c r="AH6" s="518"/>
      <c r="AI6" s="607">
        <f t="shared" ref="AI6:AI54" si="9">IFERROR(AVERAGE(E6,E6,S6,AA6),"")</f>
        <v>82</v>
      </c>
      <c r="AJ6" s="607">
        <f t="shared" ref="AJ6:AJ54" si="10">IFERROR(AVERAGE(F6,F6,T6,AB6),"")</f>
        <v>87.125</v>
      </c>
      <c r="AK6" s="607">
        <f t="shared" ref="AK6:AK54" si="11">IFERROR(AVERAGE(G6,G6,U6,AC6),"")</f>
        <v>94.375</v>
      </c>
      <c r="AL6" s="607">
        <f t="shared" ref="AL6:AL54" si="12">IFERROR(AVERAGE(H6,H6,V6,AD6),"")</f>
        <v>92.25</v>
      </c>
      <c r="AM6" s="607" t="str">
        <f t="shared" ref="AM6:AM54" si="13">IFERROR(AVERAGE(I6,I6,W6,AE6),"")</f>
        <v/>
      </c>
      <c r="AN6" s="607" t="str">
        <f t="shared" ref="AN6:AN54" si="14">IFERROR(AVERAGE(J6,J6,X6,AF6),"")</f>
        <v/>
      </c>
      <c r="AO6" s="607" t="str">
        <f t="shared" ref="AO6:AO54" si="15">IFERROR(AVERAGE(K6,K6,Y6,AG6),"")</f>
        <v/>
      </c>
      <c r="AP6" s="302">
        <f t="shared" si="3"/>
        <v>89</v>
      </c>
      <c r="AQ6" s="303" t="str">
        <f>IF(AP6&gt;KKM!$G$10,"A",IF(AP6&gt;KKM!$H$10,"B",IF(AP6&gt;=KKM!$I$10,"C","D")))</f>
        <v>B</v>
      </c>
      <c r="AR6" s="304">
        <f t="shared" si="4"/>
        <v>94.375</v>
      </c>
      <c r="AS6" s="115" t="str">
        <f>IF(AR6&gt;KKM!$G$10," sangat baik ",IF(AR6&gt;KKM!$H$10," baik ",IF(AR6&gt;=KKM!$I$10," cukup baik "," perlu bimbingan ")))</f>
        <v xml:space="preserve"> sangat baik </v>
      </c>
      <c r="AT6" s="305">
        <f t="shared" si="5"/>
        <v>82</v>
      </c>
      <c r="AU6" s="115" t="str">
        <f>IF(AT6&gt;KKM!$G$10," sangat baik ",IF(AT6&gt;KKM!$H$10," baik ",IF(AT6&gt;=KKM!$I$10," cukup baik "," perlu bimbingan ")))</f>
        <v xml:space="preserve"> baik </v>
      </c>
      <c r="AV6" s="301" t="str">
        <f t="shared" ref="AV6:AV54" si="16">IFERROR(BC6," ")</f>
        <v>Anak 2 sangat baik  dalam memahami penggunaan waktu, tanggal, bulan, dan tahun, dan  baik  dalam mengenal, memahami dan mengidentifikasi macam-macam kalimat (order, request, and prengenal obyek-obyek wisata dan memahami penggunaan kalimat ungkapan terima kasih</v>
      </c>
      <c r="AW6" s="306"/>
      <c r="AX6" s="307" t="str">
        <f t="shared" si="6"/>
        <v xml:space="preserve"> sangat baik  dalam memahami penggunaan waktu, tanggal, bulan, dan tahun</v>
      </c>
      <c r="AY6" s="307" t="str">
        <f t="shared" si="7"/>
        <v xml:space="preserve"> baik  dalam mengenal, memahami dan mengidentifikasi macam-macam kalimat (order, request, and prengenal obyek-obyek wisata dan memahami penggunaan kalimat ungkapan terima kasih</v>
      </c>
      <c r="AZ6" s="307" t="str">
        <f t="shared" ref="AZ6:AZ54" si="17">AX6&amp;", dan "&amp;AY6</f>
        <v xml:space="preserve"> sangat baik  dalam memahami penggunaan waktu, tanggal, bulan, dan tahun, dan  baik  dalam mengenal, memahami dan mengidentifikasi macam-macam kalimat (order, request, and prengenal obyek-obyek wisata dan memahami penggunaan kalimat ungkapan terima kasih</v>
      </c>
      <c r="BA6" s="307" t="str">
        <f t="shared" ref="BA6:BA54" si="18">IF(AX6=AY6,AX6," ")</f>
        <v xml:space="preserve"> </v>
      </c>
      <c r="BB6" s="308" t="str">
        <f t="shared" ref="BB6:BB54" si="19">IF(BA6=" ",AZ6,BA6)</f>
        <v xml:space="preserve"> sangat baik  dalam memahami penggunaan waktu, tanggal, bulan, dan tahun, dan  baik  dalam mengenal, memahami dan mengidentifikasi macam-macam kalimat (order, request, and prengenal obyek-obyek wisata dan memahami penggunaan kalimat ungkapan terima kasih</v>
      </c>
      <c r="BC6" s="301" t="str">
        <f t="shared" si="8"/>
        <v>Anak 2 sangat baik  dalam memahami penggunaan waktu, tanggal, bulan, dan tahun, dan  baik  dalam mengenal, memahami dan mengidentifikasi macam-macam kalimat (order, request, and prengenal obyek-obyek wisata dan memahami penggunaan kalimat ungkapan terima kasih</v>
      </c>
      <c r="BD6" s="120"/>
      <c r="BP6" s="302">
        <f t="shared" ref="BP6:BP54" si="20">ROUND((AVERAGE(S6:Y6)),0)</f>
        <v>79</v>
      </c>
      <c r="BQ6" s="303" t="str">
        <f>IF(BP6&gt;KKM!$G$10,"A",IF(BP6&gt;KKM!$H$10,"B",IF(BP6&gt;=KKM!$I$10,"C","D")))</f>
        <v>C</v>
      </c>
      <c r="BR6" s="523">
        <f t="shared" ref="BR6:BR54" si="21">MAX(S6:Y6)</f>
        <v>87</v>
      </c>
      <c r="BS6" s="115" t="str">
        <f>IF(BR6&gt;KKM!$G$10," sangat baik ",IF(BR6&gt;KKM!$H$10," baik ",IF(BR6&gt;=KKM!$I$10," cukup baik "," perlu bimbingan ")))</f>
        <v xml:space="preserve"> baik </v>
      </c>
      <c r="BT6" s="524">
        <f t="shared" ref="BT6:BT54" si="22">MIN(S6:Y6)</f>
        <v>65</v>
      </c>
      <c r="BU6" s="115" t="str">
        <f>IF(BT6&gt;KKM!$G$10," sangat baik ",IF(BT6&gt;KKM!$H$10," baik ",IF(BT6&gt;=KKM!$I$10," cukup baik "," perlu bimbingan ")))</f>
        <v xml:space="preserve"> perlu bimbingan </v>
      </c>
      <c r="BV6" s="301" t="str">
        <f>IFERROR(CB6," ")</f>
        <v>Anak 2 baik  dalam memahami penggunaan waktu, tanggal, bulan, dan tahun, dan  perlu bimbingan  dalam mengenal, memahami dan mengidentifikasi macam-macam kalimat (order, request, and prengenal obyek-obyek wisata dan memahami penggunaan kalimat ungkapan terima kasih</v>
      </c>
      <c r="BW6" s="307" t="str">
        <f t="shared" ref="BW6:BW54" si="23">BS6&amp;" dalam "&amp;INDEX($AI$3:$AO$3,MATCH(BR6,$S6:$Y6,0))</f>
        <v xml:space="preserve"> baik  dalam memahami penggunaan waktu, tanggal, bulan, dan tahun</v>
      </c>
      <c r="BX6" s="307" t="str">
        <f t="shared" ref="BX6:BX54" si="24">BU6&amp;" dalam "&amp;INDEX($AI$3:$AO$3,MATCH(BT6,$S6:$Y6,0))</f>
        <v xml:space="preserve"> perlu bimbingan  dalam mengenal, memahami dan mengidentifikasi macam-macam kalimat (order, request, and prengenal obyek-obyek wisata dan memahami penggunaan kalimat ungkapan terima kasih</v>
      </c>
      <c r="BY6" s="307" t="str">
        <f t="shared" ref="BY6:BY54" si="25">BW6&amp;", dan "&amp;BX6</f>
        <v xml:space="preserve"> baik  dalam memahami penggunaan waktu, tanggal, bulan, dan tahun, dan  perlu bimbingan  dalam mengenal, memahami dan mengidentifikasi macam-macam kalimat (order, request, and prengenal obyek-obyek wisata dan memahami penggunaan kalimat ungkapan terima kasih</v>
      </c>
      <c r="BZ6" s="307" t="str">
        <f t="shared" ref="BZ6:BZ54" si="26">IF(BW6=BX6,BW6," ")</f>
        <v xml:space="preserve"> </v>
      </c>
      <c r="CA6" s="308" t="str">
        <f t="shared" ref="CA6:CA54" si="27">IF(BZ6=" ",BY6,BZ6)</f>
        <v xml:space="preserve"> baik  dalam memahami penggunaan waktu, tanggal, bulan, dan tahun, dan  perlu bimbingan  dalam mengenal, memahami dan mengidentifikasi macam-macam kalimat (order, request, and prengenal obyek-obyek wisata dan memahami penggunaan kalimat ungkapan terima kasih</v>
      </c>
      <c r="CB6" s="301" t="str">
        <f t="shared" ref="CB6:CB54" si="28">CONCATENATE(D6,CA6)</f>
        <v>Anak 2 baik  dalam memahami penggunaan waktu, tanggal, bulan, dan tahun, dan  perlu bimbingan  dalam mengenal, memahami dan mengidentifikasi macam-macam kalimat (order, request, and prengenal obyek-obyek wisata dan memahami penggunaan kalimat ungkapan terima kasih</v>
      </c>
    </row>
    <row r="7" spans="1:80" ht="57" customHeight="1">
      <c r="B7" s="109">
        <v>3</v>
      </c>
      <c r="C7" s="110">
        <f>SISWA!B8</f>
        <v>0</v>
      </c>
      <c r="D7" s="111" t="str">
        <f>SISWA!E8</f>
        <v>Anak 3</v>
      </c>
      <c r="E7" s="631">
        <v>99</v>
      </c>
      <c r="F7" s="631">
        <v>99</v>
      </c>
      <c r="G7" s="631">
        <v>99</v>
      </c>
      <c r="H7" s="631">
        <v>99</v>
      </c>
      <c r="I7" s="613"/>
      <c r="J7" s="613"/>
      <c r="K7" s="613"/>
      <c r="L7" s="731"/>
      <c r="M7" s="731"/>
      <c r="N7" s="731"/>
      <c r="O7" s="731"/>
      <c r="P7" s="613"/>
      <c r="Q7" s="613"/>
      <c r="R7" s="610"/>
      <c r="S7" s="613">
        <v>94.5</v>
      </c>
      <c r="T7" s="613">
        <v>79</v>
      </c>
      <c r="U7" s="609"/>
      <c r="V7" s="614"/>
      <c r="W7" s="609"/>
      <c r="X7" s="609"/>
      <c r="Y7" s="609"/>
      <c r="Z7" s="610"/>
      <c r="AA7" s="613"/>
      <c r="AB7" s="613">
        <v>94.5</v>
      </c>
      <c r="AC7" s="613">
        <v>79</v>
      </c>
      <c r="AD7" s="613"/>
      <c r="AE7" s="613"/>
      <c r="AF7" s="613"/>
      <c r="AG7" s="613" t="str">
        <f>IFERROR(AVERAGE(#REF!),"")</f>
        <v/>
      </c>
      <c r="AH7" s="518"/>
      <c r="AI7" s="607">
        <f t="shared" si="9"/>
        <v>97.5</v>
      </c>
      <c r="AJ7" s="607">
        <f t="shared" si="10"/>
        <v>92.875</v>
      </c>
      <c r="AK7" s="607">
        <f t="shared" si="11"/>
        <v>92.333333333333329</v>
      </c>
      <c r="AL7" s="607">
        <f t="shared" si="12"/>
        <v>99</v>
      </c>
      <c r="AM7" s="607" t="str">
        <f t="shared" si="13"/>
        <v/>
      </c>
      <c r="AN7" s="607" t="str">
        <f t="shared" si="14"/>
        <v/>
      </c>
      <c r="AO7" s="607" t="str">
        <f t="shared" si="15"/>
        <v/>
      </c>
      <c r="AP7" s="302">
        <f t="shared" si="3"/>
        <v>95</v>
      </c>
      <c r="AQ7" s="303" t="str">
        <f>IF(AP7&gt;KKM!$G$10,"A",IF(AP7&gt;KKM!$H$10,"B",IF(AP7&gt;=KKM!$I$10,"C","D")))</f>
        <v>A</v>
      </c>
      <c r="AR7" s="304">
        <f t="shared" si="4"/>
        <v>99</v>
      </c>
      <c r="AS7" s="115" t="str">
        <f>IF(AR7&gt;KKM!$G$10," sangat baik ",IF(AR7&gt;KKM!$H$10," baik ",IF(AR7&gt;=KKM!$I$10," cukup baik "," perlu bimbingan ")))</f>
        <v xml:space="preserve"> sangat baik </v>
      </c>
      <c r="AT7" s="305">
        <f t="shared" si="5"/>
        <v>92.333333333333329</v>
      </c>
      <c r="AU7" s="115" t="str">
        <f>IF(AT7&gt;KKM!$G$10," sangat baik ",IF(AT7&gt;KKM!$H$10," baik ",IF(AT7&gt;=KKM!$I$10," cukup baik "," perlu bimbingan ")))</f>
        <v xml:space="preserve"> sangat baik </v>
      </c>
      <c r="AV7" s="301" t="str">
        <f t="shared" si="16"/>
        <v>Anak 3 sangat baik  dalam mengenal dan mengidentifikasi benda-benda di dapur dan nama-nama bunga, dan  sangat baik  dalam memahami penggunaan waktu, tanggal, bulan, dan tahun</v>
      </c>
      <c r="AW7" s="306"/>
      <c r="AX7" s="307" t="str">
        <f t="shared" si="6"/>
        <v xml:space="preserve"> sangat baik  dalam mengenal dan mengidentifikasi benda-benda di dapur dan nama-nama bunga</v>
      </c>
      <c r="AY7" s="307" t="str">
        <f t="shared" si="7"/>
        <v xml:space="preserve"> sangat baik  dalam memahami penggunaan waktu, tanggal, bulan, dan tahun</v>
      </c>
      <c r="AZ7" s="307" t="str">
        <f t="shared" si="17"/>
        <v xml:space="preserve"> sangat baik  dalam mengenal dan mengidentifikasi benda-benda di dapur dan nama-nama bunga, dan  sangat baik  dalam memahami penggunaan waktu, tanggal, bulan, dan tahun</v>
      </c>
      <c r="BA7" s="307" t="str">
        <f t="shared" si="18"/>
        <v xml:space="preserve"> </v>
      </c>
      <c r="BB7" s="308" t="str">
        <f t="shared" si="19"/>
        <v xml:space="preserve"> sangat baik  dalam mengenal dan mengidentifikasi benda-benda di dapur dan nama-nama bunga, dan  sangat baik  dalam memahami penggunaan waktu, tanggal, bulan, dan tahun</v>
      </c>
      <c r="BC7" s="301" t="str">
        <f t="shared" si="8"/>
        <v>Anak 3 sangat baik  dalam mengenal dan mengidentifikasi benda-benda di dapur dan nama-nama bunga, dan  sangat baik  dalam memahami penggunaan waktu, tanggal, bulan, dan tahun</v>
      </c>
      <c r="BD7" s="120"/>
      <c r="BP7" s="302">
        <f t="shared" si="20"/>
        <v>87</v>
      </c>
      <c r="BQ7" s="303" t="str">
        <f>IF(BP7&gt;KKM!$G$10,"A",IF(BP7&gt;KKM!$H$10,"B",IF(BP7&gt;=KKM!$I$10,"C","D")))</f>
        <v>B</v>
      </c>
      <c r="BR7" s="523">
        <f t="shared" si="21"/>
        <v>94.5</v>
      </c>
      <c r="BS7" s="115" t="str">
        <f>IF(BR7&gt;KKM!$G$10," sangat baik ",IF(BR7&gt;KKM!$H$10," baik ",IF(BR7&gt;=KKM!$I$10," cukup baik "," perlu bimbingan ")))</f>
        <v xml:space="preserve"> sangat baik </v>
      </c>
      <c r="BT7" s="524">
        <f t="shared" si="22"/>
        <v>79</v>
      </c>
      <c r="BU7" s="115" t="str">
        <f>IF(BT7&gt;KKM!$G$10," sangat baik ",IF(BT7&gt;KKM!$H$10," baik ",IF(BT7&gt;=KKM!$I$10," cukup baik "," perlu bimbingan ")))</f>
        <v xml:space="preserve"> cukup baik </v>
      </c>
      <c r="BV7" s="301" t="str">
        <f t="shared" ref="BV7:BV54" si="29">IFERROR(CB7," ")</f>
        <v>Anak 3 sangat baik  dalam mengenal, memahami dan mengidentifikasi macam-macam kalimat (order, request, and prengenal obyek-obyek wisata dan memahami penggunaan kalimat ungkapan terima kasih, dan  cukup baik  dalam memahami penggunaan kalimat yang menunjukkan letak suatu tempat</v>
      </c>
      <c r="BW7" s="307" t="str">
        <f t="shared" si="23"/>
        <v xml:space="preserve"> sangat baik  dalam mengenal, memahami dan mengidentifikasi macam-macam kalimat (order, request, and prengenal obyek-obyek wisata dan memahami penggunaan kalimat ungkapan terima kasih</v>
      </c>
      <c r="BX7" s="307" t="str">
        <f t="shared" si="24"/>
        <v xml:space="preserve"> cukup baik  dalam memahami penggunaan kalimat yang menunjukkan letak suatu tempat</v>
      </c>
      <c r="BY7" s="307" t="str">
        <f t="shared" si="25"/>
        <v xml:space="preserve"> sangat baik  dalam mengenal, memahami dan mengidentifikasi macam-macam kalimat (order, request, and prengenal obyek-obyek wisata dan memahami penggunaan kalimat ungkapan terima kasih, dan  cukup baik  dalam memahami penggunaan kalimat yang menunjukkan letak suatu tempat</v>
      </c>
      <c r="BZ7" s="307" t="str">
        <f t="shared" si="26"/>
        <v xml:space="preserve"> </v>
      </c>
      <c r="CA7" s="308" t="str">
        <f t="shared" si="27"/>
        <v xml:space="preserve"> sangat baik  dalam mengenal, memahami dan mengidentifikasi macam-macam kalimat (order, request, and prengenal obyek-obyek wisata dan memahami penggunaan kalimat ungkapan terima kasih, dan  cukup baik  dalam memahami penggunaan kalimat yang menunjukkan letak suatu tempat</v>
      </c>
      <c r="CB7" s="301" t="str">
        <f t="shared" si="28"/>
        <v>Anak 3 sangat baik  dalam mengenal, memahami dan mengidentifikasi macam-macam kalimat (order, request, and prengenal obyek-obyek wisata dan memahami penggunaan kalimat ungkapan terima kasih, dan  cukup baik  dalam memahami penggunaan kalimat yang menunjukkan letak suatu tempat</v>
      </c>
    </row>
    <row r="8" spans="1:80" ht="57" customHeight="1">
      <c r="B8" s="109">
        <v>4</v>
      </c>
      <c r="C8" s="110">
        <f>SISWA!B9</f>
        <v>0</v>
      </c>
      <c r="D8" s="111" t="str">
        <f>SISWA!E9</f>
        <v>Anak 4</v>
      </c>
      <c r="E8" s="631">
        <v>99</v>
      </c>
      <c r="F8" s="631">
        <v>99</v>
      </c>
      <c r="G8" s="631">
        <v>99</v>
      </c>
      <c r="H8" s="631">
        <v>99</v>
      </c>
      <c r="I8" s="613"/>
      <c r="J8" s="613"/>
      <c r="K8" s="613"/>
      <c r="L8" s="731"/>
      <c r="M8" s="731"/>
      <c r="N8" s="731"/>
      <c r="O8" s="731"/>
      <c r="P8" s="613"/>
      <c r="Q8" s="613"/>
      <c r="R8" s="610"/>
      <c r="S8" s="613">
        <v>79</v>
      </c>
      <c r="T8" s="613">
        <v>79</v>
      </c>
      <c r="U8" s="609"/>
      <c r="V8" s="609"/>
      <c r="W8" s="609"/>
      <c r="X8" s="609"/>
      <c r="Y8" s="609"/>
      <c r="Z8" s="610"/>
      <c r="AA8" s="613"/>
      <c r="AB8" s="609">
        <v>79</v>
      </c>
      <c r="AC8" s="613">
        <v>79</v>
      </c>
      <c r="AD8" s="613"/>
      <c r="AE8" s="613"/>
      <c r="AF8" s="613"/>
      <c r="AG8" s="613" t="str">
        <f>IFERROR(AVERAGE(#REF!),"")</f>
        <v/>
      </c>
      <c r="AH8" s="518"/>
      <c r="AI8" s="607">
        <f t="shared" si="9"/>
        <v>92.333333333333329</v>
      </c>
      <c r="AJ8" s="607">
        <f t="shared" si="10"/>
        <v>89</v>
      </c>
      <c r="AK8" s="607">
        <f t="shared" si="11"/>
        <v>92.333333333333329</v>
      </c>
      <c r="AL8" s="607">
        <f t="shared" si="12"/>
        <v>99</v>
      </c>
      <c r="AM8" s="607" t="str">
        <f t="shared" si="13"/>
        <v/>
      </c>
      <c r="AN8" s="607" t="str">
        <f t="shared" si="14"/>
        <v/>
      </c>
      <c r="AO8" s="607" t="str">
        <f t="shared" si="15"/>
        <v/>
      </c>
      <c r="AP8" s="302">
        <f t="shared" si="3"/>
        <v>93</v>
      </c>
      <c r="AQ8" s="303" t="str">
        <f>IF(AP8&gt;KKM!$G$10,"A",IF(AP8&gt;KKM!$H$10,"B",IF(AP8&gt;=KKM!$I$10,"C","D")))</f>
        <v>A</v>
      </c>
      <c r="AR8" s="304">
        <f t="shared" si="4"/>
        <v>99</v>
      </c>
      <c r="AS8" s="115" t="str">
        <f>IF(AR8&gt;KKM!$G$10," sangat baik ",IF(AR8&gt;KKM!$H$10," baik ",IF(AR8&gt;=KKM!$I$10," cukup baik "," perlu bimbingan ")))</f>
        <v xml:space="preserve"> sangat baik </v>
      </c>
      <c r="AT8" s="305">
        <f t="shared" si="5"/>
        <v>89</v>
      </c>
      <c r="AU8" s="115" t="str">
        <f>IF(AT8&gt;KKM!$G$10," sangat baik ",IF(AT8&gt;KKM!$H$10," baik ",IF(AT8&gt;=KKM!$I$10," cukup baik "," perlu bimbingan ")))</f>
        <v xml:space="preserve"> baik </v>
      </c>
      <c r="AV8" s="301" t="str">
        <f t="shared" si="16"/>
        <v>Anak 4 sangat baik  dalam mengenal dan mengidentifikasi benda-benda di dapur dan nama-nama bunga, dan  baik  dalam memahami penggunaan kalimat yang menunjukkan letak suatu tempat</v>
      </c>
      <c r="AW8" s="306"/>
      <c r="AX8" s="307" t="str">
        <f t="shared" si="6"/>
        <v xml:space="preserve"> sangat baik  dalam mengenal dan mengidentifikasi benda-benda di dapur dan nama-nama bunga</v>
      </c>
      <c r="AY8" s="307" t="str">
        <f t="shared" si="7"/>
        <v xml:space="preserve"> baik  dalam memahami penggunaan kalimat yang menunjukkan letak suatu tempat</v>
      </c>
      <c r="AZ8" s="307" t="str">
        <f t="shared" si="17"/>
        <v xml:space="preserve"> sangat baik  dalam mengenal dan mengidentifikasi benda-benda di dapur dan nama-nama bunga, dan  baik  dalam memahami penggunaan kalimat yang menunjukkan letak suatu tempat</v>
      </c>
      <c r="BA8" s="307" t="str">
        <f t="shared" si="18"/>
        <v xml:space="preserve"> </v>
      </c>
      <c r="BB8" s="308" t="str">
        <f t="shared" si="19"/>
        <v xml:space="preserve"> sangat baik  dalam mengenal dan mengidentifikasi benda-benda di dapur dan nama-nama bunga, dan  baik  dalam memahami penggunaan kalimat yang menunjukkan letak suatu tempat</v>
      </c>
      <c r="BC8" s="301" t="str">
        <f t="shared" si="8"/>
        <v>Anak 4 sangat baik  dalam mengenal dan mengidentifikasi benda-benda di dapur dan nama-nama bunga, dan  baik  dalam memahami penggunaan kalimat yang menunjukkan letak suatu tempat</v>
      </c>
      <c r="BD8" s="120"/>
      <c r="BP8" s="302">
        <f t="shared" si="20"/>
        <v>79</v>
      </c>
      <c r="BQ8" s="303" t="str">
        <f>IF(BP8&gt;KKM!$G$10,"A",IF(BP8&gt;KKM!$H$10,"B",IF(BP8&gt;=KKM!$I$10,"C","D")))</f>
        <v>C</v>
      </c>
      <c r="BR8" s="523">
        <f t="shared" si="21"/>
        <v>79</v>
      </c>
      <c r="BS8" s="115" t="str">
        <f>IF(BR8&gt;KKM!$G$10," sangat baik ",IF(BR8&gt;KKM!$H$10," baik ",IF(BR8&gt;=KKM!$I$10," cukup baik "," perlu bimbingan ")))</f>
        <v xml:space="preserve"> cukup baik </v>
      </c>
      <c r="BT8" s="524">
        <f t="shared" si="22"/>
        <v>79</v>
      </c>
      <c r="BU8" s="115" t="str">
        <f>IF(BT8&gt;KKM!$G$10," sangat baik ",IF(BT8&gt;KKM!$H$10," baik ",IF(BT8&gt;=KKM!$I$10," cukup baik "," perlu bimbingan ")))</f>
        <v xml:space="preserve"> cukup baik </v>
      </c>
      <c r="BV8" s="301" t="str">
        <f t="shared" si="29"/>
        <v>Anak 4 cukup baik  dalam mengenal, memahami dan mengidentifikasi macam-macam kalimat (order, request, and prengenal obyek-obyek wisata dan memahami penggunaan kalimat ungkapan terima kasih</v>
      </c>
      <c r="BW8" s="307" t="str">
        <f t="shared" si="23"/>
        <v xml:space="preserve"> cukup baik  dalam mengenal, memahami dan mengidentifikasi macam-macam kalimat (order, request, and prengenal obyek-obyek wisata dan memahami penggunaan kalimat ungkapan terima kasih</v>
      </c>
      <c r="BX8" s="307" t="str">
        <f t="shared" si="24"/>
        <v xml:space="preserve"> cukup baik  dalam mengenal, memahami dan mengidentifikasi macam-macam kalimat (order, request, and prengenal obyek-obyek wisata dan memahami penggunaan kalimat ungkapan terima kasih</v>
      </c>
      <c r="BY8" s="307" t="str">
        <f t="shared" si="25"/>
        <v xml:space="preserve"> cukup baik  dalam mengenal, memahami dan mengidentifikasi macam-macam kalimat (order, request, and prengenal obyek-obyek wisata dan memahami penggunaan kalimat ungkapan terima kasih, dan  cukup baik  dalam mengenal, memahami dan mengidentifikasi macam-macam kalimat (order, request, and prengenal obyek-obyek wisata dan memahami penggunaan kalimat ungkapan terima kasih</v>
      </c>
      <c r="BZ8" s="307" t="str">
        <f t="shared" si="26"/>
        <v xml:space="preserve"> cukup baik  dalam mengenal, memahami dan mengidentifikasi macam-macam kalimat (order, request, and prengenal obyek-obyek wisata dan memahami penggunaan kalimat ungkapan terima kasih</v>
      </c>
      <c r="CA8" s="308" t="str">
        <f t="shared" si="27"/>
        <v xml:space="preserve"> cukup baik  dalam mengenal, memahami dan mengidentifikasi macam-macam kalimat (order, request, and prengenal obyek-obyek wisata dan memahami penggunaan kalimat ungkapan terima kasih</v>
      </c>
      <c r="CB8" s="301" t="str">
        <f t="shared" si="28"/>
        <v>Anak 4 cukup baik  dalam mengenal, memahami dan mengidentifikasi macam-macam kalimat (order, request, and prengenal obyek-obyek wisata dan memahami penggunaan kalimat ungkapan terima kasih</v>
      </c>
    </row>
    <row r="9" spans="1:80" ht="57" customHeight="1">
      <c r="B9" s="109">
        <v>5</v>
      </c>
      <c r="C9" s="110">
        <f>SISWA!B10</f>
        <v>0</v>
      </c>
      <c r="D9" s="111" t="str">
        <f>SISWA!E10</f>
        <v>Anak 5</v>
      </c>
      <c r="E9" s="631">
        <v>99</v>
      </c>
      <c r="F9" s="631">
        <v>99</v>
      </c>
      <c r="G9" s="631">
        <v>99</v>
      </c>
      <c r="H9" s="631">
        <v>99</v>
      </c>
      <c r="I9" s="613"/>
      <c r="J9" s="613"/>
      <c r="K9" s="613"/>
      <c r="L9" s="731"/>
      <c r="M9" s="731"/>
      <c r="N9" s="731"/>
      <c r="O9" s="731"/>
      <c r="P9" s="613"/>
      <c r="Q9" s="613"/>
      <c r="R9" s="610"/>
      <c r="S9" s="613">
        <v>79</v>
      </c>
      <c r="T9" s="613">
        <v>79</v>
      </c>
      <c r="U9" s="609"/>
      <c r="V9" s="609"/>
      <c r="W9" s="609"/>
      <c r="X9" s="609"/>
      <c r="Y9" s="609"/>
      <c r="Z9" s="610"/>
      <c r="AA9" s="613"/>
      <c r="AB9" s="613">
        <v>79</v>
      </c>
      <c r="AC9" s="613">
        <v>79</v>
      </c>
      <c r="AD9" s="613"/>
      <c r="AE9" s="613"/>
      <c r="AF9" s="613"/>
      <c r="AG9" s="613" t="str">
        <f>IFERROR(AVERAGE(#REF!),"")</f>
        <v/>
      </c>
      <c r="AH9" s="518"/>
      <c r="AI9" s="607">
        <f t="shared" si="9"/>
        <v>92.333333333333329</v>
      </c>
      <c r="AJ9" s="607">
        <f t="shared" si="10"/>
        <v>89</v>
      </c>
      <c r="AK9" s="607">
        <f t="shared" si="11"/>
        <v>92.333333333333329</v>
      </c>
      <c r="AL9" s="607">
        <f t="shared" si="12"/>
        <v>99</v>
      </c>
      <c r="AM9" s="607" t="str">
        <f t="shared" si="13"/>
        <v/>
      </c>
      <c r="AN9" s="607" t="str">
        <f t="shared" si="14"/>
        <v/>
      </c>
      <c r="AO9" s="607" t="str">
        <f t="shared" si="15"/>
        <v/>
      </c>
      <c r="AP9" s="302">
        <f t="shared" si="3"/>
        <v>93</v>
      </c>
      <c r="AQ9" s="303" t="str">
        <f>IF(AP9&gt;KKM!$G$10,"A",IF(AP9&gt;KKM!$H$10,"B",IF(AP9&gt;=KKM!$I$10,"C","D")))</f>
        <v>A</v>
      </c>
      <c r="AR9" s="304">
        <f t="shared" si="4"/>
        <v>99</v>
      </c>
      <c r="AS9" s="115" t="str">
        <f>IF(AR9&gt;KKM!$G$10," sangat baik ",IF(AR9&gt;KKM!$H$10," baik ",IF(AR9&gt;=KKM!$I$10," cukup baik "," perlu bimbingan ")))</f>
        <v xml:space="preserve"> sangat baik </v>
      </c>
      <c r="AT9" s="305">
        <f t="shared" si="5"/>
        <v>89</v>
      </c>
      <c r="AU9" s="115" t="str">
        <f>IF(AT9&gt;KKM!$G$10," sangat baik ",IF(AT9&gt;KKM!$H$10," baik ",IF(AT9&gt;=KKM!$I$10," cukup baik "," perlu bimbingan ")))</f>
        <v xml:space="preserve"> baik </v>
      </c>
      <c r="AV9" s="301" t="str">
        <f t="shared" si="16"/>
        <v>Anak 5 sangat baik  dalam mengenal dan mengidentifikasi benda-benda di dapur dan nama-nama bunga, dan  baik  dalam memahami penggunaan kalimat yang menunjukkan letak suatu tempat</v>
      </c>
      <c r="AW9" s="306"/>
      <c r="AX9" s="307" t="str">
        <f t="shared" si="6"/>
        <v xml:space="preserve"> sangat baik  dalam mengenal dan mengidentifikasi benda-benda di dapur dan nama-nama bunga</v>
      </c>
      <c r="AY9" s="307" t="str">
        <f t="shared" si="7"/>
        <v xml:space="preserve"> baik  dalam memahami penggunaan kalimat yang menunjukkan letak suatu tempat</v>
      </c>
      <c r="AZ9" s="307" t="str">
        <f t="shared" si="17"/>
        <v xml:space="preserve"> sangat baik  dalam mengenal dan mengidentifikasi benda-benda di dapur dan nama-nama bunga, dan  baik  dalam memahami penggunaan kalimat yang menunjukkan letak suatu tempat</v>
      </c>
      <c r="BA9" s="307" t="str">
        <f t="shared" si="18"/>
        <v xml:space="preserve"> </v>
      </c>
      <c r="BB9" s="308" t="str">
        <f t="shared" si="19"/>
        <v xml:space="preserve"> sangat baik  dalam mengenal dan mengidentifikasi benda-benda di dapur dan nama-nama bunga, dan  baik  dalam memahami penggunaan kalimat yang menunjukkan letak suatu tempat</v>
      </c>
      <c r="BC9" s="301" t="str">
        <f t="shared" si="8"/>
        <v>Anak 5 sangat baik  dalam mengenal dan mengidentifikasi benda-benda di dapur dan nama-nama bunga, dan  baik  dalam memahami penggunaan kalimat yang menunjukkan letak suatu tempat</v>
      </c>
      <c r="BD9" s="120"/>
      <c r="BP9" s="302">
        <f t="shared" si="20"/>
        <v>79</v>
      </c>
      <c r="BQ9" s="303" t="str">
        <f>IF(BP9&gt;KKM!$G$10,"A",IF(BP9&gt;KKM!$H$10,"B",IF(BP9&gt;=KKM!$I$10,"C","D")))</f>
        <v>C</v>
      </c>
      <c r="BR9" s="523">
        <f t="shared" si="21"/>
        <v>79</v>
      </c>
      <c r="BS9" s="115" t="str">
        <f>IF(BR9&gt;KKM!$G$10," sangat baik ",IF(BR9&gt;KKM!$H$10," baik ",IF(BR9&gt;=KKM!$I$10," cukup baik "," perlu bimbingan ")))</f>
        <v xml:space="preserve"> cukup baik </v>
      </c>
      <c r="BT9" s="524">
        <f t="shared" si="22"/>
        <v>79</v>
      </c>
      <c r="BU9" s="115" t="str">
        <f>IF(BT9&gt;KKM!$G$10," sangat baik ",IF(BT9&gt;KKM!$H$10," baik ",IF(BT9&gt;=KKM!$I$10," cukup baik "," perlu bimbingan ")))</f>
        <v xml:space="preserve"> cukup baik </v>
      </c>
      <c r="BV9" s="301" t="str">
        <f t="shared" si="29"/>
        <v>Anak 5 cukup baik  dalam mengenal, memahami dan mengidentifikasi macam-macam kalimat (order, request, and prengenal obyek-obyek wisata dan memahami penggunaan kalimat ungkapan terima kasih</v>
      </c>
      <c r="BW9" s="307" t="str">
        <f t="shared" si="23"/>
        <v xml:space="preserve"> cukup baik  dalam mengenal, memahami dan mengidentifikasi macam-macam kalimat (order, request, and prengenal obyek-obyek wisata dan memahami penggunaan kalimat ungkapan terima kasih</v>
      </c>
      <c r="BX9" s="307" t="str">
        <f t="shared" si="24"/>
        <v xml:space="preserve"> cukup baik  dalam mengenal, memahami dan mengidentifikasi macam-macam kalimat (order, request, and prengenal obyek-obyek wisata dan memahami penggunaan kalimat ungkapan terima kasih</v>
      </c>
      <c r="BY9" s="307" t="str">
        <f t="shared" si="25"/>
        <v xml:space="preserve"> cukup baik  dalam mengenal, memahami dan mengidentifikasi macam-macam kalimat (order, request, and prengenal obyek-obyek wisata dan memahami penggunaan kalimat ungkapan terima kasih, dan  cukup baik  dalam mengenal, memahami dan mengidentifikasi macam-macam kalimat (order, request, and prengenal obyek-obyek wisata dan memahami penggunaan kalimat ungkapan terima kasih</v>
      </c>
      <c r="BZ9" s="307" t="str">
        <f t="shared" si="26"/>
        <v xml:space="preserve"> cukup baik  dalam mengenal, memahami dan mengidentifikasi macam-macam kalimat (order, request, and prengenal obyek-obyek wisata dan memahami penggunaan kalimat ungkapan terima kasih</v>
      </c>
      <c r="CA9" s="308" t="str">
        <f t="shared" si="27"/>
        <v xml:space="preserve"> cukup baik  dalam mengenal, memahami dan mengidentifikasi macam-macam kalimat (order, request, and prengenal obyek-obyek wisata dan memahami penggunaan kalimat ungkapan terima kasih</v>
      </c>
      <c r="CB9" s="301" t="str">
        <f t="shared" si="28"/>
        <v>Anak 5 cukup baik  dalam mengenal, memahami dan mengidentifikasi macam-macam kalimat (order, request, and prengenal obyek-obyek wisata dan memahami penggunaan kalimat ungkapan terima kasih</v>
      </c>
    </row>
    <row r="10" spans="1:80" ht="57" customHeight="1">
      <c r="B10" s="109">
        <v>6</v>
      </c>
      <c r="C10" s="110">
        <f>SISWA!B11</f>
        <v>0</v>
      </c>
      <c r="D10" s="111" t="str">
        <f>SISWA!E11</f>
        <v>Anak 6</v>
      </c>
      <c r="E10" s="631">
        <v>99</v>
      </c>
      <c r="F10" s="631">
        <v>99</v>
      </c>
      <c r="G10" s="631">
        <v>99</v>
      </c>
      <c r="H10" s="631">
        <v>99</v>
      </c>
      <c r="I10" s="613"/>
      <c r="J10" s="613"/>
      <c r="K10" s="613"/>
      <c r="L10" s="731"/>
      <c r="M10" s="731"/>
      <c r="N10" s="731"/>
      <c r="O10" s="731"/>
      <c r="P10" s="613"/>
      <c r="Q10" s="613"/>
      <c r="R10" s="610"/>
      <c r="S10" s="613">
        <v>79</v>
      </c>
      <c r="T10" s="613">
        <v>68.5</v>
      </c>
      <c r="U10" s="609"/>
      <c r="V10" s="609"/>
      <c r="W10" s="609"/>
      <c r="X10" s="609"/>
      <c r="Y10" s="609"/>
      <c r="Z10" s="610"/>
      <c r="AA10" s="613"/>
      <c r="AB10" s="613">
        <v>79</v>
      </c>
      <c r="AC10" s="613">
        <v>68.5</v>
      </c>
      <c r="AD10" s="613"/>
      <c r="AE10" s="613"/>
      <c r="AF10" s="613"/>
      <c r="AG10" s="613" t="str">
        <f>IFERROR(AVERAGE(#REF!),"")</f>
        <v/>
      </c>
      <c r="AH10" s="518"/>
      <c r="AI10" s="607">
        <f t="shared" si="9"/>
        <v>92.333333333333329</v>
      </c>
      <c r="AJ10" s="607">
        <f t="shared" si="10"/>
        <v>86.375</v>
      </c>
      <c r="AK10" s="607">
        <f t="shared" si="11"/>
        <v>88.833333333333329</v>
      </c>
      <c r="AL10" s="607">
        <f t="shared" si="12"/>
        <v>99</v>
      </c>
      <c r="AM10" s="607" t="str">
        <f t="shared" si="13"/>
        <v/>
      </c>
      <c r="AN10" s="607" t="str">
        <f t="shared" si="14"/>
        <v/>
      </c>
      <c r="AO10" s="607" t="str">
        <f t="shared" si="15"/>
        <v/>
      </c>
      <c r="AP10" s="302">
        <f t="shared" si="3"/>
        <v>92</v>
      </c>
      <c r="AQ10" s="303" t="str">
        <f>IF(AP10&gt;KKM!$G$10,"A",IF(AP10&gt;KKM!$H$10,"B",IF(AP10&gt;=KKM!$I$10,"C","D")))</f>
        <v>A</v>
      </c>
      <c r="AR10" s="304">
        <f t="shared" si="4"/>
        <v>99</v>
      </c>
      <c r="AS10" s="115" t="str">
        <f>IF(AR10&gt;KKM!$G$10," sangat baik ",IF(AR10&gt;KKM!$H$10," baik ",IF(AR10&gt;=KKM!$I$10," cukup baik "," perlu bimbingan ")))</f>
        <v xml:space="preserve"> sangat baik </v>
      </c>
      <c r="AT10" s="305">
        <f t="shared" si="5"/>
        <v>86.375</v>
      </c>
      <c r="AU10" s="115" t="str">
        <f>IF(AT10&gt;KKM!$G$10," sangat baik ",IF(AT10&gt;KKM!$H$10," baik ",IF(AT10&gt;=KKM!$I$10," cukup baik "," perlu bimbingan ")))</f>
        <v xml:space="preserve"> baik </v>
      </c>
      <c r="AV10" s="301" t="str">
        <f t="shared" si="16"/>
        <v>Anak 6 sangat baik  dalam mengenal dan mengidentifikasi benda-benda di dapur dan nama-nama bunga, dan  baik  dalam memahami penggunaan kalimat yang menunjukkan letak suatu tempat</v>
      </c>
      <c r="AW10" s="306"/>
      <c r="AX10" s="307" t="str">
        <f t="shared" si="6"/>
        <v xml:space="preserve"> sangat baik  dalam mengenal dan mengidentifikasi benda-benda di dapur dan nama-nama bunga</v>
      </c>
      <c r="AY10" s="307" t="str">
        <f t="shared" si="7"/>
        <v xml:space="preserve"> baik  dalam memahami penggunaan kalimat yang menunjukkan letak suatu tempat</v>
      </c>
      <c r="AZ10" s="307" t="str">
        <f t="shared" si="17"/>
        <v xml:space="preserve"> sangat baik  dalam mengenal dan mengidentifikasi benda-benda di dapur dan nama-nama bunga, dan  baik  dalam memahami penggunaan kalimat yang menunjukkan letak suatu tempat</v>
      </c>
      <c r="BA10" s="307" t="str">
        <f t="shared" si="18"/>
        <v xml:space="preserve"> </v>
      </c>
      <c r="BB10" s="308" t="str">
        <f t="shared" si="19"/>
        <v xml:space="preserve"> sangat baik  dalam mengenal dan mengidentifikasi benda-benda di dapur dan nama-nama bunga, dan  baik  dalam memahami penggunaan kalimat yang menunjukkan letak suatu tempat</v>
      </c>
      <c r="BC10" s="301" t="str">
        <f t="shared" si="8"/>
        <v>Anak 6 sangat baik  dalam mengenal dan mengidentifikasi benda-benda di dapur dan nama-nama bunga, dan  baik  dalam memahami penggunaan kalimat yang menunjukkan letak suatu tempat</v>
      </c>
      <c r="BD10" s="120"/>
      <c r="BP10" s="302">
        <f t="shared" si="20"/>
        <v>74</v>
      </c>
      <c r="BQ10" s="303" t="str">
        <f>IF(BP10&gt;KKM!$G$10,"A",IF(BP10&gt;KKM!$H$10,"B",IF(BP10&gt;=KKM!$I$10,"C","D")))</f>
        <v>C</v>
      </c>
      <c r="BR10" s="523">
        <f t="shared" si="21"/>
        <v>79</v>
      </c>
      <c r="BS10" s="115" t="str">
        <f>IF(BR10&gt;KKM!$G$10," sangat baik ",IF(BR10&gt;KKM!$H$10," baik ",IF(BR10&gt;=KKM!$I$10," cukup baik "," perlu bimbingan ")))</f>
        <v xml:space="preserve"> cukup baik </v>
      </c>
      <c r="BT10" s="524">
        <f t="shared" si="22"/>
        <v>68.5</v>
      </c>
      <c r="BU10" s="115" t="str">
        <f>IF(BT10&gt;KKM!$G$10," sangat baik ",IF(BT10&gt;KKM!$H$10," baik ",IF(BT10&gt;=KKM!$I$10," cukup baik "," perlu bimbingan ")))</f>
        <v xml:space="preserve"> perlu bimbingan </v>
      </c>
      <c r="BV10" s="301" t="str">
        <f t="shared" si="29"/>
        <v>Anak 6 cukup baik  dalam mengenal, memahami dan mengidentifikasi macam-macam kalimat (order, request, and prengenal obyek-obyek wisata dan memahami penggunaan kalimat ungkapan terima kasih, dan  perlu bimbingan  dalam memahami penggunaan kalimat yang menunjukkan letak suatu tempat</v>
      </c>
      <c r="BW10" s="307" t="str">
        <f t="shared" si="23"/>
        <v xml:space="preserve"> cukup baik  dalam mengenal, memahami dan mengidentifikasi macam-macam kalimat (order, request, and prengenal obyek-obyek wisata dan memahami penggunaan kalimat ungkapan terima kasih</v>
      </c>
      <c r="BX10" s="307" t="str">
        <f t="shared" si="24"/>
        <v xml:space="preserve"> perlu bimbingan  dalam memahami penggunaan kalimat yang menunjukkan letak suatu tempat</v>
      </c>
      <c r="BY10" s="307" t="str">
        <f t="shared" si="25"/>
        <v xml:space="preserve"> cukup baik  dalam mengenal, memahami dan mengidentifikasi macam-macam kalimat (order, request, and prengenal obyek-obyek wisata dan memahami penggunaan kalimat ungkapan terima kasih, dan  perlu bimbingan  dalam memahami penggunaan kalimat yang menunjukkan letak suatu tempat</v>
      </c>
      <c r="BZ10" s="307" t="str">
        <f t="shared" si="26"/>
        <v xml:space="preserve"> </v>
      </c>
      <c r="CA10" s="308" t="str">
        <f t="shared" si="27"/>
        <v xml:space="preserve"> cukup baik  dalam mengenal, memahami dan mengidentifikasi macam-macam kalimat (order, request, and prengenal obyek-obyek wisata dan memahami penggunaan kalimat ungkapan terima kasih, dan  perlu bimbingan  dalam memahami penggunaan kalimat yang menunjukkan letak suatu tempat</v>
      </c>
      <c r="CB10" s="301" t="str">
        <f t="shared" si="28"/>
        <v>Anak 6 cukup baik  dalam mengenal, memahami dan mengidentifikasi macam-macam kalimat (order, request, and prengenal obyek-obyek wisata dan memahami penggunaan kalimat ungkapan terima kasih, dan  perlu bimbingan  dalam memahami penggunaan kalimat yang menunjukkan letak suatu tempat</v>
      </c>
    </row>
    <row r="11" spans="1:80" ht="57" customHeight="1">
      <c r="B11" s="109">
        <v>7</v>
      </c>
      <c r="C11" s="110">
        <f>SISWA!B12</f>
        <v>0</v>
      </c>
      <c r="D11" s="111" t="str">
        <f>SISWA!E12</f>
        <v>Anak 7</v>
      </c>
      <c r="E11" s="631">
        <v>99</v>
      </c>
      <c r="F11" s="631">
        <v>99</v>
      </c>
      <c r="G11" s="631">
        <v>99</v>
      </c>
      <c r="H11" s="631">
        <v>99</v>
      </c>
      <c r="I11" s="613"/>
      <c r="J11" s="613"/>
      <c r="K11" s="613"/>
      <c r="L11" s="731"/>
      <c r="M11" s="731"/>
      <c r="N11" s="731"/>
      <c r="O11" s="731"/>
      <c r="P11" s="613"/>
      <c r="Q11" s="613"/>
      <c r="R11" s="610"/>
      <c r="S11" s="613">
        <v>68.5</v>
      </c>
      <c r="T11" s="613">
        <v>69.5</v>
      </c>
      <c r="U11" s="609"/>
      <c r="V11" s="609"/>
      <c r="W11" s="609"/>
      <c r="X11" s="609"/>
      <c r="Y11" s="609"/>
      <c r="Z11" s="610"/>
      <c r="AA11" s="613"/>
      <c r="AB11" s="613">
        <v>68.5</v>
      </c>
      <c r="AC11" s="613">
        <v>69.5</v>
      </c>
      <c r="AD11" s="613"/>
      <c r="AE11" s="613"/>
      <c r="AF11" s="613"/>
      <c r="AG11" s="613" t="str">
        <f>IFERROR(AVERAGE(#REF!),"")</f>
        <v/>
      </c>
      <c r="AH11" s="518"/>
      <c r="AI11" s="607">
        <f t="shared" si="9"/>
        <v>88.833333333333329</v>
      </c>
      <c r="AJ11" s="607">
        <f t="shared" si="10"/>
        <v>84</v>
      </c>
      <c r="AK11" s="607">
        <f t="shared" si="11"/>
        <v>89.166666666666671</v>
      </c>
      <c r="AL11" s="607">
        <f t="shared" si="12"/>
        <v>99</v>
      </c>
      <c r="AM11" s="607" t="str">
        <f t="shared" si="13"/>
        <v/>
      </c>
      <c r="AN11" s="607" t="str">
        <f t="shared" si="14"/>
        <v/>
      </c>
      <c r="AO11" s="607" t="str">
        <f t="shared" si="15"/>
        <v/>
      </c>
      <c r="AP11" s="302">
        <f t="shared" si="3"/>
        <v>90</v>
      </c>
      <c r="AQ11" s="303" t="str">
        <f>IF(AP11&gt;KKM!$G$10,"A",IF(AP11&gt;KKM!$H$10,"B",IF(AP11&gt;=KKM!$I$10,"C","D")))</f>
        <v>B</v>
      </c>
      <c r="AR11" s="304">
        <f t="shared" si="4"/>
        <v>99</v>
      </c>
      <c r="AS11" s="115" t="str">
        <f>IF(AR11&gt;KKM!$G$10," sangat baik ",IF(AR11&gt;KKM!$H$10," baik ",IF(AR11&gt;=KKM!$I$10," cukup baik "," perlu bimbingan ")))</f>
        <v xml:space="preserve"> sangat baik </v>
      </c>
      <c r="AT11" s="305">
        <f t="shared" si="5"/>
        <v>84</v>
      </c>
      <c r="AU11" s="115" t="str">
        <f>IF(AT11&gt;KKM!$G$10," sangat baik ",IF(AT11&gt;KKM!$H$10," baik ",IF(AT11&gt;=KKM!$I$10," cukup baik "," perlu bimbingan ")))</f>
        <v xml:space="preserve"> baik </v>
      </c>
      <c r="AV11" s="301" t="str">
        <f t="shared" si="16"/>
        <v>Anak 7 sangat baik  dalam mengenal dan mengidentifikasi benda-benda di dapur dan nama-nama bunga, dan  baik  dalam memahami penggunaan kalimat yang menunjukkan letak suatu tempat</v>
      </c>
      <c r="AW11" s="306"/>
      <c r="AX11" s="307" t="str">
        <f t="shared" si="6"/>
        <v xml:space="preserve"> sangat baik  dalam mengenal dan mengidentifikasi benda-benda di dapur dan nama-nama bunga</v>
      </c>
      <c r="AY11" s="307" t="str">
        <f t="shared" si="7"/>
        <v xml:space="preserve"> baik  dalam memahami penggunaan kalimat yang menunjukkan letak suatu tempat</v>
      </c>
      <c r="AZ11" s="307" t="str">
        <f t="shared" si="17"/>
        <v xml:space="preserve"> sangat baik  dalam mengenal dan mengidentifikasi benda-benda di dapur dan nama-nama bunga, dan  baik  dalam memahami penggunaan kalimat yang menunjukkan letak suatu tempat</v>
      </c>
      <c r="BA11" s="307" t="str">
        <f t="shared" si="18"/>
        <v xml:space="preserve"> </v>
      </c>
      <c r="BB11" s="308" t="str">
        <f t="shared" si="19"/>
        <v xml:space="preserve"> sangat baik  dalam mengenal dan mengidentifikasi benda-benda di dapur dan nama-nama bunga, dan  baik  dalam memahami penggunaan kalimat yang menunjukkan letak suatu tempat</v>
      </c>
      <c r="BC11" s="301" t="str">
        <f t="shared" si="8"/>
        <v>Anak 7 sangat baik  dalam mengenal dan mengidentifikasi benda-benda di dapur dan nama-nama bunga, dan  baik  dalam memahami penggunaan kalimat yang menunjukkan letak suatu tempat</v>
      </c>
      <c r="BD11" s="120"/>
      <c r="BP11" s="302">
        <f t="shared" si="20"/>
        <v>69</v>
      </c>
      <c r="BQ11" s="303" t="str">
        <f>IF(BP11&gt;KKM!$G$10,"A",IF(BP11&gt;KKM!$H$10,"B",IF(BP11&gt;=KKM!$I$10,"C","D")))</f>
        <v>D</v>
      </c>
      <c r="BR11" s="523">
        <f t="shared" si="21"/>
        <v>69.5</v>
      </c>
      <c r="BS11" s="115" t="str">
        <f>IF(BR11&gt;KKM!$G$10," sangat baik ",IF(BR11&gt;KKM!$H$10," baik ",IF(BR11&gt;=KKM!$I$10," cukup baik "," perlu bimbingan ")))</f>
        <v xml:space="preserve"> perlu bimbingan </v>
      </c>
      <c r="BT11" s="524">
        <f t="shared" si="22"/>
        <v>68.5</v>
      </c>
      <c r="BU11" s="115" t="str">
        <f>IF(BT11&gt;KKM!$G$10," sangat baik ",IF(BT11&gt;KKM!$H$10," baik ",IF(BT11&gt;=KKM!$I$10," cukup baik "," perlu bimbingan ")))</f>
        <v xml:space="preserve"> perlu bimbingan </v>
      </c>
      <c r="BV11" s="301" t="str">
        <f t="shared" si="29"/>
        <v>Anak 7 perlu bimbingan  dalam memahami penggunaan kalimat yang menunjukkan letak suatu tempat, dan  perlu bimbingan  dalam mengenal, memahami dan mengidentifikasi macam-macam kalimat (order, request, and prengenal obyek-obyek wisata dan memahami penggunaan kalimat ungkapan terima kasih</v>
      </c>
      <c r="BW11" s="307" t="str">
        <f t="shared" si="23"/>
        <v xml:space="preserve"> perlu bimbingan  dalam memahami penggunaan kalimat yang menunjukkan letak suatu tempat</v>
      </c>
      <c r="BX11" s="307" t="str">
        <f t="shared" si="24"/>
        <v xml:space="preserve"> perlu bimbingan  dalam mengenal, memahami dan mengidentifikasi macam-macam kalimat (order, request, and prengenal obyek-obyek wisata dan memahami penggunaan kalimat ungkapan terima kasih</v>
      </c>
      <c r="BY11" s="307" t="str">
        <f t="shared" si="25"/>
        <v xml:space="preserve"> perlu bimbingan  dalam memahami penggunaan kalimat yang menunjukkan letak suatu tempat, dan  perlu bimbingan  dalam mengenal, memahami dan mengidentifikasi macam-macam kalimat (order, request, and prengenal obyek-obyek wisata dan memahami penggunaan kalimat ungkapan terima kasih</v>
      </c>
      <c r="BZ11" s="307" t="str">
        <f t="shared" si="26"/>
        <v xml:space="preserve"> </v>
      </c>
      <c r="CA11" s="308" t="str">
        <f t="shared" si="27"/>
        <v xml:space="preserve"> perlu bimbingan  dalam memahami penggunaan kalimat yang menunjukkan letak suatu tempat, dan  perlu bimbingan  dalam mengenal, memahami dan mengidentifikasi macam-macam kalimat (order, request, and prengenal obyek-obyek wisata dan memahami penggunaan kalimat ungkapan terima kasih</v>
      </c>
      <c r="CB11" s="301" t="str">
        <f t="shared" si="28"/>
        <v>Anak 7 perlu bimbingan  dalam memahami penggunaan kalimat yang menunjukkan letak suatu tempat, dan  perlu bimbingan  dalam mengenal, memahami dan mengidentifikasi macam-macam kalimat (order, request, and prengenal obyek-obyek wisata dan memahami penggunaan kalimat ungkapan terima kasih</v>
      </c>
    </row>
    <row r="12" spans="1:80" ht="57" customHeight="1">
      <c r="B12" s="109">
        <v>8</v>
      </c>
      <c r="C12" s="110">
        <f>SISWA!B13</f>
        <v>0</v>
      </c>
      <c r="D12" s="111" t="str">
        <f>SISWA!E13</f>
        <v>Anak 8</v>
      </c>
      <c r="E12" s="631">
        <v>99</v>
      </c>
      <c r="F12" s="631">
        <v>99</v>
      </c>
      <c r="G12" s="631">
        <v>99</v>
      </c>
      <c r="H12" s="631">
        <v>99</v>
      </c>
      <c r="I12" s="613"/>
      <c r="J12" s="613"/>
      <c r="K12" s="613"/>
      <c r="L12" s="731"/>
      <c r="M12" s="731"/>
      <c r="N12" s="731"/>
      <c r="O12" s="731"/>
      <c r="P12" s="613"/>
      <c r="Q12" s="613"/>
      <c r="R12" s="610"/>
      <c r="S12" s="613">
        <v>69.5</v>
      </c>
      <c r="T12" s="613">
        <v>80</v>
      </c>
      <c r="U12" s="609"/>
      <c r="V12" s="609"/>
      <c r="W12" s="609"/>
      <c r="X12" s="609"/>
      <c r="Y12" s="609"/>
      <c r="Z12" s="610"/>
      <c r="AA12" s="613"/>
      <c r="AB12" s="613">
        <v>69.5</v>
      </c>
      <c r="AC12" s="613">
        <v>80</v>
      </c>
      <c r="AD12" s="613"/>
      <c r="AE12" s="613"/>
      <c r="AF12" s="613"/>
      <c r="AG12" s="613" t="str">
        <f>IFERROR(AVERAGE(#REF!),"")</f>
        <v/>
      </c>
      <c r="AH12" s="518"/>
      <c r="AI12" s="607">
        <f t="shared" si="9"/>
        <v>89.166666666666671</v>
      </c>
      <c r="AJ12" s="607">
        <f t="shared" si="10"/>
        <v>86.875</v>
      </c>
      <c r="AK12" s="607">
        <f t="shared" si="11"/>
        <v>92.666666666666671</v>
      </c>
      <c r="AL12" s="607">
        <f t="shared" si="12"/>
        <v>99</v>
      </c>
      <c r="AM12" s="607" t="str">
        <f t="shared" si="13"/>
        <v/>
      </c>
      <c r="AN12" s="607" t="str">
        <f t="shared" si="14"/>
        <v/>
      </c>
      <c r="AO12" s="607" t="str">
        <f t="shared" si="15"/>
        <v/>
      </c>
      <c r="AP12" s="302">
        <f t="shared" si="3"/>
        <v>92</v>
      </c>
      <c r="AQ12" s="303" t="str">
        <f>IF(AP12&gt;KKM!$G$10,"A",IF(AP12&gt;KKM!$H$10,"B",IF(AP12&gt;=KKM!$I$10,"C","D")))</f>
        <v>A</v>
      </c>
      <c r="AR12" s="304">
        <f t="shared" si="4"/>
        <v>99</v>
      </c>
      <c r="AS12" s="115" t="str">
        <f>IF(AR12&gt;KKM!$G$10," sangat baik ",IF(AR12&gt;KKM!$H$10," baik ",IF(AR12&gt;=KKM!$I$10," cukup baik "," perlu bimbingan ")))</f>
        <v xml:space="preserve"> sangat baik </v>
      </c>
      <c r="AT12" s="305">
        <f t="shared" si="5"/>
        <v>86.875</v>
      </c>
      <c r="AU12" s="115" t="str">
        <f>IF(AT12&gt;KKM!$G$10," sangat baik ",IF(AT12&gt;KKM!$H$10," baik ",IF(AT12&gt;=KKM!$I$10," cukup baik "," perlu bimbingan ")))</f>
        <v xml:space="preserve"> baik </v>
      </c>
      <c r="AV12" s="301" t="str">
        <f t="shared" si="16"/>
        <v>Anak 8 sangat baik  dalam mengenal dan mengidentifikasi benda-benda di dapur dan nama-nama bunga, dan  baik  dalam memahami penggunaan kalimat yang menunjukkan letak suatu tempat</v>
      </c>
      <c r="AW12" s="306"/>
      <c r="AX12" s="307" t="str">
        <f t="shared" si="6"/>
        <v xml:space="preserve"> sangat baik  dalam mengenal dan mengidentifikasi benda-benda di dapur dan nama-nama bunga</v>
      </c>
      <c r="AY12" s="307" t="str">
        <f t="shared" si="7"/>
        <v xml:space="preserve"> baik  dalam memahami penggunaan kalimat yang menunjukkan letak suatu tempat</v>
      </c>
      <c r="AZ12" s="307" t="str">
        <f t="shared" si="17"/>
        <v xml:space="preserve"> sangat baik  dalam mengenal dan mengidentifikasi benda-benda di dapur dan nama-nama bunga, dan  baik  dalam memahami penggunaan kalimat yang menunjukkan letak suatu tempat</v>
      </c>
      <c r="BA12" s="307" t="str">
        <f t="shared" si="18"/>
        <v xml:space="preserve"> </v>
      </c>
      <c r="BB12" s="308" t="str">
        <f t="shared" si="19"/>
        <v xml:space="preserve"> sangat baik  dalam mengenal dan mengidentifikasi benda-benda di dapur dan nama-nama bunga, dan  baik  dalam memahami penggunaan kalimat yang menunjukkan letak suatu tempat</v>
      </c>
      <c r="BC12" s="301" t="str">
        <f t="shared" si="8"/>
        <v>Anak 8 sangat baik  dalam mengenal dan mengidentifikasi benda-benda di dapur dan nama-nama bunga, dan  baik  dalam memahami penggunaan kalimat yang menunjukkan letak suatu tempat</v>
      </c>
      <c r="BD12" s="120"/>
      <c r="BP12" s="302">
        <f t="shared" si="20"/>
        <v>75</v>
      </c>
      <c r="BQ12" s="303" t="str">
        <f>IF(BP12&gt;KKM!$G$10,"A",IF(BP12&gt;KKM!$H$10,"B",IF(BP12&gt;=KKM!$I$10,"C","D")))</f>
        <v>C</v>
      </c>
      <c r="BR12" s="523">
        <f t="shared" si="21"/>
        <v>80</v>
      </c>
      <c r="BS12" s="115" t="str">
        <f>IF(BR12&gt;KKM!$G$10," sangat baik ",IF(BR12&gt;KKM!$H$10," baik ",IF(BR12&gt;=KKM!$I$10," cukup baik "," perlu bimbingan ")))</f>
        <v xml:space="preserve"> cukup baik </v>
      </c>
      <c r="BT12" s="524">
        <f t="shared" si="22"/>
        <v>69.5</v>
      </c>
      <c r="BU12" s="115" t="str">
        <f>IF(BT12&gt;KKM!$G$10," sangat baik ",IF(BT12&gt;KKM!$H$10," baik ",IF(BT12&gt;=KKM!$I$10," cukup baik "," perlu bimbingan ")))</f>
        <v xml:space="preserve"> perlu bimbingan </v>
      </c>
      <c r="BV12" s="301" t="str">
        <f t="shared" si="29"/>
        <v>Anak 8 cukup baik  dalam memahami penggunaan kalimat yang menunjukkan letak suatu tempat, dan  perlu bimbingan  dalam mengenal, memahami dan mengidentifikasi macam-macam kalimat (order, request, and prengenal obyek-obyek wisata dan memahami penggunaan kalimat ungkapan terima kasih</v>
      </c>
      <c r="BW12" s="307" t="str">
        <f t="shared" si="23"/>
        <v xml:space="preserve"> cukup baik  dalam memahami penggunaan kalimat yang menunjukkan letak suatu tempat</v>
      </c>
      <c r="BX12" s="307" t="str">
        <f t="shared" si="24"/>
        <v xml:space="preserve"> perlu bimbingan  dalam mengenal, memahami dan mengidentifikasi macam-macam kalimat (order, request, and prengenal obyek-obyek wisata dan memahami penggunaan kalimat ungkapan terima kasih</v>
      </c>
      <c r="BY12" s="307" t="str">
        <f t="shared" si="25"/>
        <v xml:space="preserve"> cukup baik  dalam memahami penggunaan kalimat yang menunjukkan letak suatu tempat, dan  perlu bimbingan  dalam mengenal, memahami dan mengidentifikasi macam-macam kalimat (order, request, and prengenal obyek-obyek wisata dan memahami penggunaan kalimat ungkapan terima kasih</v>
      </c>
      <c r="BZ12" s="307" t="str">
        <f t="shared" si="26"/>
        <v xml:space="preserve"> </v>
      </c>
      <c r="CA12" s="308" t="str">
        <f t="shared" si="27"/>
        <v xml:space="preserve"> cukup baik  dalam memahami penggunaan kalimat yang menunjukkan letak suatu tempat, dan  perlu bimbingan  dalam mengenal, memahami dan mengidentifikasi macam-macam kalimat (order, request, and prengenal obyek-obyek wisata dan memahami penggunaan kalimat ungkapan terima kasih</v>
      </c>
      <c r="CB12" s="301" t="str">
        <f t="shared" si="28"/>
        <v>Anak 8 cukup baik  dalam memahami penggunaan kalimat yang menunjukkan letak suatu tempat, dan  perlu bimbingan  dalam mengenal, memahami dan mengidentifikasi macam-macam kalimat (order, request, and prengenal obyek-obyek wisata dan memahami penggunaan kalimat ungkapan terima kasih</v>
      </c>
    </row>
    <row r="13" spans="1:80" ht="57" customHeight="1">
      <c r="B13" s="109">
        <v>9</v>
      </c>
      <c r="C13" s="110">
        <f>SISWA!B14</f>
        <v>0</v>
      </c>
      <c r="D13" s="111" t="str">
        <f>SISWA!E14</f>
        <v>Anak 9</v>
      </c>
      <c r="E13" s="631">
        <v>99</v>
      </c>
      <c r="F13" s="631">
        <v>99</v>
      </c>
      <c r="G13" s="631">
        <v>99</v>
      </c>
      <c r="H13" s="631">
        <v>99</v>
      </c>
      <c r="I13" s="613"/>
      <c r="J13" s="613"/>
      <c r="K13" s="613"/>
      <c r="L13" s="731"/>
      <c r="M13" s="731"/>
      <c r="N13" s="731"/>
      <c r="O13" s="731"/>
      <c r="P13" s="613"/>
      <c r="Q13" s="613"/>
      <c r="R13" s="610"/>
      <c r="S13" s="613">
        <v>80</v>
      </c>
      <c r="T13" s="613">
        <v>68.5</v>
      </c>
      <c r="U13" s="609"/>
      <c r="V13" s="609"/>
      <c r="W13" s="609"/>
      <c r="X13" s="609"/>
      <c r="Y13" s="609"/>
      <c r="Z13" s="610"/>
      <c r="AA13" s="613"/>
      <c r="AB13" s="613">
        <v>80</v>
      </c>
      <c r="AC13" s="613">
        <v>68.5</v>
      </c>
      <c r="AD13" s="613"/>
      <c r="AE13" s="613"/>
      <c r="AF13" s="613"/>
      <c r="AG13" s="613" t="str">
        <f>IFERROR(AVERAGE(#REF!),"")</f>
        <v/>
      </c>
      <c r="AH13" s="518"/>
      <c r="AI13" s="607">
        <f t="shared" si="9"/>
        <v>92.666666666666671</v>
      </c>
      <c r="AJ13" s="607">
        <f t="shared" si="10"/>
        <v>86.625</v>
      </c>
      <c r="AK13" s="607">
        <f t="shared" si="11"/>
        <v>88.833333333333329</v>
      </c>
      <c r="AL13" s="607">
        <f t="shared" si="12"/>
        <v>99</v>
      </c>
      <c r="AM13" s="607" t="str">
        <f t="shared" si="13"/>
        <v/>
      </c>
      <c r="AN13" s="607" t="str">
        <f t="shared" si="14"/>
        <v/>
      </c>
      <c r="AO13" s="607" t="str">
        <f t="shared" si="15"/>
        <v/>
      </c>
      <c r="AP13" s="302">
        <f t="shared" si="3"/>
        <v>92</v>
      </c>
      <c r="AQ13" s="303" t="str">
        <f>IF(AP13&gt;KKM!$G$10,"A",IF(AP13&gt;KKM!$H$10,"B",IF(AP13&gt;=KKM!$I$10,"C","D")))</f>
        <v>A</v>
      </c>
      <c r="AR13" s="304">
        <f t="shared" si="4"/>
        <v>99</v>
      </c>
      <c r="AS13" s="115" t="str">
        <f>IF(AR13&gt;KKM!$G$10," sangat baik ",IF(AR13&gt;KKM!$H$10," baik ",IF(AR13&gt;=KKM!$I$10," cukup baik "," perlu bimbingan ")))</f>
        <v xml:space="preserve"> sangat baik </v>
      </c>
      <c r="AT13" s="305">
        <f t="shared" si="5"/>
        <v>86.625</v>
      </c>
      <c r="AU13" s="115" t="str">
        <f>IF(AT13&gt;KKM!$G$10," sangat baik ",IF(AT13&gt;KKM!$H$10," baik ",IF(AT13&gt;=KKM!$I$10," cukup baik "," perlu bimbingan ")))</f>
        <v xml:space="preserve"> baik </v>
      </c>
      <c r="AV13" s="301" t="str">
        <f t="shared" si="16"/>
        <v>Anak 9 sangat baik  dalam mengenal dan mengidentifikasi benda-benda di dapur dan nama-nama bunga, dan  baik  dalam memahami penggunaan kalimat yang menunjukkan letak suatu tempat</v>
      </c>
      <c r="AW13" s="306"/>
      <c r="AX13" s="307" t="str">
        <f t="shared" si="6"/>
        <v xml:space="preserve"> sangat baik  dalam mengenal dan mengidentifikasi benda-benda di dapur dan nama-nama bunga</v>
      </c>
      <c r="AY13" s="307" t="str">
        <f t="shared" si="7"/>
        <v xml:space="preserve"> baik  dalam memahami penggunaan kalimat yang menunjukkan letak suatu tempat</v>
      </c>
      <c r="AZ13" s="307" t="str">
        <f t="shared" si="17"/>
        <v xml:space="preserve"> sangat baik  dalam mengenal dan mengidentifikasi benda-benda di dapur dan nama-nama bunga, dan  baik  dalam memahami penggunaan kalimat yang menunjukkan letak suatu tempat</v>
      </c>
      <c r="BA13" s="307" t="str">
        <f t="shared" si="18"/>
        <v xml:space="preserve"> </v>
      </c>
      <c r="BB13" s="308" t="str">
        <f t="shared" si="19"/>
        <v xml:space="preserve"> sangat baik  dalam mengenal dan mengidentifikasi benda-benda di dapur dan nama-nama bunga, dan  baik  dalam memahami penggunaan kalimat yang menunjukkan letak suatu tempat</v>
      </c>
      <c r="BC13" s="301" t="str">
        <f t="shared" si="8"/>
        <v>Anak 9 sangat baik  dalam mengenal dan mengidentifikasi benda-benda di dapur dan nama-nama bunga, dan  baik  dalam memahami penggunaan kalimat yang menunjukkan letak suatu tempat</v>
      </c>
      <c r="BD13" s="120"/>
      <c r="BP13" s="302">
        <f t="shared" si="20"/>
        <v>74</v>
      </c>
      <c r="BQ13" s="303" t="str">
        <f>IF(BP13&gt;KKM!$G$10,"A",IF(BP13&gt;KKM!$H$10,"B",IF(BP13&gt;=KKM!$I$10,"C","D")))</f>
        <v>C</v>
      </c>
      <c r="BR13" s="523">
        <f t="shared" si="21"/>
        <v>80</v>
      </c>
      <c r="BS13" s="115" t="str">
        <f>IF(BR13&gt;KKM!$G$10," sangat baik ",IF(BR13&gt;KKM!$H$10," baik ",IF(BR13&gt;=KKM!$I$10," cukup baik "," perlu bimbingan ")))</f>
        <v xml:space="preserve"> cukup baik </v>
      </c>
      <c r="BT13" s="524">
        <f t="shared" si="22"/>
        <v>68.5</v>
      </c>
      <c r="BU13" s="115" t="str">
        <f>IF(BT13&gt;KKM!$G$10," sangat baik ",IF(BT13&gt;KKM!$H$10," baik ",IF(BT13&gt;=KKM!$I$10," cukup baik "," perlu bimbingan ")))</f>
        <v xml:space="preserve"> perlu bimbingan </v>
      </c>
      <c r="BV13" s="301" t="str">
        <f t="shared" si="29"/>
        <v>Anak 9 cukup baik  dalam mengenal, memahami dan mengidentifikasi macam-macam kalimat (order, request, and prengenal obyek-obyek wisata dan memahami penggunaan kalimat ungkapan terima kasih, dan  perlu bimbingan  dalam memahami penggunaan kalimat yang menunjukkan letak suatu tempat</v>
      </c>
      <c r="BW13" s="307" t="str">
        <f t="shared" si="23"/>
        <v xml:space="preserve"> cukup baik  dalam mengenal, memahami dan mengidentifikasi macam-macam kalimat (order, request, and prengenal obyek-obyek wisata dan memahami penggunaan kalimat ungkapan terima kasih</v>
      </c>
      <c r="BX13" s="307" t="str">
        <f t="shared" si="24"/>
        <v xml:space="preserve"> perlu bimbingan  dalam memahami penggunaan kalimat yang menunjukkan letak suatu tempat</v>
      </c>
      <c r="BY13" s="307" t="str">
        <f t="shared" si="25"/>
        <v xml:space="preserve"> cukup baik  dalam mengenal, memahami dan mengidentifikasi macam-macam kalimat (order, request, and prengenal obyek-obyek wisata dan memahami penggunaan kalimat ungkapan terima kasih, dan  perlu bimbingan  dalam memahami penggunaan kalimat yang menunjukkan letak suatu tempat</v>
      </c>
      <c r="BZ13" s="307" t="str">
        <f t="shared" si="26"/>
        <v xml:space="preserve"> </v>
      </c>
      <c r="CA13" s="308" t="str">
        <f t="shared" si="27"/>
        <v xml:space="preserve"> cukup baik  dalam mengenal, memahami dan mengidentifikasi macam-macam kalimat (order, request, and prengenal obyek-obyek wisata dan memahami penggunaan kalimat ungkapan terima kasih, dan  perlu bimbingan  dalam memahami penggunaan kalimat yang menunjukkan letak suatu tempat</v>
      </c>
      <c r="CB13" s="301" t="str">
        <f t="shared" si="28"/>
        <v>Anak 9 cukup baik  dalam mengenal, memahami dan mengidentifikasi macam-macam kalimat (order, request, and prengenal obyek-obyek wisata dan memahami penggunaan kalimat ungkapan terima kasih, dan  perlu bimbingan  dalam memahami penggunaan kalimat yang menunjukkan letak suatu tempat</v>
      </c>
    </row>
    <row r="14" spans="1:80" ht="57" customHeight="1">
      <c r="B14" s="109">
        <v>10</v>
      </c>
      <c r="C14" s="110">
        <f>SISWA!B15</f>
        <v>0</v>
      </c>
      <c r="D14" s="111" t="str">
        <f>SISWA!E15</f>
        <v>Anak 10</v>
      </c>
      <c r="E14" s="631">
        <v>99</v>
      </c>
      <c r="F14" s="631">
        <v>99</v>
      </c>
      <c r="G14" s="631">
        <v>99</v>
      </c>
      <c r="H14" s="631">
        <v>99</v>
      </c>
      <c r="I14" s="613"/>
      <c r="J14" s="613"/>
      <c r="K14" s="613"/>
      <c r="L14" s="731"/>
      <c r="M14" s="731"/>
      <c r="N14" s="731"/>
      <c r="O14" s="731"/>
      <c r="P14" s="613"/>
      <c r="Q14" s="613"/>
      <c r="R14" s="610"/>
      <c r="S14" s="613">
        <v>68.5</v>
      </c>
      <c r="T14" s="613">
        <v>69.5</v>
      </c>
      <c r="U14" s="609"/>
      <c r="V14" s="609"/>
      <c r="W14" s="609"/>
      <c r="X14" s="609"/>
      <c r="Y14" s="609"/>
      <c r="Z14" s="610"/>
      <c r="AA14" s="613"/>
      <c r="AB14" s="613">
        <v>68.5</v>
      </c>
      <c r="AC14" s="613">
        <v>69.5</v>
      </c>
      <c r="AD14" s="613"/>
      <c r="AE14" s="613"/>
      <c r="AF14" s="613"/>
      <c r="AG14" s="613" t="str">
        <f>IFERROR(AVERAGE(#REF!),"")</f>
        <v/>
      </c>
      <c r="AH14" s="518"/>
      <c r="AI14" s="607">
        <f t="shared" si="9"/>
        <v>88.833333333333329</v>
      </c>
      <c r="AJ14" s="607">
        <f t="shared" si="10"/>
        <v>84</v>
      </c>
      <c r="AK14" s="607">
        <f t="shared" si="11"/>
        <v>89.166666666666671</v>
      </c>
      <c r="AL14" s="607">
        <f t="shared" si="12"/>
        <v>99</v>
      </c>
      <c r="AM14" s="607" t="str">
        <f t="shared" si="13"/>
        <v/>
      </c>
      <c r="AN14" s="607" t="str">
        <f t="shared" si="14"/>
        <v/>
      </c>
      <c r="AO14" s="607" t="str">
        <f t="shared" si="15"/>
        <v/>
      </c>
      <c r="AP14" s="302">
        <f t="shared" si="3"/>
        <v>90</v>
      </c>
      <c r="AQ14" s="303" t="str">
        <f>IF(AP14&gt;KKM!$G$10,"A",IF(AP14&gt;KKM!$H$10,"B",IF(AP14&gt;=KKM!$I$10,"C","D")))</f>
        <v>B</v>
      </c>
      <c r="AR14" s="304">
        <f t="shared" si="4"/>
        <v>99</v>
      </c>
      <c r="AS14" s="115" t="str">
        <f>IF(AR14&gt;KKM!$G$10," sangat baik ",IF(AR14&gt;KKM!$H$10," baik ",IF(AR14&gt;=KKM!$I$10," cukup baik "," perlu bimbingan ")))</f>
        <v xml:space="preserve"> sangat baik </v>
      </c>
      <c r="AT14" s="305">
        <f t="shared" si="5"/>
        <v>84</v>
      </c>
      <c r="AU14" s="115" t="str">
        <f>IF(AT14&gt;KKM!$G$10," sangat baik ",IF(AT14&gt;KKM!$H$10," baik ",IF(AT14&gt;=KKM!$I$10," cukup baik "," perlu bimbingan ")))</f>
        <v xml:space="preserve"> baik </v>
      </c>
      <c r="AV14" s="301" t="str">
        <f t="shared" si="16"/>
        <v>Anak 10 sangat baik  dalam mengenal dan mengidentifikasi benda-benda di dapur dan nama-nama bunga, dan  baik  dalam memahami penggunaan kalimat yang menunjukkan letak suatu tempat</v>
      </c>
      <c r="AW14" s="306"/>
      <c r="AX14" s="307" t="str">
        <f t="shared" si="6"/>
        <v xml:space="preserve"> sangat baik  dalam mengenal dan mengidentifikasi benda-benda di dapur dan nama-nama bunga</v>
      </c>
      <c r="AY14" s="307" t="str">
        <f t="shared" si="7"/>
        <v xml:space="preserve"> baik  dalam memahami penggunaan kalimat yang menunjukkan letak suatu tempat</v>
      </c>
      <c r="AZ14" s="307" t="str">
        <f t="shared" si="17"/>
        <v xml:space="preserve"> sangat baik  dalam mengenal dan mengidentifikasi benda-benda di dapur dan nama-nama bunga, dan  baik  dalam memahami penggunaan kalimat yang menunjukkan letak suatu tempat</v>
      </c>
      <c r="BA14" s="307" t="str">
        <f t="shared" si="18"/>
        <v xml:space="preserve"> </v>
      </c>
      <c r="BB14" s="308" t="str">
        <f t="shared" si="19"/>
        <v xml:space="preserve"> sangat baik  dalam mengenal dan mengidentifikasi benda-benda di dapur dan nama-nama bunga, dan  baik  dalam memahami penggunaan kalimat yang menunjukkan letak suatu tempat</v>
      </c>
      <c r="BC14" s="301" t="str">
        <f t="shared" si="8"/>
        <v>Anak 10 sangat baik  dalam mengenal dan mengidentifikasi benda-benda di dapur dan nama-nama bunga, dan  baik  dalam memahami penggunaan kalimat yang menunjukkan letak suatu tempat</v>
      </c>
      <c r="BD14" s="120"/>
      <c r="BP14" s="302">
        <f t="shared" si="20"/>
        <v>69</v>
      </c>
      <c r="BQ14" s="303" t="str">
        <f>IF(BP14&gt;KKM!$G$10,"A",IF(BP14&gt;KKM!$H$10,"B",IF(BP14&gt;=KKM!$I$10,"C","D")))</f>
        <v>D</v>
      </c>
      <c r="BR14" s="523">
        <f t="shared" si="21"/>
        <v>69.5</v>
      </c>
      <c r="BS14" s="115" t="str">
        <f>IF(BR14&gt;KKM!$G$10," sangat baik ",IF(BR14&gt;KKM!$H$10," baik ",IF(BR14&gt;=KKM!$I$10," cukup baik "," perlu bimbingan ")))</f>
        <v xml:space="preserve"> perlu bimbingan </v>
      </c>
      <c r="BT14" s="524">
        <f t="shared" si="22"/>
        <v>68.5</v>
      </c>
      <c r="BU14" s="115" t="str">
        <f>IF(BT14&gt;KKM!$G$10," sangat baik ",IF(BT14&gt;KKM!$H$10," baik ",IF(BT14&gt;=KKM!$I$10," cukup baik "," perlu bimbingan ")))</f>
        <v xml:space="preserve"> perlu bimbingan </v>
      </c>
      <c r="BV14" s="301" t="str">
        <f t="shared" si="29"/>
        <v>Anak 10 perlu bimbingan  dalam memahami penggunaan kalimat yang menunjukkan letak suatu tempat, dan  perlu bimbingan  dalam mengenal, memahami dan mengidentifikasi macam-macam kalimat (order, request, and prengenal obyek-obyek wisata dan memahami penggunaan kalimat ungkapan terima kasih</v>
      </c>
      <c r="BW14" s="307" t="str">
        <f t="shared" si="23"/>
        <v xml:space="preserve"> perlu bimbingan  dalam memahami penggunaan kalimat yang menunjukkan letak suatu tempat</v>
      </c>
      <c r="BX14" s="307" t="str">
        <f t="shared" si="24"/>
        <v xml:space="preserve"> perlu bimbingan  dalam mengenal, memahami dan mengidentifikasi macam-macam kalimat (order, request, and prengenal obyek-obyek wisata dan memahami penggunaan kalimat ungkapan terima kasih</v>
      </c>
      <c r="BY14" s="307" t="str">
        <f t="shared" si="25"/>
        <v xml:space="preserve"> perlu bimbingan  dalam memahami penggunaan kalimat yang menunjukkan letak suatu tempat, dan  perlu bimbingan  dalam mengenal, memahami dan mengidentifikasi macam-macam kalimat (order, request, and prengenal obyek-obyek wisata dan memahami penggunaan kalimat ungkapan terima kasih</v>
      </c>
      <c r="BZ14" s="307" t="str">
        <f t="shared" si="26"/>
        <v xml:space="preserve"> </v>
      </c>
      <c r="CA14" s="308" t="str">
        <f t="shared" si="27"/>
        <v xml:space="preserve"> perlu bimbingan  dalam memahami penggunaan kalimat yang menunjukkan letak suatu tempat, dan  perlu bimbingan  dalam mengenal, memahami dan mengidentifikasi macam-macam kalimat (order, request, and prengenal obyek-obyek wisata dan memahami penggunaan kalimat ungkapan terima kasih</v>
      </c>
      <c r="CB14" s="301" t="str">
        <f t="shared" si="28"/>
        <v>Anak 10 perlu bimbingan  dalam memahami penggunaan kalimat yang menunjukkan letak suatu tempat, dan  perlu bimbingan  dalam mengenal, memahami dan mengidentifikasi macam-macam kalimat (order, request, and prengenal obyek-obyek wisata dan memahami penggunaan kalimat ungkapan terima kasih</v>
      </c>
    </row>
    <row r="15" spans="1:80" ht="57" customHeight="1">
      <c r="B15" s="109">
        <v>11</v>
      </c>
      <c r="C15" s="110">
        <f>SISWA!B16</f>
        <v>0</v>
      </c>
      <c r="D15" s="111" t="str">
        <f>SISWA!E16</f>
        <v>Anak 11</v>
      </c>
      <c r="E15" s="631">
        <v>99</v>
      </c>
      <c r="F15" s="631">
        <v>99</v>
      </c>
      <c r="G15" s="631">
        <v>99</v>
      </c>
      <c r="H15" s="631">
        <v>99</v>
      </c>
      <c r="I15" s="613"/>
      <c r="J15" s="613"/>
      <c r="K15" s="613"/>
      <c r="L15" s="731"/>
      <c r="M15" s="731"/>
      <c r="N15" s="731"/>
      <c r="O15" s="731"/>
      <c r="P15" s="613"/>
      <c r="Q15" s="613"/>
      <c r="R15" s="610"/>
      <c r="S15" s="613">
        <v>69.5</v>
      </c>
      <c r="T15" s="613">
        <v>70.5</v>
      </c>
      <c r="U15" s="609"/>
      <c r="V15" s="609"/>
      <c r="W15" s="609"/>
      <c r="X15" s="609"/>
      <c r="Y15" s="609"/>
      <c r="Z15" s="610"/>
      <c r="AA15" s="613"/>
      <c r="AB15" s="613">
        <v>69.5</v>
      </c>
      <c r="AC15" s="613">
        <v>70.5</v>
      </c>
      <c r="AD15" s="613"/>
      <c r="AE15" s="613"/>
      <c r="AF15" s="613"/>
      <c r="AG15" s="613" t="str">
        <f>IFERROR(AVERAGE(#REF!),"")</f>
        <v/>
      </c>
      <c r="AH15" s="518"/>
      <c r="AI15" s="607">
        <f t="shared" si="9"/>
        <v>89.166666666666671</v>
      </c>
      <c r="AJ15" s="607">
        <f t="shared" si="10"/>
        <v>84.5</v>
      </c>
      <c r="AK15" s="607">
        <f t="shared" si="11"/>
        <v>89.5</v>
      </c>
      <c r="AL15" s="607">
        <f t="shared" si="12"/>
        <v>99</v>
      </c>
      <c r="AM15" s="607" t="str">
        <f t="shared" si="13"/>
        <v/>
      </c>
      <c r="AN15" s="607" t="str">
        <f t="shared" si="14"/>
        <v/>
      </c>
      <c r="AO15" s="607" t="str">
        <f t="shared" si="15"/>
        <v/>
      </c>
      <c r="AP15" s="302">
        <f t="shared" si="3"/>
        <v>91</v>
      </c>
      <c r="AQ15" s="303" t="str">
        <f>IF(AP15&gt;KKM!$G$10,"A",IF(AP15&gt;KKM!$H$10,"B",IF(AP15&gt;=KKM!$I$10,"C","D")))</f>
        <v>A</v>
      </c>
      <c r="AR15" s="304">
        <f t="shared" si="4"/>
        <v>99</v>
      </c>
      <c r="AS15" s="115" t="str">
        <f>IF(AR15&gt;KKM!$G$10," sangat baik ",IF(AR15&gt;KKM!$H$10," baik ",IF(AR15&gt;=KKM!$I$10," cukup baik "," perlu bimbingan ")))</f>
        <v xml:space="preserve"> sangat baik </v>
      </c>
      <c r="AT15" s="305">
        <f t="shared" si="5"/>
        <v>84.5</v>
      </c>
      <c r="AU15" s="115" t="str">
        <f>IF(AT15&gt;KKM!$G$10," sangat baik ",IF(AT15&gt;KKM!$H$10," baik ",IF(AT15&gt;=KKM!$I$10," cukup baik "," perlu bimbingan ")))</f>
        <v xml:space="preserve"> baik </v>
      </c>
      <c r="AV15" s="301" t="str">
        <f t="shared" si="16"/>
        <v>Anak 11 sangat baik  dalam mengenal dan mengidentifikasi benda-benda di dapur dan nama-nama bunga, dan  baik  dalam memahami penggunaan kalimat yang menunjukkan letak suatu tempat</v>
      </c>
      <c r="AW15" s="306"/>
      <c r="AX15" s="307" t="str">
        <f t="shared" si="6"/>
        <v xml:space="preserve"> sangat baik  dalam mengenal dan mengidentifikasi benda-benda di dapur dan nama-nama bunga</v>
      </c>
      <c r="AY15" s="307" t="str">
        <f t="shared" si="7"/>
        <v xml:space="preserve"> baik  dalam memahami penggunaan kalimat yang menunjukkan letak suatu tempat</v>
      </c>
      <c r="AZ15" s="307" t="str">
        <f t="shared" si="17"/>
        <v xml:space="preserve"> sangat baik  dalam mengenal dan mengidentifikasi benda-benda di dapur dan nama-nama bunga, dan  baik  dalam memahami penggunaan kalimat yang menunjukkan letak suatu tempat</v>
      </c>
      <c r="BA15" s="307" t="str">
        <f t="shared" si="18"/>
        <v xml:space="preserve"> </v>
      </c>
      <c r="BB15" s="308" t="str">
        <f t="shared" si="19"/>
        <v xml:space="preserve"> sangat baik  dalam mengenal dan mengidentifikasi benda-benda di dapur dan nama-nama bunga, dan  baik  dalam memahami penggunaan kalimat yang menunjukkan letak suatu tempat</v>
      </c>
      <c r="BC15" s="301" t="str">
        <f t="shared" si="8"/>
        <v>Anak 11 sangat baik  dalam mengenal dan mengidentifikasi benda-benda di dapur dan nama-nama bunga, dan  baik  dalam memahami penggunaan kalimat yang menunjukkan letak suatu tempat</v>
      </c>
      <c r="BD15" s="120"/>
      <c r="BP15" s="302">
        <f t="shared" si="20"/>
        <v>70</v>
      </c>
      <c r="BQ15" s="303" t="str">
        <f>IF(BP15&gt;KKM!$G$10,"A",IF(BP15&gt;KKM!$H$10,"B",IF(BP15&gt;=KKM!$I$10,"C","D")))</f>
        <v>C</v>
      </c>
      <c r="BR15" s="523">
        <f t="shared" si="21"/>
        <v>70.5</v>
      </c>
      <c r="BS15" s="115" t="str">
        <f>IF(BR15&gt;KKM!$G$10," sangat baik ",IF(BR15&gt;KKM!$H$10," baik ",IF(BR15&gt;=KKM!$I$10," cukup baik "," perlu bimbingan ")))</f>
        <v xml:space="preserve"> cukup baik </v>
      </c>
      <c r="BT15" s="524">
        <f t="shared" si="22"/>
        <v>69.5</v>
      </c>
      <c r="BU15" s="115" t="str">
        <f>IF(BT15&gt;KKM!$G$10," sangat baik ",IF(BT15&gt;KKM!$H$10," baik ",IF(BT15&gt;=KKM!$I$10," cukup baik "," perlu bimbingan ")))</f>
        <v xml:space="preserve"> perlu bimbingan </v>
      </c>
      <c r="BV15" s="301" t="str">
        <f t="shared" si="29"/>
        <v>Anak 11 cukup baik  dalam memahami penggunaan kalimat yang menunjukkan letak suatu tempat, dan  perlu bimbingan  dalam mengenal, memahami dan mengidentifikasi macam-macam kalimat (order, request, and prengenal obyek-obyek wisata dan memahami penggunaan kalimat ungkapan terima kasih</v>
      </c>
      <c r="BW15" s="307" t="str">
        <f t="shared" si="23"/>
        <v xml:space="preserve"> cukup baik  dalam memahami penggunaan kalimat yang menunjukkan letak suatu tempat</v>
      </c>
      <c r="BX15" s="307" t="str">
        <f t="shared" si="24"/>
        <v xml:space="preserve"> perlu bimbingan  dalam mengenal, memahami dan mengidentifikasi macam-macam kalimat (order, request, and prengenal obyek-obyek wisata dan memahami penggunaan kalimat ungkapan terima kasih</v>
      </c>
      <c r="BY15" s="307" t="str">
        <f t="shared" si="25"/>
        <v xml:space="preserve"> cukup baik  dalam memahami penggunaan kalimat yang menunjukkan letak suatu tempat, dan  perlu bimbingan  dalam mengenal, memahami dan mengidentifikasi macam-macam kalimat (order, request, and prengenal obyek-obyek wisata dan memahami penggunaan kalimat ungkapan terima kasih</v>
      </c>
      <c r="BZ15" s="307" t="str">
        <f t="shared" si="26"/>
        <v xml:space="preserve"> </v>
      </c>
      <c r="CA15" s="308" t="str">
        <f t="shared" si="27"/>
        <v xml:space="preserve"> cukup baik  dalam memahami penggunaan kalimat yang menunjukkan letak suatu tempat, dan  perlu bimbingan  dalam mengenal, memahami dan mengidentifikasi macam-macam kalimat (order, request, and prengenal obyek-obyek wisata dan memahami penggunaan kalimat ungkapan terima kasih</v>
      </c>
      <c r="CB15" s="301" t="str">
        <f t="shared" si="28"/>
        <v>Anak 11 cukup baik  dalam memahami penggunaan kalimat yang menunjukkan letak suatu tempat, dan  perlu bimbingan  dalam mengenal, memahami dan mengidentifikasi macam-macam kalimat (order, request, and prengenal obyek-obyek wisata dan memahami penggunaan kalimat ungkapan terima kasih</v>
      </c>
    </row>
    <row r="16" spans="1:80" ht="57" customHeight="1">
      <c r="B16" s="109">
        <v>12</v>
      </c>
      <c r="C16" s="110">
        <f>SISWA!B17</f>
        <v>0</v>
      </c>
      <c r="D16" s="111" t="str">
        <f>SISWA!E17</f>
        <v>Anak 12</v>
      </c>
      <c r="E16" s="631">
        <v>99</v>
      </c>
      <c r="F16" s="631">
        <v>99</v>
      </c>
      <c r="G16" s="631">
        <v>99</v>
      </c>
      <c r="H16" s="631">
        <v>99</v>
      </c>
      <c r="I16" s="613"/>
      <c r="J16" s="613"/>
      <c r="K16" s="613"/>
      <c r="L16" s="731"/>
      <c r="M16" s="731"/>
      <c r="N16" s="731"/>
      <c r="O16" s="731"/>
      <c r="P16" s="613"/>
      <c r="Q16" s="613"/>
      <c r="R16" s="610"/>
      <c r="S16" s="613">
        <v>70.5</v>
      </c>
      <c r="T16" s="613">
        <v>84.5</v>
      </c>
      <c r="U16" s="609"/>
      <c r="V16" s="609"/>
      <c r="W16" s="609"/>
      <c r="X16" s="609"/>
      <c r="Y16" s="609"/>
      <c r="Z16" s="610"/>
      <c r="AA16" s="613"/>
      <c r="AB16" s="613">
        <v>70.5</v>
      </c>
      <c r="AC16" s="613">
        <v>84.5</v>
      </c>
      <c r="AD16" s="613"/>
      <c r="AE16" s="613"/>
      <c r="AF16" s="613"/>
      <c r="AG16" s="613" t="str">
        <f>IFERROR(AVERAGE(#REF!),"")</f>
        <v/>
      </c>
      <c r="AH16" s="518"/>
      <c r="AI16" s="607">
        <f t="shared" si="9"/>
        <v>89.5</v>
      </c>
      <c r="AJ16" s="607">
        <f t="shared" si="10"/>
        <v>88.25</v>
      </c>
      <c r="AK16" s="607">
        <f t="shared" si="11"/>
        <v>94.166666666666671</v>
      </c>
      <c r="AL16" s="607">
        <f t="shared" si="12"/>
        <v>99</v>
      </c>
      <c r="AM16" s="607" t="str">
        <f t="shared" si="13"/>
        <v/>
      </c>
      <c r="AN16" s="607" t="str">
        <f t="shared" si="14"/>
        <v/>
      </c>
      <c r="AO16" s="607" t="str">
        <f t="shared" si="15"/>
        <v/>
      </c>
      <c r="AP16" s="302">
        <f t="shared" si="3"/>
        <v>93</v>
      </c>
      <c r="AQ16" s="303" t="str">
        <f>IF(AP16&gt;KKM!$G$10,"A",IF(AP16&gt;KKM!$H$10,"B",IF(AP16&gt;=KKM!$I$10,"C","D")))</f>
        <v>A</v>
      </c>
      <c r="AR16" s="304">
        <f t="shared" si="4"/>
        <v>99</v>
      </c>
      <c r="AS16" s="115" t="str">
        <f>IF(AR16&gt;KKM!$G$10," sangat baik ",IF(AR16&gt;KKM!$H$10," baik ",IF(AR16&gt;=KKM!$I$10," cukup baik "," perlu bimbingan ")))</f>
        <v xml:space="preserve"> sangat baik </v>
      </c>
      <c r="AT16" s="305">
        <f t="shared" si="5"/>
        <v>88.25</v>
      </c>
      <c r="AU16" s="115" t="str">
        <f>IF(AT16&gt;KKM!$G$10," sangat baik ",IF(AT16&gt;KKM!$H$10," baik ",IF(AT16&gt;=KKM!$I$10," cukup baik "," perlu bimbingan ")))</f>
        <v xml:space="preserve"> baik </v>
      </c>
      <c r="AV16" s="301" t="str">
        <f t="shared" si="16"/>
        <v>Anak 12 sangat baik  dalam mengenal dan mengidentifikasi benda-benda di dapur dan nama-nama bunga, dan  baik  dalam memahami penggunaan kalimat yang menunjukkan letak suatu tempat</v>
      </c>
      <c r="AW16" s="306"/>
      <c r="AX16" s="307" t="str">
        <f t="shared" si="6"/>
        <v xml:space="preserve"> sangat baik  dalam mengenal dan mengidentifikasi benda-benda di dapur dan nama-nama bunga</v>
      </c>
      <c r="AY16" s="307" t="str">
        <f t="shared" si="7"/>
        <v xml:space="preserve"> baik  dalam memahami penggunaan kalimat yang menunjukkan letak suatu tempat</v>
      </c>
      <c r="AZ16" s="307" t="str">
        <f t="shared" si="17"/>
        <v xml:space="preserve"> sangat baik  dalam mengenal dan mengidentifikasi benda-benda di dapur dan nama-nama bunga, dan  baik  dalam memahami penggunaan kalimat yang menunjukkan letak suatu tempat</v>
      </c>
      <c r="BA16" s="307" t="str">
        <f t="shared" si="18"/>
        <v xml:space="preserve"> </v>
      </c>
      <c r="BB16" s="308" t="str">
        <f t="shared" si="19"/>
        <v xml:space="preserve"> sangat baik  dalam mengenal dan mengidentifikasi benda-benda di dapur dan nama-nama bunga, dan  baik  dalam memahami penggunaan kalimat yang menunjukkan letak suatu tempat</v>
      </c>
      <c r="BC16" s="301" t="str">
        <f t="shared" si="8"/>
        <v>Anak 12 sangat baik  dalam mengenal dan mengidentifikasi benda-benda di dapur dan nama-nama bunga, dan  baik  dalam memahami penggunaan kalimat yang menunjukkan letak suatu tempat</v>
      </c>
      <c r="BD16" s="120"/>
      <c r="BP16" s="302">
        <f t="shared" si="20"/>
        <v>78</v>
      </c>
      <c r="BQ16" s="303" t="str">
        <f>IF(BP16&gt;KKM!$G$10,"A",IF(BP16&gt;KKM!$H$10,"B",IF(BP16&gt;=KKM!$I$10,"C","D")))</f>
        <v>C</v>
      </c>
      <c r="BR16" s="523">
        <f t="shared" si="21"/>
        <v>84.5</v>
      </c>
      <c r="BS16" s="115" t="str">
        <f>IF(BR16&gt;KKM!$G$10," sangat baik ",IF(BR16&gt;KKM!$H$10," baik ",IF(BR16&gt;=KKM!$I$10," cukup baik "," perlu bimbingan ")))</f>
        <v xml:space="preserve"> baik </v>
      </c>
      <c r="BT16" s="524">
        <f t="shared" si="22"/>
        <v>70.5</v>
      </c>
      <c r="BU16" s="115" t="str">
        <f>IF(BT16&gt;KKM!$G$10," sangat baik ",IF(BT16&gt;KKM!$H$10," baik ",IF(BT16&gt;=KKM!$I$10," cukup baik "," perlu bimbingan ")))</f>
        <v xml:space="preserve"> cukup baik </v>
      </c>
      <c r="BV16" s="301" t="str">
        <f t="shared" si="29"/>
        <v>Anak 12 baik  dalam memahami penggunaan kalimat yang menunjukkan letak suatu tempat, dan  cukup baik  dalam mengenal, memahami dan mengidentifikasi macam-macam kalimat (order, request, and prengenal obyek-obyek wisata dan memahami penggunaan kalimat ungkapan terima kasih</v>
      </c>
      <c r="BW16" s="307" t="str">
        <f t="shared" si="23"/>
        <v xml:space="preserve"> baik  dalam memahami penggunaan kalimat yang menunjukkan letak suatu tempat</v>
      </c>
      <c r="BX16" s="307" t="str">
        <f t="shared" si="24"/>
        <v xml:space="preserve"> cukup baik  dalam mengenal, memahami dan mengidentifikasi macam-macam kalimat (order, request, and prengenal obyek-obyek wisata dan memahami penggunaan kalimat ungkapan terima kasih</v>
      </c>
      <c r="BY16"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16" s="307" t="str">
        <f t="shared" si="26"/>
        <v xml:space="preserve"> </v>
      </c>
      <c r="CA16"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16" s="301" t="str">
        <f t="shared" si="28"/>
        <v>Anak 12 baik  dalam memahami penggunaan kalimat yang menunjukkan letak suatu tempat, dan  cukup baik  dalam mengenal, memahami dan mengidentifikasi macam-macam kalimat (order, request, and prengenal obyek-obyek wisata dan memahami penggunaan kalimat ungkapan terima kasih</v>
      </c>
    </row>
    <row r="17" spans="2:80" ht="57" customHeight="1">
      <c r="B17" s="109">
        <v>13</v>
      </c>
      <c r="C17" s="110">
        <f>SISWA!B18</f>
        <v>0</v>
      </c>
      <c r="D17" s="111" t="str">
        <f>SISWA!E18</f>
        <v>Anak 13</v>
      </c>
      <c r="E17" s="631">
        <v>99</v>
      </c>
      <c r="F17" s="631">
        <v>99</v>
      </c>
      <c r="G17" s="631">
        <v>99</v>
      </c>
      <c r="H17" s="631">
        <v>99</v>
      </c>
      <c r="I17" s="613"/>
      <c r="J17" s="613"/>
      <c r="K17" s="613"/>
      <c r="L17" s="731"/>
      <c r="M17" s="731"/>
      <c r="N17" s="731"/>
      <c r="O17" s="731"/>
      <c r="P17" s="613"/>
      <c r="Q17" s="613"/>
      <c r="R17" s="610"/>
      <c r="S17" s="613">
        <v>84.5</v>
      </c>
      <c r="T17" s="613">
        <v>72.5</v>
      </c>
      <c r="U17" s="609"/>
      <c r="V17" s="609"/>
      <c r="W17" s="609"/>
      <c r="X17" s="609"/>
      <c r="Y17" s="609"/>
      <c r="Z17" s="610"/>
      <c r="AA17" s="613"/>
      <c r="AB17" s="613">
        <v>84.5</v>
      </c>
      <c r="AC17" s="613">
        <v>72.5</v>
      </c>
      <c r="AD17" s="613"/>
      <c r="AE17" s="613"/>
      <c r="AF17" s="613"/>
      <c r="AG17" s="613" t="str">
        <f>IFERROR(AVERAGE(#REF!),"")</f>
        <v/>
      </c>
      <c r="AH17" s="518"/>
      <c r="AI17" s="607">
        <f t="shared" si="9"/>
        <v>94.166666666666671</v>
      </c>
      <c r="AJ17" s="607">
        <f t="shared" si="10"/>
        <v>88.75</v>
      </c>
      <c r="AK17" s="607">
        <f t="shared" si="11"/>
        <v>90.166666666666671</v>
      </c>
      <c r="AL17" s="607">
        <f t="shared" si="12"/>
        <v>99</v>
      </c>
      <c r="AM17" s="607" t="str">
        <f t="shared" si="13"/>
        <v/>
      </c>
      <c r="AN17" s="607" t="str">
        <f t="shared" si="14"/>
        <v/>
      </c>
      <c r="AO17" s="607" t="str">
        <f t="shared" si="15"/>
        <v/>
      </c>
      <c r="AP17" s="302">
        <f t="shared" si="3"/>
        <v>93</v>
      </c>
      <c r="AQ17" s="303" t="str">
        <f>IF(AP17&gt;KKM!$G$10,"A",IF(AP17&gt;KKM!$H$10,"B",IF(AP17&gt;=KKM!$I$10,"C","D")))</f>
        <v>A</v>
      </c>
      <c r="AR17" s="304">
        <f t="shared" si="4"/>
        <v>99</v>
      </c>
      <c r="AS17" s="115" t="str">
        <f>IF(AR17&gt;KKM!$G$10," sangat baik ",IF(AR17&gt;KKM!$H$10," baik ",IF(AR17&gt;=KKM!$I$10," cukup baik "," perlu bimbingan ")))</f>
        <v xml:space="preserve"> sangat baik </v>
      </c>
      <c r="AT17" s="305">
        <f t="shared" si="5"/>
        <v>88.75</v>
      </c>
      <c r="AU17" s="115" t="str">
        <f>IF(AT17&gt;KKM!$G$10," sangat baik ",IF(AT17&gt;KKM!$H$10," baik ",IF(AT17&gt;=KKM!$I$10," cukup baik "," perlu bimbingan ")))</f>
        <v xml:space="preserve"> baik </v>
      </c>
      <c r="AV17" s="301" t="str">
        <f t="shared" si="16"/>
        <v>Anak 13 sangat baik  dalam mengenal dan mengidentifikasi benda-benda di dapur dan nama-nama bunga, dan  baik  dalam memahami penggunaan kalimat yang menunjukkan letak suatu tempat</v>
      </c>
      <c r="AW17" s="306"/>
      <c r="AX17" s="307" t="str">
        <f t="shared" si="6"/>
        <v xml:space="preserve"> sangat baik  dalam mengenal dan mengidentifikasi benda-benda di dapur dan nama-nama bunga</v>
      </c>
      <c r="AY17" s="307" t="str">
        <f t="shared" si="7"/>
        <v xml:space="preserve"> baik  dalam memahami penggunaan kalimat yang menunjukkan letak suatu tempat</v>
      </c>
      <c r="AZ17" s="307" t="str">
        <f t="shared" si="17"/>
        <v xml:space="preserve"> sangat baik  dalam mengenal dan mengidentifikasi benda-benda di dapur dan nama-nama bunga, dan  baik  dalam memahami penggunaan kalimat yang menunjukkan letak suatu tempat</v>
      </c>
      <c r="BA17" s="307" t="str">
        <f t="shared" si="18"/>
        <v xml:space="preserve"> </v>
      </c>
      <c r="BB17" s="308" t="str">
        <f t="shared" si="19"/>
        <v xml:space="preserve"> sangat baik  dalam mengenal dan mengidentifikasi benda-benda di dapur dan nama-nama bunga, dan  baik  dalam memahami penggunaan kalimat yang menunjukkan letak suatu tempat</v>
      </c>
      <c r="BC17" s="301" t="str">
        <f t="shared" si="8"/>
        <v>Anak 13 sangat baik  dalam mengenal dan mengidentifikasi benda-benda di dapur dan nama-nama bunga, dan  baik  dalam memahami penggunaan kalimat yang menunjukkan letak suatu tempat</v>
      </c>
      <c r="BD17" s="120"/>
      <c r="BP17" s="302">
        <f t="shared" si="20"/>
        <v>79</v>
      </c>
      <c r="BQ17" s="303" t="str">
        <f>IF(BP17&gt;KKM!$G$10,"A",IF(BP17&gt;KKM!$H$10,"B",IF(BP17&gt;=KKM!$I$10,"C","D")))</f>
        <v>C</v>
      </c>
      <c r="BR17" s="523">
        <f t="shared" si="21"/>
        <v>84.5</v>
      </c>
      <c r="BS17" s="115" t="str">
        <f>IF(BR17&gt;KKM!$G$10," sangat baik ",IF(BR17&gt;KKM!$H$10," baik ",IF(BR17&gt;=KKM!$I$10," cukup baik "," perlu bimbingan ")))</f>
        <v xml:space="preserve"> baik </v>
      </c>
      <c r="BT17" s="524">
        <f t="shared" si="22"/>
        <v>72.5</v>
      </c>
      <c r="BU17" s="115" t="str">
        <f>IF(BT17&gt;KKM!$G$10," sangat baik ",IF(BT17&gt;KKM!$H$10," baik ",IF(BT17&gt;=KKM!$I$10," cukup baik "," perlu bimbingan ")))</f>
        <v xml:space="preserve"> cukup baik </v>
      </c>
      <c r="BV17" s="301" t="str">
        <f t="shared" si="29"/>
        <v>Anak 13 baik  dalam mengenal, memahami dan mengidentifikasi macam-macam kalimat (order, request, and prengenal obyek-obyek wisata dan memahami penggunaan kalimat ungkapan terima kasih, dan  cukup baik  dalam memahami penggunaan kalimat yang menunjukkan letak suatu tempat</v>
      </c>
      <c r="BW17" s="307" t="str">
        <f t="shared" si="23"/>
        <v xml:space="preserve"> baik  dalam mengenal, memahami dan mengidentifikasi macam-macam kalimat (order, request, and prengenal obyek-obyek wisata dan memahami penggunaan kalimat ungkapan terima kasih</v>
      </c>
      <c r="BX17" s="307" t="str">
        <f t="shared" si="24"/>
        <v xml:space="preserve"> cukup baik  dalam memahami penggunaan kalimat yang menunjukkan letak suatu tempat</v>
      </c>
      <c r="BY17"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17" s="307" t="str">
        <f t="shared" si="26"/>
        <v xml:space="preserve"> </v>
      </c>
      <c r="CA17"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17" s="301" t="str">
        <f t="shared" si="28"/>
        <v>Anak 13 baik  dalam mengenal, memahami dan mengidentifikasi macam-macam kalimat (order, request, and prengenal obyek-obyek wisata dan memahami penggunaan kalimat ungkapan terima kasih, dan  cukup baik  dalam memahami penggunaan kalimat yang menunjukkan letak suatu tempat</v>
      </c>
    </row>
    <row r="18" spans="2:80" ht="57" customHeight="1">
      <c r="B18" s="109">
        <v>14</v>
      </c>
      <c r="C18" s="110">
        <f>SISWA!B19</f>
        <v>0</v>
      </c>
      <c r="D18" s="111" t="str">
        <f>SISWA!E19</f>
        <v>Anak 14</v>
      </c>
      <c r="E18" s="631">
        <v>99</v>
      </c>
      <c r="F18" s="631">
        <v>99</v>
      </c>
      <c r="G18" s="631">
        <v>99</v>
      </c>
      <c r="H18" s="631">
        <v>99</v>
      </c>
      <c r="I18" s="613"/>
      <c r="J18" s="613"/>
      <c r="K18" s="613"/>
      <c r="L18" s="731"/>
      <c r="M18" s="731"/>
      <c r="N18" s="731"/>
      <c r="O18" s="731"/>
      <c r="P18" s="613"/>
      <c r="Q18" s="613"/>
      <c r="R18" s="610"/>
      <c r="S18" s="613">
        <v>72.5</v>
      </c>
      <c r="T18" s="613">
        <v>80</v>
      </c>
      <c r="U18" s="609"/>
      <c r="V18" s="609"/>
      <c r="W18" s="609"/>
      <c r="X18" s="609"/>
      <c r="Y18" s="609"/>
      <c r="Z18" s="610"/>
      <c r="AA18" s="613"/>
      <c r="AB18" s="613">
        <v>72.5</v>
      </c>
      <c r="AC18" s="613">
        <v>80</v>
      </c>
      <c r="AD18" s="613"/>
      <c r="AE18" s="613"/>
      <c r="AF18" s="613"/>
      <c r="AG18" s="613" t="str">
        <f>IFERROR(AVERAGE(#REF!),"")</f>
        <v/>
      </c>
      <c r="AH18" s="518"/>
      <c r="AI18" s="607">
        <f t="shared" si="9"/>
        <v>90.166666666666671</v>
      </c>
      <c r="AJ18" s="607">
        <f t="shared" si="10"/>
        <v>87.625</v>
      </c>
      <c r="AK18" s="607">
        <f t="shared" si="11"/>
        <v>92.666666666666671</v>
      </c>
      <c r="AL18" s="607">
        <f t="shared" si="12"/>
        <v>99</v>
      </c>
      <c r="AM18" s="607" t="str">
        <f t="shared" si="13"/>
        <v/>
      </c>
      <c r="AN18" s="607" t="str">
        <f t="shared" si="14"/>
        <v/>
      </c>
      <c r="AO18" s="607" t="str">
        <f t="shared" si="15"/>
        <v/>
      </c>
      <c r="AP18" s="302">
        <f t="shared" si="3"/>
        <v>92</v>
      </c>
      <c r="AQ18" s="303" t="str">
        <f>IF(AP18&gt;KKM!$G$10,"A",IF(AP18&gt;KKM!$H$10,"B",IF(AP18&gt;=KKM!$I$10,"C","D")))</f>
        <v>A</v>
      </c>
      <c r="AR18" s="304">
        <f t="shared" si="4"/>
        <v>99</v>
      </c>
      <c r="AS18" s="115" t="str">
        <f>IF(AR18&gt;KKM!$G$10," sangat baik ",IF(AR18&gt;KKM!$H$10," baik ",IF(AR18&gt;=KKM!$I$10," cukup baik "," perlu bimbingan ")))</f>
        <v xml:space="preserve"> sangat baik </v>
      </c>
      <c r="AT18" s="305">
        <f t="shared" si="5"/>
        <v>87.625</v>
      </c>
      <c r="AU18" s="115" t="str">
        <f>IF(AT18&gt;KKM!$G$10," sangat baik ",IF(AT18&gt;KKM!$H$10," baik ",IF(AT18&gt;=KKM!$I$10," cukup baik "," perlu bimbingan ")))</f>
        <v xml:space="preserve"> baik </v>
      </c>
      <c r="AV18" s="301" t="str">
        <f t="shared" si="16"/>
        <v>Anak 14 sangat baik  dalam mengenal dan mengidentifikasi benda-benda di dapur dan nama-nama bunga, dan  baik  dalam memahami penggunaan kalimat yang menunjukkan letak suatu tempat</v>
      </c>
      <c r="AW18" s="306"/>
      <c r="AX18" s="307" t="str">
        <f t="shared" si="6"/>
        <v xml:space="preserve"> sangat baik  dalam mengenal dan mengidentifikasi benda-benda di dapur dan nama-nama bunga</v>
      </c>
      <c r="AY18" s="307" t="str">
        <f t="shared" si="7"/>
        <v xml:space="preserve"> baik  dalam memahami penggunaan kalimat yang menunjukkan letak suatu tempat</v>
      </c>
      <c r="AZ18" s="307" t="str">
        <f t="shared" si="17"/>
        <v xml:space="preserve"> sangat baik  dalam mengenal dan mengidentifikasi benda-benda di dapur dan nama-nama bunga, dan  baik  dalam memahami penggunaan kalimat yang menunjukkan letak suatu tempat</v>
      </c>
      <c r="BA18" s="307" t="str">
        <f t="shared" si="18"/>
        <v xml:space="preserve"> </v>
      </c>
      <c r="BB18" s="308" t="str">
        <f t="shared" si="19"/>
        <v xml:space="preserve"> sangat baik  dalam mengenal dan mengidentifikasi benda-benda di dapur dan nama-nama bunga, dan  baik  dalam memahami penggunaan kalimat yang menunjukkan letak suatu tempat</v>
      </c>
      <c r="BC18" s="301" t="str">
        <f t="shared" si="8"/>
        <v>Anak 14 sangat baik  dalam mengenal dan mengidentifikasi benda-benda di dapur dan nama-nama bunga, dan  baik  dalam memahami penggunaan kalimat yang menunjukkan letak suatu tempat</v>
      </c>
      <c r="BD18" s="120"/>
      <c r="BP18" s="302">
        <f t="shared" si="20"/>
        <v>76</v>
      </c>
      <c r="BQ18" s="303" t="str">
        <f>IF(BP18&gt;KKM!$G$10,"A",IF(BP18&gt;KKM!$H$10,"B",IF(BP18&gt;=KKM!$I$10,"C","D")))</f>
        <v>C</v>
      </c>
      <c r="BR18" s="523">
        <f t="shared" si="21"/>
        <v>80</v>
      </c>
      <c r="BS18" s="115" t="str">
        <f>IF(BR18&gt;KKM!$G$10," sangat baik ",IF(BR18&gt;KKM!$H$10," baik ",IF(BR18&gt;=KKM!$I$10," cukup baik "," perlu bimbingan ")))</f>
        <v xml:space="preserve"> cukup baik </v>
      </c>
      <c r="BT18" s="524">
        <f t="shared" si="22"/>
        <v>72.5</v>
      </c>
      <c r="BU18" s="115" t="str">
        <f>IF(BT18&gt;KKM!$G$10," sangat baik ",IF(BT18&gt;KKM!$H$10," baik ",IF(BT18&gt;=KKM!$I$10," cukup baik "," perlu bimbingan ")))</f>
        <v xml:space="preserve"> cukup baik </v>
      </c>
      <c r="BV18" s="301" t="str">
        <f t="shared" si="29"/>
        <v>Anak 14 cukup baik  dalam memahami penggunaan kalimat yang menunjukkan letak suatu tempat, dan  cukup baik  dalam mengenal, memahami dan mengidentifikasi macam-macam kalimat (order, request, and prengenal obyek-obyek wisata dan memahami penggunaan kalimat ungkapan terima kasih</v>
      </c>
      <c r="BW18" s="307" t="str">
        <f t="shared" si="23"/>
        <v xml:space="preserve"> cukup baik  dalam memahami penggunaan kalimat yang menunjukkan letak suatu tempat</v>
      </c>
      <c r="BX18" s="307" t="str">
        <f t="shared" si="24"/>
        <v xml:space="preserve"> cukup baik  dalam mengenal, memahami dan mengidentifikasi macam-macam kalimat (order, request, and prengenal obyek-obyek wisata dan memahami penggunaan kalimat ungkapan terima kasih</v>
      </c>
      <c r="BY18" s="307" t="str">
        <f t="shared" si="25"/>
        <v xml:space="preserve"> cukup baik  dalam memahami penggunaan kalimat yang menunjukkan letak suatu tempat, dan  cukup baik  dalam mengenal, memahami dan mengidentifikasi macam-macam kalimat (order, request, and prengenal obyek-obyek wisata dan memahami penggunaan kalimat ungkapan terima kasih</v>
      </c>
      <c r="BZ18" s="307" t="str">
        <f t="shared" si="26"/>
        <v xml:space="preserve"> </v>
      </c>
      <c r="CA18" s="308" t="str">
        <f t="shared" si="27"/>
        <v xml:space="preserve"> cukup baik  dalam memahami penggunaan kalimat yang menunjukkan letak suatu tempat, dan  cukup baik  dalam mengenal, memahami dan mengidentifikasi macam-macam kalimat (order, request, and prengenal obyek-obyek wisata dan memahami penggunaan kalimat ungkapan terima kasih</v>
      </c>
      <c r="CB18" s="301" t="str">
        <f t="shared" si="28"/>
        <v>Anak 14 cukup baik  dalam memahami penggunaan kalimat yang menunjukkan letak suatu tempat, dan  cukup baik  dalam mengenal, memahami dan mengidentifikasi macam-macam kalimat (order, request, and prengenal obyek-obyek wisata dan memahami penggunaan kalimat ungkapan terima kasih</v>
      </c>
    </row>
    <row r="19" spans="2:80" ht="57" customHeight="1">
      <c r="B19" s="109">
        <v>15</v>
      </c>
      <c r="C19" s="110">
        <f>SISWA!B20</f>
        <v>0</v>
      </c>
      <c r="D19" s="111" t="str">
        <f>SISWA!E20</f>
        <v>Anak 15</v>
      </c>
      <c r="E19" s="631">
        <v>99</v>
      </c>
      <c r="F19" s="631">
        <v>99</v>
      </c>
      <c r="G19" s="631">
        <v>99</v>
      </c>
      <c r="H19" s="631">
        <v>99</v>
      </c>
      <c r="I19" s="613"/>
      <c r="J19" s="613"/>
      <c r="K19" s="613"/>
      <c r="L19" s="731"/>
      <c r="M19" s="731"/>
      <c r="N19" s="731"/>
      <c r="O19" s="731"/>
      <c r="P19" s="613"/>
      <c r="Q19" s="613"/>
      <c r="R19" s="610"/>
      <c r="S19" s="613">
        <v>80</v>
      </c>
      <c r="T19" s="613">
        <v>79.5</v>
      </c>
      <c r="U19" s="609"/>
      <c r="V19" s="609"/>
      <c r="W19" s="609"/>
      <c r="X19" s="609"/>
      <c r="Y19" s="609"/>
      <c r="Z19" s="610"/>
      <c r="AA19" s="613"/>
      <c r="AB19" s="613">
        <v>80</v>
      </c>
      <c r="AC19" s="613">
        <v>79.5</v>
      </c>
      <c r="AD19" s="613"/>
      <c r="AE19" s="613"/>
      <c r="AF19" s="613"/>
      <c r="AG19" s="613" t="str">
        <f>IFERROR(AVERAGE(#REF!),"")</f>
        <v/>
      </c>
      <c r="AH19" s="518"/>
      <c r="AI19" s="607">
        <f t="shared" si="9"/>
        <v>92.666666666666671</v>
      </c>
      <c r="AJ19" s="607">
        <f t="shared" si="10"/>
        <v>89.375</v>
      </c>
      <c r="AK19" s="607">
        <f t="shared" si="11"/>
        <v>92.5</v>
      </c>
      <c r="AL19" s="607">
        <f t="shared" si="12"/>
        <v>99</v>
      </c>
      <c r="AM19" s="607" t="str">
        <f t="shared" si="13"/>
        <v/>
      </c>
      <c r="AN19" s="607" t="str">
        <f t="shared" si="14"/>
        <v/>
      </c>
      <c r="AO19" s="607" t="str">
        <f t="shared" si="15"/>
        <v/>
      </c>
      <c r="AP19" s="302">
        <f t="shared" si="3"/>
        <v>93</v>
      </c>
      <c r="AQ19" s="303" t="str">
        <f>IF(AP19&gt;KKM!$G$10,"A",IF(AP19&gt;KKM!$H$10,"B",IF(AP19&gt;=KKM!$I$10,"C","D")))</f>
        <v>A</v>
      </c>
      <c r="AR19" s="304">
        <f t="shared" si="4"/>
        <v>99</v>
      </c>
      <c r="AS19" s="115" t="str">
        <f>IF(AR19&gt;KKM!$G$10," sangat baik ",IF(AR19&gt;KKM!$H$10," baik ",IF(AR19&gt;=KKM!$I$10," cukup baik "," perlu bimbingan ")))</f>
        <v xml:space="preserve"> sangat baik </v>
      </c>
      <c r="AT19" s="305">
        <f t="shared" si="5"/>
        <v>89.375</v>
      </c>
      <c r="AU19" s="115" t="str">
        <f>IF(AT19&gt;KKM!$G$10," sangat baik ",IF(AT19&gt;KKM!$H$10," baik ",IF(AT19&gt;=KKM!$I$10," cukup baik "," perlu bimbingan ")))</f>
        <v xml:space="preserve"> baik </v>
      </c>
      <c r="AV19" s="301" t="str">
        <f t="shared" si="16"/>
        <v>Anak 15 sangat baik  dalam mengenal dan mengidentifikasi benda-benda di dapur dan nama-nama bunga, dan  baik  dalam memahami penggunaan kalimat yang menunjukkan letak suatu tempat</v>
      </c>
      <c r="AW19" s="306"/>
      <c r="AX19" s="307" t="str">
        <f t="shared" si="6"/>
        <v xml:space="preserve"> sangat baik  dalam mengenal dan mengidentifikasi benda-benda di dapur dan nama-nama bunga</v>
      </c>
      <c r="AY19" s="307" t="str">
        <f t="shared" si="7"/>
        <v xml:space="preserve"> baik  dalam memahami penggunaan kalimat yang menunjukkan letak suatu tempat</v>
      </c>
      <c r="AZ19" s="307" t="str">
        <f t="shared" si="17"/>
        <v xml:space="preserve"> sangat baik  dalam mengenal dan mengidentifikasi benda-benda di dapur dan nama-nama bunga, dan  baik  dalam memahami penggunaan kalimat yang menunjukkan letak suatu tempat</v>
      </c>
      <c r="BA19" s="307" t="str">
        <f t="shared" si="18"/>
        <v xml:space="preserve"> </v>
      </c>
      <c r="BB19" s="308" t="str">
        <f t="shared" si="19"/>
        <v xml:space="preserve"> sangat baik  dalam mengenal dan mengidentifikasi benda-benda di dapur dan nama-nama bunga, dan  baik  dalam memahami penggunaan kalimat yang menunjukkan letak suatu tempat</v>
      </c>
      <c r="BC19" s="301" t="str">
        <f t="shared" si="8"/>
        <v>Anak 15 sangat baik  dalam mengenal dan mengidentifikasi benda-benda di dapur dan nama-nama bunga, dan  baik  dalam memahami penggunaan kalimat yang menunjukkan letak suatu tempat</v>
      </c>
      <c r="BD19" s="120"/>
      <c r="BP19" s="302">
        <f t="shared" si="20"/>
        <v>80</v>
      </c>
      <c r="BQ19" s="303" t="str">
        <f>IF(BP19&gt;KKM!$G$10,"A",IF(BP19&gt;KKM!$H$10,"B",IF(BP19&gt;=KKM!$I$10,"C","D")))</f>
        <v>C</v>
      </c>
      <c r="BR19" s="523">
        <f t="shared" si="21"/>
        <v>80</v>
      </c>
      <c r="BS19" s="115" t="str">
        <f>IF(BR19&gt;KKM!$G$10," sangat baik ",IF(BR19&gt;KKM!$H$10," baik ",IF(BR19&gt;=KKM!$I$10," cukup baik "," perlu bimbingan ")))</f>
        <v xml:space="preserve"> cukup baik </v>
      </c>
      <c r="BT19" s="524">
        <f t="shared" si="22"/>
        <v>79.5</v>
      </c>
      <c r="BU19" s="115" t="str">
        <f>IF(BT19&gt;KKM!$G$10," sangat baik ",IF(BT19&gt;KKM!$H$10," baik ",IF(BT19&gt;=KKM!$I$10," cukup baik "," perlu bimbingan ")))</f>
        <v xml:space="preserve"> cukup baik </v>
      </c>
      <c r="BV19" s="301" t="str">
        <f t="shared" si="29"/>
        <v>Anak 15 cukup baik  dalam mengenal, memahami dan mengidentifikasi macam-macam kalimat (order, request, and prengenal obyek-obyek wisata dan memahami penggunaan kalimat ungkapan terima kasih, dan  cukup baik  dalam memahami penggunaan kalimat yang menunjukkan letak suatu tempat</v>
      </c>
      <c r="BW19" s="307" t="str">
        <f t="shared" si="23"/>
        <v xml:space="preserve"> cukup baik  dalam mengenal, memahami dan mengidentifikasi macam-macam kalimat (order, request, and prengenal obyek-obyek wisata dan memahami penggunaan kalimat ungkapan terima kasih</v>
      </c>
      <c r="BX19" s="307" t="str">
        <f t="shared" si="24"/>
        <v xml:space="preserve"> cukup baik  dalam memahami penggunaan kalimat yang menunjukkan letak suatu tempat</v>
      </c>
      <c r="BY19" s="307" t="str">
        <f t="shared" si="25"/>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BZ19" s="307" t="str">
        <f t="shared" si="26"/>
        <v xml:space="preserve"> </v>
      </c>
      <c r="CA19" s="308" t="str">
        <f t="shared" si="27"/>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CB19" s="301" t="str">
        <f t="shared" si="28"/>
        <v>Anak 15 cukup baik  dalam mengenal, memahami dan mengidentifikasi macam-macam kalimat (order, request, and prengenal obyek-obyek wisata dan memahami penggunaan kalimat ungkapan terima kasih, dan  cukup baik  dalam memahami penggunaan kalimat yang menunjukkan letak suatu tempat</v>
      </c>
    </row>
    <row r="20" spans="2:80" ht="57" customHeight="1">
      <c r="B20" s="109">
        <v>16</v>
      </c>
      <c r="C20" s="110">
        <f>SISWA!B21</f>
        <v>0</v>
      </c>
      <c r="D20" s="111" t="str">
        <f>SISWA!E21</f>
        <v>Anak 16</v>
      </c>
      <c r="E20" s="631">
        <v>99</v>
      </c>
      <c r="F20" s="631">
        <v>99</v>
      </c>
      <c r="G20" s="631">
        <v>99</v>
      </c>
      <c r="H20" s="631">
        <v>99</v>
      </c>
      <c r="I20" s="613"/>
      <c r="J20" s="613"/>
      <c r="K20" s="613"/>
      <c r="L20" s="731"/>
      <c r="M20" s="731"/>
      <c r="N20" s="731"/>
      <c r="O20" s="731"/>
      <c r="P20" s="613"/>
      <c r="Q20" s="613"/>
      <c r="R20" s="610"/>
      <c r="S20" s="613">
        <v>79.5</v>
      </c>
      <c r="T20" s="613">
        <v>79.5</v>
      </c>
      <c r="U20" s="609"/>
      <c r="V20" s="609"/>
      <c r="W20" s="609"/>
      <c r="X20" s="609"/>
      <c r="Y20" s="609"/>
      <c r="Z20" s="610"/>
      <c r="AA20" s="613"/>
      <c r="AB20" s="613">
        <v>79.5</v>
      </c>
      <c r="AC20" s="613">
        <v>79.5</v>
      </c>
      <c r="AD20" s="613"/>
      <c r="AE20" s="613"/>
      <c r="AF20" s="613"/>
      <c r="AG20" s="613" t="str">
        <f>IFERROR(AVERAGE(#REF!),"")</f>
        <v/>
      </c>
      <c r="AH20" s="518"/>
      <c r="AI20" s="607">
        <f t="shared" si="9"/>
        <v>92.5</v>
      </c>
      <c r="AJ20" s="607">
        <f t="shared" si="10"/>
        <v>89.25</v>
      </c>
      <c r="AK20" s="607">
        <f t="shared" si="11"/>
        <v>92.5</v>
      </c>
      <c r="AL20" s="607">
        <f t="shared" si="12"/>
        <v>99</v>
      </c>
      <c r="AM20" s="607" t="str">
        <f t="shared" si="13"/>
        <v/>
      </c>
      <c r="AN20" s="607" t="str">
        <f t="shared" si="14"/>
        <v/>
      </c>
      <c r="AO20" s="607" t="str">
        <f t="shared" si="15"/>
        <v/>
      </c>
      <c r="AP20" s="302">
        <f t="shared" si="3"/>
        <v>93</v>
      </c>
      <c r="AQ20" s="303" t="str">
        <f>IF(AP20&gt;KKM!$G$10,"A",IF(AP20&gt;KKM!$H$10,"B",IF(AP20&gt;=KKM!$I$10,"C","D")))</f>
        <v>A</v>
      </c>
      <c r="AR20" s="304">
        <f t="shared" si="4"/>
        <v>99</v>
      </c>
      <c r="AS20" s="115" t="str">
        <f>IF(AR20&gt;KKM!$G$10," sangat baik ",IF(AR20&gt;KKM!$H$10," baik ",IF(AR20&gt;=KKM!$I$10," cukup baik "," perlu bimbingan ")))</f>
        <v xml:space="preserve"> sangat baik </v>
      </c>
      <c r="AT20" s="305">
        <f t="shared" si="5"/>
        <v>89.25</v>
      </c>
      <c r="AU20" s="115" t="str">
        <f>IF(AT20&gt;KKM!$G$10," sangat baik ",IF(AT20&gt;KKM!$H$10," baik ",IF(AT20&gt;=KKM!$I$10," cukup baik "," perlu bimbingan ")))</f>
        <v xml:space="preserve"> baik </v>
      </c>
      <c r="AV20" s="301" t="str">
        <f t="shared" si="16"/>
        <v>Anak 16 sangat baik  dalam mengenal dan mengidentifikasi benda-benda di dapur dan nama-nama bunga, dan  baik  dalam memahami penggunaan kalimat yang menunjukkan letak suatu tempat</v>
      </c>
      <c r="AW20" s="306"/>
      <c r="AX20" s="307" t="str">
        <f t="shared" si="6"/>
        <v xml:space="preserve"> sangat baik  dalam mengenal dan mengidentifikasi benda-benda di dapur dan nama-nama bunga</v>
      </c>
      <c r="AY20" s="307" t="str">
        <f t="shared" si="7"/>
        <v xml:space="preserve"> baik  dalam memahami penggunaan kalimat yang menunjukkan letak suatu tempat</v>
      </c>
      <c r="AZ20" s="307" t="str">
        <f t="shared" si="17"/>
        <v xml:space="preserve"> sangat baik  dalam mengenal dan mengidentifikasi benda-benda di dapur dan nama-nama bunga, dan  baik  dalam memahami penggunaan kalimat yang menunjukkan letak suatu tempat</v>
      </c>
      <c r="BA20" s="307" t="str">
        <f t="shared" si="18"/>
        <v xml:space="preserve"> </v>
      </c>
      <c r="BB20" s="308" t="str">
        <f t="shared" si="19"/>
        <v xml:space="preserve"> sangat baik  dalam mengenal dan mengidentifikasi benda-benda di dapur dan nama-nama bunga, dan  baik  dalam memahami penggunaan kalimat yang menunjukkan letak suatu tempat</v>
      </c>
      <c r="BC20" s="301" t="str">
        <f t="shared" si="8"/>
        <v>Anak 16 sangat baik  dalam mengenal dan mengidentifikasi benda-benda di dapur dan nama-nama bunga, dan  baik  dalam memahami penggunaan kalimat yang menunjukkan letak suatu tempat</v>
      </c>
      <c r="BD20" s="120"/>
      <c r="BP20" s="302">
        <f t="shared" si="20"/>
        <v>80</v>
      </c>
      <c r="BQ20" s="303" t="str">
        <f>IF(BP20&gt;KKM!$G$10,"A",IF(BP20&gt;KKM!$H$10,"B",IF(BP20&gt;=KKM!$I$10,"C","D")))</f>
        <v>C</v>
      </c>
      <c r="BR20" s="523">
        <f t="shared" si="21"/>
        <v>79.5</v>
      </c>
      <c r="BS20" s="115" t="str">
        <f>IF(BR20&gt;KKM!$G$10," sangat baik ",IF(BR20&gt;KKM!$H$10," baik ",IF(BR20&gt;=KKM!$I$10," cukup baik "," perlu bimbingan ")))</f>
        <v xml:space="preserve"> cukup baik </v>
      </c>
      <c r="BT20" s="524">
        <f t="shared" si="22"/>
        <v>79.5</v>
      </c>
      <c r="BU20" s="115" t="str">
        <f>IF(BT20&gt;KKM!$G$10," sangat baik ",IF(BT20&gt;KKM!$H$10," baik ",IF(BT20&gt;=KKM!$I$10," cukup baik "," perlu bimbingan ")))</f>
        <v xml:space="preserve"> cukup baik </v>
      </c>
      <c r="BV20" s="301" t="str">
        <f t="shared" si="29"/>
        <v>Anak 16 cukup baik  dalam mengenal, memahami dan mengidentifikasi macam-macam kalimat (order, request, and prengenal obyek-obyek wisata dan memahami penggunaan kalimat ungkapan terima kasih</v>
      </c>
      <c r="BW20" s="307" t="str">
        <f t="shared" si="23"/>
        <v xml:space="preserve"> cukup baik  dalam mengenal, memahami dan mengidentifikasi macam-macam kalimat (order, request, and prengenal obyek-obyek wisata dan memahami penggunaan kalimat ungkapan terima kasih</v>
      </c>
      <c r="BX20" s="307" t="str">
        <f t="shared" si="24"/>
        <v xml:space="preserve"> cukup baik  dalam mengenal, memahami dan mengidentifikasi macam-macam kalimat (order, request, and prengenal obyek-obyek wisata dan memahami penggunaan kalimat ungkapan terima kasih</v>
      </c>
      <c r="BY20" s="307" t="str">
        <f t="shared" si="25"/>
        <v xml:space="preserve"> cukup baik  dalam mengenal, memahami dan mengidentifikasi macam-macam kalimat (order, request, and prengenal obyek-obyek wisata dan memahami penggunaan kalimat ungkapan terima kasih, dan  cukup baik  dalam mengenal, memahami dan mengidentifikasi macam-macam kalimat (order, request, and prengenal obyek-obyek wisata dan memahami penggunaan kalimat ungkapan terima kasih</v>
      </c>
      <c r="BZ20" s="307" t="str">
        <f t="shared" si="26"/>
        <v xml:space="preserve"> cukup baik  dalam mengenal, memahami dan mengidentifikasi macam-macam kalimat (order, request, and prengenal obyek-obyek wisata dan memahami penggunaan kalimat ungkapan terima kasih</v>
      </c>
      <c r="CA20" s="308" t="str">
        <f t="shared" si="27"/>
        <v xml:space="preserve"> cukup baik  dalam mengenal, memahami dan mengidentifikasi macam-macam kalimat (order, request, and prengenal obyek-obyek wisata dan memahami penggunaan kalimat ungkapan terima kasih</v>
      </c>
      <c r="CB20" s="301" t="str">
        <f t="shared" si="28"/>
        <v>Anak 16 cukup baik  dalam mengenal, memahami dan mengidentifikasi macam-macam kalimat (order, request, and prengenal obyek-obyek wisata dan memahami penggunaan kalimat ungkapan terima kasih</v>
      </c>
    </row>
    <row r="21" spans="2:80" ht="57" customHeight="1">
      <c r="B21" s="109">
        <v>17</v>
      </c>
      <c r="C21" s="110">
        <f>SISWA!B22</f>
        <v>0</v>
      </c>
      <c r="D21" s="111" t="str">
        <f>SISWA!E22</f>
        <v>Anak 17</v>
      </c>
      <c r="E21" s="631">
        <v>99</v>
      </c>
      <c r="F21" s="631">
        <v>99</v>
      </c>
      <c r="G21" s="631">
        <v>99</v>
      </c>
      <c r="H21" s="631">
        <v>99</v>
      </c>
      <c r="I21" s="613"/>
      <c r="J21" s="613"/>
      <c r="K21" s="613"/>
      <c r="L21" s="731"/>
      <c r="M21" s="731"/>
      <c r="N21" s="731"/>
      <c r="O21" s="731"/>
      <c r="P21" s="613"/>
      <c r="Q21" s="613"/>
      <c r="R21" s="610"/>
      <c r="S21" s="613">
        <v>79.5</v>
      </c>
      <c r="T21" s="613">
        <v>79.5</v>
      </c>
      <c r="U21" s="609"/>
      <c r="V21" s="609"/>
      <c r="W21" s="609"/>
      <c r="X21" s="609"/>
      <c r="Y21" s="609"/>
      <c r="Z21" s="610"/>
      <c r="AA21" s="613"/>
      <c r="AB21" s="613">
        <v>79.5</v>
      </c>
      <c r="AC21" s="613">
        <v>79.5</v>
      </c>
      <c r="AD21" s="613"/>
      <c r="AE21" s="613"/>
      <c r="AF21" s="613"/>
      <c r="AG21" s="613" t="str">
        <f>IFERROR(AVERAGE(#REF!),"")</f>
        <v/>
      </c>
      <c r="AH21" s="518"/>
      <c r="AI21" s="607">
        <f t="shared" si="9"/>
        <v>92.5</v>
      </c>
      <c r="AJ21" s="607">
        <f t="shared" si="10"/>
        <v>89.25</v>
      </c>
      <c r="AK21" s="607">
        <f t="shared" si="11"/>
        <v>92.5</v>
      </c>
      <c r="AL21" s="607">
        <f t="shared" si="12"/>
        <v>99</v>
      </c>
      <c r="AM21" s="607" t="str">
        <f t="shared" si="13"/>
        <v/>
      </c>
      <c r="AN21" s="607" t="str">
        <f t="shared" si="14"/>
        <v/>
      </c>
      <c r="AO21" s="607" t="str">
        <f t="shared" si="15"/>
        <v/>
      </c>
      <c r="AP21" s="302">
        <f t="shared" si="3"/>
        <v>93</v>
      </c>
      <c r="AQ21" s="303" t="str">
        <f>IF(AP21&gt;KKM!$G$10,"A",IF(AP21&gt;KKM!$H$10,"B",IF(AP21&gt;=KKM!$I$10,"C","D")))</f>
        <v>A</v>
      </c>
      <c r="AR21" s="304">
        <f t="shared" si="4"/>
        <v>99</v>
      </c>
      <c r="AS21" s="115" t="str">
        <f>IF(AR21&gt;KKM!$G$10," sangat baik ",IF(AR21&gt;KKM!$H$10," baik ",IF(AR21&gt;=KKM!$I$10," cukup baik "," perlu bimbingan ")))</f>
        <v xml:space="preserve"> sangat baik </v>
      </c>
      <c r="AT21" s="305">
        <f t="shared" si="5"/>
        <v>89.25</v>
      </c>
      <c r="AU21" s="115" t="str">
        <f>IF(AT21&gt;KKM!$G$10," sangat baik ",IF(AT21&gt;KKM!$H$10," baik ",IF(AT21&gt;=KKM!$I$10," cukup baik "," perlu bimbingan ")))</f>
        <v xml:space="preserve"> baik </v>
      </c>
      <c r="AV21" s="301" t="str">
        <f t="shared" si="16"/>
        <v>Anak 17 sangat baik  dalam mengenal dan mengidentifikasi benda-benda di dapur dan nama-nama bunga, dan  baik  dalam memahami penggunaan kalimat yang menunjukkan letak suatu tempat</v>
      </c>
      <c r="AW21" s="306"/>
      <c r="AX21" s="307" t="str">
        <f t="shared" si="6"/>
        <v xml:space="preserve"> sangat baik  dalam mengenal dan mengidentifikasi benda-benda di dapur dan nama-nama bunga</v>
      </c>
      <c r="AY21" s="307" t="str">
        <f t="shared" si="7"/>
        <v xml:space="preserve"> baik  dalam memahami penggunaan kalimat yang menunjukkan letak suatu tempat</v>
      </c>
      <c r="AZ21" s="307" t="str">
        <f t="shared" si="17"/>
        <v xml:space="preserve"> sangat baik  dalam mengenal dan mengidentifikasi benda-benda di dapur dan nama-nama bunga, dan  baik  dalam memahami penggunaan kalimat yang menunjukkan letak suatu tempat</v>
      </c>
      <c r="BA21" s="307" t="str">
        <f t="shared" si="18"/>
        <v xml:space="preserve"> </v>
      </c>
      <c r="BB21" s="308" t="str">
        <f t="shared" si="19"/>
        <v xml:space="preserve"> sangat baik  dalam mengenal dan mengidentifikasi benda-benda di dapur dan nama-nama bunga, dan  baik  dalam memahami penggunaan kalimat yang menunjukkan letak suatu tempat</v>
      </c>
      <c r="BC21" s="301" t="str">
        <f t="shared" si="8"/>
        <v>Anak 17 sangat baik  dalam mengenal dan mengidentifikasi benda-benda di dapur dan nama-nama bunga, dan  baik  dalam memahami penggunaan kalimat yang menunjukkan letak suatu tempat</v>
      </c>
      <c r="BD21" s="120"/>
      <c r="BP21" s="302">
        <f t="shared" si="20"/>
        <v>80</v>
      </c>
      <c r="BQ21" s="303" t="str">
        <f>IF(BP21&gt;KKM!$G$10,"A",IF(BP21&gt;KKM!$H$10,"B",IF(BP21&gt;=KKM!$I$10,"C","D")))</f>
        <v>C</v>
      </c>
      <c r="BR21" s="523">
        <f t="shared" si="21"/>
        <v>79.5</v>
      </c>
      <c r="BS21" s="115" t="str">
        <f>IF(BR21&gt;KKM!$G$10," sangat baik ",IF(BR21&gt;KKM!$H$10," baik ",IF(BR21&gt;=KKM!$I$10," cukup baik "," perlu bimbingan ")))</f>
        <v xml:space="preserve"> cukup baik </v>
      </c>
      <c r="BT21" s="524">
        <f t="shared" si="22"/>
        <v>79.5</v>
      </c>
      <c r="BU21" s="115" t="str">
        <f>IF(BT21&gt;KKM!$G$10," sangat baik ",IF(BT21&gt;KKM!$H$10," baik ",IF(BT21&gt;=KKM!$I$10," cukup baik "," perlu bimbingan ")))</f>
        <v xml:space="preserve"> cukup baik </v>
      </c>
      <c r="BV21" s="301" t="str">
        <f t="shared" si="29"/>
        <v>Anak 17 cukup baik  dalam mengenal, memahami dan mengidentifikasi macam-macam kalimat (order, request, and prengenal obyek-obyek wisata dan memahami penggunaan kalimat ungkapan terima kasih</v>
      </c>
      <c r="BW21" s="307" t="str">
        <f t="shared" si="23"/>
        <v xml:space="preserve"> cukup baik  dalam mengenal, memahami dan mengidentifikasi macam-macam kalimat (order, request, and prengenal obyek-obyek wisata dan memahami penggunaan kalimat ungkapan terima kasih</v>
      </c>
      <c r="BX21" s="307" t="str">
        <f t="shared" si="24"/>
        <v xml:space="preserve"> cukup baik  dalam mengenal, memahami dan mengidentifikasi macam-macam kalimat (order, request, and prengenal obyek-obyek wisata dan memahami penggunaan kalimat ungkapan terima kasih</v>
      </c>
      <c r="BY21" s="307" t="str">
        <f t="shared" si="25"/>
        <v xml:space="preserve"> cukup baik  dalam mengenal, memahami dan mengidentifikasi macam-macam kalimat (order, request, and prengenal obyek-obyek wisata dan memahami penggunaan kalimat ungkapan terima kasih, dan  cukup baik  dalam mengenal, memahami dan mengidentifikasi macam-macam kalimat (order, request, and prengenal obyek-obyek wisata dan memahami penggunaan kalimat ungkapan terima kasih</v>
      </c>
      <c r="BZ21" s="307" t="str">
        <f t="shared" si="26"/>
        <v xml:space="preserve"> cukup baik  dalam mengenal, memahami dan mengidentifikasi macam-macam kalimat (order, request, and prengenal obyek-obyek wisata dan memahami penggunaan kalimat ungkapan terima kasih</v>
      </c>
      <c r="CA21" s="308" t="str">
        <f t="shared" si="27"/>
        <v xml:space="preserve"> cukup baik  dalam mengenal, memahami dan mengidentifikasi macam-macam kalimat (order, request, and prengenal obyek-obyek wisata dan memahami penggunaan kalimat ungkapan terima kasih</v>
      </c>
      <c r="CB21" s="301" t="str">
        <f t="shared" si="28"/>
        <v>Anak 17 cukup baik  dalam mengenal, memahami dan mengidentifikasi macam-macam kalimat (order, request, and prengenal obyek-obyek wisata dan memahami penggunaan kalimat ungkapan terima kasih</v>
      </c>
    </row>
    <row r="22" spans="2:80" ht="57" customHeight="1">
      <c r="B22" s="109">
        <v>18</v>
      </c>
      <c r="C22" s="110">
        <f>SISWA!B23</f>
        <v>0</v>
      </c>
      <c r="D22" s="111" t="str">
        <f>SISWA!E23</f>
        <v>Anak 18</v>
      </c>
      <c r="E22" s="631">
        <v>99</v>
      </c>
      <c r="F22" s="631">
        <v>99</v>
      </c>
      <c r="G22" s="631">
        <v>99</v>
      </c>
      <c r="H22" s="631">
        <v>99</v>
      </c>
      <c r="I22" s="613"/>
      <c r="J22" s="613"/>
      <c r="K22" s="613"/>
      <c r="L22" s="731"/>
      <c r="M22" s="731"/>
      <c r="N22" s="731"/>
      <c r="O22" s="731"/>
      <c r="P22" s="613"/>
      <c r="Q22" s="613"/>
      <c r="R22" s="610"/>
      <c r="S22" s="613">
        <v>79.5</v>
      </c>
      <c r="T22" s="613">
        <v>89</v>
      </c>
      <c r="U22" s="609"/>
      <c r="V22" s="609"/>
      <c r="W22" s="609"/>
      <c r="X22" s="609"/>
      <c r="Y22" s="609"/>
      <c r="Z22" s="610"/>
      <c r="AA22" s="613"/>
      <c r="AB22" s="613">
        <v>79.5</v>
      </c>
      <c r="AC22" s="613">
        <v>89</v>
      </c>
      <c r="AD22" s="613"/>
      <c r="AE22" s="613"/>
      <c r="AF22" s="613"/>
      <c r="AG22" s="613" t="str">
        <f>IFERROR(AVERAGE(#REF!),"")</f>
        <v/>
      </c>
      <c r="AH22" s="518"/>
      <c r="AI22" s="607">
        <f t="shared" si="9"/>
        <v>92.5</v>
      </c>
      <c r="AJ22" s="607">
        <f t="shared" si="10"/>
        <v>91.625</v>
      </c>
      <c r="AK22" s="607">
        <f t="shared" si="11"/>
        <v>95.666666666666671</v>
      </c>
      <c r="AL22" s="607">
        <f t="shared" si="12"/>
        <v>99</v>
      </c>
      <c r="AM22" s="607" t="str">
        <f t="shared" si="13"/>
        <v/>
      </c>
      <c r="AN22" s="607" t="str">
        <f t="shared" si="14"/>
        <v/>
      </c>
      <c r="AO22" s="607" t="str">
        <f t="shared" si="15"/>
        <v/>
      </c>
      <c r="AP22" s="302">
        <f t="shared" si="3"/>
        <v>95</v>
      </c>
      <c r="AQ22" s="303" t="str">
        <f>IF(AP22&gt;KKM!$G$10,"A",IF(AP22&gt;KKM!$H$10,"B",IF(AP22&gt;=KKM!$I$10,"C","D")))</f>
        <v>A</v>
      </c>
      <c r="AR22" s="304">
        <f t="shared" si="4"/>
        <v>99</v>
      </c>
      <c r="AS22" s="115" t="str">
        <f>IF(AR22&gt;KKM!$G$10," sangat baik ",IF(AR22&gt;KKM!$H$10," baik ",IF(AR22&gt;=KKM!$I$10," cukup baik "," perlu bimbingan ")))</f>
        <v xml:space="preserve"> sangat baik </v>
      </c>
      <c r="AT22" s="305">
        <f t="shared" si="5"/>
        <v>91.625</v>
      </c>
      <c r="AU22" s="115" t="str">
        <f>IF(AT22&gt;KKM!$G$10," sangat baik ",IF(AT22&gt;KKM!$H$10," baik ",IF(AT22&gt;=KKM!$I$10," cukup baik "," perlu bimbingan ")))</f>
        <v xml:space="preserve"> sangat baik </v>
      </c>
      <c r="AV22" s="301" t="str">
        <f t="shared" si="16"/>
        <v>Anak 18 sangat baik  dalam mengenal dan mengidentifikasi benda-benda di dapur dan nama-nama bunga, dan  sangat baik  dalam memahami penggunaan kalimat yang menunjukkan letak suatu tempat</v>
      </c>
      <c r="AW22" s="306"/>
      <c r="AX22" s="307" t="str">
        <f t="shared" si="6"/>
        <v xml:space="preserve"> sangat baik  dalam mengenal dan mengidentifikasi benda-benda di dapur dan nama-nama bunga</v>
      </c>
      <c r="AY22" s="307" t="str">
        <f t="shared" si="7"/>
        <v xml:space="preserve"> sangat baik  dalam memahami penggunaan kalimat yang menunjukkan letak suatu tempat</v>
      </c>
      <c r="AZ22" s="307" t="str">
        <f t="shared" si="17"/>
        <v xml:space="preserve"> sangat baik  dalam mengenal dan mengidentifikasi benda-benda di dapur dan nama-nama bunga, dan  sangat baik  dalam memahami penggunaan kalimat yang menunjukkan letak suatu tempat</v>
      </c>
      <c r="BA22" s="307" t="str">
        <f t="shared" si="18"/>
        <v xml:space="preserve"> </v>
      </c>
      <c r="BB22" s="308" t="str">
        <f t="shared" si="19"/>
        <v xml:space="preserve"> sangat baik  dalam mengenal dan mengidentifikasi benda-benda di dapur dan nama-nama bunga, dan  sangat baik  dalam memahami penggunaan kalimat yang menunjukkan letak suatu tempat</v>
      </c>
      <c r="BC22" s="301" t="str">
        <f t="shared" si="8"/>
        <v>Anak 18 sangat baik  dalam mengenal dan mengidentifikasi benda-benda di dapur dan nama-nama bunga, dan  sangat baik  dalam memahami penggunaan kalimat yang menunjukkan letak suatu tempat</v>
      </c>
      <c r="BD22" s="120"/>
      <c r="BP22" s="302">
        <f t="shared" si="20"/>
        <v>84</v>
      </c>
      <c r="BQ22" s="303" t="str">
        <f>IF(BP22&gt;KKM!$G$10,"A",IF(BP22&gt;KKM!$H$10,"B",IF(BP22&gt;=KKM!$I$10,"C","D")))</f>
        <v>B</v>
      </c>
      <c r="BR22" s="523">
        <f t="shared" si="21"/>
        <v>89</v>
      </c>
      <c r="BS22" s="115" t="str">
        <f>IF(BR22&gt;KKM!$G$10," sangat baik ",IF(BR22&gt;KKM!$H$10," baik ",IF(BR22&gt;=KKM!$I$10," cukup baik "," perlu bimbingan ")))</f>
        <v xml:space="preserve"> baik </v>
      </c>
      <c r="BT22" s="524">
        <f t="shared" si="22"/>
        <v>79.5</v>
      </c>
      <c r="BU22" s="115" t="str">
        <f>IF(BT22&gt;KKM!$G$10," sangat baik ",IF(BT22&gt;KKM!$H$10," baik ",IF(BT22&gt;=KKM!$I$10," cukup baik "," perlu bimbingan ")))</f>
        <v xml:space="preserve"> cukup baik </v>
      </c>
      <c r="BV22" s="301" t="str">
        <f t="shared" si="29"/>
        <v>Anak 18 baik  dalam memahami penggunaan kalimat yang menunjukkan letak suatu tempat, dan  cukup baik  dalam mengenal, memahami dan mengidentifikasi macam-macam kalimat (order, request, and prengenal obyek-obyek wisata dan memahami penggunaan kalimat ungkapan terima kasih</v>
      </c>
      <c r="BW22" s="307" t="str">
        <f t="shared" si="23"/>
        <v xml:space="preserve"> baik  dalam memahami penggunaan kalimat yang menunjukkan letak suatu tempat</v>
      </c>
      <c r="BX22" s="307" t="str">
        <f t="shared" si="24"/>
        <v xml:space="preserve"> cukup baik  dalam mengenal, memahami dan mengidentifikasi macam-macam kalimat (order, request, and prengenal obyek-obyek wisata dan memahami penggunaan kalimat ungkapan terima kasih</v>
      </c>
      <c r="BY22"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22" s="307" t="str">
        <f t="shared" si="26"/>
        <v xml:space="preserve"> </v>
      </c>
      <c r="CA22"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22" s="301" t="str">
        <f t="shared" si="28"/>
        <v>Anak 18 baik  dalam memahami penggunaan kalimat yang menunjukkan letak suatu tempat, dan  cukup baik  dalam mengenal, memahami dan mengidentifikasi macam-macam kalimat (order, request, and prengenal obyek-obyek wisata dan memahami penggunaan kalimat ungkapan terima kasih</v>
      </c>
    </row>
    <row r="23" spans="2:80" ht="57" customHeight="1">
      <c r="B23" s="109">
        <v>19</v>
      </c>
      <c r="C23" s="110">
        <f>SISWA!B24</f>
        <v>0</v>
      </c>
      <c r="D23" s="111" t="str">
        <f>SISWA!E24</f>
        <v>Anak 19</v>
      </c>
      <c r="E23" s="631">
        <v>99</v>
      </c>
      <c r="F23" s="631">
        <v>99</v>
      </c>
      <c r="G23" s="631">
        <v>99</v>
      </c>
      <c r="H23" s="631">
        <v>99</v>
      </c>
      <c r="I23" s="613"/>
      <c r="J23" s="613"/>
      <c r="K23" s="613"/>
      <c r="L23" s="731"/>
      <c r="M23" s="731"/>
      <c r="N23" s="731"/>
      <c r="O23" s="731"/>
      <c r="P23" s="613"/>
      <c r="Q23" s="613"/>
      <c r="R23" s="610"/>
      <c r="S23" s="613">
        <v>89</v>
      </c>
      <c r="T23" s="613">
        <v>81</v>
      </c>
      <c r="U23" s="609"/>
      <c r="V23" s="609"/>
      <c r="W23" s="609"/>
      <c r="X23" s="609"/>
      <c r="Y23" s="609"/>
      <c r="Z23" s="610"/>
      <c r="AA23" s="613"/>
      <c r="AB23" s="613">
        <v>89</v>
      </c>
      <c r="AC23" s="613">
        <v>81</v>
      </c>
      <c r="AD23" s="613"/>
      <c r="AE23" s="613"/>
      <c r="AF23" s="613"/>
      <c r="AG23" s="613" t="str">
        <f>IFERROR(AVERAGE(#REF!),"")</f>
        <v/>
      </c>
      <c r="AH23" s="518"/>
      <c r="AI23" s="607">
        <f t="shared" si="9"/>
        <v>95.666666666666671</v>
      </c>
      <c r="AJ23" s="607">
        <f t="shared" si="10"/>
        <v>92</v>
      </c>
      <c r="AK23" s="607">
        <f t="shared" si="11"/>
        <v>93</v>
      </c>
      <c r="AL23" s="607">
        <f t="shared" si="12"/>
        <v>99</v>
      </c>
      <c r="AM23" s="607" t="str">
        <f t="shared" si="13"/>
        <v/>
      </c>
      <c r="AN23" s="607" t="str">
        <f t="shared" si="14"/>
        <v/>
      </c>
      <c r="AO23" s="607" t="str">
        <f t="shared" si="15"/>
        <v/>
      </c>
      <c r="AP23" s="302">
        <f t="shared" si="3"/>
        <v>95</v>
      </c>
      <c r="AQ23" s="303" t="str">
        <f>IF(AP23&gt;KKM!$G$10,"A",IF(AP23&gt;KKM!$H$10,"B",IF(AP23&gt;=KKM!$I$10,"C","D")))</f>
        <v>A</v>
      </c>
      <c r="AR23" s="304">
        <f t="shared" si="4"/>
        <v>99</v>
      </c>
      <c r="AS23" s="115" t="str">
        <f>IF(AR23&gt;KKM!$G$10," sangat baik ",IF(AR23&gt;KKM!$H$10," baik ",IF(AR23&gt;=KKM!$I$10," cukup baik "," perlu bimbingan ")))</f>
        <v xml:space="preserve"> sangat baik </v>
      </c>
      <c r="AT23" s="305">
        <f t="shared" si="5"/>
        <v>92</v>
      </c>
      <c r="AU23" s="115" t="str">
        <f>IF(AT23&gt;KKM!$G$10," sangat baik ",IF(AT23&gt;KKM!$H$10," baik ",IF(AT23&gt;=KKM!$I$10," cukup baik "," perlu bimbingan ")))</f>
        <v xml:space="preserve"> sangat baik </v>
      </c>
      <c r="AV23" s="301" t="str">
        <f t="shared" si="16"/>
        <v>Anak 19 sangat baik  dalam mengenal dan mengidentifikasi benda-benda di dapur dan nama-nama bunga, dan  sangat baik  dalam memahami penggunaan kalimat yang menunjukkan letak suatu tempat</v>
      </c>
      <c r="AW23" s="306"/>
      <c r="AX23" s="307" t="str">
        <f t="shared" si="6"/>
        <v xml:space="preserve"> sangat baik  dalam mengenal dan mengidentifikasi benda-benda di dapur dan nama-nama bunga</v>
      </c>
      <c r="AY23" s="307" t="str">
        <f t="shared" si="7"/>
        <v xml:space="preserve"> sangat baik  dalam memahami penggunaan kalimat yang menunjukkan letak suatu tempat</v>
      </c>
      <c r="AZ23" s="307" t="str">
        <f t="shared" si="17"/>
        <v xml:space="preserve"> sangat baik  dalam mengenal dan mengidentifikasi benda-benda di dapur dan nama-nama bunga, dan  sangat baik  dalam memahami penggunaan kalimat yang menunjukkan letak suatu tempat</v>
      </c>
      <c r="BA23" s="307" t="str">
        <f t="shared" si="18"/>
        <v xml:space="preserve"> </v>
      </c>
      <c r="BB23" s="308" t="str">
        <f t="shared" si="19"/>
        <v xml:space="preserve"> sangat baik  dalam mengenal dan mengidentifikasi benda-benda di dapur dan nama-nama bunga, dan  sangat baik  dalam memahami penggunaan kalimat yang menunjukkan letak suatu tempat</v>
      </c>
      <c r="BC23" s="301" t="str">
        <f t="shared" si="8"/>
        <v>Anak 19 sangat baik  dalam mengenal dan mengidentifikasi benda-benda di dapur dan nama-nama bunga, dan  sangat baik  dalam memahami penggunaan kalimat yang menunjukkan letak suatu tempat</v>
      </c>
      <c r="BD23" s="120"/>
      <c r="BP23" s="302">
        <f t="shared" si="20"/>
        <v>85</v>
      </c>
      <c r="BQ23" s="303" t="str">
        <f>IF(BP23&gt;KKM!$G$10,"A",IF(BP23&gt;KKM!$H$10,"B",IF(BP23&gt;=KKM!$I$10,"C","D")))</f>
        <v>B</v>
      </c>
      <c r="BR23" s="523">
        <f t="shared" si="21"/>
        <v>89</v>
      </c>
      <c r="BS23" s="115" t="str">
        <f>IF(BR23&gt;KKM!$G$10," sangat baik ",IF(BR23&gt;KKM!$H$10," baik ",IF(BR23&gt;=KKM!$I$10," cukup baik "," perlu bimbingan ")))</f>
        <v xml:space="preserve"> baik </v>
      </c>
      <c r="BT23" s="524">
        <f t="shared" si="22"/>
        <v>81</v>
      </c>
      <c r="BU23" s="115" t="str">
        <f>IF(BT23&gt;KKM!$G$10," sangat baik ",IF(BT23&gt;KKM!$H$10," baik ",IF(BT23&gt;=KKM!$I$10," cukup baik "," perlu bimbingan ")))</f>
        <v xml:space="preserve"> baik </v>
      </c>
      <c r="BV23" s="301" t="str">
        <f t="shared" si="29"/>
        <v>Anak 19 baik  dalam mengenal, memahami dan mengidentifikasi macam-macam kalimat (order, request, and prengenal obyek-obyek wisata dan memahami penggunaan kalimat ungkapan terima kasih, dan  baik  dalam memahami penggunaan kalimat yang menunjukkan letak suatu tempat</v>
      </c>
      <c r="BW23" s="307" t="str">
        <f t="shared" si="23"/>
        <v xml:space="preserve"> baik  dalam mengenal, memahami dan mengidentifikasi macam-macam kalimat (order, request, and prengenal obyek-obyek wisata dan memahami penggunaan kalimat ungkapan terima kasih</v>
      </c>
      <c r="BX23" s="307" t="str">
        <f t="shared" si="24"/>
        <v xml:space="preserve"> baik  dalam memahami penggunaan kalimat yang menunjukkan letak suatu tempat</v>
      </c>
      <c r="BY23" s="307" t="str">
        <f t="shared" si="25"/>
        <v xml:space="preserve"> baik  dalam mengenal, memahami dan mengidentifikasi macam-macam kalimat (order, request, and prengenal obyek-obyek wisata dan memahami penggunaan kalimat ungkapan terima kasih, dan  baik  dalam memahami penggunaan kalimat yang menunjukkan letak suatu tempat</v>
      </c>
      <c r="BZ23" s="307" t="str">
        <f t="shared" si="26"/>
        <v xml:space="preserve"> </v>
      </c>
      <c r="CA23" s="308" t="str">
        <f t="shared" si="27"/>
        <v xml:space="preserve"> baik  dalam mengenal, memahami dan mengidentifikasi macam-macam kalimat (order, request, and prengenal obyek-obyek wisata dan memahami penggunaan kalimat ungkapan terima kasih, dan  baik  dalam memahami penggunaan kalimat yang menunjukkan letak suatu tempat</v>
      </c>
      <c r="CB23" s="301" t="str">
        <f t="shared" si="28"/>
        <v>Anak 19 baik  dalam mengenal, memahami dan mengidentifikasi macam-macam kalimat (order, request, and prengenal obyek-obyek wisata dan memahami penggunaan kalimat ungkapan terima kasih, dan  baik  dalam memahami penggunaan kalimat yang menunjukkan letak suatu tempat</v>
      </c>
    </row>
    <row r="24" spans="2:80" ht="57" customHeight="1">
      <c r="B24" s="109">
        <v>20</v>
      </c>
      <c r="C24" s="110">
        <f>SISWA!B25</f>
        <v>0</v>
      </c>
      <c r="D24" s="111" t="str">
        <f>SISWA!E25</f>
        <v>Anak 20</v>
      </c>
      <c r="E24" s="631">
        <v>99</v>
      </c>
      <c r="F24" s="631">
        <v>99</v>
      </c>
      <c r="G24" s="631">
        <v>99</v>
      </c>
      <c r="H24" s="631">
        <v>99</v>
      </c>
      <c r="I24" s="613"/>
      <c r="J24" s="613"/>
      <c r="K24" s="613"/>
      <c r="L24" s="731"/>
      <c r="M24" s="731"/>
      <c r="N24" s="731"/>
      <c r="O24" s="731"/>
      <c r="P24" s="613"/>
      <c r="Q24" s="613"/>
      <c r="R24" s="610"/>
      <c r="S24" s="613">
        <v>81</v>
      </c>
      <c r="T24" s="613">
        <v>76.5</v>
      </c>
      <c r="U24" s="609"/>
      <c r="V24" s="609"/>
      <c r="W24" s="609"/>
      <c r="X24" s="609"/>
      <c r="Y24" s="609"/>
      <c r="Z24" s="610"/>
      <c r="AA24" s="613"/>
      <c r="AB24" s="613">
        <v>81</v>
      </c>
      <c r="AC24" s="613">
        <v>76.5</v>
      </c>
      <c r="AD24" s="613"/>
      <c r="AE24" s="613"/>
      <c r="AF24" s="613"/>
      <c r="AG24" s="613" t="str">
        <f>IFERROR(AVERAGE(#REF!),"")</f>
        <v/>
      </c>
      <c r="AH24" s="518"/>
      <c r="AI24" s="607">
        <f t="shared" si="9"/>
        <v>93</v>
      </c>
      <c r="AJ24" s="607">
        <f t="shared" si="10"/>
        <v>88.875</v>
      </c>
      <c r="AK24" s="607">
        <f t="shared" si="11"/>
        <v>91.5</v>
      </c>
      <c r="AL24" s="607">
        <f t="shared" si="12"/>
        <v>99</v>
      </c>
      <c r="AM24" s="607" t="str">
        <f t="shared" si="13"/>
        <v/>
      </c>
      <c r="AN24" s="607" t="str">
        <f t="shared" si="14"/>
        <v/>
      </c>
      <c r="AO24" s="607" t="str">
        <f t="shared" si="15"/>
        <v/>
      </c>
      <c r="AP24" s="302">
        <f t="shared" si="3"/>
        <v>93</v>
      </c>
      <c r="AQ24" s="303" t="str">
        <f>IF(AP24&gt;KKM!$G$10,"A",IF(AP24&gt;KKM!$H$10,"B",IF(AP24&gt;=KKM!$I$10,"C","D")))</f>
        <v>A</v>
      </c>
      <c r="AR24" s="304">
        <f t="shared" si="4"/>
        <v>99</v>
      </c>
      <c r="AS24" s="115" t="str">
        <f>IF(AR24&gt;KKM!$G$10," sangat baik ",IF(AR24&gt;KKM!$H$10," baik ",IF(AR24&gt;=KKM!$I$10," cukup baik "," perlu bimbingan ")))</f>
        <v xml:space="preserve"> sangat baik </v>
      </c>
      <c r="AT24" s="305">
        <f t="shared" si="5"/>
        <v>88.875</v>
      </c>
      <c r="AU24" s="115" t="str">
        <f>IF(AT24&gt;KKM!$G$10," sangat baik ",IF(AT24&gt;KKM!$H$10," baik ",IF(AT24&gt;=KKM!$I$10," cukup baik "," perlu bimbingan ")))</f>
        <v xml:space="preserve"> baik </v>
      </c>
      <c r="AV24" s="301" t="str">
        <f t="shared" si="16"/>
        <v>Anak 20 sangat baik  dalam mengenal dan mengidentifikasi benda-benda di dapur dan nama-nama bunga, dan  baik  dalam memahami penggunaan kalimat yang menunjukkan letak suatu tempat</v>
      </c>
      <c r="AW24" s="306"/>
      <c r="AX24" s="307" t="str">
        <f t="shared" si="6"/>
        <v xml:space="preserve"> sangat baik  dalam mengenal dan mengidentifikasi benda-benda di dapur dan nama-nama bunga</v>
      </c>
      <c r="AY24" s="307" t="str">
        <f t="shared" si="7"/>
        <v xml:space="preserve"> baik  dalam memahami penggunaan kalimat yang menunjukkan letak suatu tempat</v>
      </c>
      <c r="AZ24" s="307" t="str">
        <f t="shared" si="17"/>
        <v xml:space="preserve"> sangat baik  dalam mengenal dan mengidentifikasi benda-benda di dapur dan nama-nama bunga, dan  baik  dalam memahami penggunaan kalimat yang menunjukkan letak suatu tempat</v>
      </c>
      <c r="BA24" s="307" t="str">
        <f t="shared" si="18"/>
        <v xml:space="preserve"> </v>
      </c>
      <c r="BB24" s="308" t="str">
        <f t="shared" si="19"/>
        <v xml:space="preserve"> sangat baik  dalam mengenal dan mengidentifikasi benda-benda di dapur dan nama-nama bunga, dan  baik  dalam memahami penggunaan kalimat yang menunjukkan letak suatu tempat</v>
      </c>
      <c r="BC24" s="301" t="str">
        <f t="shared" si="8"/>
        <v>Anak 20 sangat baik  dalam mengenal dan mengidentifikasi benda-benda di dapur dan nama-nama bunga, dan  baik  dalam memahami penggunaan kalimat yang menunjukkan letak suatu tempat</v>
      </c>
      <c r="BD24" s="120"/>
      <c r="BP24" s="302">
        <f t="shared" si="20"/>
        <v>79</v>
      </c>
      <c r="BQ24" s="303" t="str">
        <f>IF(BP24&gt;KKM!$G$10,"A",IF(BP24&gt;KKM!$H$10,"B",IF(BP24&gt;=KKM!$I$10,"C","D")))</f>
        <v>C</v>
      </c>
      <c r="BR24" s="523">
        <f t="shared" si="21"/>
        <v>81</v>
      </c>
      <c r="BS24" s="115" t="str">
        <f>IF(BR24&gt;KKM!$G$10," sangat baik ",IF(BR24&gt;KKM!$H$10," baik ",IF(BR24&gt;=KKM!$I$10," cukup baik "," perlu bimbingan ")))</f>
        <v xml:space="preserve"> baik </v>
      </c>
      <c r="BT24" s="524">
        <f t="shared" si="22"/>
        <v>76.5</v>
      </c>
      <c r="BU24" s="115" t="str">
        <f>IF(BT24&gt;KKM!$G$10," sangat baik ",IF(BT24&gt;KKM!$H$10," baik ",IF(BT24&gt;=KKM!$I$10," cukup baik "," perlu bimbingan ")))</f>
        <v xml:space="preserve"> cukup baik </v>
      </c>
      <c r="BV24" s="301" t="str">
        <f t="shared" si="29"/>
        <v>Anak 20 baik  dalam mengenal, memahami dan mengidentifikasi macam-macam kalimat (order, request, and prengenal obyek-obyek wisata dan memahami penggunaan kalimat ungkapan terima kasih, dan  cukup baik  dalam memahami penggunaan kalimat yang menunjukkan letak suatu tempat</v>
      </c>
      <c r="BW24" s="307" t="str">
        <f t="shared" si="23"/>
        <v xml:space="preserve"> baik  dalam mengenal, memahami dan mengidentifikasi macam-macam kalimat (order, request, and prengenal obyek-obyek wisata dan memahami penggunaan kalimat ungkapan terima kasih</v>
      </c>
      <c r="BX24" s="307" t="str">
        <f t="shared" si="24"/>
        <v xml:space="preserve"> cukup baik  dalam memahami penggunaan kalimat yang menunjukkan letak suatu tempat</v>
      </c>
      <c r="BY24"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24" s="307" t="str">
        <f t="shared" si="26"/>
        <v xml:space="preserve"> </v>
      </c>
      <c r="CA24"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24" s="301" t="str">
        <f t="shared" si="28"/>
        <v>Anak 20 baik  dalam mengenal, memahami dan mengidentifikasi macam-macam kalimat (order, request, and prengenal obyek-obyek wisata dan memahami penggunaan kalimat ungkapan terima kasih, dan  cukup baik  dalam memahami penggunaan kalimat yang menunjukkan letak suatu tempat</v>
      </c>
    </row>
    <row r="25" spans="2:80" ht="57" customHeight="1">
      <c r="B25" s="109">
        <v>21</v>
      </c>
      <c r="C25" s="110">
        <f>SISWA!B26</f>
        <v>0</v>
      </c>
      <c r="D25" s="111" t="str">
        <f>SISWA!E26</f>
        <v>Anak 21</v>
      </c>
      <c r="E25" s="631">
        <v>99</v>
      </c>
      <c r="F25" s="631">
        <v>99</v>
      </c>
      <c r="G25" s="631">
        <v>99</v>
      </c>
      <c r="H25" s="631">
        <v>99</v>
      </c>
      <c r="I25" s="613"/>
      <c r="J25" s="613"/>
      <c r="K25" s="613"/>
      <c r="L25" s="731"/>
      <c r="M25" s="731"/>
      <c r="N25" s="731"/>
      <c r="O25" s="731"/>
      <c r="P25" s="613"/>
      <c r="Q25" s="613"/>
      <c r="R25" s="610"/>
      <c r="S25" s="613">
        <v>76.5</v>
      </c>
      <c r="T25" s="613">
        <v>86.5</v>
      </c>
      <c r="U25" s="609"/>
      <c r="V25" s="609"/>
      <c r="W25" s="609"/>
      <c r="X25" s="609"/>
      <c r="Y25" s="609"/>
      <c r="Z25" s="610"/>
      <c r="AA25" s="613"/>
      <c r="AB25" s="613">
        <v>76.5</v>
      </c>
      <c r="AC25" s="613">
        <v>86.5</v>
      </c>
      <c r="AD25" s="613"/>
      <c r="AE25" s="613"/>
      <c r="AF25" s="613"/>
      <c r="AG25" s="613" t="str">
        <f>IFERROR(AVERAGE(#REF!),"")</f>
        <v/>
      </c>
      <c r="AH25" s="518"/>
      <c r="AI25" s="607">
        <f t="shared" si="9"/>
        <v>91.5</v>
      </c>
      <c r="AJ25" s="607">
        <f t="shared" si="10"/>
        <v>90.25</v>
      </c>
      <c r="AK25" s="607">
        <f t="shared" si="11"/>
        <v>94.833333333333329</v>
      </c>
      <c r="AL25" s="607">
        <f t="shared" si="12"/>
        <v>99</v>
      </c>
      <c r="AM25" s="607" t="str">
        <f t="shared" si="13"/>
        <v/>
      </c>
      <c r="AN25" s="607" t="str">
        <f t="shared" si="14"/>
        <v/>
      </c>
      <c r="AO25" s="607" t="str">
        <f t="shared" si="15"/>
        <v/>
      </c>
      <c r="AP25" s="302">
        <f t="shared" si="3"/>
        <v>94</v>
      </c>
      <c r="AQ25" s="303" t="str">
        <f>IF(AP25&gt;KKM!$G$10,"A",IF(AP25&gt;KKM!$H$10,"B",IF(AP25&gt;=KKM!$I$10,"C","D")))</f>
        <v>A</v>
      </c>
      <c r="AR25" s="304">
        <f t="shared" si="4"/>
        <v>99</v>
      </c>
      <c r="AS25" s="115" t="str">
        <f>IF(AR25&gt;KKM!$G$10," sangat baik ",IF(AR25&gt;KKM!$H$10," baik ",IF(AR25&gt;=KKM!$I$10," cukup baik "," perlu bimbingan ")))</f>
        <v xml:space="preserve"> sangat baik </v>
      </c>
      <c r="AT25" s="305">
        <f t="shared" si="5"/>
        <v>90.25</v>
      </c>
      <c r="AU25" s="115" t="str">
        <f>IF(AT25&gt;KKM!$G$10," sangat baik ",IF(AT25&gt;KKM!$H$10," baik ",IF(AT25&gt;=KKM!$I$10," cukup baik "," perlu bimbingan ")))</f>
        <v xml:space="preserve"> sangat baik </v>
      </c>
      <c r="AV25" s="301" t="str">
        <f t="shared" si="16"/>
        <v>Anak 21 sangat baik  dalam mengenal dan mengidentifikasi benda-benda di dapur dan nama-nama bunga, dan  sangat baik  dalam memahami penggunaan kalimat yang menunjukkan letak suatu tempat</v>
      </c>
      <c r="AW25" s="306"/>
      <c r="AX25" s="307" t="str">
        <f t="shared" si="6"/>
        <v xml:space="preserve"> sangat baik  dalam mengenal dan mengidentifikasi benda-benda di dapur dan nama-nama bunga</v>
      </c>
      <c r="AY25" s="307" t="str">
        <f t="shared" si="7"/>
        <v xml:space="preserve"> sangat baik  dalam memahami penggunaan kalimat yang menunjukkan letak suatu tempat</v>
      </c>
      <c r="AZ25" s="307" t="str">
        <f t="shared" si="17"/>
        <v xml:space="preserve"> sangat baik  dalam mengenal dan mengidentifikasi benda-benda di dapur dan nama-nama bunga, dan  sangat baik  dalam memahami penggunaan kalimat yang menunjukkan letak suatu tempat</v>
      </c>
      <c r="BA25" s="307" t="str">
        <f t="shared" si="18"/>
        <v xml:space="preserve"> </v>
      </c>
      <c r="BB25" s="308" t="str">
        <f t="shared" si="19"/>
        <v xml:space="preserve"> sangat baik  dalam mengenal dan mengidentifikasi benda-benda di dapur dan nama-nama bunga, dan  sangat baik  dalam memahami penggunaan kalimat yang menunjukkan letak suatu tempat</v>
      </c>
      <c r="BC25" s="301" t="str">
        <f t="shared" si="8"/>
        <v>Anak 21 sangat baik  dalam mengenal dan mengidentifikasi benda-benda di dapur dan nama-nama bunga, dan  sangat baik  dalam memahami penggunaan kalimat yang menunjukkan letak suatu tempat</v>
      </c>
      <c r="BD25" s="120"/>
      <c r="BP25" s="302">
        <f t="shared" si="20"/>
        <v>82</v>
      </c>
      <c r="BQ25" s="303" t="str">
        <f>IF(BP25&gt;KKM!$G$10,"A",IF(BP25&gt;KKM!$H$10,"B",IF(BP25&gt;=KKM!$I$10,"C","D")))</f>
        <v>B</v>
      </c>
      <c r="BR25" s="523">
        <f t="shared" si="21"/>
        <v>86.5</v>
      </c>
      <c r="BS25" s="115" t="str">
        <f>IF(BR25&gt;KKM!$G$10," sangat baik ",IF(BR25&gt;KKM!$H$10," baik ",IF(BR25&gt;=KKM!$I$10," cukup baik "," perlu bimbingan ")))</f>
        <v xml:space="preserve"> baik </v>
      </c>
      <c r="BT25" s="524">
        <f t="shared" si="22"/>
        <v>76.5</v>
      </c>
      <c r="BU25" s="115" t="str">
        <f>IF(BT25&gt;KKM!$G$10," sangat baik ",IF(BT25&gt;KKM!$H$10," baik ",IF(BT25&gt;=KKM!$I$10," cukup baik "," perlu bimbingan ")))</f>
        <v xml:space="preserve"> cukup baik </v>
      </c>
      <c r="BV25" s="301" t="str">
        <f t="shared" si="29"/>
        <v>Anak 21 baik  dalam memahami penggunaan kalimat yang menunjukkan letak suatu tempat, dan  cukup baik  dalam mengenal, memahami dan mengidentifikasi macam-macam kalimat (order, request, and prengenal obyek-obyek wisata dan memahami penggunaan kalimat ungkapan terima kasih</v>
      </c>
      <c r="BW25" s="307" t="str">
        <f t="shared" si="23"/>
        <v xml:space="preserve"> baik  dalam memahami penggunaan kalimat yang menunjukkan letak suatu tempat</v>
      </c>
      <c r="BX25" s="307" t="str">
        <f t="shared" si="24"/>
        <v xml:space="preserve"> cukup baik  dalam mengenal, memahami dan mengidentifikasi macam-macam kalimat (order, request, and prengenal obyek-obyek wisata dan memahami penggunaan kalimat ungkapan terima kasih</v>
      </c>
      <c r="BY25"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25" s="307" t="str">
        <f t="shared" si="26"/>
        <v xml:space="preserve"> </v>
      </c>
      <c r="CA25"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25" s="301" t="str">
        <f t="shared" si="28"/>
        <v>Anak 21 baik  dalam memahami penggunaan kalimat yang menunjukkan letak suatu tempat, dan  cukup baik  dalam mengenal, memahami dan mengidentifikasi macam-macam kalimat (order, request, and prengenal obyek-obyek wisata dan memahami penggunaan kalimat ungkapan terima kasih</v>
      </c>
    </row>
    <row r="26" spans="2:80" ht="57" customHeight="1">
      <c r="B26" s="109">
        <v>22</v>
      </c>
      <c r="C26" s="110">
        <f>SISWA!B27</f>
        <v>0</v>
      </c>
      <c r="D26" s="111" t="str">
        <f>SISWA!E27</f>
        <v>Anak 22</v>
      </c>
      <c r="E26" s="631">
        <v>99</v>
      </c>
      <c r="F26" s="631">
        <v>99</v>
      </c>
      <c r="G26" s="631">
        <v>99</v>
      </c>
      <c r="H26" s="631">
        <v>99</v>
      </c>
      <c r="I26" s="613"/>
      <c r="J26" s="613"/>
      <c r="K26" s="613"/>
      <c r="L26" s="731"/>
      <c r="M26" s="731"/>
      <c r="N26" s="731"/>
      <c r="O26" s="731"/>
      <c r="P26" s="613"/>
      <c r="Q26" s="613"/>
      <c r="R26" s="610"/>
      <c r="S26" s="613">
        <v>86.5</v>
      </c>
      <c r="T26" s="613">
        <v>90</v>
      </c>
      <c r="U26" s="609"/>
      <c r="V26" s="609"/>
      <c r="W26" s="609"/>
      <c r="X26" s="609"/>
      <c r="Y26" s="609"/>
      <c r="Z26" s="610"/>
      <c r="AA26" s="613"/>
      <c r="AB26" s="613">
        <v>86.5</v>
      </c>
      <c r="AC26" s="613">
        <v>90</v>
      </c>
      <c r="AD26" s="613"/>
      <c r="AE26" s="613"/>
      <c r="AF26" s="613"/>
      <c r="AG26" s="613" t="str">
        <f>IFERROR(AVERAGE(#REF!),"")</f>
        <v/>
      </c>
      <c r="AH26" s="518"/>
      <c r="AI26" s="607">
        <f t="shared" si="9"/>
        <v>94.833333333333329</v>
      </c>
      <c r="AJ26" s="607">
        <f t="shared" si="10"/>
        <v>93.625</v>
      </c>
      <c r="AK26" s="607">
        <f t="shared" si="11"/>
        <v>96</v>
      </c>
      <c r="AL26" s="607">
        <f t="shared" si="12"/>
        <v>99</v>
      </c>
      <c r="AM26" s="607" t="str">
        <f t="shared" si="13"/>
        <v/>
      </c>
      <c r="AN26" s="607" t="str">
        <f t="shared" si="14"/>
        <v/>
      </c>
      <c r="AO26" s="607" t="str">
        <f t="shared" si="15"/>
        <v/>
      </c>
      <c r="AP26" s="302">
        <f t="shared" si="3"/>
        <v>96</v>
      </c>
      <c r="AQ26" s="303" t="str">
        <f>IF(AP26&gt;KKM!$G$10,"A",IF(AP26&gt;KKM!$H$10,"B",IF(AP26&gt;=KKM!$I$10,"C","D")))</f>
        <v>A</v>
      </c>
      <c r="AR26" s="304">
        <f t="shared" si="4"/>
        <v>99</v>
      </c>
      <c r="AS26" s="115" t="str">
        <f>IF(AR26&gt;KKM!$G$10," sangat baik ",IF(AR26&gt;KKM!$H$10," baik ",IF(AR26&gt;=KKM!$I$10," cukup baik "," perlu bimbingan ")))</f>
        <v xml:space="preserve"> sangat baik </v>
      </c>
      <c r="AT26" s="305">
        <f t="shared" si="5"/>
        <v>93.625</v>
      </c>
      <c r="AU26" s="115" t="str">
        <f>IF(AT26&gt;KKM!$G$10," sangat baik ",IF(AT26&gt;KKM!$H$10," baik ",IF(AT26&gt;=KKM!$I$10," cukup baik "," perlu bimbingan ")))</f>
        <v xml:space="preserve"> sangat baik </v>
      </c>
      <c r="AV26" s="301" t="str">
        <f t="shared" si="16"/>
        <v>Anak 22 sangat baik  dalam mengenal dan mengidentifikasi benda-benda di dapur dan nama-nama bunga, dan  sangat baik  dalam memahami penggunaan kalimat yang menunjukkan letak suatu tempat</v>
      </c>
      <c r="AW26" s="306"/>
      <c r="AX26" s="307" t="str">
        <f t="shared" si="6"/>
        <v xml:space="preserve"> sangat baik  dalam mengenal dan mengidentifikasi benda-benda di dapur dan nama-nama bunga</v>
      </c>
      <c r="AY26" s="307" t="str">
        <f t="shared" si="7"/>
        <v xml:space="preserve"> sangat baik  dalam memahami penggunaan kalimat yang menunjukkan letak suatu tempat</v>
      </c>
      <c r="AZ26" s="307" t="str">
        <f t="shared" si="17"/>
        <v xml:space="preserve"> sangat baik  dalam mengenal dan mengidentifikasi benda-benda di dapur dan nama-nama bunga, dan  sangat baik  dalam memahami penggunaan kalimat yang menunjukkan letak suatu tempat</v>
      </c>
      <c r="BA26" s="307" t="str">
        <f t="shared" si="18"/>
        <v xml:space="preserve"> </v>
      </c>
      <c r="BB26" s="308" t="str">
        <f t="shared" si="19"/>
        <v xml:space="preserve"> sangat baik  dalam mengenal dan mengidentifikasi benda-benda di dapur dan nama-nama bunga, dan  sangat baik  dalam memahami penggunaan kalimat yang menunjukkan letak suatu tempat</v>
      </c>
      <c r="BC26" s="301" t="str">
        <f t="shared" si="8"/>
        <v>Anak 22 sangat baik  dalam mengenal dan mengidentifikasi benda-benda di dapur dan nama-nama bunga, dan  sangat baik  dalam memahami penggunaan kalimat yang menunjukkan letak suatu tempat</v>
      </c>
      <c r="BD26" s="120"/>
      <c r="BP26" s="302">
        <f t="shared" si="20"/>
        <v>88</v>
      </c>
      <c r="BQ26" s="303" t="str">
        <f>IF(BP26&gt;KKM!$G$10,"A",IF(BP26&gt;KKM!$H$10,"B",IF(BP26&gt;=KKM!$I$10,"C","D")))</f>
        <v>B</v>
      </c>
      <c r="BR26" s="523">
        <f t="shared" si="21"/>
        <v>90</v>
      </c>
      <c r="BS26" s="115" t="str">
        <f>IF(BR26&gt;KKM!$G$10," sangat baik ",IF(BR26&gt;KKM!$H$10," baik ",IF(BR26&gt;=KKM!$I$10," cukup baik "," perlu bimbingan ")))</f>
        <v xml:space="preserve"> baik </v>
      </c>
      <c r="BT26" s="524">
        <f t="shared" si="22"/>
        <v>86.5</v>
      </c>
      <c r="BU26" s="115" t="str">
        <f>IF(BT26&gt;KKM!$G$10," sangat baik ",IF(BT26&gt;KKM!$H$10," baik ",IF(BT26&gt;=KKM!$I$10," cukup baik "," perlu bimbingan ")))</f>
        <v xml:space="preserve"> baik </v>
      </c>
      <c r="BV26" s="301" t="str">
        <f t="shared" si="29"/>
        <v>Anak 22 baik  dalam memahami penggunaan kalimat yang menunjukkan letak suatu tempat, dan  baik  dalam mengenal, memahami dan mengidentifikasi macam-macam kalimat (order, request, and prengenal obyek-obyek wisata dan memahami penggunaan kalimat ungkapan terima kasih</v>
      </c>
      <c r="BW26" s="307" t="str">
        <f t="shared" si="23"/>
        <v xml:space="preserve"> baik  dalam memahami penggunaan kalimat yang menunjukkan letak suatu tempat</v>
      </c>
      <c r="BX26" s="307" t="str">
        <f t="shared" si="24"/>
        <v xml:space="preserve"> baik  dalam mengenal, memahami dan mengidentifikasi macam-macam kalimat (order, request, and prengenal obyek-obyek wisata dan memahami penggunaan kalimat ungkapan terima kasih</v>
      </c>
      <c r="BY26" s="307" t="str">
        <f t="shared" si="25"/>
        <v xml:space="preserve"> baik  dalam memahami penggunaan kalimat yang menunjukkan letak suatu tempat, dan  baik  dalam mengenal, memahami dan mengidentifikasi macam-macam kalimat (order, request, and prengenal obyek-obyek wisata dan memahami penggunaan kalimat ungkapan terima kasih</v>
      </c>
      <c r="BZ26" s="307" t="str">
        <f t="shared" si="26"/>
        <v xml:space="preserve"> </v>
      </c>
      <c r="CA26" s="308" t="str">
        <f t="shared" si="27"/>
        <v xml:space="preserve"> baik  dalam memahami penggunaan kalimat yang menunjukkan letak suatu tempat, dan  baik  dalam mengenal, memahami dan mengidentifikasi macam-macam kalimat (order, request, and prengenal obyek-obyek wisata dan memahami penggunaan kalimat ungkapan terima kasih</v>
      </c>
      <c r="CB26" s="301" t="str">
        <f t="shared" si="28"/>
        <v>Anak 22 baik  dalam memahami penggunaan kalimat yang menunjukkan letak suatu tempat, dan  baik  dalam mengenal, memahami dan mengidentifikasi macam-macam kalimat (order, request, and prengenal obyek-obyek wisata dan memahami penggunaan kalimat ungkapan terima kasih</v>
      </c>
    </row>
    <row r="27" spans="2:80" ht="57" customHeight="1">
      <c r="B27" s="109">
        <v>23</v>
      </c>
      <c r="C27" s="110">
        <f>SISWA!B28</f>
        <v>0</v>
      </c>
      <c r="D27" s="111" t="str">
        <f>SISWA!E28</f>
        <v>Anak 23</v>
      </c>
      <c r="E27" s="631">
        <v>99</v>
      </c>
      <c r="F27" s="631">
        <v>99</v>
      </c>
      <c r="G27" s="631">
        <v>99</v>
      </c>
      <c r="H27" s="631">
        <v>99</v>
      </c>
      <c r="I27" s="613"/>
      <c r="J27" s="613"/>
      <c r="K27" s="613"/>
      <c r="L27" s="731"/>
      <c r="M27" s="731"/>
      <c r="N27" s="731"/>
      <c r="O27" s="731"/>
      <c r="P27" s="613"/>
      <c r="Q27" s="613"/>
      <c r="R27" s="610"/>
      <c r="S27" s="613">
        <v>90</v>
      </c>
      <c r="T27" s="613">
        <v>76.5</v>
      </c>
      <c r="U27" s="609"/>
      <c r="V27" s="609"/>
      <c r="W27" s="609"/>
      <c r="X27" s="609"/>
      <c r="Y27" s="609"/>
      <c r="Z27" s="610"/>
      <c r="AA27" s="613"/>
      <c r="AB27" s="613">
        <v>90</v>
      </c>
      <c r="AC27" s="613">
        <v>76.5</v>
      </c>
      <c r="AD27" s="613"/>
      <c r="AE27" s="613"/>
      <c r="AF27" s="613"/>
      <c r="AG27" s="613" t="str">
        <f>IFERROR(AVERAGE(#REF!),"")</f>
        <v/>
      </c>
      <c r="AH27" s="518"/>
      <c r="AI27" s="607">
        <f t="shared" si="9"/>
        <v>96</v>
      </c>
      <c r="AJ27" s="607">
        <f t="shared" si="10"/>
        <v>91.125</v>
      </c>
      <c r="AK27" s="607">
        <f t="shared" si="11"/>
        <v>91.5</v>
      </c>
      <c r="AL27" s="607">
        <f t="shared" si="12"/>
        <v>99</v>
      </c>
      <c r="AM27" s="607" t="str">
        <f t="shared" si="13"/>
        <v/>
      </c>
      <c r="AN27" s="607" t="str">
        <f t="shared" si="14"/>
        <v/>
      </c>
      <c r="AO27" s="607" t="str">
        <f t="shared" si="15"/>
        <v/>
      </c>
      <c r="AP27" s="302">
        <f t="shared" si="3"/>
        <v>94</v>
      </c>
      <c r="AQ27" s="303" t="str">
        <f>IF(AP27&gt;KKM!$G$10,"A",IF(AP27&gt;KKM!$H$10,"B",IF(AP27&gt;=KKM!$I$10,"C","D")))</f>
        <v>A</v>
      </c>
      <c r="AR27" s="304">
        <f t="shared" si="4"/>
        <v>99</v>
      </c>
      <c r="AS27" s="115" t="str">
        <f>IF(AR27&gt;KKM!$G$10," sangat baik ",IF(AR27&gt;KKM!$H$10," baik ",IF(AR27&gt;=KKM!$I$10," cukup baik "," perlu bimbingan ")))</f>
        <v xml:space="preserve"> sangat baik </v>
      </c>
      <c r="AT27" s="305">
        <f t="shared" si="5"/>
        <v>91.125</v>
      </c>
      <c r="AU27" s="115" t="str">
        <f>IF(AT27&gt;KKM!$G$10," sangat baik ",IF(AT27&gt;KKM!$H$10," baik ",IF(AT27&gt;=KKM!$I$10," cukup baik "," perlu bimbingan ")))</f>
        <v xml:space="preserve"> sangat baik </v>
      </c>
      <c r="AV27" s="301" t="str">
        <f t="shared" si="16"/>
        <v>Anak 23 sangat baik  dalam mengenal dan mengidentifikasi benda-benda di dapur dan nama-nama bunga, dan  sangat baik  dalam memahami penggunaan kalimat yang menunjukkan letak suatu tempat</v>
      </c>
      <c r="AW27" s="306"/>
      <c r="AX27" s="307" t="str">
        <f t="shared" si="6"/>
        <v xml:space="preserve"> sangat baik  dalam mengenal dan mengidentifikasi benda-benda di dapur dan nama-nama bunga</v>
      </c>
      <c r="AY27" s="307" t="str">
        <f t="shared" si="7"/>
        <v xml:space="preserve"> sangat baik  dalam memahami penggunaan kalimat yang menunjukkan letak suatu tempat</v>
      </c>
      <c r="AZ27" s="307" t="str">
        <f t="shared" si="17"/>
        <v xml:space="preserve"> sangat baik  dalam mengenal dan mengidentifikasi benda-benda di dapur dan nama-nama bunga, dan  sangat baik  dalam memahami penggunaan kalimat yang menunjukkan letak suatu tempat</v>
      </c>
      <c r="BA27" s="307" t="str">
        <f t="shared" si="18"/>
        <v xml:space="preserve"> </v>
      </c>
      <c r="BB27" s="308" t="str">
        <f t="shared" si="19"/>
        <v xml:space="preserve"> sangat baik  dalam mengenal dan mengidentifikasi benda-benda di dapur dan nama-nama bunga, dan  sangat baik  dalam memahami penggunaan kalimat yang menunjukkan letak suatu tempat</v>
      </c>
      <c r="BC27" s="301" t="str">
        <f t="shared" si="8"/>
        <v>Anak 23 sangat baik  dalam mengenal dan mengidentifikasi benda-benda di dapur dan nama-nama bunga, dan  sangat baik  dalam memahami penggunaan kalimat yang menunjukkan letak suatu tempat</v>
      </c>
      <c r="BD27" s="120"/>
      <c r="BP27" s="302">
        <f t="shared" si="20"/>
        <v>83</v>
      </c>
      <c r="BQ27" s="303" t="str">
        <f>IF(BP27&gt;KKM!$G$10,"A",IF(BP27&gt;KKM!$H$10,"B",IF(BP27&gt;=KKM!$I$10,"C","D")))</f>
        <v>B</v>
      </c>
      <c r="BR27" s="523">
        <f t="shared" si="21"/>
        <v>90</v>
      </c>
      <c r="BS27" s="115" t="str">
        <f>IF(BR27&gt;KKM!$G$10," sangat baik ",IF(BR27&gt;KKM!$H$10," baik ",IF(BR27&gt;=KKM!$I$10," cukup baik "," perlu bimbingan ")))</f>
        <v xml:space="preserve"> baik </v>
      </c>
      <c r="BT27" s="524">
        <f t="shared" si="22"/>
        <v>76.5</v>
      </c>
      <c r="BU27" s="115" t="str">
        <f>IF(BT27&gt;KKM!$G$10," sangat baik ",IF(BT27&gt;KKM!$H$10," baik ",IF(BT27&gt;=KKM!$I$10," cukup baik "," perlu bimbingan ")))</f>
        <v xml:space="preserve"> cukup baik </v>
      </c>
      <c r="BV27" s="301" t="str">
        <f t="shared" si="29"/>
        <v>Anak 23 baik  dalam mengenal, memahami dan mengidentifikasi macam-macam kalimat (order, request, and prengenal obyek-obyek wisata dan memahami penggunaan kalimat ungkapan terima kasih, dan  cukup baik  dalam memahami penggunaan kalimat yang menunjukkan letak suatu tempat</v>
      </c>
      <c r="BW27" s="307" t="str">
        <f t="shared" si="23"/>
        <v xml:space="preserve"> baik  dalam mengenal, memahami dan mengidentifikasi macam-macam kalimat (order, request, and prengenal obyek-obyek wisata dan memahami penggunaan kalimat ungkapan terima kasih</v>
      </c>
      <c r="BX27" s="307" t="str">
        <f t="shared" si="24"/>
        <v xml:space="preserve"> cukup baik  dalam memahami penggunaan kalimat yang menunjukkan letak suatu tempat</v>
      </c>
      <c r="BY27"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27" s="307" t="str">
        <f t="shared" si="26"/>
        <v xml:space="preserve"> </v>
      </c>
      <c r="CA27"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27" s="301" t="str">
        <f t="shared" si="28"/>
        <v>Anak 23 baik  dalam mengenal, memahami dan mengidentifikasi macam-macam kalimat (order, request, and prengenal obyek-obyek wisata dan memahami penggunaan kalimat ungkapan terima kasih, dan  cukup baik  dalam memahami penggunaan kalimat yang menunjukkan letak suatu tempat</v>
      </c>
    </row>
    <row r="28" spans="2:80" ht="57" customHeight="1">
      <c r="B28" s="109">
        <v>24</v>
      </c>
      <c r="C28" s="110">
        <f>SISWA!B29</f>
        <v>0</v>
      </c>
      <c r="D28" s="111" t="str">
        <f>SISWA!E29</f>
        <v>Anak 24</v>
      </c>
      <c r="E28" s="631">
        <v>99</v>
      </c>
      <c r="F28" s="631">
        <v>99</v>
      </c>
      <c r="G28" s="631">
        <v>99</v>
      </c>
      <c r="H28" s="631">
        <v>99</v>
      </c>
      <c r="I28" s="613"/>
      <c r="J28" s="613"/>
      <c r="K28" s="613"/>
      <c r="L28" s="731"/>
      <c r="M28" s="731"/>
      <c r="N28" s="731"/>
      <c r="O28" s="731"/>
      <c r="P28" s="613"/>
      <c r="Q28" s="613"/>
      <c r="R28" s="610"/>
      <c r="S28" s="613">
        <v>76.5</v>
      </c>
      <c r="T28" s="613">
        <v>83</v>
      </c>
      <c r="U28" s="609"/>
      <c r="V28" s="609"/>
      <c r="W28" s="609"/>
      <c r="X28" s="609"/>
      <c r="Y28" s="609"/>
      <c r="Z28" s="610"/>
      <c r="AA28" s="613"/>
      <c r="AB28" s="613">
        <v>76.5</v>
      </c>
      <c r="AC28" s="613">
        <v>83</v>
      </c>
      <c r="AD28" s="613"/>
      <c r="AE28" s="613"/>
      <c r="AF28" s="613"/>
      <c r="AG28" s="613" t="str">
        <f>IFERROR(AVERAGE(#REF!),"")</f>
        <v/>
      </c>
      <c r="AH28" s="518"/>
      <c r="AI28" s="607">
        <f t="shared" si="9"/>
        <v>91.5</v>
      </c>
      <c r="AJ28" s="607">
        <f t="shared" si="10"/>
        <v>89.375</v>
      </c>
      <c r="AK28" s="607">
        <f t="shared" si="11"/>
        <v>93.666666666666671</v>
      </c>
      <c r="AL28" s="607">
        <f t="shared" si="12"/>
        <v>99</v>
      </c>
      <c r="AM28" s="607" t="str">
        <f t="shared" si="13"/>
        <v/>
      </c>
      <c r="AN28" s="607" t="str">
        <f t="shared" si="14"/>
        <v/>
      </c>
      <c r="AO28" s="607" t="str">
        <f t="shared" si="15"/>
        <v/>
      </c>
      <c r="AP28" s="302">
        <f t="shared" si="3"/>
        <v>93</v>
      </c>
      <c r="AQ28" s="303" t="str">
        <f>IF(AP28&gt;KKM!$G$10,"A",IF(AP28&gt;KKM!$H$10,"B",IF(AP28&gt;=KKM!$I$10,"C","D")))</f>
        <v>A</v>
      </c>
      <c r="AR28" s="304">
        <f t="shared" si="4"/>
        <v>99</v>
      </c>
      <c r="AS28" s="115" t="str">
        <f>IF(AR28&gt;KKM!$G$10," sangat baik ",IF(AR28&gt;KKM!$H$10," baik ",IF(AR28&gt;=KKM!$I$10," cukup baik "," perlu bimbingan ")))</f>
        <v xml:space="preserve"> sangat baik </v>
      </c>
      <c r="AT28" s="305">
        <f t="shared" si="5"/>
        <v>89.375</v>
      </c>
      <c r="AU28" s="115" t="str">
        <f>IF(AT28&gt;KKM!$G$10," sangat baik ",IF(AT28&gt;KKM!$H$10," baik ",IF(AT28&gt;=KKM!$I$10," cukup baik "," perlu bimbingan ")))</f>
        <v xml:space="preserve"> baik </v>
      </c>
      <c r="AV28" s="301" t="str">
        <f t="shared" si="16"/>
        <v>Anak 24 sangat baik  dalam mengenal dan mengidentifikasi benda-benda di dapur dan nama-nama bunga, dan  baik  dalam memahami penggunaan kalimat yang menunjukkan letak suatu tempat</v>
      </c>
      <c r="AW28" s="306"/>
      <c r="AX28" s="307" t="str">
        <f t="shared" si="6"/>
        <v xml:space="preserve"> sangat baik  dalam mengenal dan mengidentifikasi benda-benda di dapur dan nama-nama bunga</v>
      </c>
      <c r="AY28" s="307" t="str">
        <f t="shared" si="7"/>
        <v xml:space="preserve"> baik  dalam memahami penggunaan kalimat yang menunjukkan letak suatu tempat</v>
      </c>
      <c r="AZ28" s="307" t="str">
        <f t="shared" si="17"/>
        <v xml:space="preserve"> sangat baik  dalam mengenal dan mengidentifikasi benda-benda di dapur dan nama-nama bunga, dan  baik  dalam memahami penggunaan kalimat yang menunjukkan letak suatu tempat</v>
      </c>
      <c r="BA28" s="307" t="str">
        <f t="shared" si="18"/>
        <v xml:space="preserve"> </v>
      </c>
      <c r="BB28" s="308" t="str">
        <f t="shared" si="19"/>
        <v xml:space="preserve"> sangat baik  dalam mengenal dan mengidentifikasi benda-benda di dapur dan nama-nama bunga, dan  baik  dalam memahami penggunaan kalimat yang menunjukkan letak suatu tempat</v>
      </c>
      <c r="BC28" s="301" t="str">
        <f t="shared" si="8"/>
        <v>Anak 24 sangat baik  dalam mengenal dan mengidentifikasi benda-benda di dapur dan nama-nama bunga, dan  baik  dalam memahami penggunaan kalimat yang menunjukkan letak suatu tempat</v>
      </c>
      <c r="BD28" s="120"/>
      <c r="BP28" s="302">
        <f t="shared" si="20"/>
        <v>80</v>
      </c>
      <c r="BQ28" s="303" t="str">
        <f>IF(BP28&gt;KKM!$G$10,"A",IF(BP28&gt;KKM!$H$10,"B",IF(BP28&gt;=KKM!$I$10,"C","D")))</f>
        <v>C</v>
      </c>
      <c r="BR28" s="523">
        <f t="shared" si="21"/>
        <v>83</v>
      </c>
      <c r="BS28" s="115" t="str">
        <f>IF(BR28&gt;KKM!$G$10," sangat baik ",IF(BR28&gt;KKM!$H$10," baik ",IF(BR28&gt;=KKM!$I$10," cukup baik "," perlu bimbingan ")))</f>
        <v xml:space="preserve"> baik </v>
      </c>
      <c r="BT28" s="524">
        <f t="shared" si="22"/>
        <v>76.5</v>
      </c>
      <c r="BU28" s="115" t="str">
        <f>IF(BT28&gt;KKM!$G$10," sangat baik ",IF(BT28&gt;KKM!$H$10," baik ",IF(BT28&gt;=KKM!$I$10," cukup baik "," perlu bimbingan ")))</f>
        <v xml:space="preserve"> cukup baik </v>
      </c>
      <c r="BV28" s="301" t="str">
        <f t="shared" si="29"/>
        <v>Anak 24 baik  dalam memahami penggunaan kalimat yang menunjukkan letak suatu tempat, dan  cukup baik  dalam mengenal, memahami dan mengidentifikasi macam-macam kalimat (order, request, and prengenal obyek-obyek wisata dan memahami penggunaan kalimat ungkapan terima kasih</v>
      </c>
      <c r="BW28" s="307" t="str">
        <f t="shared" si="23"/>
        <v xml:space="preserve"> baik  dalam memahami penggunaan kalimat yang menunjukkan letak suatu tempat</v>
      </c>
      <c r="BX28" s="307" t="str">
        <f t="shared" si="24"/>
        <v xml:space="preserve"> cukup baik  dalam mengenal, memahami dan mengidentifikasi macam-macam kalimat (order, request, and prengenal obyek-obyek wisata dan memahami penggunaan kalimat ungkapan terima kasih</v>
      </c>
      <c r="BY28"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28" s="307" t="str">
        <f t="shared" si="26"/>
        <v xml:space="preserve"> </v>
      </c>
      <c r="CA28"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28" s="301" t="str">
        <f t="shared" si="28"/>
        <v>Anak 24 baik  dalam memahami penggunaan kalimat yang menunjukkan letak suatu tempat, dan  cukup baik  dalam mengenal, memahami dan mengidentifikasi macam-macam kalimat (order, request, and prengenal obyek-obyek wisata dan memahami penggunaan kalimat ungkapan terima kasih</v>
      </c>
    </row>
    <row r="29" spans="2:80" ht="57" customHeight="1">
      <c r="B29" s="109">
        <v>25</v>
      </c>
      <c r="C29" s="110">
        <f>SISWA!B30</f>
        <v>0</v>
      </c>
      <c r="D29" s="111" t="str">
        <f>SISWA!E30</f>
        <v>Anak 25</v>
      </c>
      <c r="E29" s="631">
        <v>99</v>
      </c>
      <c r="F29" s="631">
        <v>99</v>
      </c>
      <c r="G29" s="631">
        <v>99</v>
      </c>
      <c r="H29" s="631">
        <v>99</v>
      </c>
      <c r="I29" s="613"/>
      <c r="J29" s="613"/>
      <c r="K29" s="613"/>
      <c r="L29" s="731"/>
      <c r="M29" s="731"/>
      <c r="N29" s="731"/>
      <c r="O29" s="731"/>
      <c r="P29" s="613"/>
      <c r="Q29" s="613"/>
      <c r="R29" s="610"/>
      <c r="S29" s="613">
        <v>83</v>
      </c>
      <c r="T29" s="613">
        <v>74.5</v>
      </c>
      <c r="U29" s="609"/>
      <c r="V29" s="609"/>
      <c r="W29" s="609"/>
      <c r="X29" s="609"/>
      <c r="Y29" s="609"/>
      <c r="Z29" s="610"/>
      <c r="AA29" s="613"/>
      <c r="AB29" s="613">
        <v>83</v>
      </c>
      <c r="AC29" s="613">
        <v>74.5</v>
      </c>
      <c r="AD29" s="613"/>
      <c r="AE29" s="613"/>
      <c r="AF29" s="613"/>
      <c r="AG29" s="613" t="str">
        <f>IFERROR(AVERAGE(#REF!),"")</f>
        <v/>
      </c>
      <c r="AH29" s="518"/>
      <c r="AI29" s="607">
        <f t="shared" si="9"/>
        <v>93.666666666666671</v>
      </c>
      <c r="AJ29" s="607">
        <f t="shared" si="10"/>
        <v>88.875</v>
      </c>
      <c r="AK29" s="607">
        <f t="shared" si="11"/>
        <v>90.833333333333329</v>
      </c>
      <c r="AL29" s="607">
        <f t="shared" si="12"/>
        <v>99</v>
      </c>
      <c r="AM29" s="607" t="str">
        <f t="shared" si="13"/>
        <v/>
      </c>
      <c r="AN29" s="607" t="str">
        <f t="shared" si="14"/>
        <v/>
      </c>
      <c r="AO29" s="607" t="str">
        <f t="shared" si="15"/>
        <v/>
      </c>
      <c r="AP29" s="302">
        <f t="shared" si="3"/>
        <v>93</v>
      </c>
      <c r="AQ29" s="303" t="str">
        <f>IF(AP29&gt;KKM!$G$10,"A",IF(AP29&gt;KKM!$H$10,"B",IF(AP29&gt;=KKM!$I$10,"C","D")))</f>
        <v>A</v>
      </c>
      <c r="AR29" s="304">
        <f t="shared" si="4"/>
        <v>99</v>
      </c>
      <c r="AS29" s="115" t="str">
        <f>IF(AR29&gt;KKM!$G$10," sangat baik ",IF(AR29&gt;KKM!$H$10," baik ",IF(AR29&gt;=KKM!$I$10," cukup baik "," perlu bimbingan ")))</f>
        <v xml:space="preserve"> sangat baik </v>
      </c>
      <c r="AT29" s="305">
        <f t="shared" si="5"/>
        <v>88.875</v>
      </c>
      <c r="AU29" s="115" t="str">
        <f>IF(AT29&gt;KKM!$G$10," sangat baik ",IF(AT29&gt;KKM!$H$10," baik ",IF(AT29&gt;=KKM!$I$10," cukup baik "," perlu bimbingan ")))</f>
        <v xml:space="preserve"> baik </v>
      </c>
      <c r="AV29" s="301" t="str">
        <f t="shared" si="16"/>
        <v>Anak 25 sangat baik  dalam mengenal dan mengidentifikasi benda-benda di dapur dan nama-nama bunga, dan  baik  dalam memahami penggunaan kalimat yang menunjukkan letak suatu tempat</v>
      </c>
      <c r="AW29" s="306"/>
      <c r="AX29" s="307" t="str">
        <f t="shared" si="6"/>
        <v xml:space="preserve"> sangat baik  dalam mengenal dan mengidentifikasi benda-benda di dapur dan nama-nama bunga</v>
      </c>
      <c r="AY29" s="307" t="str">
        <f t="shared" si="7"/>
        <v xml:space="preserve"> baik  dalam memahami penggunaan kalimat yang menunjukkan letak suatu tempat</v>
      </c>
      <c r="AZ29" s="307" t="str">
        <f t="shared" si="17"/>
        <v xml:space="preserve"> sangat baik  dalam mengenal dan mengidentifikasi benda-benda di dapur dan nama-nama bunga, dan  baik  dalam memahami penggunaan kalimat yang menunjukkan letak suatu tempat</v>
      </c>
      <c r="BA29" s="307" t="str">
        <f t="shared" si="18"/>
        <v xml:space="preserve"> </v>
      </c>
      <c r="BB29" s="308" t="str">
        <f t="shared" si="19"/>
        <v xml:space="preserve"> sangat baik  dalam mengenal dan mengidentifikasi benda-benda di dapur dan nama-nama bunga, dan  baik  dalam memahami penggunaan kalimat yang menunjukkan letak suatu tempat</v>
      </c>
      <c r="BC29" s="301" t="str">
        <f t="shared" si="8"/>
        <v>Anak 25 sangat baik  dalam mengenal dan mengidentifikasi benda-benda di dapur dan nama-nama bunga, dan  baik  dalam memahami penggunaan kalimat yang menunjukkan letak suatu tempat</v>
      </c>
      <c r="BD29" s="120"/>
      <c r="BP29" s="302">
        <f t="shared" si="20"/>
        <v>79</v>
      </c>
      <c r="BQ29" s="303" t="str">
        <f>IF(BP29&gt;KKM!$G$10,"A",IF(BP29&gt;KKM!$H$10,"B",IF(BP29&gt;=KKM!$I$10,"C","D")))</f>
        <v>C</v>
      </c>
      <c r="BR29" s="523">
        <f t="shared" si="21"/>
        <v>83</v>
      </c>
      <c r="BS29" s="115" t="str">
        <f>IF(BR29&gt;KKM!$G$10," sangat baik ",IF(BR29&gt;KKM!$H$10," baik ",IF(BR29&gt;=KKM!$I$10," cukup baik "," perlu bimbingan ")))</f>
        <v xml:space="preserve"> baik </v>
      </c>
      <c r="BT29" s="524">
        <f t="shared" si="22"/>
        <v>74.5</v>
      </c>
      <c r="BU29" s="115" t="str">
        <f>IF(BT29&gt;KKM!$G$10," sangat baik ",IF(BT29&gt;KKM!$H$10," baik ",IF(BT29&gt;=KKM!$I$10," cukup baik "," perlu bimbingan ")))</f>
        <v xml:space="preserve"> cukup baik </v>
      </c>
      <c r="BV29" s="301" t="str">
        <f t="shared" si="29"/>
        <v>Anak 25 baik  dalam mengenal, memahami dan mengidentifikasi macam-macam kalimat (order, request, and prengenal obyek-obyek wisata dan memahami penggunaan kalimat ungkapan terima kasih, dan  cukup baik  dalam memahami penggunaan kalimat yang menunjukkan letak suatu tempat</v>
      </c>
      <c r="BW29" s="307" t="str">
        <f t="shared" si="23"/>
        <v xml:space="preserve"> baik  dalam mengenal, memahami dan mengidentifikasi macam-macam kalimat (order, request, and prengenal obyek-obyek wisata dan memahami penggunaan kalimat ungkapan terima kasih</v>
      </c>
      <c r="BX29" s="307" t="str">
        <f t="shared" si="24"/>
        <v xml:space="preserve"> cukup baik  dalam memahami penggunaan kalimat yang menunjukkan letak suatu tempat</v>
      </c>
      <c r="BY29"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29" s="307" t="str">
        <f t="shared" si="26"/>
        <v xml:space="preserve"> </v>
      </c>
      <c r="CA29"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29" s="301" t="str">
        <f t="shared" si="28"/>
        <v>Anak 25 baik  dalam mengenal, memahami dan mengidentifikasi macam-macam kalimat (order, request, and prengenal obyek-obyek wisata dan memahami penggunaan kalimat ungkapan terima kasih, dan  cukup baik  dalam memahami penggunaan kalimat yang menunjukkan letak suatu tempat</v>
      </c>
    </row>
    <row r="30" spans="2:80" ht="57" customHeight="1">
      <c r="B30" s="109">
        <v>26</v>
      </c>
      <c r="C30" s="110">
        <f>SISWA!B31</f>
        <v>0</v>
      </c>
      <c r="D30" s="111" t="str">
        <f>SISWA!E31</f>
        <v>Anak 26</v>
      </c>
      <c r="E30" s="631">
        <v>99</v>
      </c>
      <c r="F30" s="631">
        <v>99</v>
      </c>
      <c r="G30" s="631">
        <v>99</v>
      </c>
      <c r="H30" s="631">
        <v>99</v>
      </c>
      <c r="I30" s="613"/>
      <c r="J30" s="613"/>
      <c r="K30" s="613"/>
      <c r="L30" s="731"/>
      <c r="M30" s="731"/>
      <c r="N30" s="731"/>
      <c r="O30" s="731"/>
      <c r="P30" s="613"/>
      <c r="Q30" s="613"/>
      <c r="R30" s="610"/>
      <c r="S30" s="613">
        <v>74.5</v>
      </c>
      <c r="T30" s="613">
        <v>74.5</v>
      </c>
      <c r="U30" s="609"/>
      <c r="V30" s="609"/>
      <c r="W30" s="609"/>
      <c r="X30" s="609"/>
      <c r="Y30" s="609"/>
      <c r="Z30" s="610"/>
      <c r="AA30" s="613"/>
      <c r="AB30" s="613">
        <v>74.5</v>
      </c>
      <c r="AC30" s="613">
        <v>74.5</v>
      </c>
      <c r="AD30" s="613"/>
      <c r="AE30" s="613"/>
      <c r="AF30" s="613"/>
      <c r="AG30" s="613" t="str">
        <f>IFERROR(AVERAGE(#REF!),"")</f>
        <v/>
      </c>
      <c r="AH30" s="518"/>
      <c r="AI30" s="607">
        <f t="shared" si="9"/>
        <v>90.833333333333329</v>
      </c>
      <c r="AJ30" s="607">
        <f t="shared" si="10"/>
        <v>86.75</v>
      </c>
      <c r="AK30" s="607">
        <f t="shared" si="11"/>
        <v>90.833333333333329</v>
      </c>
      <c r="AL30" s="607">
        <f t="shared" si="12"/>
        <v>99</v>
      </c>
      <c r="AM30" s="607" t="str">
        <f t="shared" si="13"/>
        <v/>
      </c>
      <c r="AN30" s="607" t="str">
        <f t="shared" si="14"/>
        <v/>
      </c>
      <c r="AO30" s="607" t="str">
        <f t="shared" si="15"/>
        <v/>
      </c>
      <c r="AP30" s="302">
        <f t="shared" si="3"/>
        <v>92</v>
      </c>
      <c r="AQ30" s="303" t="str">
        <f>IF(AP30&gt;KKM!$G$10,"A",IF(AP30&gt;KKM!$H$10,"B",IF(AP30&gt;=KKM!$I$10,"C","D")))</f>
        <v>A</v>
      </c>
      <c r="AR30" s="304">
        <f t="shared" si="4"/>
        <v>99</v>
      </c>
      <c r="AS30" s="115" t="str">
        <f>IF(AR30&gt;KKM!$G$10," sangat baik ",IF(AR30&gt;KKM!$H$10," baik ",IF(AR30&gt;=KKM!$I$10," cukup baik "," perlu bimbingan ")))</f>
        <v xml:space="preserve"> sangat baik </v>
      </c>
      <c r="AT30" s="305">
        <f t="shared" si="5"/>
        <v>86.75</v>
      </c>
      <c r="AU30" s="115" t="str">
        <f>IF(AT30&gt;KKM!$G$10," sangat baik ",IF(AT30&gt;KKM!$H$10," baik ",IF(AT30&gt;=KKM!$I$10," cukup baik "," perlu bimbingan ")))</f>
        <v xml:space="preserve"> baik </v>
      </c>
      <c r="AV30" s="301" t="str">
        <f t="shared" si="16"/>
        <v>Anak 26 sangat baik  dalam mengenal dan mengidentifikasi benda-benda di dapur dan nama-nama bunga, dan  baik  dalam memahami penggunaan kalimat yang menunjukkan letak suatu tempat</v>
      </c>
      <c r="AW30" s="306"/>
      <c r="AX30" s="307" t="str">
        <f t="shared" si="6"/>
        <v xml:space="preserve"> sangat baik  dalam mengenal dan mengidentifikasi benda-benda di dapur dan nama-nama bunga</v>
      </c>
      <c r="AY30" s="307" t="str">
        <f t="shared" si="7"/>
        <v xml:space="preserve"> baik  dalam memahami penggunaan kalimat yang menunjukkan letak suatu tempat</v>
      </c>
      <c r="AZ30" s="307" t="str">
        <f t="shared" si="17"/>
        <v xml:space="preserve"> sangat baik  dalam mengenal dan mengidentifikasi benda-benda di dapur dan nama-nama bunga, dan  baik  dalam memahami penggunaan kalimat yang menunjukkan letak suatu tempat</v>
      </c>
      <c r="BA30" s="307" t="str">
        <f t="shared" si="18"/>
        <v xml:space="preserve"> </v>
      </c>
      <c r="BB30" s="308" t="str">
        <f t="shared" si="19"/>
        <v xml:space="preserve"> sangat baik  dalam mengenal dan mengidentifikasi benda-benda di dapur dan nama-nama bunga, dan  baik  dalam memahami penggunaan kalimat yang menunjukkan letak suatu tempat</v>
      </c>
      <c r="BC30" s="301" t="str">
        <f t="shared" si="8"/>
        <v>Anak 26 sangat baik  dalam mengenal dan mengidentifikasi benda-benda di dapur dan nama-nama bunga, dan  baik  dalam memahami penggunaan kalimat yang menunjukkan letak suatu tempat</v>
      </c>
      <c r="BD30" s="120"/>
      <c r="BP30" s="302">
        <f t="shared" si="20"/>
        <v>75</v>
      </c>
      <c r="BQ30" s="303" t="str">
        <f>IF(BP30&gt;KKM!$G$10,"A",IF(BP30&gt;KKM!$H$10,"B",IF(BP30&gt;=KKM!$I$10,"C","D")))</f>
        <v>C</v>
      </c>
      <c r="BR30" s="523">
        <f t="shared" si="21"/>
        <v>74.5</v>
      </c>
      <c r="BS30" s="115" t="str">
        <f>IF(BR30&gt;KKM!$G$10," sangat baik ",IF(BR30&gt;KKM!$H$10," baik ",IF(BR30&gt;=KKM!$I$10," cukup baik "," perlu bimbingan ")))</f>
        <v xml:space="preserve"> cukup baik </v>
      </c>
      <c r="BT30" s="524">
        <f t="shared" si="22"/>
        <v>74.5</v>
      </c>
      <c r="BU30" s="115" t="str">
        <f>IF(BT30&gt;KKM!$G$10," sangat baik ",IF(BT30&gt;KKM!$H$10," baik ",IF(BT30&gt;=KKM!$I$10," cukup baik "," perlu bimbingan ")))</f>
        <v xml:space="preserve"> cukup baik </v>
      </c>
      <c r="BV30" s="301" t="str">
        <f t="shared" si="29"/>
        <v>Anak 26 cukup baik  dalam mengenal, memahami dan mengidentifikasi macam-macam kalimat (order, request, and prengenal obyek-obyek wisata dan memahami penggunaan kalimat ungkapan terima kasih</v>
      </c>
      <c r="BW30" s="307" t="str">
        <f t="shared" si="23"/>
        <v xml:space="preserve"> cukup baik  dalam mengenal, memahami dan mengidentifikasi macam-macam kalimat (order, request, and prengenal obyek-obyek wisata dan memahami penggunaan kalimat ungkapan terima kasih</v>
      </c>
      <c r="BX30" s="307" t="str">
        <f t="shared" si="24"/>
        <v xml:space="preserve"> cukup baik  dalam mengenal, memahami dan mengidentifikasi macam-macam kalimat (order, request, and prengenal obyek-obyek wisata dan memahami penggunaan kalimat ungkapan terima kasih</v>
      </c>
      <c r="BY30" s="307" t="str">
        <f t="shared" si="25"/>
        <v xml:space="preserve"> cukup baik  dalam mengenal, memahami dan mengidentifikasi macam-macam kalimat (order, request, and prengenal obyek-obyek wisata dan memahami penggunaan kalimat ungkapan terima kasih, dan  cukup baik  dalam mengenal, memahami dan mengidentifikasi macam-macam kalimat (order, request, and prengenal obyek-obyek wisata dan memahami penggunaan kalimat ungkapan terima kasih</v>
      </c>
      <c r="BZ30" s="307" t="str">
        <f t="shared" si="26"/>
        <v xml:space="preserve"> cukup baik  dalam mengenal, memahami dan mengidentifikasi macam-macam kalimat (order, request, and prengenal obyek-obyek wisata dan memahami penggunaan kalimat ungkapan terima kasih</v>
      </c>
      <c r="CA30" s="308" t="str">
        <f t="shared" si="27"/>
        <v xml:space="preserve"> cukup baik  dalam mengenal, memahami dan mengidentifikasi macam-macam kalimat (order, request, and prengenal obyek-obyek wisata dan memahami penggunaan kalimat ungkapan terima kasih</v>
      </c>
      <c r="CB30" s="301" t="str">
        <f t="shared" si="28"/>
        <v>Anak 26 cukup baik  dalam mengenal, memahami dan mengidentifikasi macam-macam kalimat (order, request, and prengenal obyek-obyek wisata dan memahami penggunaan kalimat ungkapan terima kasih</v>
      </c>
    </row>
    <row r="31" spans="2:80" ht="57" customHeight="1">
      <c r="B31" s="109">
        <v>27</v>
      </c>
      <c r="C31" s="110">
        <f>SISWA!B32</f>
        <v>0</v>
      </c>
      <c r="D31" s="111" t="str">
        <f>SISWA!E32</f>
        <v>Anak 27</v>
      </c>
      <c r="E31" s="631">
        <v>99</v>
      </c>
      <c r="F31" s="631">
        <v>99</v>
      </c>
      <c r="G31" s="631">
        <v>99</v>
      </c>
      <c r="H31" s="631">
        <v>99</v>
      </c>
      <c r="I31" s="613"/>
      <c r="J31" s="613"/>
      <c r="K31" s="613"/>
      <c r="L31" s="731"/>
      <c r="M31" s="731"/>
      <c r="N31" s="731"/>
      <c r="O31" s="731"/>
      <c r="P31" s="613"/>
      <c r="Q31" s="613"/>
      <c r="R31" s="610"/>
      <c r="S31" s="613">
        <v>74.5</v>
      </c>
      <c r="T31" s="613">
        <v>74.5</v>
      </c>
      <c r="U31" s="609"/>
      <c r="V31" s="609"/>
      <c r="W31" s="609"/>
      <c r="X31" s="609"/>
      <c r="Y31" s="609"/>
      <c r="Z31" s="610"/>
      <c r="AA31" s="613"/>
      <c r="AB31" s="613">
        <v>74.5</v>
      </c>
      <c r="AC31" s="613">
        <v>74.5</v>
      </c>
      <c r="AD31" s="613"/>
      <c r="AE31" s="613"/>
      <c r="AF31" s="613"/>
      <c r="AG31" s="613" t="str">
        <f>IFERROR(AVERAGE(#REF!),"")</f>
        <v/>
      </c>
      <c r="AH31" s="518"/>
      <c r="AI31" s="607">
        <f t="shared" si="9"/>
        <v>90.833333333333329</v>
      </c>
      <c r="AJ31" s="607">
        <f t="shared" si="10"/>
        <v>86.75</v>
      </c>
      <c r="AK31" s="607">
        <f t="shared" si="11"/>
        <v>90.833333333333329</v>
      </c>
      <c r="AL31" s="607">
        <f t="shared" si="12"/>
        <v>99</v>
      </c>
      <c r="AM31" s="607" t="str">
        <f t="shared" si="13"/>
        <v/>
      </c>
      <c r="AN31" s="607" t="str">
        <f t="shared" si="14"/>
        <v/>
      </c>
      <c r="AO31" s="607" t="str">
        <f t="shared" si="15"/>
        <v/>
      </c>
      <c r="AP31" s="302">
        <f t="shared" si="3"/>
        <v>92</v>
      </c>
      <c r="AQ31" s="303" t="str">
        <f>IF(AP31&gt;KKM!$G$10,"A",IF(AP31&gt;KKM!$H$10,"B",IF(AP31&gt;=KKM!$I$10,"C","D")))</f>
        <v>A</v>
      </c>
      <c r="AR31" s="304">
        <f t="shared" si="4"/>
        <v>99</v>
      </c>
      <c r="AS31" s="115" t="str">
        <f>IF(AR31&gt;KKM!$G$10," sangat baik ",IF(AR31&gt;KKM!$H$10," baik ",IF(AR31&gt;=KKM!$I$10," cukup baik "," perlu bimbingan ")))</f>
        <v xml:space="preserve"> sangat baik </v>
      </c>
      <c r="AT31" s="305">
        <f t="shared" si="5"/>
        <v>86.75</v>
      </c>
      <c r="AU31" s="115" t="str">
        <f>IF(AT31&gt;KKM!$G$10," sangat baik ",IF(AT31&gt;KKM!$H$10," baik ",IF(AT31&gt;=KKM!$I$10," cukup baik "," perlu bimbingan ")))</f>
        <v xml:space="preserve"> baik </v>
      </c>
      <c r="AV31" s="301" t="str">
        <f t="shared" si="16"/>
        <v>Anak 27 sangat baik  dalam mengenal dan mengidentifikasi benda-benda di dapur dan nama-nama bunga, dan  baik  dalam memahami penggunaan kalimat yang menunjukkan letak suatu tempat</v>
      </c>
      <c r="AW31" s="306"/>
      <c r="AX31" s="307" t="str">
        <f t="shared" si="6"/>
        <v xml:space="preserve"> sangat baik  dalam mengenal dan mengidentifikasi benda-benda di dapur dan nama-nama bunga</v>
      </c>
      <c r="AY31" s="307" t="str">
        <f t="shared" si="7"/>
        <v xml:space="preserve"> baik  dalam memahami penggunaan kalimat yang menunjukkan letak suatu tempat</v>
      </c>
      <c r="AZ31" s="307" t="str">
        <f t="shared" si="17"/>
        <v xml:space="preserve"> sangat baik  dalam mengenal dan mengidentifikasi benda-benda di dapur dan nama-nama bunga, dan  baik  dalam memahami penggunaan kalimat yang menunjukkan letak suatu tempat</v>
      </c>
      <c r="BA31" s="307" t="str">
        <f t="shared" si="18"/>
        <v xml:space="preserve"> </v>
      </c>
      <c r="BB31" s="308" t="str">
        <f t="shared" si="19"/>
        <v xml:space="preserve"> sangat baik  dalam mengenal dan mengidentifikasi benda-benda di dapur dan nama-nama bunga, dan  baik  dalam memahami penggunaan kalimat yang menunjukkan letak suatu tempat</v>
      </c>
      <c r="BC31" s="301" t="str">
        <f t="shared" si="8"/>
        <v>Anak 27 sangat baik  dalam mengenal dan mengidentifikasi benda-benda di dapur dan nama-nama bunga, dan  baik  dalam memahami penggunaan kalimat yang menunjukkan letak suatu tempat</v>
      </c>
      <c r="BD31" s="120"/>
      <c r="BP31" s="302">
        <f t="shared" si="20"/>
        <v>75</v>
      </c>
      <c r="BQ31" s="303" t="str">
        <f>IF(BP31&gt;KKM!$G$10,"A",IF(BP31&gt;KKM!$H$10,"B",IF(BP31&gt;=KKM!$I$10,"C","D")))</f>
        <v>C</v>
      </c>
      <c r="BR31" s="523">
        <f t="shared" si="21"/>
        <v>74.5</v>
      </c>
      <c r="BS31" s="115" t="str">
        <f>IF(BR31&gt;KKM!$G$10," sangat baik ",IF(BR31&gt;KKM!$H$10," baik ",IF(BR31&gt;=KKM!$I$10," cukup baik "," perlu bimbingan ")))</f>
        <v xml:space="preserve"> cukup baik </v>
      </c>
      <c r="BT31" s="524">
        <f t="shared" si="22"/>
        <v>74.5</v>
      </c>
      <c r="BU31" s="115" t="str">
        <f>IF(BT31&gt;KKM!$G$10," sangat baik ",IF(BT31&gt;KKM!$H$10," baik ",IF(BT31&gt;=KKM!$I$10," cukup baik "," perlu bimbingan ")))</f>
        <v xml:space="preserve"> cukup baik </v>
      </c>
      <c r="BV31" s="301" t="str">
        <f t="shared" si="29"/>
        <v>Anak 27 cukup baik  dalam mengenal, memahami dan mengidentifikasi macam-macam kalimat (order, request, and prengenal obyek-obyek wisata dan memahami penggunaan kalimat ungkapan terima kasih</v>
      </c>
      <c r="BW31" s="307" t="str">
        <f t="shared" si="23"/>
        <v xml:space="preserve"> cukup baik  dalam mengenal, memahami dan mengidentifikasi macam-macam kalimat (order, request, and prengenal obyek-obyek wisata dan memahami penggunaan kalimat ungkapan terima kasih</v>
      </c>
      <c r="BX31" s="307" t="str">
        <f t="shared" si="24"/>
        <v xml:space="preserve"> cukup baik  dalam mengenal, memahami dan mengidentifikasi macam-macam kalimat (order, request, and prengenal obyek-obyek wisata dan memahami penggunaan kalimat ungkapan terima kasih</v>
      </c>
      <c r="BY31" s="307" t="str">
        <f t="shared" si="25"/>
        <v xml:space="preserve"> cukup baik  dalam mengenal, memahami dan mengidentifikasi macam-macam kalimat (order, request, and prengenal obyek-obyek wisata dan memahami penggunaan kalimat ungkapan terima kasih, dan  cukup baik  dalam mengenal, memahami dan mengidentifikasi macam-macam kalimat (order, request, and prengenal obyek-obyek wisata dan memahami penggunaan kalimat ungkapan terima kasih</v>
      </c>
      <c r="BZ31" s="307" t="str">
        <f t="shared" si="26"/>
        <v xml:space="preserve"> cukup baik  dalam mengenal, memahami dan mengidentifikasi macam-macam kalimat (order, request, and prengenal obyek-obyek wisata dan memahami penggunaan kalimat ungkapan terima kasih</v>
      </c>
      <c r="CA31" s="308" t="str">
        <f t="shared" si="27"/>
        <v xml:space="preserve"> cukup baik  dalam mengenal, memahami dan mengidentifikasi macam-macam kalimat (order, request, and prengenal obyek-obyek wisata dan memahami penggunaan kalimat ungkapan terima kasih</v>
      </c>
      <c r="CB31" s="301" t="str">
        <f t="shared" si="28"/>
        <v>Anak 27 cukup baik  dalam mengenal, memahami dan mengidentifikasi macam-macam kalimat (order, request, and prengenal obyek-obyek wisata dan memahami penggunaan kalimat ungkapan terima kasih</v>
      </c>
    </row>
    <row r="32" spans="2:80" ht="57" customHeight="1">
      <c r="B32" s="109">
        <v>28</v>
      </c>
      <c r="C32" s="110">
        <f>SISWA!B33</f>
        <v>0</v>
      </c>
      <c r="D32" s="111" t="str">
        <f>SISWA!E33</f>
        <v>Anak 28</v>
      </c>
      <c r="E32" s="631">
        <v>99</v>
      </c>
      <c r="F32" s="631">
        <v>99</v>
      </c>
      <c r="G32" s="631">
        <v>99</v>
      </c>
      <c r="H32" s="631">
        <v>99</v>
      </c>
      <c r="I32" s="613"/>
      <c r="J32" s="613"/>
      <c r="K32" s="613"/>
      <c r="L32" s="731"/>
      <c r="M32" s="731"/>
      <c r="N32" s="731"/>
      <c r="O32" s="731"/>
      <c r="P32" s="613"/>
      <c r="Q32" s="613"/>
      <c r="R32" s="610"/>
      <c r="S32" s="613">
        <v>74.5</v>
      </c>
      <c r="T32" s="613">
        <v>84</v>
      </c>
      <c r="U32" s="609"/>
      <c r="V32" s="609"/>
      <c r="W32" s="609"/>
      <c r="X32" s="609"/>
      <c r="Y32" s="609"/>
      <c r="Z32" s="610"/>
      <c r="AA32" s="613"/>
      <c r="AB32" s="613">
        <v>74.5</v>
      </c>
      <c r="AC32" s="613">
        <v>84</v>
      </c>
      <c r="AD32" s="613"/>
      <c r="AE32" s="613"/>
      <c r="AF32" s="613"/>
      <c r="AG32" s="613" t="str">
        <f>IFERROR(AVERAGE(#REF!),"")</f>
        <v/>
      </c>
      <c r="AH32" s="518"/>
      <c r="AI32" s="607">
        <f t="shared" si="9"/>
        <v>90.833333333333329</v>
      </c>
      <c r="AJ32" s="607">
        <f t="shared" si="10"/>
        <v>89.125</v>
      </c>
      <c r="AK32" s="607">
        <f t="shared" si="11"/>
        <v>94</v>
      </c>
      <c r="AL32" s="607">
        <f t="shared" si="12"/>
        <v>99</v>
      </c>
      <c r="AM32" s="607" t="str">
        <f t="shared" si="13"/>
        <v/>
      </c>
      <c r="AN32" s="607" t="str">
        <f t="shared" si="14"/>
        <v/>
      </c>
      <c r="AO32" s="607" t="str">
        <f t="shared" si="15"/>
        <v/>
      </c>
      <c r="AP32" s="302">
        <f t="shared" si="3"/>
        <v>93</v>
      </c>
      <c r="AQ32" s="303" t="str">
        <f>IF(AP32&gt;KKM!$G$10,"A",IF(AP32&gt;KKM!$H$10,"B",IF(AP32&gt;=KKM!$I$10,"C","D")))</f>
        <v>A</v>
      </c>
      <c r="AR32" s="304">
        <f t="shared" si="4"/>
        <v>99</v>
      </c>
      <c r="AS32" s="115" t="str">
        <f>IF(AR32&gt;KKM!$G$10," sangat baik ",IF(AR32&gt;KKM!$H$10," baik ",IF(AR32&gt;=KKM!$I$10," cukup baik "," perlu bimbingan ")))</f>
        <v xml:space="preserve"> sangat baik </v>
      </c>
      <c r="AT32" s="305">
        <f t="shared" si="5"/>
        <v>89.125</v>
      </c>
      <c r="AU32" s="115" t="str">
        <f>IF(AT32&gt;KKM!$G$10," sangat baik ",IF(AT32&gt;KKM!$H$10," baik ",IF(AT32&gt;=KKM!$I$10," cukup baik "," perlu bimbingan ")))</f>
        <v xml:space="preserve"> baik </v>
      </c>
      <c r="AV32" s="301" t="str">
        <f t="shared" si="16"/>
        <v>Anak 28 sangat baik  dalam mengenal dan mengidentifikasi benda-benda di dapur dan nama-nama bunga, dan  baik  dalam memahami penggunaan kalimat yang menunjukkan letak suatu tempat</v>
      </c>
      <c r="AW32" s="306"/>
      <c r="AX32" s="307" t="str">
        <f t="shared" si="6"/>
        <v xml:space="preserve"> sangat baik  dalam mengenal dan mengidentifikasi benda-benda di dapur dan nama-nama bunga</v>
      </c>
      <c r="AY32" s="307" t="str">
        <f t="shared" si="7"/>
        <v xml:space="preserve"> baik  dalam memahami penggunaan kalimat yang menunjukkan letak suatu tempat</v>
      </c>
      <c r="AZ32" s="307" t="str">
        <f t="shared" si="17"/>
        <v xml:space="preserve"> sangat baik  dalam mengenal dan mengidentifikasi benda-benda di dapur dan nama-nama bunga, dan  baik  dalam memahami penggunaan kalimat yang menunjukkan letak suatu tempat</v>
      </c>
      <c r="BA32" s="307" t="str">
        <f t="shared" si="18"/>
        <v xml:space="preserve"> </v>
      </c>
      <c r="BB32" s="308" t="str">
        <f t="shared" si="19"/>
        <v xml:space="preserve"> sangat baik  dalam mengenal dan mengidentifikasi benda-benda di dapur dan nama-nama bunga, dan  baik  dalam memahami penggunaan kalimat yang menunjukkan letak suatu tempat</v>
      </c>
      <c r="BC32" s="301" t="str">
        <f t="shared" si="8"/>
        <v>Anak 28 sangat baik  dalam mengenal dan mengidentifikasi benda-benda di dapur dan nama-nama bunga, dan  baik  dalam memahami penggunaan kalimat yang menunjukkan letak suatu tempat</v>
      </c>
      <c r="BD32" s="120"/>
      <c r="BP32" s="302">
        <f t="shared" si="20"/>
        <v>79</v>
      </c>
      <c r="BQ32" s="303" t="str">
        <f>IF(BP32&gt;KKM!$G$10,"A",IF(BP32&gt;KKM!$H$10,"B",IF(BP32&gt;=KKM!$I$10,"C","D")))</f>
        <v>C</v>
      </c>
      <c r="BR32" s="523">
        <f t="shared" si="21"/>
        <v>84</v>
      </c>
      <c r="BS32" s="115" t="str">
        <f>IF(BR32&gt;KKM!$G$10," sangat baik ",IF(BR32&gt;KKM!$H$10," baik ",IF(BR32&gt;=KKM!$I$10," cukup baik "," perlu bimbingan ")))</f>
        <v xml:space="preserve"> baik </v>
      </c>
      <c r="BT32" s="524">
        <f t="shared" si="22"/>
        <v>74.5</v>
      </c>
      <c r="BU32" s="115" t="str">
        <f>IF(BT32&gt;KKM!$G$10," sangat baik ",IF(BT32&gt;KKM!$H$10," baik ",IF(BT32&gt;=KKM!$I$10," cukup baik "," perlu bimbingan ")))</f>
        <v xml:space="preserve"> cukup baik </v>
      </c>
      <c r="BV32" s="301" t="str">
        <f t="shared" si="29"/>
        <v>Anak 28 baik  dalam memahami penggunaan kalimat yang menunjukkan letak suatu tempat, dan  cukup baik  dalam mengenal, memahami dan mengidentifikasi macam-macam kalimat (order, request, and prengenal obyek-obyek wisata dan memahami penggunaan kalimat ungkapan terima kasih</v>
      </c>
      <c r="BW32" s="307" t="str">
        <f t="shared" si="23"/>
        <v xml:space="preserve"> baik  dalam memahami penggunaan kalimat yang menunjukkan letak suatu tempat</v>
      </c>
      <c r="BX32" s="307" t="str">
        <f t="shared" si="24"/>
        <v xml:space="preserve"> cukup baik  dalam mengenal, memahami dan mengidentifikasi macam-macam kalimat (order, request, and prengenal obyek-obyek wisata dan memahami penggunaan kalimat ungkapan terima kasih</v>
      </c>
      <c r="BY32"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32" s="307" t="str">
        <f t="shared" si="26"/>
        <v xml:space="preserve"> </v>
      </c>
      <c r="CA32"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32" s="301" t="str">
        <f t="shared" si="28"/>
        <v>Anak 28 baik  dalam memahami penggunaan kalimat yang menunjukkan letak suatu tempat, dan  cukup baik  dalam mengenal, memahami dan mengidentifikasi macam-macam kalimat (order, request, and prengenal obyek-obyek wisata dan memahami penggunaan kalimat ungkapan terima kasih</v>
      </c>
    </row>
    <row r="33" spans="2:80" ht="57" customHeight="1">
      <c r="B33" s="109">
        <v>29</v>
      </c>
      <c r="C33" s="110">
        <f>SISWA!B34</f>
        <v>0</v>
      </c>
      <c r="D33" s="111" t="str">
        <f>SISWA!E34</f>
        <v>Anak 29</v>
      </c>
      <c r="E33" s="631">
        <v>99</v>
      </c>
      <c r="F33" s="631">
        <v>99</v>
      </c>
      <c r="G33" s="631">
        <v>99</v>
      </c>
      <c r="H33" s="631">
        <v>99</v>
      </c>
      <c r="I33" s="613"/>
      <c r="J33" s="613"/>
      <c r="K33" s="613"/>
      <c r="L33" s="731"/>
      <c r="M33" s="731"/>
      <c r="N33" s="731"/>
      <c r="O33" s="731"/>
      <c r="P33" s="613"/>
      <c r="Q33" s="613"/>
      <c r="R33" s="610"/>
      <c r="S33" s="613">
        <v>84</v>
      </c>
      <c r="T33" s="613">
        <v>68.75</v>
      </c>
      <c r="U33" s="609"/>
      <c r="V33" s="609"/>
      <c r="W33" s="609"/>
      <c r="X33" s="609"/>
      <c r="Y33" s="609"/>
      <c r="Z33" s="610"/>
      <c r="AA33" s="613"/>
      <c r="AB33" s="613">
        <v>84</v>
      </c>
      <c r="AC33" s="613">
        <v>68.75</v>
      </c>
      <c r="AD33" s="613"/>
      <c r="AE33" s="613"/>
      <c r="AF33" s="613"/>
      <c r="AG33" s="613" t="str">
        <f>IFERROR(AVERAGE(#REF!),"")</f>
        <v/>
      </c>
      <c r="AH33" s="518"/>
      <c r="AI33" s="607">
        <f t="shared" si="9"/>
        <v>94</v>
      </c>
      <c r="AJ33" s="607">
        <f t="shared" si="10"/>
        <v>87.6875</v>
      </c>
      <c r="AK33" s="607">
        <f t="shared" si="11"/>
        <v>88.916666666666671</v>
      </c>
      <c r="AL33" s="607">
        <f t="shared" si="12"/>
        <v>99</v>
      </c>
      <c r="AM33" s="607" t="str">
        <f t="shared" si="13"/>
        <v/>
      </c>
      <c r="AN33" s="607" t="str">
        <f t="shared" si="14"/>
        <v/>
      </c>
      <c r="AO33" s="607" t="str">
        <f t="shared" si="15"/>
        <v/>
      </c>
      <c r="AP33" s="302">
        <f t="shared" si="3"/>
        <v>92</v>
      </c>
      <c r="AQ33" s="303" t="str">
        <f>IF(AP33&gt;KKM!$G$10,"A",IF(AP33&gt;KKM!$H$10,"B",IF(AP33&gt;=KKM!$I$10,"C","D")))</f>
        <v>A</v>
      </c>
      <c r="AR33" s="304">
        <f t="shared" si="4"/>
        <v>99</v>
      </c>
      <c r="AS33" s="115" t="str">
        <f>IF(AR33&gt;KKM!$G$10," sangat baik ",IF(AR33&gt;KKM!$H$10," baik ",IF(AR33&gt;=KKM!$I$10," cukup baik "," perlu bimbingan ")))</f>
        <v xml:space="preserve"> sangat baik </v>
      </c>
      <c r="AT33" s="305">
        <f t="shared" si="5"/>
        <v>87.6875</v>
      </c>
      <c r="AU33" s="115" t="str">
        <f>IF(AT33&gt;KKM!$G$10," sangat baik ",IF(AT33&gt;KKM!$H$10," baik ",IF(AT33&gt;=KKM!$I$10," cukup baik "," perlu bimbingan ")))</f>
        <v xml:space="preserve"> baik </v>
      </c>
      <c r="AV33" s="301" t="str">
        <f t="shared" si="16"/>
        <v>Anak 29 sangat baik  dalam mengenal dan mengidentifikasi benda-benda di dapur dan nama-nama bunga, dan  baik  dalam memahami penggunaan kalimat yang menunjukkan letak suatu tempat</v>
      </c>
      <c r="AW33" s="306"/>
      <c r="AX33" s="307" t="str">
        <f t="shared" si="6"/>
        <v xml:space="preserve"> sangat baik  dalam mengenal dan mengidentifikasi benda-benda di dapur dan nama-nama bunga</v>
      </c>
      <c r="AY33" s="307" t="str">
        <f t="shared" si="7"/>
        <v xml:space="preserve"> baik  dalam memahami penggunaan kalimat yang menunjukkan letak suatu tempat</v>
      </c>
      <c r="AZ33" s="307" t="str">
        <f t="shared" si="17"/>
        <v xml:space="preserve"> sangat baik  dalam mengenal dan mengidentifikasi benda-benda di dapur dan nama-nama bunga, dan  baik  dalam memahami penggunaan kalimat yang menunjukkan letak suatu tempat</v>
      </c>
      <c r="BA33" s="307" t="str">
        <f t="shared" si="18"/>
        <v xml:space="preserve"> </v>
      </c>
      <c r="BB33" s="308" t="str">
        <f t="shared" si="19"/>
        <v xml:space="preserve"> sangat baik  dalam mengenal dan mengidentifikasi benda-benda di dapur dan nama-nama bunga, dan  baik  dalam memahami penggunaan kalimat yang menunjukkan letak suatu tempat</v>
      </c>
      <c r="BC33" s="301" t="str">
        <f t="shared" si="8"/>
        <v>Anak 29 sangat baik  dalam mengenal dan mengidentifikasi benda-benda di dapur dan nama-nama bunga, dan  baik  dalam memahami penggunaan kalimat yang menunjukkan letak suatu tempat</v>
      </c>
      <c r="BD33" s="120"/>
      <c r="BP33" s="302">
        <f t="shared" si="20"/>
        <v>76</v>
      </c>
      <c r="BQ33" s="303" t="str">
        <f>IF(BP33&gt;KKM!$G$10,"A",IF(BP33&gt;KKM!$H$10,"B",IF(BP33&gt;=KKM!$I$10,"C","D")))</f>
        <v>C</v>
      </c>
      <c r="BR33" s="523">
        <f t="shared" si="21"/>
        <v>84</v>
      </c>
      <c r="BS33" s="115" t="str">
        <f>IF(BR33&gt;KKM!$G$10," sangat baik ",IF(BR33&gt;KKM!$H$10," baik ",IF(BR33&gt;=KKM!$I$10," cukup baik "," perlu bimbingan ")))</f>
        <v xml:space="preserve"> baik </v>
      </c>
      <c r="BT33" s="524">
        <f t="shared" si="22"/>
        <v>68.75</v>
      </c>
      <c r="BU33" s="115" t="str">
        <f>IF(BT33&gt;KKM!$G$10," sangat baik ",IF(BT33&gt;KKM!$H$10," baik ",IF(BT33&gt;=KKM!$I$10," cukup baik "," perlu bimbingan ")))</f>
        <v xml:space="preserve"> perlu bimbingan </v>
      </c>
      <c r="BV33" s="301" t="str">
        <f t="shared" si="29"/>
        <v>Anak 29 baik  dalam mengenal, memahami dan mengidentifikasi macam-macam kalimat (order, request, and prengenal obyek-obyek wisata dan memahami penggunaan kalimat ungkapan terima kasih, dan  perlu bimbingan  dalam memahami penggunaan kalimat yang menunjukkan letak suatu tempat</v>
      </c>
      <c r="BW33" s="307" t="str">
        <f t="shared" si="23"/>
        <v xml:space="preserve"> baik  dalam mengenal, memahami dan mengidentifikasi macam-macam kalimat (order, request, and prengenal obyek-obyek wisata dan memahami penggunaan kalimat ungkapan terima kasih</v>
      </c>
      <c r="BX33" s="307" t="str">
        <f t="shared" si="24"/>
        <v xml:space="preserve"> perlu bimbingan  dalam memahami penggunaan kalimat yang menunjukkan letak suatu tempat</v>
      </c>
      <c r="BY33" s="307" t="str">
        <f t="shared" si="25"/>
        <v xml:space="preserve"> baik  dalam mengenal, memahami dan mengidentifikasi macam-macam kalimat (order, request, and prengenal obyek-obyek wisata dan memahami penggunaan kalimat ungkapan terima kasih, dan  perlu bimbingan  dalam memahami penggunaan kalimat yang menunjukkan letak suatu tempat</v>
      </c>
      <c r="BZ33" s="307" t="str">
        <f t="shared" si="26"/>
        <v xml:space="preserve"> </v>
      </c>
      <c r="CA33" s="308" t="str">
        <f t="shared" si="27"/>
        <v xml:space="preserve"> baik  dalam mengenal, memahami dan mengidentifikasi macam-macam kalimat (order, request, and prengenal obyek-obyek wisata dan memahami penggunaan kalimat ungkapan terima kasih, dan  perlu bimbingan  dalam memahami penggunaan kalimat yang menunjukkan letak suatu tempat</v>
      </c>
      <c r="CB33" s="301" t="str">
        <f t="shared" si="28"/>
        <v>Anak 29 baik  dalam mengenal, memahami dan mengidentifikasi macam-macam kalimat (order, request, and prengenal obyek-obyek wisata dan memahami penggunaan kalimat ungkapan terima kasih, dan  perlu bimbingan  dalam memahami penggunaan kalimat yang menunjukkan letak suatu tempat</v>
      </c>
    </row>
    <row r="34" spans="2:80" ht="57" customHeight="1">
      <c r="B34" s="109">
        <v>30</v>
      </c>
      <c r="C34" s="110">
        <f>SISWA!B35</f>
        <v>0</v>
      </c>
      <c r="D34" s="111" t="str">
        <f>SISWA!E35</f>
        <v>Anak 30</v>
      </c>
      <c r="E34" s="631">
        <v>99</v>
      </c>
      <c r="F34" s="631">
        <v>99</v>
      </c>
      <c r="G34" s="631">
        <v>99</v>
      </c>
      <c r="H34" s="631">
        <v>99</v>
      </c>
      <c r="I34" s="613"/>
      <c r="J34" s="613"/>
      <c r="K34" s="613"/>
      <c r="L34" s="731"/>
      <c r="M34" s="731"/>
      <c r="N34" s="731"/>
      <c r="O34" s="731"/>
      <c r="P34" s="613"/>
      <c r="Q34" s="613"/>
      <c r="R34" s="610"/>
      <c r="S34" s="613">
        <v>84.5</v>
      </c>
      <c r="T34" s="613">
        <v>69.75</v>
      </c>
      <c r="U34" s="609"/>
      <c r="V34" s="609"/>
      <c r="W34" s="609"/>
      <c r="X34" s="609"/>
      <c r="Y34" s="609"/>
      <c r="Z34" s="610"/>
      <c r="AA34" s="613"/>
      <c r="AB34" s="613">
        <v>84.5</v>
      </c>
      <c r="AC34" s="613">
        <v>69.75</v>
      </c>
      <c r="AD34" s="613"/>
      <c r="AE34" s="613"/>
      <c r="AF34" s="613"/>
      <c r="AG34" s="613" t="str">
        <f>IFERROR(AVERAGE(#REF!),"")</f>
        <v/>
      </c>
      <c r="AH34" s="518"/>
      <c r="AI34" s="607">
        <f t="shared" si="9"/>
        <v>94.166666666666671</v>
      </c>
      <c r="AJ34" s="607">
        <f t="shared" si="10"/>
        <v>88.0625</v>
      </c>
      <c r="AK34" s="607">
        <f t="shared" si="11"/>
        <v>89.25</v>
      </c>
      <c r="AL34" s="607">
        <f t="shared" si="12"/>
        <v>99</v>
      </c>
      <c r="AM34" s="607" t="str">
        <f t="shared" si="13"/>
        <v/>
      </c>
      <c r="AN34" s="607" t="str">
        <f t="shared" si="14"/>
        <v/>
      </c>
      <c r="AO34" s="607" t="str">
        <f t="shared" si="15"/>
        <v/>
      </c>
      <c r="AP34" s="302">
        <f t="shared" si="3"/>
        <v>93</v>
      </c>
      <c r="AQ34" s="303" t="str">
        <f>IF(AP34&gt;KKM!$G$10,"A",IF(AP34&gt;KKM!$H$10,"B",IF(AP34&gt;=KKM!$I$10,"C","D")))</f>
        <v>A</v>
      </c>
      <c r="AR34" s="304">
        <f t="shared" si="4"/>
        <v>99</v>
      </c>
      <c r="AS34" s="115" t="str">
        <f>IF(AR34&gt;KKM!$G$10," sangat baik ",IF(AR34&gt;KKM!$H$10," baik ",IF(AR34&gt;=KKM!$I$10," cukup baik "," perlu bimbingan ")))</f>
        <v xml:space="preserve"> sangat baik </v>
      </c>
      <c r="AT34" s="305">
        <f t="shared" si="5"/>
        <v>88.0625</v>
      </c>
      <c r="AU34" s="115" t="str">
        <f>IF(AT34&gt;KKM!$G$10," sangat baik ",IF(AT34&gt;KKM!$H$10," baik ",IF(AT34&gt;=KKM!$I$10," cukup baik "," perlu bimbingan ")))</f>
        <v xml:space="preserve"> baik </v>
      </c>
      <c r="AV34" s="301" t="str">
        <f t="shared" si="16"/>
        <v>Anak 30 sangat baik  dalam mengenal dan mengidentifikasi benda-benda di dapur dan nama-nama bunga, dan  baik  dalam memahami penggunaan kalimat yang menunjukkan letak suatu tempat</v>
      </c>
      <c r="AW34" s="306"/>
      <c r="AX34" s="307" t="str">
        <f t="shared" si="6"/>
        <v xml:space="preserve"> sangat baik  dalam mengenal dan mengidentifikasi benda-benda di dapur dan nama-nama bunga</v>
      </c>
      <c r="AY34" s="307" t="str">
        <f t="shared" si="7"/>
        <v xml:space="preserve"> baik  dalam memahami penggunaan kalimat yang menunjukkan letak suatu tempat</v>
      </c>
      <c r="AZ34" s="307" t="str">
        <f t="shared" si="17"/>
        <v xml:space="preserve"> sangat baik  dalam mengenal dan mengidentifikasi benda-benda di dapur dan nama-nama bunga, dan  baik  dalam memahami penggunaan kalimat yang menunjukkan letak suatu tempat</v>
      </c>
      <c r="BA34" s="307" t="str">
        <f t="shared" si="18"/>
        <v xml:space="preserve"> </v>
      </c>
      <c r="BB34" s="308" t="str">
        <f t="shared" si="19"/>
        <v xml:space="preserve"> sangat baik  dalam mengenal dan mengidentifikasi benda-benda di dapur dan nama-nama bunga, dan  baik  dalam memahami penggunaan kalimat yang menunjukkan letak suatu tempat</v>
      </c>
      <c r="BC34" s="301" t="str">
        <f t="shared" si="8"/>
        <v>Anak 30 sangat baik  dalam mengenal dan mengidentifikasi benda-benda di dapur dan nama-nama bunga, dan  baik  dalam memahami penggunaan kalimat yang menunjukkan letak suatu tempat</v>
      </c>
      <c r="BD34" s="120"/>
      <c r="BP34" s="302">
        <f t="shared" si="20"/>
        <v>77</v>
      </c>
      <c r="BQ34" s="303" t="str">
        <f>IF(BP34&gt;KKM!$G$10,"A",IF(BP34&gt;KKM!$H$10,"B",IF(BP34&gt;=KKM!$I$10,"C","D")))</f>
        <v>C</v>
      </c>
      <c r="BR34" s="523">
        <f t="shared" si="21"/>
        <v>84.5</v>
      </c>
      <c r="BS34" s="115" t="str">
        <f>IF(BR34&gt;KKM!$G$10," sangat baik ",IF(BR34&gt;KKM!$H$10," baik ",IF(BR34&gt;=KKM!$I$10," cukup baik "," perlu bimbingan ")))</f>
        <v xml:space="preserve"> baik </v>
      </c>
      <c r="BT34" s="524">
        <f t="shared" si="22"/>
        <v>69.75</v>
      </c>
      <c r="BU34" s="115" t="str">
        <f>IF(BT34&gt;KKM!$G$10," sangat baik ",IF(BT34&gt;KKM!$H$10," baik ",IF(BT34&gt;=KKM!$I$10," cukup baik "," perlu bimbingan ")))</f>
        <v xml:space="preserve"> perlu bimbingan </v>
      </c>
      <c r="BV34" s="301" t="str">
        <f t="shared" si="29"/>
        <v>Anak 30 baik  dalam mengenal, memahami dan mengidentifikasi macam-macam kalimat (order, request, and prengenal obyek-obyek wisata dan memahami penggunaan kalimat ungkapan terima kasih, dan  perlu bimbingan  dalam memahami penggunaan kalimat yang menunjukkan letak suatu tempat</v>
      </c>
      <c r="BW34" s="307" t="str">
        <f t="shared" si="23"/>
        <v xml:space="preserve"> baik  dalam mengenal, memahami dan mengidentifikasi macam-macam kalimat (order, request, and prengenal obyek-obyek wisata dan memahami penggunaan kalimat ungkapan terima kasih</v>
      </c>
      <c r="BX34" s="307" t="str">
        <f t="shared" si="24"/>
        <v xml:space="preserve"> perlu bimbingan  dalam memahami penggunaan kalimat yang menunjukkan letak suatu tempat</v>
      </c>
      <c r="BY34" s="307" t="str">
        <f t="shared" si="25"/>
        <v xml:space="preserve"> baik  dalam mengenal, memahami dan mengidentifikasi macam-macam kalimat (order, request, and prengenal obyek-obyek wisata dan memahami penggunaan kalimat ungkapan terima kasih, dan  perlu bimbingan  dalam memahami penggunaan kalimat yang menunjukkan letak suatu tempat</v>
      </c>
      <c r="BZ34" s="307" t="str">
        <f t="shared" si="26"/>
        <v xml:space="preserve"> </v>
      </c>
      <c r="CA34" s="308" t="str">
        <f t="shared" si="27"/>
        <v xml:space="preserve"> baik  dalam mengenal, memahami dan mengidentifikasi macam-macam kalimat (order, request, and prengenal obyek-obyek wisata dan memahami penggunaan kalimat ungkapan terima kasih, dan  perlu bimbingan  dalam memahami penggunaan kalimat yang menunjukkan letak suatu tempat</v>
      </c>
      <c r="CB34" s="301" t="str">
        <f t="shared" si="28"/>
        <v>Anak 30 baik  dalam mengenal, memahami dan mengidentifikasi macam-macam kalimat (order, request, and prengenal obyek-obyek wisata dan memahami penggunaan kalimat ungkapan terima kasih, dan  perlu bimbingan  dalam memahami penggunaan kalimat yang menunjukkan letak suatu tempat</v>
      </c>
    </row>
    <row r="35" spans="2:80" ht="57" customHeight="1">
      <c r="B35" s="109">
        <v>31</v>
      </c>
      <c r="C35" s="110">
        <f>SISWA!B36</f>
        <v>0</v>
      </c>
      <c r="D35" s="111" t="str">
        <f>SISWA!E36</f>
        <v>Anak 31</v>
      </c>
      <c r="E35" s="631">
        <v>99</v>
      </c>
      <c r="F35" s="631">
        <v>99</v>
      </c>
      <c r="G35" s="631">
        <v>99</v>
      </c>
      <c r="H35" s="631">
        <v>99</v>
      </c>
      <c r="I35" s="613"/>
      <c r="J35" s="613"/>
      <c r="K35" s="613"/>
      <c r="L35" s="731"/>
      <c r="M35" s="731"/>
      <c r="N35" s="731"/>
      <c r="O35" s="731"/>
      <c r="P35" s="613"/>
      <c r="Q35" s="613"/>
      <c r="R35" s="610"/>
      <c r="S35" s="613">
        <v>72.5</v>
      </c>
      <c r="T35" s="613">
        <v>77.25</v>
      </c>
      <c r="U35" s="609"/>
      <c r="V35" s="609"/>
      <c r="W35" s="609"/>
      <c r="X35" s="609"/>
      <c r="Y35" s="609"/>
      <c r="Z35" s="610"/>
      <c r="AA35" s="613"/>
      <c r="AB35" s="613">
        <v>72.5</v>
      </c>
      <c r="AC35" s="613">
        <v>77.25</v>
      </c>
      <c r="AD35" s="613"/>
      <c r="AE35" s="613"/>
      <c r="AF35" s="613"/>
      <c r="AG35" s="613" t="str">
        <f>IFERROR(AVERAGE(#REF!),"")</f>
        <v/>
      </c>
      <c r="AH35" s="518"/>
      <c r="AI35" s="607">
        <f t="shared" si="9"/>
        <v>90.166666666666671</v>
      </c>
      <c r="AJ35" s="607">
        <f t="shared" si="10"/>
        <v>86.9375</v>
      </c>
      <c r="AK35" s="607">
        <f t="shared" si="11"/>
        <v>91.75</v>
      </c>
      <c r="AL35" s="607">
        <f t="shared" si="12"/>
        <v>99</v>
      </c>
      <c r="AM35" s="607" t="str">
        <f t="shared" si="13"/>
        <v/>
      </c>
      <c r="AN35" s="607" t="str">
        <f t="shared" si="14"/>
        <v/>
      </c>
      <c r="AO35" s="607" t="str">
        <f t="shared" si="15"/>
        <v/>
      </c>
      <c r="AP35" s="302">
        <f t="shared" si="3"/>
        <v>92</v>
      </c>
      <c r="AQ35" s="303" t="str">
        <f>IF(AP35&gt;KKM!$G$10,"A",IF(AP35&gt;KKM!$H$10,"B",IF(AP35&gt;=KKM!$I$10,"C","D")))</f>
        <v>A</v>
      </c>
      <c r="AR35" s="304">
        <f t="shared" si="4"/>
        <v>99</v>
      </c>
      <c r="AS35" s="115" t="str">
        <f>IF(AR35&gt;KKM!$G$10," sangat baik ",IF(AR35&gt;KKM!$H$10," baik ",IF(AR35&gt;=KKM!$I$10," cukup baik "," perlu bimbingan ")))</f>
        <v xml:space="preserve"> sangat baik </v>
      </c>
      <c r="AT35" s="305">
        <f t="shared" si="5"/>
        <v>86.9375</v>
      </c>
      <c r="AU35" s="115" t="str">
        <f>IF(AT35&gt;KKM!$G$10," sangat baik ",IF(AT35&gt;KKM!$H$10," baik ",IF(AT35&gt;=KKM!$I$10," cukup baik "," perlu bimbingan ")))</f>
        <v xml:space="preserve"> baik </v>
      </c>
      <c r="AV35" s="301" t="str">
        <f t="shared" si="16"/>
        <v>Anak 31 sangat baik  dalam mengenal dan mengidentifikasi benda-benda di dapur dan nama-nama bunga, dan  baik  dalam memahami penggunaan kalimat yang menunjukkan letak suatu tempat</v>
      </c>
      <c r="AW35" s="306"/>
      <c r="AX35" s="307" t="str">
        <f t="shared" si="6"/>
        <v xml:space="preserve"> sangat baik  dalam mengenal dan mengidentifikasi benda-benda di dapur dan nama-nama bunga</v>
      </c>
      <c r="AY35" s="307" t="str">
        <f t="shared" si="7"/>
        <v xml:space="preserve"> baik  dalam memahami penggunaan kalimat yang menunjukkan letak suatu tempat</v>
      </c>
      <c r="AZ35" s="307" t="str">
        <f t="shared" si="17"/>
        <v xml:space="preserve"> sangat baik  dalam mengenal dan mengidentifikasi benda-benda di dapur dan nama-nama bunga, dan  baik  dalam memahami penggunaan kalimat yang menunjukkan letak suatu tempat</v>
      </c>
      <c r="BA35" s="307" t="str">
        <f t="shared" si="18"/>
        <v xml:space="preserve"> </v>
      </c>
      <c r="BB35" s="308" t="str">
        <f t="shared" si="19"/>
        <v xml:space="preserve"> sangat baik  dalam mengenal dan mengidentifikasi benda-benda di dapur dan nama-nama bunga, dan  baik  dalam memahami penggunaan kalimat yang menunjukkan letak suatu tempat</v>
      </c>
      <c r="BC35" s="301" t="str">
        <f t="shared" si="8"/>
        <v>Anak 31 sangat baik  dalam mengenal dan mengidentifikasi benda-benda di dapur dan nama-nama bunga, dan  baik  dalam memahami penggunaan kalimat yang menunjukkan letak suatu tempat</v>
      </c>
      <c r="BD35" s="120"/>
      <c r="BP35" s="302">
        <f t="shared" si="20"/>
        <v>75</v>
      </c>
      <c r="BQ35" s="303" t="str">
        <f>IF(BP35&gt;KKM!$G$10,"A",IF(BP35&gt;KKM!$H$10,"B",IF(BP35&gt;=KKM!$I$10,"C","D")))</f>
        <v>C</v>
      </c>
      <c r="BR35" s="523">
        <f t="shared" si="21"/>
        <v>77.25</v>
      </c>
      <c r="BS35" s="115" t="str">
        <f>IF(BR35&gt;KKM!$G$10," sangat baik ",IF(BR35&gt;KKM!$H$10," baik ",IF(BR35&gt;=KKM!$I$10," cukup baik "," perlu bimbingan ")))</f>
        <v xml:space="preserve"> cukup baik </v>
      </c>
      <c r="BT35" s="524">
        <f t="shared" si="22"/>
        <v>72.5</v>
      </c>
      <c r="BU35" s="115" t="str">
        <f>IF(BT35&gt;KKM!$G$10," sangat baik ",IF(BT35&gt;KKM!$H$10," baik ",IF(BT35&gt;=KKM!$I$10," cukup baik "," perlu bimbingan ")))</f>
        <v xml:space="preserve"> cukup baik </v>
      </c>
      <c r="BV35" s="301" t="str">
        <f t="shared" si="29"/>
        <v>Anak 31 cukup baik  dalam memahami penggunaan kalimat yang menunjukkan letak suatu tempat, dan  cukup baik  dalam mengenal, memahami dan mengidentifikasi macam-macam kalimat (order, request, and prengenal obyek-obyek wisata dan memahami penggunaan kalimat ungkapan terima kasih</v>
      </c>
      <c r="BW35" s="307" t="str">
        <f t="shared" si="23"/>
        <v xml:space="preserve"> cukup baik  dalam memahami penggunaan kalimat yang menunjukkan letak suatu tempat</v>
      </c>
      <c r="BX35" s="307" t="str">
        <f t="shared" si="24"/>
        <v xml:space="preserve"> cukup baik  dalam mengenal, memahami dan mengidentifikasi macam-macam kalimat (order, request, and prengenal obyek-obyek wisata dan memahami penggunaan kalimat ungkapan terima kasih</v>
      </c>
      <c r="BY35" s="307" t="str">
        <f t="shared" si="25"/>
        <v xml:space="preserve"> cukup baik  dalam memahami penggunaan kalimat yang menunjukkan letak suatu tempat, dan  cukup baik  dalam mengenal, memahami dan mengidentifikasi macam-macam kalimat (order, request, and prengenal obyek-obyek wisata dan memahami penggunaan kalimat ungkapan terima kasih</v>
      </c>
      <c r="BZ35" s="307" t="str">
        <f t="shared" si="26"/>
        <v xml:space="preserve"> </v>
      </c>
      <c r="CA35" s="308" t="str">
        <f t="shared" si="27"/>
        <v xml:space="preserve"> cukup baik  dalam memahami penggunaan kalimat yang menunjukkan letak suatu tempat, dan  cukup baik  dalam mengenal, memahami dan mengidentifikasi macam-macam kalimat (order, request, and prengenal obyek-obyek wisata dan memahami penggunaan kalimat ungkapan terima kasih</v>
      </c>
      <c r="CB35" s="301" t="str">
        <f t="shared" si="28"/>
        <v>Anak 31 cukup baik  dalam memahami penggunaan kalimat yang menunjukkan letak suatu tempat, dan  cukup baik  dalam mengenal, memahami dan mengidentifikasi macam-macam kalimat (order, request, and prengenal obyek-obyek wisata dan memahami penggunaan kalimat ungkapan terima kasih</v>
      </c>
    </row>
    <row r="36" spans="2:80" ht="57" customHeight="1">
      <c r="B36" s="109">
        <v>32</v>
      </c>
      <c r="C36" s="110">
        <f>SISWA!B37</f>
        <v>0</v>
      </c>
      <c r="D36" s="111" t="str">
        <f>SISWA!E37</f>
        <v>Anak 32</v>
      </c>
      <c r="E36" s="631">
        <v>99</v>
      </c>
      <c r="F36" s="631">
        <v>99</v>
      </c>
      <c r="G36" s="631">
        <v>99</v>
      </c>
      <c r="H36" s="631">
        <v>99</v>
      </c>
      <c r="I36" s="613"/>
      <c r="J36" s="613"/>
      <c r="K36" s="613"/>
      <c r="L36" s="731"/>
      <c r="M36" s="731"/>
      <c r="N36" s="731"/>
      <c r="O36" s="731"/>
      <c r="P36" s="613"/>
      <c r="Q36" s="613"/>
      <c r="R36" s="610"/>
      <c r="S36" s="613">
        <v>80</v>
      </c>
      <c r="T36" s="613">
        <v>71.75</v>
      </c>
      <c r="U36" s="609"/>
      <c r="V36" s="609"/>
      <c r="W36" s="609"/>
      <c r="X36" s="609"/>
      <c r="Y36" s="609"/>
      <c r="Z36" s="610"/>
      <c r="AA36" s="613"/>
      <c r="AB36" s="613">
        <v>80</v>
      </c>
      <c r="AC36" s="613">
        <v>71.75</v>
      </c>
      <c r="AD36" s="613"/>
      <c r="AE36" s="613"/>
      <c r="AF36" s="613"/>
      <c r="AG36" s="613" t="str">
        <f>IFERROR(AVERAGE(#REF!),"")</f>
        <v/>
      </c>
      <c r="AH36" s="518"/>
      <c r="AI36" s="607">
        <f t="shared" si="9"/>
        <v>92.666666666666671</v>
      </c>
      <c r="AJ36" s="607">
        <f t="shared" si="10"/>
        <v>87.4375</v>
      </c>
      <c r="AK36" s="607">
        <f t="shared" si="11"/>
        <v>89.916666666666671</v>
      </c>
      <c r="AL36" s="607">
        <f t="shared" si="12"/>
        <v>99</v>
      </c>
      <c r="AM36" s="607" t="str">
        <f t="shared" si="13"/>
        <v/>
      </c>
      <c r="AN36" s="607" t="str">
        <f t="shared" si="14"/>
        <v/>
      </c>
      <c r="AO36" s="607" t="str">
        <f t="shared" si="15"/>
        <v/>
      </c>
      <c r="AP36" s="302">
        <f t="shared" si="3"/>
        <v>92</v>
      </c>
      <c r="AQ36" s="303" t="str">
        <f>IF(AP36&gt;KKM!$G$10,"A",IF(AP36&gt;KKM!$H$10,"B",IF(AP36&gt;=KKM!$I$10,"C","D")))</f>
        <v>A</v>
      </c>
      <c r="AR36" s="304">
        <f t="shared" si="4"/>
        <v>99</v>
      </c>
      <c r="AS36" s="115" t="str">
        <f>IF(AR36&gt;KKM!$G$10," sangat baik ",IF(AR36&gt;KKM!$H$10," baik ",IF(AR36&gt;=KKM!$I$10," cukup baik "," perlu bimbingan ")))</f>
        <v xml:space="preserve"> sangat baik </v>
      </c>
      <c r="AT36" s="305">
        <f t="shared" si="5"/>
        <v>87.4375</v>
      </c>
      <c r="AU36" s="115" t="str">
        <f>IF(AT36&gt;KKM!$G$10," sangat baik ",IF(AT36&gt;KKM!$H$10," baik ",IF(AT36&gt;=KKM!$I$10," cukup baik "," perlu bimbingan ")))</f>
        <v xml:space="preserve"> baik </v>
      </c>
      <c r="AV36" s="301" t="str">
        <f t="shared" si="16"/>
        <v>Anak 32 sangat baik  dalam mengenal dan mengidentifikasi benda-benda di dapur dan nama-nama bunga, dan  baik  dalam memahami penggunaan kalimat yang menunjukkan letak suatu tempat</v>
      </c>
      <c r="AW36" s="306"/>
      <c r="AX36" s="307" t="str">
        <f t="shared" si="6"/>
        <v xml:space="preserve"> sangat baik  dalam mengenal dan mengidentifikasi benda-benda di dapur dan nama-nama bunga</v>
      </c>
      <c r="AY36" s="307" t="str">
        <f t="shared" si="7"/>
        <v xml:space="preserve"> baik  dalam memahami penggunaan kalimat yang menunjukkan letak suatu tempat</v>
      </c>
      <c r="AZ36" s="307" t="str">
        <f t="shared" si="17"/>
        <v xml:space="preserve"> sangat baik  dalam mengenal dan mengidentifikasi benda-benda di dapur dan nama-nama bunga, dan  baik  dalam memahami penggunaan kalimat yang menunjukkan letak suatu tempat</v>
      </c>
      <c r="BA36" s="307" t="str">
        <f t="shared" si="18"/>
        <v xml:space="preserve"> </v>
      </c>
      <c r="BB36" s="308" t="str">
        <f t="shared" si="19"/>
        <v xml:space="preserve"> sangat baik  dalam mengenal dan mengidentifikasi benda-benda di dapur dan nama-nama bunga, dan  baik  dalam memahami penggunaan kalimat yang menunjukkan letak suatu tempat</v>
      </c>
      <c r="BC36" s="301" t="str">
        <f t="shared" si="8"/>
        <v>Anak 32 sangat baik  dalam mengenal dan mengidentifikasi benda-benda di dapur dan nama-nama bunga, dan  baik  dalam memahami penggunaan kalimat yang menunjukkan letak suatu tempat</v>
      </c>
      <c r="BD36" s="120"/>
      <c r="BP36" s="302">
        <f t="shared" si="20"/>
        <v>76</v>
      </c>
      <c r="BQ36" s="303" t="str">
        <f>IF(BP36&gt;KKM!$G$10,"A",IF(BP36&gt;KKM!$H$10,"B",IF(BP36&gt;=KKM!$I$10,"C","D")))</f>
        <v>C</v>
      </c>
      <c r="BR36" s="523">
        <f t="shared" si="21"/>
        <v>80</v>
      </c>
      <c r="BS36" s="115" t="str">
        <f>IF(BR36&gt;KKM!$G$10," sangat baik ",IF(BR36&gt;KKM!$H$10," baik ",IF(BR36&gt;=KKM!$I$10," cukup baik "," perlu bimbingan ")))</f>
        <v xml:space="preserve"> cukup baik </v>
      </c>
      <c r="BT36" s="524">
        <f t="shared" si="22"/>
        <v>71.75</v>
      </c>
      <c r="BU36" s="115" t="str">
        <f>IF(BT36&gt;KKM!$G$10," sangat baik ",IF(BT36&gt;KKM!$H$10," baik ",IF(BT36&gt;=KKM!$I$10," cukup baik "," perlu bimbingan ")))</f>
        <v xml:space="preserve"> cukup baik </v>
      </c>
      <c r="BV36" s="301" t="str">
        <f t="shared" si="29"/>
        <v>Anak 32 cukup baik  dalam mengenal, memahami dan mengidentifikasi macam-macam kalimat (order, request, and prengenal obyek-obyek wisata dan memahami penggunaan kalimat ungkapan terima kasih, dan  cukup baik  dalam memahami penggunaan kalimat yang menunjukkan letak suatu tempat</v>
      </c>
      <c r="BW36" s="307" t="str">
        <f t="shared" si="23"/>
        <v xml:space="preserve"> cukup baik  dalam mengenal, memahami dan mengidentifikasi macam-macam kalimat (order, request, and prengenal obyek-obyek wisata dan memahami penggunaan kalimat ungkapan terima kasih</v>
      </c>
      <c r="BX36" s="307" t="str">
        <f t="shared" si="24"/>
        <v xml:space="preserve"> cukup baik  dalam memahami penggunaan kalimat yang menunjukkan letak suatu tempat</v>
      </c>
      <c r="BY36" s="307" t="str">
        <f t="shared" si="25"/>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BZ36" s="307" t="str">
        <f t="shared" si="26"/>
        <v xml:space="preserve"> </v>
      </c>
      <c r="CA36" s="308" t="str">
        <f t="shared" si="27"/>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CB36" s="301" t="str">
        <f t="shared" si="28"/>
        <v>Anak 32 cukup baik  dalam mengenal, memahami dan mengidentifikasi macam-macam kalimat (order, request, and prengenal obyek-obyek wisata dan memahami penggunaan kalimat ungkapan terima kasih, dan  cukup baik  dalam memahami penggunaan kalimat yang menunjukkan letak suatu tempat</v>
      </c>
    </row>
    <row r="37" spans="2:80" ht="57" customHeight="1">
      <c r="B37" s="109">
        <v>33</v>
      </c>
      <c r="C37" s="110">
        <f>SISWA!B38</f>
        <v>0</v>
      </c>
      <c r="D37" s="111" t="str">
        <f>SISWA!E38</f>
        <v>Anak 33</v>
      </c>
      <c r="E37" s="631">
        <v>99</v>
      </c>
      <c r="F37" s="631">
        <v>99</v>
      </c>
      <c r="G37" s="631">
        <v>99</v>
      </c>
      <c r="H37" s="631">
        <v>99</v>
      </c>
      <c r="I37" s="613"/>
      <c r="J37" s="613"/>
      <c r="K37" s="613"/>
      <c r="L37" s="731"/>
      <c r="M37" s="731"/>
      <c r="N37" s="731"/>
      <c r="O37" s="731"/>
      <c r="P37" s="613"/>
      <c r="Q37" s="613"/>
      <c r="R37" s="610"/>
      <c r="S37" s="613">
        <v>79.5</v>
      </c>
      <c r="T37" s="613">
        <v>76</v>
      </c>
      <c r="U37" s="609"/>
      <c r="V37" s="609"/>
      <c r="W37" s="609"/>
      <c r="X37" s="609"/>
      <c r="Y37" s="609"/>
      <c r="Z37" s="610"/>
      <c r="AA37" s="613"/>
      <c r="AB37" s="613">
        <v>79.5</v>
      </c>
      <c r="AC37" s="613">
        <v>76</v>
      </c>
      <c r="AD37" s="613"/>
      <c r="AE37" s="613"/>
      <c r="AF37" s="613"/>
      <c r="AG37" s="613" t="str">
        <f>IFERROR(AVERAGE(#REF!),"")</f>
        <v/>
      </c>
      <c r="AH37" s="518"/>
      <c r="AI37" s="607">
        <f t="shared" si="9"/>
        <v>92.5</v>
      </c>
      <c r="AJ37" s="607">
        <f t="shared" si="10"/>
        <v>88.375</v>
      </c>
      <c r="AK37" s="607">
        <f t="shared" si="11"/>
        <v>91.333333333333329</v>
      </c>
      <c r="AL37" s="607">
        <f t="shared" si="12"/>
        <v>99</v>
      </c>
      <c r="AM37" s="607" t="str">
        <f t="shared" si="13"/>
        <v/>
      </c>
      <c r="AN37" s="607" t="str">
        <f t="shared" si="14"/>
        <v/>
      </c>
      <c r="AO37" s="607" t="str">
        <f t="shared" si="15"/>
        <v/>
      </c>
      <c r="AP37" s="302">
        <f t="shared" ref="AP37:AP54" si="30">ROUND((AVERAGE(AI37:AO37)),0)</f>
        <v>93</v>
      </c>
      <c r="AQ37" s="303" t="str">
        <f>IF(AP37&gt;KKM!$G$10,"A",IF(AP37&gt;KKM!$H$10,"B",IF(AP37&gt;=KKM!$I$10,"C","D")))</f>
        <v>A</v>
      </c>
      <c r="AR37" s="304">
        <f t="shared" ref="AR37:AR54" si="31">MAX(AI37:AO37)</f>
        <v>99</v>
      </c>
      <c r="AS37" s="115" t="str">
        <f>IF(AR37&gt;KKM!$G$10," sangat baik ",IF(AR37&gt;KKM!$H$10," baik ",IF(AR37&gt;=KKM!$I$10," cukup baik "," perlu bimbingan ")))</f>
        <v xml:space="preserve"> sangat baik </v>
      </c>
      <c r="AT37" s="305">
        <f t="shared" ref="AT37:AT54" si="32">MIN(AI37:AO37)</f>
        <v>88.375</v>
      </c>
      <c r="AU37" s="115" t="str">
        <f>IF(AT37&gt;KKM!$G$10," sangat baik ",IF(AT37&gt;KKM!$H$10," baik ",IF(AT37&gt;=KKM!$I$10," cukup baik "," perlu bimbingan ")))</f>
        <v xml:space="preserve"> baik </v>
      </c>
      <c r="AV37" s="301" t="str">
        <f t="shared" si="16"/>
        <v>Anak 33 sangat baik  dalam mengenal dan mengidentifikasi benda-benda di dapur dan nama-nama bunga, dan  baik  dalam memahami penggunaan kalimat yang menunjukkan letak suatu tempat</v>
      </c>
      <c r="AW37" s="306"/>
      <c r="AX37" s="307" t="str">
        <f t="shared" ref="AX37:AX54" si="33">AS37&amp;" dalam "&amp;INDEX($AI$3:$AO$3,MATCH(AR37,$AI37:$AO37,0))</f>
        <v xml:space="preserve"> sangat baik  dalam mengenal dan mengidentifikasi benda-benda di dapur dan nama-nama bunga</v>
      </c>
      <c r="AY37" s="307" t="str">
        <f t="shared" ref="AY37:AY54" si="34">AU37&amp;" dalam "&amp;INDEX($AI$3:$AO$3,MATCH(AT37,$AI37:$AO37,0))</f>
        <v xml:space="preserve"> baik  dalam memahami penggunaan kalimat yang menunjukkan letak suatu tempat</v>
      </c>
      <c r="AZ37" s="307" t="str">
        <f t="shared" si="17"/>
        <v xml:space="preserve"> sangat baik  dalam mengenal dan mengidentifikasi benda-benda di dapur dan nama-nama bunga, dan  baik  dalam memahami penggunaan kalimat yang menunjukkan letak suatu tempat</v>
      </c>
      <c r="BA37" s="307" t="str">
        <f t="shared" si="18"/>
        <v xml:space="preserve"> </v>
      </c>
      <c r="BB37" s="308" t="str">
        <f t="shared" si="19"/>
        <v xml:space="preserve"> sangat baik  dalam mengenal dan mengidentifikasi benda-benda di dapur dan nama-nama bunga, dan  baik  dalam memahami penggunaan kalimat yang menunjukkan letak suatu tempat</v>
      </c>
      <c r="BC37" s="301" t="str">
        <f t="shared" ref="BC37:BC54" si="35">CONCATENATE(D37,BB37)</f>
        <v>Anak 33 sangat baik  dalam mengenal dan mengidentifikasi benda-benda di dapur dan nama-nama bunga, dan  baik  dalam memahami penggunaan kalimat yang menunjukkan letak suatu tempat</v>
      </c>
      <c r="BD37" s="120"/>
      <c r="BP37" s="302">
        <f t="shared" si="20"/>
        <v>78</v>
      </c>
      <c r="BQ37" s="303" t="str">
        <f>IF(BP37&gt;KKM!$G$10,"A",IF(BP37&gt;KKM!$H$10,"B",IF(BP37&gt;=KKM!$I$10,"C","D")))</f>
        <v>C</v>
      </c>
      <c r="BR37" s="523">
        <f t="shared" si="21"/>
        <v>79.5</v>
      </c>
      <c r="BS37" s="115" t="str">
        <f>IF(BR37&gt;KKM!$G$10," sangat baik ",IF(BR37&gt;KKM!$H$10," baik ",IF(BR37&gt;=KKM!$I$10," cukup baik "," perlu bimbingan ")))</f>
        <v xml:space="preserve"> cukup baik </v>
      </c>
      <c r="BT37" s="524">
        <f t="shared" si="22"/>
        <v>76</v>
      </c>
      <c r="BU37" s="115" t="str">
        <f>IF(BT37&gt;KKM!$G$10," sangat baik ",IF(BT37&gt;KKM!$H$10," baik ",IF(BT37&gt;=KKM!$I$10," cukup baik "," perlu bimbingan ")))</f>
        <v xml:space="preserve"> cukup baik </v>
      </c>
      <c r="BV37" s="301" t="str">
        <f t="shared" si="29"/>
        <v>Anak 33 cukup baik  dalam mengenal, memahami dan mengidentifikasi macam-macam kalimat (order, request, and prengenal obyek-obyek wisata dan memahami penggunaan kalimat ungkapan terima kasih, dan  cukup baik  dalam memahami penggunaan kalimat yang menunjukkan letak suatu tempat</v>
      </c>
      <c r="BW37" s="307" t="str">
        <f t="shared" si="23"/>
        <v xml:space="preserve"> cukup baik  dalam mengenal, memahami dan mengidentifikasi macam-macam kalimat (order, request, and prengenal obyek-obyek wisata dan memahami penggunaan kalimat ungkapan terima kasih</v>
      </c>
      <c r="BX37" s="307" t="str">
        <f t="shared" si="24"/>
        <v xml:space="preserve"> cukup baik  dalam memahami penggunaan kalimat yang menunjukkan letak suatu tempat</v>
      </c>
      <c r="BY37" s="307" t="str">
        <f t="shared" si="25"/>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BZ37" s="307" t="str">
        <f t="shared" si="26"/>
        <v xml:space="preserve"> </v>
      </c>
      <c r="CA37" s="308" t="str">
        <f t="shared" si="27"/>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CB37" s="301" t="str">
        <f t="shared" si="28"/>
        <v>Anak 33 cukup baik  dalam mengenal, memahami dan mengidentifikasi macam-macam kalimat (order, request, and prengenal obyek-obyek wisata dan memahami penggunaan kalimat ungkapan terima kasih, dan  cukup baik  dalam memahami penggunaan kalimat yang menunjukkan letak suatu tempat</v>
      </c>
    </row>
    <row r="38" spans="2:80" ht="57" customHeight="1">
      <c r="B38" s="109">
        <v>34</v>
      </c>
      <c r="C38" s="110">
        <f>SISWA!B39</f>
        <v>0</v>
      </c>
      <c r="D38" s="111" t="str">
        <f>SISWA!E39</f>
        <v>Anak 34</v>
      </c>
      <c r="E38" s="631">
        <v>99</v>
      </c>
      <c r="F38" s="631">
        <v>99</v>
      </c>
      <c r="G38" s="631">
        <v>99</v>
      </c>
      <c r="H38" s="631">
        <v>99</v>
      </c>
      <c r="I38" s="613"/>
      <c r="J38" s="613"/>
      <c r="K38" s="613"/>
      <c r="L38" s="731"/>
      <c r="M38" s="731"/>
      <c r="N38" s="731"/>
      <c r="O38" s="731"/>
      <c r="P38" s="613"/>
      <c r="Q38" s="613"/>
      <c r="R38" s="610"/>
      <c r="S38" s="613">
        <v>79.5</v>
      </c>
      <c r="T38" s="613">
        <v>82.75</v>
      </c>
      <c r="U38" s="609"/>
      <c r="V38" s="609"/>
      <c r="W38" s="609"/>
      <c r="X38" s="609"/>
      <c r="Y38" s="609"/>
      <c r="Z38" s="610"/>
      <c r="AA38" s="613"/>
      <c r="AB38" s="613">
        <v>79.5</v>
      </c>
      <c r="AC38" s="613">
        <v>82.75</v>
      </c>
      <c r="AD38" s="613"/>
      <c r="AE38" s="613"/>
      <c r="AF38" s="613"/>
      <c r="AG38" s="613" t="str">
        <f>IFERROR(AVERAGE(#REF!),"")</f>
        <v/>
      </c>
      <c r="AH38" s="518"/>
      <c r="AI38" s="607">
        <f t="shared" si="9"/>
        <v>92.5</v>
      </c>
      <c r="AJ38" s="607">
        <f t="shared" si="10"/>
        <v>90.0625</v>
      </c>
      <c r="AK38" s="607">
        <f t="shared" si="11"/>
        <v>93.583333333333329</v>
      </c>
      <c r="AL38" s="607">
        <f t="shared" si="12"/>
        <v>99</v>
      </c>
      <c r="AM38" s="607" t="str">
        <f t="shared" si="13"/>
        <v/>
      </c>
      <c r="AN38" s="607" t="str">
        <f t="shared" si="14"/>
        <v/>
      </c>
      <c r="AO38" s="607" t="str">
        <f t="shared" si="15"/>
        <v/>
      </c>
      <c r="AP38" s="302">
        <f t="shared" si="30"/>
        <v>94</v>
      </c>
      <c r="AQ38" s="303" t="str">
        <f>IF(AP38&gt;KKM!$G$10,"A",IF(AP38&gt;KKM!$H$10,"B",IF(AP38&gt;=KKM!$I$10,"C","D")))</f>
        <v>A</v>
      </c>
      <c r="AR38" s="304">
        <f t="shared" si="31"/>
        <v>99</v>
      </c>
      <c r="AS38" s="115" t="str">
        <f>IF(AR38&gt;KKM!$G$10," sangat baik ",IF(AR38&gt;KKM!$H$10," baik ",IF(AR38&gt;=KKM!$I$10," cukup baik "," perlu bimbingan ")))</f>
        <v xml:space="preserve"> sangat baik </v>
      </c>
      <c r="AT38" s="305">
        <f t="shared" si="32"/>
        <v>90.0625</v>
      </c>
      <c r="AU38" s="115" t="str">
        <f>IF(AT38&gt;KKM!$G$10," sangat baik ",IF(AT38&gt;KKM!$H$10," baik ",IF(AT38&gt;=KKM!$I$10," cukup baik "," perlu bimbingan ")))</f>
        <v xml:space="preserve"> sangat baik </v>
      </c>
      <c r="AV38" s="301" t="str">
        <f t="shared" si="16"/>
        <v>Anak 34 sangat baik  dalam mengenal dan mengidentifikasi benda-benda di dapur dan nama-nama bunga, dan  sangat baik  dalam memahami penggunaan kalimat yang menunjukkan letak suatu tempat</v>
      </c>
      <c r="AW38" s="306"/>
      <c r="AX38" s="307" t="str">
        <f t="shared" si="33"/>
        <v xml:space="preserve"> sangat baik  dalam mengenal dan mengidentifikasi benda-benda di dapur dan nama-nama bunga</v>
      </c>
      <c r="AY38" s="307" t="str">
        <f t="shared" si="34"/>
        <v xml:space="preserve"> sangat baik  dalam memahami penggunaan kalimat yang menunjukkan letak suatu tempat</v>
      </c>
      <c r="AZ38" s="307" t="str">
        <f t="shared" si="17"/>
        <v xml:space="preserve"> sangat baik  dalam mengenal dan mengidentifikasi benda-benda di dapur dan nama-nama bunga, dan  sangat baik  dalam memahami penggunaan kalimat yang menunjukkan letak suatu tempat</v>
      </c>
      <c r="BA38" s="307" t="str">
        <f t="shared" si="18"/>
        <v xml:space="preserve"> </v>
      </c>
      <c r="BB38" s="308" t="str">
        <f t="shared" si="19"/>
        <v xml:space="preserve"> sangat baik  dalam mengenal dan mengidentifikasi benda-benda di dapur dan nama-nama bunga, dan  sangat baik  dalam memahami penggunaan kalimat yang menunjukkan letak suatu tempat</v>
      </c>
      <c r="BC38" s="301" t="str">
        <f t="shared" si="35"/>
        <v>Anak 34 sangat baik  dalam mengenal dan mengidentifikasi benda-benda di dapur dan nama-nama bunga, dan  sangat baik  dalam memahami penggunaan kalimat yang menunjukkan letak suatu tempat</v>
      </c>
      <c r="BD38" s="120"/>
      <c r="BP38" s="302">
        <f t="shared" si="20"/>
        <v>81</v>
      </c>
      <c r="BQ38" s="303" t="str">
        <f>IF(BP38&gt;KKM!$G$10,"A",IF(BP38&gt;KKM!$H$10,"B",IF(BP38&gt;=KKM!$I$10,"C","D")))</f>
        <v>B</v>
      </c>
      <c r="BR38" s="523">
        <f t="shared" si="21"/>
        <v>82.75</v>
      </c>
      <c r="BS38" s="115" t="str">
        <f>IF(BR38&gt;KKM!$G$10," sangat baik ",IF(BR38&gt;KKM!$H$10," baik ",IF(BR38&gt;=KKM!$I$10," cukup baik "," perlu bimbingan ")))</f>
        <v xml:space="preserve"> baik </v>
      </c>
      <c r="BT38" s="524">
        <f t="shared" si="22"/>
        <v>79.5</v>
      </c>
      <c r="BU38" s="115" t="str">
        <f>IF(BT38&gt;KKM!$G$10," sangat baik ",IF(BT38&gt;KKM!$H$10," baik ",IF(BT38&gt;=KKM!$I$10," cukup baik "," perlu bimbingan ")))</f>
        <v xml:space="preserve"> cukup baik </v>
      </c>
      <c r="BV38" s="301" t="str">
        <f t="shared" si="29"/>
        <v>Anak 34 baik  dalam memahami penggunaan kalimat yang menunjukkan letak suatu tempat, dan  cukup baik  dalam mengenal, memahami dan mengidentifikasi macam-macam kalimat (order, request, and prengenal obyek-obyek wisata dan memahami penggunaan kalimat ungkapan terima kasih</v>
      </c>
      <c r="BW38" s="307" t="str">
        <f t="shared" si="23"/>
        <v xml:space="preserve"> baik  dalam memahami penggunaan kalimat yang menunjukkan letak suatu tempat</v>
      </c>
      <c r="BX38" s="307" t="str">
        <f t="shared" si="24"/>
        <v xml:space="preserve"> cukup baik  dalam mengenal, memahami dan mengidentifikasi macam-macam kalimat (order, request, and prengenal obyek-obyek wisata dan memahami penggunaan kalimat ungkapan terima kasih</v>
      </c>
      <c r="BY38"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38" s="307" t="str">
        <f t="shared" si="26"/>
        <v xml:space="preserve"> </v>
      </c>
      <c r="CA38"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38" s="301" t="str">
        <f t="shared" si="28"/>
        <v>Anak 34 baik  dalam memahami penggunaan kalimat yang menunjukkan letak suatu tempat, dan  cukup baik  dalam mengenal, memahami dan mengidentifikasi macam-macam kalimat (order, request, and prengenal obyek-obyek wisata dan memahami penggunaan kalimat ungkapan terima kasih</v>
      </c>
    </row>
    <row r="39" spans="2:80" ht="57" customHeight="1">
      <c r="B39" s="109">
        <v>35</v>
      </c>
      <c r="C39" s="110">
        <f>SISWA!B40</f>
        <v>0</v>
      </c>
      <c r="D39" s="111" t="str">
        <f>SISWA!E40</f>
        <v>Anak 35</v>
      </c>
      <c r="E39" s="631">
        <v>99</v>
      </c>
      <c r="F39" s="631">
        <v>99</v>
      </c>
      <c r="G39" s="631">
        <v>99</v>
      </c>
      <c r="H39" s="631">
        <v>99</v>
      </c>
      <c r="I39" s="613"/>
      <c r="J39" s="613"/>
      <c r="K39" s="613"/>
      <c r="L39" s="731"/>
      <c r="M39" s="731"/>
      <c r="N39" s="731"/>
      <c r="O39" s="731"/>
      <c r="P39" s="613"/>
      <c r="Q39" s="613"/>
      <c r="R39" s="610"/>
      <c r="S39" s="613">
        <v>79.5</v>
      </c>
      <c r="T39" s="613">
        <v>74.75</v>
      </c>
      <c r="U39" s="609"/>
      <c r="V39" s="609"/>
      <c r="W39" s="609"/>
      <c r="X39" s="609"/>
      <c r="Y39" s="609"/>
      <c r="Z39" s="610"/>
      <c r="AA39" s="613"/>
      <c r="AB39" s="613">
        <v>79.5</v>
      </c>
      <c r="AC39" s="613">
        <v>74.75</v>
      </c>
      <c r="AD39" s="613"/>
      <c r="AE39" s="613"/>
      <c r="AF39" s="613"/>
      <c r="AG39" s="613" t="str">
        <f>IFERROR(AVERAGE(#REF!),"")</f>
        <v/>
      </c>
      <c r="AH39" s="518"/>
      <c r="AI39" s="607">
        <f t="shared" si="9"/>
        <v>92.5</v>
      </c>
      <c r="AJ39" s="607">
        <f t="shared" si="10"/>
        <v>88.0625</v>
      </c>
      <c r="AK39" s="607">
        <f t="shared" si="11"/>
        <v>90.916666666666671</v>
      </c>
      <c r="AL39" s="607">
        <f t="shared" si="12"/>
        <v>99</v>
      </c>
      <c r="AM39" s="607" t="str">
        <f t="shared" si="13"/>
        <v/>
      </c>
      <c r="AN39" s="607" t="str">
        <f t="shared" si="14"/>
        <v/>
      </c>
      <c r="AO39" s="607" t="str">
        <f t="shared" si="15"/>
        <v/>
      </c>
      <c r="AP39" s="302">
        <f t="shared" si="30"/>
        <v>93</v>
      </c>
      <c r="AQ39" s="303" t="str">
        <f>IF(AP39&gt;KKM!$G$10,"A",IF(AP39&gt;KKM!$H$10,"B",IF(AP39&gt;=KKM!$I$10,"C","D")))</f>
        <v>A</v>
      </c>
      <c r="AR39" s="304">
        <f t="shared" si="31"/>
        <v>99</v>
      </c>
      <c r="AS39" s="115" t="str">
        <f>IF(AR39&gt;KKM!$G$10," sangat baik ",IF(AR39&gt;KKM!$H$10," baik ",IF(AR39&gt;=KKM!$I$10," cukup baik "," perlu bimbingan ")))</f>
        <v xml:space="preserve"> sangat baik </v>
      </c>
      <c r="AT39" s="305">
        <f t="shared" si="32"/>
        <v>88.0625</v>
      </c>
      <c r="AU39" s="115" t="str">
        <f>IF(AT39&gt;KKM!$G$10," sangat baik ",IF(AT39&gt;KKM!$H$10," baik ",IF(AT39&gt;=KKM!$I$10," cukup baik "," perlu bimbingan ")))</f>
        <v xml:space="preserve"> baik </v>
      </c>
      <c r="AV39" s="301" t="str">
        <f t="shared" si="16"/>
        <v>Anak 35 sangat baik  dalam mengenal dan mengidentifikasi benda-benda di dapur dan nama-nama bunga, dan  baik  dalam memahami penggunaan kalimat yang menunjukkan letak suatu tempat</v>
      </c>
      <c r="AW39" s="306"/>
      <c r="AX39" s="307" t="str">
        <f t="shared" si="33"/>
        <v xml:space="preserve"> sangat baik  dalam mengenal dan mengidentifikasi benda-benda di dapur dan nama-nama bunga</v>
      </c>
      <c r="AY39" s="307" t="str">
        <f t="shared" si="34"/>
        <v xml:space="preserve"> baik  dalam memahami penggunaan kalimat yang menunjukkan letak suatu tempat</v>
      </c>
      <c r="AZ39" s="307" t="str">
        <f t="shared" si="17"/>
        <v xml:space="preserve"> sangat baik  dalam mengenal dan mengidentifikasi benda-benda di dapur dan nama-nama bunga, dan  baik  dalam memahami penggunaan kalimat yang menunjukkan letak suatu tempat</v>
      </c>
      <c r="BA39" s="307" t="str">
        <f t="shared" si="18"/>
        <v xml:space="preserve"> </v>
      </c>
      <c r="BB39" s="308" t="str">
        <f t="shared" si="19"/>
        <v xml:space="preserve"> sangat baik  dalam mengenal dan mengidentifikasi benda-benda di dapur dan nama-nama bunga, dan  baik  dalam memahami penggunaan kalimat yang menunjukkan letak suatu tempat</v>
      </c>
      <c r="BC39" s="301" t="str">
        <f t="shared" si="35"/>
        <v>Anak 35 sangat baik  dalam mengenal dan mengidentifikasi benda-benda di dapur dan nama-nama bunga, dan  baik  dalam memahami penggunaan kalimat yang menunjukkan letak suatu tempat</v>
      </c>
      <c r="BD39" s="120"/>
      <c r="BP39" s="302">
        <f t="shared" si="20"/>
        <v>77</v>
      </c>
      <c r="BQ39" s="303" t="str">
        <f>IF(BP39&gt;KKM!$G$10,"A",IF(BP39&gt;KKM!$H$10,"B",IF(BP39&gt;=KKM!$I$10,"C","D")))</f>
        <v>C</v>
      </c>
      <c r="BR39" s="523">
        <f t="shared" si="21"/>
        <v>79.5</v>
      </c>
      <c r="BS39" s="115" t="str">
        <f>IF(BR39&gt;KKM!$G$10," sangat baik ",IF(BR39&gt;KKM!$H$10," baik ",IF(BR39&gt;=KKM!$I$10," cukup baik "," perlu bimbingan ")))</f>
        <v xml:space="preserve"> cukup baik </v>
      </c>
      <c r="BT39" s="524">
        <f t="shared" si="22"/>
        <v>74.75</v>
      </c>
      <c r="BU39" s="115" t="str">
        <f>IF(BT39&gt;KKM!$G$10," sangat baik ",IF(BT39&gt;KKM!$H$10," baik ",IF(BT39&gt;=KKM!$I$10," cukup baik "," perlu bimbingan ")))</f>
        <v xml:space="preserve"> cukup baik </v>
      </c>
      <c r="BV39" s="301" t="str">
        <f t="shared" si="29"/>
        <v>Anak 35 cukup baik  dalam mengenal, memahami dan mengidentifikasi macam-macam kalimat (order, request, and prengenal obyek-obyek wisata dan memahami penggunaan kalimat ungkapan terima kasih, dan  cukup baik  dalam memahami penggunaan kalimat yang menunjukkan letak suatu tempat</v>
      </c>
      <c r="BW39" s="307" t="str">
        <f t="shared" si="23"/>
        <v xml:space="preserve"> cukup baik  dalam mengenal, memahami dan mengidentifikasi macam-macam kalimat (order, request, and prengenal obyek-obyek wisata dan memahami penggunaan kalimat ungkapan terima kasih</v>
      </c>
      <c r="BX39" s="307" t="str">
        <f t="shared" si="24"/>
        <v xml:space="preserve"> cukup baik  dalam memahami penggunaan kalimat yang menunjukkan letak suatu tempat</v>
      </c>
      <c r="BY39" s="307" t="str">
        <f t="shared" si="25"/>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BZ39" s="307" t="str">
        <f t="shared" si="26"/>
        <v xml:space="preserve"> </v>
      </c>
      <c r="CA39" s="308" t="str">
        <f t="shared" si="27"/>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CB39" s="301" t="str">
        <f t="shared" si="28"/>
        <v>Anak 35 cukup baik  dalam mengenal, memahami dan mengidentifikasi macam-macam kalimat (order, request, and prengenal obyek-obyek wisata dan memahami penggunaan kalimat ungkapan terima kasih, dan  cukup baik  dalam memahami penggunaan kalimat yang menunjukkan letak suatu tempat</v>
      </c>
    </row>
    <row r="40" spans="2:80" ht="57" customHeight="1">
      <c r="B40" s="109">
        <v>36</v>
      </c>
      <c r="C40" s="110">
        <f>SISWA!B41</f>
        <v>0</v>
      </c>
      <c r="D40" s="111" t="str">
        <f>SISWA!E41</f>
        <v>Anak 36</v>
      </c>
      <c r="E40" s="631">
        <v>99</v>
      </c>
      <c r="F40" s="631">
        <v>99</v>
      </c>
      <c r="G40" s="631">
        <v>99</v>
      </c>
      <c r="H40" s="631">
        <v>99</v>
      </c>
      <c r="I40" s="613"/>
      <c r="J40" s="613"/>
      <c r="K40" s="613"/>
      <c r="L40" s="731"/>
      <c r="M40" s="731"/>
      <c r="N40" s="731"/>
      <c r="O40" s="731"/>
      <c r="P40" s="613"/>
      <c r="Q40" s="613"/>
      <c r="R40" s="610"/>
      <c r="S40" s="613">
        <v>89</v>
      </c>
      <c r="T40" s="613">
        <v>75.25</v>
      </c>
      <c r="U40" s="609"/>
      <c r="V40" s="609"/>
      <c r="W40" s="609"/>
      <c r="X40" s="609"/>
      <c r="Y40" s="609"/>
      <c r="Z40" s="610"/>
      <c r="AA40" s="613"/>
      <c r="AB40" s="613">
        <v>89</v>
      </c>
      <c r="AC40" s="613">
        <v>75.25</v>
      </c>
      <c r="AD40" s="613"/>
      <c r="AE40" s="613"/>
      <c r="AF40" s="613"/>
      <c r="AG40" s="613" t="str">
        <f>IFERROR(AVERAGE(#REF!),"")</f>
        <v/>
      </c>
      <c r="AH40" s="518"/>
      <c r="AI40" s="607">
        <f t="shared" si="9"/>
        <v>95.666666666666671</v>
      </c>
      <c r="AJ40" s="607">
        <f t="shared" si="10"/>
        <v>90.5625</v>
      </c>
      <c r="AK40" s="607">
        <f t="shared" si="11"/>
        <v>91.083333333333329</v>
      </c>
      <c r="AL40" s="607">
        <f t="shared" si="12"/>
        <v>99</v>
      </c>
      <c r="AM40" s="607" t="str">
        <f t="shared" si="13"/>
        <v/>
      </c>
      <c r="AN40" s="607" t="str">
        <f t="shared" si="14"/>
        <v/>
      </c>
      <c r="AO40" s="607" t="str">
        <f t="shared" si="15"/>
        <v/>
      </c>
      <c r="AP40" s="302">
        <f t="shared" si="30"/>
        <v>94</v>
      </c>
      <c r="AQ40" s="303" t="str">
        <f>IF(AP40&gt;KKM!$G$10,"A",IF(AP40&gt;KKM!$H$10,"B",IF(AP40&gt;=KKM!$I$10,"C","D")))</f>
        <v>A</v>
      </c>
      <c r="AR40" s="304">
        <f t="shared" si="31"/>
        <v>99</v>
      </c>
      <c r="AS40" s="115" t="str">
        <f>IF(AR40&gt;KKM!$G$10," sangat baik ",IF(AR40&gt;KKM!$H$10," baik ",IF(AR40&gt;=KKM!$I$10," cukup baik "," perlu bimbingan ")))</f>
        <v xml:space="preserve"> sangat baik </v>
      </c>
      <c r="AT40" s="305">
        <f t="shared" si="32"/>
        <v>90.5625</v>
      </c>
      <c r="AU40" s="115" t="str">
        <f>IF(AT40&gt;KKM!$G$10," sangat baik ",IF(AT40&gt;KKM!$H$10," baik ",IF(AT40&gt;=KKM!$I$10," cukup baik "," perlu bimbingan ")))</f>
        <v xml:space="preserve"> sangat baik </v>
      </c>
      <c r="AV40" s="301" t="str">
        <f t="shared" si="16"/>
        <v>Anak 36 sangat baik  dalam mengenal dan mengidentifikasi benda-benda di dapur dan nama-nama bunga, dan  sangat baik  dalam memahami penggunaan kalimat yang menunjukkan letak suatu tempat</v>
      </c>
      <c r="AW40" s="306"/>
      <c r="AX40" s="307" t="str">
        <f t="shared" si="33"/>
        <v xml:space="preserve"> sangat baik  dalam mengenal dan mengidentifikasi benda-benda di dapur dan nama-nama bunga</v>
      </c>
      <c r="AY40" s="307" t="str">
        <f t="shared" si="34"/>
        <v xml:space="preserve"> sangat baik  dalam memahami penggunaan kalimat yang menunjukkan letak suatu tempat</v>
      </c>
      <c r="AZ40" s="307" t="str">
        <f t="shared" si="17"/>
        <v xml:space="preserve"> sangat baik  dalam mengenal dan mengidentifikasi benda-benda di dapur dan nama-nama bunga, dan  sangat baik  dalam memahami penggunaan kalimat yang menunjukkan letak suatu tempat</v>
      </c>
      <c r="BA40" s="307" t="str">
        <f t="shared" si="18"/>
        <v xml:space="preserve"> </v>
      </c>
      <c r="BB40" s="308" t="str">
        <f t="shared" si="19"/>
        <v xml:space="preserve"> sangat baik  dalam mengenal dan mengidentifikasi benda-benda di dapur dan nama-nama bunga, dan  sangat baik  dalam memahami penggunaan kalimat yang menunjukkan letak suatu tempat</v>
      </c>
      <c r="BC40" s="301" t="str">
        <f t="shared" si="35"/>
        <v>Anak 36 sangat baik  dalam mengenal dan mengidentifikasi benda-benda di dapur dan nama-nama bunga, dan  sangat baik  dalam memahami penggunaan kalimat yang menunjukkan letak suatu tempat</v>
      </c>
      <c r="BD40" s="120"/>
      <c r="BP40" s="302">
        <f t="shared" si="20"/>
        <v>82</v>
      </c>
      <c r="BQ40" s="303" t="str">
        <f>IF(BP40&gt;KKM!$G$10,"A",IF(BP40&gt;KKM!$H$10,"B",IF(BP40&gt;=KKM!$I$10,"C","D")))</f>
        <v>B</v>
      </c>
      <c r="BR40" s="523">
        <f t="shared" si="21"/>
        <v>89</v>
      </c>
      <c r="BS40" s="115" t="str">
        <f>IF(BR40&gt;KKM!$G$10," sangat baik ",IF(BR40&gt;KKM!$H$10," baik ",IF(BR40&gt;=KKM!$I$10," cukup baik "," perlu bimbingan ")))</f>
        <v xml:space="preserve"> baik </v>
      </c>
      <c r="BT40" s="524">
        <f t="shared" si="22"/>
        <v>75.25</v>
      </c>
      <c r="BU40" s="115" t="str">
        <f>IF(BT40&gt;KKM!$G$10," sangat baik ",IF(BT40&gt;KKM!$H$10," baik ",IF(BT40&gt;=KKM!$I$10," cukup baik "," perlu bimbingan ")))</f>
        <v xml:space="preserve"> cukup baik </v>
      </c>
      <c r="BV40" s="301" t="str">
        <f t="shared" si="29"/>
        <v>Anak 36 baik  dalam mengenal, memahami dan mengidentifikasi macam-macam kalimat (order, request, and prengenal obyek-obyek wisata dan memahami penggunaan kalimat ungkapan terima kasih, dan  cukup baik  dalam memahami penggunaan kalimat yang menunjukkan letak suatu tempat</v>
      </c>
      <c r="BW40" s="307" t="str">
        <f t="shared" si="23"/>
        <v xml:space="preserve"> baik  dalam mengenal, memahami dan mengidentifikasi macam-macam kalimat (order, request, and prengenal obyek-obyek wisata dan memahami penggunaan kalimat ungkapan terima kasih</v>
      </c>
      <c r="BX40" s="307" t="str">
        <f t="shared" si="24"/>
        <v xml:space="preserve"> cukup baik  dalam memahami penggunaan kalimat yang menunjukkan letak suatu tempat</v>
      </c>
      <c r="BY40"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40" s="307" t="str">
        <f t="shared" si="26"/>
        <v xml:space="preserve"> </v>
      </c>
      <c r="CA40"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40" s="301" t="str">
        <f t="shared" si="28"/>
        <v>Anak 36 baik  dalam mengenal, memahami dan mengidentifikasi macam-macam kalimat (order, request, and prengenal obyek-obyek wisata dan memahami penggunaan kalimat ungkapan terima kasih, dan  cukup baik  dalam memahami penggunaan kalimat yang menunjukkan letak suatu tempat</v>
      </c>
    </row>
    <row r="41" spans="2:80" ht="57" customHeight="1">
      <c r="B41" s="109">
        <v>37</v>
      </c>
      <c r="C41" s="110">
        <f>SISWA!B42</f>
        <v>0</v>
      </c>
      <c r="D41" s="111" t="str">
        <f>SISWA!E42</f>
        <v>Anak 37</v>
      </c>
      <c r="E41" s="631">
        <v>99</v>
      </c>
      <c r="F41" s="631">
        <v>99</v>
      </c>
      <c r="G41" s="631">
        <v>99</v>
      </c>
      <c r="H41" s="631">
        <v>99</v>
      </c>
      <c r="I41" s="613"/>
      <c r="J41" s="613"/>
      <c r="K41" s="613"/>
      <c r="L41" s="731"/>
      <c r="M41" s="731"/>
      <c r="N41" s="731"/>
      <c r="O41" s="731"/>
      <c r="P41" s="613"/>
      <c r="Q41" s="613"/>
      <c r="R41" s="610"/>
      <c r="S41" s="613">
        <v>81</v>
      </c>
      <c r="T41" s="613">
        <v>80.5</v>
      </c>
      <c r="U41" s="609"/>
      <c r="V41" s="609"/>
      <c r="W41" s="609"/>
      <c r="X41" s="609"/>
      <c r="Y41" s="609"/>
      <c r="Z41" s="610"/>
      <c r="AA41" s="613"/>
      <c r="AB41" s="613">
        <v>81</v>
      </c>
      <c r="AC41" s="613">
        <v>80.5</v>
      </c>
      <c r="AD41" s="613"/>
      <c r="AE41" s="613"/>
      <c r="AF41" s="613"/>
      <c r="AG41" s="613" t="str">
        <f>IFERROR(AVERAGE(#REF!),"")</f>
        <v/>
      </c>
      <c r="AH41" s="518"/>
      <c r="AI41" s="607">
        <f t="shared" si="9"/>
        <v>93</v>
      </c>
      <c r="AJ41" s="607">
        <f t="shared" si="10"/>
        <v>89.875</v>
      </c>
      <c r="AK41" s="607">
        <f t="shared" si="11"/>
        <v>92.833333333333329</v>
      </c>
      <c r="AL41" s="607">
        <f t="shared" si="12"/>
        <v>99</v>
      </c>
      <c r="AM41" s="607" t="str">
        <f t="shared" si="13"/>
        <v/>
      </c>
      <c r="AN41" s="607" t="str">
        <f t="shared" si="14"/>
        <v/>
      </c>
      <c r="AO41" s="607" t="str">
        <f t="shared" si="15"/>
        <v/>
      </c>
      <c r="AP41" s="302">
        <f t="shared" si="30"/>
        <v>94</v>
      </c>
      <c r="AQ41" s="303" t="str">
        <f>IF(AP41&gt;KKM!$G$10,"A",IF(AP41&gt;KKM!$H$10,"B",IF(AP41&gt;=KKM!$I$10,"C","D")))</f>
        <v>A</v>
      </c>
      <c r="AR41" s="304">
        <f t="shared" si="31"/>
        <v>99</v>
      </c>
      <c r="AS41" s="115" t="str">
        <f>IF(AR41&gt;KKM!$G$10," sangat baik ",IF(AR41&gt;KKM!$H$10," baik ",IF(AR41&gt;=KKM!$I$10," cukup baik "," perlu bimbingan ")))</f>
        <v xml:space="preserve"> sangat baik </v>
      </c>
      <c r="AT41" s="305">
        <f t="shared" si="32"/>
        <v>89.875</v>
      </c>
      <c r="AU41" s="115" t="str">
        <f>IF(AT41&gt;KKM!$G$10," sangat baik ",IF(AT41&gt;KKM!$H$10," baik ",IF(AT41&gt;=KKM!$I$10," cukup baik "," perlu bimbingan ")))</f>
        <v xml:space="preserve"> baik </v>
      </c>
      <c r="AV41" s="301" t="str">
        <f t="shared" si="16"/>
        <v>Anak 37 sangat baik  dalam mengenal dan mengidentifikasi benda-benda di dapur dan nama-nama bunga, dan  baik  dalam memahami penggunaan kalimat yang menunjukkan letak suatu tempat</v>
      </c>
      <c r="AW41" s="306"/>
      <c r="AX41" s="307" t="str">
        <f t="shared" si="33"/>
        <v xml:space="preserve"> sangat baik  dalam mengenal dan mengidentifikasi benda-benda di dapur dan nama-nama bunga</v>
      </c>
      <c r="AY41" s="307" t="str">
        <f t="shared" si="34"/>
        <v xml:space="preserve"> baik  dalam memahami penggunaan kalimat yang menunjukkan letak suatu tempat</v>
      </c>
      <c r="AZ41" s="307" t="str">
        <f t="shared" si="17"/>
        <v xml:space="preserve"> sangat baik  dalam mengenal dan mengidentifikasi benda-benda di dapur dan nama-nama bunga, dan  baik  dalam memahami penggunaan kalimat yang menunjukkan letak suatu tempat</v>
      </c>
      <c r="BA41" s="307" t="str">
        <f t="shared" si="18"/>
        <v xml:space="preserve"> </v>
      </c>
      <c r="BB41" s="308" t="str">
        <f t="shared" si="19"/>
        <v xml:space="preserve"> sangat baik  dalam mengenal dan mengidentifikasi benda-benda di dapur dan nama-nama bunga, dan  baik  dalam memahami penggunaan kalimat yang menunjukkan letak suatu tempat</v>
      </c>
      <c r="BC41" s="301" t="str">
        <f t="shared" si="35"/>
        <v>Anak 37 sangat baik  dalam mengenal dan mengidentifikasi benda-benda di dapur dan nama-nama bunga, dan  baik  dalam memahami penggunaan kalimat yang menunjukkan letak suatu tempat</v>
      </c>
      <c r="BD41" s="120"/>
      <c r="BP41" s="302">
        <f t="shared" si="20"/>
        <v>81</v>
      </c>
      <c r="BQ41" s="303" t="str">
        <f>IF(BP41&gt;KKM!$G$10,"A",IF(BP41&gt;KKM!$H$10,"B",IF(BP41&gt;=KKM!$I$10,"C","D")))</f>
        <v>B</v>
      </c>
      <c r="BR41" s="523">
        <f t="shared" si="21"/>
        <v>81</v>
      </c>
      <c r="BS41" s="115" t="str">
        <f>IF(BR41&gt;KKM!$G$10," sangat baik ",IF(BR41&gt;KKM!$H$10," baik ",IF(BR41&gt;=KKM!$I$10," cukup baik "," perlu bimbingan ")))</f>
        <v xml:space="preserve"> baik </v>
      </c>
      <c r="BT41" s="524">
        <f t="shared" si="22"/>
        <v>80.5</v>
      </c>
      <c r="BU41" s="115" t="str">
        <f>IF(BT41&gt;KKM!$G$10," sangat baik ",IF(BT41&gt;KKM!$H$10," baik ",IF(BT41&gt;=KKM!$I$10," cukup baik "," perlu bimbingan ")))</f>
        <v xml:space="preserve"> baik </v>
      </c>
      <c r="BV41" s="301" t="str">
        <f t="shared" si="29"/>
        <v>Anak 37 baik  dalam mengenal, memahami dan mengidentifikasi macam-macam kalimat (order, request, and prengenal obyek-obyek wisata dan memahami penggunaan kalimat ungkapan terima kasih, dan  baik  dalam memahami penggunaan kalimat yang menunjukkan letak suatu tempat</v>
      </c>
      <c r="BW41" s="307" t="str">
        <f t="shared" si="23"/>
        <v xml:space="preserve"> baik  dalam mengenal, memahami dan mengidentifikasi macam-macam kalimat (order, request, and prengenal obyek-obyek wisata dan memahami penggunaan kalimat ungkapan terima kasih</v>
      </c>
      <c r="BX41" s="307" t="str">
        <f t="shared" si="24"/>
        <v xml:space="preserve"> baik  dalam memahami penggunaan kalimat yang menunjukkan letak suatu tempat</v>
      </c>
      <c r="BY41" s="307" t="str">
        <f t="shared" si="25"/>
        <v xml:space="preserve"> baik  dalam mengenal, memahami dan mengidentifikasi macam-macam kalimat (order, request, and prengenal obyek-obyek wisata dan memahami penggunaan kalimat ungkapan terima kasih, dan  baik  dalam memahami penggunaan kalimat yang menunjukkan letak suatu tempat</v>
      </c>
      <c r="BZ41" s="307" t="str">
        <f t="shared" si="26"/>
        <v xml:space="preserve"> </v>
      </c>
      <c r="CA41" s="308" t="str">
        <f t="shared" si="27"/>
        <v xml:space="preserve"> baik  dalam mengenal, memahami dan mengidentifikasi macam-macam kalimat (order, request, and prengenal obyek-obyek wisata dan memahami penggunaan kalimat ungkapan terima kasih, dan  baik  dalam memahami penggunaan kalimat yang menunjukkan letak suatu tempat</v>
      </c>
      <c r="CB41" s="301" t="str">
        <f t="shared" si="28"/>
        <v>Anak 37 baik  dalam mengenal, memahami dan mengidentifikasi macam-macam kalimat (order, request, and prengenal obyek-obyek wisata dan memahami penggunaan kalimat ungkapan terima kasih, dan  baik  dalam memahami penggunaan kalimat yang menunjukkan letak suatu tempat</v>
      </c>
    </row>
    <row r="42" spans="2:80" ht="57" customHeight="1">
      <c r="B42" s="109">
        <v>38</v>
      </c>
      <c r="C42" s="110">
        <f>SISWA!B43</f>
        <v>0</v>
      </c>
      <c r="D42" s="111" t="str">
        <f>SISWA!E43</f>
        <v>Anak 38</v>
      </c>
      <c r="E42" s="631">
        <v>99</v>
      </c>
      <c r="F42" s="631">
        <v>99</v>
      </c>
      <c r="G42" s="631">
        <v>99</v>
      </c>
      <c r="H42" s="631">
        <v>99</v>
      </c>
      <c r="I42" s="613"/>
      <c r="J42" s="613"/>
      <c r="K42" s="613"/>
      <c r="L42" s="731"/>
      <c r="M42" s="731"/>
      <c r="N42" s="731"/>
      <c r="O42" s="731"/>
      <c r="P42" s="613"/>
      <c r="Q42" s="613"/>
      <c r="R42" s="610"/>
      <c r="S42" s="613">
        <v>76.5</v>
      </c>
      <c r="T42" s="613">
        <v>86.5</v>
      </c>
      <c r="U42" s="609"/>
      <c r="V42" s="609"/>
      <c r="W42" s="609"/>
      <c r="X42" s="609"/>
      <c r="Y42" s="609"/>
      <c r="Z42" s="610"/>
      <c r="AA42" s="613"/>
      <c r="AB42" s="613">
        <v>76.5</v>
      </c>
      <c r="AC42" s="613">
        <v>86.5</v>
      </c>
      <c r="AD42" s="613"/>
      <c r="AE42" s="613"/>
      <c r="AF42" s="613"/>
      <c r="AG42" s="613" t="str">
        <f>IFERROR(AVERAGE(#REF!),"")</f>
        <v/>
      </c>
      <c r="AH42" s="518"/>
      <c r="AI42" s="607">
        <f t="shared" si="9"/>
        <v>91.5</v>
      </c>
      <c r="AJ42" s="607">
        <f t="shared" si="10"/>
        <v>90.25</v>
      </c>
      <c r="AK42" s="607">
        <f t="shared" si="11"/>
        <v>94.833333333333329</v>
      </c>
      <c r="AL42" s="607">
        <f t="shared" si="12"/>
        <v>99</v>
      </c>
      <c r="AM42" s="607" t="str">
        <f t="shared" si="13"/>
        <v/>
      </c>
      <c r="AN42" s="607" t="str">
        <f t="shared" si="14"/>
        <v/>
      </c>
      <c r="AO42" s="607" t="str">
        <f t="shared" si="15"/>
        <v/>
      </c>
      <c r="AP42" s="302">
        <f t="shared" si="30"/>
        <v>94</v>
      </c>
      <c r="AQ42" s="303" t="str">
        <f>IF(AP42&gt;KKM!$G$10,"A",IF(AP42&gt;KKM!$H$10,"B",IF(AP42&gt;=KKM!$I$10,"C","D")))</f>
        <v>A</v>
      </c>
      <c r="AR42" s="304">
        <f t="shared" si="31"/>
        <v>99</v>
      </c>
      <c r="AS42" s="115" t="str">
        <f>IF(AR42&gt;KKM!$G$10," sangat baik ",IF(AR42&gt;KKM!$H$10," baik ",IF(AR42&gt;=KKM!$I$10," cukup baik "," perlu bimbingan ")))</f>
        <v xml:space="preserve"> sangat baik </v>
      </c>
      <c r="AT42" s="305">
        <f t="shared" si="32"/>
        <v>90.25</v>
      </c>
      <c r="AU42" s="115" t="str">
        <f>IF(AT42&gt;KKM!$G$10," sangat baik ",IF(AT42&gt;KKM!$H$10," baik ",IF(AT42&gt;=KKM!$I$10," cukup baik "," perlu bimbingan ")))</f>
        <v xml:space="preserve"> sangat baik </v>
      </c>
      <c r="AV42" s="301" t="str">
        <f t="shared" si="16"/>
        <v>Anak 38 sangat baik  dalam mengenal dan mengidentifikasi benda-benda di dapur dan nama-nama bunga, dan  sangat baik  dalam memahami penggunaan kalimat yang menunjukkan letak suatu tempat</v>
      </c>
      <c r="AW42" s="306"/>
      <c r="AX42" s="307" t="str">
        <f t="shared" si="33"/>
        <v xml:space="preserve"> sangat baik  dalam mengenal dan mengidentifikasi benda-benda di dapur dan nama-nama bunga</v>
      </c>
      <c r="AY42" s="307" t="str">
        <f t="shared" si="34"/>
        <v xml:space="preserve"> sangat baik  dalam memahami penggunaan kalimat yang menunjukkan letak suatu tempat</v>
      </c>
      <c r="AZ42" s="307" t="str">
        <f t="shared" si="17"/>
        <v xml:space="preserve"> sangat baik  dalam mengenal dan mengidentifikasi benda-benda di dapur dan nama-nama bunga, dan  sangat baik  dalam memahami penggunaan kalimat yang menunjukkan letak suatu tempat</v>
      </c>
      <c r="BA42" s="307" t="str">
        <f t="shared" si="18"/>
        <v xml:space="preserve"> </v>
      </c>
      <c r="BB42" s="308" t="str">
        <f t="shared" si="19"/>
        <v xml:space="preserve"> sangat baik  dalam mengenal dan mengidentifikasi benda-benda di dapur dan nama-nama bunga, dan  sangat baik  dalam memahami penggunaan kalimat yang menunjukkan letak suatu tempat</v>
      </c>
      <c r="BC42" s="301" t="str">
        <f t="shared" si="35"/>
        <v>Anak 38 sangat baik  dalam mengenal dan mengidentifikasi benda-benda di dapur dan nama-nama bunga, dan  sangat baik  dalam memahami penggunaan kalimat yang menunjukkan letak suatu tempat</v>
      </c>
      <c r="BD42" s="120"/>
      <c r="BP42" s="302">
        <f t="shared" si="20"/>
        <v>82</v>
      </c>
      <c r="BQ42" s="303" t="str">
        <f>IF(BP42&gt;KKM!$G$10,"A",IF(BP42&gt;KKM!$H$10,"B",IF(BP42&gt;=KKM!$I$10,"C","D")))</f>
        <v>B</v>
      </c>
      <c r="BR42" s="523">
        <f t="shared" si="21"/>
        <v>86.5</v>
      </c>
      <c r="BS42" s="115" t="str">
        <f>IF(BR42&gt;KKM!$G$10," sangat baik ",IF(BR42&gt;KKM!$H$10," baik ",IF(BR42&gt;=KKM!$I$10," cukup baik "," perlu bimbingan ")))</f>
        <v xml:space="preserve"> baik </v>
      </c>
      <c r="BT42" s="524">
        <f t="shared" si="22"/>
        <v>76.5</v>
      </c>
      <c r="BU42" s="115" t="str">
        <f>IF(BT42&gt;KKM!$G$10," sangat baik ",IF(BT42&gt;KKM!$H$10," baik ",IF(BT42&gt;=KKM!$I$10," cukup baik "," perlu bimbingan ")))</f>
        <v xml:space="preserve"> cukup baik </v>
      </c>
      <c r="BV42" s="301" t="str">
        <f t="shared" si="29"/>
        <v>Anak 38 baik  dalam memahami penggunaan kalimat yang menunjukkan letak suatu tempat, dan  cukup baik  dalam mengenal, memahami dan mengidentifikasi macam-macam kalimat (order, request, and prengenal obyek-obyek wisata dan memahami penggunaan kalimat ungkapan terima kasih</v>
      </c>
      <c r="BW42" s="307" t="str">
        <f t="shared" si="23"/>
        <v xml:space="preserve"> baik  dalam memahami penggunaan kalimat yang menunjukkan letak suatu tempat</v>
      </c>
      <c r="BX42" s="307" t="str">
        <f t="shared" si="24"/>
        <v xml:space="preserve"> cukup baik  dalam mengenal, memahami dan mengidentifikasi macam-macam kalimat (order, request, and prengenal obyek-obyek wisata dan memahami penggunaan kalimat ungkapan terima kasih</v>
      </c>
      <c r="BY42"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42" s="307" t="str">
        <f t="shared" si="26"/>
        <v xml:space="preserve"> </v>
      </c>
      <c r="CA42"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42" s="301" t="str">
        <f t="shared" si="28"/>
        <v>Anak 38 baik  dalam memahami penggunaan kalimat yang menunjukkan letak suatu tempat, dan  cukup baik  dalam mengenal, memahami dan mengidentifikasi macam-macam kalimat (order, request, and prengenal obyek-obyek wisata dan memahami penggunaan kalimat ungkapan terima kasih</v>
      </c>
    </row>
    <row r="43" spans="2:80" ht="57" customHeight="1">
      <c r="B43" s="109">
        <v>39</v>
      </c>
      <c r="C43" s="110">
        <f>SISWA!B44</f>
        <v>0</v>
      </c>
      <c r="D43" s="111" t="str">
        <f>SISWA!E44</f>
        <v>Anak 39</v>
      </c>
      <c r="E43" s="631">
        <v>99</v>
      </c>
      <c r="F43" s="631">
        <v>99</v>
      </c>
      <c r="G43" s="631">
        <v>99</v>
      </c>
      <c r="H43" s="631">
        <v>99</v>
      </c>
      <c r="I43" s="613"/>
      <c r="J43" s="613"/>
      <c r="K43" s="613"/>
      <c r="L43" s="731"/>
      <c r="M43" s="731"/>
      <c r="N43" s="731"/>
      <c r="O43" s="731"/>
      <c r="P43" s="613"/>
      <c r="Q43" s="613"/>
      <c r="R43" s="610"/>
      <c r="S43" s="613">
        <v>86.5</v>
      </c>
      <c r="T43" s="613">
        <v>76.75</v>
      </c>
      <c r="U43" s="609"/>
      <c r="V43" s="609"/>
      <c r="W43" s="609"/>
      <c r="X43" s="609"/>
      <c r="Y43" s="609"/>
      <c r="Z43" s="610"/>
      <c r="AA43" s="613"/>
      <c r="AB43" s="613">
        <v>86.5</v>
      </c>
      <c r="AC43" s="613">
        <v>76.75</v>
      </c>
      <c r="AD43" s="613"/>
      <c r="AE43" s="613"/>
      <c r="AF43" s="613"/>
      <c r="AG43" s="613" t="str">
        <f>IFERROR(AVERAGE(#REF!),"")</f>
        <v/>
      </c>
      <c r="AH43" s="518"/>
      <c r="AI43" s="607">
        <f t="shared" si="9"/>
        <v>94.833333333333329</v>
      </c>
      <c r="AJ43" s="607">
        <f t="shared" si="10"/>
        <v>90.3125</v>
      </c>
      <c r="AK43" s="607">
        <f t="shared" si="11"/>
        <v>91.583333333333329</v>
      </c>
      <c r="AL43" s="607">
        <f t="shared" si="12"/>
        <v>99</v>
      </c>
      <c r="AM43" s="607" t="str">
        <f t="shared" si="13"/>
        <v/>
      </c>
      <c r="AN43" s="607" t="str">
        <f t="shared" si="14"/>
        <v/>
      </c>
      <c r="AO43" s="607" t="str">
        <f t="shared" si="15"/>
        <v/>
      </c>
      <c r="AP43" s="302">
        <f t="shared" si="30"/>
        <v>94</v>
      </c>
      <c r="AQ43" s="303" t="str">
        <f>IF(AP43&gt;KKM!$G$10,"A",IF(AP43&gt;KKM!$H$10,"B",IF(AP43&gt;=KKM!$I$10,"C","D")))</f>
        <v>A</v>
      </c>
      <c r="AR43" s="304">
        <f t="shared" si="31"/>
        <v>99</v>
      </c>
      <c r="AS43" s="115" t="str">
        <f>IF(AR43&gt;KKM!$G$10," sangat baik ",IF(AR43&gt;KKM!$H$10," baik ",IF(AR43&gt;=KKM!$I$10," cukup baik "," perlu bimbingan ")))</f>
        <v xml:space="preserve"> sangat baik </v>
      </c>
      <c r="AT43" s="305">
        <f t="shared" si="32"/>
        <v>90.3125</v>
      </c>
      <c r="AU43" s="115" t="str">
        <f>IF(AT43&gt;KKM!$G$10," sangat baik ",IF(AT43&gt;KKM!$H$10," baik ",IF(AT43&gt;=KKM!$I$10," cukup baik "," perlu bimbingan ")))</f>
        <v xml:space="preserve"> sangat baik </v>
      </c>
      <c r="AV43" s="301" t="str">
        <f t="shared" si="16"/>
        <v>Anak 39 sangat baik  dalam mengenal dan mengidentifikasi benda-benda di dapur dan nama-nama bunga, dan  sangat baik  dalam memahami penggunaan kalimat yang menunjukkan letak suatu tempat</v>
      </c>
      <c r="AW43" s="306"/>
      <c r="AX43" s="307" t="str">
        <f t="shared" si="33"/>
        <v xml:space="preserve"> sangat baik  dalam mengenal dan mengidentifikasi benda-benda di dapur dan nama-nama bunga</v>
      </c>
      <c r="AY43" s="307" t="str">
        <f t="shared" si="34"/>
        <v xml:space="preserve"> sangat baik  dalam memahami penggunaan kalimat yang menunjukkan letak suatu tempat</v>
      </c>
      <c r="AZ43" s="307" t="str">
        <f t="shared" si="17"/>
        <v xml:space="preserve"> sangat baik  dalam mengenal dan mengidentifikasi benda-benda di dapur dan nama-nama bunga, dan  sangat baik  dalam memahami penggunaan kalimat yang menunjukkan letak suatu tempat</v>
      </c>
      <c r="BA43" s="307" t="str">
        <f t="shared" si="18"/>
        <v xml:space="preserve"> </v>
      </c>
      <c r="BB43" s="308" t="str">
        <f t="shared" si="19"/>
        <v xml:space="preserve"> sangat baik  dalam mengenal dan mengidentifikasi benda-benda di dapur dan nama-nama bunga, dan  sangat baik  dalam memahami penggunaan kalimat yang menunjukkan letak suatu tempat</v>
      </c>
      <c r="BC43" s="301" t="str">
        <f t="shared" si="35"/>
        <v>Anak 39 sangat baik  dalam mengenal dan mengidentifikasi benda-benda di dapur dan nama-nama bunga, dan  sangat baik  dalam memahami penggunaan kalimat yang menunjukkan letak suatu tempat</v>
      </c>
      <c r="BD43" s="120"/>
      <c r="BP43" s="302">
        <f t="shared" si="20"/>
        <v>82</v>
      </c>
      <c r="BQ43" s="303" t="str">
        <f>IF(BP43&gt;KKM!$G$10,"A",IF(BP43&gt;KKM!$H$10,"B",IF(BP43&gt;=KKM!$I$10,"C","D")))</f>
        <v>B</v>
      </c>
      <c r="BR43" s="523">
        <f t="shared" si="21"/>
        <v>86.5</v>
      </c>
      <c r="BS43" s="115" t="str">
        <f>IF(BR43&gt;KKM!$G$10," sangat baik ",IF(BR43&gt;KKM!$H$10," baik ",IF(BR43&gt;=KKM!$I$10," cukup baik "," perlu bimbingan ")))</f>
        <v xml:space="preserve"> baik </v>
      </c>
      <c r="BT43" s="524">
        <f t="shared" si="22"/>
        <v>76.75</v>
      </c>
      <c r="BU43" s="115" t="str">
        <f>IF(BT43&gt;KKM!$G$10," sangat baik ",IF(BT43&gt;KKM!$H$10," baik ",IF(BT43&gt;=KKM!$I$10," cukup baik "," perlu bimbingan ")))</f>
        <v xml:space="preserve"> cukup baik </v>
      </c>
      <c r="BV43" s="301" t="str">
        <f t="shared" si="29"/>
        <v>Anak 39 baik  dalam mengenal, memahami dan mengidentifikasi macam-macam kalimat (order, request, and prengenal obyek-obyek wisata dan memahami penggunaan kalimat ungkapan terima kasih, dan  cukup baik  dalam memahami penggunaan kalimat yang menunjukkan letak suatu tempat</v>
      </c>
      <c r="BW43" s="307" t="str">
        <f t="shared" si="23"/>
        <v xml:space="preserve"> baik  dalam mengenal, memahami dan mengidentifikasi macam-macam kalimat (order, request, and prengenal obyek-obyek wisata dan memahami penggunaan kalimat ungkapan terima kasih</v>
      </c>
      <c r="BX43" s="307" t="str">
        <f t="shared" si="24"/>
        <v xml:space="preserve"> cukup baik  dalam memahami penggunaan kalimat yang menunjukkan letak suatu tempat</v>
      </c>
      <c r="BY43"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43" s="307" t="str">
        <f t="shared" si="26"/>
        <v xml:space="preserve"> </v>
      </c>
      <c r="CA43"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43" s="301" t="str">
        <f t="shared" si="28"/>
        <v>Anak 39 baik  dalam mengenal, memahami dan mengidentifikasi macam-macam kalimat (order, request, and prengenal obyek-obyek wisata dan memahami penggunaan kalimat ungkapan terima kasih, dan  cukup baik  dalam memahami penggunaan kalimat yang menunjukkan letak suatu tempat</v>
      </c>
    </row>
    <row r="44" spans="2:80" ht="57" customHeight="1">
      <c r="B44" s="109">
        <v>40</v>
      </c>
      <c r="C44" s="110">
        <f>SISWA!B45</f>
        <v>0</v>
      </c>
      <c r="D44" s="111" t="str">
        <f>SISWA!E45</f>
        <v>Anak 40</v>
      </c>
      <c r="E44" s="631">
        <v>99</v>
      </c>
      <c r="F44" s="631">
        <v>99</v>
      </c>
      <c r="G44" s="631">
        <v>99</v>
      </c>
      <c r="H44" s="631">
        <v>99</v>
      </c>
      <c r="I44" s="613"/>
      <c r="J44" s="613"/>
      <c r="K44" s="613"/>
      <c r="L44" s="731"/>
      <c r="M44" s="731"/>
      <c r="N44" s="731"/>
      <c r="O44" s="731"/>
      <c r="P44" s="613"/>
      <c r="Q44" s="613"/>
      <c r="R44" s="610"/>
      <c r="S44" s="613">
        <v>90</v>
      </c>
      <c r="T44" s="613">
        <v>77.75</v>
      </c>
      <c r="U44" s="609"/>
      <c r="V44" s="609"/>
      <c r="W44" s="609"/>
      <c r="X44" s="609"/>
      <c r="Y44" s="609"/>
      <c r="Z44" s="610"/>
      <c r="AA44" s="613"/>
      <c r="AB44" s="613">
        <v>90</v>
      </c>
      <c r="AC44" s="613">
        <v>77.75</v>
      </c>
      <c r="AD44" s="613"/>
      <c r="AE44" s="613"/>
      <c r="AF44" s="613"/>
      <c r="AG44" s="613" t="str">
        <f>IFERROR(AVERAGE(#REF!),"")</f>
        <v/>
      </c>
      <c r="AH44" s="518"/>
      <c r="AI44" s="607">
        <f t="shared" si="9"/>
        <v>96</v>
      </c>
      <c r="AJ44" s="607">
        <f t="shared" si="10"/>
        <v>91.4375</v>
      </c>
      <c r="AK44" s="607">
        <f t="shared" si="11"/>
        <v>91.916666666666671</v>
      </c>
      <c r="AL44" s="607">
        <f t="shared" si="12"/>
        <v>99</v>
      </c>
      <c r="AM44" s="607" t="str">
        <f t="shared" si="13"/>
        <v/>
      </c>
      <c r="AN44" s="607" t="str">
        <f t="shared" si="14"/>
        <v/>
      </c>
      <c r="AO44" s="607" t="str">
        <f t="shared" si="15"/>
        <v/>
      </c>
      <c r="AP44" s="302">
        <f t="shared" si="30"/>
        <v>95</v>
      </c>
      <c r="AQ44" s="303" t="str">
        <f>IF(AP44&gt;KKM!$G$10,"A",IF(AP44&gt;KKM!$H$10,"B",IF(AP44&gt;=KKM!$I$10,"C","D")))</f>
        <v>A</v>
      </c>
      <c r="AR44" s="304">
        <f t="shared" si="31"/>
        <v>99</v>
      </c>
      <c r="AS44" s="115" t="str">
        <f>IF(AR44&gt;KKM!$G$10," sangat baik ",IF(AR44&gt;KKM!$H$10," baik ",IF(AR44&gt;=KKM!$I$10," cukup baik "," perlu bimbingan ")))</f>
        <v xml:space="preserve"> sangat baik </v>
      </c>
      <c r="AT44" s="305">
        <f t="shared" si="32"/>
        <v>91.4375</v>
      </c>
      <c r="AU44" s="115" t="str">
        <f>IF(AT44&gt;KKM!$G$10," sangat baik ",IF(AT44&gt;KKM!$H$10," baik ",IF(AT44&gt;=KKM!$I$10," cukup baik "," perlu bimbingan ")))</f>
        <v xml:space="preserve"> sangat baik </v>
      </c>
      <c r="AV44" s="301" t="str">
        <f t="shared" si="16"/>
        <v>Anak 40 sangat baik  dalam mengenal dan mengidentifikasi benda-benda di dapur dan nama-nama bunga, dan  sangat baik  dalam memahami penggunaan kalimat yang menunjukkan letak suatu tempat</v>
      </c>
      <c r="AW44" s="306"/>
      <c r="AX44" s="307" t="str">
        <f t="shared" si="33"/>
        <v xml:space="preserve"> sangat baik  dalam mengenal dan mengidentifikasi benda-benda di dapur dan nama-nama bunga</v>
      </c>
      <c r="AY44" s="307" t="str">
        <f t="shared" si="34"/>
        <v xml:space="preserve"> sangat baik  dalam memahami penggunaan kalimat yang menunjukkan letak suatu tempat</v>
      </c>
      <c r="AZ44" s="307" t="str">
        <f t="shared" si="17"/>
        <v xml:space="preserve"> sangat baik  dalam mengenal dan mengidentifikasi benda-benda di dapur dan nama-nama bunga, dan  sangat baik  dalam memahami penggunaan kalimat yang menunjukkan letak suatu tempat</v>
      </c>
      <c r="BA44" s="307" t="str">
        <f t="shared" si="18"/>
        <v xml:space="preserve"> </v>
      </c>
      <c r="BB44" s="308" t="str">
        <f t="shared" si="19"/>
        <v xml:space="preserve"> sangat baik  dalam mengenal dan mengidentifikasi benda-benda di dapur dan nama-nama bunga, dan  sangat baik  dalam memahami penggunaan kalimat yang menunjukkan letak suatu tempat</v>
      </c>
      <c r="BC44" s="301" t="str">
        <f t="shared" si="35"/>
        <v>Anak 40 sangat baik  dalam mengenal dan mengidentifikasi benda-benda di dapur dan nama-nama bunga, dan  sangat baik  dalam memahami penggunaan kalimat yang menunjukkan letak suatu tempat</v>
      </c>
      <c r="BD44" s="120"/>
      <c r="BP44" s="302">
        <f t="shared" si="20"/>
        <v>84</v>
      </c>
      <c r="BQ44" s="303" t="str">
        <f>IF(BP44&gt;KKM!$G$10,"A",IF(BP44&gt;KKM!$H$10,"B",IF(BP44&gt;=KKM!$I$10,"C","D")))</f>
        <v>B</v>
      </c>
      <c r="BR44" s="523">
        <f t="shared" si="21"/>
        <v>90</v>
      </c>
      <c r="BS44" s="115" t="str">
        <f>IF(BR44&gt;KKM!$G$10," sangat baik ",IF(BR44&gt;KKM!$H$10," baik ",IF(BR44&gt;=KKM!$I$10," cukup baik "," perlu bimbingan ")))</f>
        <v xml:space="preserve"> baik </v>
      </c>
      <c r="BT44" s="524">
        <f t="shared" si="22"/>
        <v>77.75</v>
      </c>
      <c r="BU44" s="115" t="str">
        <f>IF(BT44&gt;KKM!$G$10," sangat baik ",IF(BT44&gt;KKM!$H$10," baik ",IF(BT44&gt;=KKM!$I$10," cukup baik "," perlu bimbingan ")))</f>
        <v xml:space="preserve"> cukup baik </v>
      </c>
      <c r="BV44" s="301" t="str">
        <f t="shared" si="29"/>
        <v>Anak 40 baik  dalam mengenal, memahami dan mengidentifikasi macam-macam kalimat (order, request, and prengenal obyek-obyek wisata dan memahami penggunaan kalimat ungkapan terima kasih, dan  cukup baik  dalam memahami penggunaan kalimat yang menunjukkan letak suatu tempat</v>
      </c>
      <c r="BW44" s="307" t="str">
        <f t="shared" si="23"/>
        <v xml:space="preserve"> baik  dalam mengenal, memahami dan mengidentifikasi macam-macam kalimat (order, request, and prengenal obyek-obyek wisata dan memahami penggunaan kalimat ungkapan terima kasih</v>
      </c>
      <c r="BX44" s="307" t="str">
        <f t="shared" si="24"/>
        <v xml:space="preserve"> cukup baik  dalam memahami penggunaan kalimat yang menunjukkan letak suatu tempat</v>
      </c>
      <c r="BY44"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44" s="307" t="str">
        <f t="shared" si="26"/>
        <v xml:space="preserve"> </v>
      </c>
      <c r="CA44"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44" s="301" t="str">
        <f t="shared" si="28"/>
        <v>Anak 40 baik  dalam mengenal, memahami dan mengidentifikasi macam-macam kalimat (order, request, and prengenal obyek-obyek wisata dan memahami penggunaan kalimat ungkapan terima kasih, dan  cukup baik  dalam memahami penggunaan kalimat yang menunjukkan letak suatu tempat</v>
      </c>
    </row>
    <row r="45" spans="2:80" ht="57" customHeight="1">
      <c r="B45" s="109">
        <v>41</v>
      </c>
      <c r="C45" s="110">
        <f>SISWA!B46</f>
        <v>0</v>
      </c>
      <c r="D45" s="111" t="str">
        <f>SISWA!E46</f>
        <v>Anak 41</v>
      </c>
      <c r="E45" s="631">
        <v>99</v>
      </c>
      <c r="F45" s="631">
        <v>99</v>
      </c>
      <c r="G45" s="631">
        <v>99</v>
      </c>
      <c r="H45" s="631">
        <v>99</v>
      </c>
      <c r="I45" s="613"/>
      <c r="J45" s="613"/>
      <c r="K45" s="613"/>
      <c r="L45" s="731"/>
      <c r="M45" s="731"/>
      <c r="N45" s="731"/>
      <c r="O45" s="731"/>
      <c r="P45" s="613"/>
      <c r="Q45" s="613"/>
      <c r="R45" s="610"/>
      <c r="S45" s="613">
        <v>76.5</v>
      </c>
      <c r="T45" s="613">
        <v>90</v>
      </c>
      <c r="U45" s="609"/>
      <c r="V45" s="609"/>
      <c r="W45" s="609"/>
      <c r="X45" s="609"/>
      <c r="Y45" s="609"/>
      <c r="Z45" s="610"/>
      <c r="AA45" s="613"/>
      <c r="AB45" s="613">
        <v>76.5</v>
      </c>
      <c r="AC45" s="613">
        <v>90</v>
      </c>
      <c r="AD45" s="613"/>
      <c r="AE45" s="613"/>
      <c r="AF45" s="613"/>
      <c r="AG45" s="613" t="str">
        <f>IFERROR(AVERAGE(#REF!),"")</f>
        <v/>
      </c>
      <c r="AH45" s="518"/>
      <c r="AI45" s="607">
        <f t="shared" si="9"/>
        <v>91.5</v>
      </c>
      <c r="AJ45" s="607">
        <f t="shared" si="10"/>
        <v>91.125</v>
      </c>
      <c r="AK45" s="607">
        <f t="shared" si="11"/>
        <v>96</v>
      </c>
      <c r="AL45" s="607">
        <f t="shared" si="12"/>
        <v>99</v>
      </c>
      <c r="AM45" s="607" t="str">
        <f t="shared" si="13"/>
        <v/>
      </c>
      <c r="AN45" s="607" t="str">
        <f t="shared" si="14"/>
        <v/>
      </c>
      <c r="AO45" s="607" t="str">
        <f t="shared" si="15"/>
        <v/>
      </c>
      <c r="AP45" s="302">
        <f t="shared" si="30"/>
        <v>94</v>
      </c>
      <c r="AQ45" s="303" t="str">
        <f>IF(AP45&gt;KKM!$G$10,"A",IF(AP45&gt;KKM!$H$10,"B",IF(AP45&gt;=KKM!$I$10,"C","D")))</f>
        <v>A</v>
      </c>
      <c r="AR45" s="304">
        <f t="shared" si="31"/>
        <v>99</v>
      </c>
      <c r="AS45" s="115" t="str">
        <f>IF(AR45&gt;KKM!$G$10," sangat baik ",IF(AR45&gt;KKM!$H$10," baik ",IF(AR45&gt;=KKM!$I$10," cukup baik "," perlu bimbingan ")))</f>
        <v xml:space="preserve"> sangat baik </v>
      </c>
      <c r="AT45" s="305">
        <f t="shared" si="32"/>
        <v>91.125</v>
      </c>
      <c r="AU45" s="115" t="str">
        <f>IF(AT45&gt;KKM!$G$10," sangat baik ",IF(AT45&gt;KKM!$H$10," baik ",IF(AT45&gt;=KKM!$I$10," cukup baik "," perlu bimbingan ")))</f>
        <v xml:space="preserve"> sangat baik </v>
      </c>
      <c r="AV45" s="301" t="str">
        <f t="shared" si="16"/>
        <v>Anak 41 sangat baik  dalam mengenal dan mengidentifikasi benda-benda di dapur dan nama-nama bunga, dan  sangat baik  dalam memahami penggunaan kalimat yang menunjukkan letak suatu tempat</v>
      </c>
      <c r="AW45" s="306"/>
      <c r="AX45" s="307" t="str">
        <f t="shared" si="33"/>
        <v xml:space="preserve"> sangat baik  dalam mengenal dan mengidentifikasi benda-benda di dapur dan nama-nama bunga</v>
      </c>
      <c r="AY45" s="307" t="str">
        <f t="shared" si="34"/>
        <v xml:space="preserve"> sangat baik  dalam memahami penggunaan kalimat yang menunjukkan letak suatu tempat</v>
      </c>
      <c r="AZ45" s="307" t="str">
        <f t="shared" si="17"/>
        <v xml:space="preserve"> sangat baik  dalam mengenal dan mengidentifikasi benda-benda di dapur dan nama-nama bunga, dan  sangat baik  dalam memahami penggunaan kalimat yang menunjukkan letak suatu tempat</v>
      </c>
      <c r="BA45" s="307" t="str">
        <f t="shared" si="18"/>
        <v xml:space="preserve"> </v>
      </c>
      <c r="BB45" s="308" t="str">
        <f t="shared" si="19"/>
        <v xml:space="preserve"> sangat baik  dalam mengenal dan mengidentifikasi benda-benda di dapur dan nama-nama bunga, dan  sangat baik  dalam memahami penggunaan kalimat yang menunjukkan letak suatu tempat</v>
      </c>
      <c r="BC45" s="301" t="str">
        <f t="shared" si="35"/>
        <v>Anak 41 sangat baik  dalam mengenal dan mengidentifikasi benda-benda di dapur dan nama-nama bunga, dan  sangat baik  dalam memahami penggunaan kalimat yang menunjukkan letak suatu tempat</v>
      </c>
      <c r="BD45" s="120"/>
      <c r="BP45" s="302">
        <f t="shared" si="20"/>
        <v>83</v>
      </c>
      <c r="BQ45" s="303" t="str">
        <f>IF(BP45&gt;KKM!$G$10,"A",IF(BP45&gt;KKM!$H$10,"B",IF(BP45&gt;=KKM!$I$10,"C","D")))</f>
        <v>B</v>
      </c>
      <c r="BR45" s="523">
        <f t="shared" si="21"/>
        <v>90</v>
      </c>
      <c r="BS45" s="115" t="str">
        <f>IF(BR45&gt;KKM!$G$10," sangat baik ",IF(BR45&gt;KKM!$H$10," baik ",IF(BR45&gt;=KKM!$I$10," cukup baik "," perlu bimbingan ")))</f>
        <v xml:space="preserve"> baik </v>
      </c>
      <c r="BT45" s="524">
        <f t="shared" si="22"/>
        <v>76.5</v>
      </c>
      <c r="BU45" s="115" t="str">
        <f>IF(BT45&gt;KKM!$G$10," sangat baik ",IF(BT45&gt;KKM!$H$10," baik ",IF(BT45&gt;=KKM!$I$10," cukup baik "," perlu bimbingan ")))</f>
        <v xml:space="preserve"> cukup baik </v>
      </c>
      <c r="BV45" s="301" t="str">
        <f t="shared" si="29"/>
        <v>Anak 41 baik  dalam memahami penggunaan kalimat yang menunjukkan letak suatu tempat, dan  cukup baik  dalam mengenal, memahami dan mengidentifikasi macam-macam kalimat (order, request, and prengenal obyek-obyek wisata dan memahami penggunaan kalimat ungkapan terima kasih</v>
      </c>
      <c r="BW45" s="307" t="str">
        <f t="shared" si="23"/>
        <v xml:space="preserve"> baik  dalam memahami penggunaan kalimat yang menunjukkan letak suatu tempat</v>
      </c>
      <c r="BX45" s="307" t="str">
        <f t="shared" si="24"/>
        <v xml:space="preserve"> cukup baik  dalam mengenal, memahami dan mengidentifikasi macam-macam kalimat (order, request, and prengenal obyek-obyek wisata dan memahami penggunaan kalimat ungkapan terima kasih</v>
      </c>
      <c r="BY45"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45" s="307" t="str">
        <f t="shared" si="26"/>
        <v xml:space="preserve"> </v>
      </c>
      <c r="CA45"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45" s="301" t="str">
        <f t="shared" si="28"/>
        <v>Anak 41 baik  dalam memahami penggunaan kalimat yang menunjukkan letak suatu tempat, dan  cukup baik  dalam mengenal, memahami dan mengidentifikasi macam-macam kalimat (order, request, and prengenal obyek-obyek wisata dan memahami penggunaan kalimat ungkapan terima kasih</v>
      </c>
    </row>
    <row r="46" spans="2:80" ht="57" customHeight="1">
      <c r="B46" s="109">
        <v>42</v>
      </c>
      <c r="C46" s="110">
        <f>SISWA!B47</f>
        <v>0</v>
      </c>
      <c r="D46" s="111" t="str">
        <f>SISWA!E47</f>
        <v>Anak 42</v>
      </c>
      <c r="E46" s="631">
        <v>99</v>
      </c>
      <c r="F46" s="631">
        <v>99</v>
      </c>
      <c r="G46" s="631">
        <v>99</v>
      </c>
      <c r="H46" s="631">
        <v>99</v>
      </c>
      <c r="I46" s="613"/>
      <c r="J46" s="613"/>
      <c r="K46" s="613"/>
      <c r="L46" s="731"/>
      <c r="M46" s="731"/>
      <c r="N46" s="731"/>
      <c r="O46" s="731"/>
      <c r="P46" s="613"/>
      <c r="Q46" s="613"/>
      <c r="R46" s="610"/>
      <c r="S46" s="613">
        <v>83</v>
      </c>
      <c r="T46" s="613">
        <v>87.25</v>
      </c>
      <c r="U46" s="609"/>
      <c r="V46" s="609"/>
      <c r="W46" s="609"/>
      <c r="X46" s="609"/>
      <c r="Y46" s="609"/>
      <c r="Z46" s="610"/>
      <c r="AA46" s="613"/>
      <c r="AB46" s="613">
        <v>83</v>
      </c>
      <c r="AC46" s="613">
        <v>87.25</v>
      </c>
      <c r="AD46" s="613"/>
      <c r="AE46" s="613"/>
      <c r="AF46" s="613"/>
      <c r="AG46" s="613" t="str">
        <f>IFERROR(AVERAGE(#REF!),"")</f>
        <v/>
      </c>
      <c r="AH46" s="518"/>
      <c r="AI46" s="607">
        <f t="shared" si="9"/>
        <v>93.666666666666671</v>
      </c>
      <c r="AJ46" s="607">
        <f t="shared" si="10"/>
        <v>92.0625</v>
      </c>
      <c r="AK46" s="607">
        <f t="shared" si="11"/>
        <v>95.083333333333329</v>
      </c>
      <c r="AL46" s="607">
        <f t="shared" si="12"/>
        <v>99</v>
      </c>
      <c r="AM46" s="607" t="str">
        <f t="shared" si="13"/>
        <v/>
      </c>
      <c r="AN46" s="607" t="str">
        <f t="shared" si="14"/>
        <v/>
      </c>
      <c r="AO46" s="607" t="str">
        <f t="shared" si="15"/>
        <v/>
      </c>
      <c r="AP46" s="302">
        <f t="shared" si="30"/>
        <v>95</v>
      </c>
      <c r="AQ46" s="303" t="str">
        <f>IF(AP46&gt;KKM!$G$10,"A",IF(AP46&gt;KKM!$H$10,"B",IF(AP46&gt;=KKM!$I$10,"C","D")))</f>
        <v>A</v>
      </c>
      <c r="AR46" s="304">
        <f t="shared" si="31"/>
        <v>99</v>
      </c>
      <c r="AS46" s="115" t="str">
        <f>IF(AR46&gt;KKM!$G$10," sangat baik ",IF(AR46&gt;KKM!$H$10," baik ",IF(AR46&gt;=KKM!$I$10," cukup baik "," perlu bimbingan ")))</f>
        <v xml:space="preserve"> sangat baik </v>
      </c>
      <c r="AT46" s="305">
        <f t="shared" si="32"/>
        <v>92.0625</v>
      </c>
      <c r="AU46" s="115" t="str">
        <f>IF(AT46&gt;KKM!$G$10," sangat baik ",IF(AT46&gt;KKM!$H$10," baik ",IF(AT46&gt;=KKM!$I$10," cukup baik "," perlu bimbingan ")))</f>
        <v xml:space="preserve"> sangat baik </v>
      </c>
      <c r="AV46" s="301" t="str">
        <f t="shared" si="16"/>
        <v>Anak 42 sangat baik  dalam mengenal dan mengidentifikasi benda-benda di dapur dan nama-nama bunga, dan  sangat baik  dalam memahami penggunaan kalimat yang menunjukkan letak suatu tempat</v>
      </c>
      <c r="AW46" s="306"/>
      <c r="AX46" s="307" t="str">
        <f t="shared" si="33"/>
        <v xml:space="preserve"> sangat baik  dalam mengenal dan mengidentifikasi benda-benda di dapur dan nama-nama bunga</v>
      </c>
      <c r="AY46" s="307" t="str">
        <f t="shared" si="34"/>
        <v xml:space="preserve"> sangat baik  dalam memahami penggunaan kalimat yang menunjukkan letak suatu tempat</v>
      </c>
      <c r="AZ46" s="307" t="str">
        <f t="shared" si="17"/>
        <v xml:space="preserve"> sangat baik  dalam mengenal dan mengidentifikasi benda-benda di dapur dan nama-nama bunga, dan  sangat baik  dalam memahami penggunaan kalimat yang menunjukkan letak suatu tempat</v>
      </c>
      <c r="BA46" s="307" t="str">
        <f t="shared" si="18"/>
        <v xml:space="preserve"> </v>
      </c>
      <c r="BB46" s="308" t="str">
        <f t="shared" si="19"/>
        <v xml:space="preserve"> sangat baik  dalam mengenal dan mengidentifikasi benda-benda di dapur dan nama-nama bunga, dan  sangat baik  dalam memahami penggunaan kalimat yang menunjukkan letak suatu tempat</v>
      </c>
      <c r="BC46" s="301" t="str">
        <f t="shared" si="35"/>
        <v>Anak 42 sangat baik  dalam mengenal dan mengidentifikasi benda-benda di dapur dan nama-nama bunga, dan  sangat baik  dalam memahami penggunaan kalimat yang menunjukkan letak suatu tempat</v>
      </c>
      <c r="BD46" s="120"/>
      <c r="BP46" s="302">
        <f t="shared" si="20"/>
        <v>85</v>
      </c>
      <c r="BQ46" s="303" t="str">
        <f>IF(BP46&gt;KKM!$G$10,"A",IF(BP46&gt;KKM!$H$10,"B",IF(BP46&gt;=KKM!$I$10,"C","D")))</f>
        <v>B</v>
      </c>
      <c r="BR46" s="523">
        <f t="shared" si="21"/>
        <v>87.25</v>
      </c>
      <c r="BS46" s="115" t="str">
        <f>IF(BR46&gt;KKM!$G$10," sangat baik ",IF(BR46&gt;KKM!$H$10," baik ",IF(BR46&gt;=KKM!$I$10," cukup baik "," perlu bimbingan ")))</f>
        <v xml:space="preserve"> baik </v>
      </c>
      <c r="BT46" s="524">
        <f t="shared" si="22"/>
        <v>83</v>
      </c>
      <c r="BU46" s="115" t="str">
        <f>IF(BT46&gt;KKM!$G$10," sangat baik ",IF(BT46&gt;KKM!$H$10," baik ",IF(BT46&gt;=KKM!$I$10," cukup baik "," perlu bimbingan ")))</f>
        <v xml:space="preserve"> baik </v>
      </c>
      <c r="BV46" s="301" t="str">
        <f t="shared" si="29"/>
        <v>Anak 42 baik  dalam memahami penggunaan kalimat yang menunjukkan letak suatu tempat, dan  baik  dalam mengenal, memahami dan mengidentifikasi macam-macam kalimat (order, request, and prengenal obyek-obyek wisata dan memahami penggunaan kalimat ungkapan terima kasih</v>
      </c>
      <c r="BW46" s="307" t="str">
        <f t="shared" si="23"/>
        <v xml:space="preserve"> baik  dalam memahami penggunaan kalimat yang menunjukkan letak suatu tempat</v>
      </c>
      <c r="BX46" s="307" t="str">
        <f t="shared" si="24"/>
        <v xml:space="preserve"> baik  dalam mengenal, memahami dan mengidentifikasi macam-macam kalimat (order, request, and prengenal obyek-obyek wisata dan memahami penggunaan kalimat ungkapan terima kasih</v>
      </c>
      <c r="BY46" s="307" t="str">
        <f t="shared" si="25"/>
        <v xml:space="preserve"> baik  dalam memahami penggunaan kalimat yang menunjukkan letak suatu tempat, dan  baik  dalam mengenal, memahami dan mengidentifikasi macam-macam kalimat (order, request, and prengenal obyek-obyek wisata dan memahami penggunaan kalimat ungkapan terima kasih</v>
      </c>
      <c r="BZ46" s="307" t="str">
        <f t="shared" si="26"/>
        <v xml:space="preserve"> </v>
      </c>
      <c r="CA46" s="308" t="str">
        <f t="shared" si="27"/>
        <v xml:space="preserve"> baik  dalam memahami penggunaan kalimat yang menunjukkan letak suatu tempat, dan  baik  dalam mengenal, memahami dan mengidentifikasi macam-macam kalimat (order, request, and prengenal obyek-obyek wisata dan memahami penggunaan kalimat ungkapan terima kasih</v>
      </c>
      <c r="CB46" s="301" t="str">
        <f t="shared" si="28"/>
        <v>Anak 42 baik  dalam memahami penggunaan kalimat yang menunjukkan letak suatu tempat, dan  baik  dalam mengenal, memahami dan mengidentifikasi macam-macam kalimat (order, request, and prengenal obyek-obyek wisata dan memahami penggunaan kalimat ungkapan terima kasih</v>
      </c>
    </row>
    <row r="47" spans="2:80" ht="57" customHeight="1">
      <c r="B47" s="109">
        <v>43</v>
      </c>
      <c r="C47" s="110">
        <f>SISWA!B48</f>
        <v>0</v>
      </c>
      <c r="D47" s="111" t="str">
        <f>SISWA!E48</f>
        <v>Anak 43</v>
      </c>
      <c r="E47" s="631">
        <v>99</v>
      </c>
      <c r="F47" s="631">
        <v>99</v>
      </c>
      <c r="G47" s="631">
        <v>99</v>
      </c>
      <c r="H47" s="631">
        <v>99</v>
      </c>
      <c r="I47" s="613"/>
      <c r="J47" s="613"/>
      <c r="K47" s="613"/>
      <c r="L47" s="731"/>
      <c r="M47" s="731"/>
      <c r="N47" s="731"/>
      <c r="O47" s="731"/>
      <c r="P47" s="613"/>
      <c r="Q47" s="613"/>
      <c r="R47" s="610"/>
      <c r="S47" s="613">
        <v>74.5</v>
      </c>
      <c r="T47" s="613">
        <v>77.5</v>
      </c>
      <c r="U47" s="609"/>
      <c r="V47" s="609"/>
      <c r="W47" s="609"/>
      <c r="X47" s="609"/>
      <c r="Y47" s="609"/>
      <c r="Z47" s="610"/>
      <c r="AA47" s="613"/>
      <c r="AB47" s="613">
        <v>74.5</v>
      </c>
      <c r="AC47" s="613">
        <v>77.5</v>
      </c>
      <c r="AD47" s="613"/>
      <c r="AE47" s="613"/>
      <c r="AF47" s="613"/>
      <c r="AG47" s="613" t="str">
        <f>IFERROR(AVERAGE(#REF!),"")</f>
        <v/>
      </c>
      <c r="AH47" s="518"/>
      <c r="AI47" s="607">
        <f t="shared" si="9"/>
        <v>90.833333333333329</v>
      </c>
      <c r="AJ47" s="607">
        <f t="shared" si="10"/>
        <v>87.5</v>
      </c>
      <c r="AK47" s="607">
        <f t="shared" si="11"/>
        <v>91.833333333333329</v>
      </c>
      <c r="AL47" s="607">
        <f t="shared" si="12"/>
        <v>99</v>
      </c>
      <c r="AM47" s="607" t="str">
        <f t="shared" si="13"/>
        <v/>
      </c>
      <c r="AN47" s="607" t="str">
        <f t="shared" si="14"/>
        <v/>
      </c>
      <c r="AO47" s="607" t="str">
        <f t="shared" si="15"/>
        <v/>
      </c>
      <c r="AP47" s="302">
        <f t="shared" si="30"/>
        <v>92</v>
      </c>
      <c r="AQ47" s="303" t="str">
        <f>IF(AP47&gt;KKM!$G$10,"A",IF(AP47&gt;KKM!$H$10,"B",IF(AP47&gt;=KKM!$I$10,"C","D")))</f>
        <v>A</v>
      </c>
      <c r="AR47" s="304">
        <f t="shared" si="31"/>
        <v>99</v>
      </c>
      <c r="AS47" s="115" t="str">
        <f>IF(AR47&gt;KKM!$G$10," sangat baik ",IF(AR47&gt;KKM!$H$10," baik ",IF(AR47&gt;=KKM!$I$10," cukup baik "," perlu bimbingan ")))</f>
        <v xml:space="preserve"> sangat baik </v>
      </c>
      <c r="AT47" s="305">
        <f t="shared" si="32"/>
        <v>87.5</v>
      </c>
      <c r="AU47" s="115" t="str">
        <f>IF(AT47&gt;KKM!$G$10," sangat baik ",IF(AT47&gt;KKM!$H$10," baik ",IF(AT47&gt;=KKM!$I$10," cukup baik "," perlu bimbingan ")))</f>
        <v xml:space="preserve"> baik </v>
      </c>
      <c r="AV47" s="301" t="str">
        <f t="shared" si="16"/>
        <v>Anak 43 sangat baik  dalam mengenal dan mengidentifikasi benda-benda di dapur dan nama-nama bunga, dan  baik  dalam memahami penggunaan kalimat yang menunjukkan letak suatu tempat</v>
      </c>
      <c r="AW47" s="306"/>
      <c r="AX47" s="307" t="str">
        <f t="shared" si="33"/>
        <v xml:space="preserve"> sangat baik  dalam mengenal dan mengidentifikasi benda-benda di dapur dan nama-nama bunga</v>
      </c>
      <c r="AY47" s="307" t="str">
        <f t="shared" si="34"/>
        <v xml:space="preserve"> baik  dalam memahami penggunaan kalimat yang menunjukkan letak suatu tempat</v>
      </c>
      <c r="AZ47" s="307" t="str">
        <f t="shared" si="17"/>
        <v xml:space="preserve"> sangat baik  dalam mengenal dan mengidentifikasi benda-benda di dapur dan nama-nama bunga, dan  baik  dalam memahami penggunaan kalimat yang menunjukkan letak suatu tempat</v>
      </c>
      <c r="BA47" s="307" t="str">
        <f t="shared" si="18"/>
        <v xml:space="preserve"> </v>
      </c>
      <c r="BB47" s="308" t="str">
        <f t="shared" si="19"/>
        <v xml:space="preserve"> sangat baik  dalam mengenal dan mengidentifikasi benda-benda di dapur dan nama-nama bunga, dan  baik  dalam memahami penggunaan kalimat yang menunjukkan letak suatu tempat</v>
      </c>
      <c r="BC47" s="301" t="str">
        <f t="shared" si="35"/>
        <v>Anak 43 sangat baik  dalam mengenal dan mengidentifikasi benda-benda di dapur dan nama-nama bunga, dan  baik  dalam memahami penggunaan kalimat yang menunjukkan letak suatu tempat</v>
      </c>
      <c r="BD47" s="120"/>
      <c r="BP47" s="302">
        <f t="shared" si="20"/>
        <v>76</v>
      </c>
      <c r="BQ47" s="303" t="str">
        <f>IF(BP47&gt;KKM!$G$10,"A",IF(BP47&gt;KKM!$H$10,"B",IF(BP47&gt;=KKM!$I$10,"C","D")))</f>
        <v>C</v>
      </c>
      <c r="BR47" s="523">
        <f t="shared" si="21"/>
        <v>77.5</v>
      </c>
      <c r="BS47" s="115" t="str">
        <f>IF(BR47&gt;KKM!$G$10," sangat baik ",IF(BR47&gt;KKM!$H$10," baik ",IF(BR47&gt;=KKM!$I$10," cukup baik "," perlu bimbingan ")))</f>
        <v xml:space="preserve"> cukup baik </v>
      </c>
      <c r="BT47" s="524">
        <f t="shared" si="22"/>
        <v>74.5</v>
      </c>
      <c r="BU47" s="115" t="str">
        <f>IF(BT47&gt;KKM!$G$10," sangat baik ",IF(BT47&gt;KKM!$H$10," baik ",IF(BT47&gt;=KKM!$I$10," cukup baik "," perlu bimbingan ")))</f>
        <v xml:space="preserve"> cukup baik </v>
      </c>
      <c r="BV47" s="301" t="str">
        <f t="shared" si="29"/>
        <v>Anak 43 cukup baik  dalam memahami penggunaan kalimat yang menunjukkan letak suatu tempat, dan  cukup baik  dalam mengenal, memahami dan mengidentifikasi macam-macam kalimat (order, request, and prengenal obyek-obyek wisata dan memahami penggunaan kalimat ungkapan terima kasih</v>
      </c>
      <c r="BW47" s="307" t="str">
        <f t="shared" si="23"/>
        <v xml:space="preserve"> cukup baik  dalam memahami penggunaan kalimat yang menunjukkan letak suatu tempat</v>
      </c>
      <c r="BX47" s="307" t="str">
        <f t="shared" si="24"/>
        <v xml:space="preserve"> cukup baik  dalam mengenal, memahami dan mengidentifikasi macam-macam kalimat (order, request, and prengenal obyek-obyek wisata dan memahami penggunaan kalimat ungkapan terima kasih</v>
      </c>
      <c r="BY47" s="307" t="str">
        <f t="shared" si="25"/>
        <v xml:space="preserve"> cukup baik  dalam memahami penggunaan kalimat yang menunjukkan letak suatu tempat, dan  cukup baik  dalam mengenal, memahami dan mengidentifikasi macam-macam kalimat (order, request, and prengenal obyek-obyek wisata dan memahami penggunaan kalimat ungkapan terima kasih</v>
      </c>
      <c r="BZ47" s="307" t="str">
        <f t="shared" si="26"/>
        <v xml:space="preserve"> </v>
      </c>
      <c r="CA47" s="308" t="str">
        <f t="shared" si="27"/>
        <v xml:space="preserve"> cukup baik  dalam memahami penggunaan kalimat yang menunjukkan letak suatu tempat, dan  cukup baik  dalam mengenal, memahami dan mengidentifikasi macam-macam kalimat (order, request, and prengenal obyek-obyek wisata dan memahami penggunaan kalimat ungkapan terima kasih</v>
      </c>
      <c r="CB47" s="301" t="str">
        <f t="shared" si="28"/>
        <v>Anak 43 cukup baik  dalam memahami penggunaan kalimat yang menunjukkan letak suatu tempat, dan  cukup baik  dalam mengenal, memahami dan mengidentifikasi macam-macam kalimat (order, request, and prengenal obyek-obyek wisata dan memahami penggunaan kalimat ungkapan terima kasih</v>
      </c>
    </row>
    <row r="48" spans="2:80" ht="57" customHeight="1">
      <c r="B48" s="109">
        <v>44</v>
      </c>
      <c r="C48" s="110">
        <f>SISWA!B49</f>
        <v>0</v>
      </c>
      <c r="D48" s="111" t="str">
        <f>SISWA!E49</f>
        <v>Anak 44</v>
      </c>
      <c r="E48" s="631">
        <v>99</v>
      </c>
      <c r="F48" s="631">
        <v>99</v>
      </c>
      <c r="G48" s="631">
        <v>99</v>
      </c>
      <c r="H48" s="631">
        <v>99</v>
      </c>
      <c r="I48" s="613"/>
      <c r="J48" s="613"/>
      <c r="K48" s="613"/>
      <c r="L48" s="731"/>
      <c r="M48" s="731"/>
      <c r="N48" s="731"/>
      <c r="O48" s="731"/>
      <c r="P48" s="613"/>
      <c r="Q48" s="613"/>
      <c r="R48" s="610"/>
      <c r="S48" s="613">
        <v>74.5</v>
      </c>
      <c r="T48" s="613">
        <v>80.25</v>
      </c>
      <c r="U48" s="609"/>
      <c r="V48" s="609"/>
      <c r="W48" s="609"/>
      <c r="X48" s="609"/>
      <c r="Y48" s="609"/>
      <c r="Z48" s="610"/>
      <c r="AA48" s="613"/>
      <c r="AB48" s="613">
        <v>74.5</v>
      </c>
      <c r="AC48" s="613">
        <v>80.25</v>
      </c>
      <c r="AD48" s="613"/>
      <c r="AE48" s="613"/>
      <c r="AF48" s="613"/>
      <c r="AG48" s="613" t="str">
        <f>IFERROR(AVERAGE(#REF!),"")</f>
        <v/>
      </c>
      <c r="AH48" s="518"/>
      <c r="AI48" s="607">
        <f t="shared" si="9"/>
        <v>90.833333333333329</v>
      </c>
      <c r="AJ48" s="607">
        <f t="shared" si="10"/>
        <v>88.1875</v>
      </c>
      <c r="AK48" s="607">
        <f t="shared" si="11"/>
        <v>92.75</v>
      </c>
      <c r="AL48" s="607">
        <f t="shared" si="12"/>
        <v>99</v>
      </c>
      <c r="AM48" s="607" t="str">
        <f t="shared" si="13"/>
        <v/>
      </c>
      <c r="AN48" s="607" t="str">
        <f t="shared" si="14"/>
        <v/>
      </c>
      <c r="AO48" s="607" t="str">
        <f t="shared" si="15"/>
        <v/>
      </c>
      <c r="AP48" s="302">
        <f t="shared" si="30"/>
        <v>93</v>
      </c>
      <c r="AQ48" s="303" t="str">
        <f>IF(AP48&gt;KKM!$G$10,"A",IF(AP48&gt;KKM!$H$10,"B",IF(AP48&gt;=KKM!$I$10,"C","D")))</f>
        <v>A</v>
      </c>
      <c r="AR48" s="304">
        <f t="shared" si="31"/>
        <v>99</v>
      </c>
      <c r="AS48" s="115" t="str">
        <f>IF(AR48&gt;KKM!$G$10," sangat baik ",IF(AR48&gt;KKM!$H$10," baik ",IF(AR48&gt;=KKM!$I$10," cukup baik "," perlu bimbingan ")))</f>
        <v xml:space="preserve"> sangat baik </v>
      </c>
      <c r="AT48" s="305">
        <f t="shared" si="32"/>
        <v>88.1875</v>
      </c>
      <c r="AU48" s="115" t="str">
        <f>IF(AT48&gt;KKM!$G$10," sangat baik ",IF(AT48&gt;KKM!$H$10," baik ",IF(AT48&gt;=KKM!$I$10," cukup baik "," perlu bimbingan ")))</f>
        <v xml:space="preserve"> baik </v>
      </c>
      <c r="AV48" s="301" t="str">
        <f t="shared" si="16"/>
        <v>Anak 44 sangat baik  dalam mengenal dan mengidentifikasi benda-benda di dapur dan nama-nama bunga, dan  baik  dalam memahami penggunaan kalimat yang menunjukkan letak suatu tempat</v>
      </c>
      <c r="AW48" s="306"/>
      <c r="AX48" s="307" t="str">
        <f t="shared" si="33"/>
        <v xml:space="preserve"> sangat baik  dalam mengenal dan mengidentifikasi benda-benda di dapur dan nama-nama bunga</v>
      </c>
      <c r="AY48" s="307" t="str">
        <f t="shared" si="34"/>
        <v xml:space="preserve"> baik  dalam memahami penggunaan kalimat yang menunjukkan letak suatu tempat</v>
      </c>
      <c r="AZ48" s="307" t="str">
        <f t="shared" si="17"/>
        <v xml:space="preserve"> sangat baik  dalam mengenal dan mengidentifikasi benda-benda di dapur dan nama-nama bunga, dan  baik  dalam memahami penggunaan kalimat yang menunjukkan letak suatu tempat</v>
      </c>
      <c r="BA48" s="307" t="str">
        <f t="shared" si="18"/>
        <v xml:space="preserve"> </v>
      </c>
      <c r="BB48" s="308" t="str">
        <f t="shared" si="19"/>
        <v xml:space="preserve"> sangat baik  dalam mengenal dan mengidentifikasi benda-benda di dapur dan nama-nama bunga, dan  baik  dalam memahami penggunaan kalimat yang menunjukkan letak suatu tempat</v>
      </c>
      <c r="BC48" s="301" t="str">
        <f t="shared" si="35"/>
        <v>Anak 44 sangat baik  dalam mengenal dan mengidentifikasi benda-benda di dapur dan nama-nama bunga, dan  baik  dalam memahami penggunaan kalimat yang menunjukkan letak suatu tempat</v>
      </c>
      <c r="BD48" s="120"/>
      <c r="BP48" s="302">
        <f t="shared" si="20"/>
        <v>77</v>
      </c>
      <c r="BQ48" s="303" t="str">
        <f>IF(BP48&gt;KKM!$G$10,"A",IF(BP48&gt;KKM!$H$10,"B",IF(BP48&gt;=KKM!$I$10,"C","D")))</f>
        <v>C</v>
      </c>
      <c r="BR48" s="523">
        <f t="shared" si="21"/>
        <v>80.25</v>
      </c>
      <c r="BS48" s="115" t="str">
        <f>IF(BR48&gt;KKM!$G$10," sangat baik ",IF(BR48&gt;KKM!$H$10," baik ",IF(BR48&gt;=KKM!$I$10," cukup baik "," perlu bimbingan ")))</f>
        <v xml:space="preserve"> baik </v>
      </c>
      <c r="BT48" s="524">
        <f t="shared" si="22"/>
        <v>74.5</v>
      </c>
      <c r="BU48" s="115" t="str">
        <f>IF(BT48&gt;KKM!$G$10," sangat baik ",IF(BT48&gt;KKM!$H$10," baik ",IF(BT48&gt;=KKM!$I$10," cukup baik "," perlu bimbingan ")))</f>
        <v xml:space="preserve"> cukup baik </v>
      </c>
      <c r="BV48" s="301" t="str">
        <f t="shared" si="29"/>
        <v>Anak 44 baik  dalam memahami penggunaan kalimat yang menunjukkan letak suatu tempat, dan  cukup baik  dalam mengenal, memahami dan mengidentifikasi macam-macam kalimat (order, request, and prengenal obyek-obyek wisata dan memahami penggunaan kalimat ungkapan terima kasih</v>
      </c>
      <c r="BW48" s="307" t="str">
        <f t="shared" si="23"/>
        <v xml:space="preserve"> baik  dalam memahami penggunaan kalimat yang menunjukkan letak suatu tempat</v>
      </c>
      <c r="BX48" s="307" t="str">
        <f t="shared" si="24"/>
        <v xml:space="preserve"> cukup baik  dalam mengenal, memahami dan mengidentifikasi macam-macam kalimat (order, request, and prengenal obyek-obyek wisata dan memahami penggunaan kalimat ungkapan terima kasih</v>
      </c>
      <c r="BY48" s="307" t="str">
        <f t="shared" si="25"/>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BZ48" s="307" t="str">
        <f t="shared" si="26"/>
        <v xml:space="preserve"> </v>
      </c>
      <c r="CA48" s="308" t="str">
        <f t="shared" si="27"/>
        <v xml:space="preserve"> baik  dalam memahami penggunaan kalimat yang menunjukkan letak suatu tempat, dan  cukup baik  dalam mengenal, memahami dan mengidentifikasi macam-macam kalimat (order, request, and prengenal obyek-obyek wisata dan memahami penggunaan kalimat ungkapan terima kasih</v>
      </c>
      <c r="CB48" s="301" t="str">
        <f t="shared" si="28"/>
        <v>Anak 44 baik  dalam memahami penggunaan kalimat yang menunjukkan letak suatu tempat, dan  cukup baik  dalam mengenal, memahami dan mengidentifikasi macam-macam kalimat (order, request, and prengenal obyek-obyek wisata dan memahami penggunaan kalimat ungkapan terima kasih</v>
      </c>
    </row>
    <row r="49" spans="2:80" ht="57" customHeight="1">
      <c r="B49" s="109">
        <v>45</v>
      </c>
      <c r="C49" s="110">
        <f>SISWA!B50</f>
        <v>0</v>
      </c>
      <c r="D49" s="111" t="str">
        <f>SISWA!E50</f>
        <v>Anak 45</v>
      </c>
      <c r="E49" s="631">
        <v>99</v>
      </c>
      <c r="F49" s="631">
        <v>99</v>
      </c>
      <c r="G49" s="631">
        <v>99</v>
      </c>
      <c r="H49" s="631">
        <v>99</v>
      </c>
      <c r="I49" s="613"/>
      <c r="J49" s="613"/>
      <c r="K49" s="613"/>
      <c r="L49" s="731"/>
      <c r="M49" s="731"/>
      <c r="N49" s="731"/>
      <c r="O49" s="731"/>
      <c r="P49" s="613"/>
      <c r="Q49" s="613"/>
      <c r="R49" s="610"/>
      <c r="S49" s="613">
        <v>74.5</v>
      </c>
      <c r="T49" s="613">
        <v>72.25</v>
      </c>
      <c r="U49" s="609"/>
      <c r="V49" s="609"/>
      <c r="W49" s="609"/>
      <c r="X49" s="609"/>
      <c r="Y49" s="609"/>
      <c r="Z49" s="610"/>
      <c r="AA49" s="613"/>
      <c r="AB49" s="613">
        <v>74.5</v>
      </c>
      <c r="AC49" s="613">
        <v>72.25</v>
      </c>
      <c r="AD49" s="613"/>
      <c r="AE49" s="613"/>
      <c r="AF49" s="613"/>
      <c r="AG49" s="613" t="str">
        <f>IFERROR(AVERAGE(#REF!),"")</f>
        <v/>
      </c>
      <c r="AH49" s="518"/>
      <c r="AI49" s="607">
        <f t="shared" si="9"/>
        <v>90.833333333333329</v>
      </c>
      <c r="AJ49" s="607">
        <f t="shared" si="10"/>
        <v>86.1875</v>
      </c>
      <c r="AK49" s="607">
        <f t="shared" si="11"/>
        <v>90.083333333333329</v>
      </c>
      <c r="AL49" s="607">
        <f t="shared" si="12"/>
        <v>99</v>
      </c>
      <c r="AM49" s="607" t="str">
        <f t="shared" si="13"/>
        <v/>
      </c>
      <c r="AN49" s="607" t="str">
        <f t="shared" si="14"/>
        <v/>
      </c>
      <c r="AO49" s="607" t="str">
        <f t="shared" si="15"/>
        <v/>
      </c>
      <c r="AP49" s="302">
        <f t="shared" si="30"/>
        <v>92</v>
      </c>
      <c r="AQ49" s="303" t="str">
        <f>IF(AP49&gt;KKM!$G$10,"A",IF(AP49&gt;KKM!$H$10,"B",IF(AP49&gt;=KKM!$I$10,"C","D")))</f>
        <v>A</v>
      </c>
      <c r="AR49" s="304">
        <f t="shared" si="31"/>
        <v>99</v>
      </c>
      <c r="AS49" s="115" t="str">
        <f>IF(AR49&gt;KKM!$G$10," sangat baik ",IF(AR49&gt;KKM!$H$10," baik ",IF(AR49&gt;=KKM!$I$10," cukup baik "," perlu bimbingan ")))</f>
        <v xml:space="preserve"> sangat baik </v>
      </c>
      <c r="AT49" s="305">
        <f t="shared" si="32"/>
        <v>86.1875</v>
      </c>
      <c r="AU49" s="115" t="str">
        <f>IF(AT49&gt;KKM!$G$10," sangat baik ",IF(AT49&gt;KKM!$H$10," baik ",IF(AT49&gt;=KKM!$I$10," cukup baik "," perlu bimbingan ")))</f>
        <v xml:space="preserve"> baik </v>
      </c>
      <c r="AV49" s="301" t="str">
        <f t="shared" si="16"/>
        <v>Anak 45 sangat baik  dalam mengenal dan mengidentifikasi benda-benda di dapur dan nama-nama bunga, dan  baik  dalam memahami penggunaan kalimat yang menunjukkan letak suatu tempat</v>
      </c>
      <c r="AW49" s="306"/>
      <c r="AX49" s="307" t="str">
        <f t="shared" si="33"/>
        <v xml:space="preserve"> sangat baik  dalam mengenal dan mengidentifikasi benda-benda di dapur dan nama-nama bunga</v>
      </c>
      <c r="AY49" s="307" t="str">
        <f t="shared" si="34"/>
        <v xml:space="preserve"> baik  dalam memahami penggunaan kalimat yang menunjukkan letak suatu tempat</v>
      </c>
      <c r="AZ49" s="307" t="str">
        <f t="shared" si="17"/>
        <v xml:space="preserve"> sangat baik  dalam mengenal dan mengidentifikasi benda-benda di dapur dan nama-nama bunga, dan  baik  dalam memahami penggunaan kalimat yang menunjukkan letak suatu tempat</v>
      </c>
      <c r="BA49" s="307" t="str">
        <f t="shared" si="18"/>
        <v xml:space="preserve"> </v>
      </c>
      <c r="BB49" s="308" t="str">
        <f t="shared" si="19"/>
        <v xml:space="preserve"> sangat baik  dalam mengenal dan mengidentifikasi benda-benda di dapur dan nama-nama bunga, dan  baik  dalam memahami penggunaan kalimat yang menunjukkan letak suatu tempat</v>
      </c>
      <c r="BC49" s="301" t="str">
        <f t="shared" si="35"/>
        <v>Anak 45 sangat baik  dalam mengenal dan mengidentifikasi benda-benda di dapur dan nama-nama bunga, dan  baik  dalam memahami penggunaan kalimat yang menunjukkan letak suatu tempat</v>
      </c>
      <c r="BD49" s="120"/>
      <c r="BP49" s="302">
        <f t="shared" si="20"/>
        <v>73</v>
      </c>
      <c r="BQ49" s="303" t="str">
        <f>IF(BP49&gt;KKM!$G$10,"A",IF(BP49&gt;KKM!$H$10,"B",IF(BP49&gt;=KKM!$I$10,"C","D")))</f>
        <v>C</v>
      </c>
      <c r="BR49" s="523">
        <f t="shared" si="21"/>
        <v>74.5</v>
      </c>
      <c r="BS49" s="115" t="str">
        <f>IF(BR49&gt;KKM!$G$10," sangat baik ",IF(BR49&gt;KKM!$H$10," baik ",IF(BR49&gt;=KKM!$I$10," cukup baik "," perlu bimbingan ")))</f>
        <v xml:space="preserve"> cukup baik </v>
      </c>
      <c r="BT49" s="524">
        <f t="shared" si="22"/>
        <v>72.25</v>
      </c>
      <c r="BU49" s="115" t="str">
        <f>IF(BT49&gt;KKM!$G$10," sangat baik ",IF(BT49&gt;KKM!$H$10," baik ",IF(BT49&gt;=KKM!$I$10," cukup baik "," perlu bimbingan ")))</f>
        <v xml:space="preserve"> cukup baik </v>
      </c>
      <c r="BV49" s="301" t="str">
        <f t="shared" si="29"/>
        <v>Anak 45 cukup baik  dalam mengenal, memahami dan mengidentifikasi macam-macam kalimat (order, request, and prengenal obyek-obyek wisata dan memahami penggunaan kalimat ungkapan terima kasih, dan  cukup baik  dalam memahami penggunaan kalimat yang menunjukkan letak suatu tempat</v>
      </c>
      <c r="BW49" s="307" t="str">
        <f t="shared" si="23"/>
        <v xml:space="preserve"> cukup baik  dalam mengenal, memahami dan mengidentifikasi macam-macam kalimat (order, request, and prengenal obyek-obyek wisata dan memahami penggunaan kalimat ungkapan terima kasih</v>
      </c>
      <c r="BX49" s="307" t="str">
        <f t="shared" si="24"/>
        <v xml:space="preserve"> cukup baik  dalam memahami penggunaan kalimat yang menunjukkan letak suatu tempat</v>
      </c>
      <c r="BY49" s="307" t="str">
        <f t="shared" si="25"/>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BZ49" s="307" t="str">
        <f t="shared" si="26"/>
        <v xml:space="preserve"> </v>
      </c>
      <c r="CA49" s="308" t="str">
        <f t="shared" si="27"/>
        <v xml:space="preserve"> cukup baik  dalam mengenal, memahami dan mengidentifikasi macam-macam kalimat (order, request, and prengenal obyek-obyek wisata dan memahami penggunaan kalimat ungkapan terima kasih, dan  cukup baik  dalam memahami penggunaan kalimat yang menunjukkan letak suatu tempat</v>
      </c>
      <c r="CB49" s="301" t="str">
        <f t="shared" si="28"/>
        <v>Anak 45 cukup baik  dalam mengenal, memahami dan mengidentifikasi macam-macam kalimat (order, request, and prengenal obyek-obyek wisata dan memahami penggunaan kalimat ungkapan terima kasih, dan  cukup baik  dalam memahami penggunaan kalimat yang menunjukkan letak suatu tempat</v>
      </c>
    </row>
    <row r="50" spans="2:80" ht="57" customHeight="1">
      <c r="B50" s="109">
        <v>46</v>
      </c>
      <c r="C50" s="110">
        <f>SISWA!B51</f>
        <v>0</v>
      </c>
      <c r="D50" s="111" t="str">
        <f>SISWA!E51</f>
        <v>Anak 46</v>
      </c>
      <c r="E50" s="631">
        <v>99</v>
      </c>
      <c r="F50" s="631">
        <v>99</v>
      </c>
      <c r="G50" s="631">
        <v>99</v>
      </c>
      <c r="H50" s="631">
        <v>99</v>
      </c>
      <c r="I50" s="613"/>
      <c r="J50" s="613"/>
      <c r="K50" s="613"/>
      <c r="L50" s="731"/>
      <c r="M50" s="731"/>
      <c r="N50" s="731"/>
      <c r="O50" s="731"/>
      <c r="P50" s="613"/>
      <c r="Q50" s="613"/>
      <c r="R50" s="610"/>
      <c r="S50" s="613">
        <v>84</v>
      </c>
      <c r="T50" s="613">
        <v>84</v>
      </c>
      <c r="U50" s="609"/>
      <c r="V50" s="609"/>
      <c r="W50" s="609"/>
      <c r="X50" s="609"/>
      <c r="Y50" s="609"/>
      <c r="Z50" s="610"/>
      <c r="AA50" s="613"/>
      <c r="AB50" s="613">
        <v>84</v>
      </c>
      <c r="AC50" s="613">
        <v>84</v>
      </c>
      <c r="AD50" s="613"/>
      <c r="AE50" s="613"/>
      <c r="AF50" s="613"/>
      <c r="AG50" s="613" t="str">
        <f>IFERROR(AVERAGE(#REF!),"")</f>
        <v/>
      </c>
      <c r="AH50" s="518"/>
      <c r="AI50" s="607">
        <f t="shared" si="9"/>
        <v>94</v>
      </c>
      <c r="AJ50" s="607">
        <f t="shared" si="10"/>
        <v>91.5</v>
      </c>
      <c r="AK50" s="607">
        <f t="shared" si="11"/>
        <v>94</v>
      </c>
      <c r="AL50" s="607">
        <f t="shared" si="12"/>
        <v>99</v>
      </c>
      <c r="AM50" s="607" t="str">
        <f t="shared" si="13"/>
        <v/>
      </c>
      <c r="AN50" s="607" t="str">
        <f t="shared" si="14"/>
        <v/>
      </c>
      <c r="AO50" s="607" t="str">
        <f t="shared" si="15"/>
        <v/>
      </c>
      <c r="AP50" s="302">
        <f t="shared" si="30"/>
        <v>95</v>
      </c>
      <c r="AQ50" s="303" t="str">
        <f>IF(AP50&gt;KKM!$G$10,"A",IF(AP50&gt;KKM!$H$10,"B",IF(AP50&gt;=KKM!$I$10,"C","D")))</f>
        <v>A</v>
      </c>
      <c r="AR50" s="304">
        <f t="shared" si="31"/>
        <v>99</v>
      </c>
      <c r="AS50" s="115" t="str">
        <f>IF(AR50&gt;KKM!$G$10," sangat baik ",IF(AR50&gt;KKM!$H$10," baik ",IF(AR50&gt;=KKM!$I$10," cukup baik "," perlu bimbingan ")))</f>
        <v xml:space="preserve"> sangat baik </v>
      </c>
      <c r="AT50" s="305">
        <f t="shared" si="32"/>
        <v>91.5</v>
      </c>
      <c r="AU50" s="115" t="str">
        <f>IF(AT50&gt;KKM!$G$10," sangat baik ",IF(AT50&gt;KKM!$H$10," baik ",IF(AT50&gt;=KKM!$I$10," cukup baik "," perlu bimbingan ")))</f>
        <v xml:space="preserve"> sangat baik </v>
      </c>
      <c r="AV50" s="301" t="str">
        <f t="shared" si="16"/>
        <v>Anak 46 sangat baik  dalam mengenal dan mengidentifikasi benda-benda di dapur dan nama-nama bunga, dan  sangat baik  dalam memahami penggunaan kalimat yang menunjukkan letak suatu tempat</v>
      </c>
      <c r="AW50" s="306"/>
      <c r="AX50" s="307" t="str">
        <f t="shared" si="33"/>
        <v xml:space="preserve"> sangat baik  dalam mengenal dan mengidentifikasi benda-benda di dapur dan nama-nama bunga</v>
      </c>
      <c r="AY50" s="307" t="str">
        <f t="shared" si="34"/>
        <v xml:space="preserve"> sangat baik  dalam memahami penggunaan kalimat yang menunjukkan letak suatu tempat</v>
      </c>
      <c r="AZ50" s="307" t="str">
        <f t="shared" si="17"/>
        <v xml:space="preserve"> sangat baik  dalam mengenal dan mengidentifikasi benda-benda di dapur dan nama-nama bunga, dan  sangat baik  dalam memahami penggunaan kalimat yang menunjukkan letak suatu tempat</v>
      </c>
      <c r="BA50" s="307" t="str">
        <f t="shared" si="18"/>
        <v xml:space="preserve"> </v>
      </c>
      <c r="BB50" s="308" t="str">
        <f t="shared" si="19"/>
        <v xml:space="preserve"> sangat baik  dalam mengenal dan mengidentifikasi benda-benda di dapur dan nama-nama bunga, dan  sangat baik  dalam memahami penggunaan kalimat yang menunjukkan letak suatu tempat</v>
      </c>
      <c r="BC50" s="301" t="str">
        <f t="shared" si="35"/>
        <v>Anak 46 sangat baik  dalam mengenal dan mengidentifikasi benda-benda di dapur dan nama-nama bunga, dan  sangat baik  dalam memahami penggunaan kalimat yang menunjukkan letak suatu tempat</v>
      </c>
      <c r="BD50" s="120"/>
      <c r="BP50" s="302">
        <f t="shared" si="20"/>
        <v>84</v>
      </c>
      <c r="BQ50" s="303" t="str">
        <f>IF(BP50&gt;KKM!$G$10,"A",IF(BP50&gt;KKM!$H$10,"B",IF(BP50&gt;=KKM!$I$10,"C","D")))</f>
        <v>B</v>
      </c>
      <c r="BR50" s="523">
        <f t="shared" si="21"/>
        <v>84</v>
      </c>
      <c r="BS50" s="115" t="str">
        <f>IF(BR50&gt;KKM!$G$10," sangat baik ",IF(BR50&gt;KKM!$H$10," baik ",IF(BR50&gt;=KKM!$I$10," cukup baik "," perlu bimbingan ")))</f>
        <v xml:space="preserve"> baik </v>
      </c>
      <c r="BT50" s="524">
        <f t="shared" si="22"/>
        <v>84</v>
      </c>
      <c r="BU50" s="115" t="str">
        <f>IF(BT50&gt;KKM!$G$10," sangat baik ",IF(BT50&gt;KKM!$H$10," baik ",IF(BT50&gt;=KKM!$I$10," cukup baik "," perlu bimbingan ")))</f>
        <v xml:space="preserve"> baik </v>
      </c>
      <c r="BV50" s="301" t="str">
        <f t="shared" si="29"/>
        <v>Anak 46 baik  dalam mengenal, memahami dan mengidentifikasi macam-macam kalimat (order, request, and prengenal obyek-obyek wisata dan memahami penggunaan kalimat ungkapan terima kasih</v>
      </c>
      <c r="BW50" s="307" t="str">
        <f t="shared" si="23"/>
        <v xml:space="preserve"> baik  dalam mengenal, memahami dan mengidentifikasi macam-macam kalimat (order, request, and prengenal obyek-obyek wisata dan memahami penggunaan kalimat ungkapan terima kasih</v>
      </c>
      <c r="BX50" s="307" t="str">
        <f t="shared" si="24"/>
        <v xml:space="preserve"> baik  dalam mengenal, memahami dan mengidentifikasi macam-macam kalimat (order, request, and prengenal obyek-obyek wisata dan memahami penggunaan kalimat ungkapan terima kasih</v>
      </c>
      <c r="BY50" s="307" t="str">
        <f t="shared" si="25"/>
        <v xml:space="preserve"> baik  dalam mengenal, memahami dan mengidentifikasi macam-macam kalimat (order, request, and prengenal obyek-obyek wisata dan memahami penggunaan kalimat ungkapan terima kasih, dan  baik  dalam mengenal, memahami dan mengidentifikasi macam-macam kalimat (order, request, and prengenal obyek-obyek wisata dan memahami penggunaan kalimat ungkapan terima kasih</v>
      </c>
      <c r="BZ50" s="307" t="str">
        <f t="shared" si="26"/>
        <v xml:space="preserve"> baik  dalam mengenal, memahami dan mengidentifikasi macam-macam kalimat (order, request, and prengenal obyek-obyek wisata dan memahami penggunaan kalimat ungkapan terima kasih</v>
      </c>
      <c r="CA50" s="308" t="str">
        <f t="shared" si="27"/>
        <v xml:space="preserve"> baik  dalam mengenal, memahami dan mengidentifikasi macam-macam kalimat (order, request, and prengenal obyek-obyek wisata dan memahami penggunaan kalimat ungkapan terima kasih</v>
      </c>
      <c r="CB50" s="301" t="str">
        <f t="shared" si="28"/>
        <v>Anak 46 baik  dalam mengenal, memahami dan mengidentifikasi macam-macam kalimat (order, request, and prengenal obyek-obyek wisata dan memahami penggunaan kalimat ungkapan terima kasih</v>
      </c>
    </row>
    <row r="51" spans="2:80" ht="57" customHeight="1">
      <c r="B51" s="109">
        <v>47</v>
      </c>
      <c r="C51" s="110">
        <f>SISWA!B52</f>
        <v>0</v>
      </c>
      <c r="D51" s="111" t="str">
        <f>SISWA!E52</f>
        <v>Anak 47</v>
      </c>
      <c r="E51" s="631">
        <v>99</v>
      </c>
      <c r="F51" s="631">
        <v>99</v>
      </c>
      <c r="G51" s="631">
        <v>99</v>
      </c>
      <c r="H51" s="631">
        <v>99</v>
      </c>
      <c r="I51" s="613"/>
      <c r="J51" s="613"/>
      <c r="K51" s="613"/>
      <c r="L51" s="731"/>
      <c r="M51" s="731"/>
      <c r="N51" s="731"/>
      <c r="O51" s="731"/>
      <c r="P51" s="613"/>
      <c r="Q51" s="613"/>
      <c r="R51" s="610"/>
      <c r="S51" s="613">
        <v>68.75</v>
      </c>
      <c r="T51" s="613">
        <v>68.75</v>
      </c>
      <c r="U51" s="609"/>
      <c r="V51" s="609"/>
      <c r="W51" s="609"/>
      <c r="X51" s="609"/>
      <c r="Y51" s="609"/>
      <c r="Z51" s="610"/>
      <c r="AA51" s="613"/>
      <c r="AB51" s="613">
        <v>68.75</v>
      </c>
      <c r="AC51" s="613">
        <v>68.75</v>
      </c>
      <c r="AD51" s="613"/>
      <c r="AE51" s="613"/>
      <c r="AF51" s="613"/>
      <c r="AG51" s="613" t="str">
        <f>IFERROR(AVERAGE(#REF!),"")</f>
        <v/>
      </c>
      <c r="AH51" s="518"/>
      <c r="AI51" s="607">
        <f t="shared" si="9"/>
        <v>88.916666666666671</v>
      </c>
      <c r="AJ51" s="607">
        <f t="shared" si="10"/>
        <v>83.875</v>
      </c>
      <c r="AK51" s="607">
        <f t="shared" si="11"/>
        <v>88.916666666666671</v>
      </c>
      <c r="AL51" s="607">
        <f t="shared" si="12"/>
        <v>99</v>
      </c>
      <c r="AM51" s="607" t="str">
        <f t="shared" si="13"/>
        <v/>
      </c>
      <c r="AN51" s="607" t="str">
        <f t="shared" si="14"/>
        <v/>
      </c>
      <c r="AO51" s="607" t="str">
        <f t="shared" si="15"/>
        <v/>
      </c>
      <c r="AP51" s="302">
        <f t="shared" si="30"/>
        <v>90</v>
      </c>
      <c r="AQ51" s="303" t="str">
        <f>IF(AP51&gt;KKM!$G$10,"A",IF(AP51&gt;KKM!$H$10,"B",IF(AP51&gt;=KKM!$I$10,"C","D")))</f>
        <v>B</v>
      </c>
      <c r="AR51" s="304">
        <f t="shared" si="31"/>
        <v>99</v>
      </c>
      <c r="AS51" s="115" t="str">
        <f>IF(AR51&gt;KKM!$G$10," sangat baik ",IF(AR51&gt;KKM!$H$10," baik ",IF(AR51&gt;=KKM!$I$10," cukup baik "," perlu bimbingan ")))</f>
        <v xml:space="preserve"> sangat baik </v>
      </c>
      <c r="AT51" s="305">
        <f t="shared" si="32"/>
        <v>83.875</v>
      </c>
      <c r="AU51" s="115" t="str">
        <f>IF(AT51&gt;KKM!$G$10," sangat baik ",IF(AT51&gt;KKM!$H$10," baik ",IF(AT51&gt;=KKM!$I$10," cukup baik "," perlu bimbingan ")))</f>
        <v xml:space="preserve"> baik </v>
      </c>
      <c r="AV51" s="301" t="str">
        <f t="shared" si="16"/>
        <v>Anak 47 sangat baik  dalam mengenal dan mengidentifikasi benda-benda di dapur dan nama-nama bunga, dan  baik  dalam memahami penggunaan kalimat yang menunjukkan letak suatu tempat</v>
      </c>
      <c r="AW51" s="306"/>
      <c r="AX51" s="307" t="str">
        <f t="shared" si="33"/>
        <v xml:space="preserve"> sangat baik  dalam mengenal dan mengidentifikasi benda-benda di dapur dan nama-nama bunga</v>
      </c>
      <c r="AY51" s="307" t="str">
        <f t="shared" si="34"/>
        <v xml:space="preserve"> baik  dalam memahami penggunaan kalimat yang menunjukkan letak suatu tempat</v>
      </c>
      <c r="AZ51" s="307" t="str">
        <f t="shared" si="17"/>
        <v xml:space="preserve"> sangat baik  dalam mengenal dan mengidentifikasi benda-benda di dapur dan nama-nama bunga, dan  baik  dalam memahami penggunaan kalimat yang menunjukkan letak suatu tempat</v>
      </c>
      <c r="BA51" s="307" t="str">
        <f t="shared" si="18"/>
        <v xml:space="preserve"> </v>
      </c>
      <c r="BB51" s="308" t="str">
        <f t="shared" si="19"/>
        <v xml:space="preserve"> sangat baik  dalam mengenal dan mengidentifikasi benda-benda di dapur dan nama-nama bunga, dan  baik  dalam memahami penggunaan kalimat yang menunjukkan letak suatu tempat</v>
      </c>
      <c r="BC51" s="301" t="str">
        <f t="shared" si="35"/>
        <v>Anak 47 sangat baik  dalam mengenal dan mengidentifikasi benda-benda di dapur dan nama-nama bunga, dan  baik  dalam memahami penggunaan kalimat yang menunjukkan letak suatu tempat</v>
      </c>
      <c r="BD51" s="120"/>
      <c r="BP51" s="302">
        <f t="shared" si="20"/>
        <v>69</v>
      </c>
      <c r="BQ51" s="303" t="str">
        <f>IF(BP51&gt;KKM!$G$10,"A",IF(BP51&gt;KKM!$H$10,"B",IF(BP51&gt;=KKM!$I$10,"C","D")))</f>
        <v>D</v>
      </c>
      <c r="BR51" s="523">
        <f t="shared" si="21"/>
        <v>68.75</v>
      </c>
      <c r="BS51" s="115" t="str">
        <f>IF(BR51&gt;KKM!$G$10," sangat baik ",IF(BR51&gt;KKM!$H$10," baik ",IF(BR51&gt;=KKM!$I$10," cukup baik "," perlu bimbingan ")))</f>
        <v xml:space="preserve"> perlu bimbingan </v>
      </c>
      <c r="BT51" s="524">
        <f t="shared" si="22"/>
        <v>68.75</v>
      </c>
      <c r="BU51" s="115" t="str">
        <f>IF(BT51&gt;KKM!$G$10," sangat baik ",IF(BT51&gt;KKM!$H$10," baik ",IF(BT51&gt;=KKM!$I$10," cukup baik "," perlu bimbingan ")))</f>
        <v xml:space="preserve"> perlu bimbingan </v>
      </c>
      <c r="BV51" s="301" t="str">
        <f t="shared" si="29"/>
        <v>Anak 47 perlu bimbingan  dalam mengenal, memahami dan mengidentifikasi macam-macam kalimat (order, request, and prengenal obyek-obyek wisata dan memahami penggunaan kalimat ungkapan terima kasih</v>
      </c>
      <c r="BW51" s="307" t="str">
        <f t="shared" si="23"/>
        <v xml:space="preserve"> perlu bimbingan  dalam mengenal, memahami dan mengidentifikasi macam-macam kalimat (order, request, and prengenal obyek-obyek wisata dan memahami penggunaan kalimat ungkapan terima kasih</v>
      </c>
      <c r="BX51" s="307" t="str">
        <f t="shared" si="24"/>
        <v xml:space="preserve"> perlu bimbingan  dalam mengenal, memahami dan mengidentifikasi macam-macam kalimat (order, request, and prengenal obyek-obyek wisata dan memahami penggunaan kalimat ungkapan terima kasih</v>
      </c>
      <c r="BY51" s="307" t="str">
        <f t="shared" si="25"/>
        <v xml:space="preserve"> perlu bimbingan  dalam mengenal, memahami dan mengidentifikasi macam-macam kalimat (order, request, and prengenal obyek-obyek wisata dan memahami penggunaan kalimat ungkapan terima kasih, dan  perlu bimbingan  dalam mengenal, memahami dan mengidentifikasi macam-macam kalimat (order, request, and prengenal obyek-obyek wisata dan memahami penggunaan kalimat ungkapan terima kasih</v>
      </c>
      <c r="BZ51" s="307" t="str">
        <f t="shared" si="26"/>
        <v xml:space="preserve"> perlu bimbingan  dalam mengenal, memahami dan mengidentifikasi macam-macam kalimat (order, request, and prengenal obyek-obyek wisata dan memahami penggunaan kalimat ungkapan terima kasih</v>
      </c>
      <c r="CA51" s="308" t="str">
        <f t="shared" si="27"/>
        <v xml:space="preserve"> perlu bimbingan  dalam mengenal, memahami dan mengidentifikasi macam-macam kalimat (order, request, and prengenal obyek-obyek wisata dan memahami penggunaan kalimat ungkapan terima kasih</v>
      </c>
      <c r="CB51" s="301" t="str">
        <f t="shared" si="28"/>
        <v>Anak 47 perlu bimbingan  dalam mengenal, memahami dan mengidentifikasi macam-macam kalimat (order, request, and prengenal obyek-obyek wisata dan memahami penggunaan kalimat ungkapan terima kasih</v>
      </c>
    </row>
    <row r="52" spans="2:80" ht="57" customHeight="1">
      <c r="B52" s="109">
        <v>48</v>
      </c>
      <c r="C52" s="110">
        <f>SISWA!B53</f>
        <v>0</v>
      </c>
      <c r="D52" s="111" t="str">
        <f>SISWA!E53</f>
        <v>Anak 48</v>
      </c>
      <c r="E52" s="631">
        <v>99</v>
      </c>
      <c r="F52" s="631">
        <v>99</v>
      </c>
      <c r="G52" s="631">
        <v>99</v>
      </c>
      <c r="H52" s="631">
        <v>99</v>
      </c>
      <c r="I52" s="613"/>
      <c r="J52" s="613"/>
      <c r="K52" s="613"/>
      <c r="L52" s="731"/>
      <c r="M52" s="731"/>
      <c r="N52" s="731"/>
      <c r="O52" s="731"/>
      <c r="P52" s="613"/>
      <c r="Q52" s="613"/>
      <c r="R52" s="610"/>
      <c r="S52" s="613">
        <v>69.75</v>
      </c>
      <c r="T52" s="613">
        <v>69.75</v>
      </c>
      <c r="U52" s="609"/>
      <c r="V52" s="609"/>
      <c r="W52" s="609"/>
      <c r="X52" s="609"/>
      <c r="Y52" s="609"/>
      <c r="Z52" s="610"/>
      <c r="AA52" s="613"/>
      <c r="AB52" s="613">
        <v>69.75</v>
      </c>
      <c r="AC52" s="613">
        <v>69.75</v>
      </c>
      <c r="AD52" s="613"/>
      <c r="AE52" s="613"/>
      <c r="AF52" s="613"/>
      <c r="AG52" s="613" t="str">
        <f>IFERROR(AVERAGE(#REF!),"")</f>
        <v/>
      </c>
      <c r="AH52" s="518"/>
      <c r="AI52" s="607">
        <f t="shared" si="9"/>
        <v>89.25</v>
      </c>
      <c r="AJ52" s="607">
        <f t="shared" si="10"/>
        <v>84.375</v>
      </c>
      <c r="AK52" s="607">
        <f t="shared" si="11"/>
        <v>89.25</v>
      </c>
      <c r="AL52" s="607">
        <f t="shared" si="12"/>
        <v>99</v>
      </c>
      <c r="AM52" s="607" t="str">
        <f t="shared" si="13"/>
        <v/>
      </c>
      <c r="AN52" s="607" t="str">
        <f t="shared" si="14"/>
        <v/>
      </c>
      <c r="AO52" s="607" t="str">
        <f t="shared" si="15"/>
        <v/>
      </c>
      <c r="AP52" s="302">
        <f t="shared" si="30"/>
        <v>90</v>
      </c>
      <c r="AQ52" s="303" t="str">
        <f>IF(AP52&gt;KKM!$G$10,"A",IF(AP52&gt;KKM!$H$10,"B",IF(AP52&gt;=KKM!$I$10,"C","D")))</f>
        <v>B</v>
      </c>
      <c r="AR52" s="304">
        <f t="shared" si="31"/>
        <v>99</v>
      </c>
      <c r="AS52" s="115" t="str">
        <f>IF(AR52&gt;KKM!$G$10," sangat baik ",IF(AR52&gt;KKM!$H$10," baik ",IF(AR52&gt;=KKM!$I$10," cukup baik "," perlu bimbingan ")))</f>
        <v xml:space="preserve"> sangat baik </v>
      </c>
      <c r="AT52" s="305">
        <f t="shared" si="32"/>
        <v>84.375</v>
      </c>
      <c r="AU52" s="115" t="str">
        <f>IF(AT52&gt;KKM!$G$10," sangat baik ",IF(AT52&gt;KKM!$H$10," baik ",IF(AT52&gt;=KKM!$I$10," cukup baik "," perlu bimbingan ")))</f>
        <v xml:space="preserve"> baik </v>
      </c>
      <c r="AV52" s="301" t="str">
        <f t="shared" si="16"/>
        <v>Anak 48 sangat baik  dalam mengenal dan mengidentifikasi benda-benda di dapur dan nama-nama bunga, dan  baik  dalam memahami penggunaan kalimat yang menunjukkan letak suatu tempat</v>
      </c>
      <c r="AW52" s="306"/>
      <c r="AX52" s="307" t="str">
        <f t="shared" si="33"/>
        <v xml:space="preserve"> sangat baik  dalam mengenal dan mengidentifikasi benda-benda di dapur dan nama-nama bunga</v>
      </c>
      <c r="AY52" s="307" t="str">
        <f t="shared" si="34"/>
        <v xml:space="preserve"> baik  dalam memahami penggunaan kalimat yang menunjukkan letak suatu tempat</v>
      </c>
      <c r="AZ52" s="307" t="str">
        <f t="shared" si="17"/>
        <v xml:space="preserve"> sangat baik  dalam mengenal dan mengidentifikasi benda-benda di dapur dan nama-nama bunga, dan  baik  dalam memahami penggunaan kalimat yang menunjukkan letak suatu tempat</v>
      </c>
      <c r="BA52" s="307" t="str">
        <f t="shared" si="18"/>
        <v xml:space="preserve"> </v>
      </c>
      <c r="BB52" s="308" t="str">
        <f t="shared" si="19"/>
        <v xml:space="preserve"> sangat baik  dalam mengenal dan mengidentifikasi benda-benda di dapur dan nama-nama bunga, dan  baik  dalam memahami penggunaan kalimat yang menunjukkan letak suatu tempat</v>
      </c>
      <c r="BC52" s="301" t="str">
        <f t="shared" si="35"/>
        <v>Anak 48 sangat baik  dalam mengenal dan mengidentifikasi benda-benda di dapur dan nama-nama bunga, dan  baik  dalam memahami penggunaan kalimat yang menunjukkan letak suatu tempat</v>
      </c>
      <c r="BD52" s="120"/>
      <c r="BP52" s="302">
        <f t="shared" si="20"/>
        <v>70</v>
      </c>
      <c r="BQ52" s="303" t="str">
        <f>IF(BP52&gt;KKM!$G$10,"A",IF(BP52&gt;KKM!$H$10,"B",IF(BP52&gt;=KKM!$I$10,"C","D")))</f>
        <v>C</v>
      </c>
      <c r="BR52" s="523">
        <f t="shared" si="21"/>
        <v>69.75</v>
      </c>
      <c r="BS52" s="115" t="str">
        <f>IF(BR52&gt;KKM!$G$10," sangat baik ",IF(BR52&gt;KKM!$H$10," baik ",IF(BR52&gt;=KKM!$I$10," cukup baik "," perlu bimbingan ")))</f>
        <v xml:space="preserve"> perlu bimbingan </v>
      </c>
      <c r="BT52" s="524">
        <f t="shared" si="22"/>
        <v>69.75</v>
      </c>
      <c r="BU52" s="115" t="str">
        <f>IF(BT52&gt;KKM!$G$10," sangat baik ",IF(BT52&gt;KKM!$H$10," baik ",IF(BT52&gt;=KKM!$I$10," cukup baik "," perlu bimbingan ")))</f>
        <v xml:space="preserve"> perlu bimbingan </v>
      </c>
      <c r="BV52" s="301" t="str">
        <f t="shared" si="29"/>
        <v>Anak 48 perlu bimbingan  dalam mengenal, memahami dan mengidentifikasi macam-macam kalimat (order, request, and prengenal obyek-obyek wisata dan memahami penggunaan kalimat ungkapan terima kasih</v>
      </c>
      <c r="BW52" s="307" t="str">
        <f t="shared" si="23"/>
        <v xml:space="preserve"> perlu bimbingan  dalam mengenal, memahami dan mengidentifikasi macam-macam kalimat (order, request, and prengenal obyek-obyek wisata dan memahami penggunaan kalimat ungkapan terima kasih</v>
      </c>
      <c r="BX52" s="307" t="str">
        <f t="shared" si="24"/>
        <v xml:space="preserve"> perlu bimbingan  dalam mengenal, memahami dan mengidentifikasi macam-macam kalimat (order, request, and prengenal obyek-obyek wisata dan memahami penggunaan kalimat ungkapan terima kasih</v>
      </c>
      <c r="BY52" s="307" t="str">
        <f t="shared" si="25"/>
        <v xml:space="preserve"> perlu bimbingan  dalam mengenal, memahami dan mengidentifikasi macam-macam kalimat (order, request, and prengenal obyek-obyek wisata dan memahami penggunaan kalimat ungkapan terima kasih, dan  perlu bimbingan  dalam mengenal, memahami dan mengidentifikasi macam-macam kalimat (order, request, and prengenal obyek-obyek wisata dan memahami penggunaan kalimat ungkapan terima kasih</v>
      </c>
      <c r="BZ52" s="307" t="str">
        <f t="shared" si="26"/>
        <v xml:space="preserve"> perlu bimbingan  dalam mengenal, memahami dan mengidentifikasi macam-macam kalimat (order, request, and prengenal obyek-obyek wisata dan memahami penggunaan kalimat ungkapan terima kasih</v>
      </c>
      <c r="CA52" s="308" t="str">
        <f t="shared" si="27"/>
        <v xml:space="preserve"> perlu bimbingan  dalam mengenal, memahami dan mengidentifikasi macam-macam kalimat (order, request, and prengenal obyek-obyek wisata dan memahami penggunaan kalimat ungkapan terima kasih</v>
      </c>
      <c r="CB52" s="301" t="str">
        <f t="shared" si="28"/>
        <v>Anak 48 perlu bimbingan  dalam mengenal, memahami dan mengidentifikasi macam-macam kalimat (order, request, and prengenal obyek-obyek wisata dan memahami penggunaan kalimat ungkapan terima kasih</v>
      </c>
    </row>
    <row r="53" spans="2:80" ht="57" customHeight="1">
      <c r="B53" s="109">
        <v>49</v>
      </c>
      <c r="C53" s="110">
        <f>SISWA!B54</f>
        <v>0</v>
      </c>
      <c r="D53" s="111" t="str">
        <f>SISWA!E54</f>
        <v>Anak 49</v>
      </c>
      <c r="E53" s="631">
        <v>99</v>
      </c>
      <c r="F53" s="631">
        <v>99</v>
      </c>
      <c r="G53" s="631">
        <v>99</v>
      </c>
      <c r="H53" s="631">
        <v>99</v>
      </c>
      <c r="I53" s="613"/>
      <c r="J53" s="613"/>
      <c r="K53" s="613"/>
      <c r="L53" s="731"/>
      <c r="M53" s="731"/>
      <c r="N53" s="731"/>
      <c r="O53" s="731"/>
      <c r="P53" s="613"/>
      <c r="Q53" s="613"/>
      <c r="R53" s="610"/>
      <c r="S53" s="613">
        <v>90</v>
      </c>
      <c r="T53" s="613">
        <v>77.25</v>
      </c>
      <c r="U53" s="609"/>
      <c r="V53" s="609"/>
      <c r="W53" s="609"/>
      <c r="X53" s="609"/>
      <c r="Y53" s="609"/>
      <c r="Z53" s="610"/>
      <c r="AA53" s="613"/>
      <c r="AB53" s="613">
        <v>90</v>
      </c>
      <c r="AC53" s="613">
        <v>77.25</v>
      </c>
      <c r="AD53" s="613"/>
      <c r="AE53" s="613"/>
      <c r="AF53" s="613"/>
      <c r="AG53" s="613" t="str">
        <f>IFERROR(AVERAGE(#REF!),"")</f>
        <v/>
      </c>
      <c r="AH53" s="518"/>
      <c r="AI53" s="607">
        <f t="shared" si="9"/>
        <v>96</v>
      </c>
      <c r="AJ53" s="607">
        <f t="shared" si="10"/>
        <v>91.3125</v>
      </c>
      <c r="AK53" s="607">
        <f t="shared" si="11"/>
        <v>91.75</v>
      </c>
      <c r="AL53" s="607">
        <f t="shared" si="12"/>
        <v>99</v>
      </c>
      <c r="AM53" s="607" t="str">
        <f t="shared" si="13"/>
        <v/>
      </c>
      <c r="AN53" s="607" t="str">
        <f t="shared" si="14"/>
        <v/>
      </c>
      <c r="AO53" s="607" t="str">
        <f t="shared" si="15"/>
        <v/>
      </c>
      <c r="AP53" s="302">
        <f t="shared" si="30"/>
        <v>95</v>
      </c>
      <c r="AQ53" s="303" t="str">
        <f>IF(AP53&gt;KKM!$G$10,"A",IF(AP53&gt;KKM!$H$10,"B",IF(AP53&gt;=KKM!$I$10,"C","D")))</f>
        <v>A</v>
      </c>
      <c r="AR53" s="304">
        <f t="shared" si="31"/>
        <v>99</v>
      </c>
      <c r="AS53" s="115" t="str">
        <f>IF(AR53&gt;KKM!$G$10," sangat baik ",IF(AR53&gt;KKM!$H$10," baik ",IF(AR53&gt;=KKM!$I$10," cukup baik "," perlu bimbingan ")))</f>
        <v xml:space="preserve"> sangat baik </v>
      </c>
      <c r="AT53" s="305">
        <f t="shared" si="32"/>
        <v>91.3125</v>
      </c>
      <c r="AU53" s="115" t="str">
        <f>IF(AT53&gt;KKM!$G$10," sangat baik ",IF(AT53&gt;KKM!$H$10," baik ",IF(AT53&gt;=KKM!$I$10," cukup baik "," perlu bimbingan ")))</f>
        <v xml:space="preserve"> sangat baik </v>
      </c>
      <c r="AV53" s="301" t="str">
        <f t="shared" si="16"/>
        <v>Anak 49 sangat baik  dalam mengenal dan mengidentifikasi benda-benda di dapur dan nama-nama bunga, dan  sangat baik  dalam memahami penggunaan kalimat yang menunjukkan letak suatu tempat</v>
      </c>
      <c r="AW53" s="306"/>
      <c r="AX53" s="307" t="str">
        <f t="shared" si="33"/>
        <v xml:space="preserve"> sangat baik  dalam mengenal dan mengidentifikasi benda-benda di dapur dan nama-nama bunga</v>
      </c>
      <c r="AY53" s="307" t="str">
        <f t="shared" si="34"/>
        <v xml:space="preserve"> sangat baik  dalam memahami penggunaan kalimat yang menunjukkan letak suatu tempat</v>
      </c>
      <c r="AZ53" s="307" t="str">
        <f t="shared" si="17"/>
        <v xml:space="preserve"> sangat baik  dalam mengenal dan mengidentifikasi benda-benda di dapur dan nama-nama bunga, dan  sangat baik  dalam memahami penggunaan kalimat yang menunjukkan letak suatu tempat</v>
      </c>
      <c r="BA53" s="307" t="str">
        <f t="shared" si="18"/>
        <v xml:space="preserve"> </v>
      </c>
      <c r="BB53" s="308" t="str">
        <f t="shared" si="19"/>
        <v xml:space="preserve"> sangat baik  dalam mengenal dan mengidentifikasi benda-benda di dapur dan nama-nama bunga, dan  sangat baik  dalam memahami penggunaan kalimat yang menunjukkan letak suatu tempat</v>
      </c>
      <c r="BC53" s="301" t="str">
        <f t="shared" si="35"/>
        <v>Anak 49 sangat baik  dalam mengenal dan mengidentifikasi benda-benda di dapur dan nama-nama bunga, dan  sangat baik  dalam memahami penggunaan kalimat yang menunjukkan letak suatu tempat</v>
      </c>
      <c r="BD53" s="120"/>
      <c r="BP53" s="302">
        <f t="shared" si="20"/>
        <v>84</v>
      </c>
      <c r="BQ53" s="303" t="str">
        <f>IF(BP53&gt;KKM!$G$10,"A",IF(BP53&gt;KKM!$H$10,"B",IF(BP53&gt;=KKM!$I$10,"C","D")))</f>
        <v>B</v>
      </c>
      <c r="BR53" s="523">
        <f t="shared" si="21"/>
        <v>90</v>
      </c>
      <c r="BS53" s="115" t="str">
        <f>IF(BR53&gt;KKM!$G$10," sangat baik ",IF(BR53&gt;KKM!$H$10," baik ",IF(BR53&gt;=KKM!$I$10," cukup baik "," perlu bimbingan ")))</f>
        <v xml:space="preserve"> baik </v>
      </c>
      <c r="BT53" s="524">
        <f t="shared" si="22"/>
        <v>77.25</v>
      </c>
      <c r="BU53" s="115" t="str">
        <f>IF(BT53&gt;KKM!$G$10," sangat baik ",IF(BT53&gt;KKM!$H$10," baik ",IF(BT53&gt;=KKM!$I$10," cukup baik "," perlu bimbingan ")))</f>
        <v xml:space="preserve"> cukup baik </v>
      </c>
      <c r="BV53" s="301" t="str">
        <f t="shared" si="29"/>
        <v>Anak 49 baik  dalam mengenal, memahami dan mengidentifikasi macam-macam kalimat (order, request, and prengenal obyek-obyek wisata dan memahami penggunaan kalimat ungkapan terima kasih, dan  cukup baik  dalam memahami penggunaan kalimat yang menunjukkan letak suatu tempat</v>
      </c>
      <c r="BW53" s="307" t="str">
        <f t="shared" si="23"/>
        <v xml:space="preserve"> baik  dalam mengenal, memahami dan mengidentifikasi macam-macam kalimat (order, request, and prengenal obyek-obyek wisata dan memahami penggunaan kalimat ungkapan terima kasih</v>
      </c>
      <c r="BX53" s="307" t="str">
        <f t="shared" si="24"/>
        <v xml:space="preserve"> cukup baik  dalam memahami penggunaan kalimat yang menunjukkan letak suatu tempat</v>
      </c>
      <c r="BY53"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53" s="307" t="str">
        <f t="shared" si="26"/>
        <v xml:space="preserve"> </v>
      </c>
      <c r="CA53"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53" s="301" t="str">
        <f t="shared" si="28"/>
        <v>Anak 49 baik  dalam mengenal, memahami dan mengidentifikasi macam-macam kalimat (order, request, and prengenal obyek-obyek wisata dan memahami penggunaan kalimat ungkapan terima kasih, dan  cukup baik  dalam memahami penggunaan kalimat yang menunjukkan letak suatu tempat</v>
      </c>
    </row>
    <row r="54" spans="2:80" ht="57" customHeight="1">
      <c r="B54" s="109">
        <v>50</v>
      </c>
      <c r="C54" s="110">
        <f>SISWA!B55</f>
        <v>0</v>
      </c>
      <c r="D54" s="111" t="str">
        <f>SISWA!E55</f>
        <v>Anak 50</v>
      </c>
      <c r="E54" s="631">
        <v>99</v>
      </c>
      <c r="F54" s="631">
        <v>99</v>
      </c>
      <c r="G54" s="631">
        <v>99</v>
      </c>
      <c r="H54" s="631">
        <v>99</v>
      </c>
      <c r="I54" s="613"/>
      <c r="J54" s="613"/>
      <c r="K54" s="613"/>
      <c r="L54" s="731"/>
      <c r="M54" s="731"/>
      <c r="N54" s="731"/>
      <c r="O54" s="731"/>
      <c r="P54" s="613"/>
      <c r="Q54" s="613"/>
      <c r="R54" s="610"/>
      <c r="S54" s="613">
        <v>87.25</v>
      </c>
      <c r="T54" s="613">
        <v>71.75</v>
      </c>
      <c r="U54" s="609"/>
      <c r="V54" s="609"/>
      <c r="W54" s="609"/>
      <c r="X54" s="609"/>
      <c r="Y54" s="609"/>
      <c r="Z54" s="610"/>
      <c r="AA54" s="613"/>
      <c r="AB54" s="613">
        <v>87.25</v>
      </c>
      <c r="AC54" s="613">
        <v>71.75</v>
      </c>
      <c r="AD54" s="613"/>
      <c r="AE54" s="613"/>
      <c r="AF54" s="613"/>
      <c r="AG54" s="613" t="str">
        <f>IFERROR(AVERAGE(#REF!),"")</f>
        <v/>
      </c>
      <c r="AH54" s="518"/>
      <c r="AI54" s="607">
        <f t="shared" si="9"/>
        <v>95.083333333333329</v>
      </c>
      <c r="AJ54" s="607">
        <f t="shared" si="10"/>
        <v>89.25</v>
      </c>
      <c r="AK54" s="607">
        <f t="shared" si="11"/>
        <v>89.916666666666671</v>
      </c>
      <c r="AL54" s="607">
        <f t="shared" si="12"/>
        <v>99</v>
      </c>
      <c r="AM54" s="607" t="str">
        <f t="shared" si="13"/>
        <v/>
      </c>
      <c r="AN54" s="607" t="str">
        <f t="shared" si="14"/>
        <v/>
      </c>
      <c r="AO54" s="607" t="str">
        <f t="shared" si="15"/>
        <v/>
      </c>
      <c r="AP54" s="302">
        <f t="shared" si="30"/>
        <v>93</v>
      </c>
      <c r="AQ54" s="303" t="str">
        <f>IF(AP54&gt;KKM!$G$10,"A",IF(AP54&gt;KKM!$H$10,"B",IF(AP54&gt;=KKM!$I$10,"C","D")))</f>
        <v>A</v>
      </c>
      <c r="AR54" s="304">
        <f t="shared" si="31"/>
        <v>99</v>
      </c>
      <c r="AS54" s="115" t="str">
        <f>IF(AR54&gt;KKM!$G$10," sangat baik ",IF(AR54&gt;KKM!$H$10," baik ",IF(AR54&gt;=KKM!$I$10," cukup baik "," perlu bimbingan ")))</f>
        <v xml:space="preserve"> sangat baik </v>
      </c>
      <c r="AT54" s="305">
        <f t="shared" si="32"/>
        <v>89.25</v>
      </c>
      <c r="AU54" s="115" t="str">
        <f>IF(AT54&gt;KKM!$G$10," sangat baik ",IF(AT54&gt;KKM!$H$10," baik ",IF(AT54&gt;=KKM!$I$10," cukup baik "," perlu bimbingan ")))</f>
        <v xml:space="preserve"> baik </v>
      </c>
      <c r="AV54" s="301" t="str">
        <f t="shared" si="16"/>
        <v>Anak 50 sangat baik  dalam mengenal dan mengidentifikasi benda-benda di dapur dan nama-nama bunga, dan  baik  dalam memahami penggunaan kalimat yang menunjukkan letak suatu tempat</v>
      </c>
      <c r="AW54" s="306"/>
      <c r="AX54" s="307" t="str">
        <f t="shared" si="33"/>
        <v xml:space="preserve"> sangat baik  dalam mengenal dan mengidentifikasi benda-benda di dapur dan nama-nama bunga</v>
      </c>
      <c r="AY54" s="307" t="str">
        <f t="shared" si="34"/>
        <v xml:space="preserve"> baik  dalam memahami penggunaan kalimat yang menunjukkan letak suatu tempat</v>
      </c>
      <c r="AZ54" s="307" t="str">
        <f t="shared" si="17"/>
        <v xml:space="preserve"> sangat baik  dalam mengenal dan mengidentifikasi benda-benda di dapur dan nama-nama bunga, dan  baik  dalam memahami penggunaan kalimat yang menunjukkan letak suatu tempat</v>
      </c>
      <c r="BA54" s="307" t="str">
        <f t="shared" si="18"/>
        <v xml:space="preserve"> </v>
      </c>
      <c r="BB54" s="308" t="str">
        <f t="shared" si="19"/>
        <v xml:space="preserve"> sangat baik  dalam mengenal dan mengidentifikasi benda-benda di dapur dan nama-nama bunga, dan  baik  dalam memahami penggunaan kalimat yang menunjukkan letak suatu tempat</v>
      </c>
      <c r="BC54" s="301" t="str">
        <f t="shared" si="35"/>
        <v>Anak 50 sangat baik  dalam mengenal dan mengidentifikasi benda-benda di dapur dan nama-nama bunga, dan  baik  dalam memahami penggunaan kalimat yang menunjukkan letak suatu tempat</v>
      </c>
      <c r="BD54" s="120"/>
      <c r="BP54" s="302">
        <f t="shared" si="20"/>
        <v>80</v>
      </c>
      <c r="BQ54" s="303" t="str">
        <f>IF(BP54&gt;KKM!$G$10,"A",IF(BP54&gt;KKM!$H$10,"B",IF(BP54&gt;=KKM!$I$10,"C","D")))</f>
        <v>C</v>
      </c>
      <c r="BR54" s="523">
        <f t="shared" si="21"/>
        <v>87.25</v>
      </c>
      <c r="BS54" s="115" t="str">
        <f>IF(BR54&gt;KKM!$G$10," sangat baik ",IF(BR54&gt;KKM!$H$10," baik ",IF(BR54&gt;=KKM!$I$10," cukup baik "," perlu bimbingan ")))</f>
        <v xml:space="preserve"> baik </v>
      </c>
      <c r="BT54" s="524">
        <f t="shared" si="22"/>
        <v>71.75</v>
      </c>
      <c r="BU54" s="115" t="str">
        <f>IF(BT54&gt;KKM!$G$10," sangat baik ",IF(BT54&gt;KKM!$H$10," baik ",IF(BT54&gt;=KKM!$I$10," cukup baik "," perlu bimbingan ")))</f>
        <v xml:space="preserve"> cukup baik </v>
      </c>
      <c r="BV54" s="301" t="str">
        <f t="shared" si="29"/>
        <v>Anak 50 baik  dalam mengenal, memahami dan mengidentifikasi macam-macam kalimat (order, request, and prengenal obyek-obyek wisata dan memahami penggunaan kalimat ungkapan terima kasih, dan  cukup baik  dalam memahami penggunaan kalimat yang menunjukkan letak suatu tempat</v>
      </c>
      <c r="BW54" s="307" t="str">
        <f t="shared" si="23"/>
        <v xml:space="preserve"> baik  dalam mengenal, memahami dan mengidentifikasi macam-macam kalimat (order, request, and prengenal obyek-obyek wisata dan memahami penggunaan kalimat ungkapan terima kasih</v>
      </c>
      <c r="BX54" s="307" t="str">
        <f t="shared" si="24"/>
        <v xml:space="preserve"> cukup baik  dalam memahami penggunaan kalimat yang menunjukkan letak suatu tempat</v>
      </c>
      <c r="BY54" s="307" t="str">
        <f t="shared" si="25"/>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BZ54" s="307" t="str">
        <f t="shared" si="26"/>
        <v xml:space="preserve"> </v>
      </c>
      <c r="CA54" s="308" t="str">
        <f t="shared" si="27"/>
        <v xml:space="preserve"> baik  dalam mengenal, memahami dan mengidentifikasi macam-macam kalimat (order, request, and prengenal obyek-obyek wisata dan memahami penggunaan kalimat ungkapan terima kasih, dan  cukup baik  dalam memahami penggunaan kalimat yang menunjukkan letak suatu tempat</v>
      </c>
      <c r="CB54" s="301" t="str">
        <f t="shared" si="28"/>
        <v>Anak 50 baik  dalam mengenal, memahami dan mengidentifikasi macam-macam kalimat (order, request, and prengenal obyek-obyek wisata dan memahami penggunaan kalimat ungkapan terima kasih, dan  cukup baik  dalam memahami penggunaan kalimat yang menunjukkan letak suatu tempat</v>
      </c>
    </row>
    <row r="55" spans="2:80" ht="15.75">
      <c r="B55" s="121"/>
      <c r="C55" s="121"/>
      <c r="D55" s="121"/>
      <c r="E55" s="121"/>
      <c r="F55" s="121"/>
      <c r="G55" s="121"/>
      <c r="H55" s="121"/>
      <c r="I55" s="121"/>
      <c r="J55" s="121"/>
      <c r="K55" s="121"/>
      <c r="L55" s="121"/>
      <c r="M55" s="121"/>
      <c r="N55" s="121"/>
      <c r="O55" s="121"/>
      <c r="P55" s="121"/>
      <c r="Q55" s="121"/>
      <c r="R55" s="518"/>
      <c r="S55" s="521"/>
      <c r="T55" s="521"/>
      <c r="U55" s="521"/>
      <c r="V55" s="521"/>
      <c r="W55" s="521"/>
      <c r="X55" s="521"/>
      <c r="Y55" s="521"/>
      <c r="Z55" s="518"/>
      <c r="AA55" s="521"/>
      <c r="AB55" s="521"/>
      <c r="AC55" s="521"/>
      <c r="AD55" s="521"/>
      <c r="AE55" s="521"/>
      <c r="AF55" s="521"/>
      <c r="AG55" s="521"/>
      <c r="AH55" s="518"/>
      <c r="AI55" s="528"/>
      <c r="AJ55" s="529"/>
      <c r="AK55" s="529"/>
      <c r="AL55" s="529"/>
      <c r="AM55" s="529"/>
      <c r="AN55" s="528"/>
      <c r="AO55" s="528"/>
      <c r="AP55" s="114"/>
      <c r="AQ55" s="115"/>
      <c r="AR55" s="116"/>
      <c r="AS55" s="116"/>
      <c r="AT55" s="116"/>
      <c r="AU55" s="116"/>
      <c r="AV55" s="117"/>
      <c r="AW55" s="118"/>
      <c r="AX55" s="119"/>
      <c r="AY55" s="122"/>
      <c r="AZ55" s="122"/>
      <c r="BA55" s="122"/>
      <c r="BB55" s="122"/>
      <c r="BC55" s="122"/>
      <c r="BD55" s="120"/>
      <c r="BP55" s="302"/>
      <c r="BQ55" s="303"/>
      <c r="BR55" s="523"/>
      <c r="BS55" s="115"/>
      <c r="BT55" s="524"/>
      <c r="BU55" s="115"/>
      <c r="BV55" s="301"/>
      <c r="BW55" s="307"/>
      <c r="BX55" s="307"/>
      <c r="BY55" s="307"/>
      <c r="BZ55" s="307"/>
      <c r="CA55" s="308"/>
      <c r="CB55" s="301"/>
    </row>
    <row r="56" spans="2:80">
      <c r="BP56" s="302"/>
      <c r="BW56" s="119"/>
      <c r="BX56" s="122"/>
      <c r="BY56" s="122"/>
      <c r="BZ56" s="122"/>
      <c r="CA56" s="122"/>
      <c r="CB56" s="122"/>
    </row>
  </sheetData>
  <mergeCells count="49">
    <mergeCell ref="BW3:CB3"/>
    <mergeCell ref="BP2:BP4"/>
    <mergeCell ref="BQ2:BQ4"/>
    <mergeCell ref="BR2:BU2"/>
    <mergeCell ref="BV2:BV4"/>
    <mergeCell ref="BR3:BS3"/>
    <mergeCell ref="BT3:BU3"/>
    <mergeCell ref="L2:Q2"/>
    <mergeCell ref="L3:L4"/>
    <mergeCell ref="M3:M4"/>
    <mergeCell ref="N3:N4"/>
    <mergeCell ref="O3:O4"/>
    <mergeCell ref="P3:P4"/>
    <mergeCell ref="Q3:Q4"/>
    <mergeCell ref="AV2:AV4"/>
    <mergeCell ref="AR3:AS3"/>
    <mergeCell ref="AT3:AU3"/>
    <mergeCell ref="B1:AU1"/>
    <mergeCell ref="B2:B4"/>
    <mergeCell ref="C2:C4"/>
    <mergeCell ref="D2:D4"/>
    <mergeCell ref="AI2:AO2"/>
    <mergeCell ref="AP2:AP4"/>
    <mergeCell ref="AQ2:AQ4"/>
    <mergeCell ref="AR2:AU2"/>
    <mergeCell ref="E2:K2"/>
    <mergeCell ref="S2:Y2"/>
    <mergeCell ref="AA2:AG2"/>
    <mergeCell ref="E3:E4"/>
    <mergeCell ref="F3:F4"/>
    <mergeCell ref="G3:G4"/>
    <mergeCell ref="H3:H4"/>
    <mergeCell ref="I3:I4"/>
    <mergeCell ref="K3:K4"/>
    <mergeCell ref="S3:S4"/>
    <mergeCell ref="J3:J4"/>
    <mergeCell ref="T3:T4"/>
    <mergeCell ref="U3:U4"/>
    <mergeCell ref="V3:V4"/>
    <mergeCell ref="W3:W4"/>
    <mergeCell ref="Y3:Y4"/>
    <mergeCell ref="X3:X4"/>
    <mergeCell ref="AG3:AG4"/>
    <mergeCell ref="AA3:AA4"/>
    <mergeCell ref="AB3:AB4"/>
    <mergeCell ref="AC3:AC4"/>
    <mergeCell ref="AD3:AD4"/>
    <mergeCell ref="AE3:AE4"/>
    <mergeCell ref="AF3:AF4"/>
  </mergeCell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G56"/>
  <sheetViews>
    <sheetView zoomScale="70" zoomScaleNormal="7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446" customWidth="1"/>
    <col min="2" max="2" width="4.42578125" style="104" customWidth="1"/>
    <col min="3" max="3" width="6.42578125" style="104" customWidth="1"/>
    <col min="4" max="4" width="28.7109375" style="104" customWidth="1"/>
    <col min="5" max="11" width="5.42578125" style="104" customWidth="1"/>
    <col min="12" max="17" width="5.42578125" style="104" hidden="1" customWidth="1"/>
    <col min="18" max="18" width="2.5703125" style="104" customWidth="1"/>
    <col min="19" max="25" width="5.42578125" style="104" customWidth="1"/>
    <col min="26" max="26" width="2.7109375" style="104" customWidth="1"/>
    <col min="27" max="33" width="5.42578125" style="104" customWidth="1"/>
    <col min="34" max="34" width="2.5703125" style="104" customWidth="1"/>
    <col min="35" max="41" width="6.7109375" style="104" customWidth="1"/>
    <col min="42" max="43" width="4.7109375" style="104" customWidth="1"/>
    <col min="44" max="44" width="5.140625" style="104" customWidth="1"/>
    <col min="45" max="45" width="10.7109375" style="104" customWidth="1"/>
    <col min="46" max="46" width="5.140625" style="104" customWidth="1"/>
    <col min="47" max="47" width="11.28515625" style="104" customWidth="1"/>
    <col min="48" max="48" width="58.85546875" style="104" customWidth="1"/>
    <col min="49" max="49" width="29.85546875" style="104" hidden="1" customWidth="1"/>
    <col min="50" max="55" width="10.7109375" style="104" hidden="1" customWidth="1"/>
    <col min="56" max="67" width="9.140625" style="104" hidden="1" customWidth="1"/>
    <col min="68" max="70" width="6.5703125" style="104" hidden="1" customWidth="1"/>
    <col min="71" max="71" width="12.42578125" style="104" hidden="1" customWidth="1"/>
    <col min="72" max="72" width="6.5703125" style="104" hidden="1" customWidth="1"/>
    <col min="73" max="73" width="13.5703125" style="104" hidden="1" customWidth="1"/>
    <col min="74" max="74" width="65.85546875" style="104" hidden="1" customWidth="1"/>
    <col min="75" max="75" width="18.7109375" style="104" hidden="1" customWidth="1"/>
    <col min="76" max="81" width="9.140625" style="104" hidden="1" customWidth="1"/>
    <col min="82" max="82" width="9.140625" style="104" customWidth="1"/>
    <col min="83" max="88" width="5" style="104" hidden="1" customWidth="1"/>
    <col min="89" max="90" width="0" style="104" hidden="1" customWidth="1"/>
    <col min="91" max="104" width="10.7109375" style="104" hidden="1" customWidth="1"/>
    <col min="105" max="116" width="9.140625" style="104" hidden="1" customWidth="1"/>
    <col min="117" max="118" width="0" style="104" hidden="1" customWidth="1"/>
    <col min="119" max="126" width="9.140625" style="104" hidden="1" customWidth="1"/>
    <col min="127" max="128" width="0" style="104" hidden="1" customWidth="1"/>
    <col min="129" max="135" width="9.140625" style="104" hidden="1" customWidth="1"/>
    <col min="136" max="137" width="0" style="104" hidden="1" customWidth="1"/>
    <col min="138" max="16384" width="9.140625" style="104" hidden="1"/>
  </cols>
  <sheetData>
    <row r="1" spans="1:80" s="449" customFormat="1" ht="45.75" customHeight="1">
      <c r="B1" s="1040" t="str">
        <f>KKM!X9&amp;" (PENGETAHUAN)"</f>
        <v>TIK (PENGETAHUAN)</v>
      </c>
      <c r="C1" s="1040"/>
      <c r="D1" s="1040"/>
      <c r="E1" s="1040"/>
      <c r="F1" s="1040"/>
      <c r="G1" s="1040"/>
      <c r="H1" s="1040"/>
      <c r="I1" s="1040"/>
      <c r="J1" s="1040"/>
      <c r="K1" s="1040"/>
      <c r="L1" s="1040"/>
      <c r="M1" s="1040"/>
      <c r="N1" s="1040"/>
      <c r="O1" s="1040"/>
      <c r="P1" s="1040"/>
      <c r="Q1" s="1040"/>
      <c r="R1" s="1040"/>
      <c r="S1" s="1040"/>
      <c r="T1" s="1040"/>
      <c r="U1" s="1040"/>
      <c r="V1" s="1040"/>
      <c r="W1" s="1040"/>
      <c r="X1" s="1040"/>
      <c r="Y1" s="1040"/>
      <c r="Z1" s="1040"/>
      <c r="AA1" s="1040"/>
      <c r="AB1" s="1040"/>
      <c r="AC1" s="1040"/>
      <c r="AD1" s="1040"/>
      <c r="AE1" s="1040"/>
      <c r="AF1" s="1040"/>
      <c r="AG1" s="1040"/>
      <c r="AH1" s="1040"/>
      <c r="AI1" s="1040"/>
      <c r="AJ1" s="1040"/>
      <c r="AK1" s="1040"/>
      <c r="AL1" s="1040"/>
      <c r="AM1" s="1040"/>
      <c r="AN1" s="1040"/>
      <c r="AO1" s="1040"/>
      <c r="AP1" s="1040"/>
      <c r="AQ1" s="1040"/>
      <c r="AR1" s="1040"/>
      <c r="AS1" s="1040"/>
      <c r="AT1" s="1040"/>
      <c r="AU1" s="1040"/>
    </row>
    <row r="2" spans="1:80" ht="23.25" customHeight="1">
      <c r="B2" s="1071" t="s">
        <v>2</v>
      </c>
      <c r="C2" s="1072" t="s">
        <v>3</v>
      </c>
      <c r="D2" s="1073" t="s">
        <v>48</v>
      </c>
      <c r="E2" s="1095" t="s">
        <v>699</v>
      </c>
      <c r="F2" s="1096"/>
      <c r="G2" s="1096"/>
      <c r="H2" s="1096"/>
      <c r="I2" s="1096"/>
      <c r="J2" s="1096"/>
      <c r="K2" s="1096"/>
      <c r="L2" s="1096"/>
      <c r="M2" s="1096"/>
      <c r="N2" s="1096"/>
      <c r="O2" s="1096"/>
      <c r="P2" s="1096"/>
      <c r="Q2" s="1096"/>
      <c r="R2" s="515"/>
      <c r="S2" s="1100" t="s">
        <v>692</v>
      </c>
      <c r="T2" s="1100"/>
      <c r="U2" s="1100"/>
      <c r="V2" s="1100"/>
      <c r="W2" s="1100"/>
      <c r="X2" s="1100"/>
      <c r="Y2" s="1100"/>
      <c r="Z2" s="515"/>
      <c r="AA2" s="1085" t="s">
        <v>693</v>
      </c>
      <c r="AB2" s="1086"/>
      <c r="AC2" s="1086"/>
      <c r="AD2" s="1086"/>
      <c r="AE2" s="1086"/>
      <c r="AF2" s="1086"/>
      <c r="AG2" s="1086"/>
      <c r="AH2" s="515"/>
      <c r="AI2" s="1111" t="s">
        <v>694</v>
      </c>
      <c r="AJ2" s="1111"/>
      <c r="AK2" s="1111"/>
      <c r="AL2" s="1111"/>
      <c r="AM2" s="1111"/>
      <c r="AN2" s="1111"/>
      <c r="AO2" s="1111"/>
      <c r="AP2" s="1045" t="s">
        <v>5</v>
      </c>
      <c r="AQ2" s="1046" t="s">
        <v>6</v>
      </c>
      <c r="AR2" s="1047" t="s">
        <v>314</v>
      </c>
      <c r="AS2" s="1048"/>
      <c r="AT2" s="1048"/>
      <c r="AU2" s="1048"/>
      <c r="AV2" s="1027" t="s">
        <v>1</v>
      </c>
      <c r="BC2" s="294"/>
      <c r="BP2" s="1091" t="s">
        <v>5</v>
      </c>
      <c r="BQ2" s="1093" t="s">
        <v>6</v>
      </c>
      <c r="BR2" s="1047" t="s">
        <v>314</v>
      </c>
      <c r="BS2" s="1048"/>
      <c r="BT2" s="1048"/>
      <c r="BU2" s="1048"/>
      <c r="BV2" s="1027" t="s">
        <v>1</v>
      </c>
    </row>
    <row r="3" spans="1:80" ht="94.5" customHeight="1">
      <c r="B3" s="1071"/>
      <c r="C3" s="1072"/>
      <c r="D3" s="1073"/>
      <c r="E3" s="1079" t="str">
        <f>""&amp;'KI-KD'!$B144</f>
        <v>3.5</v>
      </c>
      <c r="F3" s="1079" t="str">
        <f>""&amp;'KI-KD'!$B145</f>
        <v>3.6</v>
      </c>
      <c r="G3" s="1079" t="str">
        <f>""&amp;'KI-KD'!$B146</f>
        <v>3.7</v>
      </c>
      <c r="H3" s="1079" t="str">
        <f>""&amp;'KI-KD'!$B147</f>
        <v>3.8</v>
      </c>
      <c r="I3" s="1079" t="str">
        <f>""&amp;'KI-KD'!$B148</f>
        <v/>
      </c>
      <c r="J3" s="1079" t="str">
        <f>""&amp;'KI-KD'!$B149</f>
        <v/>
      </c>
      <c r="K3" s="1079" t="str">
        <f>""&amp;'KI-KD'!$B150</f>
        <v/>
      </c>
      <c r="L3" s="1109"/>
      <c r="M3" s="1109"/>
      <c r="N3" s="1109"/>
      <c r="O3" s="1109"/>
      <c r="P3" s="1109"/>
      <c r="Q3" s="1109"/>
      <c r="R3" s="516"/>
      <c r="S3" s="1101" t="str">
        <f t="shared" ref="S3:Y3" si="0">E3</f>
        <v>3.5</v>
      </c>
      <c r="T3" s="1101" t="str">
        <f t="shared" si="0"/>
        <v>3.6</v>
      </c>
      <c r="U3" s="1101" t="str">
        <f t="shared" si="0"/>
        <v>3.7</v>
      </c>
      <c r="V3" s="1101" t="str">
        <f t="shared" si="0"/>
        <v>3.8</v>
      </c>
      <c r="W3" s="1101" t="str">
        <f t="shared" si="0"/>
        <v/>
      </c>
      <c r="X3" s="1101" t="str">
        <f t="shared" si="0"/>
        <v/>
      </c>
      <c r="Y3" s="1101" t="str">
        <f t="shared" si="0"/>
        <v/>
      </c>
      <c r="Z3" s="516"/>
      <c r="AA3" s="1088" t="str">
        <f t="shared" ref="AA3:AG3" si="1">E3</f>
        <v>3.5</v>
      </c>
      <c r="AB3" s="1088" t="str">
        <f t="shared" si="1"/>
        <v>3.6</v>
      </c>
      <c r="AC3" s="1088" t="str">
        <f t="shared" si="1"/>
        <v>3.7</v>
      </c>
      <c r="AD3" s="1088" t="str">
        <f t="shared" si="1"/>
        <v>3.8</v>
      </c>
      <c r="AE3" s="1088" t="str">
        <f t="shared" si="1"/>
        <v/>
      </c>
      <c r="AF3" s="1088" t="str">
        <f t="shared" si="1"/>
        <v/>
      </c>
      <c r="AG3" s="1088" t="str">
        <f t="shared" si="1"/>
        <v/>
      </c>
      <c r="AH3" s="516"/>
      <c r="AI3" s="510" t="str">
        <f>'KI-KD'!$C144</f>
        <v>mengenal dan memahami penggunaan microsoft  word.</v>
      </c>
      <c r="AJ3" s="510" t="str">
        <f>'KI-KD'!$C145</f>
        <v>memahami pembuatan dokumen di microsoft  word</v>
      </c>
      <c r="AK3" s="510" t="str">
        <f>'KI-KD'!$C146</f>
        <v>memahami cara menyisipkan tabel dan gambar di microsoft  
word</v>
      </c>
      <c r="AL3" s="510" t="str">
        <f>'KI-KD'!$C147</f>
        <v>memahami cara membuat karya di microsoft  word.</v>
      </c>
      <c r="AM3" s="510">
        <f>'KI-KD'!$C148</f>
        <v>0</v>
      </c>
      <c r="AN3" s="510">
        <f>'KI-KD'!$C149</f>
        <v>0</v>
      </c>
      <c r="AO3" s="510">
        <f>'KI-KD'!$C150</f>
        <v>0</v>
      </c>
      <c r="AP3" s="1045"/>
      <c r="AQ3" s="1046"/>
      <c r="AR3" s="1030" t="s">
        <v>315</v>
      </c>
      <c r="AS3" s="1031"/>
      <c r="AT3" s="1032" t="s">
        <v>316</v>
      </c>
      <c r="AU3" s="1033"/>
      <c r="AV3" s="1028"/>
      <c r="BC3" s="294"/>
      <c r="BP3" s="1092"/>
      <c r="BQ3" s="1094"/>
      <c r="BR3" s="1067" t="s">
        <v>315</v>
      </c>
      <c r="BS3" s="1068"/>
      <c r="BT3" s="1069" t="s">
        <v>316</v>
      </c>
      <c r="BU3" s="1070"/>
      <c r="BV3" s="1028"/>
      <c r="BW3" s="1090" t="s">
        <v>730</v>
      </c>
      <c r="BX3" s="1090"/>
      <c r="BY3" s="1090"/>
      <c r="BZ3" s="1090"/>
      <c r="CA3" s="1090"/>
      <c r="CB3" s="1090"/>
    </row>
    <row r="4" spans="1:80" s="108" customFormat="1" ht="25.5" customHeight="1">
      <c r="A4" s="448"/>
      <c r="B4" s="1071"/>
      <c r="C4" s="1072"/>
      <c r="D4" s="1073"/>
      <c r="E4" s="1080"/>
      <c r="F4" s="1080"/>
      <c r="G4" s="1080"/>
      <c r="H4" s="1080"/>
      <c r="I4" s="1080"/>
      <c r="J4" s="1080"/>
      <c r="K4" s="1080"/>
      <c r="L4" s="1110"/>
      <c r="M4" s="1110"/>
      <c r="N4" s="1110"/>
      <c r="O4" s="1110"/>
      <c r="P4" s="1110"/>
      <c r="Q4" s="1110"/>
      <c r="R4" s="517"/>
      <c r="S4" s="1102"/>
      <c r="T4" s="1102"/>
      <c r="U4" s="1102"/>
      <c r="V4" s="1102"/>
      <c r="W4" s="1102"/>
      <c r="X4" s="1102"/>
      <c r="Y4" s="1102"/>
      <c r="Z4" s="517"/>
      <c r="AA4" s="1089"/>
      <c r="AB4" s="1089"/>
      <c r="AC4" s="1089"/>
      <c r="AD4" s="1089"/>
      <c r="AE4" s="1089"/>
      <c r="AF4" s="1089"/>
      <c r="AG4" s="1089"/>
      <c r="AH4" s="522"/>
      <c r="AI4" s="512">
        <f>'KI-KD'!$B144</f>
        <v>3.5</v>
      </c>
      <c r="AJ4" s="512">
        <f>'KI-KD'!$B145</f>
        <v>3.6</v>
      </c>
      <c r="AK4" s="512">
        <f>'KI-KD'!$B146</f>
        <v>3.7</v>
      </c>
      <c r="AL4" s="512">
        <f>'KI-KD'!$B147</f>
        <v>3.8</v>
      </c>
      <c r="AM4" s="512">
        <f>'KI-KD'!$B148</f>
        <v>0</v>
      </c>
      <c r="AN4" s="512">
        <f>'KI-KD'!$B149</f>
        <v>0</v>
      </c>
      <c r="AO4" s="512">
        <f>'KI-KD'!$B150</f>
        <v>0</v>
      </c>
      <c r="AP4" s="1045"/>
      <c r="AQ4" s="1046"/>
      <c r="AR4" s="295" t="s">
        <v>317</v>
      </c>
      <c r="AS4" s="296" t="s">
        <v>1</v>
      </c>
      <c r="AT4" s="297" t="s">
        <v>317</v>
      </c>
      <c r="AU4" s="298" t="s">
        <v>1</v>
      </c>
      <c r="AV4" s="1029"/>
      <c r="AW4" s="104"/>
      <c r="AX4" s="299" t="s">
        <v>318</v>
      </c>
      <c r="AY4" s="299" t="s">
        <v>319</v>
      </c>
      <c r="AZ4" s="299" t="s">
        <v>320</v>
      </c>
      <c r="BA4" s="299" t="s">
        <v>321</v>
      </c>
      <c r="BB4" s="300" t="s">
        <v>314</v>
      </c>
      <c r="BC4" s="301"/>
      <c r="BP4" s="1092"/>
      <c r="BQ4" s="1094"/>
      <c r="BR4" s="295" t="s">
        <v>317</v>
      </c>
      <c r="BS4" s="296" t="s">
        <v>1</v>
      </c>
      <c r="BT4" s="297" t="s">
        <v>317</v>
      </c>
      <c r="BU4" s="298" t="s">
        <v>1</v>
      </c>
      <c r="BV4" s="1028"/>
      <c r="BW4" s="299" t="s">
        <v>318</v>
      </c>
      <c r="BX4" s="299" t="s">
        <v>319</v>
      </c>
      <c r="BY4" s="299" t="s">
        <v>320</v>
      </c>
      <c r="BZ4" s="299" t="s">
        <v>321</v>
      </c>
      <c r="CA4" s="300" t="s">
        <v>314</v>
      </c>
      <c r="CB4" s="301"/>
    </row>
    <row r="5" spans="1:80" ht="54" customHeight="1">
      <c r="B5" s="109">
        <v>1</v>
      </c>
      <c r="C5" s="110">
        <f>SISWA!B6</f>
        <v>4822</v>
      </c>
      <c r="D5" s="111" t="str">
        <f>SISWA!E6</f>
        <v>Anak 1</v>
      </c>
      <c r="E5" s="613">
        <v>87</v>
      </c>
      <c r="F5" s="613">
        <v>89</v>
      </c>
      <c r="G5" s="613"/>
      <c r="H5" s="613"/>
      <c r="I5" s="613"/>
      <c r="J5" s="613"/>
      <c r="K5" s="613"/>
      <c r="L5" s="731"/>
      <c r="M5" s="731"/>
      <c r="N5" s="731"/>
      <c r="O5" s="731"/>
      <c r="P5" s="730"/>
      <c r="Q5" s="730"/>
      <c r="R5" s="610"/>
      <c r="S5" s="609">
        <v>61</v>
      </c>
      <c r="T5" s="609">
        <v>51</v>
      </c>
      <c r="U5" s="609"/>
      <c r="V5" s="609"/>
      <c r="W5" s="609"/>
      <c r="X5" s="609"/>
      <c r="Y5" s="609"/>
      <c r="Z5" s="610"/>
      <c r="AA5" s="613">
        <v>61</v>
      </c>
      <c r="AB5" s="613">
        <v>51</v>
      </c>
      <c r="AC5" s="613"/>
      <c r="AD5" s="613"/>
      <c r="AE5" s="613"/>
      <c r="AF5" s="613"/>
      <c r="AG5" s="613"/>
      <c r="AH5" s="518"/>
      <c r="AI5" s="607">
        <f>IFERROR(AVERAGE(E5,E5,S5,AA5),"")</f>
        <v>74</v>
      </c>
      <c r="AJ5" s="607">
        <f t="shared" ref="AJ5:AO5" si="2">IFERROR(AVERAGE(F5,F5,T5,AB5),"")</f>
        <v>70</v>
      </c>
      <c r="AK5" s="607" t="str">
        <f t="shared" si="2"/>
        <v/>
      </c>
      <c r="AL5" s="607" t="str">
        <f t="shared" si="2"/>
        <v/>
      </c>
      <c r="AM5" s="607" t="str">
        <f t="shared" si="2"/>
        <v/>
      </c>
      <c r="AN5" s="607" t="str">
        <f t="shared" si="2"/>
        <v/>
      </c>
      <c r="AO5" s="607" t="str">
        <f t="shared" si="2"/>
        <v/>
      </c>
      <c r="AP5" s="302">
        <f t="shared" ref="AP5:AP36" si="3">ROUND((AVERAGE(AI5:AO5)),0)</f>
        <v>72</v>
      </c>
      <c r="AQ5" s="303" t="str">
        <f>IF(AP5&gt;KKM!$G$10,"A",IF(AP5&gt;KKM!$H$10,"B",IF(AP5&gt;=KKM!$I$10,"C","D")))</f>
        <v>C</v>
      </c>
      <c r="AR5" s="304">
        <f t="shared" ref="AR5:AR36" si="4">MAX(AI5:AO5)</f>
        <v>74</v>
      </c>
      <c r="AS5" s="115" t="str">
        <f>IF(AR5&gt;KKM!$G$10," sangat baik ",IF(AR5&gt;KKM!$H$10," baik ",IF(AR5&gt;=KKM!$I$10," cukup baik "," perlu bimbingan ")))</f>
        <v xml:space="preserve"> cukup baik </v>
      </c>
      <c r="AT5" s="305">
        <f t="shared" ref="AT5:AT36" si="5">MIN(AI5:AO5)</f>
        <v>70</v>
      </c>
      <c r="AU5" s="115" t="str">
        <f>IF(AT5&gt;KKM!$G$10," sangat baik ",IF(AT5&gt;KKM!$H$10," baik ",IF(AT5&gt;=KKM!$I$10," cukup baik "," perlu bimbingan ")))</f>
        <v xml:space="preserve"> cukup baik </v>
      </c>
      <c r="AV5" s="301" t="str">
        <f>IFERROR(BC5," ")</f>
        <v>Anak 1 cukup baik  dalam mengenal dan memahami penggunaan microsoft  word., dan  cukup baik  dalam memahami pembuatan dokumen di microsoft  word</v>
      </c>
      <c r="AW5" s="306"/>
      <c r="AX5" s="307" t="str">
        <f t="shared" ref="AX5:AX36" si="6">AS5&amp;" dalam "&amp;INDEX($AI$3:$AO$3,MATCH(AR5,$AI5:$AO5,0))</f>
        <v xml:space="preserve"> cukup baik  dalam mengenal dan memahami penggunaan microsoft  word.</v>
      </c>
      <c r="AY5" s="307" t="str">
        <f t="shared" ref="AY5:AY36" si="7">AU5&amp;" dalam "&amp;INDEX($AI$3:$AO$3,MATCH(AT5,$AI5:$AO5,0))</f>
        <v xml:space="preserve"> cukup baik  dalam memahami pembuatan dokumen di microsoft  word</v>
      </c>
      <c r="AZ5" s="307" t="str">
        <f>AX5&amp;", dan "&amp;AY5</f>
        <v xml:space="preserve"> cukup baik  dalam mengenal dan memahami penggunaan microsoft  word., dan  cukup baik  dalam memahami pembuatan dokumen di microsoft  word</v>
      </c>
      <c r="BA5" s="307" t="str">
        <f>IF(AX5=AY5,AX5," ")</f>
        <v xml:space="preserve"> </v>
      </c>
      <c r="BB5" s="308" t="str">
        <f>IF(BA5=" ",AZ5,BA5)</f>
        <v xml:space="preserve"> cukup baik  dalam mengenal dan memahami penggunaan microsoft  word., dan  cukup baik  dalam memahami pembuatan dokumen di microsoft  word</v>
      </c>
      <c r="BC5" s="301" t="str">
        <f t="shared" ref="BC5:BC36" si="8">CONCATENATE(D5,BB5)</f>
        <v>Anak 1 cukup baik  dalam mengenal dan memahami penggunaan microsoft  word., dan  cukup baik  dalam memahami pembuatan dokumen di microsoft  word</v>
      </c>
      <c r="BD5" s="120"/>
      <c r="BP5" s="302">
        <f>ROUND((AVERAGE(S5:Y5)),0)</f>
        <v>56</v>
      </c>
      <c r="BQ5" s="303" t="str">
        <f>IF(BP5&gt;KKM!$G$10,"A",IF(BP5&gt;KKM!$H$10,"B",IF(BP5&gt;=KKM!$I$10,"C","D")))</f>
        <v>D</v>
      </c>
      <c r="BR5" s="523">
        <f>MAX(S5:Y5)</f>
        <v>61</v>
      </c>
      <c r="BS5" s="115" t="str">
        <f>IF(BR5&gt;KKM!$G$10," sangat baik ",IF(BR5&gt;KKM!$H$10," baik ",IF(BR5&gt;=KKM!$I$10," cukup baik "," perlu bimbingan ")))</f>
        <v xml:space="preserve"> perlu bimbingan </v>
      </c>
      <c r="BT5" s="524">
        <f>MIN(S5:Y5)</f>
        <v>51</v>
      </c>
      <c r="BU5" s="115" t="str">
        <f>IF(BT5&gt;KKM!$G$10," sangat baik ",IF(BT5&gt;KKM!$H$10," baik ",IF(BT5&gt;=KKM!$I$10," cukup baik "," perlu bimbingan ")))</f>
        <v xml:space="preserve"> perlu bimbingan </v>
      </c>
      <c r="BV5" s="301" t="str">
        <f>IFERROR(CB5," ")</f>
        <v>Anak 1 perlu bimbingan  dalam mengenal dan memahami penggunaan microsoft  word., dan  perlu bimbingan  dalam memahami pembuatan dokumen di microsoft  word</v>
      </c>
      <c r="BW5" s="307" t="str">
        <f>BS5&amp;" dalam "&amp;INDEX($AI$3:$AO$3,MATCH(BR5,$S5:$Y5,0))</f>
        <v xml:space="preserve"> perlu bimbingan  dalam mengenal dan memahami penggunaan microsoft  word.</v>
      </c>
      <c r="BX5" s="307" t="str">
        <f>BU5&amp;" dalam "&amp;INDEX($AI$3:$AO$3,MATCH(BT5,$S5:$Y5,0))</f>
        <v xml:space="preserve"> perlu bimbingan  dalam memahami pembuatan dokumen di microsoft  word</v>
      </c>
      <c r="BY5" s="307" t="str">
        <f>BW5&amp;", dan "&amp;BX5</f>
        <v xml:space="preserve"> perlu bimbingan  dalam mengenal dan memahami penggunaan microsoft  word., dan  perlu bimbingan  dalam memahami pembuatan dokumen di microsoft  word</v>
      </c>
      <c r="BZ5" s="307" t="str">
        <f>IF(BW5=BX5,BW5," ")</f>
        <v xml:space="preserve"> </v>
      </c>
      <c r="CA5" s="308" t="str">
        <f>IF(BZ5=" ",BY5,BZ5)</f>
        <v xml:space="preserve"> perlu bimbingan  dalam mengenal dan memahami penggunaan microsoft  word., dan  perlu bimbingan  dalam memahami pembuatan dokumen di microsoft  word</v>
      </c>
      <c r="CB5" s="301" t="str">
        <f>CONCATENATE(D5,CA5)</f>
        <v>Anak 1 perlu bimbingan  dalam mengenal dan memahami penggunaan microsoft  word., dan  perlu bimbingan  dalam memahami pembuatan dokumen di microsoft  word</v>
      </c>
    </row>
    <row r="6" spans="1:80" ht="54" customHeight="1">
      <c r="B6" s="109">
        <v>2</v>
      </c>
      <c r="C6" s="110">
        <f>SISWA!B7</f>
        <v>0</v>
      </c>
      <c r="D6" s="111" t="str">
        <f>SISWA!E7</f>
        <v>Anak 2</v>
      </c>
      <c r="E6" s="613">
        <v>87</v>
      </c>
      <c r="F6" s="613">
        <v>88</v>
      </c>
      <c r="G6" s="613"/>
      <c r="H6" s="613"/>
      <c r="I6" s="613"/>
      <c r="J6" s="613"/>
      <c r="K6" s="613"/>
      <c r="L6" s="731"/>
      <c r="M6" s="731"/>
      <c r="N6" s="731"/>
      <c r="O6" s="731"/>
      <c r="P6" s="613"/>
      <c r="Q6" s="613"/>
      <c r="R6" s="610"/>
      <c r="S6" s="605">
        <v>95.5</v>
      </c>
      <c r="T6" s="605">
        <v>94.5</v>
      </c>
      <c r="U6" s="609"/>
      <c r="V6" s="609"/>
      <c r="W6" s="609"/>
      <c r="X6" s="609"/>
      <c r="Y6" s="609"/>
      <c r="Z6" s="610"/>
      <c r="AA6" s="613">
        <v>95.5</v>
      </c>
      <c r="AB6" s="613">
        <v>94.5</v>
      </c>
      <c r="AC6" s="613"/>
      <c r="AD6" s="613"/>
      <c r="AE6" s="613"/>
      <c r="AF6" s="613"/>
      <c r="AG6" s="613"/>
      <c r="AH6" s="518"/>
      <c r="AI6" s="607">
        <f t="shared" ref="AI6:AI54" si="9">IFERROR(AVERAGE(E6,E6,S6,AA6),"")</f>
        <v>91.25</v>
      </c>
      <c r="AJ6" s="607">
        <f t="shared" ref="AJ6:AJ54" si="10">IFERROR(AVERAGE(F6,F6,T6,AB6),"")</f>
        <v>91.25</v>
      </c>
      <c r="AK6" s="607" t="str">
        <f t="shared" ref="AK6:AK54" si="11">IFERROR(AVERAGE(G6,G6,U6,AC6),"")</f>
        <v/>
      </c>
      <c r="AL6" s="607" t="str">
        <f t="shared" ref="AL6:AL54" si="12">IFERROR(AVERAGE(H6,H6,V6,AD6),"")</f>
        <v/>
      </c>
      <c r="AM6" s="607" t="str">
        <f t="shared" ref="AM6:AM54" si="13">IFERROR(AVERAGE(I6,I6,W6,AE6),"")</f>
        <v/>
      </c>
      <c r="AN6" s="607" t="str">
        <f t="shared" ref="AN6:AN54" si="14">IFERROR(AVERAGE(J6,J6,X6,AF6),"")</f>
        <v/>
      </c>
      <c r="AO6" s="607" t="str">
        <f t="shared" ref="AO6:AO54" si="15">IFERROR(AVERAGE(K6,K6,Y6,AG6),"")</f>
        <v/>
      </c>
      <c r="AP6" s="302">
        <f t="shared" si="3"/>
        <v>91</v>
      </c>
      <c r="AQ6" s="303" t="str">
        <f>IF(AP6&gt;KKM!$G$10,"A",IF(AP6&gt;KKM!$H$10,"B",IF(AP6&gt;=KKM!$I$10,"C","D")))</f>
        <v>A</v>
      </c>
      <c r="AR6" s="304">
        <f t="shared" si="4"/>
        <v>91.25</v>
      </c>
      <c r="AS6" s="115" t="str">
        <f>IF(AR6&gt;KKM!$G$10," sangat baik ",IF(AR6&gt;KKM!$H$10," baik ",IF(AR6&gt;=KKM!$I$10," cukup baik "," perlu bimbingan ")))</f>
        <v xml:space="preserve"> sangat baik </v>
      </c>
      <c r="AT6" s="305">
        <f t="shared" si="5"/>
        <v>91.25</v>
      </c>
      <c r="AU6" s="115" t="str">
        <f>IF(AT6&gt;KKM!$G$10," sangat baik ",IF(AT6&gt;KKM!$H$10," baik ",IF(AT6&gt;=KKM!$I$10," cukup baik "," perlu bimbingan ")))</f>
        <v xml:space="preserve"> sangat baik </v>
      </c>
      <c r="AV6" s="301" t="str">
        <f t="shared" ref="AV6:AV54" si="16">IFERROR(BC6," ")</f>
        <v>Anak 2 sangat baik  dalam mengenal dan memahami penggunaan microsoft  word.</v>
      </c>
      <c r="AW6" s="306"/>
      <c r="AX6" s="307" t="str">
        <f t="shared" si="6"/>
        <v xml:space="preserve"> sangat baik  dalam mengenal dan memahami penggunaan microsoft  word.</v>
      </c>
      <c r="AY6" s="307" t="str">
        <f t="shared" si="7"/>
        <v xml:space="preserve"> sangat baik  dalam mengenal dan memahami penggunaan microsoft  word.</v>
      </c>
      <c r="AZ6" s="307" t="str">
        <f t="shared" ref="AZ6:AZ54" si="17">AX6&amp;", dan "&amp;AY6</f>
        <v xml:space="preserve"> sangat baik  dalam mengenal dan memahami penggunaan microsoft  word., dan  sangat baik  dalam mengenal dan memahami penggunaan microsoft  word.</v>
      </c>
      <c r="BA6" s="307" t="str">
        <f t="shared" ref="BA6:BA54" si="18">IF(AX6=AY6,AX6," ")</f>
        <v xml:space="preserve"> sangat baik  dalam mengenal dan memahami penggunaan microsoft  word.</v>
      </c>
      <c r="BB6" s="308" t="str">
        <f t="shared" ref="BB6:BB54" si="19">IF(BA6=" ",AZ6,BA6)</f>
        <v xml:space="preserve"> sangat baik  dalam mengenal dan memahami penggunaan microsoft  word.</v>
      </c>
      <c r="BC6" s="301" t="str">
        <f t="shared" si="8"/>
        <v>Anak 2 sangat baik  dalam mengenal dan memahami penggunaan microsoft  word.</v>
      </c>
      <c r="BD6" s="120"/>
      <c r="BP6" s="302">
        <f t="shared" ref="BP6:BP54" si="20">ROUND((AVERAGE(S6:Y6)),0)</f>
        <v>95</v>
      </c>
      <c r="BQ6" s="303" t="str">
        <f>IF(BP6&gt;KKM!$G$10,"A",IF(BP6&gt;KKM!$H$10,"B",IF(BP6&gt;=KKM!$I$10,"C","D")))</f>
        <v>A</v>
      </c>
      <c r="BR6" s="523">
        <f t="shared" ref="BR6:BR54" si="21">MAX(S6:Y6)</f>
        <v>95.5</v>
      </c>
      <c r="BS6" s="115" t="str">
        <f>IF(BR6&gt;KKM!$G$10," sangat baik ",IF(BR6&gt;KKM!$H$10," baik ",IF(BR6&gt;=KKM!$I$10," cukup baik "," perlu bimbingan ")))</f>
        <v xml:space="preserve"> sangat baik </v>
      </c>
      <c r="BT6" s="524">
        <f t="shared" ref="BT6:BT54" si="22">MIN(S6:Y6)</f>
        <v>94.5</v>
      </c>
      <c r="BU6" s="115" t="str">
        <f>IF(BT6&gt;KKM!$G$10," sangat baik ",IF(BT6&gt;KKM!$H$10," baik ",IF(BT6&gt;=KKM!$I$10," cukup baik "," perlu bimbingan ")))</f>
        <v xml:space="preserve"> sangat baik </v>
      </c>
      <c r="BV6" s="301" t="str">
        <f>IFERROR(CB6," ")</f>
        <v>Anak 2 sangat baik  dalam mengenal dan memahami penggunaan microsoft  word., dan  sangat baik  dalam memahami pembuatan dokumen di microsoft  word</v>
      </c>
      <c r="BW6" s="307" t="str">
        <f t="shared" ref="BW6:BW54" si="23">BS6&amp;" dalam "&amp;INDEX($AI$3:$AO$3,MATCH(BR6,$S6:$Y6,0))</f>
        <v xml:space="preserve"> sangat baik  dalam mengenal dan memahami penggunaan microsoft  word.</v>
      </c>
      <c r="BX6" s="307" t="str">
        <f t="shared" ref="BX6:BX54" si="24">BU6&amp;" dalam "&amp;INDEX($AI$3:$AO$3,MATCH(BT6,$S6:$Y6,0))</f>
        <v xml:space="preserve"> sangat baik  dalam memahami pembuatan dokumen di microsoft  word</v>
      </c>
      <c r="BY6" s="307" t="str">
        <f t="shared" ref="BY6:BY54" si="25">BW6&amp;", dan "&amp;BX6</f>
        <v xml:space="preserve"> sangat baik  dalam mengenal dan memahami penggunaan microsoft  word., dan  sangat baik  dalam memahami pembuatan dokumen di microsoft  word</v>
      </c>
      <c r="BZ6" s="307" t="str">
        <f t="shared" ref="BZ6:BZ54" si="26">IF(BW6=BX6,BW6," ")</f>
        <v xml:space="preserve"> </v>
      </c>
      <c r="CA6" s="308" t="str">
        <f t="shared" ref="CA6:CA54" si="27">IF(BZ6=" ",BY6,BZ6)</f>
        <v xml:space="preserve"> sangat baik  dalam mengenal dan memahami penggunaan microsoft  word., dan  sangat baik  dalam memahami pembuatan dokumen di microsoft  word</v>
      </c>
      <c r="CB6" s="301" t="str">
        <f t="shared" ref="CB6:CB54" si="28">CONCATENATE(D6,CA6)</f>
        <v>Anak 2 sangat baik  dalam mengenal dan memahami penggunaan microsoft  word., dan  sangat baik  dalam memahami pembuatan dokumen di microsoft  word</v>
      </c>
    </row>
    <row r="7" spans="1:80" ht="54" customHeight="1">
      <c r="B7" s="109">
        <v>3</v>
      </c>
      <c r="C7" s="110">
        <f>SISWA!B8</f>
        <v>0</v>
      </c>
      <c r="D7" s="111" t="str">
        <f>SISWA!E8</f>
        <v>Anak 3</v>
      </c>
      <c r="E7" s="631">
        <v>99</v>
      </c>
      <c r="F7" s="631">
        <v>99</v>
      </c>
      <c r="G7" s="613"/>
      <c r="H7" s="613"/>
      <c r="I7" s="613"/>
      <c r="J7" s="613"/>
      <c r="K7" s="613"/>
      <c r="L7" s="731"/>
      <c r="M7" s="731"/>
      <c r="N7" s="731"/>
      <c r="O7" s="731"/>
      <c r="P7" s="613"/>
      <c r="Q7" s="613"/>
      <c r="R7" s="610"/>
      <c r="S7" s="605">
        <v>94.5</v>
      </c>
      <c r="T7" s="605">
        <v>79</v>
      </c>
      <c r="U7" s="609"/>
      <c r="V7" s="609"/>
      <c r="W7" s="609"/>
      <c r="X7" s="609"/>
      <c r="Y7" s="609"/>
      <c r="Z7" s="610"/>
      <c r="AA7" s="613">
        <v>94.5</v>
      </c>
      <c r="AB7" s="613">
        <v>79</v>
      </c>
      <c r="AC7" s="613"/>
      <c r="AD7" s="613"/>
      <c r="AE7" s="613"/>
      <c r="AF7" s="613"/>
      <c r="AG7" s="613" t="str">
        <f>IFERROR(AVERAGE(#REF!),"")</f>
        <v/>
      </c>
      <c r="AH7" s="518"/>
      <c r="AI7" s="607">
        <f t="shared" si="9"/>
        <v>96.75</v>
      </c>
      <c r="AJ7" s="607">
        <f t="shared" si="10"/>
        <v>89</v>
      </c>
      <c r="AK7" s="607" t="str">
        <f t="shared" si="11"/>
        <v/>
      </c>
      <c r="AL7" s="607" t="str">
        <f t="shared" si="12"/>
        <v/>
      </c>
      <c r="AM7" s="607" t="str">
        <f t="shared" si="13"/>
        <v/>
      </c>
      <c r="AN7" s="607" t="str">
        <f t="shared" si="14"/>
        <v/>
      </c>
      <c r="AO7" s="607" t="str">
        <f t="shared" si="15"/>
        <v/>
      </c>
      <c r="AP7" s="302">
        <f t="shared" si="3"/>
        <v>93</v>
      </c>
      <c r="AQ7" s="303" t="str">
        <f>IF(AP7&gt;KKM!$G$10,"A",IF(AP7&gt;KKM!$H$10,"B",IF(AP7&gt;=KKM!$I$10,"C","D")))</f>
        <v>A</v>
      </c>
      <c r="AR7" s="304">
        <f t="shared" si="4"/>
        <v>96.75</v>
      </c>
      <c r="AS7" s="115" t="str">
        <f>IF(AR7&gt;KKM!$G$10," sangat baik ",IF(AR7&gt;KKM!$H$10," baik ",IF(AR7&gt;=KKM!$I$10," cukup baik "," perlu bimbingan ")))</f>
        <v xml:space="preserve"> sangat baik </v>
      </c>
      <c r="AT7" s="305">
        <f t="shared" si="5"/>
        <v>89</v>
      </c>
      <c r="AU7" s="115" t="str">
        <f>IF(AT7&gt;KKM!$G$10," sangat baik ",IF(AT7&gt;KKM!$H$10," baik ",IF(AT7&gt;=KKM!$I$10," cukup baik "," perlu bimbingan ")))</f>
        <v xml:space="preserve"> baik </v>
      </c>
      <c r="AV7" s="301" t="str">
        <f t="shared" si="16"/>
        <v>Anak 3 sangat baik  dalam mengenal dan memahami penggunaan microsoft  word., dan  baik  dalam memahami pembuatan dokumen di microsoft  word</v>
      </c>
      <c r="AW7" s="306"/>
      <c r="AX7" s="307" t="str">
        <f t="shared" si="6"/>
        <v xml:space="preserve"> sangat baik  dalam mengenal dan memahami penggunaan microsoft  word.</v>
      </c>
      <c r="AY7" s="307" t="str">
        <f t="shared" si="7"/>
        <v xml:space="preserve"> baik  dalam memahami pembuatan dokumen di microsoft  word</v>
      </c>
      <c r="AZ7" s="307" t="str">
        <f t="shared" si="17"/>
        <v xml:space="preserve"> sangat baik  dalam mengenal dan memahami penggunaan microsoft  word., dan  baik  dalam memahami pembuatan dokumen di microsoft  word</v>
      </c>
      <c r="BA7" s="307" t="str">
        <f t="shared" si="18"/>
        <v xml:space="preserve"> </v>
      </c>
      <c r="BB7" s="308" t="str">
        <f t="shared" si="19"/>
        <v xml:space="preserve"> sangat baik  dalam mengenal dan memahami penggunaan microsoft  word., dan  baik  dalam memahami pembuatan dokumen di microsoft  word</v>
      </c>
      <c r="BC7" s="301" t="str">
        <f t="shared" si="8"/>
        <v>Anak 3 sangat baik  dalam mengenal dan memahami penggunaan microsoft  word., dan  baik  dalam memahami pembuatan dokumen di microsoft  word</v>
      </c>
      <c r="BD7" s="120"/>
      <c r="BP7" s="302">
        <f t="shared" si="20"/>
        <v>87</v>
      </c>
      <c r="BQ7" s="303" t="str">
        <f>IF(BP7&gt;KKM!$G$10,"A",IF(BP7&gt;KKM!$H$10,"B",IF(BP7&gt;=KKM!$I$10,"C","D")))</f>
        <v>B</v>
      </c>
      <c r="BR7" s="523">
        <f t="shared" si="21"/>
        <v>94.5</v>
      </c>
      <c r="BS7" s="115" t="str">
        <f>IF(BR7&gt;KKM!$G$10," sangat baik ",IF(BR7&gt;KKM!$H$10," baik ",IF(BR7&gt;=KKM!$I$10," cukup baik "," perlu bimbingan ")))</f>
        <v xml:space="preserve"> sangat baik </v>
      </c>
      <c r="BT7" s="524">
        <f t="shared" si="22"/>
        <v>79</v>
      </c>
      <c r="BU7" s="115" t="str">
        <f>IF(BT7&gt;KKM!$G$10," sangat baik ",IF(BT7&gt;KKM!$H$10," baik ",IF(BT7&gt;=KKM!$I$10," cukup baik "," perlu bimbingan ")))</f>
        <v xml:space="preserve"> cukup baik </v>
      </c>
      <c r="BV7" s="301" t="str">
        <f t="shared" ref="BV7:BV54" si="29">IFERROR(CB7," ")</f>
        <v>Anak 3 sangat baik  dalam mengenal dan memahami penggunaan microsoft  word., dan  cukup baik  dalam memahami pembuatan dokumen di microsoft  word</v>
      </c>
      <c r="BW7" s="307" t="str">
        <f t="shared" si="23"/>
        <v xml:space="preserve"> sangat baik  dalam mengenal dan memahami penggunaan microsoft  word.</v>
      </c>
      <c r="BX7" s="307" t="str">
        <f t="shared" si="24"/>
        <v xml:space="preserve"> cukup baik  dalam memahami pembuatan dokumen di microsoft  word</v>
      </c>
      <c r="BY7" s="307" t="str">
        <f t="shared" si="25"/>
        <v xml:space="preserve"> sangat baik  dalam mengenal dan memahami penggunaan microsoft  word., dan  cukup baik  dalam memahami pembuatan dokumen di microsoft  word</v>
      </c>
      <c r="BZ7" s="307" t="str">
        <f t="shared" si="26"/>
        <v xml:space="preserve"> </v>
      </c>
      <c r="CA7" s="308" t="str">
        <f t="shared" si="27"/>
        <v xml:space="preserve"> sangat baik  dalam mengenal dan memahami penggunaan microsoft  word., dan  cukup baik  dalam memahami pembuatan dokumen di microsoft  word</v>
      </c>
      <c r="CB7" s="301" t="str">
        <f t="shared" si="28"/>
        <v>Anak 3 sangat baik  dalam mengenal dan memahami penggunaan microsoft  word., dan  cukup baik  dalam memahami pembuatan dokumen di microsoft  word</v>
      </c>
    </row>
    <row r="8" spans="1:80" ht="54" customHeight="1">
      <c r="B8" s="109">
        <v>4</v>
      </c>
      <c r="C8" s="110">
        <f>SISWA!B9</f>
        <v>0</v>
      </c>
      <c r="D8" s="111" t="str">
        <f>SISWA!E9</f>
        <v>Anak 4</v>
      </c>
      <c r="E8" s="631">
        <v>99</v>
      </c>
      <c r="F8" s="631">
        <v>99</v>
      </c>
      <c r="G8" s="613"/>
      <c r="H8" s="613"/>
      <c r="I8" s="613"/>
      <c r="J8" s="613"/>
      <c r="K8" s="613"/>
      <c r="L8" s="731"/>
      <c r="M8" s="731"/>
      <c r="N8" s="731"/>
      <c r="O8" s="731"/>
      <c r="P8" s="613"/>
      <c r="Q8" s="613"/>
      <c r="R8" s="610"/>
      <c r="S8" s="605">
        <v>79</v>
      </c>
      <c r="T8" s="605">
        <v>79</v>
      </c>
      <c r="U8" s="609"/>
      <c r="V8" s="609"/>
      <c r="W8" s="609"/>
      <c r="X8" s="609"/>
      <c r="Y8" s="609"/>
      <c r="Z8" s="610"/>
      <c r="AA8" s="613">
        <v>79</v>
      </c>
      <c r="AB8" s="613">
        <v>79</v>
      </c>
      <c r="AC8" s="613"/>
      <c r="AD8" s="613"/>
      <c r="AE8" s="613"/>
      <c r="AF8" s="613"/>
      <c r="AG8" s="613" t="str">
        <f>IFERROR(AVERAGE(#REF!),"")</f>
        <v/>
      </c>
      <c r="AH8" s="518"/>
      <c r="AI8" s="607">
        <f t="shared" si="9"/>
        <v>89</v>
      </c>
      <c r="AJ8" s="607">
        <f t="shared" si="10"/>
        <v>89</v>
      </c>
      <c r="AK8" s="607" t="str">
        <f t="shared" si="11"/>
        <v/>
      </c>
      <c r="AL8" s="607" t="str">
        <f t="shared" si="12"/>
        <v/>
      </c>
      <c r="AM8" s="607" t="str">
        <f t="shared" si="13"/>
        <v/>
      </c>
      <c r="AN8" s="607" t="str">
        <f t="shared" si="14"/>
        <v/>
      </c>
      <c r="AO8" s="607" t="str">
        <f t="shared" si="15"/>
        <v/>
      </c>
      <c r="AP8" s="302">
        <f t="shared" si="3"/>
        <v>89</v>
      </c>
      <c r="AQ8" s="303" t="str">
        <f>IF(AP8&gt;KKM!$G$10,"A",IF(AP8&gt;KKM!$H$10,"B",IF(AP8&gt;=KKM!$I$10,"C","D")))</f>
        <v>B</v>
      </c>
      <c r="AR8" s="304">
        <f t="shared" si="4"/>
        <v>89</v>
      </c>
      <c r="AS8" s="115" t="str">
        <f>IF(AR8&gt;KKM!$G$10," sangat baik ",IF(AR8&gt;KKM!$H$10," baik ",IF(AR8&gt;=KKM!$I$10," cukup baik "," perlu bimbingan ")))</f>
        <v xml:space="preserve"> baik </v>
      </c>
      <c r="AT8" s="305">
        <f t="shared" si="5"/>
        <v>89</v>
      </c>
      <c r="AU8" s="115" t="str">
        <f>IF(AT8&gt;KKM!$G$10," sangat baik ",IF(AT8&gt;KKM!$H$10," baik ",IF(AT8&gt;=KKM!$I$10," cukup baik "," perlu bimbingan ")))</f>
        <v xml:space="preserve"> baik </v>
      </c>
      <c r="AV8" s="301" t="str">
        <f t="shared" si="16"/>
        <v>Anak 4 baik  dalam mengenal dan memahami penggunaan microsoft  word.</v>
      </c>
      <c r="AW8" s="306"/>
      <c r="AX8" s="307" t="str">
        <f t="shared" si="6"/>
        <v xml:space="preserve"> baik  dalam mengenal dan memahami penggunaan microsoft  word.</v>
      </c>
      <c r="AY8" s="307" t="str">
        <f t="shared" si="7"/>
        <v xml:space="preserve"> baik  dalam mengenal dan memahami penggunaan microsoft  word.</v>
      </c>
      <c r="AZ8" s="307" t="str">
        <f t="shared" si="17"/>
        <v xml:space="preserve"> baik  dalam mengenal dan memahami penggunaan microsoft  word., dan  baik  dalam mengenal dan memahami penggunaan microsoft  word.</v>
      </c>
      <c r="BA8" s="307" t="str">
        <f t="shared" si="18"/>
        <v xml:space="preserve"> baik  dalam mengenal dan memahami penggunaan microsoft  word.</v>
      </c>
      <c r="BB8" s="308" t="str">
        <f t="shared" si="19"/>
        <v xml:space="preserve"> baik  dalam mengenal dan memahami penggunaan microsoft  word.</v>
      </c>
      <c r="BC8" s="301" t="str">
        <f t="shared" si="8"/>
        <v>Anak 4 baik  dalam mengenal dan memahami penggunaan microsoft  word.</v>
      </c>
      <c r="BD8" s="120"/>
      <c r="BP8" s="302">
        <f t="shared" si="20"/>
        <v>79</v>
      </c>
      <c r="BQ8" s="303" t="str">
        <f>IF(BP8&gt;KKM!$G$10,"A",IF(BP8&gt;KKM!$H$10,"B",IF(BP8&gt;=KKM!$I$10,"C","D")))</f>
        <v>C</v>
      </c>
      <c r="BR8" s="523">
        <f t="shared" si="21"/>
        <v>79</v>
      </c>
      <c r="BS8" s="115" t="str">
        <f>IF(BR8&gt;KKM!$G$10," sangat baik ",IF(BR8&gt;KKM!$H$10," baik ",IF(BR8&gt;=KKM!$I$10," cukup baik "," perlu bimbingan ")))</f>
        <v xml:space="preserve"> cukup baik </v>
      </c>
      <c r="BT8" s="524">
        <f t="shared" si="22"/>
        <v>79</v>
      </c>
      <c r="BU8" s="115" t="str">
        <f>IF(BT8&gt;KKM!$G$10," sangat baik ",IF(BT8&gt;KKM!$H$10," baik ",IF(BT8&gt;=KKM!$I$10," cukup baik "," perlu bimbingan ")))</f>
        <v xml:space="preserve"> cukup baik </v>
      </c>
      <c r="BV8" s="301" t="str">
        <f t="shared" si="29"/>
        <v>Anak 4 cukup baik  dalam mengenal dan memahami penggunaan microsoft  word.</v>
      </c>
      <c r="BW8" s="307" t="str">
        <f t="shared" si="23"/>
        <v xml:space="preserve"> cukup baik  dalam mengenal dan memahami penggunaan microsoft  word.</v>
      </c>
      <c r="BX8" s="307" t="str">
        <f t="shared" si="24"/>
        <v xml:space="preserve"> cukup baik  dalam mengenal dan memahami penggunaan microsoft  word.</v>
      </c>
      <c r="BY8" s="307" t="str">
        <f t="shared" si="25"/>
        <v xml:space="preserve"> cukup baik  dalam mengenal dan memahami penggunaan microsoft  word., dan  cukup baik  dalam mengenal dan memahami penggunaan microsoft  word.</v>
      </c>
      <c r="BZ8" s="307" t="str">
        <f t="shared" si="26"/>
        <v xml:space="preserve"> cukup baik  dalam mengenal dan memahami penggunaan microsoft  word.</v>
      </c>
      <c r="CA8" s="308" t="str">
        <f t="shared" si="27"/>
        <v xml:space="preserve"> cukup baik  dalam mengenal dan memahami penggunaan microsoft  word.</v>
      </c>
      <c r="CB8" s="301" t="str">
        <f t="shared" si="28"/>
        <v>Anak 4 cukup baik  dalam mengenal dan memahami penggunaan microsoft  word.</v>
      </c>
    </row>
    <row r="9" spans="1:80" ht="54" customHeight="1">
      <c r="B9" s="109">
        <v>5</v>
      </c>
      <c r="C9" s="110">
        <f>SISWA!B10</f>
        <v>0</v>
      </c>
      <c r="D9" s="111" t="str">
        <f>SISWA!E10</f>
        <v>Anak 5</v>
      </c>
      <c r="E9" s="631">
        <v>99</v>
      </c>
      <c r="F9" s="631">
        <v>99</v>
      </c>
      <c r="G9" s="613"/>
      <c r="H9" s="613"/>
      <c r="I9" s="613"/>
      <c r="J9" s="613"/>
      <c r="K9" s="613"/>
      <c r="L9" s="731"/>
      <c r="M9" s="731"/>
      <c r="N9" s="731"/>
      <c r="O9" s="731"/>
      <c r="P9" s="613"/>
      <c r="Q9" s="613"/>
      <c r="R9" s="610"/>
      <c r="S9" s="605">
        <v>79</v>
      </c>
      <c r="T9" s="605">
        <v>79</v>
      </c>
      <c r="U9" s="609"/>
      <c r="V9" s="609"/>
      <c r="W9" s="609"/>
      <c r="X9" s="609"/>
      <c r="Y9" s="609"/>
      <c r="Z9" s="610"/>
      <c r="AA9" s="613">
        <v>79</v>
      </c>
      <c r="AB9" s="613">
        <v>79</v>
      </c>
      <c r="AC9" s="613"/>
      <c r="AD9" s="613"/>
      <c r="AE9" s="613"/>
      <c r="AF9" s="613"/>
      <c r="AG9" s="613" t="str">
        <f>IFERROR(AVERAGE(#REF!),"")</f>
        <v/>
      </c>
      <c r="AH9" s="518"/>
      <c r="AI9" s="607">
        <f t="shared" si="9"/>
        <v>89</v>
      </c>
      <c r="AJ9" s="607">
        <f t="shared" si="10"/>
        <v>89</v>
      </c>
      <c r="AK9" s="607" t="str">
        <f t="shared" si="11"/>
        <v/>
      </c>
      <c r="AL9" s="607" t="str">
        <f t="shared" si="12"/>
        <v/>
      </c>
      <c r="AM9" s="607" t="str">
        <f t="shared" si="13"/>
        <v/>
      </c>
      <c r="AN9" s="607" t="str">
        <f t="shared" si="14"/>
        <v/>
      </c>
      <c r="AO9" s="607" t="str">
        <f t="shared" si="15"/>
        <v/>
      </c>
      <c r="AP9" s="302">
        <f t="shared" si="3"/>
        <v>89</v>
      </c>
      <c r="AQ9" s="303" t="str">
        <f>IF(AP9&gt;KKM!$G$10,"A",IF(AP9&gt;KKM!$H$10,"B",IF(AP9&gt;=KKM!$I$10,"C","D")))</f>
        <v>B</v>
      </c>
      <c r="AR9" s="304">
        <f t="shared" si="4"/>
        <v>89</v>
      </c>
      <c r="AS9" s="115" t="str">
        <f>IF(AR9&gt;KKM!$G$10," sangat baik ",IF(AR9&gt;KKM!$H$10," baik ",IF(AR9&gt;=KKM!$I$10," cukup baik "," perlu bimbingan ")))</f>
        <v xml:space="preserve"> baik </v>
      </c>
      <c r="AT9" s="305">
        <f t="shared" si="5"/>
        <v>89</v>
      </c>
      <c r="AU9" s="115" t="str">
        <f>IF(AT9&gt;KKM!$G$10," sangat baik ",IF(AT9&gt;KKM!$H$10," baik ",IF(AT9&gt;=KKM!$I$10," cukup baik "," perlu bimbingan ")))</f>
        <v xml:space="preserve"> baik </v>
      </c>
      <c r="AV9" s="301" t="str">
        <f t="shared" si="16"/>
        <v>Anak 5 baik  dalam mengenal dan memahami penggunaan microsoft  word.</v>
      </c>
      <c r="AW9" s="306"/>
      <c r="AX9" s="307" t="str">
        <f t="shared" si="6"/>
        <v xml:space="preserve"> baik  dalam mengenal dan memahami penggunaan microsoft  word.</v>
      </c>
      <c r="AY9" s="307" t="str">
        <f t="shared" si="7"/>
        <v xml:space="preserve"> baik  dalam mengenal dan memahami penggunaan microsoft  word.</v>
      </c>
      <c r="AZ9" s="307" t="str">
        <f t="shared" si="17"/>
        <v xml:space="preserve"> baik  dalam mengenal dan memahami penggunaan microsoft  word., dan  baik  dalam mengenal dan memahami penggunaan microsoft  word.</v>
      </c>
      <c r="BA9" s="307" t="str">
        <f t="shared" si="18"/>
        <v xml:space="preserve"> baik  dalam mengenal dan memahami penggunaan microsoft  word.</v>
      </c>
      <c r="BB9" s="308" t="str">
        <f t="shared" si="19"/>
        <v xml:space="preserve"> baik  dalam mengenal dan memahami penggunaan microsoft  word.</v>
      </c>
      <c r="BC9" s="301" t="str">
        <f t="shared" si="8"/>
        <v>Anak 5 baik  dalam mengenal dan memahami penggunaan microsoft  word.</v>
      </c>
      <c r="BD9" s="120"/>
      <c r="BP9" s="302">
        <f t="shared" si="20"/>
        <v>79</v>
      </c>
      <c r="BQ9" s="303" t="str">
        <f>IF(BP9&gt;KKM!$G$10,"A",IF(BP9&gt;KKM!$H$10,"B",IF(BP9&gt;=KKM!$I$10,"C","D")))</f>
        <v>C</v>
      </c>
      <c r="BR9" s="523">
        <f t="shared" si="21"/>
        <v>79</v>
      </c>
      <c r="BS9" s="115" t="str">
        <f>IF(BR9&gt;KKM!$G$10," sangat baik ",IF(BR9&gt;KKM!$H$10," baik ",IF(BR9&gt;=KKM!$I$10," cukup baik "," perlu bimbingan ")))</f>
        <v xml:space="preserve"> cukup baik </v>
      </c>
      <c r="BT9" s="524">
        <f t="shared" si="22"/>
        <v>79</v>
      </c>
      <c r="BU9" s="115" t="str">
        <f>IF(BT9&gt;KKM!$G$10," sangat baik ",IF(BT9&gt;KKM!$H$10," baik ",IF(BT9&gt;=KKM!$I$10," cukup baik "," perlu bimbingan ")))</f>
        <v xml:space="preserve"> cukup baik </v>
      </c>
      <c r="BV9" s="301" t="str">
        <f t="shared" si="29"/>
        <v>Anak 5 cukup baik  dalam mengenal dan memahami penggunaan microsoft  word.</v>
      </c>
      <c r="BW9" s="307" t="str">
        <f t="shared" si="23"/>
        <v xml:space="preserve"> cukup baik  dalam mengenal dan memahami penggunaan microsoft  word.</v>
      </c>
      <c r="BX9" s="307" t="str">
        <f t="shared" si="24"/>
        <v xml:space="preserve"> cukup baik  dalam mengenal dan memahami penggunaan microsoft  word.</v>
      </c>
      <c r="BY9" s="307" t="str">
        <f t="shared" si="25"/>
        <v xml:space="preserve"> cukup baik  dalam mengenal dan memahami penggunaan microsoft  word., dan  cukup baik  dalam mengenal dan memahami penggunaan microsoft  word.</v>
      </c>
      <c r="BZ9" s="307" t="str">
        <f t="shared" si="26"/>
        <v xml:space="preserve"> cukup baik  dalam mengenal dan memahami penggunaan microsoft  word.</v>
      </c>
      <c r="CA9" s="308" t="str">
        <f t="shared" si="27"/>
        <v xml:space="preserve"> cukup baik  dalam mengenal dan memahami penggunaan microsoft  word.</v>
      </c>
      <c r="CB9" s="301" t="str">
        <f t="shared" si="28"/>
        <v>Anak 5 cukup baik  dalam mengenal dan memahami penggunaan microsoft  word.</v>
      </c>
    </row>
    <row r="10" spans="1:80" ht="54" customHeight="1">
      <c r="B10" s="109">
        <v>6</v>
      </c>
      <c r="C10" s="110">
        <f>SISWA!B11</f>
        <v>0</v>
      </c>
      <c r="D10" s="111" t="str">
        <f>SISWA!E11</f>
        <v>Anak 6</v>
      </c>
      <c r="E10" s="631">
        <v>99</v>
      </c>
      <c r="F10" s="631">
        <v>99</v>
      </c>
      <c r="G10" s="613"/>
      <c r="H10" s="613"/>
      <c r="I10" s="613"/>
      <c r="J10" s="613"/>
      <c r="K10" s="613"/>
      <c r="L10" s="731"/>
      <c r="M10" s="731"/>
      <c r="N10" s="731"/>
      <c r="O10" s="731"/>
      <c r="P10" s="613"/>
      <c r="Q10" s="613"/>
      <c r="R10" s="610"/>
      <c r="S10" s="605">
        <v>79</v>
      </c>
      <c r="T10" s="605">
        <v>68.5</v>
      </c>
      <c r="U10" s="609"/>
      <c r="V10" s="609"/>
      <c r="W10" s="609"/>
      <c r="X10" s="609"/>
      <c r="Y10" s="609"/>
      <c r="Z10" s="610"/>
      <c r="AA10" s="613">
        <v>79</v>
      </c>
      <c r="AB10" s="613">
        <v>68.5</v>
      </c>
      <c r="AC10" s="613"/>
      <c r="AD10" s="613"/>
      <c r="AE10" s="613"/>
      <c r="AF10" s="613"/>
      <c r="AG10" s="613" t="str">
        <f>IFERROR(AVERAGE(#REF!),"")</f>
        <v/>
      </c>
      <c r="AH10" s="518"/>
      <c r="AI10" s="607">
        <f t="shared" si="9"/>
        <v>89</v>
      </c>
      <c r="AJ10" s="607">
        <f t="shared" si="10"/>
        <v>83.75</v>
      </c>
      <c r="AK10" s="607" t="str">
        <f t="shared" si="11"/>
        <v/>
      </c>
      <c r="AL10" s="607" t="str">
        <f t="shared" si="12"/>
        <v/>
      </c>
      <c r="AM10" s="607" t="str">
        <f t="shared" si="13"/>
        <v/>
      </c>
      <c r="AN10" s="607" t="str">
        <f t="shared" si="14"/>
        <v/>
      </c>
      <c r="AO10" s="607" t="str">
        <f t="shared" si="15"/>
        <v/>
      </c>
      <c r="AP10" s="302">
        <f t="shared" si="3"/>
        <v>86</v>
      </c>
      <c r="AQ10" s="303" t="str">
        <f>IF(AP10&gt;KKM!$G$10,"A",IF(AP10&gt;KKM!$H$10,"B",IF(AP10&gt;=KKM!$I$10,"C","D")))</f>
        <v>B</v>
      </c>
      <c r="AR10" s="304">
        <f t="shared" si="4"/>
        <v>89</v>
      </c>
      <c r="AS10" s="115" t="str">
        <f>IF(AR10&gt;KKM!$G$10," sangat baik ",IF(AR10&gt;KKM!$H$10," baik ",IF(AR10&gt;=KKM!$I$10," cukup baik "," perlu bimbingan ")))</f>
        <v xml:space="preserve"> baik </v>
      </c>
      <c r="AT10" s="305">
        <f t="shared" si="5"/>
        <v>83.75</v>
      </c>
      <c r="AU10" s="115" t="str">
        <f>IF(AT10&gt;KKM!$G$10," sangat baik ",IF(AT10&gt;KKM!$H$10," baik ",IF(AT10&gt;=KKM!$I$10," cukup baik "," perlu bimbingan ")))</f>
        <v xml:space="preserve"> baik </v>
      </c>
      <c r="AV10" s="301" t="str">
        <f t="shared" si="16"/>
        <v>Anak 6 baik  dalam mengenal dan memahami penggunaan microsoft  word., dan  baik  dalam memahami pembuatan dokumen di microsoft  word</v>
      </c>
      <c r="AW10" s="306"/>
      <c r="AX10" s="307" t="str">
        <f t="shared" si="6"/>
        <v xml:space="preserve"> baik  dalam mengenal dan memahami penggunaan microsoft  word.</v>
      </c>
      <c r="AY10" s="307" t="str">
        <f t="shared" si="7"/>
        <v xml:space="preserve"> baik  dalam memahami pembuatan dokumen di microsoft  word</v>
      </c>
      <c r="AZ10" s="307" t="str">
        <f t="shared" si="17"/>
        <v xml:space="preserve"> baik  dalam mengenal dan memahami penggunaan microsoft  word., dan  baik  dalam memahami pembuatan dokumen di microsoft  word</v>
      </c>
      <c r="BA10" s="307" t="str">
        <f t="shared" si="18"/>
        <v xml:space="preserve"> </v>
      </c>
      <c r="BB10" s="308" t="str">
        <f t="shared" si="19"/>
        <v xml:space="preserve"> baik  dalam mengenal dan memahami penggunaan microsoft  word., dan  baik  dalam memahami pembuatan dokumen di microsoft  word</v>
      </c>
      <c r="BC10" s="301" t="str">
        <f t="shared" si="8"/>
        <v>Anak 6 baik  dalam mengenal dan memahami penggunaan microsoft  word., dan  baik  dalam memahami pembuatan dokumen di microsoft  word</v>
      </c>
      <c r="BD10" s="120"/>
      <c r="BP10" s="302">
        <f t="shared" si="20"/>
        <v>74</v>
      </c>
      <c r="BQ10" s="303" t="str">
        <f>IF(BP10&gt;KKM!$G$10,"A",IF(BP10&gt;KKM!$H$10,"B",IF(BP10&gt;=KKM!$I$10,"C","D")))</f>
        <v>C</v>
      </c>
      <c r="BR10" s="523">
        <f t="shared" si="21"/>
        <v>79</v>
      </c>
      <c r="BS10" s="115" t="str">
        <f>IF(BR10&gt;KKM!$G$10," sangat baik ",IF(BR10&gt;KKM!$H$10," baik ",IF(BR10&gt;=KKM!$I$10," cukup baik "," perlu bimbingan ")))</f>
        <v xml:space="preserve"> cukup baik </v>
      </c>
      <c r="BT10" s="524">
        <f t="shared" si="22"/>
        <v>68.5</v>
      </c>
      <c r="BU10" s="115" t="str">
        <f>IF(BT10&gt;KKM!$G$10," sangat baik ",IF(BT10&gt;KKM!$H$10," baik ",IF(BT10&gt;=KKM!$I$10," cukup baik "," perlu bimbingan ")))</f>
        <v xml:space="preserve"> perlu bimbingan </v>
      </c>
      <c r="BV10" s="301" t="str">
        <f t="shared" si="29"/>
        <v>Anak 6 cukup baik  dalam mengenal dan memahami penggunaan microsoft  word., dan  perlu bimbingan  dalam memahami pembuatan dokumen di microsoft  word</v>
      </c>
      <c r="BW10" s="307" t="str">
        <f t="shared" si="23"/>
        <v xml:space="preserve"> cukup baik  dalam mengenal dan memahami penggunaan microsoft  word.</v>
      </c>
      <c r="BX10" s="307" t="str">
        <f t="shared" si="24"/>
        <v xml:space="preserve"> perlu bimbingan  dalam memahami pembuatan dokumen di microsoft  word</v>
      </c>
      <c r="BY10" s="307" t="str">
        <f t="shared" si="25"/>
        <v xml:space="preserve"> cukup baik  dalam mengenal dan memahami penggunaan microsoft  word., dan  perlu bimbingan  dalam memahami pembuatan dokumen di microsoft  word</v>
      </c>
      <c r="BZ10" s="307" t="str">
        <f t="shared" si="26"/>
        <v xml:space="preserve"> </v>
      </c>
      <c r="CA10" s="308" t="str">
        <f t="shared" si="27"/>
        <v xml:space="preserve"> cukup baik  dalam mengenal dan memahami penggunaan microsoft  word., dan  perlu bimbingan  dalam memahami pembuatan dokumen di microsoft  word</v>
      </c>
      <c r="CB10" s="301" t="str">
        <f t="shared" si="28"/>
        <v>Anak 6 cukup baik  dalam mengenal dan memahami penggunaan microsoft  word., dan  perlu bimbingan  dalam memahami pembuatan dokumen di microsoft  word</v>
      </c>
    </row>
    <row r="11" spans="1:80" ht="54" customHeight="1">
      <c r="B11" s="109">
        <v>7</v>
      </c>
      <c r="C11" s="110">
        <f>SISWA!B12</f>
        <v>0</v>
      </c>
      <c r="D11" s="111" t="str">
        <f>SISWA!E12</f>
        <v>Anak 7</v>
      </c>
      <c r="E11" s="631">
        <v>99</v>
      </c>
      <c r="F11" s="631">
        <v>99</v>
      </c>
      <c r="G11" s="613"/>
      <c r="H11" s="613"/>
      <c r="I11" s="613"/>
      <c r="J11" s="613"/>
      <c r="K11" s="613"/>
      <c r="L11" s="731"/>
      <c r="M11" s="731"/>
      <c r="N11" s="731"/>
      <c r="O11" s="731"/>
      <c r="P11" s="613"/>
      <c r="Q11" s="613"/>
      <c r="R11" s="610"/>
      <c r="S11" s="605">
        <v>68.5</v>
      </c>
      <c r="T11" s="605">
        <v>69.5</v>
      </c>
      <c r="U11" s="609"/>
      <c r="V11" s="609"/>
      <c r="W11" s="609"/>
      <c r="X11" s="609"/>
      <c r="Y11" s="609"/>
      <c r="Z11" s="610"/>
      <c r="AA11" s="613">
        <v>68.5</v>
      </c>
      <c r="AB11" s="613">
        <v>69.5</v>
      </c>
      <c r="AC11" s="613"/>
      <c r="AD11" s="613"/>
      <c r="AE11" s="613"/>
      <c r="AF11" s="613"/>
      <c r="AG11" s="613" t="str">
        <f>IFERROR(AVERAGE(#REF!),"")</f>
        <v/>
      </c>
      <c r="AH11" s="518"/>
      <c r="AI11" s="607">
        <f t="shared" si="9"/>
        <v>83.75</v>
      </c>
      <c r="AJ11" s="607">
        <f t="shared" si="10"/>
        <v>84.25</v>
      </c>
      <c r="AK11" s="607" t="str">
        <f t="shared" si="11"/>
        <v/>
      </c>
      <c r="AL11" s="607" t="str">
        <f t="shared" si="12"/>
        <v/>
      </c>
      <c r="AM11" s="607" t="str">
        <f t="shared" si="13"/>
        <v/>
      </c>
      <c r="AN11" s="607" t="str">
        <f t="shared" si="14"/>
        <v/>
      </c>
      <c r="AO11" s="607" t="str">
        <f t="shared" si="15"/>
        <v/>
      </c>
      <c r="AP11" s="302">
        <f t="shared" si="3"/>
        <v>84</v>
      </c>
      <c r="AQ11" s="303" t="str">
        <f>IF(AP11&gt;KKM!$G$10,"A",IF(AP11&gt;KKM!$H$10,"B",IF(AP11&gt;=KKM!$I$10,"C","D")))</f>
        <v>B</v>
      </c>
      <c r="AR11" s="304">
        <f t="shared" si="4"/>
        <v>84.25</v>
      </c>
      <c r="AS11" s="115" t="str">
        <f>IF(AR11&gt;KKM!$G$10," sangat baik ",IF(AR11&gt;KKM!$H$10," baik ",IF(AR11&gt;=KKM!$I$10," cukup baik "," perlu bimbingan ")))</f>
        <v xml:space="preserve"> baik </v>
      </c>
      <c r="AT11" s="305">
        <f t="shared" si="5"/>
        <v>83.75</v>
      </c>
      <c r="AU11" s="115" t="str">
        <f>IF(AT11&gt;KKM!$G$10," sangat baik ",IF(AT11&gt;KKM!$H$10," baik ",IF(AT11&gt;=KKM!$I$10," cukup baik "," perlu bimbingan ")))</f>
        <v xml:space="preserve"> baik </v>
      </c>
      <c r="AV11" s="301" t="str">
        <f t="shared" si="16"/>
        <v>Anak 7 baik  dalam memahami pembuatan dokumen di microsoft  word, dan  baik  dalam mengenal dan memahami penggunaan microsoft  word.</v>
      </c>
      <c r="AW11" s="306"/>
      <c r="AX11" s="307" t="str">
        <f t="shared" si="6"/>
        <v xml:space="preserve"> baik  dalam memahami pembuatan dokumen di microsoft  word</v>
      </c>
      <c r="AY11" s="307" t="str">
        <f t="shared" si="7"/>
        <v xml:space="preserve"> baik  dalam mengenal dan memahami penggunaan microsoft  word.</v>
      </c>
      <c r="AZ11" s="307" t="str">
        <f t="shared" si="17"/>
        <v xml:space="preserve"> baik  dalam memahami pembuatan dokumen di microsoft  word, dan  baik  dalam mengenal dan memahami penggunaan microsoft  word.</v>
      </c>
      <c r="BA11" s="307" t="str">
        <f t="shared" si="18"/>
        <v xml:space="preserve"> </v>
      </c>
      <c r="BB11" s="308" t="str">
        <f t="shared" si="19"/>
        <v xml:space="preserve"> baik  dalam memahami pembuatan dokumen di microsoft  word, dan  baik  dalam mengenal dan memahami penggunaan microsoft  word.</v>
      </c>
      <c r="BC11" s="301" t="str">
        <f t="shared" si="8"/>
        <v>Anak 7 baik  dalam memahami pembuatan dokumen di microsoft  word, dan  baik  dalam mengenal dan memahami penggunaan microsoft  word.</v>
      </c>
      <c r="BD11" s="120"/>
      <c r="BP11" s="302">
        <f t="shared" si="20"/>
        <v>69</v>
      </c>
      <c r="BQ11" s="303" t="str">
        <f>IF(BP11&gt;KKM!$G$10,"A",IF(BP11&gt;KKM!$H$10,"B",IF(BP11&gt;=KKM!$I$10,"C","D")))</f>
        <v>D</v>
      </c>
      <c r="BR11" s="523">
        <f t="shared" si="21"/>
        <v>69.5</v>
      </c>
      <c r="BS11" s="115" t="str">
        <f>IF(BR11&gt;KKM!$G$10," sangat baik ",IF(BR11&gt;KKM!$H$10," baik ",IF(BR11&gt;=KKM!$I$10," cukup baik "," perlu bimbingan ")))</f>
        <v xml:space="preserve"> perlu bimbingan </v>
      </c>
      <c r="BT11" s="524">
        <f t="shared" si="22"/>
        <v>68.5</v>
      </c>
      <c r="BU11" s="115" t="str">
        <f>IF(BT11&gt;KKM!$G$10," sangat baik ",IF(BT11&gt;KKM!$H$10," baik ",IF(BT11&gt;=KKM!$I$10," cukup baik "," perlu bimbingan ")))</f>
        <v xml:space="preserve"> perlu bimbingan </v>
      </c>
      <c r="BV11" s="301" t="str">
        <f t="shared" si="29"/>
        <v>Anak 7 perlu bimbingan  dalam memahami pembuatan dokumen di microsoft  word, dan  perlu bimbingan  dalam mengenal dan memahami penggunaan microsoft  word.</v>
      </c>
      <c r="BW11" s="307" t="str">
        <f t="shared" si="23"/>
        <v xml:space="preserve"> perlu bimbingan  dalam memahami pembuatan dokumen di microsoft  word</v>
      </c>
      <c r="BX11" s="307" t="str">
        <f t="shared" si="24"/>
        <v xml:space="preserve"> perlu bimbingan  dalam mengenal dan memahami penggunaan microsoft  word.</v>
      </c>
      <c r="BY11" s="307" t="str">
        <f t="shared" si="25"/>
        <v xml:space="preserve"> perlu bimbingan  dalam memahami pembuatan dokumen di microsoft  word, dan  perlu bimbingan  dalam mengenal dan memahami penggunaan microsoft  word.</v>
      </c>
      <c r="BZ11" s="307" t="str">
        <f t="shared" si="26"/>
        <v xml:space="preserve"> </v>
      </c>
      <c r="CA11" s="308" t="str">
        <f t="shared" si="27"/>
        <v xml:space="preserve"> perlu bimbingan  dalam memahami pembuatan dokumen di microsoft  word, dan  perlu bimbingan  dalam mengenal dan memahami penggunaan microsoft  word.</v>
      </c>
      <c r="CB11" s="301" t="str">
        <f t="shared" si="28"/>
        <v>Anak 7 perlu bimbingan  dalam memahami pembuatan dokumen di microsoft  word, dan  perlu bimbingan  dalam mengenal dan memahami penggunaan microsoft  word.</v>
      </c>
    </row>
    <row r="12" spans="1:80" ht="54" customHeight="1">
      <c r="B12" s="109">
        <v>8</v>
      </c>
      <c r="C12" s="110">
        <f>SISWA!B13</f>
        <v>0</v>
      </c>
      <c r="D12" s="111" t="str">
        <f>SISWA!E13</f>
        <v>Anak 8</v>
      </c>
      <c r="E12" s="631">
        <v>99</v>
      </c>
      <c r="F12" s="631">
        <v>99</v>
      </c>
      <c r="G12" s="613"/>
      <c r="H12" s="613"/>
      <c r="I12" s="613"/>
      <c r="J12" s="613"/>
      <c r="K12" s="613"/>
      <c r="L12" s="731"/>
      <c r="M12" s="731"/>
      <c r="N12" s="731"/>
      <c r="O12" s="731"/>
      <c r="P12" s="613"/>
      <c r="Q12" s="613"/>
      <c r="R12" s="610"/>
      <c r="S12" s="605">
        <v>69.5</v>
      </c>
      <c r="T12" s="605">
        <v>80</v>
      </c>
      <c r="U12" s="609"/>
      <c r="V12" s="609"/>
      <c r="W12" s="609"/>
      <c r="X12" s="609"/>
      <c r="Y12" s="609"/>
      <c r="Z12" s="610"/>
      <c r="AA12" s="613">
        <v>69.5</v>
      </c>
      <c r="AB12" s="613">
        <v>80</v>
      </c>
      <c r="AC12" s="613"/>
      <c r="AD12" s="613"/>
      <c r="AE12" s="613"/>
      <c r="AF12" s="613"/>
      <c r="AG12" s="613" t="str">
        <f>IFERROR(AVERAGE(#REF!),"")</f>
        <v/>
      </c>
      <c r="AH12" s="518"/>
      <c r="AI12" s="607">
        <f t="shared" si="9"/>
        <v>84.25</v>
      </c>
      <c r="AJ12" s="607">
        <f t="shared" si="10"/>
        <v>89.5</v>
      </c>
      <c r="AK12" s="607" t="str">
        <f t="shared" si="11"/>
        <v/>
      </c>
      <c r="AL12" s="607" t="str">
        <f t="shared" si="12"/>
        <v/>
      </c>
      <c r="AM12" s="607" t="str">
        <f t="shared" si="13"/>
        <v/>
      </c>
      <c r="AN12" s="607" t="str">
        <f t="shared" si="14"/>
        <v/>
      </c>
      <c r="AO12" s="607" t="str">
        <f t="shared" si="15"/>
        <v/>
      </c>
      <c r="AP12" s="302">
        <f t="shared" si="3"/>
        <v>87</v>
      </c>
      <c r="AQ12" s="303" t="str">
        <f>IF(AP12&gt;KKM!$G$10,"A",IF(AP12&gt;KKM!$H$10,"B",IF(AP12&gt;=KKM!$I$10,"C","D")))</f>
        <v>B</v>
      </c>
      <c r="AR12" s="304">
        <f t="shared" si="4"/>
        <v>89.5</v>
      </c>
      <c r="AS12" s="115" t="str">
        <f>IF(AR12&gt;KKM!$G$10," sangat baik ",IF(AR12&gt;KKM!$H$10," baik ",IF(AR12&gt;=KKM!$I$10," cukup baik "," perlu bimbingan ")))</f>
        <v xml:space="preserve"> baik </v>
      </c>
      <c r="AT12" s="305">
        <f t="shared" si="5"/>
        <v>84.25</v>
      </c>
      <c r="AU12" s="115" t="str">
        <f>IF(AT12&gt;KKM!$G$10," sangat baik ",IF(AT12&gt;KKM!$H$10," baik ",IF(AT12&gt;=KKM!$I$10," cukup baik "," perlu bimbingan ")))</f>
        <v xml:space="preserve"> baik </v>
      </c>
      <c r="AV12" s="301" t="str">
        <f t="shared" si="16"/>
        <v>Anak 8 baik  dalam memahami pembuatan dokumen di microsoft  word, dan  baik  dalam mengenal dan memahami penggunaan microsoft  word.</v>
      </c>
      <c r="AW12" s="306"/>
      <c r="AX12" s="307" t="str">
        <f t="shared" si="6"/>
        <v xml:space="preserve"> baik  dalam memahami pembuatan dokumen di microsoft  word</v>
      </c>
      <c r="AY12" s="307" t="str">
        <f t="shared" si="7"/>
        <v xml:space="preserve"> baik  dalam mengenal dan memahami penggunaan microsoft  word.</v>
      </c>
      <c r="AZ12" s="307" t="str">
        <f t="shared" si="17"/>
        <v xml:space="preserve"> baik  dalam memahami pembuatan dokumen di microsoft  word, dan  baik  dalam mengenal dan memahami penggunaan microsoft  word.</v>
      </c>
      <c r="BA12" s="307" t="str">
        <f t="shared" si="18"/>
        <v xml:space="preserve"> </v>
      </c>
      <c r="BB12" s="308" t="str">
        <f t="shared" si="19"/>
        <v xml:space="preserve"> baik  dalam memahami pembuatan dokumen di microsoft  word, dan  baik  dalam mengenal dan memahami penggunaan microsoft  word.</v>
      </c>
      <c r="BC12" s="301" t="str">
        <f t="shared" si="8"/>
        <v>Anak 8 baik  dalam memahami pembuatan dokumen di microsoft  word, dan  baik  dalam mengenal dan memahami penggunaan microsoft  word.</v>
      </c>
      <c r="BD12" s="120"/>
      <c r="BP12" s="302">
        <f t="shared" si="20"/>
        <v>75</v>
      </c>
      <c r="BQ12" s="303" t="str">
        <f>IF(BP12&gt;KKM!$G$10,"A",IF(BP12&gt;KKM!$H$10,"B",IF(BP12&gt;=KKM!$I$10,"C","D")))</f>
        <v>C</v>
      </c>
      <c r="BR12" s="523">
        <f t="shared" si="21"/>
        <v>80</v>
      </c>
      <c r="BS12" s="115" t="str">
        <f>IF(BR12&gt;KKM!$G$10," sangat baik ",IF(BR12&gt;KKM!$H$10," baik ",IF(BR12&gt;=KKM!$I$10," cukup baik "," perlu bimbingan ")))</f>
        <v xml:space="preserve"> cukup baik </v>
      </c>
      <c r="BT12" s="524">
        <f t="shared" si="22"/>
        <v>69.5</v>
      </c>
      <c r="BU12" s="115" t="str">
        <f>IF(BT12&gt;KKM!$G$10," sangat baik ",IF(BT12&gt;KKM!$H$10," baik ",IF(BT12&gt;=KKM!$I$10," cukup baik "," perlu bimbingan ")))</f>
        <v xml:space="preserve"> perlu bimbingan </v>
      </c>
      <c r="BV12" s="301" t="str">
        <f t="shared" si="29"/>
        <v>Anak 8 cukup baik  dalam memahami pembuatan dokumen di microsoft  word, dan  perlu bimbingan  dalam mengenal dan memahami penggunaan microsoft  word.</v>
      </c>
      <c r="BW12" s="307" t="str">
        <f t="shared" si="23"/>
        <v xml:space="preserve"> cukup baik  dalam memahami pembuatan dokumen di microsoft  word</v>
      </c>
      <c r="BX12" s="307" t="str">
        <f t="shared" si="24"/>
        <v xml:space="preserve"> perlu bimbingan  dalam mengenal dan memahami penggunaan microsoft  word.</v>
      </c>
      <c r="BY12" s="307" t="str">
        <f t="shared" si="25"/>
        <v xml:space="preserve"> cukup baik  dalam memahami pembuatan dokumen di microsoft  word, dan  perlu bimbingan  dalam mengenal dan memahami penggunaan microsoft  word.</v>
      </c>
      <c r="BZ12" s="307" t="str">
        <f t="shared" si="26"/>
        <v xml:space="preserve"> </v>
      </c>
      <c r="CA12" s="308" t="str">
        <f t="shared" si="27"/>
        <v xml:space="preserve"> cukup baik  dalam memahami pembuatan dokumen di microsoft  word, dan  perlu bimbingan  dalam mengenal dan memahami penggunaan microsoft  word.</v>
      </c>
      <c r="CB12" s="301" t="str">
        <f t="shared" si="28"/>
        <v>Anak 8 cukup baik  dalam memahami pembuatan dokumen di microsoft  word, dan  perlu bimbingan  dalam mengenal dan memahami penggunaan microsoft  word.</v>
      </c>
    </row>
    <row r="13" spans="1:80" ht="54" customHeight="1">
      <c r="B13" s="109">
        <v>9</v>
      </c>
      <c r="C13" s="110">
        <f>SISWA!B14</f>
        <v>0</v>
      </c>
      <c r="D13" s="111" t="str">
        <f>SISWA!E14</f>
        <v>Anak 9</v>
      </c>
      <c r="E13" s="631">
        <v>99</v>
      </c>
      <c r="F13" s="631">
        <v>99</v>
      </c>
      <c r="G13" s="613"/>
      <c r="H13" s="613"/>
      <c r="I13" s="613"/>
      <c r="J13" s="613"/>
      <c r="K13" s="613"/>
      <c r="L13" s="731"/>
      <c r="M13" s="731"/>
      <c r="N13" s="731"/>
      <c r="O13" s="731"/>
      <c r="P13" s="613"/>
      <c r="Q13" s="613"/>
      <c r="R13" s="610"/>
      <c r="S13" s="605">
        <v>80</v>
      </c>
      <c r="T13" s="605">
        <v>68.5</v>
      </c>
      <c r="U13" s="609"/>
      <c r="V13" s="609"/>
      <c r="W13" s="609"/>
      <c r="X13" s="609"/>
      <c r="Y13" s="609"/>
      <c r="Z13" s="610"/>
      <c r="AA13" s="613">
        <v>80</v>
      </c>
      <c r="AB13" s="613">
        <v>68.5</v>
      </c>
      <c r="AC13" s="613"/>
      <c r="AD13" s="613"/>
      <c r="AE13" s="613"/>
      <c r="AF13" s="613"/>
      <c r="AG13" s="613" t="str">
        <f>IFERROR(AVERAGE(#REF!),"")</f>
        <v/>
      </c>
      <c r="AH13" s="518"/>
      <c r="AI13" s="607">
        <f t="shared" si="9"/>
        <v>89.5</v>
      </c>
      <c r="AJ13" s="607">
        <f t="shared" si="10"/>
        <v>83.75</v>
      </c>
      <c r="AK13" s="607" t="str">
        <f t="shared" si="11"/>
        <v/>
      </c>
      <c r="AL13" s="607" t="str">
        <f t="shared" si="12"/>
        <v/>
      </c>
      <c r="AM13" s="607" t="str">
        <f t="shared" si="13"/>
        <v/>
      </c>
      <c r="AN13" s="607" t="str">
        <f t="shared" si="14"/>
        <v/>
      </c>
      <c r="AO13" s="607" t="str">
        <f t="shared" si="15"/>
        <v/>
      </c>
      <c r="AP13" s="302">
        <f t="shared" si="3"/>
        <v>87</v>
      </c>
      <c r="AQ13" s="303" t="str">
        <f>IF(AP13&gt;KKM!$G$10,"A",IF(AP13&gt;KKM!$H$10,"B",IF(AP13&gt;=KKM!$I$10,"C","D")))</f>
        <v>B</v>
      </c>
      <c r="AR13" s="304">
        <f t="shared" si="4"/>
        <v>89.5</v>
      </c>
      <c r="AS13" s="115" t="str">
        <f>IF(AR13&gt;KKM!$G$10," sangat baik ",IF(AR13&gt;KKM!$H$10," baik ",IF(AR13&gt;=KKM!$I$10," cukup baik "," perlu bimbingan ")))</f>
        <v xml:space="preserve"> baik </v>
      </c>
      <c r="AT13" s="305">
        <f t="shared" si="5"/>
        <v>83.75</v>
      </c>
      <c r="AU13" s="115" t="str">
        <f>IF(AT13&gt;KKM!$G$10," sangat baik ",IF(AT13&gt;KKM!$H$10," baik ",IF(AT13&gt;=KKM!$I$10," cukup baik "," perlu bimbingan ")))</f>
        <v xml:space="preserve"> baik </v>
      </c>
      <c r="AV13" s="301" t="str">
        <f t="shared" si="16"/>
        <v>Anak 9 baik  dalam mengenal dan memahami penggunaan microsoft  word., dan  baik  dalam memahami pembuatan dokumen di microsoft  word</v>
      </c>
      <c r="AW13" s="306"/>
      <c r="AX13" s="307" t="str">
        <f t="shared" si="6"/>
        <v xml:space="preserve"> baik  dalam mengenal dan memahami penggunaan microsoft  word.</v>
      </c>
      <c r="AY13" s="307" t="str">
        <f t="shared" si="7"/>
        <v xml:space="preserve"> baik  dalam memahami pembuatan dokumen di microsoft  word</v>
      </c>
      <c r="AZ13" s="307" t="str">
        <f t="shared" si="17"/>
        <v xml:space="preserve"> baik  dalam mengenal dan memahami penggunaan microsoft  word., dan  baik  dalam memahami pembuatan dokumen di microsoft  word</v>
      </c>
      <c r="BA13" s="307" t="str">
        <f t="shared" si="18"/>
        <v xml:space="preserve"> </v>
      </c>
      <c r="BB13" s="308" t="str">
        <f t="shared" si="19"/>
        <v xml:space="preserve"> baik  dalam mengenal dan memahami penggunaan microsoft  word., dan  baik  dalam memahami pembuatan dokumen di microsoft  word</v>
      </c>
      <c r="BC13" s="301" t="str">
        <f t="shared" si="8"/>
        <v>Anak 9 baik  dalam mengenal dan memahami penggunaan microsoft  word., dan  baik  dalam memahami pembuatan dokumen di microsoft  word</v>
      </c>
      <c r="BD13" s="120"/>
      <c r="BP13" s="302">
        <f t="shared" si="20"/>
        <v>74</v>
      </c>
      <c r="BQ13" s="303" t="str">
        <f>IF(BP13&gt;KKM!$G$10,"A",IF(BP13&gt;KKM!$H$10,"B",IF(BP13&gt;=KKM!$I$10,"C","D")))</f>
        <v>C</v>
      </c>
      <c r="BR13" s="523">
        <f t="shared" si="21"/>
        <v>80</v>
      </c>
      <c r="BS13" s="115" t="str">
        <f>IF(BR13&gt;KKM!$G$10," sangat baik ",IF(BR13&gt;KKM!$H$10," baik ",IF(BR13&gt;=KKM!$I$10," cukup baik "," perlu bimbingan ")))</f>
        <v xml:space="preserve"> cukup baik </v>
      </c>
      <c r="BT13" s="524">
        <f t="shared" si="22"/>
        <v>68.5</v>
      </c>
      <c r="BU13" s="115" t="str">
        <f>IF(BT13&gt;KKM!$G$10," sangat baik ",IF(BT13&gt;KKM!$H$10," baik ",IF(BT13&gt;=KKM!$I$10," cukup baik "," perlu bimbingan ")))</f>
        <v xml:space="preserve"> perlu bimbingan </v>
      </c>
      <c r="BV13" s="301" t="str">
        <f t="shared" si="29"/>
        <v>Anak 9 cukup baik  dalam mengenal dan memahami penggunaan microsoft  word., dan  perlu bimbingan  dalam memahami pembuatan dokumen di microsoft  word</v>
      </c>
      <c r="BW13" s="307" t="str">
        <f t="shared" si="23"/>
        <v xml:space="preserve"> cukup baik  dalam mengenal dan memahami penggunaan microsoft  word.</v>
      </c>
      <c r="BX13" s="307" t="str">
        <f t="shared" si="24"/>
        <v xml:space="preserve"> perlu bimbingan  dalam memahami pembuatan dokumen di microsoft  word</v>
      </c>
      <c r="BY13" s="307" t="str">
        <f t="shared" si="25"/>
        <v xml:space="preserve"> cukup baik  dalam mengenal dan memahami penggunaan microsoft  word., dan  perlu bimbingan  dalam memahami pembuatan dokumen di microsoft  word</v>
      </c>
      <c r="BZ13" s="307" t="str">
        <f t="shared" si="26"/>
        <v xml:space="preserve"> </v>
      </c>
      <c r="CA13" s="308" t="str">
        <f t="shared" si="27"/>
        <v xml:space="preserve"> cukup baik  dalam mengenal dan memahami penggunaan microsoft  word., dan  perlu bimbingan  dalam memahami pembuatan dokumen di microsoft  word</v>
      </c>
      <c r="CB13" s="301" t="str">
        <f t="shared" si="28"/>
        <v>Anak 9 cukup baik  dalam mengenal dan memahami penggunaan microsoft  word., dan  perlu bimbingan  dalam memahami pembuatan dokumen di microsoft  word</v>
      </c>
    </row>
    <row r="14" spans="1:80" ht="54" customHeight="1">
      <c r="B14" s="109">
        <v>10</v>
      </c>
      <c r="C14" s="110">
        <f>SISWA!B15</f>
        <v>0</v>
      </c>
      <c r="D14" s="111" t="str">
        <f>SISWA!E15</f>
        <v>Anak 10</v>
      </c>
      <c r="E14" s="631">
        <v>99</v>
      </c>
      <c r="F14" s="631">
        <v>99</v>
      </c>
      <c r="G14" s="613"/>
      <c r="H14" s="613"/>
      <c r="I14" s="613"/>
      <c r="J14" s="613"/>
      <c r="K14" s="613"/>
      <c r="L14" s="731"/>
      <c r="M14" s="731"/>
      <c r="N14" s="731"/>
      <c r="O14" s="731"/>
      <c r="P14" s="613"/>
      <c r="Q14" s="613"/>
      <c r="R14" s="610"/>
      <c r="S14" s="605">
        <v>68.5</v>
      </c>
      <c r="T14" s="605">
        <v>69.5</v>
      </c>
      <c r="U14" s="609"/>
      <c r="V14" s="609"/>
      <c r="W14" s="609"/>
      <c r="X14" s="609"/>
      <c r="Y14" s="609"/>
      <c r="Z14" s="610"/>
      <c r="AA14" s="613">
        <v>68.5</v>
      </c>
      <c r="AB14" s="613">
        <v>69.5</v>
      </c>
      <c r="AC14" s="613"/>
      <c r="AD14" s="613"/>
      <c r="AE14" s="613"/>
      <c r="AF14" s="613"/>
      <c r="AG14" s="613" t="str">
        <f>IFERROR(AVERAGE(#REF!),"")</f>
        <v/>
      </c>
      <c r="AH14" s="518"/>
      <c r="AI14" s="607">
        <f t="shared" si="9"/>
        <v>83.75</v>
      </c>
      <c r="AJ14" s="607">
        <f t="shared" si="10"/>
        <v>84.25</v>
      </c>
      <c r="AK14" s="607" t="str">
        <f t="shared" si="11"/>
        <v/>
      </c>
      <c r="AL14" s="607" t="str">
        <f t="shared" si="12"/>
        <v/>
      </c>
      <c r="AM14" s="607" t="str">
        <f t="shared" si="13"/>
        <v/>
      </c>
      <c r="AN14" s="607" t="str">
        <f t="shared" si="14"/>
        <v/>
      </c>
      <c r="AO14" s="607" t="str">
        <f t="shared" si="15"/>
        <v/>
      </c>
      <c r="AP14" s="302">
        <f t="shared" si="3"/>
        <v>84</v>
      </c>
      <c r="AQ14" s="303" t="str">
        <f>IF(AP14&gt;KKM!$G$10,"A",IF(AP14&gt;KKM!$H$10,"B",IF(AP14&gt;=KKM!$I$10,"C","D")))</f>
        <v>B</v>
      </c>
      <c r="AR14" s="304">
        <f t="shared" si="4"/>
        <v>84.25</v>
      </c>
      <c r="AS14" s="115" t="str">
        <f>IF(AR14&gt;KKM!$G$10," sangat baik ",IF(AR14&gt;KKM!$H$10," baik ",IF(AR14&gt;=KKM!$I$10," cukup baik "," perlu bimbingan ")))</f>
        <v xml:space="preserve"> baik </v>
      </c>
      <c r="AT14" s="305">
        <f t="shared" si="5"/>
        <v>83.75</v>
      </c>
      <c r="AU14" s="115" t="str">
        <f>IF(AT14&gt;KKM!$G$10," sangat baik ",IF(AT14&gt;KKM!$H$10," baik ",IF(AT14&gt;=KKM!$I$10," cukup baik "," perlu bimbingan ")))</f>
        <v xml:space="preserve"> baik </v>
      </c>
      <c r="AV14" s="301" t="str">
        <f t="shared" si="16"/>
        <v>Anak 10 baik  dalam memahami pembuatan dokumen di microsoft  word, dan  baik  dalam mengenal dan memahami penggunaan microsoft  word.</v>
      </c>
      <c r="AW14" s="306"/>
      <c r="AX14" s="307" t="str">
        <f t="shared" si="6"/>
        <v xml:space="preserve"> baik  dalam memahami pembuatan dokumen di microsoft  word</v>
      </c>
      <c r="AY14" s="307" t="str">
        <f t="shared" si="7"/>
        <v xml:space="preserve"> baik  dalam mengenal dan memahami penggunaan microsoft  word.</v>
      </c>
      <c r="AZ14" s="307" t="str">
        <f t="shared" si="17"/>
        <v xml:space="preserve"> baik  dalam memahami pembuatan dokumen di microsoft  word, dan  baik  dalam mengenal dan memahami penggunaan microsoft  word.</v>
      </c>
      <c r="BA14" s="307" t="str">
        <f t="shared" si="18"/>
        <v xml:space="preserve"> </v>
      </c>
      <c r="BB14" s="308" t="str">
        <f t="shared" si="19"/>
        <v xml:space="preserve"> baik  dalam memahami pembuatan dokumen di microsoft  word, dan  baik  dalam mengenal dan memahami penggunaan microsoft  word.</v>
      </c>
      <c r="BC14" s="301" t="str">
        <f t="shared" si="8"/>
        <v>Anak 10 baik  dalam memahami pembuatan dokumen di microsoft  word, dan  baik  dalam mengenal dan memahami penggunaan microsoft  word.</v>
      </c>
      <c r="BD14" s="120"/>
      <c r="BP14" s="302">
        <f t="shared" si="20"/>
        <v>69</v>
      </c>
      <c r="BQ14" s="303" t="str">
        <f>IF(BP14&gt;KKM!$G$10,"A",IF(BP14&gt;KKM!$H$10,"B",IF(BP14&gt;=KKM!$I$10,"C","D")))</f>
        <v>D</v>
      </c>
      <c r="BR14" s="523">
        <f t="shared" si="21"/>
        <v>69.5</v>
      </c>
      <c r="BS14" s="115" t="str">
        <f>IF(BR14&gt;KKM!$G$10," sangat baik ",IF(BR14&gt;KKM!$H$10," baik ",IF(BR14&gt;=KKM!$I$10," cukup baik "," perlu bimbingan ")))</f>
        <v xml:space="preserve"> perlu bimbingan </v>
      </c>
      <c r="BT14" s="524">
        <f t="shared" si="22"/>
        <v>68.5</v>
      </c>
      <c r="BU14" s="115" t="str">
        <f>IF(BT14&gt;KKM!$G$10," sangat baik ",IF(BT14&gt;KKM!$H$10," baik ",IF(BT14&gt;=KKM!$I$10," cukup baik "," perlu bimbingan ")))</f>
        <v xml:space="preserve"> perlu bimbingan </v>
      </c>
      <c r="BV14" s="301" t="str">
        <f t="shared" si="29"/>
        <v>Anak 10 perlu bimbingan  dalam memahami pembuatan dokumen di microsoft  word, dan  perlu bimbingan  dalam mengenal dan memahami penggunaan microsoft  word.</v>
      </c>
      <c r="BW14" s="307" t="str">
        <f t="shared" si="23"/>
        <v xml:space="preserve"> perlu bimbingan  dalam memahami pembuatan dokumen di microsoft  word</v>
      </c>
      <c r="BX14" s="307" t="str">
        <f t="shared" si="24"/>
        <v xml:space="preserve"> perlu bimbingan  dalam mengenal dan memahami penggunaan microsoft  word.</v>
      </c>
      <c r="BY14" s="307" t="str">
        <f t="shared" si="25"/>
        <v xml:space="preserve"> perlu bimbingan  dalam memahami pembuatan dokumen di microsoft  word, dan  perlu bimbingan  dalam mengenal dan memahami penggunaan microsoft  word.</v>
      </c>
      <c r="BZ14" s="307" t="str">
        <f t="shared" si="26"/>
        <v xml:space="preserve"> </v>
      </c>
      <c r="CA14" s="308" t="str">
        <f t="shared" si="27"/>
        <v xml:space="preserve"> perlu bimbingan  dalam memahami pembuatan dokumen di microsoft  word, dan  perlu bimbingan  dalam mengenal dan memahami penggunaan microsoft  word.</v>
      </c>
      <c r="CB14" s="301" t="str">
        <f t="shared" si="28"/>
        <v>Anak 10 perlu bimbingan  dalam memahami pembuatan dokumen di microsoft  word, dan  perlu bimbingan  dalam mengenal dan memahami penggunaan microsoft  word.</v>
      </c>
    </row>
    <row r="15" spans="1:80" ht="54" customHeight="1">
      <c r="B15" s="109">
        <v>11</v>
      </c>
      <c r="C15" s="110">
        <f>SISWA!B16</f>
        <v>0</v>
      </c>
      <c r="D15" s="111" t="str">
        <f>SISWA!E16</f>
        <v>Anak 11</v>
      </c>
      <c r="E15" s="631">
        <v>99</v>
      </c>
      <c r="F15" s="631">
        <v>99</v>
      </c>
      <c r="G15" s="613"/>
      <c r="H15" s="613"/>
      <c r="I15" s="613"/>
      <c r="J15" s="613"/>
      <c r="K15" s="613"/>
      <c r="L15" s="731"/>
      <c r="M15" s="731"/>
      <c r="N15" s="731"/>
      <c r="O15" s="731"/>
      <c r="P15" s="613"/>
      <c r="Q15" s="613"/>
      <c r="R15" s="610"/>
      <c r="S15" s="605">
        <v>69.5</v>
      </c>
      <c r="T15" s="605">
        <v>70.5</v>
      </c>
      <c r="U15" s="609"/>
      <c r="V15" s="609"/>
      <c r="W15" s="609"/>
      <c r="X15" s="609"/>
      <c r="Y15" s="609"/>
      <c r="Z15" s="610"/>
      <c r="AA15" s="613">
        <v>69.5</v>
      </c>
      <c r="AB15" s="613">
        <v>70.5</v>
      </c>
      <c r="AC15" s="613"/>
      <c r="AD15" s="613"/>
      <c r="AE15" s="613"/>
      <c r="AF15" s="613"/>
      <c r="AG15" s="613" t="str">
        <f>IFERROR(AVERAGE(#REF!),"")</f>
        <v/>
      </c>
      <c r="AH15" s="518"/>
      <c r="AI15" s="607">
        <f t="shared" si="9"/>
        <v>84.25</v>
      </c>
      <c r="AJ15" s="607">
        <f t="shared" si="10"/>
        <v>84.75</v>
      </c>
      <c r="AK15" s="607" t="str">
        <f t="shared" si="11"/>
        <v/>
      </c>
      <c r="AL15" s="607" t="str">
        <f t="shared" si="12"/>
        <v/>
      </c>
      <c r="AM15" s="607" t="str">
        <f t="shared" si="13"/>
        <v/>
      </c>
      <c r="AN15" s="607" t="str">
        <f t="shared" si="14"/>
        <v/>
      </c>
      <c r="AO15" s="607" t="str">
        <f t="shared" si="15"/>
        <v/>
      </c>
      <c r="AP15" s="302">
        <f t="shared" si="3"/>
        <v>85</v>
      </c>
      <c r="AQ15" s="303" t="str">
        <f>IF(AP15&gt;KKM!$G$10,"A",IF(AP15&gt;KKM!$H$10,"B",IF(AP15&gt;=KKM!$I$10,"C","D")))</f>
        <v>B</v>
      </c>
      <c r="AR15" s="304">
        <f t="shared" si="4"/>
        <v>84.75</v>
      </c>
      <c r="AS15" s="115" t="str">
        <f>IF(AR15&gt;KKM!$G$10," sangat baik ",IF(AR15&gt;KKM!$H$10," baik ",IF(AR15&gt;=KKM!$I$10," cukup baik "," perlu bimbingan ")))</f>
        <v xml:space="preserve"> baik </v>
      </c>
      <c r="AT15" s="305">
        <f t="shared" si="5"/>
        <v>84.25</v>
      </c>
      <c r="AU15" s="115" t="str">
        <f>IF(AT15&gt;KKM!$G$10," sangat baik ",IF(AT15&gt;KKM!$H$10," baik ",IF(AT15&gt;=KKM!$I$10," cukup baik "," perlu bimbingan ")))</f>
        <v xml:space="preserve"> baik </v>
      </c>
      <c r="AV15" s="301" t="str">
        <f t="shared" si="16"/>
        <v>Anak 11 baik  dalam memahami pembuatan dokumen di microsoft  word, dan  baik  dalam mengenal dan memahami penggunaan microsoft  word.</v>
      </c>
      <c r="AW15" s="306"/>
      <c r="AX15" s="307" t="str">
        <f t="shared" si="6"/>
        <v xml:space="preserve"> baik  dalam memahami pembuatan dokumen di microsoft  word</v>
      </c>
      <c r="AY15" s="307" t="str">
        <f t="shared" si="7"/>
        <v xml:space="preserve"> baik  dalam mengenal dan memahami penggunaan microsoft  word.</v>
      </c>
      <c r="AZ15" s="307" t="str">
        <f t="shared" si="17"/>
        <v xml:space="preserve"> baik  dalam memahami pembuatan dokumen di microsoft  word, dan  baik  dalam mengenal dan memahami penggunaan microsoft  word.</v>
      </c>
      <c r="BA15" s="307" t="str">
        <f t="shared" si="18"/>
        <v xml:space="preserve"> </v>
      </c>
      <c r="BB15" s="308" t="str">
        <f t="shared" si="19"/>
        <v xml:space="preserve"> baik  dalam memahami pembuatan dokumen di microsoft  word, dan  baik  dalam mengenal dan memahami penggunaan microsoft  word.</v>
      </c>
      <c r="BC15" s="301" t="str">
        <f t="shared" si="8"/>
        <v>Anak 11 baik  dalam memahami pembuatan dokumen di microsoft  word, dan  baik  dalam mengenal dan memahami penggunaan microsoft  word.</v>
      </c>
      <c r="BD15" s="120"/>
      <c r="BP15" s="302">
        <f t="shared" si="20"/>
        <v>70</v>
      </c>
      <c r="BQ15" s="303" t="str">
        <f>IF(BP15&gt;KKM!$G$10,"A",IF(BP15&gt;KKM!$H$10,"B",IF(BP15&gt;=KKM!$I$10,"C","D")))</f>
        <v>C</v>
      </c>
      <c r="BR15" s="523">
        <f t="shared" si="21"/>
        <v>70.5</v>
      </c>
      <c r="BS15" s="115" t="str">
        <f>IF(BR15&gt;KKM!$G$10," sangat baik ",IF(BR15&gt;KKM!$H$10," baik ",IF(BR15&gt;=KKM!$I$10," cukup baik "," perlu bimbingan ")))</f>
        <v xml:space="preserve"> cukup baik </v>
      </c>
      <c r="BT15" s="524">
        <f t="shared" si="22"/>
        <v>69.5</v>
      </c>
      <c r="BU15" s="115" t="str">
        <f>IF(BT15&gt;KKM!$G$10," sangat baik ",IF(BT15&gt;KKM!$H$10," baik ",IF(BT15&gt;=KKM!$I$10," cukup baik "," perlu bimbingan ")))</f>
        <v xml:space="preserve"> perlu bimbingan </v>
      </c>
      <c r="BV15" s="301" t="str">
        <f t="shared" si="29"/>
        <v>Anak 11 cukup baik  dalam memahami pembuatan dokumen di microsoft  word, dan  perlu bimbingan  dalam mengenal dan memahami penggunaan microsoft  word.</v>
      </c>
      <c r="BW15" s="307" t="str">
        <f t="shared" si="23"/>
        <v xml:space="preserve"> cukup baik  dalam memahami pembuatan dokumen di microsoft  word</v>
      </c>
      <c r="BX15" s="307" t="str">
        <f t="shared" si="24"/>
        <v xml:space="preserve"> perlu bimbingan  dalam mengenal dan memahami penggunaan microsoft  word.</v>
      </c>
      <c r="BY15" s="307" t="str">
        <f t="shared" si="25"/>
        <v xml:space="preserve"> cukup baik  dalam memahami pembuatan dokumen di microsoft  word, dan  perlu bimbingan  dalam mengenal dan memahami penggunaan microsoft  word.</v>
      </c>
      <c r="BZ15" s="307" t="str">
        <f t="shared" si="26"/>
        <v xml:space="preserve"> </v>
      </c>
      <c r="CA15" s="308" t="str">
        <f t="shared" si="27"/>
        <v xml:space="preserve"> cukup baik  dalam memahami pembuatan dokumen di microsoft  word, dan  perlu bimbingan  dalam mengenal dan memahami penggunaan microsoft  word.</v>
      </c>
      <c r="CB15" s="301" t="str">
        <f t="shared" si="28"/>
        <v>Anak 11 cukup baik  dalam memahami pembuatan dokumen di microsoft  word, dan  perlu bimbingan  dalam mengenal dan memahami penggunaan microsoft  word.</v>
      </c>
    </row>
    <row r="16" spans="1:80" ht="54" customHeight="1">
      <c r="B16" s="109">
        <v>12</v>
      </c>
      <c r="C16" s="110">
        <f>SISWA!B17</f>
        <v>0</v>
      </c>
      <c r="D16" s="111" t="str">
        <f>SISWA!E17</f>
        <v>Anak 12</v>
      </c>
      <c r="E16" s="631">
        <v>99</v>
      </c>
      <c r="F16" s="631">
        <v>99</v>
      </c>
      <c r="G16" s="613"/>
      <c r="H16" s="613"/>
      <c r="I16" s="613"/>
      <c r="J16" s="613"/>
      <c r="K16" s="613"/>
      <c r="L16" s="731"/>
      <c r="M16" s="731"/>
      <c r="N16" s="731"/>
      <c r="O16" s="731"/>
      <c r="P16" s="613"/>
      <c r="Q16" s="613"/>
      <c r="R16" s="610"/>
      <c r="S16" s="605">
        <v>70.5</v>
      </c>
      <c r="T16" s="605">
        <v>84.5</v>
      </c>
      <c r="U16" s="609"/>
      <c r="V16" s="609"/>
      <c r="W16" s="609"/>
      <c r="X16" s="609"/>
      <c r="Y16" s="609"/>
      <c r="Z16" s="610"/>
      <c r="AA16" s="613">
        <v>70.5</v>
      </c>
      <c r="AB16" s="613">
        <v>84.5</v>
      </c>
      <c r="AC16" s="613"/>
      <c r="AD16" s="613"/>
      <c r="AE16" s="613"/>
      <c r="AF16" s="613"/>
      <c r="AG16" s="613" t="str">
        <f>IFERROR(AVERAGE(#REF!),"")</f>
        <v/>
      </c>
      <c r="AH16" s="518"/>
      <c r="AI16" s="607">
        <f t="shared" si="9"/>
        <v>84.75</v>
      </c>
      <c r="AJ16" s="607">
        <f t="shared" si="10"/>
        <v>91.75</v>
      </c>
      <c r="AK16" s="607" t="str">
        <f t="shared" si="11"/>
        <v/>
      </c>
      <c r="AL16" s="607" t="str">
        <f t="shared" si="12"/>
        <v/>
      </c>
      <c r="AM16" s="607" t="str">
        <f t="shared" si="13"/>
        <v/>
      </c>
      <c r="AN16" s="607" t="str">
        <f t="shared" si="14"/>
        <v/>
      </c>
      <c r="AO16" s="607" t="str">
        <f t="shared" si="15"/>
        <v/>
      </c>
      <c r="AP16" s="302">
        <f t="shared" si="3"/>
        <v>88</v>
      </c>
      <c r="AQ16" s="303" t="str">
        <f>IF(AP16&gt;KKM!$G$10,"A",IF(AP16&gt;KKM!$H$10,"B",IF(AP16&gt;=KKM!$I$10,"C","D")))</f>
        <v>B</v>
      </c>
      <c r="AR16" s="304">
        <f t="shared" si="4"/>
        <v>91.75</v>
      </c>
      <c r="AS16" s="115" t="str">
        <f>IF(AR16&gt;KKM!$G$10," sangat baik ",IF(AR16&gt;KKM!$H$10," baik ",IF(AR16&gt;=KKM!$I$10," cukup baik "," perlu bimbingan ")))</f>
        <v xml:space="preserve"> sangat baik </v>
      </c>
      <c r="AT16" s="305">
        <f t="shared" si="5"/>
        <v>84.75</v>
      </c>
      <c r="AU16" s="115" t="str">
        <f>IF(AT16&gt;KKM!$G$10," sangat baik ",IF(AT16&gt;KKM!$H$10," baik ",IF(AT16&gt;=KKM!$I$10," cukup baik "," perlu bimbingan ")))</f>
        <v xml:space="preserve"> baik </v>
      </c>
      <c r="AV16" s="301" t="str">
        <f t="shared" si="16"/>
        <v>Anak 12 sangat baik  dalam memahami pembuatan dokumen di microsoft  word, dan  baik  dalam mengenal dan memahami penggunaan microsoft  word.</v>
      </c>
      <c r="AW16" s="306"/>
      <c r="AX16" s="307" t="str">
        <f t="shared" si="6"/>
        <v xml:space="preserve"> sangat baik  dalam memahami pembuatan dokumen di microsoft  word</v>
      </c>
      <c r="AY16" s="307" t="str">
        <f t="shared" si="7"/>
        <v xml:space="preserve"> baik  dalam mengenal dan memahami penggunaan microsoft  word.</v>
      </c>
      <c r="AZ16" s="307" t="str">
        <f t="shared" si="17"/>
        <v xml:space="preserve"> sangat baik  dalam memahami pembuatan dokumen di microsoft  word, dan  baik  dalam mengenal dan memahami penggunaan microsoft  word.</v>
      </c>
      <c r="BA16" s="307" t="str">
        <f t="shared" si="18"/>
        <v xml:space="preserve"> </v>
      </c>
      <c r="BB16" s="308" t="str">
        <f t="shared" si="19"/>
        <v xml:space="preserve"> sangat baik  dalam memahami pembuatan dokumen di microsoft  word, dan  baik  dalam mengenal dan memahami penggunaan microsoft  word.</v>
      </c>
      <c r="BC16" s="301" t="str">
        <f t="shared" si="8"/>
        <v>Anak 12 sangat baik  dalam memahami pembuatan dokumen di microsoft  word, dan  baik  dalam mengenal dan memahami penggunaan microsoft  word.</v>
      </c>
      <c r="BD16" s="120"/>
      <c r="BP16" s="302">
        <f t="shared" si="20"/>
        <v>78</v>
      </c>
      <c r="BQ16" s="303" t="str">
        <f>IF(BP16&gt;KKM!$G$10,"A",IF(BP16&gt;KKM!$H$10,"B",IF(BP16&gt;=KKM!$I$10,"C","D")))</f>
        <v>C</v>
      </c>
      <c r="BR16" s="523">
        <f t="shared" si="21"/>
        <v>84.5</v>
      </c>
      <c r="BS16" s="115" t="str">
        <f>IF(BR16&gt;KKM!$G$10," sangat baik ",IF(BR16&gt;KKM!$H$10," baik ",IF(BR16&gt;=KKM!$I$10," cukup baik "," perlu bimbingan ")))</f>
        <v xml:space="preserve"> baik </v>
      </c>
      <c r="BT16" s="524">
        <f t="shared" si="22"/>
        <v>70.5</v>
      </c>
      <c r="BU16" s="115" t="str">
        <f>IF(BT16&gt;KKM!$G$10," sangat baik ",IF(BT16&gt;KKM!$H$10," baik ",IF(BT16&gt;=KKM!$I$10," cukup baik "," perlu bimbingan ")))</f>
        <v xml:space="preserve"> cukup baik </v>
      </c>
      <c r="BV16" s="301" t="str">
        <f t="shared" si="29"/>
        <v>Anak 12 baik  dalam memahami pembuatan dokumen di microsoft  word, dan  cukup baik  dalam mengenal dan memahami penggunaan microsoft  word.</v>
      </c>
      <c r="BW16" s="307" t="str">
        <f t="shared" si="23"/>
        <v xml:space="preserve"> baik  dalam memahami pembuatan dokumen di microsoft  word</v>
      </c>
      <c r="BX16" s="307" t="str">
        <f t="shared" si="24"/>
        <v xml:space="preserve"> cukup baik  dalam mengenal dan memahami penggunaan microsoft  word.</v>
      </c>
      <c r="BY16" s="307" t="str">
        <f t="shared" si="25"/>
        <v xml:space="preserve"> baik  dalam memahami pembuatan dokumen di microsoft  word, dan  cukup baik  dalam mengenal dan memahami penggunaan microsoft  word.</v>
      </c>
      <c r="BZ16" s="307" t="str">
        <f t="shared" si="26"/>
        <v xml:space="preserve"> </v>
      </c>
      <c r="CA16" s="308" t="str">
        <f t="shared" si="27"/>
        <v xml:space="preserve"> baik  dalam memahami pembuatan dokumen di microsoft  word, dan  cukup baik  dalam mengenal dan memahami penggunaan microsoft  word.</v>
      </c>
      <c r="CB16" s="301" t="str">
        <f t="shared" si="28"/>
        <v>Anak 12 baik  dalam memahami pembuatan dokumen di microsoft  word, dan  cukup baik  dalam mengenal dan memahami penggunaan microsoft  word.</v>
      </c>
    </row>
    <row r="17" spans="2:80" ht="54" customHeight="1">
      <c r="B17" s="109">
        <v>13</v>
      </c>
      <c r="C17" s="110">
        <f>SISWA!B18</f>
        <v>0</v>
      </c>
      <c r="D17" s="111" t="str">
        <f>SISWA!E18</f>
        <v>Anak 13</v>
      </c>
      <c r="E17" s="631">
        <v>99</v>
      </c>
      <c r="F17" s="631">
        <v>99</v>
      </c>
      <c r="G17" s="613"/>
      <c r="H17" s="613"/>
      <c r="I17" s="613"/>
      <c r="J17" s="613"/>
      <c r="K17" s="613"/>
      <c r="L17" s="731"/>
      <c r="M17" s="731"/>
      <c r="N17" s="731"/>
      <c r="O17" s="731"/>
      <c r="P17" s="613"/>
      <c r="Q17" s="613"/>
      <c r="R17" s="610"/>
      <c r="S17" s="605">
        <v>84.5</v>
      </c>
      <c r="T17" s="605">
        <v>72.5</v>
      </c>
      <c r="U17" s="609"/>
      <c r="V17" s="609"/>
      <c r="W17" s="609"/>
      <c r="X17" s="609"/>
      <c r="Y17" s="609"/>
      <c r="Z17" s="610"/>
      <c r="AA17" s="613">
        <v>84.5</v>
      </c>
      <c r="AB17" s="613">
        <v>72.5</v>
      </c>
      <c r="AC17" s="613"/>
      <c r="AD17" s="613"/>
      <c r="AE17" s="613"/>
      <c r="AF17" s="613"/>
      <c r="AG17" s="613" t="str">
        <f>IFERROR(AVERAGE(#REF!),"")</f>
        <v/>
      </c>
      <c r="AH17" s="518"/>
      <c r="AI17" s="607">
        <f t="shared" si="9"/>
        <v>91.75</v>
      </c>
      <c r="AJ17" s="607">
        <f t="shared" si="10"/>
        <v>85.75</v>
      </c>
      <c r="AK17" s="607" t="str">
        <f t="shared" si="11"/>
        <v/>
      </c>
      <c r="AL17" s="607" t="str">
        <f t="shared" si="12"/>
        <v/>
      </c>
      <c r="AM17" s="607" t="str">
        <f t="shared" si="13"/>
        <v/>
      </c>
      <c r="AN17" s="607" t="str">
        <f t="shared" si="14"/>
        <v/>
      </c>
      <c r="AO17" s="607" t="str">
        <f t="shared" si="15"/>
        <v/>
      </c>
      <c r="AP17" s="302">
        <f t="shared" si="3"/>
        <v>89</v>
      </c>
      <c r="AQ17" s="303" t="str">
        <f>IF(AP17&gt;KKM!$G$10,"A",IF(AP17&gt;KKM!$H$10,"B",IF(AP17&gt;=KKM!$I$10,"C","D")))</f>
        <v>B</v>
      </c>
      <c r="AR17" s="304">
        <f t="shared" si="4"/>
        <v>91.75</v>
      </c>
      <c r="AS17" s="115" t="str">
        <f>IF(AR17&gt;KKM!$G$10," sangat baik ",IF(AR17&gt;KKM!$H$10," baik ",IF(AR17&gt;=KKM!$I$10," cukup baik "," perlu bimbingan ")))</f>
        <v xml:space="preserve"> sangat baik </v>
      </c>
      <c r="AT17" s="305">
        <f t="shared" si="5"/>
        <v>85.75</v>
      </c>
      <c r="AU17" s="115" t="str">
        <f>IF(AT17&gt;KKM!$G$10," sangat baik ",IF(AT17&gt;KKM!$H$10," baik ",IF(AT17&gt;=KKM!$I$10," cukup baik "," perlu bimbingan ")))</f>
        <v xml:space="preserve"> baik </v>
      </c>
      <c r="AV17" s="301" t="str">
        <f t="shared" si="16"/>
        <v>Anak 13 sangat baik  dalam mengenal dan memahami penggunaan microsoft  word., dan  baik  dalam memahami pembuatan dokumen di microsoft  word</v>
      </c>
      <c r="AW17" s="306"/>
      <c r="AX17" s="307" t="str">
        <f t="shared" si="6"/>
        <v xml:space="preserve"> sangat baik  dalam mengenal dan memahami penggunaan microsoft  word.</v>
      </c>
      <c r="AY17" s="307" t="str">
        <f t="shared" si="7"/>
        <v xml:space="preserve"> baik  dalam memahami pembuatan dokumen di microsoft  word</v>
      </c>
      <c r="AZ17" s="307" t="str">
        <f t="shared" si="17"/>
        <v xml:space="preserve"> sangat baik  dalam mengenal dan memahami penggunaan microsoft  word., dan  baik  dalam memahami pembuatan dokumen di microsoft  word</v>
      </c>
      <c r="BA17" s="307" t="str">
        <f t="shared" si="18"/>
        <v xml:space="preserve"> </v>
      </c>
      <c r="BB17" s="308" t="str">
        <f t="shared" si="19"/>
        <v xml:space="preserve"> sangat baik  dalam mengenal dan memahami penggunaan microsoft  word., dan  baik  dalam memahami pembuatan dokumen di microsoft  word</v>
      </c>
      <c r="BC17" s="301" t="str">
        <f t="shared" si="8"/>
        <v>Anak 13 sangat baik  dalam mengenal dan memahami penggunaan microsoft  word., dan  baik  dalam memahami pembuatan dokumen di microsoft  word</v>
      </c>
      <c r="BD17" s="120"/>
      <c r="BP17" s="302">
        <f t="shared" si="20"/>
        <v>79</v>
      </c>
      <c r="BQ17" s="303" t="str">
        <f>IF(BP17&gt;KKM!$G$10,"A",IF(BP17&gt;KKM!$H$10,"B",IF(BP17&gt;=KKM!$I$10,"C","D")))</f>
        <v>C</v>
      </c>
      <c r="BR17" s="523">
        <f t="shared" si="21"/>
        <v>84.5</v>
      </c>
      <c r="BS17" s="115" t="str">
        <f>IF(BR17&gt;KKM!$G$10," sangat baik ",IF(BR17&gt;KKM!$H$10," baik ",IF(BR17&gt;=KKM!$I$10," cukup baik "," perlu bimbingan ")))</f>
        <v xml:space="preserve"> baik </v>
      </c>
      <c r="BT17" s="524">
        <f t="shared" si="22"/>
        <v>72.5</v>
      </c>
      <c r="BU17" s="115" t="str">
        <f>IF(BT17&gt;KKM!$G$10," sangat baik ",IF(BT17&gt;KKM!$H$10," baik ",IF(BT17&gt;=KKM!$I$10," cukup baik "," perlu bimbingan ")))</f>
        <v xml:space="preserve"> cukup baik </v>
      </c>
      <c r="BV17" s="301" t="str">
        <f t="shared" si="29"/>
        <v>Anak 13 baik  dalam mengenal dan memahami penggunaan microsoft  word., dan  cukup baik  dalam memahami pembuatan dokumen di microsoft  word</v>
      </c>
      <c r="BW17" s="307" t="str">
        <f t="shared" si="23"/>
        <v xml:space="preserve"> baik  dalam mengenal dan memahami penggunaan microsoft  word.</v>
      </c>
      <c r="BX17" s="307" t="str">
        <f t="shared" si="24"/>
        <v xml:space="preserve"> cukup baik  dalam memahami pembuatan dokumen di microsoft  word</v>
      </c>
      <c r="BY17" s="307" t="str">
        <f t="shared" si="25"/>
        <v xml:space="preserve"> baik  dalam mengenal dan memahami penggunaan microsoft  word., dan  cukup baik  dalam memahami pembuatan dokumen di microsoft  word</v>
      </c>
      <c r="BZ17" s="307" t="str">
        <f t="shared" si="26"/>
        <v xml:space="preserve"> </v>
      </c>
      <c r="CA17" s="308" t="str">
        <f t="shared" si="27"/>
        <v xml:space="preserve"> baik  dalam mengenal dan memahami penggunaan microsoft  word., dan  cukup baik  dalam memahami pembuatan dokumen di microsoft  word</v>
      </c>
      <c r="CB17" s="301" t="str">
        <f t="shared" si="28"/>
        <v>Anak 13 baik  dalam mengenal dan memahami penggunaan microsoft  word., dan  cukup baik  dalam memahami pembuatan dokumen di microsoft  word</v>
      </c>
    </row>
    <row r="18" spans="2:80" ht="54" customHeight="1">
      <c r="B18" s="109">
        <v>14</v>
      </c>
      <c r="C18" s="110">
        <f>SISWA!B19</f>
        <v>0</v>
      </c>
      <c r="D18" s="111" t="str">
        <f>SISWA!E19</f>
        <v>Anak 14</v>
      </c>
      <c r="E18" s="631">
        <v>99</v>
      </c>
      <c r="F18" s="631">
        <v>99</v>
      </c>
      <c r="G18" s="613"/>
      <c r="H18" s="613"/>
      <c r="I18" s="613"/>
      <c r="J18" s="613"/>
      <c r="K18" s="613"/>
      <c r="L18" s="731"/>
      <c r="M18" s="731"/>
      <c r="N18" s="731"/>
      <c r="O18" s="731"/>
      <c r="P18" s="613"/>
      <c r="Q18" s="613"/>
      <c r="R18" s="610"/>
      <c r="S18" s="605">
        <v>72.5</v>
      </c>
      <c r="T18" s="605">
        <v>80</v>
      </c>
      <c r="U18" s="609"/>
      <c r="V18" s="609"/>
      <c r="W18" s="609"/>
      <c r="X18" s="609"/>
      <c r="Y18" s="609"/>
      <c r="Z18" s="610"/>
      <c r="AA18" s="613">
        <v>72.5</v>
      </c>
      <c r="AB18" s="613">
        <v>80</v>
      </c>
      <c r="AC18" s="613"/>
      <c r="AD18" s="613"/>
      <c r="AE18" s="613"/>
      <c r="AF18" s="613"/>
      <c r="AG18" s="613" t="str">
        <f>IFERROR(AVERAGE(#REF!),"")</f>
        <v/>
      </c>
      <c r="AH18" s="518"/>
      <c r="AI18" s="607">
        <f t="shared" si="9"/>
        <v>85.75</v>
      </c>
      <c r="AJ18" s="607">
        <f t="shared" si="10"/>
        <v>89.5</v>
      </c>
      <c r="AK18" s="607" t="str">
        <f t="shared" si="11"/>
        <v/>
      </c>
      <c r="AL18" s="607" t="str">
        <f t="shared" si="12"/>
        <v/>
      </c>
      <c r="AM18" s="607" t="str">
        <f t="shared" si="13"/>
        <v/>
      </c>
      <c r="AN18" s="607" t="str">
        <f t="shared" si="14"/>
        <v/>
      </c>
      <c r="AO18" s="607" t="str">
        <f t="shared" si="15"/>
        <v/>
      </c>
      <c r="AP18" s="302">
        <f t="shared" si="3"/>
        <v>88</v>
      </c>
      <c r="AQ18" s="303" t="str">
        <f>IF(AP18&gt;KKM!$G$10,"A",IF(AP18&gt;KKM!$H$10,"B",IF(AP18&gt;=KKM!$I$10,"C","D")))</f>
        <v>B</v>
      </c>
      <c r="AR18" s="304">
        <f t="shared" si="4"/>
        <v>89.5</v>
      </c>
      <c r="AS18" s="115" t="str">
        <f>IF(AR18&gt;KKM!$G$10," sangat baik ",IF(AR18&gt;KKM!$H$10," baik ",IF(AR18&gt;=KKM!$I$10," cukup baik "," perlu bimbingan ")))</f>
        <v xml:space="preserve"> baik </v>
      </c>
      <c r="AT18" s="305">
        <f t="shared" si="5"/>
        <v>85.75</v>
      </c>
      <c r="AU18" s="115" t="str">
        <f>IF(AT18&gt;KKM!$G$10," sangat baik ",IF(AT18&gt;KKM!$H$10," baik ",IF(AT18&gt;=KKM!$I$10," cukup baik "," perlu bimbingan ")))</f>
        <v xml:space="preserve"> baik </v>
      </c>
      <c r="AV18" s="301" t="str">
        <f t="shared" si="16"/>
        <v>Anak 14 baik  dalam memahami pembuatan dokumen di microsoft  word, dan  baik  dalam mengenal dan memahami penggunaan microsoft  word.</v>
      </c>
      <c r="AW18" s="306"/>
      <c r="AX18" s="307" t="str">
        <f t="shared" si="6"/>
        <v xml:space="preserve"> baik  dalam memahami pembuatan dokumen di microsoft  word</v>
      </c>
      <c r="AY18" s="307" t="str">
        <f t="shared" si="7"/>
        <v xml:space="preserve"> baik  dalam mengenal dan memahami penggunaan microsoft  word.</v>
      </c>
      <c r="AZ18" s="307" t="str">
        <f t="shared" si="17"/>
        <v xml:space="preserve"> baik  dalam memahami pembuatan dokumen di microsoft  word, dan  baik  dalam mengenal dan memahami penggunaan microsoft  word.</v>
      </c>
      <c r="BA18" s="307" t="str">
        <f t="shared" si="18"/>
        <v xml:space="preserve"> </v>
      </c>
      <c r="BB18" s="308" t="str">
        <f t="shared" si="19"/>
        <v xml:space="preserve"> baik  dalam memahami pembuatan dokumen di microsoft  word, dan  baik  dalam mengenal dan memahami penggunaan microsoft  word.</v>
      </c>
      <c r="BC18" s="301" t="str">
        <f t="shared" si="8"/>
        <v>Anak 14 baik  dalam memahami pembuatan dokumen di microsoft  word, dan  baik  dalam mengenal dan memahami penggunaan microsoft  word.</v>
      </c>
      <c r="BD18" s="120"/>
      <c r="BP18" s="302">
        <f t="shared" si="20"/>
        <v>76</v>
      </c>
      <c r="BQ18" s="303" t="str">
        <f>IF(BP18&gt;KKM!$G$10,"A",IF(BP18&gt;KKM!$H$10,"B",IF(BP18&gt;=KKM!$I$10,"C","D")))</f>
        <v>C</v>
      </c>
      <c r="BR18" s="523">
        <f t="shared" si="21"/>
        <v>80</v>
      </c>
      <c r="BS18" s="115" t="str">
        <f>IF(BR18&gt;KKM!$G$10," sangat baik ",IF(BR18&gt;KKM!$H$10," baik ",IF(BR18&gt;=KKM!$I$10," cukup baik "," perlu bimbingan ")))</f>
        <v xml:space="preserve"> cukup baik </v>
      </c>
      <c r="BT18" s="524">
        <f t="shared" si="22"/>
        <v>72.5</v>
      </c>
      <c r="BU18" s="115" t="str">
        <f>IF(BT18&gt;KKM!$G$10," sangat baik ",IF(BT18&gt;KKM!$H$10," baik ",IF(BT18&gt;=KKM!$I$10," cukup baik "," perlu bimbingan ")))</f>
        <v xml:space="preserve"> cukup baik </v>
      </c>
      <c r="BV18" s="301" t="str">
        <f t="shared" si="29"/>
        <v>Anak 14 cukup baik  dalam memahami pembuatan dokumen di microsoft  word, dan  cukup baik  dalam mengenal dan memahami penggunaan microsoft  word.</v>
      </c>
      <c r="BW18" s="307" t="str">
        <f t="shared" si="23"/>
        <v xml:space="preserve"> cukup baik  dalam memahami pembuatan dokumen di microsoft  word</v>
      </c>
      <c r="BX18" s="307" t="str">
        <f t="shared" si="24"/>
        <v xml:space="preserve"> cukup baik  dalam mengenal dan memahami penggunaan microsoft  word.</v>
      </c>
      <c r="BY18" s="307" t="str">
        <f t="shared" si="25"/>
        <v xml:space="preserve"> cukup baik  dalam memahami pembuatan dokumen di microsoft  word, dan  cukup baik  dalam mengenal dan memahami penggunaan microsoft  word.</v>
      </c>
      <c r="BZ18" s="307" t="str">
        <f t="shared" si="26"/>
        <v xml:space="preserve"> </v>
      </c>
      <c r="CA18" s="308" t="str">
        <f t="shared" si="27"/>
        <v xml:space="preserve"> cukup baik  dalam memahami pembuatan dokumen di microsoft  word, dan  cukup baik  dalam mengenal dan memahami penggunaan microsoft  word.</v>
      </c>
      <c r="CB18" s="301" t="str">
        <f t="shared" si="28"/>
        <v>Anak 14 cukup baik  dalam memahami pembuatan dokumen di microsoft  word, dan  cukup baik  dalam mengenal dan memahami penggunaan microsoft  word.</v>
      </c>
    </row>
    <row r="19" spans="2:80" ht="54" customHeight="1">
      <c r="B19" s="109">
        <v>15</v>
      </c>
      <c r="C19" s="110">
        <f>SISWA!B20</f>
        <v>0</v>
      </c>
      <c r="D19" s="111" t="str">
        <f>SISWA!E20</f>
        <v>Anak 15</v>
      </c>
      <c r="E19" s="631">
        <v>99</v>
      </c>
      <c r="F19" s="631">
        <v>99</v>
      </c>
      <c r="G19" s="613"/>
      <c r="H19" s="613"/>
      <c r="I19" s="613"/>
      <c r="J19" s="613"/>
      <c r="K19" s="613"/>
      <c r="L19" s="731"/>
      <c r="M19" s="731"/>
      <c r="N19" s="731"/>
      <c r="O19" s="731"/>
      <c r="P19" s="613"/>
      <c r="Q19" s="613"/>
      <c r="R19" s="610"/>
      <c r="S19" s="605">
        <v>80</v>
      </c>
      <c r="T19" s="605">
        <v>79.5</v>
      </c>
      <c r="U19" s="609"/>
      <c r="V19" s="609"/>
      <c r="W19" s="609"/>
      <c r="X19" s="609"/>
      <c r="Y19" s="609"/>
      <c r="Z19" s="610"/>
      <c r="AA19" s="613">
        <v>80</v>
      </c>
      <c r="AB19" s="613">
        <v>79.5</v>
      </c>
      <c r="AC19" s="613"/>
      <c r="AD19" s="613"/>
      <c r="AE19" s="613"/>
      <c r="AF19" s="613"/>
      <c r="AG19" s="613" t="str">
        <f>IFERROR(AVERAGE(#REF!),"")</f>
        <v/>
      </c>
      <c r="AH19" s="518"/>
      <c r="AI19" s="607">
        <f t="shared" si="9"/>
        <v>89.5</v>
      </c>
      <c r="AJ19" s="607">
        <f t="shared" si="10"/>
        <v>89.25</v>
      </c>
      <c r="AK19" s="607" t="str">
        <f t="shared" si="11"/>
        <v/>
      </c>
      <c r="AL19" s="607" t="str">
        <f t="shared" si="12"/>
        <v/>
      </c>
      <c r="AM19" s="607" t="str">
        <f t="shared" si="13"/>
        <v/>
      </c>
      <c r="AN19" s="607" t="str">
        <f t="shared" si="14"/>
        <v/>
      </c>
      <c r="AO19" s="607" t="str">
        <f t="shared" si="15"/>
        <v/>
      </c>
      <c r="AP19" s="302">
        <f t="shared" si="3"/>
        <v>89</v>
      </c>
      <c r="AQ19" s="303" t="str">
        <f>IF(AP19&gt;KKM!$G$10,"A",IF(AP19&gt;KKM!$H$10,"B",IF(AP19&gt;=KKM!$I$10,"C","D")))</f>
        <v>B</v>
      </c>
      <c r="AR19" s="304">
        <f t="shared" si="4"/>
        <v>89.5</v>
      </c>
      <c r="AS19" s="115" t="str">
        <f>IF(AR19&gt;KKM!$G$10," sangat baik ",IF(AR19&gt;KKM!$H$10," baik ",IF(AR19&gt;=KKM!$I$10," cukup baik "," perlu bimbingan ")))</f>
        <v xml:space="preserve"> baik </v>
      </c>
      <c r="AT19" s="305">
        <f t="shared" si="5"/>
        <v>89.25</v>
      </c>
      <c r="AU19" s="115" t="str">
        <f>IF(AT19&gt;KKM!$G$10," sangat baik ",IF(AT19&gt;KKM!$H$10," baik ",IF(AT19&gt;=KKM!$I$10," cukup baik "," perlu bimbingan ")))</f>
        <v xml:space="preserve"> baik </v>
      </c>
      <c r="AV19" s="301" t="str">
        <f t="shared" si="16"/>
        <v>Anak 15 baik  dalam mengenal dan memahami penggunaan microsoft  word., dan  baik  dalam memahami pembuatan dokumen di microsoft  word</v>
      </c>
      <c r="AW19" s="306"/>
      <c r="AX19" s="307" t="str">
        <f t="shared" si="6"/>
        <v xml:space="preserve"> baik  dalam mengenal dan memahami penggunaan microsoft  word.</v>
      </c>
      <c r="AY19" s="307" t="str">
        <f t="shared" si="7"/>
        <v xml:space="preserve"> baik  dalam memahami pembuatan dokumen di microsoft  word</v>
      </c>
      <c r="AZ19" s="307" t="str">
        <f t="shared" si="17"/>
        <v xml:space="preserve"> baik  dalam mengenal dan memahami penggunaan microsoft  word., dan  baik  dalam memahami pembuatan dokumen di microsoft  word</v>
      </c>
      <c r="BA19" s="307" t="str">
        <f t="shared" si="18"/>
        <v xml:space="preserve"> </v>
      </c>
      <c r="BB19" s="308" t="str">
        <f t="shared" si="19"/>
        <v xml:space="preserve"> baik  dalam mengenal dan memahami penggunaan microsoft  word., dan  baik  dalam memahami pembuatan dokumen di microsoft  word</v>
      </c>
      <c r="BC19" s="301" t="str">
        <f t="shared" si="8"/>
        <v>Anak 15 baik  dalam mengenal dan memahami penggunaan microsoft  word., dan  baik  dalam memahami pembuatan dokumen di microsoft  word</v>
      </c>
      <c r="BD19" s="120"/>
      <c r="BP19" s="302">
        <f t="shared" si="20"/>
        <v>80</v>
      </c>
      <c r="BQ19" s="303" t="str">
        <f>IF(BP19&gt;KKM!$G$10,"A",IF(BP19&gt;KKM!$H$10,"B",IF(BP19&gt;=KKM!$I$10,"C","D")))</f>
        <v>C</v>
      </c>
      <c r="BR19" s="523">
        <f t="shared" si="21"/>
        <v>80</v>
      </c>
      <c r="BS19" s="115" t="str">
        <f>IF(BR19&gt;KKM!$G$10," sangat baik ",IF(BR19&gt;KKM!$H$10," baik ",IF(BR19&gt;=KKM!$I$10," cukup baik "," perlu bimbingan ")))</f>
        <v xml:space="preserve"> cukup baik </v>
      </c>
      <c r="BT19" s="524">
        <f t="shared" si="22"/>
        <v>79.5</v>
      </c>
      <c r="BU19" s="115" t="str">
        <f>IF(BT19&gt;KKM!$G$10," sangat baik ",IF(BT19&gt;KKM!$H$10," baik ",IF(BT19&gt;=KKM!$I$10," cukup baik "," perlu bimbingan ")))</f>
        <v xml:space="preserve"> cukup baik </v>
      </c>
      <c r="BV19" s="301" t="str">
        <f t="shared" si="29"/>
        <v>Anak 15 cukup baik  dalam mengenal dan memahami penggunaan microsoft  word., dan  cukup baik  dalam memahami pembuatan dokumen di microsoft  word</v>
      </c>
      <c r="BW19" s="307" t="str">
        <f t="shared" si="23"/>
        <v xml:space="preserve"> cukup baik  dalam mengenal dan memahami penggunaan microsoft  word.</v>
      </c>
      <c r="BX19" s="307" t="str">
        <f t="shared" si="24"/>
        <v xml:space="preserve"> cukup baik  dalam memahami pembuatan dokumen di microsoft  word</v>
      </c>
      <c r="BY19" s="307" t="str">
        <f t="shared" si="25"/>
        <v xml:space="preserve"> cukup baik  dalam mengenal dan memahami penggunaan microsoft  word., dan  cukup baik  dalam memahami pembuatan dokumen di microsoft  word</v>
      </c>
      <c r="BZ19" s="307" t="str">
        <f t="shared" si="26"/>
        <v xml:space="preserve"> </v>
      </c>
      <c r="CA19" s="308" t="str">
        <f t="shared" si="27"/>
        <v xml:space="preserve"> cukup baik  dalam mengenal dan memahami penggunaan microsoft  word., dan  cukup baik  dalam memahami pembuatan dokumen di microsoft  word</v>
      </c>
      <c r="CB19" s="301" t="str">
        <f t="shared" si="28"/>
        <v>Anak 15 cukup baik  dalam mengenal dan memahami penggunaan microsoft  word., dan  cukup baik  dalam memahami pembuatan dokumen di microsoft  word</v>
      </c>
    </row>
    <row r="20" spans="2:80" ht="54" customHeight="1">
      <c r="B20" s="109">
        <v>16</v>
      </c>
      <c r="C20" s="110">
        <f>SISWA!B21</f>
        <v>0</v>
      </c>
      <c r="D20" s="111" t="str">
        <f>SISWA!E21</f>
        <v>Anak 16</v>
      </c>
      <c r="E20" s="631">
        <v>99</v>
      </c>
      <c r="F20" s="631">
        <v>99</v>
      </c>
      <c r="G20" s="613"/>
      <c r="H20" s="613"/>
      <c r="I20" s="613"/>
      <c r="J20" s="613"/>
      <c r="K20" s="613"/>
      <c r="L20" s="731"/>
      <c r="M20" s="731"/>
      <c r="N20" s="731"/>
      <c r="O20" s="731"/>
      <c r="P20" s="613"/>
      <c r="Q20" s="613"/>
      <c r="R20" s="610"/>
      <c r="S20" s="605">
        <v>79.5</v>
      </c>
      <c r="T20" s="605">
        <v>79.5</v>
      </c>
      <c r="U20" s="609"/>
      <c r="V20" s="609"/>
      <c r="W20" s="609"/>
      <c r="X20" s="609"/>
      <c r="Y20" s="609"/>
      <c r="Z20" s="610"/>
      <c r="AA20" s="613">
        <v>79.5</v>
      </c>
      <c r="AB20" s="613">
        <v>79.5</v>
      </c>
      <c r="AC20" s="613"/>
      <c r="AD20" s="613"/>
      <c r="AE20" s="613"/>
      <c r="AF20" s="613"/>
      <c r="AG20" s="613" t="str">
        <f>IFERROR(AVERAGE(#REF!),"")</f>
        <v/>
      </c>
      <c r="AH20" s="518"/>
      <c r="AI20" s="607">
        <f t="shared" si="9"/>
        <v>89.25</v>
      </c>
      <c r="AJ20" s="607">
        <f t="shared" si="10"/>
        <v>89.25</v>
      </c>
      <c r="AK20" s="607" t="str">
        <f t="shared" si="11"/>
        <v/>
      </c>
      <c r="AL20" s="607" t="str">
        <f t="shared" si="12"/>
        <v/>
      </c>
      <c r="AM20" s="607" t="str">
        <f t="shared" si="13"/>
        <v/>
      </c>
      <c r="AN20" s="607" t="str">
        <f t="shared" si="14"/>
        <v/>
      </c>
      <c r="AO20" s="607" t="str">
        <f t="shared" si="15"/>
        <v/>
      </c>
      <c r="AP20" s="302">
        <f t="shared" si="3"/>
        <v>89</v>
      </c>
      <c r="AQ20" s="303" t="str">
        <f>IF(AP20&gt;KKM!$G$10,"A",IF(AP20&gt;KKM!$H$10,"B",IF(AP20&gt;=KKM!$I$10,"C","D")))</f>
        <v>B</v>
      </c>
      <c r="AR20" s="304">
        <f t="shared" si="4"/>
        <v>89.25</v>
      </c>
      <c r="AS20" s="115" t="str">
        <f>IF(AR20&gt;KKM!$G$10," sangat baik ",IF(AR20&gt;KKM!$H$10," baik ",IF(AR20&gt;=KKM!$I$10," cukup baik "," perlu bimbingan ")))</f>
        <v xml:space="preserve"> baik </v>
      </c>
      <c r="AT20" s="305">
        <f t="shared" si="5"/>
        <v>89.25</v>
      </c>
      <c r="AU20" s="115" t="str">
        <f>IF(AT20&gt;KKM!$G$10," sangat baik ",IF(AT20&gt;KKM!$H$10," baik ",IF(AT20&gt;=KKM!$I$10," cukup baik "," perlu bimbingan ")))</f>
        <v xml:space="preserve"> baik </v>
      </c>
      <c r="AV20" s="301" t="str">
        <f t="shared" si="16"/>
        <v>Anak 16 baik  dalam mengenal dan memahami penggunaan microsoft  word.</v>
      </c>
      <c r="AW20" s="306"/>
      <c r="AX20" s="307" t="str">
        <f t="shared" si="6"/>
        <v xml:space="preserve"> baik  dalam mengenal dan memahami penggunaan microsoft  word.</v>
      </c>
      <c r="AY20" s="307" t="str">
        <f t="shared" si="7"/>
        <v xml:space="preserve"> baik  dalam mengenal dan memahami penggunaan microsoft  word.</v>
      </c>
      <c r="AZ20" s="307" t="str">
        <f t="shared" si="17"/>
        <v xml:space="preserve"> baik  dalam mengenal dan memahami penggunaan microsoft  word., dan  baik  dalam mengenal dan memahami penggunaan microsoft  word.</v>
      </c>
      <c r="BA20" s="307" t="str">
        <f t="shared" si="18"/>
        <v xml:space="preserve"> baik  dalam mengenal dan memahami penggunaan microsoft  word.</v>
      </c>
      <c r="BB20" s="308" t="str">
        <f t="shared" si="19"/>
        <v xml:space="preserve"> baik  dalam mengenal dan memahami penggunaan microsoft  word.</v>
      </c>
      <c r="BC20" s="301" t="str">
        <f t="shared" si="8"/>
        <v>Anak 16 baik  dalam mengenal dan memahami penggunaan microsoft  word.</v>
      </c>
      <c r="BD20" s="120"/>
      <c r="BP20" s="302">
        <f t="shared" si="20"/>
        <v>80</v>
      </c>
      <c r="BQ20" s="303" t="str">
        <f>IF(BP20&gt;KKM!$G$10,"A",IF(BP20&gt;KKM!$H$10,"B",IF(BP20&gt;=KKM!$I$10,"C","D")))</f>
        <v>C</v>
      </c>
      <c r="BR20" s="523">
        <f t="shared" si="21"/>
        <v>79.5</v>
      </c>
      <c r="BS20" s="115" t="str">
        <f>IF(BR20&gt;KKM!$G$10," sangat baik ",IF(BR20&gt;KKM!$H$10," baik ",IF(BR20&gt;=KKM!$I$10," cukup baik "," perlu bimbingan ")))</f>
        <v xml:space="preserve"> cukup baik </v>
      </c>
      <c r="BT20" s="524">
        <f t="shared" si="22"/>
        <v>79.5</v>
      </c>
      <c r="BU20" s="115" t="str">
        <f>IF(BT20&gt;KKM!$G$10," sangat baik ",IF(BT20&gt;KKM!$H$10," baik ",IF(BT20&gt;=KKM!$I$10," cukup baik "," perlu bimbingan ")))</f>
        <v xml:space="preserve"> cukup baik </v>
      </c>
      <c r="BV20" s="301" t="str">
        <f t="shared" si="29"/>
        <v>Anak 16 cukup baik  dalam mengenal dan memahami penggunaan microsoft  word.</v>
      </c>
      <c r="BW20" s="307" t="str">
        <f t="shared" si="23"/>
        <v xml:space="preserve"> cukup baik  dalam mengenal dan memahami penggunaan microsoft  word.</v>
      </c>
      <c r="BX20" s="307" t="str">
        <f t="shared" si="24"/>
        <v xml:space="preserve"> cukup baik  dalam mengenal dan memahami penggunaan microsoft  word.</v>
      </c>
      <c r="BY20" s="307" t="str">
        <f t="shared" si="25"/>
        <v xml:space="preserve"> cukup baik  dalam mengenal dan memahami penggunaan microsoft  word., dan  cukup baik  dalam mengenal dan memahami penggunaan microsoft  word.</v>
      </c>
      <c r="BZ20" s="307" t="str">
        <f t="shared" si="26"/>
        <v xml:space="preserve"> cukup baik  dalam mengenal dan memahami penggunaan microsoft  word.</v>
      </c>
      <c r="CA20" s="308" t="str">
        <f t="shared" si="27"/>
        <v xml:space="preserve"> cukup baik  dalam mengenal dan memahami penggunaan microsoft  word.</v>
      </c>
      <c r="CB20" s="301" t="str">
        <f t="shared" si="28"/>
        <v>Anak 16 cukup baik  dalam mengenal dan memahami penggunaan microsoft  word.</v>
      </c>
    </row>
    <row r="21" spans="2:80" ht="54" customHeight="1">
      <c r="B21" s="109">
        <v>17</v>
      </c>
      <c r="C21" s="110">
        <f>SISWA!B22</f>
        <v>0</v>
      </c>
      <c r="D21" s="111" t="str">
        <f>SISWA!E22</f>
        <v>Anak 17</v>
      </c>
      <c r="E21" s="631">
        <v>99</v>
      </c>
      <c r="F21" s="631">
        <v>99</v>
      </c>
      <c r="G21" s="613"/>
      <c r="H21" s="613"/>
      <c r="I21" s="613"/>
      <c r="J21" s="613"/>
      <c r="K21" s="613"/>
      <c r="L21" s="731"/>
      <c r="M21" s="731"/>
      <c r="N21" s="731"/>
      <c r="O21" s="731"/>
      <c r="P21" s="613"/>
      <c r="Q21" s="613"/>
      <c r="R21" s="610"/>
      <c r="S21" s="605">
        <v>79.5</v>
      </c>
      <c r="T21" s="605">
        <v>79.5</v>
      </c>
      <c r="U21" s="609"/>
      <c r="V21" s="609"/>
      <c r="W21" s="609"/>
      <c r="X21" s="609"/>
      <c r="Y21" s="609"/>
      <c r="Z21" s="610"/>
      <c r="AA21" s="613">
        <v>79.5</v>
      </c>
      <c r="AB21" s="613">
        <v>79.5</v>
      </c>
      <c r="AC21" s="613"/>
      <c r="AD21" s="613"/>
      <c r="AE21" s="613"/>
      <c r="AF21" s="613"/>
      <c r="AG21" s="613" t="str">
        <f>IFERROR(AVERAGE(#REF!),"")</f>
        <v/>
      </c>
      <c r="AH21" s="518"/>
      <c r="AI21" s="607">
        <f t="shared" si="9"/>
        <v>89.25</v>
      </c>
      <c r="AJ21" s="607">
        <f t="shared" si="10"/>
        <v>89.25</v>
      </c>
      <c r="AK21" s="607" t="str">
        <f t="shared" si="11"/>
        <v/>
      </c>
      <c r="AL21" s="607" t="str">
        <f t="shared" si="12"/>
        <v/>
      </c>
      <c r="AM21" s="607" t="str">
        <f t="shared" si="13"/>
        <v/>
      </c>
      <c r="AN21" s="607" t="str">
        <f t="shared" si="14"/>
        <v/>
      </c>
      <c r="AO21" s="607" t="str">
        <f t="shared" si="15"/>
        <v/>
      </c>
      <c r="AP21" s="302">
        <f t="shared" si="3"/>
        <v>89</v>
      </c>
      <c r="AQ21" s="303" t="str">
        <f>IF(AP21&gt;KKM!$G$10,"A",IF(AP21&gt;KKM!$H$10,"B",IF(AP21&gt;=KKM!$I$10,"C","D")))</f>
        <v>B</v>
      </c>
      <c r="AR21" s="304">
        <f t="shared" si="4"/>
        <v>89.25</v>
      </c>
      <c r="AS21" s="115" t="str">
        <f>IF(AR21&gt;KKM!$G$10," sangat baik ",IF(AR21&gt;KKM!$H$10," baik ",IF(AR21&gt;=KKM!$I$10," cukup baik "," perlu bimbingan ")))</f>
        <v xml:space="preserve"> baik </v>
      </c>
      <c r="AT21" s="305">
        <f t="shared" si="5"/>
        <v>89.25</v>
      </c>
      <c r="AU21" s="115" t="str">
        <f>IF(AT21&gt;KKM!$G$10," sangat baik ",IF(AT21&gt;KKM!$H$10," baik ",IF(AT21&gt;=KKM!$I$10," cukup baik "," perlu bimbingan ")))</f>
        <v xml:space="preserve"> baik </v>
      </c>
      <c r="AV21" s="301" t="str">
        <f t="shared" si="16"/>
        <v>Anak 17 baik  dalam mengenal dan memahami penggunaan microsoft  word.</v>
      </c>
      <c r="AW21" s="306"/>
      <c r="AX21" s="307" t="str">
        <f t="shared" si="6"/>
        <v xml:space="preserve"> baik  dalam mengenal dan memahami penggunaan microsoft  word.</v>
      </c>
      <c r="AY21" s="307" t="str">
        <f t="shared" si="7"/>
        <v xml:space="preserve"> baik  dalam mengenal dan memahami penggunaan microsoft  word.</v>
      </c>
      <c r="AZ21" s="307" t="str">
        <f t="shared" si="17"/>
        <v xml:space="preserve"> baik  dalam mengenal dan memahami penggunaan microsoft  word., dan  baik  dalam mengenal dan memahami penggunaan microsoft  word.</v>
      </c>
      <c r="BA21" s="307" t="str">
        <f t="shared" si="18"/>
        <v xml:space="preserve"> baik  dalam mengenal dan memahami penggunaan microsoft  word.</v>
      </c>
      <c r="BB21" s="308" t="str">
        <f t="shared" si="19"/>
        <v xml:space="preserve"> baik  dalam mengenal dan memahami penggunaan microsoft  word.</v>
      </c>
      <c r="BC21" s="301" t="str">
        <f t="shared" si="8"/>
        <v>Anak 17 baik  dalam mengenal dan memahami penggunaan microsoft  word.</v>
      </c>
      <c r="BD21" s="120"/>
      <c r="BP21" s="302">
        <f t="shared" si="20"/>
        <v>80</v>
      </c>
      <c r="BQ21" s="303" t="str">
        <f>IF(BP21&gt;KKM!$G$10,"A",IF(BP21&gt;KKM!$H$10,"B",IF(BP21&gt;=KKM!$I$10,"C","D")))</f>
        <v>C</v>
      </c>
      <c r="BR21" s="523">
        <f t="shared" si="21"/>
        <v>79.5</v>
      </c>
      <c r="BS21" s="115" t="str">
        <f>IF(BR21&gt;KKM!$G$10," sangat baik ",IF(BR21&gt;KKM!$H$10," baik ",IF(BR21&gt;=KKM!$I$10," cukup baik "," perlu bimbingan ")))</f>
        <v xml:space="preserve"> cukup baik </v>
      </c>
      <c r="BT21" s="524">
        <f t="shared" si="22"/>
        <v>79.5</v>
      </c>
      <c r="BU21" s="115" t="str">
        <f>IF(BT21&gt;KKM!$G$10," sangat baik ",IF(BT21&gt;KKM!$H$10," baik ",IF(BT21&gt;=KKM!$I$10," cukup baik "," perlu bimbingan ")))</f>
        <v xml:space="preserve"> cukup baik </v>
      </c>
      <c r="BV21" s="301" t="str">
        <f t="shared" si="29"/>
        <v>Anak 17 cukup baik  dalam mengenal dan memahami penggunaan microsoft  word.</v>
      </c>
      <c r="BW21" s="307" t="str">
        <f t="shared" si="23"/>
        <v xml:space="preserve"> cukup baik  dalam mengenal dan memahami penggunaan microsoft  word.</v>
      </c>
      <c r="BX21" s="307" t="str">
        <f t="shared" si="24"/>
        <v xml:space="preserve"> cukup baik  dalam mengenal dan memahami penggunaan microsoft  word.</v>
      </c>
      <c r="BY21" s="307" t="str">
        <f t="shared" si="25"/>
        <v xml:space="preserve"> cukup baik  dalam mengenal dan memahami penggunaan microsoft  word., dan  cukup baik  dalam mengenal dan memahami penggunaan microsoft  word.</v>
      </c>
      <c r="BZ21" s="307" t="str">
        <f t="shared" si="26"/>
        <v xml:space="preserve"> cukup baik  dalam mengenal dan memahami penggunaan microsoft  word.</v>
      </c>
      <c r="CA21" s="308" t="str">
        <f t="shared" si="27"/>
        <v xml:space="preserve"> cukup baik  dalam mengenal dan memahami penggunaan microsoft  word.</v>
      </c>
      <c r="CB21" s="301" t="str">
        <f t="shared" si="28"/>
        <v>Anak 17 cukup baik  dalam mengenal dan memahami penggunaan microsoft  word.</v>
      </c>
    </row>
    <row r="22" spans="2:80" ht="54" customHeight="1">
      <c r="B22" s="109">
        <v>18</v>
      </c>
      <c r="C22" s="110">
        <f>SISWA!B23</f>
        <v>0</v>
      </c>
      <c r="D22" s="111" t="str">
        <f>SISWA!E23</f>
        <v>Anak 18</v>
      </c>
      <c r="E22" s="631">
        <v>99</v>
      </c>
      <c r="F22" s="631">
        <v>99</v>
      </c>
      <c r="G22" s="613"/>
      <c r="H22" s="613"/>
      <c r="I22" s="613"/>
      <c r="J22" s="613"/>
      <c r="K22" s="613"/>
      <c r="L22" s="731"/>
      <c r="M22" s="731"/>
      <c r="N22" s="731"/>
      <c r="O22" s="731"/>
      <c r="P22" s="613"/>
      <c r="Q22" s="613"/>
      <c r="R22" s="610"/>
      <c r="S22" s="605">
        <v>79.5</v>
      </c>
      <c r="T22" s="605">
        <v>89</v>
      </c>
      <c r="U22" s="609"/>
      <c r="V22" s="609"/>
      <c r="W22" s="609"/>
      <c r="X22" s="609"/>
      <c r="Y22" s="609"/>
      <c r="Z22" s="610"/>
      <c r="AA22" s="613">
        <v>79.5</v>
      </c>
      <c r="AB22" s="613">
        <v>89</v>
      </c>
      <c r="AC22" s="613"/>
      <c r="AD22" s="613"/>
      <c r="AE22" s="613"/>
      <c r="AF22" s="613"/>
      <c r="AG22" s="613" t="str">
        <f>IFERROR(AVERAGE(#REF!),"")</f>
        <v/>
      </c>
      <c r="AH22" s="518"/>
      <c r="AI22" s="607">
        <f t="shared" si="9"/>
        <v>89.25</v>
      </c>
      <c r="AJ22" s="607">
        <f t="shared" si="10"/>
        <v>94</v>
      </c>
      <c r="AK22" s="607" t="str">
        <f t="shared" si="11"/>
        <v/>
      </c>
      <c r="AL22" s="607" t="str">
        <f t="shared" si="12"/>
        <v/>
      </c>
      <c r="AM22" s="607" t="str">
        <f t="shared" si="13"/>
        <v/>
      </c>
      <c r="AN22" s="607" t="str">
        <f t="shared" si="14"/>
        <v/>
      </c>
      <c r="AO22" s="607" t="str">
        <f t="shared" si="15"/>
        <v/>
      </c>
      <c r="AP22" s="302">
        <f t="shared" si="3"/>
        <v>92</v>
      </c>
      <c r="AQ22" s="303" t="str">
        <f>IF(AP22&gt;KKM!$G$10,"A",IF(AP22&gt;KKM!$H$10,"B",IF(AP22&gt;=KKM!$I$10,"C","D")))</f>
        <v>A</v>
      </c>
      <c r="AR22" s="304">
        <f t="shared" si="4"/>
        <v>94</v>
      </c>
      <c r="AS22" s="115" t="str">
        <f>IF(AR22&gt;KKM!$G$10," sangat baik ",IF(AR22&gt;KKM!$H$10," baik ",IF(AR22&gt;=KKM!$I$10," cukup baik "," perlu bimbingan ")))</f>
        <v xml:space="preserve"> sangat baik </v>
      </c>
      <c r="AT22" s="305">
        <f t="shared" si="5"/>
        <v>89.25</v>
      </c>
      <c r="AU22" s="115" t="str">
        <f>IF(AT22&gt;KKM!$G$10," sangat baik ",IF(AT22&gt;KKM!$H$10," baik ",IF(AT22&gt;=KKM!$I$10," cukup baik "," perlu bimbingan ")))</f>
        <v xml:space="preserve"> baik </v>
      </c>
      <c r="AV22" s="301" t="str">
        <f t="shared" si="16"/>
        <v>Anak 18 sangat baik  dalam memahami pembuatan dokumen di microsoft  word, dan  baik  dalam mengenal dan memahami penggunaan microsoft  word.</v>
      </c>
      <c r="AW22" s="306"/>
      <c r="AX22" s="307" t="str">
        <f t="shared" si="6"/>
        <v xml:space="preserve"> sangat baik  dalam memahami pembuatan dokumen di microsoft  word</v>
      </c>
      <c r="AY22" s="307" t="str">
        <f t="shared" si="7"/>
        <v xml:space="preserve"> baik  dalam mengenal dan memahami penggunaan microsoft  word.</v>
      </c>
      <c r="AZ22" s="307" t="str">
        <f t="shared" si="17"/>
        <v xml:space="preserve"> sangat baik  dalam memahami pembuatan dokumen di microsoft  word, dan  baik  dalam mengenal dan memahami penggunaan microsoft  word.</v>
      </c>
      <c r="BA22" s="307" t="str">
        <f t="shared" si="18"/>
        <v xml:space="preserve"> </v>
      </c>
      <c r="BB22" s="308" t="str">
        <f t="shared" si="19"/>
        <v xml:space="preserve"> sangat baik  dalam memahami pembuatan dokumen di microsoft  word, dan  baik  dalam mengenal dan memahami penggunaan microsoft  word.</v>
      </c>
      <c r="BC22" s="301" t="str">
        <f t="shared" si="8"/>
        <v>Anak 18 sangat baik  dalam memahami pembuatan dokumen di microsoft  word, dan  baik  dalam mengenal dan memahami penggunaan microsoft  word.</v>
      </c>
      <c r="BD22" s="120"/>
      <c r="BP22" s="302">
        <f t="shared" si="20"/>
        <v>84</v>
      </c>
      <c r="BQ22" s="303" t="str">
        <f>IF(BP22&gt;KKM!$G$10,"A",IF(BP22&gt;KKM!$H$10,"B",IF(BP22&gt;=KKM!$I$10,"C","D")))</f>
        <v>B</v>
      </c>
      <c r="BR22" s="523">
        <f t="shared" si="21"/>
        <v>89</v>
      </c>
      <c r="BS22" s="115" t="str">
        <f>IF(BR22&gt;KKM!$G$10," sangat baik ",IF(BR22&gt;KKM!$H$10," baik ",IF(BR22&gt;=KKM!$I$10," cukup baik "," perlu bimbingan ")))</f>
        <v xml:space="preserve"> baik </v>
      </c>
      <c r="BT22" s="524">
        <f t="shared" si="22"/>
        <v>79.5</v>
      </c>
      <c r="BU22" s="115" t="str">
        <f>IF(BT22&gt;KKM!$G$10," sangat baik ",IF(BT22&gt;KKM!$H$10," baik ",IF(BT22&gt;=KKM!$I$10," cukup baik "," perlu bimbingan ")))</f>
        <v xml:space="preserve"> cukup baik </v>
      </c>
      <c r="BV22" s="301" t="str">
        <f t="shared" si="29"/>
        <v>Anak 18 baik  dalam memahami pembuatan dokumen di microsoft  word, dan  cukup baik  dalam mengenal dan memahami penggunaan microsoft  word.</v>
      </c>
      <c r="BW22" s="307" t="str">
        <f t="shared" si="23"/>
        <v xml:space="preserve"> baik  dalam memahami pembuatan dokumen di microsoft  word</v>
      </c>
      <c r="BX22" s="307" t="str">
        <f t="shared" si="24"/>
        <v xml:space="preserve"> cukup baik  dalam mengenal dan memahami penggunaan microsoft  word.</v>
      </c>
      <c r="BY22" s="307" t="str">
        <f t="shared" si="25"/>
        <v xml:space="preserve"> baik  dalam memahami pembuatan dokumen di microsoft  word, dan  cukup baik  dalam mengenal dan memahami penggunaan microsoft  word.</v>
      </c>
      <c r="BZ22" s="307" t="str">
        <f t="shared" si="26"/>
        <v xml:space="preserve"> </v>
      </c>
      <c r="CA22" s="308" t="str">
        <f t="shared" si="27"/>
        <v xml:space="preserve"> baik  dalam memahami pembuatan dokumen di microsoft  word, dan  cukup baik  dalam mengenal dan memahami penggunaan microsoft  word.</v>
      </c>
      <c r="CB22" s="301" t="str">
        <f t="shared" si="28"/>
        <v>Anak 18 baik  dalam memahami pembuatan dokumen di microsoft  word, dan  cukup baik  dalam mengenal dan memahami penggunaan microsoft  word.</v>
      </c>
    </row>
    <row r="23" spans="2:80" ht="54" customHeight="1">
      <c r="B23" s="109">
        <v>19</v>
      </c>
      <c r="C23" s="110">
        <f>SISWA!B24</f>
        <v>0</v>
      </c>
      <c r="D23" s="111" t="str">
        <f>SISWA!E24</f>
        <v>Anak 19</v>
      </c>
      <c r="E23" s="631">
        <v>99</v>
      </c>
      <c r="F23" s="631">
        <v>99</v>
      </c>
      <c r="G23" s="613"/>
      <c r="H23" s="613"/>
      <c r="I23" s="613"/>
      <c r="J23" s="613"/>
      <c r="K23" s="613"/>
      <c r="L23" s="731"/>
      <c r="M23" s="731"/>
      <c r="N23" s="731"/>
      <c r="O23" s="731"/>
      <c r="P23" s="613"/>
      <c r="Q23" s="613"/>
      <c r="R23" s="610"/>
      <c r="S23" s="605">
        <v>89</v>
      </c>
      <c r="T23" s="605">
        <v>81</v>
      </c>
      <c r="U23" s="609"/>
      <c r="V23" s="609"/>
      <c r="W23" s="609"/>
      <c r="X23" s="609"/>
      <c r="Y23" s="609"/>
      <c r="Z23" s="610"/>
      <c r="AA23" s="613">
        <v>89</v>
      </c>
      <c r="AB23" s="613">
        <v>81</v>
      </c>
      <c r="AC23" s="613"/>
      <c r="AD23" s="613"/>
      <c r="AE23" s="613"/>
      <c r="AF23" s="613"/>
      <c r="AG23" s="613" t="str">
        <f>IFERROR(AVERAGE(#REF!),"")</f>
        <v/>
      </c>
      <c r="AH23" s="518"/>
      <c r="AI23" s="607">
        <f t="shared" si="9"/>
        <v>94</v>
      </c>
      <c r="AJ23" s="607">
        <f t="shared" si="10"/>
        <v>90</v>
      </c>
      <c r="AK23" s="607" t="str">
        <f t="shared" si="11"/>
        <v/>
      </c>
      <c r="AL23" s="607" t="str">
        <f t="shared" si="12"/>
        <v/>
      </c>
      <c r="AM23" s="607" t="str">
        <f t="shared" si="13"/>
        <v/>
      </c>
      <c r="AN23" s="607" t="str">
        <f t="shared" si="14"/>
        <v/>
      </c>
      <c r="AO23" s="607" t="str">
        <f t="shared" si="15"/>
        <v/>
      </c>
      <c r="AP23" s="302">
        <f t="shared" si="3"/>
        <v>92</v>
      </c>
      <c r="AQ23" s="303" t="str">
        <f>IF(AP23&gt;KKM!$G$10,"A",IF(AP23&gt;KKM!$H$10,"B",IF(AP23&gt;=KKM!$I$10,"C","D")))</f>
        <v>A</v>
      </c>
      <c r="AR23" s="304">
        <f t="shared" si="4"/>
        <v>94</v>
      </c>
      <c r="AS23" s="115" t="str">
        <f>IF(AR23&gt;KKM!$G$10," sangat baik ",IF(AR23&gt;KKM!$H$10," baik ",IF(AR23&gt;=KKM!$I$10," cukup baik "," perlu bimbingan ")))</f>
        <v xml:space="preserve"> sangat baik </v>
      </c>
      <c r="AT23" s="305">
        <f t="shared" si="5"/>
        <v>90</v>
      </c>
      <c r="AU23" s="115" t="str">
        <f>IF(AT23&gt;KKM!$G$10," sangat baik ",IF(AT23&gt;KKM!$H$10," baik ",IF(AT23&gt;=KKM!$I$10," cukup baik "," perlu bimbingan ")))</f>
        <v xml:space="preserve"> baik </v>
      </c>
      <c r="AV23" s="301" t="str">
        <f t="shared" si="16"/>
        <v>Anak 19 sangat baik  dalam mengenal dan memahami penggunaan microsoft  word., dan  baik  dalam memahami pembuatan dokumen di microsoft  word</v>
      </c>
      <c r="AW23" s="306"/>
      <c r="AX23" s="307" t="str">
        <f t="shared" si="6"/>
        <v xml:space="preserve"> sangat baik  dalam mengenal dan memahami penggunaan microsoft  word.</v>
      </c>
      <c r="AY23" s="307" t="str">
        <f t="shared" si="7"/>
        <v xml:space="preserve"> baik  dalam memahami pembuatan dokumen di microsoft  word</v>
      </c>
      <c r="AZ23" s="307" t="str">
        <f t="shared" si="17"/>
        <v xml:space="preserve"> sangat baik  dalam mengenal dan memahami penggunaan microsoft  word., dan  baik  dalam memahami pembuatan dokumen di microsoft  word</v>
      </c>
      <c r="BA23" s="307" t="str">
        <f t="shared" si="18"/>
        <v xml:space="preserve"> </v>
      </c>
      <c r="BB23" s="308" t="str">
        <f t="shared" si="19"/>
        <v xml:space="preserve"> sangat baik  dalam mengenal dan memahami penggunaan microsoft  word., dan  baik  dalam memahami pembuatan dokumen di microsoft  word</v>
      </c>
      <c r="BC23" s="301" t="str">
        <f t="shared" si="8"/>
        <v>Anak 19 sangat baik  dalam mengenal dan memahami penggunaan microsoft  word., dan  baik  dalam memahami pembuatan dokumen di microsoft  word</v>
      </c>
      <c r="BD23" s="120"/>
      <c r="BP23" s="302">
        <f t="shared" si="20"/>
        <v>85</v>
      </c>
      <c r="BQ23" s="303" t="str">
        <f>IF(BP23&gt;KKM!$G$10,"A",IF(BP23&gt;KKM!$H$10,"B",IF(BP23&gt;=KKM!$I$10,"C","D")))</f>
        <v>B</v>
      </c>
      <c r="BR23" s="523">
        <f t="shared" si="21"/>
        <v>89</v>
      </c>
      <c r="BS23" s="115" t="str">
        <f>IF(BR23&gt;KKM!$G$10," sangat baik ",IF(BR23&gt;KKM!$H$10," baik ",IF(BR23&gt;=KKM!$I$10," cukup baik "," perlu bimbingan ")))</f>
        <v xml:space="preserve"> baik </v>
      </c>
      <c r="BT23" s="524">
        <f t="shared" si="22"/>
        <v>81</v>
      </c>
      <c r="BU23" s="115" t="str">
        <f>IF(BT23&gt;KKM!$G$10," sangat baik ",IF(BT23&gt;KKM!$H$10," baik ",IF(BT23&gt;=KKM!$I$10," cukup baik "," perlu bimbingan ")))</f>
        <v xml:space="preserve"> baik </v>
      </c>
      <c r="BV23" s="301" t="str">
        <f t="shared" si="29"/>
        <v>Anak 19 baik  dalam mengenal dan memahami penggunaan microsoft  word., dan  baik  dalam memahami pembuatan dokumen di microsoft  word</v>
      </c>
      <c r="BW23" s="307" t="str">
        <f t="shared" si="23"/>
        <v xml:space="preserve"> baik  dalam mengenal dan memahami penggunaan microsoft  word.</v>
      </c>
      <c r="BX23" s="307" t="str">
        <f t="shared" si="24"/>
        <v xml:space="preserve"> baik  dalam memahami pembuatan dokumen di microsoft  word</v>
      </c>
      <c r="BY23" s="307" t="str">
        <f t="shared" si="25"/>
        <v xml:space="preserve"> baik  dalam mengenal dan memahami penggunaan microsoft  word., dan  baik  dalam memahami pembuatan dokumen di microsoft  word</v>
      </c>
      <c r="BZ23" s="307" t="str">
        <f t="shared" si="26"/>
        <v xml:space="preserve"> </v>
      </c>
      <c r="CA23" s="308" t="str">
        <f t="shared" si="27"/>
        <v xml:space="preserve"> baik  dalam mengenal dan memahami penggunaan microsoft  word., dan  baik  dalam memahami pembuatan dokumen di microsoft  word</v>
      </c>
      <c r="CB23" s="301" t="str">
        <f t="shared" si="28"/>
        <v>Anak 19 baik  dalam mengenal dan memahami penggunaan microsoft  word., dan  baik  dalam memahami pembuatan dokumen di microsoft  word</v>
      </c>
    </row>
    <row r="24" spans="2:80" ht="54" customHeight="1">
      <c r="B24" s="109">
        <v>20</v>
      </c>
      <c r="C24" s="110">
        <f>SISWA!B25</f>
        <v>0</v>
      </c>
      <c r="D24" s="111" t="str">
        <f>SISWA!E25</f>
        <v>Anak 20</v>
      </c>
      <c r="E24" s="631">
        <v>99</v>
      </c>
      <c r="F24" s="631">
        <v>99</v>
      </c>
      <c r="G24" s="613"/>
      <c r="H24" s="613"/>
      <c r="I24" s="613"/>
      <c r="J24" s="613"/>
      <c r="K24" s="613"/>
      <c r="L24" s="731"/>
      <c r="M24" s="731"/>
      <c r="N24" s="731"/>
      <c r="O24" s="731"/>
      <c r="P24" s="613"/>
      <c r="Q24" s="613"/>
      <c r="R24" s="610"/>
      <c r="S24" s="605">
        <v>81</v>
      </c>
      <c r="T24" s="605">
        <v>76.5</v>
      </c>
      <c r="U24" s="609"/>
      <c r="V24" s="609"/>
      <c r="W24" s="609"/>
      <c r="X24" s="609"/>
      <c r="Y24" s="609"/>
      <c r="Z24" s="610"/>
      <c r="AA24" s="613">
        <v>81</v>
      </c>
      <c r="AB24" s="613">
        <v>76.5</v>
      </c>
      <c r="AC24" s="613"/>
      <c r="AD24" s="613"/>
      <c r="AE24" s="613"/>
      <c r="AF24" s="613"/>
      <c r="AG24" s="613" t="str">
        <f>IFERROR(AVERAGE(#REF!),"")</f>
        <v/>
      </c>
      <c r="AH24" s="518"/>
      <c r="AI24" s="607">
        <f t="shared" si="9"/>
        <v>90</v>
      </c>
      <c r="AJ24" s="607">
        <f t="shared" si="10"/>
        <v>87.75</v>
      </c>
      <c r="AK24" s="607" t="str">
        <f t="shared" si="11"/>
        <v/>
      </c>
      <c r="AL24" s="607" t="str">
        <f t="shared" si="12"/>
        <v/>
      </c>
      <c r="AM24" s="607" t="str">
        <f t="shared" si="13"/>
        <v/>
      </c>
      <c r="AN24" s="607" t="str">
        <f t="shared" si="14"/>
        <v/>
      </c>
      <c r="AO24" s="607" t="str">
        <f t="shared" si="15"/>
        <v/>
      </c>
      <c r="AP24" s="302">
        <f t="shared" si="3"/>
        <v>89</v>
      </c>
      <c r="AQ24" s="303" t="str">
        <f>IF(AP24&gt;KKM!$G$10,"A",IF(AP24&gt;KKM!$H$10,"B",IF(AP24&gt;=KKM!$I$10,"C","D")))</f>
        <v>B</v>
      </c>
      <c r="AR24" s="304">
        <f t="shared" si="4"/>
        <v>90</v>
      </c>
      <c r="AS24" s="115" t="str">
        <f>IF(AR24&gt;KKM!$G$10," sangat baik ",IF(AR24&gt;KKM!$H$10," baik ",IF(AR24&gt;=KKM!$I$10," cukup baik "," perlu bimbingan ")))</f>
        <v xml:space="preserve"> baik </v>
      </c>
      <c r="AT24" s="305">
        <f t="shared" si="5"/>
        <v>87.75</v>
      </c>
      <c r="AU24" s="115" t="str">
        <f>IF(AT24&gt;KKM!$G$10," sangat baik ",IF(AT24&gt;KKM!$H$10," baik ",IF(AT24&gt;=KKM!$I$10," cukup baik "," perlu bimbingan ")))</f>
        <v xml:space="preserve"> baik </v>
      </c>
      <c r="AV24" s="301" t="str">
        <f t="shared" si="16"/>
        <v>Anak 20 baik  dalam mengenal dan memahami penggunaan microsoft  word., dan  baik  dalam memahami pembuatan dokumen di microsoft  word</v>
      </c>
      <c r="AW24" s="306"/>
      <c r="AX24" s="307" t="str">
        <f t="shared" si="6"/>
        <v xml:space="preserve"> baik  dalam mengenal dan memahami penggunaan microsoft  word.</v>
      </c>
      <c r="AY24" s="307" t="str">
        <f t="shared" si="7"/>
        <v xml:space="preserve"> baik  dalam memahami pembuatan dokumen di microsoft  word</v>
      </c>
      <c r="AZ24" s="307" t="str">
        <f t="shared" si="17"/>
        <v xml:space="preserve"> baik  dalam mengenal dan memahami penggunaan microsoft  word., dan  baik  dalam memahami pembuatan dokumen di microsoft  word</v>
      </c>
      <c r="BA24" s="307" t="str">
        <f t="shared" si="18"/>
        <v xml:space="preserve"> </v>
      </c>
      <c r="BB24" s="308" t="str">
        <f t="shared" si="19"/>
        <v xml:space="preserve"> baik  dalam mengenal dan memahami penggunaan microsoft  word., dan  baik  dalam memahami pembuatan dokumen di microsoft  word</v>
      </c>
      <c r="BC24" s="301" t="str">
        <f t="shared" si="8"/>
        <v>Anak 20 baik  dalam mengenal dan memahami penggunaan microsoft  word., dan  baik  dalam memahami pembuatan dokumen di microsoft  word</v>
      </c>
      <c r="BD24" s="120"/>
      <c r="BP24" s="302">
        <f t="shared" si="20"/>
        <v>79</v>
      </c>
      <c r="BQ24" s="303" t="str">
        <f>IF(BP24&gt;KKM!$G$10,"A",IF(BP24&gt;KKM!$H$10,"B",IF(BP24&gt;=KKM!$I$10,"C","D")))</f>
        <v>C</v>
      </c>
      <c r="BR24" s="523">
        <f t="shared" si="21"/>
        <v>81</v>
      </c>
      <c r="BS24" s="115" t="str">
        <f>IF(BR24&gt;KKM!$G$10," sangat baik ",IF(BR24&gt;KKM!$H$10," baik ",IF(BR24&gt;=KKM!$I$10," cukup baik "," perlu bimbingan ")))</f>
        <v xml:space="preserve"> baik </v>
      </c>
      <c r="BT24" s="524">
        <f t="shared" si="22"/>
        <v>76.5</v>
      </c>
      <c r="BU24" s="115" t="str">
        <f>IF(BT24&gt;KKM!$G$10," sangat baik ",IF(BT24&gt;KKM!$H$10," baik ",IF(BT24&gt;=KKM!$I$10," cukup baik "," perlu bimbingan ")))</f>
        <v xml:space="preserve"> cukup baik </v>
      </c>
      <c r="BV24" s="301" t="str">
        <f t="shared" si="29"/>
        <v>Anak 20 baik  dalam mengenal dan memahami penggunaan microsoft  word., dan  cukup baik  dalam memahami pembuatan dokumen di microsoft  word</v>
      </c>
      <c r="BW24" s="307" t="str">
        <f t="shared" si="23"/>
        <v xml:space="preserve"> baik  dalam mengenal dan memahami penggunaan microsoft  word.</v>
      </c>
      <c r="BX24" s="307" t="str">
        <f t="shared" si="24"/>
        <v xml:space="preserve"> cukup baik  dalam memahami pembuatan dokumen di microsoft  word</v>
      </c>
      <c r="BY24" s="307" t="str">
        <f t="shared" si="25"/>
        <v xml:space="preserve"> baik  dalam mengenal dan memahami penggunaan microsoft  word., dan  cukup baik  dalam memahami pembuatan dokumen di microsoft  word</v>
      </c>
      <c r="BZ24" s="307" t="str">
        <f t="shared" si="26"/>
        <v xml:space="preserve"> </v>
      </c>
      <c r="CA24" s="308" t="str">
        <f t="shared" si="27"/>
        <v xml:space="preserve"> baik  dalam mengenal dan memahami penggunaan microsoft  word., dan  cukup baik  dalam memahami pembuatan dokumen di microsoft  word</v>
      </c>
      <c r="CB24" s="301" t="str">
        <f t="shared" si="28"/>
        <v>Anak 20 baik  dalam mengenal dan memahami penggunaan microsoft  word., dan  cukup baik  dalam memahami pembuatan dokumen di microsoft  word</v>
      </c>
    </row>
    <row r="25" spans="2:80" ht="54" customHeight="1">
      <c r="B25" s="109">
        <v>21</v>
      </c>
      <c r="C25" s="110">
        <f>SISWA!B26</f>
        <v>0</v>
      </c>
      <c r="D25" s="111" t="str">
        <f>SISWA!E26</f>
        <v>Anak 21</v>
      </c>
      <c r="E25" s="631">
        <v>99</v>
      </c>
      <c r="F25" s="631">
        <v>99</v>
      </c>
      <c r="G25" s="613"/>
      <c r="H25" s="613"/>
      <c r="I25" s="613"/>
      <c r="J25" s="613"/>
      <c r="K25" s="613"/>
      <c r="L25" s="731"/>
      <c r="M25" s="731"/>
      <c r="N25" s="731"/>
      <c r="O25" s="731"/>
      <c r="P25" s="613"/>
      <c r="Q25" s="613"/>
      <c r="R25" s="610"/>
      <c r="S25" s="605">
        <v>76.5</v>
      </c>
      <c r="T25" s="605">
        <v>86.5</v>
      </c>
      <c r="U25" s="609"/>
      <c r="V25" s="609"/>
      <c r="W25" s="609"/>
      <c r="X25" s="609"/>
      <c r="Y25" s="609"/>
      <c r="Z25" s="610"/>
      <c r="AA25" s="613">
        <v>76.5</v>
      </c>
      <c r="AB25" s="613">
        <v>86.5</v>
      </c>
      <c r="AC25" s="613"/>
      <c r="AD25" s="613"/>
      <c r="AE25" s="613"/>
      <c r="AF25" s="613"/>
      <c r="AG25" s="613" t="str">
        <f>IFERROR(AVERAGE(#REF!),"")</f>
        <v/>
      </c>
      <c r="AH25" s="518"/>
      <c r="AI25" s="607">
        <f t="shared" si="9"/>
        <v>87.75</v>
      </c>
      <c r="AJ25" s="607">
        <f t="shared" si="10"/>
        <v>92.75</v>
      </c>
      <c r="AK25" s="607" t="str">
        <f t="shared" si="11"/>
        <v/>
      </c>
      <c r="AL25" s="607" t="str">
        <f t="shared" si="12"/>
        <v/>
      </c>
      <c r="AM25" s="607" t="str">
        <f t="shared" si="13"/>
        <v/>
      </c>
      <c r="AN25" s="607" t="str">
        <f t="shared" si="14"/>
        <v/>
      </c>
      <c r="AO25" s="607" t="str">
        <f t="shared" si="15"/>
        <v/>
      </c>
      <c r="AP25" s="302">
        <f t="shared" si="3"/>
        <v>90</v>
      </c>
      <c r="AQ25" s="303" t="str">
        <f>IF(AP25&gt;KKM!$G$10,"A",IF(AP25&gt;KKM!$H$10,"B",IF(AP25&gt;=KKM!$I$10,"C","D")))</f>
        <v>B</v>
      </c>
      <c r="AR25" s="304">
        <f t="shared" si="4"/>
        <v>92.75</v>
      </c>
      <c r="AS25" s="115" t="str">
        <f>IF(AR25&gt;KKM!$G$10," sangat baik ",IF(AR25&gt;KKM!$H$10," baik ",IF(AR25&gt;=KKM!$I$10," cukup baik "," perlu bimbingan ")))</f>
        <v xml:space="preserve"> sangat baik </v>
      </c>
      <c r="AT25" s="305">
        <f t="shared" si="5"/>
        <v>87.75</v>
      </c>
      <c r="AU25" s="115" t="str">
        <f>IF(AT25&gt;KKM!$G$10," sangat baik ",IF(AT25&gt;KKM!$H$10," baik ",IF(AT25&gt;=KKM!$I$10," cukup baik "," perlu bimbingan ")))</f>
        <v xml:space="preserve"> baik </v>
      </c>
      <c r="AV25" s="301" t="str">
        <f t="shared" si="16"/>
        <v>Anak 21 sangat baik  dalam memahami pembuatan dokumen di microsoft  word, dan  baik  dalam mengenal dan memahami penggunaan microsoft  word.</v>
      </c>
      <c r="AW25" s="306"/>
      <c r="AX25" s="307" t="str">
        <f t="shared" si="6"/>
        <v xml:space="preserve"> sangat baik  dalam memahami pembuatan dokumen di microsoft  word</v>
      </c>
      <c r="AY25" s="307" t="str">
        <f t="shared" si="7"/>
        <v xml:space="preserve"> baik  dalam mengenal dan memahami penggunaan microsoft  word.</v>
      </c>
      <c r="AZ25" s="307" t="str">
        <f t="shared" si="17"/>
        <v xml:space="preserve"> sangat baik  dalam memahami pembuatan dokumen di microsoft  word, dan  baik  dalam mengenal dan memahami penggunaan microsoft  word.</v>
      </c>
      <c r="BA25" s="307" t="str">
        <f t="shared" si="18"/>
        <v xml:space="preserve"> </v>
      </c>
      <c r="BB25" s="308" t="str">
        <f t="shared" si="19"/>
        <v xml:space="preserve"> sangat baik  dalam memahami pembuatan dokumen di microsoft  word, dan  baik  dalam mengenal dan memahami penggunaan microsoft  word.</v>
      </c>
      <c r="BC25" s="301" t="str">
        <f t="shared" si="8"/>
        <v>Anak 21 sangat baik  dalam memahami pembuatan dokumen di microsoft  word, dan  baik  dalam mengenal dan memahami penggunaan microsoft  word.</v>
      </c>
      <c r="BD25" s="120"/>
      <c r="BP25" s="302">
        <f t="shared" si="20"/>
        <v>82</v>
      </c>
      <c r="BQ25" s="303" t="str">
        <f>IF(BP25&gt;KKM!$G$10,"A",IF(BP25&gt;KKM!$H$10,"B",IF(BP25&gt;=KKM!$I$10,"C","D")))</f>
        <v>B</v>
      </c>
      <c r="BR25" s="523">
        <f t="shared" si="21"/>
        <v>86.5</v>
      </c>
      <c r="BS25" s="115" t="str">
        <f>IF(BR25&gt;KKM!$G$10," sangat baik ",IF(BR25&gt;KKM!$H$10," baik ",IF(BR25&gt;=KKM!$I$10," cukup baik "," perlu bimbingan ")))</f>
        <v xml:space="preserve"> baik </v>
      </c>
      <c r="BT25" s="524">
        <f t="shared" si="22"/>
        <v>76.5</v>
      </c>
      <c r="BU25" s="115" t="str">
        <f>IF(BT25&gt;KKM!$G$10," sangat baik ",IF(BT25&gt;KKM!$H$10," baik ",IF(BT25&gt;=KKM!$I$10," cukup baik "," perlu bimbingan ")))</f>
        <v xml:space="preserve"> cukup baik </v>
      </c>
      <c r="BV25" s="301" t="str">
        <f t="shared" si="29"/>
        <v>Anak 21 baik  dalam memahami pembuatan dokumen di microsoft  word, dan  cukup baik  dalam mengenal dan memahami penggunaan microsoft  word.</v>
      </c>
      <c r="BW25" s="307" t="str">
        <f t="shared" si="23"/>
        <v xml:space="preserve"> baik  dalam memahami pembuatan dokumen di microsoft  word</v>
      </c>
      <c r="BX25" s="307" t="str">
        <f t="shared" si="24"/>
        <v xml:space="preserve"> cukup baik  dalam mengenal dan memahami penggunaan microsoft  word.</v>
      </c>
      <c r="BY25" s="307" t="str">
        <f t="shared" si="25"/>
        <v xml:space="preserve"> baik  dalam memahami pembuatan dokumen di microsoft  word, dan  cukup baik  dalam mengenal dan memahami penggunaan microsoft  word.</v>
      </c>
      <c r="BZ25" s="307" t="str">
        <f t="shared" si="26"/>
        <v xml:space="preserve"> </v>
      </c>
      <c r="CA25" s="308" t="str">
        <f t="shared" si="27"/>
        <v xml:space="preserve"> baik  dalam memahami pembuatan dokumen di microsoft  word, dan  cukup baik  dalam mengenal dan memahami penggunaan microsoft  word.</v>
      </c>
      <c r="CB25" s="301" t="str">
        <f t="shared" si="28"/>
        <v>Anak 21 baik  dalam memahami pembuatan dokumen di microsoft  word, dan  cukup baik  dalam mengenal dan memahami penggunaan microsoft  word.</v>
      </c>
    </row>
    <row r="26" spans="2:80" ht="54" customHeight="1">
      <c r="B26" s="109">
        <v>22</v>
      </c>
      <c r="C26" s="110">
        <f>SISWA!B27</f>
        <v>0</v>
      </c>
      <c r="D26" s="111" t="str">
        <f>SISWA!E27</f>
        <v>Anak 22</v>
      </c>
      <c r="E26" s="631">
        <v>99</v>
      </c>
      <c r="F26" s="631">
        <v>99</v>
      </c>
      <c r="G26" s="613"/>
      <c r="H26" s="613"/>
      <c r="I26" s="613"/>
      <c r="J26" s="613"/>
      <c r="K26" s="613"/>
      <c r="L26" s="731"/>
      <c r="M26" s="731"/>
      <c r="N26" s="731"/>
      <c r="O26" s="731"/>
      <c r="P26" s="613"/>
      <c r="Q26" s="613"/>
      <c r="R26" s="610"/>
      <c r="S26" s="605">
        <v>86.5</v>
      </c>
      <c r="T26" s="605">
        <v>90</v>
      </c>
      <c r="U26" s="609"/>
      <c r="V26" s="609"/>
      <c r="W26" s="609"/>
      <c r="X26" s="609"/>
      <c r="Y26" s="609"/>
      <c r="Z26" s="610"/>
      <c r="AA26" s="613">
        <v>86.5</v>
      </c>
      <c r="AB26" s="613">
        <v>90</v>
      </c>
      <c r="AC26" s="613"/>
      <c r="AD26" s="613"/>
      <c r="AE26" s="613"/>
      <c r="AF26" s="613"/>
      <c r="AG26" s="613" t="str">
        <f>IFERROR(AVERAGE(#REF!),"")</f>
        <v/>
      </c>
      <c r="AH26" s="518"/>
      <c r="AI26" s="607">
        <f t="shared" si="9"/>
        <v>92.75</v>
      </c>
      <c r="AJ26" s="607">
        <f t="shared" si="10"/>
        <v>94.5</v>
      </c>
      <c r="AK26" s="607" t="str">
        <f t="shared" si="11"/>
        <v/>
      </c>
      <c r="AL26" s="607" t="str">
        <f t="shared" si="12"/>
        <v/>
      </c>
      <c r="AM26" s="607" t="str">
        <f t="shared" si="13"/>
        <v/>
      </c>
      <c r="AN26" s="607" t="str">
        <f t="shared" si="14"/>
        <v/>
      </c>
      <c r="AO26" s="607" t="str">
        <f t="shared" si="15"/>
        <v/>
      </c>
      <c r="AP26" s="302">
        <f t="shared" si="3"/>
        <v>94</v>
      </c>
      <c r="AQ26" s="303" t="str">
        <f>IF(AP26&gt;KKM!$G$10,"A",IF(AP26&gt;KKM!$H$10,"B",IF(AP26&gt;=KKM!$I$10,"C","D")))</f>
        <v>A</v>
      </c>
      <c r="AR26" s="304">
        <f t="shared" si="4"/>
        <v>94.5</v>
      </c>
      <c r="AS26" s="115" t="str">
        <f>IF(AR26&gt;KKM!$G$10," sangat baik ",IF(AR26&gt;KKM!$H$10," baik ",IF(AR26&gt;=KKM!$I$10," cukup baik "," perlu bimbingan ")))</f>
        <v xml:space="preserve"> sangat baik </v>
      </c>
      <c r="AT26" s="305">
        <f t="shared" si="5"/>
        <v>92.75</v>
      </c>
      <c r="AU26" s="115" t="str">
        <f>IF(AT26&gt;KKM!$G$10," sangat baik ",IF(AT26&gt;KKM!$H$10," baik ",IF(AT26&gt;=KKM!$I$10," cukup baik "," perlu bimbingan ")))</f>
        <v xml:space="preserve"> sangat baik </v>
      </c>
      <c r="AV26" s="301" t="str">
        <f t="shared" si="16"/>
        <v>Anak 22 sangat baik  dalam memahami pembuatan dokumen di microsoft  word, dan  sangat baik  dalam mengenal dan memahami penggunaan microsoft  word.</v>
      </c>
      <c r="AW26" s="306"/>
      <c r="AX26" s="307" t="str">
        <f t="shared" si="6"/>
        <v xml:space="preserve"> sangat baik  dalam memahami pembuatan dokumen di microsoft  word</v>
      </c>
      <c r="AY26" s="307" t="str">
        <f t="shared" si="7"/>
        <v xml:space="preserve"> sangat baik  dalam mengenal dan memahami penggunaan microsoft  word.</v>
      </c>
      <c r="AZ26" s="307" t="str">
        <f t="shared" si="17"/>
        <v xml:space="preserve"> sangat baik  dalam memahami pembuatan dokumen di microsoft  word, dan  sangat baik  dalam mengenal dan memahami penggunaan microsoft  word.</v>
      </c>
      <c r="BA26" s="307" t="str">
        <f t="shared" si="18"/>
        <v xml:space="preserve"> </v>
      </c>
      <c r="BB26" s="308" t="str">
        <f t="shared" si="19"/>
        <v xml:space="preserve"> sangat baik  dalam memahami pembuatan dokumen di microsoft  word, dan  sangat baik  dalam mengenal dan memahami penggunaan microsoft  word.</v>
      </c>
      <c r="BC26" s="301" t="str">
        <f t="shared" si="8"/>
        <v>Anak 22 sangat baik  dalam memahami pembuatan dokumen di microsoft  word, dan  sangat baik  dalam mengenal dan memahami penggunaan microsoft  word.</v>
      </c>
      <c r="BD26" s="120"/>
      <c r="BP26" s="302">
        <f t="shared" si="20"/>
        <v>88</v>
      </c>
      <c r="BQ26" s="303" t="str">
        <f>IF(BP26&gt;KKM!$G$10,"A",IF(BP26&gt;KKM!$H$10,"B",IF(BP26&gt;=KKM!$I$10,"C","D")))</f>
        <v>B</v>
      </c>
      <c r="BR26" s="523">
        <f t="shared" si="21"/>
        <v>90</v>
      </c>
      <c r="BS26" s="115" t="str">
        <f>IF(BR26&gt;KKM!$G$10," sangat baik ",IF(BR26&gt;KKM!$H$10," baik ",IF(BR26&gt;=KKM!$I$10," cukup baik "," perlu bimbingan ")))</f>
        <v xml:space="preserve"> baik </v>
      </c>
      <c r="BT26" s="524">
        <f t="shared" si="22"/>
        <v>86.5</v>
      </c>
      <c r="BU26" s="115" t="str">
        <f>IF(BT26&gt;KKM!$G$10," sangat baik ",IF(BT26&gt;KKM!$H$10," baik ",IF(BT26&gt;=KKM!$I$10," cukup baik "," perlu bimbingan ")))</f>
        <v xml:space="preserve"> baik </v>
      </c>
      <c r="BV26" s="301" t="str">
        <f t="shared" si="29"/>
        <v>Anak 22 baik  dalam memahami pembuatan dokumen di microsoft  word, dan  baik  dalam mengenal dan memahami penggunaan microsoft  word.</v>
      </c>
      <c r="BW26" s="307" t="str">
        <f t="shared" si="23"/>
        <v xml:space="preserve"> baik  dalam memahami pembuatan dokumen di microsoft  word</v>
      </c>
      <c r="BX26" s="307" t="str">
        <f t="shared" si="24"/>
        <v xml:space="preserve"> baik  dalam mengenal dan memahami penggunaan microsoft  word.</v>
      </c>
      <c r="BY26" s="307" t="str">
        <f t="shared" si="25"/>
        <v xml:space="preserve"> baik  dalam memahami pembuatan dokumen di microsoft  word, dan  baik  dalam mengenal dan memahami penggunaan microsoft  word.</v>
      </c>
      <c r="BZ26" s="307" t="str">
        <f t="shared" si="26"/>
        <v xml:space="preserve"> </v>
      </c>
      <c r="CA26" s="308" t="str">
        <f t="shared" si="27"/>
        <v xml:space="preserve"> baik  dalam memahami pembuatan dokumen di microsoft  word, dan  baik  dalam mengenal dan memahami penggunaan microsoft  word.</v>
      </c>
      <c r="CB26" s="301" t="str">
        <f t="shared" si="28"/>
        <v>Anak 22 baik  dalam memahami pembuatan dokumen di microsoft  word, dan  baik  dalam mengenal dan memahami penggunaan microsoft  word.</v>
      </c>
    </row>
    <row r="27" spans="2:80" ht="54" customHeight="1">
      <c r="B27" s="109">
        <v>23</v>
      </c>
      <c r="C27" s="110">
        <f>SISWA!B28</f>
        <v>0</v>
      </c>
      <c r="D27" s="111" t="str">
        <f>SISWA!E28</f>
        <v>Anak 23</v>
      </c>
      <c r="E27" s="631">
        <v>99</v>
      </c>
      <c r="F27" s="631">
        <v>99</v>
      </c>
      <c r="G27" s="613"/>
      <c r="H27" s="613"/>
      <c r="I27" s="613"/>
      <c r="J27" s="613"/>
      <c r="K27" s="613"/>
      <c r="L27" s="731"/>
      <c r="M27" s="731"/>
      <c r="N27" s="731"/>
      <c r="O27" s="731"/>
      <c r="P27" s="613"/>
      <c r="Q27" s="613"/>
      <c r="R27" s="610"/>
      <c r="S27" s="605">
        <v>90</v>
      </c>
      <c r="T27" s="605">
        <v>76.5</v>
      </c>
      <c r="U27" s="609"/>
      <c r="V27" s="609"/>
      <c r="W27" s="609"/>
      <c r="X27" s="609"/>
      <c r="Y27" s="609"/>
      <c r="Z27" s="610"/>
      <c r="AA27" s="613">
        <v>90</v>
      </c>
      <c r="AB27" s="613">
        <v>76.5</v>
      </c>
      <c r="AC27" s="613"/>
      <c r="AD27" s="613"/>
      <c r="AE27" s="613"/>
      <c r="AF27" s="613"/>
      <c r="AG27" s="613" t="str">
        <f>IFERROR(AVERAGE(#REF!),"")</f>
        <v/>
      </c>
      <c r="AH27" s="518"/>
      <c r="AI27" s="607">
        <f t="shared" si="9"/>
        <v>94.5</v>
      </c>
      <c r="AJ27" s="607">
        <f t="shared" si="10"/>
        <v>87.75</v>
      </c>
      <c r="AK27" s="607" t="str">
        <f t="shared" si="11"/>
        <v/>
      </c>
      <c r="AL27" s="607" t="str">
        <f t="shared" si="12"/>
        <v/>
      </c>
      <c r="AM27" s="607" t="str">
        <f t="shared" si="13"/>
        <v/>
      </c>
      <c r="AN27" s="607" t="str">
        <f t="shared" si="14"/>
        <v/>
      </c>
      <c r="AO27" s="607" t="str">
        <f t="shared" si="15"/>
        <v/>
      </c>
      <c r="AP27" s="302">
        <f t="shared" si="3"/>
        <v>91</v>
      </c>
      <c r="AQ27" s="303" t="str">
        <f>IF(AP27&gt;KKM!$G$10,"A",IF(AP27&gt;KKM!$H$10,"B",IF(AP27&gt;=KKM!$I$10,"C","D")))</f>
        <v>A</v>
      </c>
      <c r="AR27" s="304">
        <f t="shared" si="4"/>
        <v>94.5</v>
      </c>
      <c r="AS27" s="115" t="str">
        <f>IF(AR27&gt;KKM!$G$10," sangat baik ",IF(AR27&gt;KKM!$H$10," baik ",IF(AR27&gt;=KKM!$I$10," cukup baik "," perlu bimbingan ")))</f>
        <v xml:space="preserve"> sangat baik </v>
      </c>
      <c r="AT27" s="305">
        <f t="shared" si="5"/>
        <v>87.75</v>
      </c>
      <c r="AU27" s="115" t="str">
        <f>IF(AT27&gt;KKM!$G$10," sangat baik ",IF(AT27&gt;KKM!$H$10," baik ",IF(AT27&gt;=KKM!$I$10," cukup baik "," perlu bimbingan ")))</f>
        <v xml:space="preserve"> baik </v>
      </c>
      <c r="AV27" s="301" t="str">
        <f t="shared" si="16"/>
        <v>Anak 23 sangat baik  dalam mengenal dan memahami penggunaan microsoft  word., dan  baik  dalam memahami pembuatan dokumen di microsoft  word</v>
      </c>
      <c r="AW27" s="306"/>
      <c r="AX27" s="307" t="str">
        <f t="shared" si="6"/>
        <v xml:space="preserve"> sangat baik  dalam mengenal dan memahami penggunaan microsoft  word.</v>
      </c>
      <c r="AY27" s="307" t="str">
        <f t="shared" si="7"/>
        <v xml:space="preserve"> baik  dalam memahami pembuatan dokumen di microsoft  word</v>
      </c>
      <c r="AZ27" s="307" t="str">
        <f t="shared" si="17"/>
        <v xml:space="preserve"> sangat baik  dalam mengenal dan memahami penggunaan microsoft  word., dan  baik  dalam memahami pembuatan dokumen di microsoft  word</v>
      </c>
      <c r="BA27" s="307" t="str">
        <f t="shared" si="18"/>
        <v xml:space="preserve"> </v>
      </c>
      <c r="BB27" s="308" t="str">
        <f t="shared" si="19"/>
        <v xml:space="preserve"> sangat baik  dalam mengenal dan memahami penggunaan microsoft  word., dan  baik  dalam memahami pembuatan dokumen di microsoft  word</v>
      </c>
      <c r="BC27" s="301" t="str">
        <f t="shared" si="8"/>
        <v>Anak 23 sangat baik  dalam mengenal dan memahami penggunaan microsoft  word., dan  baik  dalam memahami pembuatan dokumen di microsoft  word</v>
      </c>
      <c r="BD27" s="120"/>
      <c r="BP27" s="302">
        <f t="shared" si="20"/>
        <v>83</v>
      </c>
      <c r="BQ27" s="303" t="str">
        <f>IF(BP27&gt;KKM!$G$10,"A",IF(BP27&gt;KKM!$H$10,"B",IF(BP27&gt;=KKM!$I$10,"C","D")))</f>
        <v>B</v>
      </c>
      <c r="BR27" s="523">
        <f t="shared" si="21"/>
        <v>90</v>
      </c>
      <c r="BS27" s="115" t="str">
        <f>IF(BR27&gt;KKM!$G$10," sangat baik ",IF(BR27&gt;KKM!$H$10," baik ",IF(BR27&gt;=KKM!$I$10," cukup baik "," perlu bimbingan ")))</f>
        <v xml:space="preserve"> baik </v>
      </c>
      <c r="BT27" s="524">
        <f t="shared" si="22"/>
        <v>76.5</v>
      </c>
      <c r="BU27" s="115" t="str">
        <f>IF(BT27&gt;KKM!$G$10," sangat baik ",IF(BT27&gt;KKM!$H$10," baik ",IF(BT27&gt;=KKM!$I$10," cukup baik "," perlu bimbingan ")))</f>
        <v xml:space="preserve"> cukup baik </v>
      </c>
      <c r="BV27" s="301" t="str">
        <f t="shared" si="29"/>
        <v>Anak 23 baik  dalam mengenal dan memahami penggunaan microsoft  word., dan  cukup baik  dalam memahami pembuatan dokumen di microsoft  word</v>
      </c>
      <c r="BW27" s="307" t="str">
        <f t="shared" si="23"/>
        <v xml:space="preserve"> baik  dalam mengenal dan memahami penggunaan microsoft  word.</v>
      </c>
      <c r="BX27" s="307" t="str">
        <f t="shared" si="24"/>
        <v xml:space="preserve"> cukup baik  dalam memahami pembuatan dokumen di microsoft  word</v>
      </c>
      <c r="BY27" s="307" t="str">
        <f t="shared" si="25"/>
        <v xml:space="preserve"> baik  dalam mengenal dan memahami penggunaan microsoft  word., dan  cukup baik  dalam memahami pembuatan dokumen di microsoft  word</v>
      </c>
      <c r="BZ27" s="307" t="str">
        <f t="shared" si="26"/>
        <v xml:space="preserve"> </v>
      </c>
      <c r="CA27" s="308" t="str">
        <f t="shared" si="27"/>
        <v xml:space="preserve"> baik  dalam mengenal dan memahami penggunaan microsoft  word., dan  cukup baik  dalam memahami pembuatan dokumen di microsoft  word</v>
      </c>
      <c r="CB27" s="301" t="str">
        <f t="shared" si="28"/>
        <v>Anak 23 baik  dalam mengenal dan memahami penggunaan microsoft  word., dan  cukup baik  dalam memahami pembuatan dokumen di microsoft  word</v>
      </c>
    </row>
    <row r="28" spans="2:80" ht="54" customHeight="1">
      <c r="B28" s="109">
        <v>24</v>
      </c>
      <c r="C28" s="110">
        <f>SISWA!B29</f>
        <v>0</v>
      </c>
      <c r="D28" s="111" t="str">
        <f>SISWA!E29</f>
        <v>Anak 24</v>
      </c>
      <c r="E28" s="631">
        <v>99</v>
      </c>
      <c r="F28" s="631">
        <v>99</v>
      </c>
      <c r="G28" s="613"/>
      <c r="H28" s="613"/>
      <c r="I28" s="613"/>
      <c r="J28" s="613"/>
      <c r="K28" s="613"/>
      <c r="L28" s="731"/>
      <c r="M28" s="731"/>
      <c r="N28" s="731"/>
      <c r="O28" s="731"/>
      <c r="P28" s="613"/>
      <c r="Q28" s="613"/>
      <c r="R28" s="610"/>
      <c r="S28" s="605">
        <v>76.5</v>
      </c>
      <c r="T28" s="605">
        <v>83</v>
      </c>
      <c r="U28" s="609"/>
      <c r="V28" s="609"/>
      <c r="W28" s="609"/>
      <c r="X28" s="609"/>
      <c r="Y28" s="609"/>
      <c r="Z28" s="610"/>
      <c r="AA28" s="613">
        <v>76.5</v>
      </c>
      <c r="AB28" s="613">
        <v>83</v>
      </c>
      <c r="AC28" s="613"/>
      <c r="AD28" s="613"/>
      <c r="AE28" s="613"/>
      <c r="AF28" s="613"/>
      <c r="AG28" s="613" t="str">
        <f>IFERROR(AVERAGE(#REF!),"")</f>
        <v/>
      </c>
      <c r="AH28" s="518"/>
      <c r="AI28" s="607">
        <f t="shared" si="9"/>
        <v>87.75</v>
      </c>
      <c r="AJ28" s="607">
        <f t="shared" si="10"/>
        <v>91</v>
      </c>
      <c r="AK28" s="607" t="str">
        <f t="shared" si="11"/>
        <v/>
      </c>
      <c r="AL28" s="607" t="str">
        <f t="shared" si="12"/>
        <v/>
      </c>
      <c r="AM28" s="607" t="str">
        <f t="shared" si="13"/>
        <v/>
      </c>
      <c r="AN28" s="607" t="str">
        <f t="shared" si="14"/>
        <v/>
      </c>
      <c r="AO28" s="607" t="str">
        <f t="shared" si="15"/>
        <v/>
      </c>
      <c r="AP28" s="302">
        <f t="shared" si="3"/>
        <v>89</v>
      </c>
      <c r="AQ28" s="303" t="str">
        <f>IF(AP28&gt;KKM!$G$10,"A",IF(AP28&gt;KKM!$H$10,"B",IF(AP28&gt;=KKM!$I$10,"C","D")))</f>
        <v>B</v>
      </c>
      <c r="AR28" s="304">
        <f t="shared" si="4"/>
        <v>91</v>
      </c>
      <c r="AS28" s="115" t="str">
        <f>IF(AR28&gt;KKM!$G$10," sangat baik ",IF(AR28&gt;KKM!$H$10," baik ",IF(AR28&gt;=KKM!$I$10," cukup baik "," perlu bimbingan ")))</f>
        <v xml:space="preserve"> sangat baik </v>
      </c>
      <c r="AT28" s="305">
        <f t="shared" si="5"/>
        <v>87.75</v>
      </c>
      <c r="AU28" s="115" t="str">
        <f>IF(AT28&gt;KKM!$G$10," sangat baik ",IF(AT28&gt;KKM!$H$10," baik ",IF(AT28&gt;=KKM!$I$10," cukup baik "," perlu bimbingan ")))</f>
        <v xml:space="preserve"> baik </v>
      </c>
      <c r="AV28" s="301" t="str">
        <f t="shared" si="16"/>
        <v>Anak 24 sangat baik  dalam memahami pembuatan dokumen di microsoft  word, dan  baik  dalam mengenal dan memahami penggunaan microsoft  word.</v>
      </c>
      <c r="AW28" s="306"/>
      <c r="AX28" s="307" t="str">
        <f t="shared" si="6"/>
        <v xml:space="preserve"> sangat baik  dalam memahami pembuatan dokumen di microsoft  word</v>
      </c>
      <c r="AY28" s="307" t="str">
        <f t="shared" si="7"/>
        <v xml:space="preserve"> baik  dalam mengenal dan memahami penggunaan microsoft  word.</v>
      </c>
      <c r="AZ28" s="307" t="str">
        <f t="shared" si="17"/>
        <v xml:space="preserve"> sangat baik  dalam memahami pembuatan dokumen di microsoft  word, dan  baik  dalam mengenal dan memahami penggunaan microsoft  word.</v>
      </c>
      <c r="BA28" s="307" t="str">
        <f t="shared" si="18"/>
        <v xml:space="preserve"> </v>
      </c>
      <c r="BB28" s="308" t="str">
        <f t="shared" si="19"/>
        <v xml:space="preserve"> sangat baik  dalam memahami pembuatan dokumen di microsoft  word, dan  baik  dalam mengenal dan memahami penggunaan microsoft  word.</v>
      </c>
      <c r="BC28" s="301" t="str">
        <f t="shared" si="8"/>
        <v>Anak 24 sangat baik  dalam memahami pembuatan dokumen di microsoft  word, dan  baik  dalam mengenal dan memahami penggunaan microsoft  word.</v>
      </c>
      <c r="BD28" s="120"/>
      <c r="BP28" s="302">
        <f t="shared" si="20"/>
        <v>80</v>
      </c>
      <c r="BQ28" s="303" t="str">
        <f>IF(BP28&gt;KKM!$G$10,"A",IF(BP28&gt;KKM!$H$10,"B",IF(BP28&gt;=KKM!$I$10,"C","D")))</f>
        <v>C</v>
      </c>
      <c r="BR28" s="523">
        <f t="shared" si="21"/>
        <v>83</v>
      </c>
      <c r="BS28" s="115" t="str">
        <f>IF(BR28&gt;KKM!$G$10," sangat baik ",IF(BR28&gt;KKM!$H$10," baik ",IF(BR28&gt;=KKM!$I$10," cukup baik "," perlu bimbingan ")))</f>
        <v xml:space="preserve"> baik </v>
      </c>
      <c r="BT28" s="524">
        <f t="shared" si="22"/>
        <v>76.5</v>
      </c>
      <c r="BU28" s="115" t="str">
        <f>IF(BT28&gt;KKM!$G$10," sangat baik ",IF(BT28&gt;KKM!$H$10," baik ",IF(BT28&gt;=KKM!$I$10," cukup baik "," perlu bimbingan ")))</f>
        <v xml:space="preserve"> cukup baik </v>
      </c>
      <c r="BV28" s="301" t="str">
        <f t="shared" si="29"/>
        <v>Anak 24 baik  dalam memahami pembuatan dokumen di microsoft  word, dan  cukup baik  dalam mengenal dan memahami penggunaan microsoft  word.</v>
      </c>
      <c r="BW28" s="307" t="str">
        <f t="shared" si="23"/>
        <v xml:space="preserve"> baik  dalam memahami pembuatan dokumen di microsoft  word</v>
      </c>
      <c r="BX28" s="307" t="str">
        <f t="shared" si="24"/>
        <v xml:space="preserve"> cukup baik  dalam mengenal dan memahami penggunaan microsoft  word.</v>
      </c>
      <c r="BY28" s="307" t="str">
        <f t="shared" si="25"/>
        <v xml:space="preserve"> baik  dalam memahami pembuatan dokumen di microsoft  word, dan  cukup baik  dalam mengenal dan memahami penggunaan microsoft  word.</v>
      </c>
      <c r="BZ28" s="307" t="str">
        <f t="shared" si="26"/>
        <v xml:space="preserve"> </v>
      </c>
      <c r="CA28" s="308" t="str">
        <f t="shared" si="27"/>
        <v xml:space="preserve"> baik  dalam memahami pembuatan dokumen di microsoft  word, dan  cukup baik  dalam mengenal dan memahami penggunaan microsoft  word.</v>
      </c>
      <c r="CB28" s="301" t="str">
        <f t="shared" si="28"/>
        <v>Anak 24 baik  dalam memahami pembuatan dokumen di microsoft  word, dan  cukup baik  dalam mengenal dan memahami penggunaan microsoft  word.</v>
      </c>
    </row>
    <row r="29" spans="2:80" ht="54" customHeight="1">
      <c r="B29" s="109">
        <v>25</v>
      </c>
      <c r="C29" s="110">
        <f>SISWA!B30</f>
        <v>0</v>
      </c>
      <c r="D29" s="111" t="str">
        <f>SISWA!E30</f>
        <v>Anak 25</v>
      </c>
      <c r="E29" s="631">
        <v>99</v>
      </c>
      <c r="F29" s="631">
        <v>99</v>
      </c>
      <c r="G29" s="613"/>
      <c r="H29" s="613"/>
      <c r="I29" s="613"/>
      <c r="J29" s="613"/>
      <c r="K29" s="613"/>
      <c r="L29" s="731"/>
      <c r="M29" s="731"/>
      <c r="N29" s="731"/>
      <c r="O29" s="731"/>
      <c r="P29" s="613"/>
      <c r="Q29" s="613"/>
      <c r="R29" s="610"/>
      <c r="S29" s="605">
        <v>83</v>
      </c>
      <c r="T29" s="605">
        <v>74.5</v>
      </c>
      <c r="U29" s="609"/>
      <c r="V29" s="609"/>
      <c r="W29" s="609"/>
      <c r="X29" s="609"/>
      <c r="Y29" s="609"/>
      <c r="Z29" s="610"/>
      <c r="AA29" s="613">
        <v>83</v>
      </c>
      <c r="AB29" s="613">
        <v>74.5</v>
      </c>
      <c r="AC29" s="613"/>
      <c r="AD29" s="613"/>
      <c r="AE29" s="613"/>
      <c r="AF29" s="613"/>
      <c r="AG29" s="613" t="str">
        <f>IFERROR(AVERAGE(#REF!),"")</f>
        <v/>
      </c>
      <c r="AH29" s="518"/>
      <c r="AI29" s="607">
        <f t="shared" si="9"/>
        <v>91</v>
      </c>
      <c r="AJ29" s="607">
        <f t="shared" si="10"/>
        <v>86.75</v>
      </c>
      <c r="AK29" s="607" t="str">
        <f t="shared" si="11"/>
        <v/>
      </c>
      <c r="AL29" s="607" t="str">
        <f t="shared" si="12"/>
        <v/>
      </c>
      <c r="AM29" s="607" t="str">
        <f t="shared" si="13"/>
        <v/>
      </c>
      <c r="AN29" s="607" t="str">
        <f t="shared" si="14"/>
        <v/>
      </c>
      <c r="AO29" s="607" t="str">
        <f t="shared" si="15"/>
        <v/>
      </c>
      <c r="AP29" s="302">
        <f t="shared" si="3"/>
        <v>89</v>
      </c>
      <c r="AQ29" s="303" t="str">
        <f>IF(AP29&gt;KKM!$G$10,"A",IF(AP29&gt;KKM!$H$10,"B",IF(AP29&gt;=KKM!$I$10,"C","D")))</f>
        <v>B</v>
      </c>
      <c r="AR29" s="304">
        <f t="shared" si="4"/>
        <v>91</v>
      </c>
      <c r="AS29" s="115" t="str">
        <f>IF(AR29&gt;KKM!$G$10," sangat baik ",IF(AR29&gt;KKM!$H$10," baik ",IF(AR29&gt;=KKM!$I$10," cukup baik "," perlu bimbingan ")))</f>
        <v xml:space="preserve"> sangat baik </v>
      </c>
      <c r="AT29" s="305">
        <f t="shared" si="5"/>
        <v>86.75</v>
      </c>
      <c r="AU29" s="115" t="str">
        <f>IF(AT29&gt;KKM!$G$10," sangat baik ",IF(AT29&gt;KKM!$H$10," baik ",IF(AT29&gt;=KKM!$I$10," cukup baik "," perlu bimbingan ")))</f>
        <v xml:space="preserve"> baik </v>
      </c>
      <c r="AV29" s="301" t="str">
        <f t="shared" si="16"/>
        <v>Anak 25 sangat baik  dalam mengenal dan memahami penggunaan microsoft  word., dan  baik  dalam memahami pembuatan dokumen di microsoft  word</v>
      </c>
      <c r="AW29" s="306"/>
      <c r="AX29" s="307" t="str">
        <f t="shared" si="6"/>
        <v xml:space="preserve"> sangat baik  dalam mengenal dan memahami penggunaan microsoft  word.</v>
      </c>
      <c r="AY29" s="307" t="str">
        <f t="shared" si="7"/>
        <v xml:space="preserve"> baik  dalam memahami pembuatan dokumen di microsoft  word</v>
      </c>
      <c r="AZ29" s="307" t="str">
        <f t="shared" si="17"/>
        <v xml:space="preserve"> sangat baik  dalam mengenal dan memahami penggunaan microsoft  word., dan  baik  dalam memahami pembuatan dokumen di microsoft  word</v>
      </c>
      <c r="BA29" s="307" t="str">
        <f t="shared" si="18"/>
        <v xml:space="preserve"> </v>
      </c>
      <c r="BB29" s="308" t="str">
        <f t="shared" si="19"/>
        <v xml:space="preserve"> sangat baik  dalam mengenal dan memahami penggunaan microsoft  word., dan  baik  dalam memahami pembuatan dokumen di microsoft  word</v>
      </c>
      <c r="BC29" s="301" t="str">
        <f t="shared" si="8"/>
        <v>Anak 25 sangat baik  dalam mengenal dan memahami penggunaan microsoft  word., dan  baik  dalam memahami pembuatan dokumen di microsoft  word</v>
      </c>
      <c r="BD29" s="120"/>
      <c r="BP29" s="302">
        <f t="shared" si="20"/>
        <v>79</v>
      </c>
      <c r="BQ29" s="303" t="str">
        <f>IF(BP29&gt;KKM!$G$10,"A",IF(BP29&gt;KKM!$H$10,"B",IF(BP29&gt;=KKM!$I$10,"C","D")))</f>
        <v>C</v>
      </c>
      <c r="BR29" s="523">
        <f t="shared" si="21"/>
        <v>83</v>
      </c>
      <c r="BS29" s="115" t="str">
        <f>IF(BR29&gt;KKM!$G$10," sangat baik ",IF(BR29&gt;KKM!$H$10," baik ",IF(BR29&gt;=KKM!$I$10," cukup baik "," perlu bimbingan ")))</f>
        <v xml:space="preserve"> baik </v>
      </c>
      <c r="BT29" s="524">
        <f t="shared" si="22"/>
        <v>74.5</v>
      </c>
      <c r="BU29" s="115" t="str">
        <f>IF(BT29&gt;KKM!$G$10," sangat baik ",IF(BT29&gt;KKM!$H$10," baik ",IF(BT29&gt;=KKM!$I$10," cukup baik "," perlu bimbingan ")))</f>
        <v xml:space="preserve"> cukup baik </v>
      </c>
      <c r="BV29" s="301" t="str">
        <f t="shared" si="29"/>
        <v>Anak 25 baik  dalam mengenal dan memahami penggunaan microsoft  word., dan  cukup baik  dalam memahami pembuatan dokumen di microsoft  word</v>
      </c>
      <c r="BW29" s="307" t="str">
        <f t="shared" si="23"/>
        <v xml:space="preserve"> baik  dalam mengenal dan memahami penggunaan microsoft  word.</v>
      </c>
      <c r="BX29" s="307" t="str">
        <f t="shared" si="24"/>
        <v xml:space="preserve"> cukup baik  dalam memahami pembuatan dokumen di microsoft  word</v>
      </c>
      <c r="BY29" s="307" t="str">
        <f t="shared" si="25"/>
        <v xml:space="preserve"> baik  dalam mengenal dan memahami penggunaan microsoft  word., dan  cukup baik  dalam memahami pembuatan dokumen di microsoft  word</v>
      </c>
      <c r="BZ29" s="307" t="str">
        <f t="shared" si="26"/>
        <v xml:space="preserve"> </v>
      </c>
      <c r="CA29" s="308" t="str">
        <f t="shared" si="27"/>
        <v xml:space="preserve"> baik  dalam mengenal dan memahami penggunaan microsoft  word., dan  cukup baik  dalam memahami pembuatan dokumen di microsoft  word</v>
      </c>
      <c r="CB29" s="301" t="str">
        <f t="shared" si="28"/>
        <v>Anak 25 baik  dalam mengenal dan memahami penggunaan microsoft  word., dan  cukup baik  dalam memahami pembuatan dokumen di microsoft  word</v>
      </c>
    </row>
    <row r="30" spans="2:80" ht="54" customHeight="1">
      <c r="B30" s="109">
        <v>26</v>
      </c>
      <c r="C30" s="110">
        <f>SISWA!B31</f>
        <v>0</v>
      </c>
      <c r="D30" s="111" t="str">
        <f>SISWA!E31</f>
        <v>Anak 26</v>
      </c>
      <c r="E30" s="631">
        <v>99</v>
      </c>
      <c r="F30" s="631">
        <v>99</v>
      </c>
      <c r="G30" s="613"/>
      <c r="H30" s="613"/>
      <c r="I30" s="613"/>
      <c r="J30" s="613"/>
      <c r="K30" s="613"/>
      <c r="L30" s="731"/>
      <c r="M30" s="731"/>
      <c r="N30" s="731"/>
      <c r="O30" s="731"/>
      <c r="P30" s="613"/>
      <c r="Q30" s="613"/>
      <c r="R30" s="610"/>
      <c r="S30" s="605">
        <v>74.5</v>
      </c>
      <c r="T30" s="605">
        <v>74.5</v>
      </c>
      <c r="U30" s="609"/>
      <c r="V30" s="609"/>
      <c r="W30" s="609"/>
      <c r="X30" s="609"/>
      <c r="Y30" s="609"/>
      <c r="Z30" s="610"/>
      <c r="AA30" s="613">
        <v>74.5</v>
      </c>
      <c r="AB30" s="613">
        <v>74.5</v>
      </c>
      <c r="AC30" s="613"/>
      <c r="AD30" s="613"/>
      <c r="AE30" s="613"/>
      <c r="AF30" s="613"/>
      <c r="AG30" s="613" t="str">
        <f>IFERROR(AVERAGE(#REF!),"")</f>
        <v/>
      </c>
      <c r="AH30" s="518"/>
      <c r="AI30" s="607">
        <f t="shared" si="9"/>
        <v>86.75</v>
      </c>
      <c r="AJ30" s="607">
        <f t="shared" si="10"/>
        <v>86.75</v>
      </c>
      <c r="AK30" s="607" t="str">
        <f t="shared" si="11"/>
        <v/>
      </c>
      <c r="AL30" s="607" t="str">
        <f t="shared" si="12"/>
        <v/>
      </c>
      <c r="AM30" s="607" t="str">
        <f t="shared" si="13"/>
        <v/>
      </c>
      <c r="AN30" s="607" t="str">
        <f t="shared" si="14"/>
        <v/>
      </c>
      <c r="AO30" s="607" t="str">
        <f t="shared" si="15"/>
        <v/>
      </c>
      <c r="AP30" s="302">
        <f t="shared" si="3"/>
        <v>87</v>
      </c>
      <c r="AQ30" s="303" t="str">
        <f>IF(AP30&gt;KKM!$G$10,"A",IF(AP30&gt;KKM!$H$10,"B",IF(AP30&gt;=KKM!$I$10,"C","D")))</f>
        <v>B</v>
      </c>
      <c r="AR30" s="304">
        <f t="shared" si="4"/>
        <v>86.75</v>
      </c>
      <c r="AS30" s="115" t="str">
        <f>IF(AR30&gt;KKM!$G$10," sangat baik ",IF(AR30&gt;KKM!$H$10," baik ",IF(AR30&gt;=KKM!$I$10," cukup baik "," perlu bimbingan ")))</f>
        <v xml:space="preserve"> baik </v>
      </c>
      <c r="AT30" s="305">
        <f t="shared" si="5"/>
        <v>86.75</v>
      </c>
      <c r="AU30" s="115" t="str">
        <f>IF(AT30&gt;KKM!$G$10," sangat baik ",IF(AT30&gt;KKM!$H$10," baik ",IF(AT30&gt;=KKM!$I$10," cukup baik "," perlu bimbingan ")))</f>
        <v xml:space="preserve"> baik </v>
      </c>
      <c r="AV30" s="301" t="str">
        <f t="shared" si="16"/>
        <v>Anak 26 baik  dalam mengenal dan memahami penggunaan microsoft  word.</v>
      </c>
      <c r="AW30" s="306"/>
      <c r="AX30" s="307" t="str">
        <f t="shared" si="6"/>
        <v xml:space="preserve"> baik  dalam mengenal dan memahami penggunaan microsoft  word.</v>
      </c>
      <c r="AY30" s="307" t="str">
        <f t="shared" si="7"/>
        <v xml:space="preserve"> baik  dalam mengenal dan memahami penggunaan microsoft  word.</v>
      </c>
      <c r="AZ30" s="307" t="str">
        <f t="shared" si="17"/>
        <v xml:space="preserve"> baik  dalam mengenal dan memahami penggunaan microsoft  word., dan  baik  dalam mengenal dan memahami penggunaan microsoft  word.</v>
      </c>
      <c r="BA30" s="307" t="str">
        <f t="shared" si="18"/>
        <v xml:space="preserve"> baik  dalam mengenal dan memahami penggunaan microsoft  word.</v>
      </c>
      <c r="BB30" s="308" t="str">
        <f t="shared" si="19"/>
        <v xml:space="preserve"> baik  dalam mengenal dan memahami penggunaan microsoft  word.</v>
      </c>
      <c r="BC30" s="301" t="str">
        <f t="shared" si="8"/>
        <v>Anak 26 baik  dalam mengenal dan memahami penggunaan microsoft  word.</v>
      </c>
      <c r="BD30" s="120"/>
      <c r="BP30" s="302">
        <f t="shared" si="20"/>
        <v>75</v>
      </c>
      <c r="BQ30" s="303" t="str">
        <f>IF(BP30&gt;KKM!$G$10,"A",IF(BP30&gt;KKM!$H$10,"B",IF(BP30&gt;=KKM!$I$10,"C","D")))</f>
        <v>C</v>
      </c>
      <c r="BR30" s="523">
        <f t="shared" si="21"/>
        <v>74.5</v>
      </c>
      <c r="BS30" s="115" t="str">
        <f>IF(BR30&gt;KKM!$G$10," sangat baik ",IF(BR30&gt;KKM!$H$10," baik ",IF(BR30&gt;=KKM!$I$10," cukup baik "," perlu bimbingan ")))</f>
        <v xml:space="preserve"> cukup baik </v>
      </c>
      <c r="BT30" s="524">
        <f t="shared" si="22"/>
        <v>74.5</v>
      </c>
      <c r="BU30" s="115" t="str">
        <f>IF(BT30&gt;KKM!$G$10," sangat baik ",IF(BT30&gt;KKM!$H$10," baik ",IF(BT30&gt;=KKM!$I$10," cukup baik "," perlu bimbingan ")))</f>
        <v xml:space="preserve"> cukup baik </v>
      </c>
      <c r="BV30" s="301" t="str">
        <f t="shared" si="29"/>
        <v>Anak 26 cukup baik  dalam mengenal dan memahami penggunaan microsoft  word.</v>
      </c>
      <c r="BW30" s="307" t="str">
        <f t="shared" si="23"/>
        <v xml:space="preserve"> cukup baik  dalam mengenal dan memahami penggunaan microsoft  word.</v>
      </c>
      <c r="BX30" s="307" t="str">
        <f t="shared" si="24"/>
        <v xml:space="preserve"> cukup baik  dalam mengenal dan memahami penggunaan microsoft  word.</v>
      </c>
      <c r="BY30" s="307" t="str">
        <f t="shared" si="25"/>
        <v xml:space="preserve"> cukup baik  dalam mengenal dan memahami penggunaan microsoft  word., dan  cukup baik  dalam mengenal dan memahami penggunaan microsoft  word.</v>
      </c>
      <c r="BZ30" s="307" t="str">
        <f t="shared" si="26"/>
        <v xml:space="preserve"> cukup baik  dalam mengenal dan memahami penggunaan microsoft  word.</v>
      </c>
      <c r="CA30" s="308" t="str">
        <f t="shared" si="27"/>
        <v xml:space="preserve"> cukup baik  dalam mengenal dan memahami penggunaan microsoft  word.</v>
      </c>
      <c r="CB30" s="301" t="str">
        <f t="shared" si="28"/>
        <v>Anak 26 cukup baik  dalam mengenal dan memahami penggunaan microsoft  word.</v>
      </c>
    </row>
    <row r="31" spans="2:80" ht="54" customHeight="1">
      <c r="B31" s="109">
        <v>27</v>
      </c>
      <c r="C31" s="110">
        <f>SISWA!B32</f>
        <v>0</v>
      </c>
      <c r="D31" s="111" t="str">
        <f>SISWA!E32</f>
        <v>Anak 27</v>
      </c>
      <c r="E31" s="631">
        <v>99</v>
      </c>
      <c r="F31" s="631">
        <v>99</v>
      </c>
      <c r="G31" s="613"/>
      <c r="H31" s="613"/>
      <c r="I31" s="613"/>
      <c r="J31" s="613"/>
      <c r="K31" s="613"/>
      <c r="L31" s="731"/>
      <c r="M31" s="731"/>
      <c r="N31" s="731"/>
      <c r="O31" s="731"/>
      <c r="P31" s="613"/>
      <c r="Q31" s="613"/>
      <c r="R31" s="610"/>
      <c r="S31" s="605">
        <v>74.5</v>
      </c>
      <c r="T31" s="605">
        <v>74.5</v>
      </c>
      <c r="U31" s="609"/>
      <c r="V31" s="609"/>
      <c r="W31" s="609"/>
      <c r="X31" s="609"/>
      <c r="Y31" s="609"/>
      <c r="Z31" s="610"/>
      <c r="AA31" s="613">
        <v>74.5</v>
      </c>
      <c r="AB31" s="613">
        <v>74.5</v>
      </c>
      <c r="AC31" s="613"/>
      <c r="AD31" s="613"/>
      <c r="AE31" s="613"/>
      <c r="AF31" s="613"/>
      <c r="AG31" s="613" t="str">
        <f>IFERROR(AVERAGE(#REF!),"")</f>
        <v/>
      </c>
      <c r="AH31" s="518"/>
      <c r="AI31" s="607">
        <f t="shared" si="9"/>
        <v>86.75</v>
      </c>
      <c r="AJ31" s="607">
        <f t="shared" si="10"/>
        <v>86.75</v>
      </c>
      <c r="AK31" s="607" t="str">
        <f t="shared" si="11"/>
        <v/>
      </c>
      <c r="AL31" s="607" t="str">
        <f t="shared" si="12"/>
        <v/>
      </c>
      <c r="AM31" s="607" t="str">
        <f t="shared" si="13"/>
        <v/>
      </c>
      <c r="AN31" s="607" t="str">
        <f t="shared" si="14"/>
        <v/>
      </c>
      <c r="AO31" s="607" t="str">
        <f t="shared" si="15"/>
        <v/>
      </c>
      <c r="AP31" s="302">
        <f t="shared" si="3"/>
        <v>87</v>
      </c>
      <c r="AQ31" s="303" t="str">
        <f>IF(AP31&gt;KKM!$G$10,"A",IF(AP31&gt;KKM!$H$10,"B",IF(AP31&gt;=KKM!$I$10,"C","D")))</f>
        <v>B</v>
      </c>
      <c r="AR31" s="304">
        <f t="shared" si="4"/>
        <v>86.75</v>
      </c>
      <c r="AS31" s="115" t="str">
        <f>IF(AR31&gt;KKM!$G$10," sangat baik ",IF(AR31&gt;KKM!$H$10," baik ",IF(AR31&gt;=KKM!$I$10," cukup baik "," perlu bimbingan ")))</f>
        <v xml:space="preserve"> baik </v>
      </c>
      <c r="AT31" s="305">
        <f t="shared" si="5"/>
        <v>86.75</v>
      </c>
      <c r="AU31" s="115" t="str">
        <f>IF(AT31&gt;KKM!$G$10," sangat baik ",IF(AT31&gt;KKM!$H$10," baik ",IF(AT31&gt;=KKM!$I$10," cukup baik "," perlu bimbingan ")))</f>
        <v xml:space="preserve"> baik </v>
      </c>
      <c r="AV31" s="301" t="str">
        <f t="shared" si="16"/>
        <v>Anak 27 baik  dalam mengenal dan memahami penggunaan microsoft  word.</v>
      </c>
      <c r="AW31" s="306"/>
      <c r="AX31" s="307" t="str">
        <f t="shared" si="6"/>
        <v xml:space="preserve"> baik  dalam mengenal dan memahami penggunaan microsoft  word.</v>
      </c>
      <c r="AY31" s="307" t="str">
        <f t="shared" si="7"/>
        <v xml:space="preserve"> baik  dalam mengenal dan memahami penggunaan microsoft  word.</v>
      </c>
      <c r="AZ31" s="307" t="str">
        <f t="shared" si="17"/>
        <v xml:space="preserve"> baik  dalam mengenal dan memahami penggunaan microsoft  word., dan  baik  dalam mengenal dan memahami penggunaan microsoft  word.</v>
      </c>
      <c r="BA31" s="307" t="str">
        <f t="shared" si="18"/>
        <v xml:space="preserve"> baik  dalam mengenal dan memahami penggunaan microsoft  word.</v>
      </c>
      <c r="BB31" s="308" t="str">
        <f t="shared" si="19"/>
        <v xml:space="preserve"> baik  dalam mengenal dan memahami penggunaan microsoft  word.</v>
      </c>
      <c r="BC31" s="301" t="str">
        <f t="shared" si="8"/>
        <v>Anak 27 baik  dalam mengenal dan memahami penggunaan microsoft  word.</v>
      </c>
      <c r="BD31" s="120"/>
      <c r="BP31" s="302">
        <f t="shared" si="20"/>
        <v>75</v>
      </c>
      <c r="BQ31" s="303" t="str">
        <f>IF(BP31&gt;KKM!$G$10,"A",IF(BP31&gt;KKM!$H$10,"B",IF(BP31&gt;=KKM!$I$10,"C","D")))</f>
        <v>C</v>
      </c>
      <c r="BR31" s="523">
        <f t="shared" si="21"/>
        <v>74.5</v>
      </c>
      <c r="BS31" s="115" t="str">
        <f>IF(BR31&gt;KKM!$G$10," sangat baik ",IF(BR31&gt;KKM!$H$10," baik ",IF(BR31&gt;=KKM!$I$10," cukup baik "," perlu bimbingan ")))</f>
        <v xml:space="preserve"> cukup baik </v>
      </c>
      <c r="BT31" s="524">
        <f t="shared" si="22"/>
        <v>74.5</v>
      </c>
      <c r="BU31" s="115" t="str">
        <f>IF(BT31&gt;KKM!$G$10," sangat baik ",IF(BT31&gt;KKM!$H$10," baik ",IF(BT31&gt;=KKM!$I$10," cukup baik "," perlu bimbingan ")))</f>
        <v xml:space="preserve"> cukup baik </v>
      </c>
      <c r="BV31" s="301" t="str">
        <f t="shared" si="29"/>
        <v>Anak 27 cukup baik  dalam mengenal dan memahami penggunaan microsoft  word.</v>
      </c>
      <c r="BW31" s="307" t="str">
        <f t="shared" si="23"/>
        <v xml:space="preserve"> cukup baik  dalam mengenal dan memahami penggunaan microsoft  word.</v>
      </c>
      <c r="BX31" s="307" t="str">
        <f t="shared" si="24"/>
        <v xml:space="preserve"> cukup baik  dalam mengenal dan memahami penggunaan microsoft  word.</v>
      </c>
      <c r="BY31" s="307" t="str">
        <f t="shared" si="25"/>
        <v xml:space="preserve"> cukup baik  dalam mengenal dan memahami penggunaan microsoft  word., dan  cukup baik  dalam mengenal dan memahami penggunaan microsoft  word.</v>
      </c>
      <c r="BZ31" s="307" t="str">
        <f t="shared" si="26"/>
        <v xml:space="preserve"> cukup baik  dalam mengenal dan memahami penggunaan microsoft  word.</v>
      </c>
      <c r="CA31" s="308" t="str">
        <f t="shared" si="27"/>
        <v xml:space="preserve"> cukup baik  dalam mengenal dan memahami penggunaan microsoft  word.</v>
      </c>
      <c r="CB31" s="301" t="str">
        <f t="shared" si="28"/>
        <v>Anak 27 cukup baik  dalam mengenal dan memahami penggunaan microsoft  word.</v>
      </c>
    </row>
    <row r="32" spans="2:80" ht="54" customHeight="1">
      <c r="B32" s="109">
        <v>28</v>
      </c>
      <c r="C32" s="110">
        <f>SISWA!B33</f>
        <v>0</v>
      </c>
      <c r="D32" s="111" t="str">
        <f>SISWA!E33</f>
        <v>Anak 28</v>
      </c>
      <c r="E32" s="631">
        <v>99</v>
      </c>
      <c r="F32" s="631">
        <v>99</v>
      </c>
      <c r="G32" s="613"/>
      <c r="H32" s="613"/>
      <c r="I32" s="613"/>
      <c r="J32" s="613"/>
      <c r="K32" s="613"/>
      <c r="L32" s="731"/>
      <c r="M32" s="731"/>
      <c r="N32" s="731"/>
      <c r="O32" s="731"/>
      <c r="P32" s="613"/>
      <c r="Q32" s="613"/>
      <c r="R32" s="610"/>
      <c r="S32" s="605">
        <v>74.5</v>
      </c>
      <c r="T32" s="605">
        <v>84</v>
      </c>
      <c r="U32" s="609"/>
      <c r="V32" s="609"/>
      <c r="W32" s="609"/>
      <c r="X32" s="609"/>
      <c r="Y32" s="609"/>
      <c r="Z32" s="610"/>
      <c r="AA32" s="613">
        <v>74.5</v>
      </c>
      <c r="AB32" s="613">
        <v>84</v>
      </c>
      <c r="AC32" s="613"/>
      <c r="AD32" s="613"/>
      <c r="AE32" s="613"/>
      <c r="AF32" s="613"/>
      <c r="AG32" s="613" t="str">
        <f>IFERROR(AVERAGE(#REF!),"")</f>
        <v/>
      </c>
      <c r="AH32" s="518"/>
      <c r="AI32" s="607">
        <f t="shared" si="9"/>
        <v>86.75</v>
      </c>
      <c r="AJ32" s="607">
        <f t="shared" si="10"/>
        <v>91.5</v>
      </c>
      <c r="AK32" s="607" t="str">
        <f t="shared" si="11"/>
        <v/>
      </c>
      <c r="AL32" s="607" t="str">
        <f t="shared" si="12"/>
        <v/>
      </c>
      <c r="AM32" s="607" t="str">
        <f t="shared" si="13"/>
        <v/>
      </c>
      <c r="AN32" s="607" t="str">
        <f t="shared" si="14"/>
        <v/>
      </c>
      <c r="AO32" s="607" t="str">
        <f t="shared" si="15"/>
        <v/>
      </c>
      <c r="AP32" s="302">
        <f t="shared" si="3"/>
        <v>89</v>
      </c>
      <c r="AQ32" s="303" t="str">
        <f>IF(AP32&gt;KKM!$G$10,"A",IF(AP32&gt;KKM!$H$10,"B",IF(AP32&gt;=KKM!$I$10,"C","D")))</f>
        <v>B</v>
      </c>
      <c r="AR32" s="304">
        <f t="shared" si="4"/>
        <v>91.5</v>
      </c>
      <c r="AS32" s="115" t="str">
        <f>IF(AR32&gt;KKM!$G$10," sangat baik ",IF(AR32&gt;KKM!$H$10," baik ",IF(AR32&gt;=KKM!$I$10," cukup baik "," perlu bimbingan ")))</f>
        <v xml:space="preserve"> sangat baik </v>
      </c>
      <c r="AT32" s="305">
        <f t="shared" si="5"/>
        <v>86.75</v>
      </c>
      <c r="AU32" s="115" t="str">
        <f>IF(AT32&gt;KKM!$G$10," sangat baik ",IF(AT32&gt;KKM!$H$10," baik ",IF(AT32&gt;=KKM!$I$10," cukup baik "," perlu bimbingan ")))</f>
        <v xml:space="preserve"> baik </v>
      </c>
      <c r="AV32" s="301" t="str">
        <f t="shared" si="16"/>
        <v>Anak 28 sangat baik  dalam memahami pembuatan dokumen di microsoft  word, dan  baik  dalam mengenal dan memahami penggunaan microsoft  word.</v>
      </c>
      <c r="AW32" s="306"/>
      <c r="AX32" s="307" t="str">
        <f t="shared" si="6"/>
        <v xml:space="preserve"> sangat baik  dalam memahami pembuatan dokumen di microsoft  word</v>
      </c>
      <c r="AY32" s="307" t="str">
        <f t="shared" si="7"/>
        <v xml:space="preserve"> baik  dalam mengenal dan memahami penggunaan microsoft  word.</v>
      </c>
      <c r="AZ32" s="307" t="str">
        <f t="shared" si="17"/>
        <v xml:space="preserve"> sangat baik  dalam memahami pembuatan dokumen di microsoft  word, dan  baik  dalam mengenal dan memahami penggunaan microsoft  word.</v>
      </c>
      <c r="BA32" s="307" t="str">
        <f t="shared" si="18"/>
        <v xml:space="preserve"> </v>
      </c>
      <c r="BB32" s="308" t="str">
        <f t="shared" si="19"/>
        <v xml:space="preserve"> sangat baik  dalam memahami pembuatan dokumen di microsoft  word, dan  baik  dalam mengenal dan memahami penggunaan microsoft  word.</v>
      </c>
      <c r="BC32" s="301" t="str">
        <f t="shared" si="8"/>
        <v>Anak 28 sangat baik  dalam memahami pembuatan dokumen di microsoft  word, dan  baik  dalam mengenal dan memahami penggunaan microsoft  word.</v>
      </c>
      <c r="BD32" s="120"/>
      <c r="BP32" s="302">
        <f t="shared" si="20"/>
        <v>79</v>
      </c>
      <c r="BQ32" s="303" t="str">
        <f>IF(BP32&gt;KKM!$G$10,"A",IF(BP32&gt;KKM!$H$10,"B",IF(BP32&gt;=KKM!$I$10,"C","D")))</f>
        <v>C</v>
      </c>
      <c r="BR32" s="523">
        <f t="shared" si="21"/>
        <v>84</v>
      </c>
      <c r="BS32" s="115" t="str">
        <f>IF(BR32&gt;KKM!$G$10," sangat baik ",IF(BR32&gt;KKM!$H$10," baik ",IF(BR32&gt;=KKM!$I$10," cukup baik "," perlu bimbingan ")))</f>
        <v xml:space="preserve"> baik </v>
      </c>
      <c r="BT32" s="524">
        <f t="shared" si="22"/>
        <v>74.5</v>
      </c>
      <c r="BU32" s="115" t="str">
        <f>IF(BT32&gt;KKM!$G$10," sangat baik ",IF(BT32&gt;KKM!$H$10," baik ",IF(BT32&gt;=KKM!$I$10," cukup baik "," perlu bimbingan ")))</f>
        <v xml:space="preserve"> cukup baik </v>
      </c>
      <c r="BV32" s="301" t="str">
        <f t="shared" si="29"/>
        <v>Anak 28 baik  dalam memahami pembuatan dokumen di microsoft  word, dan  cukup baik  dalam mengenal dan memahami penggunaan microsoft  word.</v>
      </c>
      <c r="BW32" s="307" t="str">
        <f t="shared" si="23"/>
        <v xml:space="preserve"> baik  dalam memahami pembuatan dokumen di microsoft  word</v>
      </c>
      <c r="BX32" s="307" t="str">
        <f t="shared" si="24"/>
        <v xml:space="preserve"> cukup baik  dalam mengenal dan memahami penggunaan microsoft  word.</v>
      </c>
      <c r="BY32" s="307" t="str">
        <f t="shared" si="25"/>
        <v xml:space="preserve"> baik  dalam memahami pembuatan dokumen di microsoft  word, dan  cukup baik  dalam mengenal dan memahami penggunaan microsoft  word.</v>
      </c>
      <c r="BZ32" s="307" t="str">
        <f t="shared" si="26"/>
        <v xml:space="preserve"> </v>
      </c>
      <c r="CA32" s="308" t="str">
        <f t="shared" si="27"/>
        <v xml:space="preserve"> baik  dalam memahami pembuatan dokumen di microsoft  word, dan  cukup baik  dalam mengenal dan memahami penggunaan microsoft  word.</v>
      </c>
      <c r="CB32" s="301" t="str">
        <f t="shared" si="28"/>
        <v>Anak 28 baik  dalam memahami pembuatan dokumen di microsoft  word, dan  cukup baik  dalam mengenal dan memahami penggunaan microsoft  word.</v>
      </c>
    </row>
    <row r="33" spans="2:80" ht="54" customHeight="1">
      <c r="B33" s="109">
        <v>29</v>
      </c>
      <c r="C33" s="110">
        <f>SISWA!B34</f>
        <v>0</v>
      </c>
      <c r="D33" s="111" t="str">
        <f>SISWA!E34</f>
        <v>Anak 29</v>
      </c>
      <c r="E33" s="631">
        <v>99</v>
      </c>
      <c r="F33" s="631">
        <v>99</v>
      </c>
      <c r="G33" s="613"/>
      <c r="H33" s="613"/>
      <c r="I33" s="613"/>
      <c r="J33" s="613"/>
      <c r="K33" s="613"/>
      <c r="L33" s="731"/>
      <c r="M33" s="731"/>
      <c r="N33" s="731"/>
      <c r="O33" s="731"/>
      <c r="P33" s="613"/>
      <c r="Q33" s="613"/>
      <c r="R33" s="610"/>
      <c r="S33" s="605">
        <v>84</v>
      </c>
      <c r="T33" s="605">
        <v>68.75</v>
      </c>
      <c r="U33" s="609"/>
      <c r="V33" s="609"/>
      <c r="W33" s="609"/>
      <c r="X33" s="609"/>
      <c r="Y33" s="609"/>
      <c r="Z33" s="610"/>
      <c r="AA33" s="613">
        <v>84</v>
      </c>
      <c r="AB33" s="613">
        <v>68.75</v>
      </c>
      <c r="AC33" s="613"/>
      <c r="AD33" s="613"/>
      <c r="AE33" s="613"/>
      <c r="AF33" s="613"/>
      <c r="AG33" s="613" t="str">
        <f>IFERROR(AVERAGE(#REF!),"")</f>
        <v/>
      </c>
      <c r="AH33" s="518"/>
      <c r="AI33" s="607">
        <f t="shared" si="9"/>
        <v>91.5</v>
      </c>
      <c r="AJ33" s="607">
        <f t="shared" si="10"/>
        <v>83.875</v>
      </c>
      <c r="AK33" s="607" t="str">
        <f t="shared" si="11"/>
        <v/>
      </c>
      <c r="AL33" s="607" t="str">
        <f t="shared" si="12"/>
        <v/>
      </c>
      <c r="AM33" s="607" t="str">
        <f t="shared" si="13"/>
        <v/>
      </c>
      <c r="AN33" s="607" t="str">
        <f t="shared" si="14"/>
        <v/>
      </c>
      <c r="AO33" s="607" t="str">
        <f t="shared" si="15"/>
        <v/>
      </c>
      <c r="AP33" s="302">
        <f t="shared" si="3"/>
        <v>88</v>
      </c>
      <c r="AQ33" s="303" t="str">
        <f>IF(AP33&gt;KKM!$G$10,"A",IF(AP33&gt;KKM!$H$10,"B",IF(AP33&gt;=KKM!$I$10,"C","D")))</f>
        <v>B</v>
      </c>
      <c r="AR33" s="304">
        <f t="shared" si="4"/>
        <v>91.5</v>
      </c>
      <c r="AS33" s="115" t="str">
        <f>IF(AR33&gt;KKM!$G$10," sangat baik ",IF(AR33&gt;KKM!$H$10," baik ",IF(AR33&gt;=KKM!$I$10," cukup baik "," perlu bimbingan ")))</f>
        <v xml:space="preserve"> sangat baik </v>
      </c>
      <c r="AT33" s="305">
        <f t="shared" si="5"/>
        <v>83.875</v>
      </c>
      <c r="AU33" s="115" t="str">
        <f>IF(AT33&gt;KKM!$G$10," sangat baik ",IF(AT33&gt;KKM!$H$10," baik ",IF(AT33&gt;=KKM!$I$10," cukup baik "," perlu bimbingan ")))</f>
        <v xml:space="preserve"> baik </v>
      </c>
      <c r="AV33" s="301" t="str">
        <f t="shared" si="16"/>
        <v>Anak 29 sangat baik  dalam mengenal dan memahami penggunaan microsoft  word., dan  baik  dalam memahami pembuatan dokumen di microsoft  word</v>
      </c>
      <c r="AW33" s="306"/>
      <c r="AX33" s="307" t="str">
        <f t="shared" si="6"/>
        <v xml:space="preserve"> sangat baik  dalam mengenal dan memahami penggunaan microsoft  word.</v>
      </c>
      <c r="AY33" s="307" t="str">
        <f t="shared" si="7"/>
        <v xml:space="preserve"> baik  dalam memahami pembuatan dokumen di microsoft  word</v>
      </c>
      <c r="AZ33" s="307" t="str">
        <f t="shared" si="17"/>
        <v xml:space="preserve"> sangat baik  dalam mengenal dan memahami penggunaan microsoft  word., dan  baik  dalam memahami pembuatan dokumen di microsoft  word</v>
      </c>
      <c r="BA33" s="307" t="str">
        <f t="shared" si="18"/>
        <v xml:space="preserve"> </v>
      </c>
      <c r="BB33" s="308" t="str">
        <f t="shared" si="19"/>
        <v xml:space="preserve"> sangat baik  dalam mengenal dan memahami penggunaan microsoft  word., dan  baik  dalam memahami pembuatan dokumen di microsoft  word</v>
      </c>
      <c r="BC33" s="301" t="str">
        <f t="shared" si="8"/>
        <v>Anak 29 sangat baik  dalam mengenal dan memahami penggunaan microsoft  word., dan  baik  dalam memahami pembuatan dokumen di microsoft  word</v>
      </c>
      <c r="BD33" s="120"/>
      <c r="BP33" s="302">
        <f t="shared" si="20"/>
        <v>76</v>
      </c>
      <c r="BQ33" s="303" t="str">
        <f>IF(BP33&gt;KKM!$G$10,"A",IF(BP33&gt;KKM!$H$10,"B",IF(BP33&gt;=KKM!$I$10,"C","D")))</f>
        <v>C</v>
      </c>
      <c r="BR33" s="523">
        <f t="shared" si="21"/>
        <v>84</v>
      </c>
      <c r="BS33" s="115" t="str">
        <f>IF(BR33&gt;KKM!$G$10," sangat baik ",IF(BR33&gt;KKM!$H$10," baik ",IF(BR33&gt;=KKM!$I$10," cukup baik "," perlu bimbingan ")))</f>
        <v xml:space="preserve"> baik </v>
      </c>
      <c r="BT33" s="524">
        <f t="shared" si="22"/>
        <v>68.75</v>
      </c>
      <c r="BU33" s="115" t="str">
        <f>IF(BT33&gt;KKM!$G$10," sangat baik ",IF(BT33&gt;KKM!$H$10," baik ",IF(BT33&gt;=KKM!$I$10," cukup baik "," perlu bimbingan ")))</f>
        <v xml:space="preserve"> perlu bimbingan </v>
      </c>
      <c r="BV33" s="301" t="str">
        <f t="shared" si="29"/>
        <v>Anak 29 baik  dalam mengenal dan memahami penggunaan microsoft  word., dan  perlu bimbingan  dalam memahami pembuatan dokumen di microsoft  word</v>
      </c>
      <c r="BW33" s="307" t="str">
        <f t="shared" si="23"/>
        <v xml:space="preserve"> baik  dalam mengenal dan memahami penggunaan microsoft  word.</v>
      </c>
      <c r="BX33" s="307" t="str">
        <f t="shared" si="24"/>
        <v xml:space="preserve"> perlu bimbingan  dalam memahami pembuatan dokumen di microsoft  word</v>
      </c>
      <c r="BY33" s="307" t="str">
        <f t="shared" si="25"/>
        <v xml:space="preserve"> baik  dalam mengenal dan memahami penggunaan microsoft  word., dan  perlu bimbingan  dalam memahami pembuatan dokumen di microsoft  word</v>
      </c>
      <c r="BZ33" s="307" t="str">
        <f t="shared" si="26"/>
        <v xml:space="preserve"> </v>
      </c>
      <c r="CA33" s="308" t="str">
        <f t="shared" si="27"/>
        <v xml:space="preserve"> baik  dalam mengenal dan memahami penggunaan microsoft  word., dan  perlu bimbingan  dalam memahami pembuatan dokumen di microsoft  word</v>
      </c>
      <c r="CB33" s="301" t="str">
        <f t="shared" si="28"/>
        <v>Anak 29 baik  dalam mengenal dan memahami penggunaan microsoft  word., dan  perlu bimbingan  dalam memahami pembuatan dokumen di microsoft  word</v>
      </c>
    </row>
    <row r="34" spans="2:80" ht="54" customHeight="1">
      <c r="B34" s="109">
        <v>30</v>
      </c>
      <c r="C34" s="110">
        <f>SISWA!B35</f>
        <v>0</v>
      </c>
      <c r="D34" s="111" t="str">
        <f>SISWA!E35</f>
        <v>Anak 30</v>
      </c>
      <c r="E34" s="631">
        <v>99</v>
      </c>
      <c r="F34" s="631">
        <v>99</v>
      </c>
      <c r="G34" s="613"/>
      <c r="H34" s="613"/>
      <c r="I34" s="613"/>
      <c r="J34" s="613"/>
      <c r="K34" s="613"/>
      <c r="L34" s="731"/>
      <c r="M34" s="731"/>
      <c r="N34" s="731"/>
      <c r="O34" s="731"/>
      <c r="P34" s="613"/>
      <c r="Q34" s="613"/>
      <c r="R34" s="610"/>
      <c r="S34" s="605">
        <v>84.5</v>
      </c>
      <c r="T34" s="605">
        <v>69.75</v>
      </c>
      <c r="U34" s="609"/>
      <c r="V34" s="609"/>
      <c r="W34" s="609"/>
      <c r="X34" s="609"/>
      <c r="Y34" s="609"/>
      <c r="Z34" s="610"/>
      <c r="AA34" s="613">
        <v>84.5</v>
      </c>
      <c r="AB34" s="613">
        <v>69.75</v>
      </c>
      <c r="AC34" s="613"/>
      <c r="AD34" s="613"/>
      <c r="AE34" s="613"/>
      <c r="AF34" s="613"/>
      <c r="AG34" s="613" t="str">
        <f>IFERROR(AVERAGE(#REF!),"")</f>
        <v/>
      </c>
      <c r="AH34" s="518"/>
      <c r="AI34" s="607">
        <f t="shared" si="9"/>
        <v>91.75</v>
      </c>
      <c r="AJ34" s="607">
        <f t="shared" si="10"/>
        <v>84.375</v>
      </c>
      <c r="AK34" s="607" t="str">
        <f t="shared" si="11"/>
        <v/>
      </c>
      <c r="AL34" s="607" t="str">
        <f t="shared" si="12"/>
        <v/>
      </c>
      <c r="AM34" s="607" t="str">
        <f t="shared" si="13"/>
        <v/>
      </c>
      <c r="AN34" s="607" t="str">
        <f t="shared" si="14"/>
        <v/>
      </c>
      <c r="AO34" s="607" t="str">
        <f t="shared" si="15"/>
        <v/>
      </c>
      <c r="AP34" s="302">
        <f t="shared" si="3"/>
        <v>88</v>
      </c>
      <c r="AQ34" s="303" t="str">
        <f>IF(AP34&gt;KKM!$G$10,"A",IF(AP34&gt;KKM!$H$10,"B",IF(AP34&gt;=KKM!$I$10,"C","D")))</f>
        <v>B</v>
      </c>
      <c r="AR34" s="304">
        <f t="shared" si="4"/>
        <v>91.75</v>
      </c>
      <c r="AS34" s="115" t="str">
        <f>IF(AR34&gt;KKM!$G$10," sangat baik ",IF(AR34&gt;KKM!$H$10," baik ",IF(AR34&gt;=KKM!$I$10," cukup baik "," perlu bimbingan ")))</f>
        <v xml:space="preserve"> sangat baik </v>
      </c>
      <c r="AT34" s="305">
        <f t="shared" si="5"/>
        <v>84.375</v>
      </c>
      <c r="AU34" s="115" t="str">
        <f>IF(AT34&gt;KKM!$G$10," sangat baik ",IF(AT34&gt;KKM!$H$10," baik ",IF(AT34&gt;=KKM!$I$10," cukup baik "," perlu bimbingan ")))</f>
        <v xml:space="preserve"> baik </v>
      </c>
      <c r="AV34" s="301" t="str">
        <f t="shared" si="16"/>
        <v>Anak 30 sangat baik  dalam mengenal dan memahami penggunaan microsoft  word., dan  baik  dalam memahami pembuatan dokumen di microsoft  word</v>
      </c>
      <c r="AW34" s="306"/>
      <c r="AX34" s="307" t="str">
        <f t="shared" si="6"/>
        <v xml:space="preserve"> sangat baik  dalam mengenal dan memahami penggunaan microsoft  word.</v>
      </c>
      <c r="AY34" s="307" t="str">
        <f t="shared" si="7"/>
        <v xml:space="preserve"> baik  dalam memahami pembuatan dokumen di microsoft  word</v>
      </c>
      <c r="AZ34" s="307" t="str">
        <f t="shared" si="17"/>
        <v xml:space="preserve"> sangat baik  dalam mengenal dan memahami penggunaan microsoft  word., dan  baik  dalam memahami pembuatan dokumen di microsoft  word</v>
      </c>
      <c r="BA34" s="307" t="str">
        <f t="shared" si="18"/>
        <v xml:space="preserve"> </v>
      </c>
      <c r="BB34" s="308" t="str">
        <f t="shared" si="19"/>
        <v xml:space="preserve"> sangat baik  dalam mengenal dan memahami penggunaan microsoft  word., dan  baik  dalam memahami pembuatan dokumen di microsoft  word</v>
      </c>
      <c r="BC34" s="301" t="str">
        <f t="shared" si="8"/>
        <v>Anak 30 sangat baik  dalam mengenal dan memahami penggunaan microsoft  word., dan  baik  dalam memahami pembuatan dokumen di microsoft  word</v>
      </c>
      <c r="BD34" s="120"/>
      <c r="BP34" s="302">
        <f t="shared" si="20"/>
        <v>77</v>
      </c>
      <c r="BQ34" s="303" t="str">
        <f>IF(BP34&gt;KKM!$G$10,"A",IF(BP34&gt;KKM!$H$10,"B",IF(BP34&gt;=KKM!$I$10,"C","D")))</f>
        <v>C</v>
      </c>
      <c r="BR34" s="523">
        <f t="shared" si="21"/>
        <v>84.5</v>
      </c>
      <c r="BS34" s="115" t="str">
        <f>IF(BR34&gt;KKM!$G$10," sangat baik ",IF(BR34&gt;KKM!$H$10," baik ",IF(BR34&gt;=KKM!$I$10," cukup baik "," perlu bimbingan ")))</f>
        <v xml:space="preserve"> baik </v>
      </c>
      <c r="BT34" s="524">
        <f t="shared" si="22"/>
        <v>69.75</v>
      </c>
      <c r="BU34" s="115" t="str">
        <f>IF(BT34&gt;KKM!$G$10," sangat baik ",IF(BT34&gt;KKM!$H$10," baik ",IF(BT34&gt;=KKM!$I$10," cukup baik "," perlu bimbingan ")))</f>
        <v xml:space="preserve"> perlu bimbingan </v>
      </c>
      <c r="BV34" s="301" t="str">
        <f t="shared" si="29"/>
        <v>Anak 30 baik  dalam mengenal dan memahami penggunaan microsoft  word., dan  perlu bimbingan  dalam memahami pembuatan dokumen di microsoft  word</v>
      </c>
      <c r="BW34" s="307" t="str">
        <f t="shared" si="23"/>
        <v xml:space="preserve"> baik  dalam mengenal dan memahami penggunaan microsoft  word.</v>
      </c>
      <c r="BX34" s="307" t="str">
        <f t="shared" si="24"/>
        <v xml:space="preserve"> perlu bimbingan  dalam memahami pembuatan dokumen di microsoft  word</v>
      </c>
      <c r="BY34" s="307" t="str">
        <f t="shared" si="25"/>
        <v xml:space="preserve"> baik  dalam mengenal dan memahami penggunaan microsoft  word., dan  perlu bimbingan  dalam memahami pembuatan dokumen di microsoft  word</v>
      </c>
      <c r="BZ34" s="307" t="str">
        <f t="shared" si="26"/>
        <v xml:space="preserve"> </v>
      </c>
      <c r="CA34" s="308" t="str">
        <f t="shared" si="27"/>
        <v xml:space="preserve"> baik  dalam mengenal dan memahami penggunaan microsoft  word., dan  perlu bimbingan  dalam memahami pembuatan dokumen di microsoft  word</v>
      </c>
      <c r="CB34" s="301" t="str">
        <f t="shared" si="28"/>
        <v>Anak 30 baik  dalam mengenal dan memahami penggunaan microsoft  word., dan  perlu bimbingan  dalam memahami pembuatan dokumen di microsoft  word</v>
      </c>
    </row>
    <row r="35" spans="2:80" ht="54" customHeight="1">
      <c r="B35" s="109">
        <v>31</v>
      </c>
      <c r="C35" s="110">
        <f>SISWA!B36</f>
        <v>0</v>
      </c>
      <c r="D35" s="111" t="str">
        <f>SISWA!E36</f>
        <v>Anak 31</v>
      </c>
      <c r="E35" s="631">
        <v>99</v>
      </c>
      <c r="F35" s="631">
        <v>99</v>
      </c>
      <c r="G35" s="613"/>
      <c r="H35" s="613"/>
      <c r="I35" s="613"/>
      <c r="J35" s="613"/>
      <c r="K35" s="613"/>
      <c r="L35" s="731"/>
      <c r="M35" s="731"/>
      <c r="N35" s="731"/>
      <c r="O35" s="731"/>
      <c r="P35" s="613"/>
      <c r="Q35" s="613"/>
      <c r="R35" s="610"/>
      <c r="S35" s="605">
        <v>72.5</v>
      </c>
      <c r="T35" s="605">
        <v>77.25</v>
      </c>
      <c r="U35" s="609"/>
      <c r="V35" s="609"/>
      <c r="W35" s="609"/>
      <c r="X35" s="609"/>
      <c r="Y35" s="609"/>
      <c r="Z35" s="610"/>
      <c r="AA35" s="613">
        <v>72.5</v>
      </c>
      <c r="AB35" s="613">
        <v>77.25</v>
      </c>
      <c r="AC35" s="613"/>
      <c r="AD35" s="613"/>
      <c r="AE35" s="613"/>
      <c r="AF35" s="613"/>
      <c r="AG35" s="613" t="str">
        <f>IFERROR(AVERAGE(#REF!),"")</f>
        <v/>
      </c>
      <c r="AH35" s="518"/>
      <c r="AI35" s="607">
        <f t="shared" si="9"/>
        <v>85.75</v>
      </c>
      <c r="AJ35" s="607">
        <f t="shared" si="10"/>
        <v>88.125</v>
      </c>
      <c r="AK35" s="607" t="str">
        <f t="shared" si="11"/>
        <v/>
      </c>
      <c r="AL35" s="607" t="str">
        <f t="shared" si="12"/>
        <v/>
      </c>
      <c r="AM35" s="607" t="str">
        <f t="shared" si="13"/>
        <v/>
      </c>
      <c r="AN35" s="607" t="str">
        <f t="shared" si="14"/>
        <v/>
      </c>
      <c r="AO35" s="607" t="str">
        <f t="shared" si="15"/>
        <v/>
      </c>
      <c r="AP35" s="302">
        <f t="shared" si="3"/>
        <v>87</v>
      </c>
      <c r="AQ35" s="303" t="str">
        <f>IF(AP35&gt;KKM!$G$10,"A",IF(AP35&gt;KKM!$H$10,"B",IF(AP35&gt;=KKM!$I$10,"C","D")))</f>
        <v>B</v>
      </c>
      <c r="AR35" s="304">
        <f t="shared" si="4"/>
        <v>88.125</v>
      </c>
      <c r="AS35" s="115" t="str">
        <f>IF(AR35&gt;KKM!$G$10," sangat baik ",IF(AR35&gt;KKM!$H$10," baik ",IF(AR35&gt;=KKM!$I$10," cukup baik "," perlu bimbingan ")))</f>
        <v xml:space="preserve"> baik </v>
      </c>
      <c r="AT35" s="305">
        <f t="shared" si="5"/>
        <v>85.75</v>
      </c>
      <c r="AU35" s="115" t="str">
        <f>IF(AT35&gt;KKM!$G$10," sangat baik ",IF(AT35&gt;KKM!$H$10," baik ",IF(AT35&gt;=KKM!$I$10," cukup baik "," perlu bimbingan ")))</f>
        <v xml:space="preserve"> baik </v>
      </c>
      <c r="AV35" s="301" t="str">
        <f t="shared" si="16"/>
        <v>Anak 31 baik  dalam memahami pembuatan dokumen di microsoft  word, dan  baik  dalam mengenal dan memahami penggunaan microsoft  word.</v>
      </c>
      <c r="AW35" s="306"/>
      <c r="AX35" s="307" t="str">
        <f t="shared" si="6"/>
        <v xml:space="preserve"> baik  dalam memahami pembuatan dokumen di microsoft  word</v>
      </c>
      <c r="AY35" s="307" t="str">
        <f t="shared" si="7"/>
        <v xml:space="preserve"> baik  dalam mengenal dan memahami penggunaan microsoft  word.</v>
      </c>
      <c r="AZ35" s="307" t="str">
        <f t="shared" si="17"/>
        <v xml:space="preserve"> baik  dalam memahami pembuatan dokumen di microsoft  word, dan  baik  dalam mengenal dan memahami penggunaan microsoft  word.</v>
      </c>
      <c r="BA35" s="307" t="str">
        <f t="shared" si="18"/>
        <v xml:space="preserve"> </v>
      </c>
      <c r="BB35" s="308" t="str">
        <f t="shared" si="19"/>
        <v xml:space="preserve"> baik  dalam memahami pembuatan dokumen di microsoft  word, dan  baik  dalam mengenal dan memahami penggunaan microsoft  word.</v>
      </c>
      <c r="BC35" s="301" t="str">
        <f t="shared" si="8"/>
        <v>Anak 31 baik  dalam memahami pembuatan dokumen di microsoft  word, dan  baik  dalam mengenal dan memahami penggunaan microsoft  word.</v>
      </c>
      <c r="BD35" s="120"/>
      <c r="BP35" s="302">
        <f t="shared" si="20"/>
        <v>75</v>
      </c>
      <c r="BQ35" s="303" t="str">
        <f>IF(BP35&gt;KKM!$G$10,"A",IF(BP35&gt;KKM!$H$10,"B",IF(BP35&gt;=KKM!$I$10,"C","D")))</f>
        <v>C</v>
      </c>
      <c r="BR35" s="523">
        <f t="shared" si="21"/>
        <v>77.25</v>
      </c>
      <c r="BS35" s="115" t="str">
        <f>IF(BR35&gt;KKM!$G$10," sangat baik ",IF(BR35&gt;KKM!$H$10," baik ",IF(BR35&gt;=KKM!$I$10," cukup baik "," perlu bimbingan ")))</f>
        <v xml:space="preserve"> cukup baik </v>
      </c>
      <c r="BT35" s="524">
        <f t="shared" si="22"/>
        <v>72.5</v>
      </c>
      <c r="BU35" s="115" t="str">
        <f>IF(BT35&gt;KKM!$G$10," sangat baik ",IF(BT35&gt;KKM!$H$10," baik ",IF(BT35&gt;=KKM!$I$10," cukup baik "," perlu bimbingan ")))</f>
        <v xml:space="preserve"> cukup baik </v>
      </c>
      <c r="BV35" s="301" t="str">
        <f t="shared" si="29"/>
        <v>Anak 31 cukup baik  dalam memahami pembuatan dokumen di microsoft  word, dan  cukup baik  dalam mengenal dan memahami penggunaan microsoft  word.</v>
      </c>
      <c r="BW35" s="307" t="str">
        <f t="shared" si="23"/>
        <v xml:space="preserve"> cukup baik  dalam memahami pembuatan dokumen di microsoft  word</v>
      </c>
      <c r="BX35" s="307" t="str">
        <f t="shared" si="24"/>
        <v xml:space="preserve"> cukup baik  dalam mengenal dan memahami penggunaan microsoft  word.</v>
      </c>
      <c r="BY35" s="307" t="str">
        <f t="shared" si="25"/>
        <v xml:space="preserve"> cukup baik  dalam memahami pembuatan dokumen di microsoft  word, dan  cukup baik  dalam mengenal dan memahami penggunaan microsoft  word.</v>
      </c>
      <c r="BZ35" s="307" t="str">
        <f t="shared" si="26"/>
        <v xml:space="preserve"> </v>
      </c>
      <c r="CA35" s="308" t="str">
        <f t="shared" si="27"/>
        <v xml:space="preserve"> cukup baik  dalam memahami pembuatan dokumen di microsoft  word, dan  cukup baik  dalam mengenal dan memahami penggunaan microsoft  word.</v>
      </c>
      <c r="CB35" s="301" t="str">
        <f t="shared" si="28"/>
        <v>Anak 31 cukup baik  dalam memahami pembuatan dokumen di microsoft  word, dan  cukup baik  dalam mengenal dan memahami penggunaan microsoft  word.</v>
      </c>
    </row>
    <row r="36" spans="2:80" ht="54" customHeight="1">
      <c r="B36" s="109">
        <v>32</v>
      </c>
      <c r="C36" s="110">
        <f>SISWA!B37</f>
        <v>0</v>
      </c>
      <c r="D36" s="111" t="str">
        <f>SISWA!E37</f>
        <v>Anak 32</v>
      </c>
      <c r="E36" s="631">
        <v>99</v>
      </c>
      <c r="F36" s="631">
        <v>99</v>
      </c>
      <c r="G36" s="613"/>
      <c r="H36" s="613"/>
      <c r="I36" s="613"/>
      <c r="J36" s="613"/>
      <c r="K36" s="613"/>
      <c r="L36" s="731"/>
      <c r="M36" s="731"/>
      <c r="N36" s="731"/>
      <c r="O36" s="731"/>
      <c r="P36" s="613"/>
      <c r="Q36" s="613"/>
      <c r="R36" s="610"/>
      <c r="S36" s="605">
        <v>80</v>
      </c>
      <c r="T36" s="605">
        <v>71.75</v>
      </c>
      <c r="U36" s="609"/>
      <c r="V36" s="609"/>
      <c r="W36" s="609"/>
      <c r="X36" s="609"/>
      <c r="Y36" s="609"/>
      <c r="Z36" s="610"/>
      <c r="AA36" s="613">
        <v>80</v>
      </c>
      <c r="AB36" s="613">
        <v>71.75</v>
      </c>
      <c r="AC36" s="613"/>
      <c r="AD36" s="613"/>
      <c r="AE36" s="613"/>
      <c r="AF36" s="613"/>
      <c r="AG36" s="613" t="str">
        <f>IFERROR(AVERAGE(#REF!),"")</f>
        <v/>
      </c>
      <c r="AH36" s="518"/>
      <c r="AI36" s="607">
        <f t="shared" si="9"/>
        <v>89.5</v>
      </c>
      <c r="AJ36" s="607">
        <f t="shared" si="10"/>
        <v>85.375</v>
      </c>
      <c r="AK36" s="607" t="str">
        <f t="shared" si="11"/>
        <v/>
      </c>
      <c r="AL36" s="607" t="str">
        <f t="shared" si="12"/>
        <v/>
      </c>
      <c r="AM36" s="607" t="str">
        <f t="shared" si="13"/>
        <v/>
      </c>
      <c r="AN36" s="607" t="str">
        <f t="shared" si="14"/>
        <v/>
      </c>
      <c r="AO36" s="607" t="str">
        <f t="shared" si="15"/>
        <v/>
      </c>
      <c r="AP36" s="302">
        <f t="shared" si="3"/>
        <v>87</v>
      </c>
      <c r="AQ36" s="303" t="str">
        <f>IF(AP36&gt;KKM!$G$10,"A",IF(AP36&gt;KKM!$H$10,"B",IF(AP36&gt;=KKM!$I$10,"C","D")))</f>
        <v>B</v>
      </c>
      <c r="AR36" s="304">
        <f t="shared" si="4"/>
        <v>89.5</v>
      </c>
      <c r="AS36" s="115" t="str">
        <f>IF(AR36&gt;KKM!$G$10," sangat baik ",IF(AR36&gt;KKM!$H$10," baik ",IF(AR36&gt;=KKM!$I$10," cukup baik "," perlu bimbingan ")))</f>
        <v xml:space="preserve"> baik </v>
      </c>
      <c r="AT36" s="305">
        <f t="shared" si="5"/>
        <v>85.375</v>
      </c>
      <c r="AU36" s="115" t="str">
        <f>IF(AT36&gt;KKM!$G$10," sangat baik ",IF(AT36&gt;KKM!$H$10," baik ",IF(AT36&gt;=KKM!$I$10," cukup baik "," perlu bimbingan ")))</f>
        <v xml:space="preserve"> baik </v>
      </c>
      <c r="AV36" s="301" t="str">
        <f t="shared" si="16"/>
        <v>Anak 32 baik  dalam mengenal dan memahami penggunaan microsoft  word., dan  baik  dalam memahami pembuatan dokumen di microsoft  word</v>
      </c>
      <c r="AW36" s="306"/>
      <c r="AX36" s="307" t="str">
        <f t="shared" si="6"/>
        <v xml:space="preserve"> baik  dalam mengenal dan memahami penggunaan microsoft  word.</v>
      </c>
      <c r="AY36" s="307" t="str">
        <f t="shared" si="7"/>
        <v xml:space="preserve"> baik  dalam memahami pembuatan dokumen di microsoft  word</v>
      </c>
      <c r="AZ36" s="307" t="str">
        <f t="shared" si="17"/>
        <v xml:space="preserve"> baik  dalam mengenal dan memahami penggunaan microsoft  word., dan  baik  dalam memahami pembuatan dokumen di microsoft  word</v>
      </c>
      <c r="BA36" s="307" t="str">
        <f t="shared" si="18"/>
        <v xml:space="preserve"> </v>
      </c>
      <c r="BB36" s="308" t="str">
        <f t="shared" si="19"/>
        <v xml:space="preserve"> baik  dalam mengenal dan memahami penggunaan microsoft  word., dan  baik  dalam memahami pembuatan dokumen di microsoft  word</v>
      </c>
      <c r="BC36" s="301" t="str">
        <f t="shared" si="8"/>
        <v>Anak 32 baik  dalam mengenal dan memahami penggunaan microsoft  word., dan  baik  dalam memahami pembuatan dokumen di microsoft  word</v>
      </c>
      <c r="BD36" s="120"/>
      <c r="BP36" s="302">
        <f t="shared" si="20"/>
        <v>76</v>
      </c>
      <c r="BQ36" s="303" t="str">
        <f>IF(BP36&gt;KKM!$G$10,"A",IF(BP36&gt;KKM!$H$10,"B",IF(BP36&gt;=KKM!$I$10,"C","D")))</f>
        <v>C</v>
      </c>
      <c r="BR36" s="523">
        <f t="shared" si="21"/>
        <v>80</v>
      </c>
      <c r="BS36" s="115" t="str">
        <f>IF(BR36&gt;KKM!$G$10," sangat baik ",IF(BR36&gt;KKM!$H$10," baik ",IF(BR36&gt;=KKM!$I$10," cukup baik "," perlu bimbingan ")))</f>
        <v xml:space="preserve"> cukup baik </v>
      </c>
      <c r="BT36" s="524">
        <f t="shared" si="22"/>
        <v>71.75</v>
      </c>
      <c r="BU36" s="115" t="str">
        <f>IF(BT36&gt;KKM!$G$10," sangat baik ",IF(BT36&gt;KKM!$H$10," baik ",IF(BT36&gt;=KKM!$I$10," cukup baik "," perlu bimbingan ")))</f>
        <v xml:space="preserve"> cukup baik </v>
      </c>
      <c r="BV36" s="301" t="str">
        <f t="shared" si="29"/>
        <v>Anak 32 cukup baik  dalam mengenal dan memahami penggunaan microsoft  word., dan  cukup baik  dalam memahami pembuatan dokumen di microsoft  word</v>
      </c>
      <c r="BW36" s="307" t="str">
        <f t="shared" si="23"/>
        <v xml:space="preserve"> cukup baik  dalam mengenal dan memahami penggunaan microsoft  word.</v>
      </c>
      <c r="BX36" s="307" t="str">
        <f t="shared" si="24"/>
        <v xml:space="preserve"> cukup baik  dalam memahami pembuatan dokumen di microsoft  word</v>
      </c>
      <c r="BY36" s="307" t="str">
        <f t="shared" si="25"/>
        <v xml:space="preserve"> cukup baik  dalam mengenal dan memahami penggunaan microsoft  word., dan  cukup baik  dalam memahami pembuatan dokumen di microsoft  word</v>
      </c>
      <c r="BZ36" s="307" t="str">
        <f t="shared" si="26"/>
        <v xml:space="preserve"> </v>
      </c>
      <c r="CA36" s="308" t="str">
        <f t="shared" si="27"/>
        <v xml:space="preserve"> cukup baik  dalam mengenal dan memahami penggunaan microsoft  word., dan  cukup baik  dalam memahami pembuatan dokumen di microsoft  word</v>
      </c>
      <c r="CB36" s="301" t="str">
        <f t="shared" si="28"/>
        <v>Anak 32 cukup baik  dalam mengenal dan memahami penggunaan microsoft  word., dan  cukup baik  dalam memahami pembuatan dokumen di microsoft  word</v>
      </c>
    </row>
    <row r="37" spans="2:80" ht="54" customHeight="1">
      <c r="B37" s="109">
        <v>33</v>
      </c>
      <c r="C37" s="110">
        <f>SISWA!B38</f>
        <v>0</v>
      </c>
      <c r="D37" s="111" t="str">
        <f>SISWA!E38</f>
        <v>Anak 33</v>
      </c>
      <c r="E37" s="631">
        <v>99</v>
      </c>
      <c r="F37" s="631">
        <v>99</v>
      </c>
      <c r="G37" s="613"/>
      <c r="H37" s="613"/>
      <c r="I37" s="613"/>
      <c r="J37" s="613"/>
      <c r="K37" s="613"/>
      <c r="L37" s="731"/>
      <c r="M37" s="731"/>
      <c r="N37" s="731"/>
      <c r="O37" s="731"/>
      <c r="P37" s="613"/>
      <c r="Q37" s="613"/>
      <c r="R37" s="610"/>
      <c r="S37" s="605">
        <v>79.5</v>
      </c>
      <c r="T37" s="605">
        <v>76</v>
      </c>
      <c r="U37" s="609"/>
      <c r="V37" s="609"/>
      <c r="W37" s="609"/>
      <c r="X37" s="609"/>
      <c r="Y37" s="609"/>
      <c r="Z37" s="610"/>
      <c r="AA37" s="613">
        <v>79.5</v>
      </c>
      <c r="AB37" s="613">
        <v>76</v>
      </c>
      <c r="AC37" s="613"/>
      <c r="AD37" s="613"/>
      <c r="AE37" s="613"/>
      <c r="AF37" s="613"/>
      <c r="AG37" s="613" t="str">
        <f>IFERROR(AVERAGE(#REF!),"")</f>
        <v/>
      </c>
      <c r="AH37" s="518"/>
      <c r="AI37" s="607">
        <f t="shared" si="9"/>
        <v>89.25</v>
      </c>
      <c r="AJ37" s="607">
        <f t="shared" si="10"/>
        <v>87.5</v>
      </c>
      <c r="AK37" s="607" t="str">
        <f t="shared" si="11"/>
        <v/>
      </c>
      <c r="AL37" s="607" t="str">
        <f t="shared" si="12"/>
        <v/>
      </c>
      <c r="AM37" s="607" t="str">
        <f t="shared" si="13"/>
        <v/>
      </c>
      <c r="AN37" s="607" t="str">
        <f t="shared" si="14"/>
        <v/>
      </c>
      <c r="AO37" s="607" t="str">
        <f t="shared" si="15"/>
        <v/>
      </c>
      <c r="AP37" s="302">
        <f t="shared" ref="AP37:AP54" si="30">ROUND((AVERAGE(AI37:AO37)),0)</f>
        <v>88</v>
      </c>
      <c r="AQ37" s="303" t="str">
        <f>IF(AP37&gt;KKM!$G$10,"A",IF(AP37&gt;KKM!$H$10,"B",IF(AP37&gt;=KKM!$I$10,"C","D")))</f>
        <v>B</v>
      </c>
      <c r="AR37" s="304">
        <f t="shared" ref="AR37:AR54" si="31">MAX(AI37:AO37)</f>
        <v>89.25</v>
      </c>
      <c r="AS37" s="115" t="str">
        <f>IF(AR37&gt;KKM!$G$10," sangat baik ",IF(AR37&gt;KKM!$H$10," baik ",IF(AR37&gt;=KKM!$I$10," cukup baik "," perlu bimbingan ")))</f>
        <v xml:space="preserve"> baik </v>
      </c>
      <c r="AT37" s="305">
        <f t="shared" ref="AT37:AT54" si="32">MIN(AI37:AO37)</f>
        <v>87.5</v>
      </c>
      <c r="AU37" s="115" t="str">
        <f>IF(AT37&gt;KKM!$G$10," sangat baik ",IF(AT37&gt;KKM!$H$10," baik ",IF(AT37&gt;=KKM!$I$10," cukup baik "," perlu bimbingan ")))</f>
        <v xml:space="preserve"> baik </v>
      </c>
      <c r="AV37" s="301" t="str">
        <f t="shared" si="16"/>
        <v>Anak 33 baik  dalam mengenal dan memahami penggunaan microsoft  word., dan  baik  dalam memahami pembuatan dokumen di microsoft  word</v>
      </c>
      <c r="AW37" s="306"/>
      <c r="AX37" s="307" t="str">
        <f t="shared" ref="AX37:AX54" si="33">AS37&amp;" dalam "&amp;INDEX($AI$3:$AO$3,MATCH(AR37,$AI37:$AO37,0))</f>
        <v xml:space="preserve"> baik  dalam mengenal dan memahami penggunaan microsoft  word.</v>
      </c>
      <c r="AY37" s="307" t="str">
        <f t="shared" ref="AY37:AY54" si="34">AU37&amp;" dalam "&amp;INDEX($AI$3:$AO$3,MATCH(AT37,$AI37:$AO37,0))</f>
        <v xml:space="preserve"> baik  dalam memahami pembuatan dokumen di microsoft  word</v>
      </c>
      <c r="AZ37" s="307" t="str">
        <f t="shared" si="17"/>
        <v xml:space="preserve"> baik  dalam mengenal dan memahami penggunaan microsoft  word., dan  baik  dalam memahami pembuatan dokumen di microsoft  word</v>
      </c>
      <c r="BA37" s="307" t="str">
        <f t="shared" si="18"/>
        <v xml:space="preserve"> </v>
      </c>
      <c r="BB37" s="308" t="str">
        <f t="shared" si="19"/>
        <v xml:space="preserve"> baik  dalam mengenal dan memahami penggunaan microsoft  word., dan  baik  dalam memahami pembuatan dokumen di microsoft  word</v>
      </c>
      <c r="BC37" s="301" t="str">
        <f t="shared" ref="BC37:BC54" si="35">CONCATENATE(D37,BB37)</f>
        <v>Anak 33 baik  dalam mengenal dan memahami penggunaan microsoft  word., dan  baik  dalam memahami pembuatan dokumen di microsoft  word</v>
      </c>
      <c r="BD37" s="120"/>
      <c r="BP37" s="302">
        <f t="shared" si="20"/>
        <v>78</v>
      </c>
      <c r="BQ37" s="303" t="str">
        <f>IF(BP37&gt;KKM!$G$10,"A",IF(BP37&gt;KKM!$H$10,"B",IF(BP37&gt;=KKM!$I$10,"C","D")))</f>
        <v>C</v>
      </c>
      <c r="BR37" s="523">
        <f t="shared" si="21"/>
        <v>79.5</v>
      </c>
      <c r="BS37" s="115" t="str">
        <f>IF(BR37&gt;KKM!$G$10," sangat baik ",IF(BR37&gt;KKM!$H$10," baik ",IF(BR37&gt;=KKM!$I$10," cukup baik "," perlu bimbingan ")))</f>
        <v xml:space="preserve"> cukup baik </v>
      </c>
      <c r="BT37" s="524">
        <f t="shared" si="22"/>
        <v>76</v>
      </c>
      <c r="BU37" s="115" t="str">
        <f>IF(BT37&gt;KKM!$G$10," sangat baik ",IF(BT37&gt;KKM!$H$10," baik ",IF(BT37&gt;=KKM!$I$10," cukup baik "," perlu bimbingan ")))</f>
        <v xml:space="preserve"> cukup baik </v>
      </c>
      <c r="BV37" s="301" t="str">
        <f t="shared" si="29"/>
        <v>Anak 33 cukup baik  dalam mengenal dan memahami penggunaan microsoft  word., dan  cukup baik  dalam memahami pembuatan dokumen di microsoft  word</v>
      </c>
      <c r="BW37" s="307" t="str">
        <f t="shared" si="23"/>
        <v xml:space="preserve"> cukup baik  dalam mengenal dan memahami penggunaan microsoft  word.</v>
      </c>
      <c r="BX37" s="307" t="str">
        <f t="shared" si="24"/>
        <v xml:space="preserve"> cukup baik  dalam memahami pembuatan dokumen di microsoft  word</v>
      </c>
      <c r="BY37" s="307" t="str">
        <f t="shared" si="25"/>
        <v xml:space="preserve"> cukup baik  dalam mengenal dan memahami penggunaan microsoft  word., dan  cukup baik  dalam memahami pembuatan dokumen di microsoft  word</v>
      </c>
      <c r="BZ37" s="307" t="str">
        <f t="shared" si="26"/>
        <v xml:space="preserve"> </v>
      </c>
      <c r="CA37" s="308" t="str">
        <f t="shared" si="27"/>
        <v xml:space="preserve"> cukup baik  dalam mengenal dan memahami penggunaan microsoft  word., dan  cukup baik  dalam memahami pembuatan dokumen di microsoft  word</v>
      </c>
      <c r="CB37" s="301" t="str">
        <f t="shared" si="28"/>
        <v>Anak 33 cukup baik  dalam mengenal dan memahami penggunaan microsoft  word., dan  cukup baik  dalam memahami pembuatan dokumen di microsoft  word</v>
      </c>
    </row>
    <row r="38" spans="2:80" ht="54" customHeight="1">
      <c r="B38" s="109">
        <v>34</v>
      </c>
      <c r="C38" s="110">
        <f>SISWA!B39</f>
        <v>0</v>
      </c>
      <c r="D38" s="111" t="str">
        <f>SISWA!E39</f>
        <v>Anak 34</v>
      </c>
      <c r="E38" s="631">
        <v>99</v>
      </c>
      <c r="F38" s="631">
        <v>99</v>
      </c>
      <c r="G38" s="613"/>
      <c r="H38" s="613"/>
      <c r="I38" s="613"/>
      <c r="J38" s="613"/>
      <c r="K38" s="613"/>
      <c r="L38" s="731"/>
      <c r="M38" s="731"/>
      <c r="N38" s="731"/>
      <c r="O38" s="731"/>
      <c r="P38" s="613"/>
      <c r="Q38" s="613"/>
      <c r="R38" s="610"/>
      <c r="S38" s="605">
        <v>79.5</v>
      </c>
      <c r="T38" s="605">
        <v>82.75</v>
      </c>
      <c r="U38" s="609"/>
      <c r="V38" s="609"/>
      <c r="W38" s="609"/>
      <c r="X38" s="609"/>
      <c r="Y38" s="609"/>
      <c r="Z38" s="610"/>
      <c r="AA38" s="613">
        <v>79.5</v>
      </c>
      <c r="AB38" s="613">
        <v>82.75</v>
      </c>
      <c r="AC38" s="613"/>
      <c r="AD38" s="613"/>
      <c r="AE38" s="613"/>
      <c r="AF38" s="613"/>
      <c r="AG38" s="613" t="str">
        <f>IFERROR(AVERAGE(#REF!),"")</f>
        <v/>
      </c>
      <c r="AH38" s="518"/>
      <c r="AI38" s="607">
        <f t="shared" si="9"/>
        <v>89.25</v>
      </c>
      <c r="AJ38" s="607">
        <f t="shared" si="10"/>
        <v>90.875</v>
      </c>
      <c r="AK38" s="607" t="str">
        <f t="shared" si="11"/>
        <v/>
      </c>
      <c r="AL38" s="607" t="str">
        <f t="shared" si="12"/>
        <v/>
      </c>
      <c r="AM38" s="607" t="str">
        <f t="shared" si="13"/>
        <v/>
      </c>
      <c r="AN38" s="607" t="str">
        <f t="shared" si="14"/>
        <v/>
      </c>
      <c r="AO38" s="607" t="str">
        <f t="shared" si="15"/>
        <v/>
      </c>
      <c r="AP38" s="302">
        <f t="shared" si="30"/>
        <v>90</v>
      </c>
      <c r="AQ38" s="303" t="str">
        <f>IF(AP38&gt;KKM!$G$10,"A",IF(AP38&gt;KKM!$H$10,"B",IF(AP38&gt;=KKM!$I$10,"C","D")))</f>
        <v>B</v>
      </c>
      <c r="AR38" s="304">
        <f t="shared" si="31"/>
        <v>90.875</v>
      </c>
      <c r="AS38" s="115" t="str">
        <f>IF(AR38&gt;KKM!$G$10," sangat baik ",IF(AR38&gt;KKM!$H$10," baik ",IF(AR38&gt;=KKM!$I$10," cukup baik "," perlu bimbingan ")))</f>
        <v xml:space="preserve"> sangat baik </v>
      </c>
      <c r="AT38" s="305">
        <f t="shared" si="32"/>
        <v>89.25</v>
      </c>
      <c r="AU38" s="115" t="str">
        <f>IF(AT38&gt;KKM!$G$10," sangat baik ",IF(AT38&gt;KKM!$H$10," baik ",IF(AT38&gt;=KKM!$I$10," cukup baik "," perlu bimbingan ")))</f>
        <v xml:space="preserve"> baik </v>
      </c>
      <c r="AV38" s="301" t="str">
        <f t="shared" si="16"/>
        <v>Anak 34 sangat baik  dalam memahami pembuatan dokumen di microsoft  word, dan  baik  dalam mengenal dan memahami penggunaan microsoft  word.</v>
      </c>
      <c r="AW38" s="306"/>
      <c r="AX38" s="307" t="str">
        <f t="shared" si="33"/>
        <v xml:space="preserve"> sangat baik  dalam memahami pembuatan dokumen di microsoft  word</v>
      </c>
      <c r="AY38" s="307" t="str">
        <f t="shared" si="34"/>
        <v xml:space="preserve"> baik  dalam mengenal dan memahami penggunaan microsoft  word.</v>
      </c>
      <c r="AZ38" s="307" t="str">
        <f t="shared" si="17"/>
        <v xml:space="preserve"> sangat baik  dalam memahami pembuatan dokumen di microsoft  word, dan  baik  dalam mengenal dan memahami penggunaan microsoft  word.</v>
      </c>
      <c r="BA38" s="307" t="str">
        <f t="shared" si="18"/>
        <v xml:space="preserve"> </v>
      </c>
      <c r="BB38" s="308" t="str">
        <f t="shared" si="19"/>
        <v xml:space="preserve"> sangat baik  dalam memahami pembuatan dokumen di microsoft  word, dan  baik  dalam mengenal dan memahami penggunaan microsoft  word.</v>
      </c>
      <c r="BC38" s="301" t="str">
        <f t="shared" si="35"/>
        <v>Anak 34 sangat baik  dalam memahami pembuatan dokumen di microsoft  word, dan  baik  dalam mengenal dan memahami penggunaan microsoft  word.</v>
      </c>
      <c r="BD38" s="120"/>
      <c r="BP38" s="302">
        <f t="shared" si="20"/>
        <v>81</v>
      </c>
      <c r="BQ38" s="303" t="str">
        <f>IF(BP38&gt;KKM!$G$10,"A",IF(BP38&gt;KKM!$H$10,"B",IF(BP38&gt;=KKM!$I$10,"C","D")))</f>
        <v>B</v>
      </c>
      <c r="BR38" s="523">
        <f t="shared" si="21"/>
        <v>82.75</v>
      </c>
      <c r="BS38" s="115" t="str">
        <f>IF(BR38&gt;KKM!$G$10," sangat baik ",IF(BR38&gt;KKM!$H$10," baik ",IF(BR38&gt;=KKM!$I$10," cukup baik "," perlu bimbingan ")))</f>
        <v xml:space="preserve"> baik </v>
      </c>
      <c r="BT38" s="524">
        <f t="shared" si="22"/>
        <v>79.5</v>
      </c>
      <c r="BU38" s="115" t="str">
        <f>IF(BT38&gt;KKM!$G$10," sangat baik ",IF(BT38&gt;KKM!$H$10," baik ",IF(BT38&gt;=KKM!$I$10," cukup baik "," perlu bimbingan ")))</f>
        <v xml:space="preserve"> cukup baik </v>
      </c>
      <c r="BV38" s="301" t="str">
        <f t="shared" si="29"/>
        <v>Anak 34 baik  dalam memahami pembuatan dokumen di microsoft  word, dan  cukup baik  dalam mengenal dan memahami penggunaan microsoft  word.</v>
      </c>
      <c r="BW38" s="307" t="str">
        <f t="shared" si="23"/>
        <v xml:space="preserve"> baik  dalam memahami pembuatan dokumen di microsoft  word</v>
      </c>
      <c r="BX38" s="307" t="str">
        <f t="shared" si="24"/>
        <v xml:space="preserve"> cukup baik  dalam mengenal dan memahami penggunaan microsoft  word.</v>
      </c>
      <c r="BY38" s="307" t="str">
        <f t="shared" si="25"/>
        <v xml:space="preserve"> baik  dalam memahami pembuatan dokumen di microsoft  word, dan  cukup baik  dalam mengenal dan memahami penggunaan microsoft  word.</v>
      </c>
      <c r="BZ38" s="307" t="str">
        <f t="shared" si="26"/>
        <v xml:space="preserve"> </v>
      </c>
      <c r="CA38" s="308" t="str">
        <f t="shared" si="27"/>
        <v xml:space="preserve"> baik  dalam memahami pembuatan dokumen di microsoft  word, dan  cukup baik  dalam mengenal dan memahami penggunaan microsoft  word.</v>
      </c>
      <c r="CB38" s="301" t="str">
        <f t="shared" si="28"/>
        <v>Anak 34 baik  dalam memahami pembuatan dokumen di microsoft  word, dan  cukup baik  dalam mengenal dan memahami penggunaan microsoft  word.</v>
      </c>
    </row>
    <row r="39" spans="2:80" ht="54" customHeight="1">
      <c r="B39" s="109">
        <v>35</v>
      </c>
      <c r="C39" s="110">
        <f>SISWA!B40</f>
        <v>0</v>
      </c>
      <c r="D39" s="111" t="str">
        <f>SISWA!E40</f>
        <v>Anak 35</v>
      </c>
      <c r="E39" s="631">
        <v>99</v>
      </c>
      <c r="F39" s="631">
        <v>99</v>
      </c>
      <c r="G39" s="613"/>
      <c r="H39" s="613"/>
      <c r="I39" s="613"/>
      <c r="J39" s="613"/>
      <c r="K39" s="613"/>
      <c r="L39" s="731"/>
      <c r="M39" s="731"/>
      <c r="N39" s="731"/>
      <c r="O39" s="731"/>
      <c r="P39" s="613"/>
      <c r="Q39" s="613"/>
      <c r="R39" s="610"/>
      <c r="S39" s="605">
        <v>79.5</v>
      </c>
      <c r="T39" s="605">
        <v>74.75</v>
      </c>
      <c r="U39" s="609"/>
      <c r="V39" s="609"/>
      <c r="W39" s="609"/>
      <c r="X39" s="609"/>
      <c r="Y39" s="609"/>
      <c r="Z39" s="610"/>
      <c r="AA39" s="613">
        <v>79.5</v>
      </c>
      <c r="AB39" s="613">
        <v>74.75</v>
      </c>
      <c r="AC39" s="613"/>
      <c r="AD39" s="613"/>
      <c r="AE39" s="613"/>
      <c r="AF39" s="613"/>
      <c r="AG39" s="613" t="str">
        <f>IFERROR(AVERAGE(#REF!),"")</f>
        <v/>
      </c>
      <c r="AH39" s="518"/>
      <c r="AI39" s="607">
        <f t="shared" si="9"/>
        <v>89.25</v>
      </c>
      <c r="AJ39" s="607">
        <f t="shared" si="10"/>
        <v>86.875</v>
      </c>
      <c r="AK39" s="607" t="str">
        <f t="shared" si="11"/>
        <v/>
      </c>
      <c r="AL39" s="607" t="str">
        <f t="shared" si="12"/>
        <v/>
      </c>
      <c r="AM39" s="607" t="str">
        <f t="shared" si="13"/>
        <v/>
      </c>
      <c r="AN39" s="607" t="str">
        <f t="shared" si="14"/>
        <v/>
      </c>
      <c r="AO39" s="607" t="str">
        <f t="shared" si="15"/>
        <v/>
      </c>
      <c r="AP39" s="302">
        <f t="shared" si="30"/>
        <v>88</v>
      </c>
      <c r="AQ39" s="303" t="str">
        <f>IF(AP39&gt;KKM!$G$10,"A",IF(AP39&gt;KKM!$H$10,"B",IF(AP39&gt;=KKM!$I$10,"C","D")))</f>
        <v>B</v>
      </c>
      <c r="AR39" s="304">
        <f t="shared" si="31"/>
        <v>89.25</v>
      </c>
      <c r="AS39" s="115" t="str">
        <f>IF(AR39&gt;KKM!$G$10," sangat baik ",IF(AR39&gt;KKM!$H$10," baik ",IF(AR39&gt;=KKM!$I$10," cukup baik "," perlu bimbingan ")))</f>
        <v xml:space="preserve"> baik </v>
      </c>
      <c r="AT39" s="305">
        <f t="shared" si="32"/>
        <v>86.875</v>
      </c>
      <c r="AU39" s="115" t="str">
        <f>IF(AT39&gt;KKM!$G$10," sangat baik ",IF(AT39&gt;KKM!$H$10," baik ",IF(AT39&gt;=KKM!$I$10," cukup baik "," perlu bimbingan ")))</f>
        <v xml:space="preserve"> baik </v>
      </c>
      <c r="AV39" s="301" t="str">
        <f t="shared" si="16"/>
        <v>Anak 35 baik  dalam mengenal dan memahami penggunaan microsoft  word., dan  baik  dalam memahami pembuatan dokumen di microsoft  word</v>
      </c>
      <c r="AW39" s="306"/>
      <c r="AX39" s="307" t="str">
        <f t="shared" si="33"/>
        <v xml:space="preserve"> baik  dalam mengenal dan memahami penggunaan microsoft  word.</v>
      </c>
      <c r="AY39" s="307" t="str">
        <f t="shared" si="34"/>
        <v xml:space="preserve"> baik  dalam memahami pembuatan dokumen di microsoft  word</v>
      </c>
      <c r="AZ39" s="307" t="str">
        <f t="shared" si="17"/>
        <v xml:space="preserve"> baik  dalam mengenal dan memahami penggunaan microsoft  word., dan  baik  dalam memahami pembuatan dokumen di microsoft  word</v>
      </c>
      <c r="BA39" s="307" t="str">
        <f t="shared" si="18"/>
        <v xml:space="preserve"> </v>
      </c>
      <c r="BB39" s="308" t="str">
        <f t="shared" si="19"/>
        <v xml:space="preserve"> baik  dalam mengenal dan memahami penggunaan microsoft  word., dan  baik  dalam memahami pembuatan dokumen di microsoft  word</v>
      </c>
      <c r="BC39" s="301" t="str">
        <f t="shared" si="35"/>
        <v>Anak 35 baik  dalam mengenal dan memahami penggunaan microsoft  word., dan  baik  dalam memahami pembuatan dokumen di microsoft  word</v>
      </c>
      <c r="BD39" s="120"/>
      <c r="BP39" s="302">
        <f t="shared" si="20"/>
        <v>77</v>
      </c>
      <c r="BQ39" s="303" t="str">
        <f>IF(BP39&gt;KKM!$G$10,"A",IF(BP39&gt;KKM!$H$10,"B",IF(BP39&gt;=KKM!$I$10,"C","D")))</f>
        <v>C</v>
      </c>
      <c r="BR39" s="523">
        <f t="shared" si="21"/>
        <v>79.5</v>
      </c>
      <c r="BS39" s="115" t="str">
        <f>IF(BR39&gt;KKM!$G$10," sangat baik ",IF(BR39&gt;KKM!$H$10," baik ",IF(BR39&gt;=KKM!$I$10," cukup baik "," perlu bimbingan ")))</f>
        <v xml:space="preserve"> cukup baik </v>
      </c>
      <c r="BT39" s="524">
        <f t="shared" si="22"/>
        <v>74.75</v>
      </c>
      <c r="BU39" s="115" t="str">
        <f>IF(BT39&gt;KKM!$G$10," sangat baik ",IF(BT39&gt;KKM!$H$10," baik ",IF(BT39&gt;=KKM!$I$10," cukup baik "," perlu bimbingan ")))</f>
        <v xml:space="preserve"> cukup baik </v>
      </c>
      <c r="BV39" s="301" t="str">
        <f t="shared" si="29"/>
        <v>Anak 35 cukup baik  dalam mengenal dan memahami penggunaan microsoft  word., dan  cukup baik  dalam memahami pembuatan dokumen di microsoft  word</v>
      </c>
      <c r="BW39" s="307" t="str">
        <f t="shared" si="23"/>
        <v xml:space="preserve"> cukup baik  dalam mengenal dan memahami penggunaan microsoft  word.</v>
      </c>
      <c r="BX39" s="307" t="str">
        <f t="shared" si="24"/>
        <v xml:space="preserve"> cukup baik  dalam memahami pembuatan dokumen di microsoft  word</v>
      </c>
      <c r="BY39" s="307" t="str">
        <f t="shared" si="25"/>
        <v xml:space="preserve"> cukup baik  dalam mengenal dan memahami penggunaan microsoft  word., dan  cukup baik  dalam memahami pembuatan dokumen di microsoft  word</v>
      </c>
      <c r="BZ39" s="307" t="str">
        <f t="shared" si="26"/>
        <v xml:space="preserve"> </v>
      </c>
      <c r="CA39" s="308" t="str">
        <f t="shared" si="27"/>
        <v xml:space="preserve"> cukup baik  dalam mengenal dan memahami penggunaan microsoft  word., dan  cukup baik  dalam memahami pembuatan dokumen di microsoft  word</v>
      </c>
      <c r="CB39" s="301" t="str">
        <f t="shared" si="28"/>
        <v>Anak 35 cukup baik  dalam mengenal dan memahami penggunaan microsoft  word., dan  cukup baik  dalam memahami pembuatan dokumen di microsoft  word</v>
      </c>
    </row>
    <row r="40" spans="2:80" ht="54" customHeight="1">
      <c r="B40" s="109">
        <v>36</v>
      </c>
      <c r="C40" s="110">
        <f>SISWA!B41</f>
        <v>0</v>
      </c>
      <c r="D40" s="111" t="str">
        <f>SISWA!E41</f>
        <v>Anak 36</v>
      </c>
      <c r="E40" s="631">
        <v>99</v>
      </c>
      <c r="F40" s="631">
        <v>99</v>
      </c>
      <c r="G40" s="613"/>
      <c r="H40" s="613"/>
      <c r="I40" s="613"/>
      <c r="J40" s="613"/>
      <c r="K40" s="613"/>
      <c r="L40" s="731"/>
      <c r="M40" s="731"/>
      <c r="N40" s="731"/>
      <c r="O40" s="731"/>
      <c r="P40" s="613"/>
      <c r="Q40" s="613"/>
      <c r="R40" s="610"/>
      <c r="S40" s="605">
        <v>89</v>
      </c>
      <c r="T40" s="605">
        <v>75.25</v>
      </c>
      <c r="U40" s="609"/>
      <c r="V40" s="609"/>
      <c r="W40" s="609"/>
      <c r="X40" s="609"/>
      <c r="Y40" s="609"/>
      <c r="Z40" s="610"/>
      <c r="AA40" s="613">
        <v>89</v>
      </c>
      <c r="AB40" s="613">
        <v>75.25</v>
      </c>
      <c r="AC40" s="613"/>
      <c r="AD40" s="613"/>
      <c r="AE40" s="613"/>
      <c r="AF40" s="613"/>
      <c r="AG40" s="613" t="str">
        <f>IFERROR(AVERAGE(#REF!),"")</f>
        <v/>
      </c>
      <c r="AH40" s="518"/>
      <c r="AI40" s="607">
        <f t="shared" si="9"/>
        <v>94</v>
      </c>
      <c r="AJ40" s="607">
        <f t="shared" si="10"/>
        <v>87.125</v>
      </c>
      <c r="AK40" s="607" t="str">
        <f t="shared" si="11"/>
        <v/>
      </c>
      <c r="AL40" s="607" t="str">
        <f t="shared" si="12"/>
        <v/>
      </c>
      <c r="AM40" s="607" t="str">
        <f t="shared" si="13"/>
        <v/>
      </c>
      <c r="AN40" s="607" t="str">
        <f t="shared" si="14"/>
        <v/>
      </c>
      <c r="AO40" s="607" t="str">
        <f t="shared" si="15"/>
        <v/>
      </c>
      <c r="AP40" s="302">
        <f t="shared" si="30"/>
        <v>91</v>
      </c>
      <c r="AQ40" s="303" t="str">
        <f>IF(AP40&gt;KKM!$G$10,"A",IF(AP40&gt;KKM!$H$10,"B",IF(AP40&gt;=KKM!$I$10,"C","D")))</f>
        <v>A</v>
      </c>
      <c r="AR40" s="304">
        <f t="shared" si="31"/>
        <v>94</v>
      </c>
      <c r="AS40" s="115" t="str">
        <f>IF(AR40&gt;KKM!$G$10," sangat baik ",IF(AR40&gt;KKM!$H$10," baik ",IF(AR40&gt;=KKM!$I$10," cukup baik "," perlu bimbingan ")))</f>
        <v xml:space="preserve"> sangat baik </v>
      </c>
      <c r="AT40" s="305">
        <f t="shared" si="32"/>
        <v>87.125</v>
      </c>
      <c r="AU40" s="115" t="str">
        <f>IF(AT40&gt;KKM!$G$10," sangat baik ",IF(AT40&gt;KKM!$H$10," baik ",IF(AT40&gt;=KKM!$I$10," cukup baik "," perlu bimbingan ")))</f>
        <v xml:space="preserve"> baik </v>
      </c>
      <c r="AV40" s="301" t="str">
        <f t="shared" si="16"/>
        <v>Anak 36 sangat baik  dalam mengenal dan memahami penggunaan microsoft  word., dan  baik  dalam memahami pembuatan dokumen di microsoft  word</v>
      </c>
      <c r="AW40" s="306"/>
      <c r="AX40" s="307" t="str">
        <f t="shared" si="33"/>
        <v xml:space="preserve"> sangat baik  dalam mengenal dan memahami penggunaan microsoft  word.</v>
      </c>
      <c r="AY40" s="307" t="str">
        <f t="shared" si="34"/>
        <v xml:space="preserve"> baik  dalam memahami pembuatan dokumen di microsoft  word</v>
      </c>
      <c r="AZ40" s="307" t="str">
        <f t="shared" si="17"/>
        <v xml:space="preserve"> sangat baik  dalam mengenal dan memahami penggunaan microsoft  word., dan  baik  dalam memahami pembuatan dokumen di microsoft  word</v>
      </c>
      <c r="BA40" s="307" t="str">
        <f t="shared" si="18"/>
        <v xml:space="preserve"> </v>
      </c>
      <c r="BB40" s="308" t="str">
        <f t="shared" si="19"/>
        <v xml:space="preserve"> sangat baik  dalam mengenal dan memahami penggunaan microsoft  word., dan  baik  dalam memahami pembuatan dokumen di microsoft  word</v>
      </c>
      <c r="BC40" s="301" t="str">
        <f t="shared" si="35"/>
        <v>Anak 36 sangat baik  dalam mengenal dan memahami penggunaan microsoft  word., dan  baik  dalam memahami pembuatan dokumen di microsoft  word</v>
      </c>
      <c r="BD40" s="120"/>
      <c r="BP40" s="302">
        <f t="shared" si="20"/>
        <v>82</v>
      </c>
      <c r="BQ40" s="303" t="str">
        <f>IF(BP40&gt;KKM!$G$10,"A",IF(BP40&gt;KKM!$H$10,"B",IF(BP40&gt;=KKM!$I$10,"C","D")))</f>
        <v>B</v>
      </c>
      <c r="BR40" s="523">
        <f t="shared" si="21"/>
        <v>89</v>
      </c>
      <c r="BS40" s="115" t="str">
        <f>IF(BR40&gt;KKM!$G$10," sangat baik ",IF(BR40&gt;KKM!$H$10," baik ",IF(BR40&gt;=KKM!$I$10," cukup baik "," perlu bimbingan ")))</f>
        <v xml:space="preserve"> baik </v>
      </c>
      <c r="BT40" s="524">
        <f t="shared" si="22"/>
        <v>75.25</v>
      </c>
      <c r="BU40" s="115" t="str">
        <f>IF(BT40&gt;KKM!$G$10," sangat baik ",IF(BT40&gt;KKM!$H$10," baik ",IF(BT40&gt;=KKM!$I$10," cukup baik "," perlu bimbingan ")))</f>
        <v xml:space="preserve"> cukup baik </v>
      </c>
      <c r="BV40" s="301" t="str">
        <f t="shared" si="29"/>
        <v>Anak 36 baik  dalam mengenal dan memahami penggunaan microsoft  word., dan  cukup baik  dalam memahami pembuatan dokumen di microsoft  word</v>
      </c>
      <c r="BW40" s="307" t="str">
        <f t="shared" si="23"/>
        <v xml:space="preserve"> baik  dalam mengenal dan memahami penggunaan microsoft  word.</v>
      </c>
      <c r="BX40" s="307" t="str">
        <f t="shared" si="24"/>
        <v xml:space="preserve"> cukup baik  dalam memahami pembuatan dokumen di microsoft  word</v>
      </c>
      <c r="BY40" s="307" t="str">
        <f t="shared" si="25"/>
        <v xml:space="preserve"> baik  dalam mengenal dan memahami penggunaan microsoft  word., dan  cukup baik  dalam memahami pembuatan dokumen di microsoft  word</v>
      </c>
      <c r="BZ40" s="307" t="str">
        <f t="shared" si="26"/>
        <v xml:space="preserve"> </v>
      </c>
      <c r="CA40" s="308" t="str">
        <f t="shared" si="27"/>
        <v xml:space="preserve"> baik  dalam mengenal dan memahami penggunaan microsoft  word., dan  cukup baik  dalam memahami pembuatan dokumen di microsoft  word</v>
      </c>
      <c r="CB40" s="301" t="str">
        <f t="shared" si="28"/>
        <v>Anak 36 baik  dalam mengenal dan memahami penggunaan microsoft  word., dan  cukup baik  dalam memahami pembuatan dokumen di microsoft  word</v>
      </c>
    </row>
    <row r="41" spans="2:80" ht="54" customHeight="1">
      <c r="B41" s="109">
        <v>37</v>
      </c>
      <c r="C41" s="110">
        <f>SISWA!B42</f>
        <v>0</v>
      </c>
      <c r="D41" s="111" t="str">
        <f>SISWA!E42</f>
        <v>Anak 37</v>
      </c>
      <c r="E41" s="631">
        <v>99</v>
      </c>
      <c r="F41" s="631">
        <v>99</v>
      </c>
      <c r="G41" s="613"/>
      <c r="H41" s="613"/>
      <c r="I41" s="613"/>
      <c r="J41" s="613"/>
      <c r="K41" s="613"/>
      <c r="L41" s="731"/>
      <c r="M41" s="731"/>
      <c r="N41" s="731"/>
      <c r="O41" s="731"/>
      <c r="P41" s="613"/>
      <c r="Q41" s="613"/>
      <c r="R41" s="610"/>
      <c r="S41" s="605">
        <v>81</v>
      </c>
      <c r="T41" s="605">
        <v>80.5</v>
      </c>
      <c r="U41" s="609"/>
      <c r="V41" s="609"/>
      <c r="W41" s="609"/>
      <c r="X41" s="609"/>
      <c r="Y41" s="609"/>
      <c r="Z41" s="610"/>
      <c r="AA41" s="613">
        <v>81</v>
      </c>
      <c r="AB41" s="613">
        <v>80.5</v>
      </c>
      <c r="AC41" s="613"/>
      <c r="AD41" s="613"/>
      <c r="AE41" s="613"/>
      <c r="AF41" s="613"/>
      <c r="AG41" s="613" t="str">
        <f>IFERROR(AVERAGE(#REF!),"")</f>
        <v/>
      </c>
      <c r="AH41" s="518"/>
      <c r="AI41" s="607">
        <f t="shared" si="9"/>
        <v>90</v>
      </c>
      <c r="AJ41" s="607">
        <f t="shared" si="10"/>
        <v>89.75</v>
      </c>
      <c r="AK41" s="607" t="str">
        <f t="shared" si="11"/>
        <v/>
      </c>
      <c r="AL41" s="607" t="str">
        <f t="shared" si="12"/>
        <v/>
      </c>
      <c r="AM41" s="607" t="str">
        <f t="shared" si="13"/>
        <v/>
      </c>
      <c r="AN41" s="607" t="str">
        <f t="shared" si="14"/>
        <v/>
      </c>
      <c r="AO41" s="607" t="str">
        <f t="shared" si="15"/>
        <v/>
      </c>
      <c r="AP41" s="302">
        <f t="shared" si="30"/>
        <v>90</v>
      </c>
      <c r="AQ41" s="303" t="str">
        <f>IF(AP41&gt;KKM!$G$10,"A",IF(AP41&gt;KKM!$H$10,"B",IF(AP41&gt;=KKM!$I$10,"C","D")))</f>
        <v>B</v>
      </c>
      <c r="AR41" s="304">
        <f t="shared" si="31"/>
        <v>90</v>
      </c>
      <c r="AS41" s="115" t="str">
        <f>IF(AR41&gt;KKM!$G$10," sangat baik ",IF(AR41&gt;KKM!$H$10," baik ",IF(AR41&gt;=KKM!$I$10," cukup baik "," perlu bimbingan ")))</f>
        <v xml:space="preserve"> baik </v>
      </c>
      <c r="AT41" s="305">
        <f t="shared" si="32"/>
        <v>89.75</v>
      </c>
      <c r="AU41" s="115" t="str">
        <f>IF(AT41&gt;KKM!$G$10," sangat baik ",IF(AT41&gt;KKM!$H$10," baik ",IF(AT41&gt;=KKM!$I$10," cukup baik "," perlu bimbingan ")))</f>
        <v xml:space="preserve"> baik </v>
      </c>
      <c r="AV41" s="301" t="str">
        <f t="shared" si="16"/>
        <v>Anak 37 baik  dalam mengenal dan memahami penggunaan microsoft  word., dan  baik  dalam memahami pembuatan dokumen di microsoft  word</v>
      </c>
      <c r="AW41" s="306"/>
      <c r="AX41" s="307" t="str">
        <f t="shared" si="33"/>
        <v xml:space="preserve"> baik  dalam mengenal dan memahami penggunaan microsoft  word.</v>
      </c>
      <c r="AY41" s="307" t="str">
        <f t="shared" si="34"/>
        <v xml:space="preserve"> baik  dalam memahami pembuatan dokumen di microsoft  word</v>
      </c>
      <c r="AZ41" s="307" t="str">
        <f t="shared" si="17"/>
        <v xml:space="preserve"> baik  dalam mengenal dan memahami penggunaan microsoft  word., dan  baik  dalam memahami pembuatan dokumen di microsoft  word</v>
      </c>
      <c r="BA41" s="307" t="str">
        <f t="shared" si="18"/>
        <v xml:space="preserve"> </v>
      </c>
      <c r="BB41" s="308" t="str">
        <f t="shared" si="19"/>
        <v xml:space="preserve"> baik  dalam mengenal dan memahami penggunaan microsoft  word., dan  baik  dalam memahami pembuatan dokumen di microsoft  word</v>
      </c>
      <c r="BC41" s="301" t="str">
        <f t="shared" si="35"/>
        <v>Anak 37 baik  dalam mengenal dan memahami penggunaan microsoft  word., dan  baik  dalam memahami pembuatan dokumen di microsoft  word</v>
      </c>
      <c r="BD41" s="120"/>
      <c r="BP41" s="302">
        <f t="shared" si="20"/>
        <v>81</v>
      </c>
      <c r="BQ41" s="303" t="str">
        <f>IF(BP41&gt;KKM!$G$10,"A",IF(BP41&gt;KKM!$H$10,"B",IF(BP41&gt;=KKM!$I$10,"C","D")))</f>
        <v>B</v>
      </c>
      <c r="BR41" s="523">
        <f t="shared" si="21"/>
        <v>81</v>
      </c>
      <c r="BS41" s="115" t="str">
        <f>IF(BR41&gt;KKM!$G$10," sangat baik ",IF(BR41&gt;KKM!$H$10," baik ",IF(BR41&gt;=KKM!$I$10," cukup baik "," perlu bimbingan ")))</f>
        <v xml:space="preserve"> baik </v>
      </c>
      <c r="BT41" s="524">
        <f t="shared" si="22"/>
        <v>80.5</v>
      </c>
      <c r="BU41" s="115" t="str">
        <f>IF(BT41&gt;KKM!$G$10," sangat baik ",IF(BT41&gt;KKM!$H$10," baik ",IF(BT41&gt;=KKM!$I$10," cukup baik "," perlu bimbingan ")))</f>
        <v xml:space="preserve"> baik </v>
      </c>
      <c r="BV41" s="301" t="str">
        <f t="shared" si="29"/>
        <v>Anak 37 baik  dalam mengenal dan memahami penggunaan microsoft  word., dan  baik  dalam memahami pembuatan dokumen di microsoft  word</v>
      </c>
      <c r="BW41" s="307" t="str">
        <f t="shared" si="23"/>
        <v xml:space="preserve"> baik  dalam mengenal dan memahami penggunaan microsoft  word.</v>
      </c>
      <c r="BX41" s="307" t="str">
        <f t="shared" si="24"/>
        <v xml:space="preserve"> baik  dalam memahami pembuatan dokumen di microsoft  word</v>
      </c>
      <c r="BY41" s="307" t="str">
        <f t="shared" si="25"/>
        <v xml:space="preserve"> baik  dalam mengenal dan memahami penggunaan microsoft  word., dan  baik  dalam memahami pembuatan dokumen di microsoft  word</v>
      </c>
      <c r="BZ41" s="307" t="str">
        <f t="shared" si="26"/>
        <v xml:space="preserve"> </v>
      </c>
      <c r="CA41" s="308" t="str">
        <f t="shared" si="27"/>
        <v xml:space="preserve"> baik  dalam mengenal dan memahami penggunaan microsoft  word., dan  baik  dalam memahami pembuatan dokumen di microsoft  word</v>
      </c>
      <c r="CB41" s="301" t="str">
        <f t="shared" si="28"/>
        <v>Anak 37 baik  dalam mengenal dan memahami penggunaan microsoft  word., dan  baik  dalam memahami pembuatan dokumen di microsoft  word</v>
      </c>
    </row>
    <row r="42" spans="2:80" ht="54" customHeight="1">
      <c r="B42" s="109">
        <v>38</v>
      </c>
      <c r="C42" s="110">
        <f>SISWA!B43</f>
        <v>0</v>
      </c>
      <c r="D42" s="111" t="str">
        <f>SISWA!E43</f>
        <v>Anak 38</v>
      </c>
      <c r="E42" s="631">
        <v>99</v>
      </c>
      <c r="F42" s="631">
        <v>99</v>
      </c>
      <c r="G42" s="613"/>
      <c r="H42" s="613"/>
      <c r="I42" s="613"/>
      <c r="J42" s="613"/>
      <c r="K42" s="613"/>
      <c r="L42" s="731"/>
      <c r="M42" s="731"/>
      <c r="N42" s="731"/>
      <c r="O42" s="731"/>
      <c r="P42" s="613"/>
      <c r="Q42" s="613"/>
      <c r="R42" s="610"/>
      <c r="S42" s="605">
        <v>76.5</v>
      </c>
      <c r="T42" s="605">
        <v>86.5</v>
      </c>
      <c r="U42" s="609"/>
      <c r="V42" s="609"/>
      <c r="W42" s="609"/>
      <c r="X42" s="609"/>
      <c r="Y42" s="609"/>
      <c r="Z42" s="610"/>
      <c r="AA42" s="613">
        <v>76.5</v>
      </c>
      <c r="AB42" s="613">
        <v>86.5</v>
      </c>
      <c r="AC42" s="613"/>
      <c r="AD42" s="613"/>
      <c r="AE42" s="613"/>
      <c r="AF42" s="613"/>
      <c r="AG42" s="613" t="str">
        <f>IFERROR(AVERAGE(#REF!),"")</f>
        <v/>
      </c>
      <c r="AH42" s="518"/>
      <c r="AI42" s="607">
        <f t="shared" si="9"/>
        <v>87.75</v>
      </c>
      <c r="AJ42" s="607">
        <f t="shared" si="10"/>
        <v>92.75</v>
      </c>
      <c r="AK42" s="607" t="str">
        <f t="shared" si="11"/>
        <v/>
      </c>
      <c r="AL42" s="607" t="str">
        <f t="shared" si="12"/>
        <v/>
      </c>
      <c r="AM42" s="607" t="str">
        <f t="shared" si="13"/>
        <v/>
      </c>
      <c r="AN42" s="607" t="str">
        <f t="shared" si="14"/>
        <v/>
      </c>
      <c r="AO42" s="607" t="str">
        <f t="shared" si="15"/>
        <v/>
      </c>
      <c r="AP42" s="302">
        <f t="shared" si="30"/>
        <v>90</v>
      </c>
      <c r="AQ42" s="303" t="str">
        <f>IF(AP42&gt;KKM!$G$10,"A",IF(AP42&gt;KKM!$H$10,"B",IF(AP42&gt;=KKM!$I$10,"C","D")))</f>
        <v>B</v>
      </c>
      <c r="AR42" s="304">
        <f t="shared" si="31"/>
        <v>92.75</v>
      </c>
      <c r="AS42" s="115" t="str">
        <f>IF(AR42&gt;KKM!$G$10," sangat baik ",IF(AR42&gt;KKM!$H$10," baik ",IF(AR42&gt;=KKM!$I$10," cukup baik "," perlu bimbingan ")))</f>
        <v xml:space="preserve"> sangat baik </v>
      </c>
      <c r="AT42" s="305">
        <f t="shared" si="32"/>
        <v>87.75</v>
      </c>
      <c r="AU42" s="115" t="str">
        <f>IF(AT42&gt;KKM!$G$10," sangat baik ",IF(AT42&gt;KKM!$H$10," baik ",IF(AT42&gt;=KKM!$I$10," cukup baik "," perlu bimbingan ")))</f>
        <v xml:space="preserve"> baik </v>
      </c>
      <c r="AV42" s="301" t="str">
        <f t="shared" si="16"/>
        <v>Anak 38 sangat baik  dalam memahami pembuatan dokumen di microsoft  word, dan  baik  dalam mengenal dan memahami penggunaan microsoft  word.</v>
      </c>
      <c r="AW42" s="306"/>
      <c r="AX42" s="307" t="str">
        <f t="shared" si="33"/>
        <v xml:space="preserve"> sangat baik  dalam memahami pembuatan dokumen di microsoft  word</v>
      </c>
      <c r="AY42" s="307" t="str">
        <f t="shared" si="34"/>
        <v xml:space="preserve"> baik  dalam mengenal dan memahami penggunaan microsoft  word.</v>
      </c>
      <c r="AZ42" s="307" t="str">
        <f t="shared" si="17"/>
        <v xml:space="preserve"> sangat baik  dalam memahami pembuatan dokumen di microsoft  word, dan  baik  dalam mengenal dan memahami penggunaan microsoft  word.</v>
      </c>
      <c r="BA42" s="307" t="str">
        <f t="shared" si="18"/>
        <v xml:space="preserve"> </v>
      </c>
      <c r="BB42" s="308" t="str">
        <f t="shared" si="19"/>
        <v xml:space="preserve"> sangat baik  dalam memahami pembuatan dokumen di microsoft  word, dan  baik  dalam mengenal dan memahami penggunaan microsoft  word.</v>
      </c>
      <c r="BC42" s="301" t="str">
        <f t="shared" si="35"/>
        <v>Anak 38 sangat baik  dalam memahami pembuatan dokumen di microsoft  word, dan  baik  dalam mengenal dan memahami penggunaan microsoft  word.</v>
      </c>
      <c r="BD42" s="120"/>
      <c r="BP42" s="302">
        <f t="shared" si="20"/>
        <v>82</v>
      </c>
      <c r="BQ42" s="303" t="str">
        <f>IF(BP42&gt;KKM!$G$10,"A",IF(BP42&gt;KKM!$H$10,"B",IF(BP42&gt;=KKM!$I$10,"C","D")))</f>
        <v>B</v>
      </c>
      <c r="BR42" s="523">
        <f t="shared" si="21"/>
        <v>86.5</v>
      </c>
      <c r="BS42" s="115" t="str">
        <f>IF(BR42&gt;KKM!$G$10," sangat baik ",IF(BR42&gt;KKM!$H$10," baik ",IF(BR42&gt;=KKM!$I$10," cukup baik "," perlu bimbingan ")))</f>
        <v xml:space="preserve"> baik </v>
      </c>
      <c r="BT42" s="524">
        <f t="shared" si="22"/>
        <v>76.5</v>
      </c>
      <c r="BU42" s="115" t="str">
        <f>IF(BT42&gt;KKM!$G$10," sangat baik ",IF(BT42&gt;KKM!$H$10," baik ",IF(BT42&gt;=KKM!$I$10," cukup baik "," perlu bimbingan ")))</f>
        <v xml:space="preserve"> cukup baik </v>
      </c>
      <c r="BV42" s="301" t="str">
        <f t="shared" si="29"/>
        <v>Anak 38 baik  dalam memahami pembuatan dokumen di microsoft  word, dan  cukup baik  dalam mengenal dan memahami penggunaan microsoft  word.</v>
      </c>
      <c r="BW42" s="307" t="str">
        <f t="shared" si="23"/>
        <v xml:space="preserve"> baik  dalam memahami pembuatan dokumen di microsoft  word</v>
      </c>
      <c r="BX42" s="307" t="str">
        <f t="shared" si="24"/>
        <v xml:space="preserve"> cukup baik  dalam mengenal dan memahami penggunaan microsoft  word.</v>
      </c>
      <c r="BY42" s="307" t="str">
        <f t="shared" si="25"/>
        <v xml:space="preserve"> baik  dalam memahami pembuatan dokumen di microsoft  word, dan  cukup baik  dalam mengenal dan memahami penggunaan microsoft  word.</v>
      </c>
      <c r="BZ42" s="307" t="str">
        <f t="shared" si="26"/>
        <v xml:space="preserve"> </v>
      </c>
      <c r="CA42" s="308" t="str">
        <f t="shared" si="27"/>
        <v xml:space="preserve"> baik  dalam memahami pembuatan dokumen di microsoft  word, dan  cukup baik  dalam mengenal dan memahami penggunaan microsoft  word.</v>
      </c>
      <c r="CB42" s="301" t="str">
        <f t="shared" si="28"/>
        <v>Anak 38 baik  dalam memahami pembuatan dokumen di microsoft  word, dan  cukup baik  dalam mengenal dan memahami penggunaan microsoft  word.</v>
      </c>
    </row>
    <row r="43" spans="2:80" ht="54" customHeight="1">
      <c r="B43" s="109">
        <v>39</v>
      </c>
      <c r="C43" s="110">
        <f>SISWA!B44</f>
        <v>0</v>
      </c>
      <c r="D43" s="111" t="str">
        <f>SISWA!E44</f>
        <v>Anak 39</v>
      </c>
      <c r="E43" s="631">
        <v>99</v>
      </c>
      <c r="F43" s="631">
        <v>99</v>
      </c>
      <c r="G43" s="613"/>
      <c r="H43" s="613"/>
      <c r="I43" s="613"/>
      <c r="J43" s="613"/>
      <c r="K43" s="613"/>
      <c r="L43" s="731"/>
      <c r="M43" s="731"/>
      <c r="N43" s="731"/>
      <c r="O43" s="731"/>
      <c r="P43" s="613"/>
      <c r="Q43" s="613"/>
      <c r="R43" s="610"/>
      <c r="S43" s="605">
        <v>86.5</v>
      </c>
      <c r="T43" s="605">
        <v>76.75</v>
      </c>
      <c r="U43" s="609"/>
      <c r="V43" s="609"/>
      <c r="W43" s="609"/>
      <c r="X43" s="609"/>
      <c r="Y43" s="609"/>
      <c r="Z43" s="610"/>
      <c r="AA43" s="613">
        <v>86.5</v>
      </c>
      <c r="AB43" s="613">
        <v>76.75</v>
      </c>
      <c r="AC43" s="613"/>
      <c r="AD43" s="613"/>
      <c r="AE43" s="613"/>
      <c r="AF43" s="613"/>
      <c r="AG43" s="613" t="str">
        <f>IFERROR(AVERAGE(#REF!),"")</f>
        <v/>
      </c>
      <c r="AH43" s="518"/>
      <c r="AI43" s="607">
        <f t="shared" si="9"/>
        <v>92.75</v>
      </c>
      <c r="AJ43" s="607">
        <f t="shared" si="10"/>
        <v>87.875</v>
      </c>
      <c r="AK43" s="607" t="str">
        <f t="shared" si="11"/>
        <v/>
      </c>
      <c r="AL43" s="607" t="str">
        <f t="shared" si="12"/>
        <v/>
      </c>
      <c r="AM43" s="607" t="str">
        <f t="shared" si="13"/>
        <v/>
      </c>
      <c r="AN43" s="607" t="str">
        <f t="shared" si="14"/>
        <v/>
      </c>
      <c r="AO43" s="607" t="str">
        <f t="shared" si="15"/>
        <v/>
      </c>
      <c r="AP43" s="302">
        <f t="shared" si="30"/>
        <v>90</v>
      </c>
      <c r="AQ43" s="303" t="str">
        <f>IF(AP43&gt;KKM!$G$10,"A",IF(AP43&gt;KKM!$H$10,"B",IF(AP43&gt;=KKM!$I$10,"C","D")))</f>
        <v>B</v>
      </c>
      <c r="AR43" s="304">
        <f t="shared" si="31"/>
        <v>92.75</v>
      </c>
      <c r="AS43" s="115" t="str">
        <f>IF(AR43&gt;KKM!$G$10," sangat baik ",IF(AR43&gt;KKM!$H$10," baik ",IF(AR43&gt;=KKM!$I$10," cukup baik "," perlu bimbingan ")))</f>
        <v xml:space="preserve"> sangat baik </v>
      </c>
      <c r="AT43" s="305">
        <f t="shared" si="32"/>
        <v>87.875</v>
      </c>
      <c r="AU43" s="115" t="str">
        <f>IF(AT43&gt;KKM!$G$10," sangat baik ",IF(AT43&gt;KKM!$H$10," baik ",IF(AT43&gt;=KKM!$I$10," cukup baik "," perlu bimbingan ")))</f>
        <v xml:space="preserve"> baik </v>
      </c>
      <c r="AV43" s="301" t="str">
        <f t="shared" si="16"/>
        <v>Anak 39 sangat baik  dalam mengenal dan memahami penggunaan microsoft  word., dan  baik  dalam memahami pembuatan dokumen di microsoft  word</v>
      </c>
      <c r="AW43" s="306"/>
      <c r="AX43" s="307" t="str">
        <f t="shared" si="33"/>
        <v xml:space="preserve"> sangat baik  dalam mengenal dan memahami penggunaan microsoft  word.</v>
      </c>
      <c r="AY43" s="307" t="str">
        <f t="shared" si="34"/>
        <v xml:space="preserve"> baik  dalam memahami pembuatan dokumen di microsoft  word</v>
      </c>
      <c r="AZ43" s="307" t="str">
        <f t="shared" si="17"/>
        <v xml:space="preserve"> sangat baik  dalam mengenal dan memahami penggunaan microsoft  word., dan  baik  dalam memahami pembuatan dokumen di microsoft  word</v>
      </c>
      <c r="BA43" s="307" t="str">
        <f t="shared" si="18"/>
        <v xml:space="preserve"> </v>
      </c>
      <c r="BB43" s="308" t="str">
        <f t="shared" si="19"/>
        <v xml:space="preserve"> sangat baik  dalam mengenal dan memahami penggunaan microsoft  word., dan  baik  dalam memahami pembuatan dokumen di microsoft  word</v>
      </c>
      <c r="BC43" s="301" t="str">
        <f t="shared" si="35"/>
        <v>Anak 39 sangat baik  dalam mengenal dan memahami penggunaan microsoft  word., dan  baik  dalam memahami pembuatan dokumen di microsoft  word</v>
      </c>
      <c r="BD43" s="120"/>
      <c r="BP43" s="302">
        <f t="shared" si="20"/>
        <v>82</v>
      </c>
      <c r="BQ43" s="303" t="str">
        <f>IF(BP43&gt;KKM!$G$10,"A",IF(BP43&gt;KKM!$H$10,"B",IF(BP43&gt;=KKM!$I$10,"C","D")))</f>
        <v>B</v>
      </c>
      <c r="BR43" s="523">
        <f t="shared" si="21"/>
        <v>86.5</v>
      </c>
      <c r="BS43" s="115" t="str">
        <f>IF(BR43&gt;KKM!$G$10," sangat baik ",IF(BR43&gt;KKM!$H$10," baik ",IF(BR43&gt;=KKM!$I$10," cukup baik "," perlu bimbingan ")))</f>
        <v xml:space="preserve"> baik </v>
      </c>
      <c r="BT43" s="524">
        <f t="shared" si="22"/>
        <v>76.75</v>
      </c>
      <c r="BU43" s="115" t="str">
        <f>IF(BT43&gt;KKM!$G$10," sangat baik ",IF(BT43&gt;KKM!$H$10," baik ",IF(BT43&gt;=KKM!$I$10," cukup baik "," perlu bimbingan ")))</f>
        <v xml:space="preserve"> cukup baik </v>
      </c>
      <c r="BV43" s="301" t="str">
        <f t="shared" si="29"/>
        <v>Anak 39 baik  dalam mengenal dan memahami penggunaan microsoft  word., dan  cukup baik  dalam memahami pembuatan dokumen di microsoft  word</v>
      </c>
      <c r="BW43" s="307" t="str">
        <f t="shared" si="23"/>
        <v xml:space="preserve"> baik  dalam mengenal dan memahami penggunaan microsoft  word.</v>
      </c>
      <c r="BX43" s="307" t="str">
        <f t="shared" si="24"/>
        <v xml:space="preserve"> cukup baik  dalam memahami pembuatan dokumen di microsoft  word</v>
      </c>
      <c r="BY43" s="307" t="str">
        <f t="shared" si="25"/>
        <v xml:space="preserve"> baik  dalam mengenal dan memahami penggunaan microsoft  word., dan  cukup baik  dalam memahami pembuatan dokumen di microsoft  word</v>
      </c>
      <c r="BZ43" s="307" t="str">
        <f t="shared" si="26"/>
        <v xml:space="preserve"> </v>
      </c>
      <c r="CA43" s="308" t="str">
        <f t="shared" si="27"/>
        <v xml:space="preserve"> baik  dalam mengenal dan memahami penggunaan microsoft  word., dan  cukup baik  dalam memahami pembuatan dokumen di microsoft  word</v>
      </c>
      <c r="CB43" s="301" t="str">
        <f t="shared" si="28"/>
        <v>Anak 39 baik  dalam mengenal dan memahami penggunaan microsoft  word., dan  cukup baik  dalam memahami pembuatan dokumen di microsoft  word</v>
      </c>
    </row>
    <row r="44" spans="2:80" ht="54" customHeight="1">
      <c r="B44" s="109">
        <v>40</v>
      </c>
      <c r="C44" s="110">
        <f>SISWA!B45</f>
        <v>0</v>
      </c>
      <c r="D44" s="111" t="str">
        <f>SISWA!E45</f>
        <v>Anak 40</v>
      </c>
      <c r="E44" s="631">
        <v>99</v>
      </c>
      <c r="F44" s="631">
        <v>99</v>
      </c>
      <c r="G44" s="613"/>
      <c r="H44" s="613"/>
      <c r="I44" s="613"/>
      <c r="J44" s="613"/>
      <c r="K44" s="613"/>
      <c r="L44" s="731"/>
      <c r="M44" s="731"/>
      <c r="N44" s="731"/>
      <c r="O44" s="731"/>
      <c r="P44" s="613"/>
      <c r="Q44" s="613"/>
      <c r="R44" s="610"/>
      <c r="S44" s="605">
        <v>90</v>
      </c>
      <c r="T44" s="605">
        <v>77.75</v>
      </c>
      <c r="U44" s="609"/>
      <c r="V44" s="609"/>
      <c r="W44" s="609"/>
      <c r="X44" s="609"/>
      <c r="Y44" s="609"/>
      <c r="Z44" s="610"/>
      <c r="AA44" s="613">
        <v>90</v>
      </c>
      <c r="AB44" s="613">
        <v>77.75</v>
      </c>
      <c r="AC44" s="613"/>
      <c r="AD44" s="613"/>
      <c r="AE44" s="613"/>
      <c r="AF44" s="613"/>
      <c r="AG44" s="613" t="str">
        <f>IFERROR(AVERAGE(#REF!),"")</f>
        <v/>
      </c>
      <c r="AH44" s="518"/>
      <c r="AI44" s="607">
        <f t="shared" si="9"/>
        <v>94.5</v>
      </c>
      <c r="AJ44" s="607">
        <f t="shared" si="10"/>
        <v>88.375</v>
      </c>
      <c r="AK44" s="607" t="str">
        <f t="shared" si="11"/>
        <v/>
      </c>
      <c r="AL44" s="607" t="str">
        <f t="shared" si="12"/>
        <v/>
      </c>
      <c r="AM44" s="607" t="str">
        <f t="shared" si="13"/>
        <v/>
      </c>
      <c r="AN44" s="607" t="str">
        <f t="shared" si="14"/>
        <v/>
      </c>
      <c r="AO44" s="607" t="str">
        <f t="shared" si="15"/>
        <v/>
      </c>
      <c r="AP44" s="302">
        <f t="shared" si="30"/>
        <v>91</v>
      </c>
      <c r="AQ44" s="303" t="str">
        <f>IF(AP44&gt;KKM!$G$10,"A",IF(AP44&gt;KKM!$H$10,"B",IF(AP44&gt;=KKM!$I$10,"C","D")))</f>
        <v>A</v>
      </c>
      <c r="AR44" s="304">
        <f t="shared" si="31"/>
        <v>94.5</v>
      </c>
      <c r="AS44" s="115" t="str">
        <f>IF(AR44&gt;KKM!$G$10," sangat baik ",IF(AR44&gt;KKM!$H$10," baik ",IF(AR44&gt;=KKM!$I$10," cukup baik "," perlu bimbingan ")))</f>
        <v xml:space="preserve"> sangat baik </v>
      </c>
      <c r="AT44" s="305">
        <f t="shared" si="32"/>
        <v>88.375</v>
      </c>
      <c r="AU44" s="115" t="str">
        <f>IF(AT44&gt;KKM!$G$10," sangat baik ",IF(AT44&gt;KKM!$H$10," baik ",IF(AT44&gt;=KKM!$I$10," cukup baik "," perlu bimbingan ")))</f>
        <v xml:space="preserve"> baik </v>
      </c>
      <c r="AV44" s="301" t="str">
        <f t="shared" si="16"/>
        <v>Anak 40 sangat baik  dalam mengenal dan memahami penggunaan microsoft  word., dan  baik  dalam memahami pembuatan dokumen di microsoft  word</v>
      </c>
      <c r="AW44" s="306"/>
      <c r="AX44" s="307" t="str">
        <f t="shared" si="33"/>
        <v xml:space="preserve"> sangat baik  dalam mengenal dan memahami penggunaan microsoft  word.</v>
      </c>
      <c r="AY44" s="307" t="str">
        <f t="shared" si="34"/>
        <v xml:space="preserve"> baik  dalam memahami pembuatan dokumen di microsoft  word</v>
      </c>
      <c r="AZ44" s="307" t="str">
        <f t="shared" si="17"/>
        <v xml:space="preserve"> sangat baik  dalam mengenal dan memahami penggunaan microsoft  word., dan  baik  dalam memahami pembuatan dokumen di microsoft  word</v>
      </c>
      <c r="BA44" s="307" t="str">
        <f t="shared" si="18"/>
        <v xml:space="preserve"> </v>
      </c>
      <c r="BB44" s="308" t="str">
        <f t="shared" si="19"/>
        <v xml:space="preserve"> sangat baik  dalam mengenal dan memahami penggunaan microsoft  word., dan  baik  dalam memahami pembuatan dokumen di microsoft  word</v>
      </c>
      <c r="BC44" s="301" t="str">
        <f t="shared" si="35"/>
        <v>Anak 40 sangat baik  dalam mengenal dan memahami penggunaan microsoft  word., dan  baik  dalam memahami pembuatan dokumen di microsoft  word</v>
      </c>
      <c r="BD44" s="120"/>
      <c r="BP44" s="302">
        <f t="shared" si="20"/>
        <v>84</v>
      </c>
      <c r="BQ44" s="303" t="str">
        <f>IF(BP44&gt;KKM!$G$10,"A",IF(BP44&gt;KKM!$H$10,"B",IF(BP44&gt;=KKM!$I$10,"C","D")))</f>
        <v>B</v>
      </c>
      <c r="BR44" s="523">
        <f t="shared" si="21"/>
        <v>90</v>
      </c>
      <c r="BS44" s="115" t="str">
        <f>IF(BR44&gt;KKM!$G$10," sangat baik ",IF(BR44&gt;KKM!$H$10," baik ",IF(BR44&gt;=KKM!$I$10," cukup baik "," perlu bimbingan ")))</f>
        <v xml:space="preserve"> baik </v>
      </c>
      <c r="BT44" s="524">
        <f t="shared" si="22"/>
        <v>77.75</v>
      </c>
      <c r="BU44" s="115" t="str">
        <f>IF(BT44&gt;KKM!$G$10," sangat baik ",IF(BT44&gt;KKM!$H$10," baik ",IF(BT44&gt;=KKM!$I$10," cukup baik "," perlu bimbingan ")))</f>
        <v xml:space="preserve"> cukup baik </v>
      </c>
      <c r="BV44" s="301" t="str">
        <f t="shared" si="29"/>
        <v>Anak 40 baik  dalam mengenal dan memahami penggunaan microsoft  word., dan  cukup baik  dalam memahami pembuatan dokumen di microsoft  word</v>
      </c>
      <c r="BW44" s="307" t="str">
        <f t="shared" si="23"/>
        <v xml:space="preserve"> baik  dalam mengenal dan memahami penggunaan microsoft  word.</v>
      </c>
      <c r="BX44" s="307" t="str">
        <f t="shared" si="24"/>
        <v xml:space="preserve"> cukup baik  dalam memahami pembuatan dokumen di microsoft  word</v>
      </c>
      <c r="BY44" s="307" t="str">
        <f t="shared" si="25"/>
        <v xml:space="preserve"> baik  dalam mengenal dan memahami penggunaan microsoft  word., dan  cukup baik  dalam memahami pembuatan dokumen di microsoft  word</v>
      </c>
      <c r="BZ44" s="307" t="str">
        <f t="shared" si="26"/>
        <v xml:space="preserve"> </v>
      </c>
      <c r="CA44" s="308" t="str">
        <f t="shared" si="27"/>
        <v xml:space="preserve"> baik  dalam mengenal dan memahami penggunaan microsoft  word., dan  cukup baik  dalam memahami pembuatan dokumen di microsoft  word</v>
      </c>
      <c r="CB44" s="301" t="str">
        <f t="shared" si="28"/>
        <v>Anak 40 baik  dalam mengenal dan memahami penggunaan microsoft  word., dan  cukup baik  dalam memahami pembuatan dokumen di microsoft  word</v>
      </c>
    </row>
    <row r="45" spans="2:80" ht="54" customHeight="1">
      <c r="B45" s="109">
        <v>41</v>
      </c>
      <c r="C45" s="110">
        <f>SISWA!B46</f>
        <v>0</v>
      </c>
      <c r="D45" s="111" t="str">
        <f>SISWA!E46</f>
        <v>Anak 41</v>
      </c>
      <c r="E45" s="631">
        <v>99</v>
      </c>
      <c r="F45" s="631">
        <v>99</v>
      </c>
      <c r="G45" s="613"/>
      <c r="H45" s="613"/>
      <c r="I45" s="613"/>
      <c r="J45" s="613"/>
      <c r="K45" s="613"/>
      <c r="L45" s="731"/>
      <c r="M45" s="731"/>
      <c r="N45" s="731"/>
      <c r="O45" s="731"/>
      <c r="P45" s="613"/>
      <c r="Q45" s="613"/>
      <c r="R45" s="610"/>
      <c r="S45" s="605">
        <v>76.5</v>
      </c>
      <c r="T45" s="605">
        <v>90</v>
      </c>
      <c r="U45" s="609"/>
      <c r="V45" s="609"/>
      <c r="W45" s="609"/>
      <c r="X45" s="609"/>
      <c r="Y45" s="609"/>
      <c r="Z45" s="610"/>
      <c r="AA45" s="613">
        <v>76.5</v>
      </c>
      <c r="AB45" s="613">
        <v>90</v>
      </c>
      <c r="AC45" s="613"/>
      <c r="AD45" s="613"/>
      <c r="AE45" s="613"/>
      <c r="AF45" s="613"/>
      <c r="AG45" s="613" t="str">
        <f>IFERROR(AVERAGE(#REF!),"")</f>
        <v/>
      </c>
      <c r="AH45" s="518"/>
      <c r="AI45" s="607">
        <f t="shared" si="9"/>
        <v>87.75</v>
      </c>
      <c r="AJ45" s="607">
        <f t="shared" si="10"/>
        <v>94.5</v>
      </c>
      <c r="AK45" s="607" t="str">
        <f t="shared" si="11"/>
        <v/>
      </c>
      <c r="AL45" s="607" t="str">
        <f t="shared" si="12"/>
        <v/>
      </c>
      <c r="AM45" s="607" t="str">
        <f t="shared" si="13"/>
        <v/>
      </c>
      <c r="AN45" s="607" t="str">
        <f t="shared" si="14"/>
        <v/>
      </c>
      <c r="AO45" s="607" t="str">
        <f t="shared" si="15"/>
        <v/>
      </c>
      <c r="AP45" s="302">
        <f t="shared" si="30"/>
        <v>91</v>
      </c>
      <c r="AQ45" s="303" t="str">
        <f>IF(AP45&gt;KKM!$G$10,"A",IF(AP45&gt;KKM!$H$10,"B",IF(AP45&gt;=KKM!$I$10,"C","D")))</f>
        <v>A</v>
      </c>
      <c r="AR45" s="304">
        <f t="shared" si="31"/>
        <v>94.5</v>
      </c>
      <c r="AS45" s="115" t="str">
        <f>IF(AR45&gt;KKM!$G$10," sangat baik ",IF(AR45&gt;KKM!$H$10," baik ",IF(AR45&gt;=KKM!$I$10," cukup baik "," perlu bimbingan ")))</f>
        <v xml:space="preserve"> sangat baik </v>
      </c>
      <c r="AT45" s="305">
        <f t="shared" si="32"/>
        <v>87.75</v>
      </c>
      <c r="AU45" s="115" t="str">
        <f>IF(AT45&gt;KKM!$G$10," sangat baik ",IF(AT45&gt;KKM!$H$10," baik ",IF(AT45&gt;=KKM!$I$10," cukup baik "," perlu bimbingan ")))</f>
        <v xml:space="preserve"> baik </v>
      </c>
      <c r="AV45" s="301" t="str">
        <f t="shared" si="16"/>
        <v>Anak 41 sangat baik  dalam memahami pembuatan dokumen di microsoft  word, dan  baik  dalam mengenal dan memahami penggunaan microsoft  word.</v>
      </c>
      <c r="AW45" s="306"/>
      <c r="AX45" s="307" t="str">
        <f t="shared" si="33"/>
        <v xml:space="preserve"> sangat baik  dalam memahami pembuatan dokumen di microsoft  word</v>
      </c>
      <c r="AY45" s="307" t="str">
        <f t="shared" si="34"/>
        <v xml:space="preserve"> baik  dalam mengenal dan memahami penggunaan microsoft  word.</v>
      </c>
      <c r="AZ45" s="307" t="str">
        <f t="shared" si="17"/>
        <v xml:space="preserve"> sangat baik  dalam memahami pembuatan dokumen di microsoft  word, dan  baik  dalam mengenal dan memahami penggunaan microsoft  word.</v>
      </c>
      <c r="BA45" s="307" t="str">
        <f t="shared" si="18"/>
        <v xml:space="preserve"> </v>
      </c>
      <c r="BB45" s="308" t="str">
        <f t="shared" si="19"/>
        <v xml:space="preserve"> sangat baik  dalam memahami pembuatan dokumen di microsoft  word, dan  baik  dalam mengenal dan memahami penggunaan microsoft  word.</v>
      </c>
      <c r="BC45" s="301" t="str">
        <f t="shared" si="35"/>
        <v>Anak 41 sangat baik  dalam memahami pembuatan dokumen di microsoft  word, dan  baik  dalam mengenal dan memahami penggunaan microsoft  word.</v>
      </c>
      <c r="BD45" s="120"/>
      <c r="BP45" s="302">
        <f t="shared" si="20"/>
        <v>83</v>
      </c>
      <c r="BQ45" s="303" t="str">
        <f>IF(BP45&gt;KKM!$G$10,"A",IF(BP45&gt;KKM!$H$10,"B",IF(BP45&gt;=KKM!$I$10,"C","D")))</f>
        <v>B</v>
      </c>
      <c r="BR45" s="523">
        <f t="shared" si="21"/>
        <v>90</v>
      </c>
      <c r="BS45" s="115" t="str">
        <f>IF(BR45&gt;KKM!$G$10," sangat baik ",IF(BR45&gt;KKM!$H$10," baik ",IF(BR45&gt;=KKM!$I$10," cukup baik "," perlu bimbingan ")))</f>
        <v xml:space="preserve"> baik </v>
      </c>
      <c r="BT45" s="524">
        <f t="shared" si="22"/>
        <v>76.5</v>
      </c>
      <c r="BU45" s="115" t="str">
        <f>IF(BT45&gt;KKM!$G$10," sangat baik ",IF(BT45&gt;KKM!$H$10," baik ",IF(BT45&gt;=KKM!$I$10," cukup baik "," perlu bimbingan ")))</f>
        <v xml:space="preserve"> cukup baik </v>
      </c>
      <c r="BV45" s="301" t="str">
        <f t="shared" si="29"/>
        <v>Anak 41 baik  dalam memahami pembuatan dokumen di microsoft  word, dan  cukup baik  dalam mengenal dan memahami penggunaan microsoft  word.</v>
      </c>
      <c r="BW45" s="307" t="str">
        <f t="shared" si="23"/>
        <v xml:space="preserve"> baik  dalam memahami pembuatan dokumen di microsoft  word</v>
      </c>
      <c r="BX45" s="307" t="str">
        <f t="shared" si="24"/>
        <v xml:space="preserve"> cukup baik  dalam mengenal dan memahami penggunaan microsoft  word.</v>
      </c>
      <c r="BY45" s="307" t="str">
        <f t="shared" si="25"/>
        <v xml:space="preserve"> baik  dalam memahami pembuatan dokumen di microsoft  word, dan  cukup baik  dalam mengenal dan memahami penggunaan microsoft  word.</v>
      </c>
      <c r="BZ45" s="307" t="str">
        <f t="shared" si="26"/>
        <v xml:space="preserve"> </v>
      </c>
      <c r="CA45" s="308" t="str">
        <f t="shared" si="27"/>
        <v xml:space="preserve"> baik  dalam memahami pembuatan dokumen di microsoft  word, dan  cukup baik  dalam mengenal dan memahami penggunaan microsoft  word.</v>
      </c>
      <c r="CB45" s="301" t="str">
        <f t="shared" si="28"/>
        <v>Anak 41 baik  dalam memahami pembuatan dokumen di microsoft  word, dan  cukup baik  dalam mengenal dan memahami penggunaan microsoft  word.</v>
      </c>
    </row>
    <row r="46" spans="2:80" ht="54" customHeight="1">
      <c r="B46" s="109">
        <v>42</v>
      </c>
      <c r="C46" s="110">
        <f>SISWA!B47</f>
        <v>0</v>
      </c>
      <c r="D46" s="111" t="str">
        <f>SISWA!E47</f>
        <v>Anak 42</v>
      </c>
      <c r="E46" s="631">
        <v>99</v>
      </c>
      <c r="F46" s="631">
        <v>99</v>
      </c>
      <c r="G46" s="613"/>
      <c r="H46" s="613"/>
      <c r="I46" s="613"/>
      <c r="J46" s="613"/>
      <c r="K46" s="613"/>
      <c r="L46" s="731"/>
      <c r="M46" s="731"/>
      <c r="N46" s="731"/>
      <c r="O46" s="731"/>
      <c r="P46" s="613"/>
      <c r="Q46" s="613"/>
      <c r="R46" s="610"/>
      <c r="S46" s="605">
        <v>83</v>
      </c>
      <c r="T46" s="605">
        <v>87.25</v>
      </c>
      <c r="U46" s="609"/>
      <c r="V46" s="609"/>
      <c r="W46" s="609"/>
      <c r="X46" s="609"/>
      <c r="Y46" s="609"/>
      <c r="Z46" s="610"/>
      <c r="AA46" s="613">
        <v>83</v>
      </c>
      <c r="AB46" s="613">
        <v>87.25</v>
      </c>
      <c r="AC46" s="613"/>
      <c r="AD46" s="613"/>
      <c r="AE46" s="613"/>
      <c r="AF46" s="613"/>
      <c r="AG46" s="613" t="str">
        <f>IFERROR(AVERAGE(#REF!),"")</f>
        <v/>
      </c>
      <c r="AH46" s="518"/>
      <c r="AI46" s="607">
        <f t="shared" si="9"/>
        <v>91</v>
      </c>
      <c r="AJ46" s="607">
        <f t="shared" si="10"/>
        <v>93.125</v>
      </c>
      <c r="AK46" s="607" t="str">
        <f t="shared" si="11"/>
        <v/>
      </c>
      <c r="AL46" s="607" t="str">
        <f t="shared" si="12"/>
        <v/>
      </c>
      <c r="AM46" s="607" t="str">
        <f t="shared" si="13"/>
        <v/>
      </c>
      <c r="AN46" s="607" t="str">
        <f t="shared" si="14"/>
        <v/>
      </c>
      <c r="AO46" s="607" t="str">
        <f t="shared" si="15"/>
        <v/>
      </c>
      <c r="AP46" s="302">
        <f t="shared" si="30"/>
        <v>92</v>
      </c>
      <c r="AQ46" s="303" t="str">
        <f>IF(AP46&gt;KKM!$G$10,"A",IF(AP46&gt;KKM!$H$10,"B",IF(AP46&gt;=KKM!$I$10,"C","D")))</f>
        <v>A</v>
      </c>
      <c r="AR46" s="304">
        <f t="shared" si="31"/>
        <v>93.125</v>
      </c>
      <c r="AS46" s="115" t="str">
        <f>IF(AR46&gt;KKM!$G$10," sangat baik ",IF(AR46&gt;KKM!$H$10," baik ",IF(AR46&gt;=KKM!$I$10," cukup baik "," perlu bimbingan ")))</f>
        <v xml:space="preserve"> sangat baik </v>
      </c>
      <c r="AT46" s="305">
        <f t="shared" si="32"/>
        <v>91</v>
      </c>
      <c r="AU46" s="115" t="str">
        <f>IF(AT46&gt;KKM!$G$10," sangat baik ",IF(AT46&gt;KKM!$H$10," baik ",IF(AT46&gt;=KKM!$I$10," cukup baik "," perlu bimbingan ")))</f>
        <v xml:space="preserve"> sangat baik </v>
      </c>
      <c r="AV46" s="301" t="str">
        <f t="shared" si="16"/>
        <v>Anak 42 sangat baik  dalam memahami pembuatan dokumen di microsoft  word, dan  sangat baik  dalam mengenal dan memahami penggunaan microsoft  word.</v>
      </c>
      <c r="AW46" s="306"/>
      <c r="AX46" s="307" t="str">
        <f t="shared" si="33"/>
        <v xml:space="preserve"> sangat baik  dalam memahami pembuatan dokumen di microsoft  word</v>
      </c>
      <c r="AY46" s="307" t="str">
        <f t="shared" si="34"/>
        <v xml:space="preserve"> sangat baik  dalam mengenal dan memahami penggunaan microsoft  word.</v>
      </c>
      <c r="AZ46" s="307" t="str">
        <f t="shared" si="17"/>
        <v xml:space="preserve"> sangat baik  dalam memahami pembuatan dokumen di microsoft  word, dan  sangat baik  dalam mengenal dan memahami penggunaan microsoft  word.</v>
      </c>
      <c r="BA46" s="307" t="str">
        <f t="shared" si="18"/>
        <v xml:space="preserve"> </v>
      </c>
      <c r="BB46" s="308" t="str">
        <f t="shared" si="19"/>
        <v xml:space="preserve"> sangat baik  dalam memahami pembuatan dokumen di microsoft  word, dan  sangat baik  dalam mengenal dan memahami penggunaan microsoft  word.</v>
      </c>
      <c r="BC46" s="301" t="str">
        <f t="shared" si="35"/>
        <v>Anak 42 sangat baik  dalam memahami pembuatan dokumen di microsoft  word, dan  sangat baik  dalam mengenal dan memahami penggunaan microsoft  word.</v>
      </c>
      <c r="BD46" s="120"/>
      <c r="BP46" s="302">
        <f t="shared" si="20"/>
        <v>85</v>
      </c>
      <c r="BQ46" s="303" t="str">
        <f>IF(BP46&gt;KKM!$G$10,"A",IF(BP46&gt;KKM!$H$10,"B",IF(BP46&gt;=KKM!$I$10,"C","D")))</f>
        <v>B</v>
      </c>
      <c r="BR46" s="523">
        <f t="shared" si="21"/>
        <v>87.25</v>
      </c>
      <c r="BS46" s="115" t="str">
        <f>IF(BR46&gt;KKM!$G$10," sangat baik ",IF(BR46&gt;KKM!$H$10," baik ",IF(BR46&gt;=KKM!$I$10," cukup baik "," perlu bimbingan ")))</f>
        <v xml:space="preserve"> baik </v>
      </c>
      <c r="BT46" s="524">
        <f t="shared" si="22"/>
        <v>83</v>
      </c>
      <c r="BU46" s="115" t="str">
        <f>IF(BT46&gt;KKM!$G$10," sangat baik ",IF(BT46&gt;KKM!$H$10," baik ",IF(BT46&gt;=KKM!$I$10," cukup baik "," perlu bimbingan ")))</f>
        <v xml:space="preserve"> baik </v>
      </c>
      <c r="BV46" s="301" t="str">
        <f t="shared" si="29"/>
        <v>Anak 42 baik  dalam memahami pembuatan dokumen di microsoft  word, dan  baik  dalam mengenal dan memahami penggunaan microsoft  word.</v>
      </c>
      <c r="BW46" s="307" t="str">
        <f t="shared" si="23"/>
        <v xml:space="preserve"> baik  dalam memahami pembuatan dokumen di microsoft  word</v>
      </c>
      <c r="BX46" s="307" t="str">
        <f t="shared" si="24"/>
        <v xml:space="preserve"> baik  dalam mengenal dan memahami penggunaan microsoft  word.</v>
      </c>
      <c r="BY46" s="307" t="str">
        <f t="shared" si="25"/>
        <v xml:space="preserve"> baik  dalam memahami pembuatan dokumen di microsoft  word, dan  baik  dalam mengenal dan memahami penggunaan microsoft  word.</v>
      </c>
      <c r="BZ46" s="307" t="str">
        <f t="shared" si="26"/>
        <v xml:space="preserve"> </v>
      </c>
      <c r="CA46" s="308" t="str">
        <f t="shared" si="27"/>
        <v xml:space="preserve"> baik  dalam memahami pembuatan dokumen di microsoft  word, dan  baik  dalam mengenal dan memahami penggunaan microsoft  word.</v>
      </c>
      <c r="CB46" s="301" t="str">
        <f t="shared" si="28"/>
        <v>Anak 42 baik  dalam memahami pembuatan dokumen di microsoft  word, dan  baik  dalam mengenal dan memahami penggunaan microsoft  word.</v>
      </c>
    </row>
    <row r="47" spans="2:80" ht="54" customHeight="1">
      <c r="B47" s="109">
        <v>43</v>
      </c>
      <c r="C47" s="110">
        <f>SISWA!B48</f>
        <v>0</v>
      </c>
      <c r="D47" s="111" t="str">
        <f>SISWA!E48</f>
        <v>Anak 43</v>
      </c>
      <c r="E47" s="631">
        <v>99</v>
      </c>
      <c r="F47" s="631">
        <v>99</v>
      </c>
      <c r="G47" s="613"/>
      <c r="H47" s="613"/>
      <c r="I47" s="613"/>
      <c r="J47" s="613"/>
      <c r="K47" s="613"/>
      <c r="L47" s="731"/>
      <c r="M47" s="731"/>
      <c r="N47" s="731"/>
      <c r="O47" s="731"/>
      <c r="P47" s="613"/>
      <c r="Q47" s="613"/>
      <c r="R47" s="610"/>
      <c r="S47" s="605">
        <v>74.5</v>
      </c>
      <c r="T47" s="605">
        <v>77.5</v>
      </c>
      <c r="U47" s="609"/>
      <c r="V47" s="609"/>
      <c r="W47" s="609"/>
      <c r="X47" s="609"/>
      <c r="Y47" s="609"/>
      <c r="Z47" s="610"/>
      <c r="AA47" s="613">
        <v>74.5</v>
      </c>
      <c r="AB47" s="613">
        <v>77.5</v>
      </c>
      <c r="AC47" s="613"/>
      <c r="AD47" s="613"/>
      <c r="AE47" s="613"/>
      <c r="AF47" s="613"/>
      <c r="AG47" s="613" t="str">
        <f>IFERROR(AVERAGE(#REF!),"")</f>
        <v/>
      </c>
      <c r="AH47" s="518"/>
      <c r="AI47" s="607">
        <f t="shared" si="9"/>
        <v>86.75</v>
      </c>
      <c r="AJ47" s="607">
        <f t="shared" si="10"/>
        <v>88.25</v>
      </c>
      <c r="AK47" s="607" t="str">
        <f t="shared" si="11"/>
        <v/>
      </c>
      <c r="AL47" s="607" t="str">
        <f t="shared" si="12"/>
        <v/>
      </c>
      <c r="AM47" s="607" t="str">
        <f t="shared" si="13"/>
        <v/>
      </c>
      <c r="AN47" s="607" t="str">
        <f t="shared" si="14"/>
        <v/>
      </c>
      <c r="AO47" s="607" t="str">
        <f t="shared" si="15"/>
        <v/>
      </c>
      <c r="AP47" s="302">
        <f t="shared" si="30"/>
        <v>88</v>
      </c>
      <c r="AQ47" s="303" t="str">
        <f>IF(AP47&gt;KKM!$G$10,"A",IF(AP47&gt;KKM!$H$10,"B",IF(AP47&gt;=KKM!$I$10,"C","D")))</f>
        <v>B</v>
      </c>
      <c r="AR47" s="304">
        <f t="shared" si="31"/>
        <v>88.25</v>
      </c>
      <c r="AS47" s="115" t="str">
        <f>IF(AR47&gt;KKM!$G$10," sangat baik ",IF(AR47&gt;KKM!$H$10," baik ",IF(AR47&gt;=KKM!$I$10," cukup baik "," perlu bimbingan ")))</f>
        <v xml:space="preserve"> baik </v>
      </c>
      <c r="AT47" s="305">
        <f t="shared" si="32"/>
        <v>86.75</v>
      </c>
      <c r="AU47" s="115" t="str">
        <f>IF(AT47&gt;KKM!$G$10," sangat baik ",IF(AT47&gt;KKM!$H$10," baik ",IF(AT47&gt;=KKM!$I$10," cukup baik "," perlu bimbingan ")))</f>
        <v xml:space="preserve"> baik </v>
      </c>
      <c r="AV47" s="301" t="str">
        <f t="shared" si="16"/>
        <v>Anak 43 baik  dalam memahami pembuatan dokumen di microsoft  word, dan  baik  dalam mengenal dan memahami penggunaan microsoft  word.</v>
      </c>
      <c r="AW47" s="306"/>
      <c r="AX47" s="307" t="str">
        <f t="shared" si="33"/>
        <v xml:space="preserve"> baik  dalam memahami pembuatan dokumen di microsoft  word</v>
      </c>
      <c r="AY47" s="307" t="str">
        <f t="shared" si="34"/>
        <v xml:space="preserve"> baik  dalam mengenal dan memahami penggunaan microsoft  word.</v>
      </c>
      <c r="AZ47" s="307" t="str">
        <f t="shared" si="17"/>
        <v xml:space="preserve"> baik  dalam memahami pembuatan dokumen di microsoft  word, dan  baik  dalam mengenal dan memahami penggunaan microsoft  word.</v>
      </c>
      <c r="BA47" s="307" t="str">
        <f t="shared" si="18"/>
        <v xml:space="preserve"> </v>
      </c>
      <c r="BB47" s="308" t="str">
        <f t="shared" si="19"/>
        <v xml:space="preserve"> baik  dalam memahami pembuatan dokumen di microsoft  word, dan  baik  dalam mengenal dan memahami penggunaan microsoft  word.</v>
      </c>
      <c r="BC47" s="301" t="str">
        <f t="shared" si="35"/>
        <v>Anak 43 baik  dalam memahami pembuatan dokumen di microsoft  word, dan  baik  dalam mengenal dan memahami penggunaan microsoft  word.</v>
      </c>
      <c r="BD47" s="120"/>
      <c r="BP47" s="302">
        <f t="shared" si="20"/>
        <v>76</v>
      </c>
      <c r="BQ47" s="303" t="str">
        <f>IF(BP47&gt;KKM!$G$10,"A",IF(BP47&gt;KKM!$H$10,"B",IF(BP47&gt;=KKM!$I$10,"C","D")))</f>
        <v>C</v>
      </c>
      <c r="BR47" s="523">
        <f t="shared" si="21"/>
        <v>77.5</v>
      </c>
      <c r="BS47" s="115" t="str">
        <f>IF(BR47&gt;KKM!$G$10," sangat baik ",IF(BR47&gt;KKM!$H$10," baik ",IF(BR47&gt;=KKM!$I$10," cukup baik "," perlu bimbingan ")))</f>
        <v xml:space="preserve"> cukup baik </v>
      </c>
      <c r="BT47" s="524">
        <f t="shared" si="22"/>
        <v>74.5</v>
      </c>
      <c r="BU47" s="115" t="str">
        <f>IF(BT47&gt;KKM!$G$10," sangat baik ",IF(BT47&gt;KKM!$H$10," baik ",IF(BT47&gt;=KKM!$I$10," cukup baik "," perlu bimbingan ")))</f>
        <v xml:space="preserve"> cukup baik </v>
      </c>
      <c r="BV47" s="301" t="str">
        <f t="shared" si="29"/>
        <v>Anak 43 cukup baik  dalam memahami pembuatan dokumen di microsoft  word, dan  cukup baik  dalam mengenal dan memahami penggunaan microsoft  word.</v>
      </c>
      <c r="BW47" s="307" t="str">
        <f t="shared" si="23"/>
        <v xml:space="preserve"> cukup baik  dalam memahami pembuatan dokumen di microsoft  word</v>
      </c>
      <c r="BX47" s="307" t="str">
        <f t="shared" si="24"/>
        <v xml:space="preserve"> cukup baik  dalam mengenal dan memahami penggunaan microsoft  word.</v>
      </c>
      <c r="BY47" s="307" t="str">
        <f t="shared" si="25"/>
        <v xml:space="preserve"> cukup baik  dalam memahami pembuatan dokumen di microsoft  word, dan  cukup baik  dalam mengenal dan memahami penggunaan microsoft  word.</v>
      </c>
      <c r="BZ47" s="307" t="str">
        <f t="shared" si="26"/>
        <v xml:space="preserve"> </v>
      </c>
      <c r="CA47" s="308" t="str">
        <f t="shared" si="27"/>
        <v xml:space="preserve"> cukup baik  dalam memahami pembuatan dokumen di microsoft  word, dan  cukup baik  dalam mengenal dan memahami penggunaan microsoft  word.</v>
      </c>
      <c r="CB47" s="301" t="str">
        <f t="shared" si="28"/>
        <v>Anak 43 cukup baik  dalam memahami pembuatan dokumen di microsoft  word, dan  cukup baik  dalam mengenal dan memahami penggunaan microsoft  word.</v>
      </c>
    </row>
    <row r="48" spans="2:80" ht="54" customHeight="1">
      <c r="B48" s="109">
        <v>44</v>
      </c>
      <c r="C48" s="110">
        <f>SISWA!B49</f>
        <v>0</v>
      </c>
      <c r="D48" s="111" t="str">
        <f>SISWA!E49</f>
        <v>Anak 44</v>
      </c>
      <c r="E48" s="631">
        <v>99</v>
      </c>
      <c r="F48" s="631">
        <v>99</v>
      </c>
      <c r="G48" s="613"/>
      <c r="H48" s="613"/>
      <c r="I48" s="613"/>
      <c r="J48" s="613"/>
      <c r="K48" s="613"/>
      <c r="L48" s="731"/>
      <c r="M48" s="731"/>
      <c r="N48" s="731"/>
      <c r="O48" s="731"/>
      <c r="P48" s="613"/>
      <c r="Q48" s="613"/>
      <c r="R48" s="610"/>
      <c r="S48" s="605">
        <v>74.5</v>
      </c>
      <c r="T48" s="605">
        <v>80.25</v>
      </c>
      <c r="U48" s="609"/>
      <c r="V48" s="609"/>
      <c r="W48" s="609"/>
      <c r="X48" s="609"/>
      <c r="Y48" s="609"/>
      <c r="Z48" s="610"/>
      <c r="AA48" s="613">
        <v>74.5</v>
      </c>
      <c r="AB48" s="613">
        <v>80.25</v>
      </c>
      <c r="AC48" s="613"/>
      <c r="AD48" s="613"/>
      <c r="AE48" s="613"/>
      <c r="AF48" s="613"/>
      <c r="AG48" s="613" t="str">
        <f>IFERROR(AVERAGE(#REF!),"")</f>
        <v/>
      </c>
      <c r="AH48" s="518"/>
      <c r="AI48" s="607">
        <f t="shared" si="9"/>
        <v>86.75</v>
      </c>
      <c r="AJ48" s="607">
        <f t="shared" si="10"/>
        <v>89.625</v>
      </c>
      <c r="AK48" s="607" t="str">
        <f t="shared" si="11"/>
        <v/>
      </c>
      <c r="AL48" s="607" t="str">
        <f t="shared" si="12"/>
        <v/>
      </c>
      <c r="AM48" s="607" t="str">
        <f t="shared" si="13"/>
        <v/>
      </c>
      <c r="AN48" s="607" t="str">
        <f t="shared" si="14"/>
        <v/>
      </c>
      <c r="AO48" s="607" t="str">
        <f t="shared" si="15"/>
        <v/>
      </c>
      <c r="AP48" s="302">
        <f t="shared" si="30"/>
        <v>88</v>
      </c>
      <c r="AQ48" s="303" t="str">
        <f>IF(AP48&gt;KKM!$G$10,"A",IF(AP48&gt;KKM!$H$10,"B",IF(AP48&gt;=KKM!$I$10,"C","D")))</f>
        <v>B</v>
      </c>
      <c r="AR48" s="304">
        <f t="shared" si="31"/>
        <v>89.625</v>
      </c>
      <c r="AS48" s="115" t="str">
        <f>IF(AR48&gt;KKM!$G$10," sangat baik ",IF(AR48&gt;KKM!$H$10," baik ",IF(AR48&gt;=KKM!$I$10," cukup baik "," perlu bimbingan ")))</f>
        <v xml:space="preserve"> baik </v>
      </c>
      <c r="AT48" s="305">
        <f t="shared" si="32"/>
        <v>86.75</v>
      </c>
      <c r="AU48" s="115" t="str">
        <f>IF(AT48&gt;KKM!$G$10," sangat baik ",IF(AT48&gt;KKM!$H$10," baik ",IF(AT48&gt;=KKM!$I$10," cukup baik "," perlu bimbingan ")))</f>
        <v xml:space="preserve"> baik </v>
      </c>
      <c r="AV48" s="301" t="str">
        <f t="shared" si="16"/>
        <v>Anak 44 baik  dalam memahami pembuatan dokumen di microsoft  word, dan  baik  dalam mengenal dan memahami penggunaan microsoft  word.</v>
      </c>
      <c r="AW48" s="306"/>
      <c r="AX48" s="307" t="str">
        <f t="shared" si="33"/>
        <v xml:space="preserve"> baik  dalam memahami pembuatan dokumen di microsoft  word</v>
      </c>
      <c r="AY48" s="307" t="str">
        <f t="shared" si="34"/>
        <v xml:space="preserve"> baik  dalam mengenal dan memahami penggunaan microsoft  word.</v>
      </c>
      <c r="AZ48" s="307" t="str">
        <f t="shared" si="17"/>
        <v xml:space="preserve"> baik  dalam memahami pembuatan dokumen di microsoft  word, dan  baik  dalam mengenal dan memahami penggunaan microsoft  word.</v>
      </c>
      <c r="BA48" s="307" t="str">
        <f t="shared" si="18"/>
        <v xml:space="preserve"> </v>
      </c>
      <c r="BB48" s="308" t="str">
        <f t="shared" si="19"/>
        <v xml:space="preserve"> baik  dalam memahami pembuatan dokumen di microsoft  word, dan  baik  dalam mengenal dan memahami penggunaan microsoft  word.</v>
      </c>
      <c r="BC48" s="301" t="str">
        <f t="shared" si="35"/>
        <v>Anak 44 baik  dalam memahami pembuatan dokumen di microsoft  word, dan  baik  dalam mengenal dan memahami penggunaan microsoft  word.</v>
      </c>
      <c r="BD48" s="120"/>
      <c r="BP48" s="302">
        <f t="shared" si="20"/>
        <v>77</v>
      </c>
      <c r="BQ48" s="303" t="str">
        <f>IF(BP48&gt;KKM!$G$10,"A",IF(BP48&gt;KKM!$H$10,"B",IF(BP48&gt;=KKM!$I$10,"C","D")))</f>
        <v>C</v>
      </c>
      <c r="BR48" s="523">
        <f t="shared" si="21"/>
        <v>80.25</v>
      </c>
      <c r="BS48" s="115" t="str">
        <f>IF(BR48&gt;KKM!$G$10," sangat baik ",IF(BR48&gt;KKM!$H$10," baik ",IF(BR48&gt;=KKM!$I$10," cukup baik "," perlu bimbingan ")))</f>
        <v xml:space="preserve"> baik </v>
      </c>
      <c r="BT48" s="524">
        <f t="shared" si="22"/>
        <v>74.5</v>
      </c>
      <c r="BU48" s="115" t="str">
        <f>IF(BT48&gt;KKM!$G$10," sangat baik ",IF(BT48&gt;KKM!$H$10," baik ",IF(BT48&gt;=KKM!$I$10," cukup baik "," perlu bimbingan ")))</f>
        <v xml:space="preserve"> cukup baik </v>
      </c>
      <c r="BV48" s="301" t="str">
        <f t="shared" si="29"/>
        <v>Anak 44 baik  dalam memahami pembuatan dokumen di microsoft  word, dan  cukup baik  dalam mengenal dan memahami penggunaan microsoft  word.</v>
      </c>
      <c r="BW48" s="307" t="str">
        <f t="shared" si="23"/>
        <v xml:space="preserve"> baik  dalam memahami pembuatan dokumen di microsoft  word</v>
      </c>
      <c r="BX48" s="307" t="str">
        <f t="shared" si="24"/>
        <v xml:space="preserve"> cukup baik  dalam mengenal dan memahami penggunaan microsoft  word.</v>
      </c>
      <c r="BY48" s="307" t="str">
        <f t="shared" si="25"/>
        <v xml:space="preserve"> baik  dalam memahami pembuatan dokumen di microsoft  word, dan  cukup baik  dalam mengenal dan memahami penggunaan microsoft  word.</v>
      </c>
      <c r="BZ48" s="307" t="str">
        <f t="shared" si="26"/>
        <v xml:space="preserve"> </v>
      </c>
      <c r="CA48" s="308" t="str">
        <f t="shared" si="27"/>
        <v xml:space="preserve"> baik  dalam memahami pembuatan dokumen di microsoft  word, dan  cukup baik  dalam mengenal dan memahami penggunaan microsoft  word.</v>
      </c>
      <c r="CB48" s="301" t="str">
        <f t="shared" si="28"/>
        <v>Anak 44 baik  dalam memahami pembuatan dokumen di microsoft  word, dan  cukup baik  dalam mengenal dan memahami penggunaan microsoft  word.</v>
      </c>
    </row>
    <row r="49" spans="2:80" ht="54" customHeight="1">
      <c r="B49" s="109">
        <v>45</v>
      </c>
      <c r="C49" s="110">
        <f>SISWA!B50</f>
        <v>0</v>
      </c>
      <c r="D49" s="111" t="str">
        <f>SISWA!E50</f>
        <v>Anak 45</v>
      </c>
      <c r="E49" s="631">
        <v>99</v>
      </c>
      <c r="F49" s="631">
        <v>99</v>
      </c>
      <c r="G49" s="613"/>
      <c r="H49" s="613"/>
      <c r="I49" s="613"/>
      <c r="J49" s="613"/>
      <c r="K49" s="613"/>
      <c r="L49" s="731"/>
      <c r="M49" s="731"/>
      <c r="N49" s="731"/>
      <c r="O49" s="731"/>
      <c r="P49" s="613"/>
      <c r="Q49" s="613"/>
      <c r="R49" s="610"/>
      <c r="S49" s="605">
        <v>74.5</v>
      </c>
      <c r="T49" s="605">
        <v>72.25</v>
      </c>
      <c r="U49" s="609"/>
      <c r="V49" s="609"/>
      <c r="W49" s="609"/>
      <c r="X49" s="609"/>
      <c r="Y49" s="609"/>
      <c r="Z49" s="610"/>
      <c r="AA49" s="613">
        <v>74.5</v>
      </c>
      <c r="AB49" s="613">
        <v>72.25</v>
      </c>
      <c r="AC49" s="613"/>
      <c r="AD49" s="613"/>
      <c r="AE49" s="613"/>
      <c r="AF49" s="613"/>
      <c r="AG49" s="613" t="str">
        <f>IFERROR(AVERAGE(#REF!),"")</f>
        <v/>
      </c>
      <c r="AH49" s="518"/>
      <c r="AI49" s="607">
        <f t="shared" si="9"/>
        <v>86.75</v>
      </c>
      <c r="AJ49" s="607">
        <f t="shared" si="10"/>
        <v>85.625</v>
      </c>
      <c r="AK49" s="607" t="str">
        <f t="shared" si="11"/>
        <v/>
      </c>
      <c r="AL49" s="607" t="str">
        <f t="shared" si="12"/>
        <v/>
      </c>
      <c r="AM49" s="607" t="str">
        <f t="shared" si="13"/>
        <v/>
      </c>
      <c r="AN49" s="607" t="str">
        <f t="shared" si="14"/>
        <v/>
      </c>
      <c r="AO49" s="607" t="str">
        <f t="shared" si="15"/>
        <v/>
      </c>
      <c r="AP49" s="302">
        <f t="shared" si="30"/>
        <v>86</v>
      </c>
      <c r="AQ49" s="303" t="str">
        <f>IF(AP49&gt;KKM!$G$10,"A",IF(AP49&gt;KKM!$H$10,"B",IF(AP49&gt;=KKM!$I$10,"C","D")))</f>
        <v>B</v>
      </c>
      <c r="AR49" s="304">
        <f t="shared" si="31"/>
        <v>86.75</v>
      </c>
      <c r="AS49" s="115" t="str">
        <f>IF(AR49&gt;KKM!$G$10," sangat baik ",IF(AR49&gt;KKM!$H$10," baik ",IF(AR49&gt;=KKM!$I$10," cukup baik "," perlu bimbingan ")))</f>
        <v xml:space="preserve"> baik </v>
      </c>
      <c r="AT49" s="305">
        <f t="shared" si="32"/>
        <v>85.625</v>
      </c>
      <c r="AU49" s="115" t="str">
        <f>IF(AT49&gt;KKM!$G$10," sangat baik ",IF(AT49&gt;KKM!$H$10," baik ",IF(AT49&gt;=KKM!$I$10," cukup baik "," perlu bimbingan ")))</f>
        <v xml:space="preserve"> baik </v>
      </c>
      <c r="AV49" s="301" t="str">
        <f t="shared" si="16"/>
        <v>Anak 45 baik  dalam mengenal dan memahami penggunaan microsoft  word., dan  baik  dalam memahami pembuatan dokumen di microsoft  word</v>
      </c>
      <c r="AW49" s="306"/>
      <c r="AX49" s="307" t="str">
        <f t="shared" si="33"/>
        <v xml:space="preserve"> baik  dalam mengenal dan memahami penggunaan microsoft  word.</v>
      </c>
      <c r="AY49" s="307" t="str">
        <f t="shared" si="34"/>
        <v xml:space="preserve"> baik  dalam memahami pembuatan dokumen di microsoft  word</v>
      </c>
      <c r="AZ49" s="307" t="str">
        <f t="shared" si="17"/>
        <v xml:space="preserve"> baik  dalam mengenal dan memahami penggunaan microsoft  word., dan  baik  dalam memahami pembuatan dokumen di microsoft  word</v>
      </c>
      <c r="BA49" s="307" t="str">
        <f t="shared" si="18"/>
        <v xml:space="preserve"> </v>
      </c>
      <c r="BB49" s="308" t="str">
        <f t="shared" si="19"/>
        <v xml:space="preserve"> baik  dalam mengenal dan memahami penggunaan microsoft  word., dan  baik  dalam memahami pembuatan dokumen di microsoft  word</v>
      </c>
      <c r="BC49" s="301" t="str">
        <f t="shared" si="35"/>
        <v>Anak 45 baik  dalam mengenal dan memahami penggunaan microsoft  word., dan  baik  dalam memahami pembuatan dokumen di microsoft  word</v>
      </c>
      <c r="BD49" s="120"/>
      <c r="BP49" s="302">
        <f t="shared" si="20"/>
        <v>73</v>
      </c>
      <c r="BQ49" s="303" t="str">
        <f>IF(BP49&gt;KKM!$G$10,"A",IF(BP49&gt;KKM!$H$10,"B",IF(BP49&gt;=KKM!$I$10,"C","D")))</f>
        <v>C</v>
      </c>
      <c r="BR49" s="523">
        <f t="shared" si="21"/>
        <v>74.5</v>
      </c>
      <c r="BS49" s="115" t="str">
        <f>IF(BR49&gt;KKM!$G$10," sangat baik ",IF(BR49&gt;KKM!$H$10," baik ",IF(BR49&gt;=KKM!$I$10," cukup baik "," perlu bimbingan ")))</f>
        <v xml:space="preserve"> cukup baik </v>
      </c>
      <c r="BT49" s="524">
        <f t="shared" si="22"/>
        <v>72.25</v>
      </c>
      <c r="BU49" s="115" t="str">
        <f>IF(BT49&gt;KKM!$G$10," sangat baik ",IF(BT49&gt;KKM!$H$10," baik ",IF(BT49&gt;=KKM!$I$10," cukup baik "," perlu bimbingan ")))</f>
        <v xml:space="preserve"> cukup baik </v>
      </c>
      <c r="BV49" s="301" t="str">
        <f t="shared" si="29"/>
        <v>Anak 45 cukup baik  dalam mengenal dan memahami penggunaan microsoft  word., dan  cukup baik  dalam memahami pembuatan dokumen di microsoft  word</v>
      </c>
      <c r="BW49" s="307" t="str">
        <f t="shared" si="23"/>
        <v xml:space="preserve"> cukup baik  dalam mengenal dan memahami penggunaan microsoft  word.</v>
      </c>
      <c r="BX49" s="307" t="str">
        <f t="shared" si="24"/>
        <v xml:space="preserve"> cukup baik  dalam memahami pembuatan dokumen di microsoft  word</v>
      </c>
      <c r="BY49" s="307" t="str">
        <f t="shared" si="25"/>
        <v xml:space="preserve"> cukup baik  dalam mengenal dan memahami penggunaan microsoft  word., dan  cukup baik  dalam memahami pembuatan dokumen di microsoft  word</v>
      </c>
      <c r="BZ49" s="307" t="str">
        <f t="shared" si="26"/>
        <v xml:space="preserve"> </v>
      </c>
      <c r="CA49" s="308" t="str">
        <f t="shared" si="27"/>
        <v xml:space="preserve"> cukup baik  dalam mengenal dan memahami penggunaan microsoft  word., dan  cukup baik  dalam memahami pembuatan dokumen di microsoft  word</v>
      </c>
      <c r="CB49" s="301" t="str">
        <f t="shared" si="28"/>
        <v>Anak 45 cukup baik  dalam mengenal dan memahami penggunaan microsoft  word., dan  cukup baik  dalam memahami pembuatan dokumen di microsoft  word</v>
      </c>
    </row>
    <row r="50" spans="2:80" ht="54" customHeight="1">
      <c r="B50" s="109">
        <v>46</v>
      </c>
      <c r="C50" s="110">
        <f>SISWA!B51</f>
        <v>0</v>
      </c>
      <c r="D50" s="111" t="str">
        <f>SISWA!E51</f>
        <v>Anak 46</v>
      </c>
      <c r="E50" s="631">
        <v>99</v>
      </c>
      <c r="F50" s="631">
        <v>99</v>
      </c>
      <c r="G50" s="613"/>
      <c r="H50" s="613"/>
      <c r="I50" s="613"/>
      <c r="J50" s="613"/>
      <c r="K50" s="613"/>
      <c r="L50" s="731"/>
      <c r="M50" s="731"/>
      <c r="N50" s="731"/>
      <c r="O50" s="731"/>
      <c r="P50" s="613"/>
      <c r="Q50" s="613"/>
      <c r="R50" s="610"/>
      <c r="S50" s="605">
        <v>84</v>
      </c>
      <c r="T50" s="605">
        <v>84</v>
      </c>
      <c r="U50" s="609"/>
      <c r="V50" s="609"/>
      <c r="W50" s="609"/>
      <c r="X50" s="609"/>
      <c r="Y50" s="609"/>
      <c r="Z50" s="610"/>
      <c r="AA50" s="613">
        <v>84</v>
      </c>
      <c r="AB50" s="613">
        <v>84</v>
      </c>
      <c r="AC50" s="613"/>
      <c r="AD50" s="613"/>
      <c r="AE50" s="613"/>
      <c r="AF50" s="613"/>
      <c r="AG50" s="613" t="str">
        <f>IFERROR(AVERAGE(#REF!),"")</f>
        <v/>
      </c>
      <c r="AH50" s="518"/>
      <c r="AI50" s="607">
        <f t="shared" si="9"/>
        <v>91.5</v>
      </c>
      <c r="AJ50" s="607">
        <f t="shared" si="10"/>
        <v>91.5</v>
      </c>
      <c r="AK50" s="607" t="str">
        <f t="shared" si="11"/>
        <v/>
      </c>
      <c r="AL50" s="607" t="str">
        <f t="shared" si="12"/>
        <v/>
      </c>
      <c r="AM50" s="607" t="str">
        <f t="shared" si="13"/>
        <v/>
      </c>
      <c r="AN50" s="607" t="str">
        <f t="shared" si="14"/>
        <v/>
      </c>
      <c r="AO50" s="607" t="str">
        <f t="shared" si="15"/>
        <v/>
      </c>
      <c r="AP50" s="302">
        <f t="shared" si="30"/>
        <v>92</v>
      </c>
      <c r="AQ50" s="303" t="str">
        <f>IF(AP50&gt;KKM!$G$10,"A",IF(AP50&gt;KKM!$H$10,"B",IF(AP50&gt;=KKM!$I$10,"C","D")))</f>
        <v>A</v>
      </c>
      <c r="AR50" s="304">
        <f t="shared" si="31"/>
        <v>91.5</v>
      </c>
      <c r="AS50" s="115" t="str">
        <f>IF(AR50&gt;KKM!$G$10," sangat baik ",IF(AR50&gt;KKM!$H$10," baik ",IF(AR50&gt;=KKM!$I$10," cukup baik "," perlu bimbingan ")))</f>
        <v xml:space="preserve"> sangat baik </v>
      </c>
      <c r="AT50" s="305">
        <f t="shared" si="32"/>
        <v>91.5</v>
      </c>
      <c r="AU50" s="115" t="str">
        <f>IF(AT50&gt;KKM!$G$10," sangat baik ",IF(AT50&gt;KKM!$H$10," baik ",IF(AT50&gt;=KKM!$I$10," cukup baik "," perlu bimbingan ")))</f>
        <v xml:space="preserve"> sangat baik </v>
      </c>
      <c r="AV50" s="301" t="str">
        <f t="shared" si="16"/>
        <v>Anak 46 sangat baik  dalam mengenal dan memahami penggunaan microsoft  word.</v>
      </c>
      <c r="AW50" s="306"/>
      <c r="AX50" s="307" t="str">
        <f t="shared" si="33"/>
        <v xml:space="preserve"> sangat baik  dalam mengenal dan memahami penggunaan microsoft  word.</v>
      </c>
      <c r="AY50" s="307" t="str">
        <f t="shared" si="34"/>
        <v xml:space="preserve"> sangat baik  dalam mengenal dan memahami penggunaan microsoft  word.</v>
      </c>
      <c r="AZ50" s="307" t="str">
        <f t="shared" si="17"/>
        <v xml:space="preserve"> sangat baik  dalam mengenal dan memahami penggunaan microsoft  word., dan  sangat baik  dalam mengenal dan memahami penggunaan microsoft  word.</v>
      </c>
      <c r="BA50" s="307" t="str">
        <f t="shared" si="18"/>
        <v xml:space="preserve"> sangat baik  dalam mengenal dan memahami penggunaan microsoft  word.</v>
      </c>
      <c r="BB50" s="308" t="str">
        <f t="shared" si="19"/>
        <v xml:space="preserve"> sangat baik  dalam mengenal dan memahami penggunaan microsoft  word.</v>
      </c>
      <c r="BC50" s="301" t="str">
        <f t="shared" si="35"/>
        <v>Anak 46 sangat baik  dalam mengenal dan memahami penggunaan microsoft  word.</v>
      </c>
      <c r="BD50" s="120"/>
      <c r="BP50" s="302">
        <f t="shared" si="20"/>
        <v>84</v>
      </c>
      <c r="BQ50" s="303" t="str">
        <f>IF(BP50&gt;KKM!$G$10,"A",IF(BP50&gt;KKM!$H$10,"B",IF(BP50&gt;=KKM!$I$10,"C","D")))</f>
        <v>B</v>
      </c>
      <c r="BR50" s="523">
        <f t="shared" si="21"/>
        <v>84</v>
      </c>
      <c r="BS50" s="115" t="str">
        <f>IF(BR50&gt;KKM!$G$10," sangat baik ",IF(BR50&gt;KKM!$H$10," baik ",IF(BR50&gt;=KKM!$I$10," cukup baik "," perlu bimbingan ")))</f>
        <v xml:space="preserve"> baik </v>
      </c>
      <c r="BT50" s="524">
        <f t="shared" si="22"/>
        <v>84</v>
      </c>
      <c r="BU50" s="115" t="str">
        <f>IF(BT50&gt;KKM!$G$10," sangat baik ",IF(BT50&gt;KKM!$H$10," baik ",IF(BT50&gt;=KKM!$I$10," cukup baik "," perlu bimbingan ")))</f>
        <v xml:space="preserve"> baik </v>
      </c>
      <c r="BV50" s="301" t="str">
        <f t="shared" si="29"/>
        <v>Anak 46 baik  dalam mengenal dan memahami penggunaan microsoft  word.</v>
      </c>
      <c r="BW50" s="307" t="str">
        <f t="shared" si="23"/>
        <v xml:space="preserve"> baik  dalam mengenal dan memahami penggunaan microsoft  word.</v>
      </c>
      <c r="BX50" s="307" t="str">
        <f t="shared" si="24"/>
        <v xml:space="preserve"> baik  dalam mengenal dan memahami penggunaan microsoft  word.</v>
      </c>
      <c r="BY50" s="307" t="str">
        <f t="shared" si="25"/>
        <v xml:space="preserve"> baik  dalam mengenal dan memahami penggunaan microsoft  word., dan  baik  dalam mengenal dan memahami penggunaan microsoft  word.</v>
      </c>
      <c r="BZ50" s="307" t="str">
        <f t="shared" si="26"/>
        <v xml:space="preserve"> baik  dalam mengenal dan memahami penggunaan microsoft  word.</v>
      </c>
      <c r="CA50" s="308" t="str">
        <f t="shared" si="27"/>
        <v xml:space="preserve"> baik  dalam mengenal dan memahami penggunaan microsoft  word.</v>
      </c>
      <c r="CB50" s="301" t="str">
        <f t="shared" si="28"/>
        <v>Anak 46 baik  dalam mengenal dan memahami penggunaan microsoft  word.</v>
      </c>
    </row>
    <row r="51" spans="2:80" ht="54" customHeight="1">
      <c r="B51" s="109">
        <v>47</v>
      </c>
      <c r="C51" s="110">
        <f>SISWA!B52</f>
        <v>0</v>
      </c>
      <c r="D51" s="111" t="str">
        <f>SISWA!E52</f>
        <v>Anak 47</v>
      </c>
      <c r="E51" s="631">
        <v>99</v>
      </c>
      <c r="F51" s="631">
        <v>99</v>
      </c>
      <c r="G51" s="613"/>
      <c r="H51" s="613"/>
      <c r="I51" s="613"/>
      <c r="J51" s="613"/>
      <c r="K51" s="613"/>
      <c r="L51" s="731"/>
      <c r="M51" s="731"/>
      <c r="N51" s="731"/>
      <c r="O51" s="731"/>
      <c r="P51" s="613"/>
      <c r="Q51" s="613"/>
      <c r="R51" s="610"/>
      <c r="S51" s="605">
        <v>68.75</v>
      </c>
      <c r="T51" s="605">
        <v>68.75</v>
      </c>
      <c r="U51" s="609"/>
      <c r="V51" s="609"/>
      <c r="W51" s="609"/>
      <c r="X51" s="609"/>
      <c r="Y51" s="609"/>
      <c r="Z51" s="610"/>
      <c r="AA51" s="613">
        <v>68.75</v>
      </c>
      <c r="AB51" s="613">
        <v>68.75</v>
      </c>
      <c r="AC51" s="613"/>
      <c r="AD51" s="613"/>
      <c r="AE51" s="613"/>
      <c r="AF51" s="613"/>
      <c r="AG51" s="613" t="str">
        <f>IFERROR(AVERAGE(#REF!),"")</f>
        <v/>
      </c>
      <c r="AH51" s="518"/>
      <c r="AI51" s="607">
        <f t="shared" si="9"/>
        <v>83.875</v>
      </c>
      <c r="AJ51" s="607">
        <f t="shared" si="10"/>
        <v>83.875</v>
      </c>
      <c r="AK51" s="607" t="str">
        <f t="shared" si="11"/>
        <v/>
      </c>
      <c r="AL51" s="607" t="str">
        <f t="shared" si="12"/>
        <v/>
      </c>
      <c r="AM51" s="607" t="str">
        <f t="shared" si="13"/>
        <v/>
      </c>
      <c r="AN51" s="607" t="str">
        <f t="shared" si="14"/>
        <v/>
      </c>
      <c r="AO51" s="607" t="str">
        <f t="shared" si="15"/>
        <v/>
      </c>
      <c r="AP51" s="302">
        <f t="shared" si="30"/>
        <v>84</v>
      </c>
      <c r="AQ51" s="303" t="str">
        <f>IF(AP51&gt;KKM!$G$10,"A",IF(AP51&gt;KKM!$H$10,"B",IF(AP51&gt;=KKM!$I$10,"C","D")))</f>
        <v>B</v>
      </c>
      <c r="AR51" s="304">
        <f t="shared" si="31"/>
        <v>83.875</v>
      </c>
      <c r="AS51" s="115" t="str">
        <f>IF(AR51&gt;KKM!$G$10," sangat baik ",IF(AR51&gt;KKM!$H$10," baik ",IF(AR51&gt;=KKM!$I$10," cukup baik "," perlu bimbingan ")))</f>
        <v xml:space="preserve"> baik </v>
      </c>
      <c r="AT51" s="305">
        <f t="shared" si="32"/>
        <v>83.875</v>
      </c>
      <c r="AU51" s="115" t="str">
        <f>IF(AT51&gt;KKM!$G$10," sangat baik ",IF(AT51&gt;KKM!$H$10," baik ",IF(AT51&gt;=KKM!$I$10," cukup baik "," perlu bimbingan ")))</f>
        <v xml:space="preserve"> baik </v>
      </c>
      <c r="AV51" s="301" t="str">
        <f t="shared" si="16"/>
        <v>Anak 47 baik  dalam mengenal dan memahami penggunaan microsoft  word.</v>
      </c>
      <c r="AW51" s="306"/>
      <c r="AX51" s="307" t="str">
        <f t="shared" si="33"/>
        <v xml:space="preserve"> baik  dalam mengenal dan memahami penggunaan microsoft  word.</v>
      </c>
      <c r="AY51" s="307" t="str">
        <f t="shared" si="34"/>
        <v xml:space="preserve"> baik  dalam mengenal dan memahami penggunaan microsoft  word.</v>
      </c>
      <c r="AZ51" s="307" t="str">
        <f t="shared" si="17"/>
        <v xml:space="preserve"> baik  dalam mengenal dan memahami penggunaan microsoft  word., dan  baik  dalam mengenal dan memahami penggunaan microsoft  word.</v>
      </c>
      <c r="BA51" s="307" t="str">
        <f t="shared" si="18"/>
        <v xml:space="preserve"> baik  dalam mengenal dan memahami penggunaan microsoft  word.</v>
      </c>
      <c r="BB51" s="308" t="str">
        <f t="shared" si="19"/>
        <v xml:space="preserve"> baik  dalam mengenal dan memahami penggunaan microsoft  word.</v>
      </c>
      <c r="BC51" s="301" t="str">
        <f t="shared" si="35"/>
        <v>Anak 47 baik  dalam mengenal dan memahami penggunaan microsoft  word.</v>
      </c>
      <c r="BD51" s="120"/>
      <c r="BP51" s="302">
        <f t="shared" si="20"/>
        <v>69</v>
      </c>
      <c r="BQ51" s="303" t="str">
        <f>IF(BP51&gt;KKM!$G$10,"A",IF(BP51&gt;KKM!$H$10,"B",IF(BP51&gt;=KKM!$I$10,"C","D")))</f>
        <v>D</v>
      </c>
      <c r="BR51" s="523">
        <f t="shared" si="21"/>
        <v>68.75</v>
      </c>
      <c r="BS51" s="115" t="str">
        <f>IF(BR51&gt;KKM!$G$10," sangat baik ",IF(BR51&gt;KKM!$H$10," baik ",IF(BR51&gt;=KKM!$I$10," cukup baik "," perlu bimbingan ")))</f>
        <v xml:space="preserve"> perlu bimbingan </v>
      </c>
      <c r="BT51" s="524">
        <f t="shared" si="22"/>
        <v>68.75</v>
      </c>
      <c r="BU51" s="115" t="str">
        <f>IF(BT51&gt;KKM!$G$10," sangat baik ",IF(BT51&gt;KKM!$H$10," baik ",IF(BT51&gt;=KKM!$I$10," cukup baik "," perlu bimbingan ")))</f>
        <v xml:space="preserve"> perlu bimbingan </v>
      </c>
      <c r="BV51" s="301" t="str">
        <f t="shared" si="29"/>
        <v>Anak 47 perlu bimbingan  dalam mengenal dan memahami penggunaan microsoft  word.</v>
      </c>
      <c r="BW51" s="307" t="str">
        <f t="shared" si="23"/>
        <v xml:space="preserve"> perlu bimbingan  dalam mengenal dan memahami penggunaan microsoft  word.</v>
      </c>
      <c r="BX51" s="307" t="str">
        <f t="shared" si="24"/>
        <v xml:space="preserve"> perlu bimbingan  dalam mengenal dan memahami penggunaan microsoft  word.</v>
      </c>
      <c r="BY51" s="307" t="str">
        <f t="shared" si="25"/>
        <v xml:space="preserve"> perlu bimbingan  dalam mengenal dan memahami penggunaan microsoft  word., dan  perlu bimbingan  dalam mengenal dan memahami penggunaan microsoft  word.</v>
      </c>
      <c r="BZ51" s="307" t="str">
        <f t="shared" si="26"/>
        <v xml:space="preserve"> perlu bimbingan  dalam mengenal dan memahami penggunaan microsoft  word.</v>
      </c>
      <c r="CA51" s="308" t="str">
        <f t="shared" si="27"/>
        <v xml:space="preserve"> perlu bimbingan  dalam mengenal dan memahami penggunaan microsoft  word.</v>
      </c>
      <c r="CB51" s="301" t="str">
        <f t="shared" si="28"/>
        <v>Anak 47 perlu bimbingan  dalam mengenal dan memahami penggunaan microsoft  word.</v>
      </c>
    </row>
    <row r="52" spans="2:80" ht="54" customHeight="1">
      <c r="B52" s="109">
        <v>48</v>
      </c>
      <c r="C52" s="110">
        <f>SISWA!B53</f>
        <v>0</v>
      </c>
      <c r="D52" s="111" t="str">
        <f>SISWA!E53</f>
        <v>Anak 48</v>
      </c>
      <c r="E52" s="631">
        <v>99</v>
      </c>
      <c r="F52" s="631">
        <v>99</v>
      </c>
      <c r="G52" s="613"/>
      <c r="H52" s="613"/>
      <c r="I52" s="613"/>
      <c r="J52" s="613"/>
      <c r="K52" s="613"/>
      <c r="L52" s="731"/>
      <c r="M52" s="731"/>
      <c r="N52" s="731"/>
      <c r="O52" s="731"/>
      <c r="P52" s="613"/>
      <c r="Q52" s="613"/>
      <c r="R52" s="610"/>
      <c r="S52" s="605">
        <v>69.75</v>
      </c>
      <c r="T52" s="605">
        <v>69.75</v>
      </c>
      <c r="U52" s="609"/>
      <c r="V52" s="609"/>
      <c r="W52" s="609"/>
      <c r="X52" s="609"/>
      <c r="Y52" s="609"/>
      <c r="Z52" s="610"/>
      <c r="AA52" s="613">
        <v>69.75</v>
      </c>
      <c r="AB52" s="613">
        <v>69.75</v>
      </c>
      <c r="AC52" s="613"/>
      <c r="AD52" s="613"/>
      <c r="AE52" s="613"/>
      <c r="AF52" s="613"/>
      <c r="AG52" s="613" t="str">
        <f>IFERROR(AVERAGE(#REF!),"")</f>
        <v/>
      </c>
      <c r="AH52" s="518"/>
      <c r="AI52" s="607">
        <f t="shared" si="9"/>
        <v>84.375</v>
      </c>
      <c r="AJ52" s="607">
        <f t="shared" si="10"/>
        <v>84.375</v>
      </c>
      <c r="AK52" s="607" t="str">
        <f t="shared" si="11"/>
        <v/>
      </c>
      <c r="AL52" s="607" t="str">
        <f t="shared" si="12"/>
        <v/>
      </c>
      <c r="AM52" s="607" t="str">
        <f t="shared" si="13"/>
        <v/>
      </c>
      <c r="AN52" s="607" t="str">
        <f t="shared" si="14"/>
        <v/>
      </c>
      <c r="AO52" s="607" t="str">
        <f t="shared" si="15"/>
        <v/>
      </c>
      <c r="AP52" s="302">
        <f t="shared" si="30"/>
        <v>84</v>
      </c>
      <c r="AQ52" s="303" t="str">
        <f>IF(AP52&gt;KKM!$G$10,"A",IF(AP52&gt;KKM!$H$10,"B",IF(AP52&gt;=KKM!$I$10,"C","D")))</f>
        <v>B</v>
      </c>
      <c r="AR52" s="304">
        <f t="shared" si="31"/>
        <v>84.375</v>
      </c>
      <c r="AS52" s="115" t="str">
        <f>IF(AR52&gt;KKM!$G$10," sangat baik ",IF(AR52&gt;KKM!$H$10," baik ",IF(AR52&gt;=KKM!$I$10," cukup baik "," perlu bimbingan ")))</f>
        <v xml:space="preserve"> baik </v>
      </c>
      <c r="AT52" s="305">
        <f t="shared" si="32"/>
        <v>84.375</v>
      </c>
      <c r="AU52" s="115" t="str">
        <f>IF(AT52&gt;KKM!$G$10," sangat baik ",IF(AT52&gt;KKM!$H$10," baik ",IF(AT52&gt;=KKM!$I$10," cukup baik "," perlu bimbingan ")))</f>
        <v xml:space="preserve"> baik </v>
      </c>
      <c r="AV52" s="301" t="str">
        <f t="shared" si="16"/>
        <v>Anak 48 baik  dalam mengenal dan memahami penggunaan microsoft  word.</v>
      </c>
      <c r="AW52" s="306"/>
      <c r="AX52" s="307" t="str">
        <f t="shared" si="33"/>
        <v xml:space="preserve"> baik  dalam mengenal dan memahami penggunaan microsoft  word.</v>
      </c>
      <c r="AY52" s="307" t="str">
        <f t="shared" si="34"/>
        <v xml:space="preserve"> baik  dalam mengenal dan memahami penggunaan microsoft  word.</v>
      </c>
      <c r="AZ52" s="307" t="str">
        <f t="shared" si="17"/>
        <v xml:space="preserve"> baik  dalam mengenal dan memahami penggunaan microsoft  word., dan  baik  dalam mengenal dan memahami penggunaan microsoft  word.</v>
      </c>
      <c r="BA52" s="307" t="str">
        <f t="shared" si="18"/>
        <v xml:space="preserve"> baik  dalam mengenal dan memahami penggunaan microsoft  word.</v>
      </c>
      <c r="BB52" s="308" t="str">
        <f t="shared" si="19"/>
        <v xml:space="preserve"> baik  dalam mengenal dan memahami penggunaan microsoft  word.</v>
      </c>
      <c r="BC52" s="301" t="str">
        <f t="shared" si="35"/>
        <v>Anak 48 baik  dalam mengenal dan memahami penggunaan microsoft  word.</v>
      </c>
      <c r="BD52" s="120"/>
      <c r="BP52" s="302">
        <f t="shared" si="20"/>
        <v>70</v>
      </c>
      <c r="BQ52" s="303" t="str">
        <f>IF(BP52&gt;KKM!$G$10,"A",IF(BP52&gt;KKM!$H$10,"B",IF(BP52&gt;=KKM!$I$10,"C","D")))</f>
        <v>C</v>
      </c>
      <c r="BR52" s="523">
        <f t="shared" si="21"/>
        <v>69.75</v>
      </c>
      <c r="BS52" s="115" t="str">
        <f>IF(BR52&gt;KKM!$G$10," sangat baik ",IF(BR52&gt;KKM!$H$10," baik ",IF(BR52&gt;=KKM!$I$10," cukup baik "," perlu bimbingan ")))</f>
        <v xml:space="preserve"> perlu bimbingan </v>
      </c>
      <c r="BT52" s="524">
        <f t="shared" si="22"/>
        <v>69.75</v>
      </c>
      <c r="BU52" s="115" t="str">
        <f>IF(BT52&gt;KKM!$G$10," sangat baik ",IF(BT52&gt;KKM!$H$10," baik ",IF(BT52&gt;=KKM!$I$10," cukup baik "," perlu bimbingan ")))</f>
        <v xml:space="preserve"> perlu bimbingan </v>
      </c>
      <c r="BV52" s="301" t="str">
        <f t="shared" si="29"/>
        <v>Anak 48 perlu bimbingan  dalam mengenal dan memahami penggunaan microsoft  word.</v>
      </c>
      <c r="BW52" s="307" t="str">
        <f t="shared" si="23"/>
        <v xml:space="preserve"> perlu bimbingan  dalam mengenal dan memahami penggunaan microsoft  word.</v>
      </c>
      <c r="BX52" s="307" t="str">
        <f t="shared" si="24"/>
        <v xml:space="preserve"> perlu bimbingan  dalam mengenal dan memahami penggunaan microsoft  word.</v>
      </c>
      <c r="BY52" s="307" t="str">
        <f t="shared" si="25"/>
        <v xml:space="preserve"> perlu bimbingan  dalam mengenal dan memahami penggunaan microsoft  word., dan  perlu bimbingan  dalam mengenal dan memahami penggunaan microsoft  word.</v>
      </c>
      <c r="BZ52" s="307" t="str">
        <f t="shared" si="26"/>
        <v xml:space="preserve"> perlu bimbingan  dalam mengenal dan memahami penggunaan microsoft  word.</v>
      </c>
      <c r="CA52" s="308" t="str">
        <f t="shared" si="27"/>
        <v xml:space="preserve"> perlu bimbingan  dalam mengenal dan memahami penggunaan microsoft  word.</v>
      </c>
      <c r="CB52" s="301" t="str">
        <f t="shared" si="28"/>
        <v>Anak 48 perlu bimbingan  dalam mengenal dan memahami penggunaan microsoft  word.</v>
      </c>
    </row>
    <row r="53" spans="2:80" ht="54" customHeight="1">
      <c r="B53" s="109">
        <v>49</v>
      </c>
      <c r="C53" s="110">
        <f>SISWA!B54</f>
        <v>0</v>
      </c>
      <c r="D53" s="111" t="str">
        <f>SISWA!E54</f>
        <v>Anak 49</v>
      </c>
      <c r="E53" s="631">
        <v>99</v>
      </c>
      <c r="F53" s="631">
        <v>99</v>
      </c>
      <c r="G53" s="613"/>
      <c r="H53" s="613"/>
      <c r="I53" s="613"/>
      <c r="J53" s="613"/>
      <c r="K53" s="613"/>
      <c r="L53" s="731"/>
      <c r="M53" s="731"/>
      <c r="N53" s="731"/>
      <c r="O53" s="731"/>
      <c r="P53" s="613"/>
      <c r="Q53" s="613"/>
      <c r="R53" s="610"/>
      <c r="S53" s="605">
        <v>90</v>
      </c>
      <c r="T53" s="605">
        <v>77.25</v>
      </c>
      <c r="U53" s="609"/>
      <c r="V53" s="609"/>
      <c r="W53" s="609"/>
      <c r="X53" s="609"/>
      <c r="Y53" s="609"/>
      <c r="Z53" s="610"/>
      <c r="AA53" s="613">
        <v>90</v>
      </c>
      <c r="AB53" s="613">
        <v>77.25</v>
      </c>
      <c r="AC53" s="613"/>
      <c r="AD53" s="613"/>
      <c r="AE53" s="613"/>
      <c r="AF53" s="613"/>
      <c r="AG53" s="613" t="str">
        <f>IFERROR(AVERAGE(#REF!),"")</f>
        <v/>
      </c>
      <c r="AH53" s="518"/>
      <c r="AI53" s="607">
        <f t="shared" si="9"/>
        <v>94.5</v>
      </c>
      <c r="AJ53" s="607">
        <f t="shared" si="10"/>
        <v>88.125</v>
      </c>
      <c r="AK53" s="607" t="str">
        <f t="shared" si="11"/>
        <v/>
      </c>
      <c r="AL53" s="607" t="str">
        <f t="shared" si="12"/>
        <v/>
      </c>
      <c r="AM53" s="607" t="str">
        <f t="shared" si="13"/>
        <v/>
      </c>
      <c r="AN53" s="607" t="str">
        <f t="shared" si="14"/>
        <v/>
      </c>
      <c r="AO53" s="607" t="str">
        <f t="shared" si="15"/>
        <v/>
      </c>
      <c r="AP53" s="302">
        <f t="shared" si="30"/>
        <v>91</v>
      </c>
      <c r="AQ53" s="303" t="str">
        <f>IF(AP53&gt;KKM!$G$10,"A",IF(AP53&gt;KKM!$H$10,"B",IF(AP53&gt;=KKM!$I$10,"C","D")))</f>
        <v>A</v>
      </c>
      <c r="AR53" s="304">
        <f t="shared" si="31"/>
        <v>94.5</v>
      </c>
      <c r="AS53" s="115" t="str">
        <f>IF(AR53&gt;KKM!$G$10," sangat baik ",IF(AR53&gt;KKM!$H$10," baik ",IF(AR53&gt;=KKM!$I$10," cukup baik "," perlu bimbingan ")))</f>
        <v xml:space="preserve"> sangat baik </v>
      </c>
      <c r="AT53" s="305">
        <f t="shared" si="32"/>
        <v>88.125</v>
      </c>
      <c r="AU53" s="115" t="str">
        <f>IF(AT53&gt;KKM!$G$10," sangat baik ",IF(AT53&gt;KKM!$H$10," baik ",IF(AT53&gt;=KKM!$I$10," cukup baik "," perlu bimbingan ")))</f>
        <v xml:space="preserve"> baik </v>
      </c>
      <c r="AV53" s="301" t="str">
        <f t="shared" si="16"/>
        <v>Anak 49 sangat baik  dalam mengenal dan memahami penggunaan microsoft  word., dan  baik  dalam memahami pembuatan dokumen di microsoft  word</v>
      </c>
      <c r="AW53" s="306"/>
      <c r="AX53" s="307" t="str">
        <f t="shared" si="33"/>
        <v xml:space="preserve"> sangat baik  dalam mengenal dan memahami penggunaan microsoft  word.</v>
      </c>
      <c r="AY53" s="307" t="str">
        <f t="shared" si="34"/>
        <v xml:space="preserve"> baik  dalam memahami pembuatan dokumen di microsoft  word</v>
      </c>
      <c r="AZ53" s="307" t="str">
        <f t="shared" si="17"/>
        <v xml:space="preserve"> sangat baik  dalam mengenal dan memahami penggunaan microsoft  word., dan  baik  dalam memahami pembuatan dokumen di microsoft  word</v>
      </c>
      <c r="BA53" s="307" t="str">
        <f t="shared" si="18"/>
        <v xml:space="preserve"> </v>
      </c>
      <c r="BB53" s="308" t="str">
        <f t="shared" si="19"/>
        <v xml:space="preserve"> sangat baik  dalam mengenal dan memahami penggunaan microsoft  word., dan  baik  dalam memahami pembuatan dokumen di microsoft  word</v>
      </c>
      <c r="BC53" s="301" t="str">
        <f t="shared" si="35"/>
        <v>Anak 49 sangat baik  dalam mengenal dan memahami penggunaan microsoft  word., dan  baik  dalam memahami pembuatan dokumen di microsoft  word</v>
      </c>
      <c r="BD53" s="120"/>
      <c r="BP53" s="302">
        <f t="shared" si="20"/>
        <v>84</v>
      </c>
      <c r="BQ53" s="303" t="str">
        <f>IF(BP53&gt;KKM!$G$10,"A",IF(BP53&gt;KKM!$H$10,"B",IF(BP53&gt;=KKM!$I$10,"C","D")))</f>
        <v>B</v>
      </c>
      <c r="BR53" s="523">
        <f t="shared" si="21"/>
        <v>90</v>
      </c>
      <c r="BS53" s="115" t="str">
        <f>IF(BR53&gt;KKM!$G$10," sangat baik ",IF(BR53&gt;KKM!$H$10," baik ",IF(BR53&gt;=KKM!$I$10," cukup baik "," perlu bimbingan ")))</f>
        <v xml:space="preserve"> baik </v>
      </c>
      <c r="BT53" s="524">
        <f t="shared" si="22"/>
        <v>77.25</v>
      </c>
      <c r="BU53" s="115" t="str">
        <f>IF(BT53&gt;KKM!$G$10," sangat baik ",IF(BT53&gt;KKM!$H$10," baik ",IF(BT53&gt;=KKM!$I$10," cukup baik "," perlu bimbingan ")))</f>
        <v xml:space="preserve"> cukup baik </v>
      </c>
      <c r="BV53" s="301" t="str">
        <f t="shared" si="29"/>
        <v>Anak 49 baik  dalam mengenal dan memahami penggunaan microsoft  word., dan  cukup baik  dalam memahami pembuatan dokumen di microsoft  word</v>
      </c>
      <c r="BW53" s="307" t="str">
        <f t="shared" si="23"/>
        <v xml:space="preserve"> baik  dalam mengenal dan memahami penggunaan microsoft  word.</v>
      </c>
      <c r="BX53" s="307" t="str">
        <f t="shared" si="24"/>
        <v xml:space="preserve"> cukup baik  dalam memahami pembuatan dokumen di microsoft  word</v>
      </c>
      <c r="BY53" s="307" t="str">
        <f t="shared" si="25"/>
        <v xml:space="preserve"> baik  dalam mengenal dan memahami penggunaan microsoft  word., dan  cukup baik  dalam memahami pembuatan dokumen di microsoft  word</v>
      </c>
      <c r="BZ53" s="307" t="str">
        <f t="shared" si="26"/>
        <v xml:space="preserve"> </v>
      </c>
      <c r="CA53" s="308" t="str">
        <f t="shared" si="27"/>
        <v xml:space="preserve"> baik  dalam mengenal dan memahami penggunaan microsoft  word., dan  cukup baik  dalam memahami pembuatan dokumen di microsoft  word</v>
      </c>
      <c r="CB53" s="301" t="str">
        <f t="shared" si="28"/>
        <v>Anak 49 baik  dalam mengenal dan memahami penggunaan microsoft  word., dan  cukup baik  dalam memahami pembuatan dokumen di microsoft  word</v>
      </c>
    </row>
    <row r="54" spans="2:80" ht="30" customHeight="1">
      <c r="B54" s="109">
        <v>50</v>
      </c>
      <c r="C54" s="110">
        <f>SISWA!B55</f>
        <v>0</v>
      </c>
      <c r="D54" s="111" t="str">
        <f>SISWA!E55</f>
        <v>Anak 50</v>
      </c>
      <c r="E54" s="631">
        <v>99</v>
      </c>
      <c r="F54" s="631">
        <v>99</v>
      </c>
      <c r="G54" s="613"/>
      <c r="H54" s="613"/>
      <c r="I54" s="613"/>
      <c r="J54" s="613"/>
      <c r="K54" s="613"/>
      <c r="L54" s="731"/>
      <c r="M54" s="731"/>
      <c r="N54" s="731"/>
      <c r="O54" s="731"/>
      <c r="P54" s="613"/>
      <c r="Q54" s="613"/>
      <c r="R54" s="610"/>
      <c r="S54" s="605">
        <v>87.25</v>
      </c>
      <c r="T54" s="605">
        <v>71.75</v>
      </c>
      <c r="U54" s="609"/>
      <c r="V54" s="609"/>
      <c r="W54" s="609"/>
      <c r="X54" s="609"/>
      <c r="Y54" s="609"/>
      <c r="Z54" s="610"/>
      <c r="AA54" s="613">
        <v>87.25</v>
      </c>
      <c r="AB54" s="613">
        <v>71.75</v>
      </c>
      <c r="AC54" s="613"/>
      <c r="AD54" s="613"/>
      <c r="AE54" s="613"/>
      <c r="AF54" s="613"/>
      <c r="AG54" s="613" t="str">
        <f>IFERROR(AVERAGE(#REF!),"")</f>
        <v/>
      </c>
      <c r="AH54" s="518"/>
      <c r="AI54" s="607">
        <f t="shared" si="9"/>
        <v>93.125</v>
      </c>
      <c r="AJ54" s="607">
        <f t="shared" si="10"/>
        <v>85.375</v>
      </c>
      <c r="AK54" s="607" t="str">
        <f t="shared" si="11"/>
        <v/>
      </c>
      <c r="AL54" s="607" t="str">
        <f t="shared" si="12"/>
        <v/>
      </c>
      <c r="AM54" s="607" t="str">
        <f t="shared" si="13"/>
        <v/>
      </c>
      <c r="AN54" s="607" t="str">
        <f t="shared" si="14"/>
        <v/>
      </c>
      <c r="AO54" s="607" t="str">
        <f t="shared" si="15"/>
        <v/>
      </c>
      <c r="AP54" s="302">
        <f t="shared" si="30"/>
        <v>89</v>
      </c>
      <c r="AQ54" s="303" t="str">
        <f>IF(AP54&gt;KKM!$G$10,"A",IF(AP54&gt;KKM!$H$10,"B",IF(AP54&gt;=KKM!$I$10,"C","D")))</f>
        <v>B</v>
      </c>
      <c r="AR54" s="304">
        <f t="shared" si="31"/>
        <v>93.125</v>
      </c>
      <c r="AS54" s="115" t="str">
        <f>IF(AR54&gt;KKM!$G$10," sangat baik ",IF(AR54&gt;KKM!$H$10," baik ",IF(AR54&gt;=KKM!$I$10," cukup baik "," perlu bimbingan ")))</f>
        <v xml:space="preserve"> sangat baik </v>
      </c>
      <c r="AT54" s="305">
        <f t="shared" si="32"/>
        <v>85.375</v>
      </c>
      <c r="AU54" s="115" t="str">
        <f>IF(AT54&gt;KKM!$G$10," sangat baik ",IF(AT54&gt;KKM!$H$10," baik ",IF(AT54&gt;=KKM!$I$10," cukup baik "," perlu bimbingan ")))</f>
        <v xml:space="preserve"> baik </v>
      </c>
      <c r="AV54" s="301" t="str">
        <f t="shared" si="16"/>
        <v>Anak 50 sangat baik  dalam mengenal dan memahami penggunaan microsoft  word., dan  baik  dalam memahami pembuatan dokumen di microsoft  word</v>
      </c>
      <c r="AW54" s="306"/>
      <c r="AX54" s="307" t="str">
        <f t="shared" si="33"/>
        <v xml:space="preserve"> sangat baik  dalam mengenal dan memahami penggunaan microsoft  word.</v>
      </c>
      <c r="AY54" s="307" t="str">
        <f t="shared" si="34"/>
        <v xml:space="preserve"> baik  dalam memahami pembuatan dokumen di microsoft  word</v>
      </c>
      <c r="AZ54" s="307" t="str">
        <f t="shared" si="17"/>
        <v xml:space="preserve"> sangat baik  dalam mengenal dan memahami penggunaan microsoft  word., dan  baik  dalam memahami pembuatan dokumen di microsoft  word</v>
      </c>
      <c r="BA54" s="307" t="str">
        <f t="shared" si="18"/>
        <v xml:space="preserve"> </v>
      </c>
      <c r="BB54" s="308" t="str">
        <f t="shared" si="19"/>
        <v xml:space="preserve"> sangat baik  dalam mengenal dan memahami penggunaan microsoft  word., dan  baik  dalam memahami pembuatan dokumen di microsoft  word</v>
      </c>
      <c r="BC54" s="301" t="str">
        <f t="shared" si="35"/>
        <v>Anak 50 sangat baik  dalam mengenal dan memahami penggunaan microsoft  word., dan  baik  dalam memahami pembuatan dokumen di microsoft  word</v>
      </c>
      <c r="BD54" s="120"/>
      <c r="BP54" s="302">
        <f t="shared" si="20"/>
        <v>80</v>
      </c>
      <c r="BQ54" s="303" t="str">
        <f>IF(BP54&gt;KKM!$G$10,"A",IF(BP54&gt;KKM!$H$10,"B",IF(BP54&gt;=KKM!$I$10,"C","D")))</f>
        <v>C</v>
      </c>
      <c r="BR54" s="523">
        <f t="shared" si="21"/>
        <v>87.25</v>
      </c>
      <c r="BS54" s="115" t="str">
        <f>IF(BR54&gt;KKM!$G$10," sangat baik ",IF(BR54&gt;KKM!$H$10," baik ",IF(BR54&gt;=KKM!$I$10," cukup baik "," perlu bimbingan ")))</f>
        <v xml:space="preserve"> baik </v>
      </c>
      <c r="BT54" s="524">
        <f t="shared" si="22"/>
        <v>71.75</v>
      </c>
      <c r="BU54" s="115" t="str">
        <f>IF(BT54&gt;KKM!$G$10," sangat baik ",IF(BT54&gt;KKM!$H$10," baik ",IF(BT54&gt;=KKM!$I$10," cukup baik "," perlu bimbingan ")))</f>
        <v xml:space="preserve"> cukup baik </v>
      </c>
      <c r="BV54" s="301" t="str">
        <f t="shared" si="29"/>
        <v>Anak 50 baik  dalam mengenal dan memahami penggunaan microsoft  word., dan  cukup baik  dalam memahami pembuatan dokumen di microsoft  word</v>
      </c>
      <c r="BW54" s="307" t="str">
        <f t="shared" si="23"/>
        <v xml:space="preserve"> baik  dalam mengenal dan memahami penggunaan microsoft  word.</v>
      </c>
      <c r="BX54" s="307" t="str">
        <f t="shared" si="24"/>
        <v xml:space="preserve"> cukup baik  dalam memahami pembuatan dokumen di microsoft  word</v>
      </c>
      <c r="BY54" s="307" t="str">
        <f t="shared" si="25"/>
        <v xml:space="preserve"> baik  dalam mengenal dan memahami penggunaan microsoft  word., dan  cukup baik  dalam memahami pembuatan dokumen di microsoft  word</v>
      </c>
      <c r="BZ54" s="307" t="str">
        <f t="shared" si="26"/>
        <v xml:space="preserve"> </v>
      </c>
      <c r="CA54" s="308" t="str">
        <f t="shared" si="27"/>
        <v xml:space="preserve"> baik  dalam mengenal dan memahami penggunaan microsoft  word., dan  cukup baik  dalam memahami pembuatan dokumen di microsoft  word</v>
      </c>
      <c r="CB54" s="301" t="str">
        <f t="shared" si="28"/>
        <v>Anak 50 baik  dalam mengenal dan memahami penggunaan microsoft  word., dan  cukup baik  dalam memahami pembuatan dokumen di microsoft  word</v>
      </c>
    </row>
    <row r="55" spans="2:80" ht="15.75">
      <c r="B55" s="121"/>
      <c r="C55" s="121"/>
      <c r="D55" s="121"/>
      <c r="E55" s="121"/>
      <c r="F55" s="121"/>
      <c r="G55" s="121"/>
      <c r="H55" s="121"/>
      <c r="I55" s="121"/>
      <c r="J55" s="121"/>
      <c r="K55" s="121"/>
      <c r="L55" s="121"/>
      <c r="M55" s="121"/>
      <c r="N55" s="121"/>
      <c r="O55" s="121"/>
      <c r="P55" s="121"/>
      <c r="Q55" s="121"/>
      <c r="R55" s="518"/>
      <c r="S55" s="521"/>
      <c r="T55" s="521"/>
      <c r="U55" s="521"/>
      <c r="V55" s="521"/>
      <c r="W55" s="521"/>
      <c r="X55" s="521"/>
      <c r="Y55" s="521"/>
      <c r="Z55" s="518"/>
      <c r="AA55" s="521"/>
      <c r="AB55" s="521"/>
      <c r="AC55" s="521"/>
      <c r="AD55" s="521"/>
      <c r="AE55" s="521"/>
      <c r="AF55" s="521"/>
      <c r="AG55" s="521"/>
      <c r="AH55" s="518"/>
      <c r="AI55" s="528"/>
      <c r="AJ55" s="529"/>
      <c r="AK55" s="529"/>
      <c r="AL55" s="529"/>
      <c r="AM55" s="529"/>
      <c r="AN55" s="528"/>
      <c r="AO55" s="528"/>
      <c r="AP55" s="114"/>
      <c r="AQ55" s="115"/>
      <c r="AR55" s="116"/>
      <c r="AS55" s="116"/>
      <c r="AT55" s="116"/>
      <c r="AU55" s="116"/>
      <c r="AV55" s="117"/>
      <c r="AW55" s="118"/>
      <c r="AX55" s="119"/>
      <c r="AY55" s="122"/>
      <c r="AZ55" s="122"/>
      <c r="BA55" s="122"/>
      <c r="BB55" s="122"/>
      <c r="BC55" s="122"/>
      <c r="BD55" s="120"/>
      <c r="BP55" s="302"/>
      <c r="BQ55" s="303"/>
      <c r="BR55" s="523"/>
      <c r="BS55" s="115"/>
      <c r="BT55" s="524"/>
      <c r="BU55" s="115"/>
      <c r="BV55" s="301"/>
      <c r="BW55" s="307"/>
      <c r="BX55" s="307"/>
      <c r="BY55" s="307"/>
      <c r="BZ55" s="307"/>
      <c r="CA55" s="308"/>
      <c r="CB55" s="301"/>
    </row>
    <row r="56" spans="2:80">
      <c r="BP56" s="302"/>
      <c r="BW56" s="119"/>
      <c r="BX56" s="122"/>
      <c r="BY56" s="122"/>
      <c r="BZ56" s="122"/>
      <c r="CA56" s="122"/>
      <c r="CB56" s="122"/>
    </row>
  </sheetData>
  <mergeCells count="48">
    <mergeCell ref="BW3:CB3"/>
    <mergeCell ref="BP2:BP4"/>
    <mergeCell ref="BQ2:BQ4"/>
    <mergeCell ref="BR2:BU2"/>
    <mergeCell ref="BV2:BV4"/>
    <mergeCell ref="BR3:BS3"/>
    <mergeCell ref="BT3:BU3"/>
    <mergeCell ref="E2:Q2"/>
    <mergeCell ref="AV2:AV4"/>
    <mergeCell ref="AR3:AS3"/>
    <mergeCell ref="AT3:AU3"/>
    <mergeCell ref="S3:S4"/>
    <mergeCell ref="T3:T4"/>
    <mergeCell ref="U3:U4"/>
    <mergeCell ref="V3:V4"/>
    <mergeCell ref="W3:W4"/>
    <mergeCell ref="Y3:Y4"/>
    <mergeCell ref="AG3:AG4"/>
    <mergeCell ref="AA3:AA4"/>
    <mergeCell ref="AB3:AB4"/>
    <mergeCell ref="AC3:AC4"/>
    <mergeCell ref="AD3:AD4"/>
    <mergeCell ref="L3:L4"/>
    <mergeCell ref="H3:H4"/>
    <mergeCell ref="I3:I4"/>
    <mergeCell ref="K3:K4"/>
    <mergeCell ref="Q3:Q4"/>
    <mergeCell ref="M3:M4"/>
    <mergeCell ref="N3:N4"/>
    <mergeCell ref="O3:O4"/>
    <mergeCell ref="P3:P4"/>
    <mergeCell ref="J3:J4"/>
    <mergeCell ref="X3:X4"/>
    <mergeCell ref="AF3:AF4"/>
    <mergeCell ref="AE3:AE4"/>
    <mergeCell ref="B1:AU1"/>
    <mergeCell ref="B2:B4"/>
    <mergeCell ref="C2:C4"/>
    <mergeCell ref="D2:D4"/>
    <mergeCell ref="AI2:AO2"/>
    <mergeCell ref="AP2:AP4"/>
    <mergeCell ref="AQ2:AQ4"/>
    <mergeCell ref="AR2:AU2"/>
    <mergeCell ref="S2:Y2"/>
    <mergeCell ref="AA2:AG2"/>
    <mergeCell ref="E3:E4"/>
    <mergeCell ref="F3:F4"/>
    <mergeCell ref="G3:G4"/>
  </mergeCell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J56"/>
  <sheetViews>
    <sheetView zoomScale="80" zoomScaleNormal="80" workbookViewId="0">
      <pane xSplit="4" ySplit="5" topLeftCell="E6" activePane="bottomRight" state="frozen"/>
      <selection pane="topRight" activeCell="E1" sqref="E1"/>
      <selection pane="bottomLeft" activeCell="A6" sqref="A6"/>
      <selection pane="bottomRight"/>
    </sheetView>
  </sheetViews>
  <sheetFormatPr defaultColWidth="0" defaultRowHeight="15"/>
  <cols>
    <col min="1" max="1" width="23.42578125" style="135" customWidth="1"/>
    <col min="2" max="2" width="4.42578125" style="104" customWidth="1"/>
    <col min="3" max="3" width="6.42578125" style="104" customWidth="1"/>
    <col min="4" max="4" width="28.7109375" style="104" customWidth="1"/>
    <col min="5" max="7" width="5.140625" style="104" customWidth="1"/>
    <col min="8" max="89" width="5.28515625" style="104" customWidth="1"/>
    <col min="90" max="90" width="10.5703125" style="104" customWidth="1"/>
    <col min="91" max="91" width="5.28515625" style="104" customWidth="1"/>
    <col min="92" max="92" width="10.85546875" style="104" customWidth="1"/>
    <col min="93" max="93" width="101.7109375" style="104" customWidth="1"/>
    <col min="94" max="94" width="41.28515625" style="104" customWidth="1"/>
    <col min="95" max="95" width="5" style="104" hidden="1" customWidth="1"/>
    <col min="96" max="96" width="4.7109375" style="104" hidden="1" customWidth="1"/>
    <col min="97" max="97" width="5.140625" style="104" hidden="1" customWidth="1"/>
    <col min="98" max="103" width="5" style="104" hidden="1" customWidth="1"/>
    <col min="104" max="104" width="4.85546875" style="104" hidden="1" customWidth="1"/>
    <col min="105" max="110" width="5" style="104" hidden="1" customWidth="1"/>
    <col min="111" max="111" width="7.85546875" style="104" hidden="1" customWidth="1"/>
    <col min="112" max="112" width="5" style="104" customWidth="1"/>
    <col min="113" max="118" width="5" style="104" hidden="1" customWidth="1"/>
    <col min="119" max="119" width="84.42578125" style="104" hidden="1" customWidth="1"/>
    <col min="120" max="120" width="29.85546875" style="104" hidden="1" customWidth="1"/>
    <col min="121" max="134" width="10.7109375" style="104" hidden="1" customWidth="1"/>
    <col min="135" max="144" width="9.140625" style="104" hidden="1" customWidth="1"/>
    <col min="145" max="145" width="0" style="104" hidden="1" customWidth="1"/>
    <col min="146" max="146" width="5" style="104" hidden="1" customWidth="1"/>
    <col min="147" max="148" width="0" style="104" hidden="1" customWidth="1"/>
    <col min="149" max="154" width="5" style="104" hidden="1" customWidth="1"/>
    <col min="155" max="155" width="84.42578125" style="104" hidden="1" customWidth="1"/>
    <col min="156" max="156" width="29.85546875" style="104" hidden="1" customWidth="1"/>
    <col min="157" max="170" width="10.7109375" style="104" hidden="1" customWidth="1"/>
    <col min="171" max="180" width="9.140625" style="104" hidden="1" customWidth="1"/>
    <col min="181" max="181" width="0" style="104" hidden="1" customWidth="1"/>
    <col min="182" max="190" width="9.140625" style="104" hidden="1" customWidth="1"/>
    <col min="191" max="192" width="0" style="104" hidden="1" customWidth="1"/>
    <col min="193" max="16384" width="9.140625" style="104" hidden="1"/>
  </cols>
  <sheetData>
    <row r="1" spans="1:118" s="451" customFormat="1" ht="45.75" customHeight="1">
      <c r="B1" s="452" t="s">
        <v>55</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c r="BM1" s="452"/>
      <c r="BN1" s="452"/>
      <c r="BO1" s="452"/>
      <c r="BP1" s="452"/>
      <c r="BQ1" s="452"/>
      <c r="BR1" s="452"/>
      <c r="BS1" s="452"/>
      <c r="BT1" s="452"/>
      <c r="BU1" s="452"/>
      <c r="BV1" s="452"/>
      <c r="BW1" s="452"/>
      <c r="BX1" s="452"/>
      <c r="BY1" s="452"/>
      <c r="BZ1" s="452"/>
      <c r="CA1" s="452"/>
      <c r="CB1" s="452"/>
      <c r="CC1" s="452"/>
      <c r="CD1" s="452"/>
      <c r="CE1" s="452"/>
      <c r="CF1" s="452"/>
      <c r="CG1" s="452"/>
      <c r="CH1" s="452"/>
      <c r="CI1" s="452"/>
      <c r="CJ1" s="452"/>
      <c r="CK1" s="452"/>
      <c r="CL1" s="452"/>
      <c r="CM1" s="452"/>
      <c r="CN1" s="452"/>
      <c r="CO1" s="452"/>
      <c r="CP1" s="452"/>
      <c r="CQ1" s="452"/>
      <c r="CR1" s="452"/>
      <c r="CS1" s="452"/>
      <c r="CT1" s="452"/>
      <c r="CU1" s="452"/>
      <c r="CV1" s="452"/>
      <c r="CW1" s="452"/>
      <c r="CX1" s="452"/>
      <c r="CY1" s="452"/>
      <c r="CZ1" s="452"/>
      <c r="DA1" s="452"/>
      <c r="DB1" s="452"/>
      <c r="DC1" s="452"/>
      <c r="DD1" s="452"/>
      <c r="DE1" s="452"/>
      <c r="DF1" s="452"/>
      <c r="DG1" s="452"/>
      <c r="DH1" s="452"/>
      <c r="DI1" s="452"/>
      <c r="DJ1" s="452"/>
      <c r="DK1" s="452"/>
      <c r="DL1" s="452"/>
      <c r="DM1" s="452"/>
      <c r="DN1" s="452"/>
    </row>
    <row r="2" spans="1:118" ht="31.5">
      <c r="B2" s="1071" t="s">
        <v>2</v>
      </c>
      <c r="C2" s="1072" t="s">
        <v>3</v>
      </c>
      <c r="D2" s="1073" t="s">
        <v>48</v>
      </c>
      <c r="E2" s="1044" t="s">
        <v>0</v>
      </c>
      <c r="F2" s="1044"/>
      <c r="G2" s="1044"/>
      <c r="H2" s="1044"/>
      <c r="I2" s="1044"/>
      <c r="J2" s="1044"/>
      <c r="K2" s="1044"/>
      <c r="L2" s="1044"/>
      <c r="M2" s="1044"/>
      <c r="N2" s="1044"/>
      <c r="O2" s="1044"/>
      <c r="P2" s="1044"/>
      <c r="Q2" s="1044"/>
      <c r="R2" s="1044"/>
      <c r="S2" s="1044"/>
      <c r="T2" s="1044"/>
      <c r="U2" s="1044"/>
      <c r="V2" s="1044"/>
      <c r="W2" s="1044"/>
      <c r="X2" s="1044"/>
      <c r="Y2" s="1044"/>
      <c r="Z2" s="1044"/>
      <c r="AA2" s="1044"/>
      <c r="AB2" s="1044"/>
      <c r="AC2" s="1044"/>
      <c r="AD2" s="1044"/>
      <c r="AE2" s="1044"/>
      <c r="AF2" s="1044"/>
      <c r="AG2" s="1044"/>
      <c r="AH2" s="1044"/>
      <c r="AI2" s="1044"/>
      <c r="AJ2" s="1044"/>
      <c r="AK2" s="1044"/>
      <c r="AL2" s="1044"/>
      <c r="AM2" s="1044"/>
      <c r="AN2" s="1044"/>
      <c r="AO2" s="1044"/>
      <c r="AP2" s="1044"/>
      <c r="AQ2" s="1044"/>
      <c r="AR2" s="1044"/>
      <c r="AS2" s="1044"/>
      <c r="AT2" s="1044"/>
      <c r="AU2" s="1044"/>
      <c r="AV2" s="1044"/>
      <c r="AW2" s="1044"/>
      <c r="AX2" s="1044"/>
      <c r="AY2" s="1044"/>
      <c r="AZ2" s="1044"/>
      <c r="BA2" s="1044"/>
      <c r="BB2" s="1044"/>
      <c r="BC2" s="1044"/>
      <c r="BD2" s="1044"/>
      <c r="BE2" s="1044"/>
      <c r="BF2" s="1044"/>
      <c r="BG2" s="1044"/>
      <c r="BH2" s="1044"/>
      <c r="BI2" s="1044"/>
      <c r="BJ2" s="1044"/>
      <c r="BK2" s="1044"/>
      <c r="BL2" s="1044"/>
      <c r="BM2" s="1044"/>
      <c r="BN2" s="1044"/>
      <c r="BO2" s="1044"/>
      <c r="BP2" s="1044"/>
      <c r="BQ2" s="1044"/>
      <c r="BR2" s="1044"/>
      <c r="BS2" s="1044"/>
      <c r="BT2" s="1044"/>
      <c r="BU2" s="1044"/>
      <c r="BV2" s="1044"/>
      <c r="BW2" s="1044"/>
      <c r="BX2" s="1044"/>
      <c r="BY2" s="1044"/>
      <c r="BZ2" s="1044"/>
      <c r="CA2" s="1044"/>
      <c r="CB2" s="1044"/>
      <c r="CC2" s="1044"/>
      <c r="CD2" s="1044"/>
      <c r="CE2" s="1044"/>
      <c r="CF2" s="1044"/>
      <c r="CG2" s="1044"/>
      <c r="CH2" s="1044"/>
      <c r="CI2" s="1045" t="s">
        <v>5</v>
      </c>
      <c r="CJ2" s="1046" t="s">
        <v>6</v>
      </c>
      <c r="CK2" s="1047" t="s">
        <v>314</v>
      </c>
      <c r="CL2" s="1048"/>
      <c r="CM2" s="1048"/>
      <c r="CN2" s="1048"/>
      <c r="CO2" s="1027" t="s">
        <v>1</v>
      </c>
      <c r="CV2" s="294"/>
    </row>
    <row r="3" spans="1:118" ht="23.25" customHeight="1">
      <c r="B3" s="1071"/>
      <c r="C3" s="1072"/>
      <c r="D3" s="1073"/>
      <c r="E3" s="1049" t="s">
        <v>340</v>
      </c>
      <c r="F3" s="1050"/>
      <c r="G3" s="1050"/>
      <c r="H3" s="1050"/>
      <c r="I3" s="1050"/>
      <c r="J3" s="1050"/>
      <c r="K3" s="1050"/>
      <c r="L3" s="1050"/>
      <c r="M3" s="1050"/>
      <c r="N3" s="1050"/>
      <c r="O3" s="1050"/>
      <c r="P3" s="1050"/>
      <c r="Q3" s="1050"/>
      <c r="R3" s="1050"/>
      <c r="S3" s="1050"/>
      <c r="T3" s="1050"/>
      <c r="U3" s="1050"/>
      <c r="V3" s="1050"/>
      <c r="W3" s="1050"/>
      <c r="X3" s="1050"/>
      <c r="Y3" s="1051"/>
      <c r="Z3" s="1052" t="s">
        <v>341</v>
      </c>
      <c r="AA3" s="1053"/>
      <c r="AB3" s="1053"/>
      <c r="AC3" s="1053"/>
      <c r="AD3" s="1053"/>
      <c r="AE3" s="1053"/>
      <c r="AF3" s="1053"/>
      <c r="AG3" s="1053"/>
      <c r="AH3" s="1053"/>
      <c r="AI3" s="1053"/>
      <c r="AJ3" s="1053"/>
      <c r="AK3" s="1054"/>
      <c r="AL3" s="1055" t="s">
        <v>342</v>
      </c>
      <c r="AM3" s="1056"/>
      <c r="AN3" s="1056"/>
      <c r="AO3" s="1056"/>
      <c r="AP3" s="1056"/>
      <c r="AQ3" s="1056"/>
      <c r="AR3" s="1056"/>
      <c r="AS3" s="1056"/>
      <c r="AT3" s="1056"/>
      <c r="AU3" s="1056"/>
      <c r="AV3" s="1056"/>
      <c r="AW3" s="1057"/>
      <c r="AX3" s="1112" t="s">
        <v>343</v>
      </c>
      <c r="AY3" s="1113"/>
      <c r="AZ3" s="1113"/>
      <c r="BA3" s="1113"/>
      <c r="BB3" s="1113"/>
      <c r="BC3" s="1113"/>
      <c r="BD3" s="1113"/>
      <c r="BE3" s="1113"/>
      <c r="BF3" s="1113"/>
      <c r="BG3" s="1113"/>
      <c r="BH3" s="1113"/>
      <c r="BI3" s="1114"/>
      <c r="BJ3" s="1115" t="s">
        <v>344</v>
      </c>
      <c r="BK3" s="1116"/>
      <c r="BL3" s="1116"/>
      <c r="BM3" s="1116"/>
      <c r="BN3" s="1116"/>
      <c r="BO3" s="1116"/>
      <c r="BP3" s="1116"/>
      <c r="BQ3" s="1116"/>
      <c r="BR3" s="1116"/>
      <c r="BS3" s="1116"/>
      <c r="BT3" s="1116"/>
      <c r="BU3" s="1117"/>
      <c r="BV3" s="1118" t="s">
        <v>345</v>
      </c>
      <c r="BW3" s="1119"/>
      <c r="BX3" s="1119"/>
      <c r="BY3" s="1119"/>
      <c r="BZ3" s="1119"/>
      <c r="CA3" s="1119"/>
      <c r="CB3" s="1119"/>
      <c r="CC3" s="1119"/>
      <c r="CD3" s="1119"/>
      <c r="CE3" s="1119"/>
      <c r="CF3" s="1119"/>
      <c r="CG3" s="1120"/>
      <c r="CH3" s="333"/>
      <c r="CI3" s="1045"/>
      <c r="CJ3" s="1046"/>
      <c r="CK3" s="348"/>
      <c r="CL3" s="349"/>
      <c r="CM3" s="349"/>
      <c r="CN3" s="349"/>
      <c r="CO3" s="1028"/>
      <c r="CV3" s="294"/>
      <c r="DF3" s="330"/>
      <c r="DG3" s="441">
        <f>DEPAN!$E$23</f>
        <v>50</v>
      </c>
    </row>
    <row r="4" spans="1:118" ht="94.5" customHeight="1">
      <c r="B4" s="1071"/>
      <c r="C4" s="1072"/>
      <c r="D4" s="1073"/>
      <c r="E4" s="353" t="str">
        <f>'KI-KD'!$F4</f>
        <v>membaca Q.S. al- Falaq dan Q.S.al-Fil dengan tartil</v>
      </c>
      <c r="F4" s="353" t="str">
        <f>'KI-KD'!$F5</f>
        <v>menulis kalimat- kalimat dalam Q.S. al-Falaq dan Q.S. al-Fil dengan benar</v>
      </c>
      <c r="G4" s="353" t="str">
        <f>'KI-KD'!$F6</f>
        <v>menunjuk kan hafalan Q.S. al-Falaq dan Q.S. al-Fil dengan lancar</v>
      </c>
      <c r="H4" s="353" t="str">
        <f>'KI-KD'!$F7</f>
        <v>melakukan pengama tan diri dan alam sekitar sebagai implementasi makna iman kepada malaikat- malaikat Allah</v>
      </c>
      <c r="I4" s="353" t="str">
        <f>'KI-KD'!$F8</f>
        <v>menunjukkan perilaku gemar membaca</v>
      </c>
      <c r="J4" s="353" t="str">
        <f>'KI-KD'!$F9</f>
        <v>menunjukkan sikap pantang menyerah</v>
      </c>
      <c r="K4" s="353" t="str">
        <f>'KI-KD'!$F10</f>
        <v>mencontohkan sikap rendah hati</v>
      </c>
      <c r="L4" s="353" t="str">
        <f>'KI-KD'!$F11</f>
        <v>mencontohkan perilaku hemat</v>
      </c>
      <c r="M4" s="353" t="str">
        <f>'KI-KD'!$F12</f>
        <v>menunjukkan contoh makna ibadah salat</v>
      </c>
      <c r="N4" s="353" t="str">
        <f>'KI-KD'!$F13</f>
        <v>menceritakan penga laman melaksanakan salat di rumah dan masjid lingkungan sekitar rumah</v>
      </c>
      <c r="O4" s="353" t="str">
        <f>'KI-KD'!$F14</f>
        <v>Menceritakan kisah keteladanan Wali Songo</v>
      </c>
      <c r="P4" s="353">
        <f>'KI-KD'!$F15</f>
        <v>0</v>
      </c>
      <c r="Q4" s="351">
        <f>'KI-KD'!$F16</f>
        <v>0</v>
      </c>
      <c r="R4" s="351">
        <f>'KI-KD'!$F17</f>
        <v>0</v>
      </c>
      <c r="S4" s="351">
        <f>'KI-KD'!$F18</f>
        <v>0</v>
      </c>
      <c r="T4" s="351">
        <f>'KI-KD'!$F19</f>
        <v>0</v>
      </c>
      <c r="U4" s="351">
        <f>'KI-KD'!$F20</f>
        <v>0</v>
      </c>
      <c r="V4" s="351">
        <f>'KI-KD'!$F21</f>
        <v>0</v>
      </c>
      <c r="W4" s="351">
        <f>'KI-KD'!$F22</f>
        <v>0</v>
      </c>
      <c r="X4" s="351">
        <f>'KI-KD'!$F23</f>
        <v>0</v>
      </c>
      <c r="Y4" s="351">
        <f>'KI-KD'!$F24</f>
        <v>0</v>
      </c>
      <c r="Z4" s="354" t="str">
        <f>'KI-KD'!$F154</f>
        <v>menyajikan contoh sederhana yang berkaitan dengan perilaku bersyukur dalam berbagai peristiwa kehidupan</v>
      </c>
      <c r="AA4" s="354" t="str">
        <f>'KI-KD'!$F155</f>
        <v>membuat proyek sederhana terkait dengan sikap bersyukur dalam berbagai peristiwa rantai kehidupan manusia di sekitarnya</v>
      </c>
      <c r="AB4" s="354" t="str">
        <f>'KI-KD'!$F156</f>
        <v>membuat karya yang mengekpresikan keterbatasannya sebagai manusia</v>
      </c>
      <c r="AC4" s="354" t="str">
        <f>'KI-KD'!$F157</f>
        <v>menyajikan contoh pemeliharaan Allah dalam kehidupan manusia</v>
      </c>
      <c r="AD4" s="354">
        <f>'KI-KD'!$F158</f>
        <v>0</v>
      </c>
      <c r="AE4" s="354">
        <f>'KI-KD'!$F159</f>
        <v>0</v>
      </c>
      <c r="AF4" s="354">
        <f>'KI-KD'!$F160</f>
        <v>0</v>
      </c>
      <c r="AG4" s="354">
        <f>'KI-KD'!$F161</f>
        <v>0</v>
      </c>
      <c r="AH4" s="354">
        <f>'KI-KD'!$F162</f>
        <v>0</v>
      </c>
      <c r="AI4" s="354">
        <f>'KI-KD'!$F163</f>
        <v>0</v>
      </c>
      <c r="AJ4" s="354">
        <f>'KI-KD'!$F164</f>
        <v>0</v>
      </c>
      <c r="AK4" s="354">
        <f>'KI-KD'!$F165</f>
        <v>0</v>
      </c>
      <c r="AL4" s="355" t="str">
        <f>'KI-KD'!$F169</f>
        <v>melakukan aktivitas (misalnya mengucapkan doa / menyanyikan lagu / dan membuat puisi) yang mengungkapkan rasa syukur atas keunikan diri sebagai anugerah Allah</v>
      </c>
      <c r="AM4" s="355" t="str">
        <f>'KI-KD'!$F170</f>
        <v>melakukan aktivitas (misalnya mengucapkan doa/ menyanyikan lagu /dan membuat puisi) yang mengungkapkan rasa syukur atas kemampuan dan keterbatasan diri sebagai anugerah Allah</v>
      </c>
      <c r="AN4" s="355" t="str">
        <f>'KI-KD'!$F171</f>
        <v>melakukan aktivitas (misalnya menggambar / mewarnai / menghias / mengucap secara runtut) yang berkaitan dengan Sepuluh Perintah Allah</v>
      </c>
      <c r="AO4" s="355" t="str">
        <f>'KI-KD'!$F172</f>
        <v>melakukan aktivitas (misalnya bernyanyi/ membuat puisi/ menyusun doa) yang berkaitan dengan Sepuluh Perintah Allah yang menjadi landasan dalam berelasi dengan orang tua</v>
      </c>
      <c r="AP4" s="355" t="str">
        <f>'KI-KD'!$F173</f>
        <v>melakukan aktivitas (misalnya bernyanyi/ membuat puisi /menyusun doa) yang berkaitan dengan Sepuluh Perintah Allah yang menjadi landasan dalam berelasi dengan sesama</v>
      </c>
      <c r="AQ4" s="355" t="str">
        <f>'KI-KD'!$F174</f>
        <v>melakukan aktivitas (misalnya bernyanyi/ membuat puisi/ bermain peran/ menceritakan kembali, dsb) yang mencerminkan penghayatan atas perumpamaan dan mujizat yang dilakukan Yesus sebagai pemenuhan janji Allah</v>
      </c>
      <c r="AR4" s="355" t="str">
        <f>'KI-KD'!$F175</f>
        <v>melakukan aktivitas (misalnya berdoa/ bernyanyi/ membuat puisi/ bermain peran/ menceritakan kembali, dsb) yang mencerminkan penghayatan terhadap aneka Doa dalam gereja sebagai ungkapan iman kepada Allah</v>
      </c>
      <c r="AS4" s="355" t="str">
        <f>'KI-KD'!$F176</f>
        <v>melakukan aktivitas (misalnya berdoa/ bernyanyi/ membuat puisi  /bermain peran/ menceritakan kembali, dsb) yang mencerminkan penghayatan terhadap doa spontan, doa pribadi, dan doa bersama</v>
      </c>
      <c r="AT4" s="355">
        <f>'KI-KD'!$F177</f>
        <v>0</v>
      </c>
      <c r="AU4" s="355">
        <f>'KI-KD'!$F178</f>
        <v>0</v>
      </c>
      <c r="AV4" s="355">
        <f>'KI-KD'!$F179</f>
        <v>0</v>
      </c>
      <c r="AW4" s="355">
        <f>'KI-KD'!$F180</f>
        <v>0</v>
      </c>
      <c r="AX4" s="354" t="str">
        <f>'KI-KD'!$F184</f>
        <v>menceritakan secara singkat ajaran Punarbhawa sebagai upaya untuk meningkatkan kualitas hidup</v>
      </c>
      <c r="AY4" s="354" t="str">
        <f>'KI-KD'!$F185</f>
        <v>menunjukkan cara meneladani perilaku orang suci agama Hindu</v>
      </c>
      <c r="AZ4" s="354" t="str">
        <f>'KI-KD'!$F186</f>
        <v>mempraktikkan ajaran Catur Pramana dalam mencari pengetahuan kebenaran</v>
      </c>
      <c r="BA4" s="354" t="str">
        <f>'KI-KD'!$F187</f>
        <v>menyajikan cerita–cerita Maharsi penerima wahyu Veda</v>
      </c>
      <c r="BB4" s="354" t="str">
        <f>'KI-KD'!$F188</f>
        <v>menyajikan cerita yang berkaitan dengan hari suci agama Hindu</v>
      </c>
      <c r="BC4" s="354" t="str">
        <f>'KI-KD'!$F189</f>
        <v>menceritakan sejarah perkembangan agama Hindu di Indonesia secara singkat</v>
      </c>
      <c r="BD4" s="354">
        <f>'KI-KD'!$F190</f>
        <v>0</v>
      </c>
      <c r="BE4" s="354">
        <f>'KI-KD'!$F191</f>
        <v>0</v>
      </c>
      <c r="BF4" s="354">
        <f>'KI-KD'!$F192</f>
        <v>0</v>
      </c>
      <c r="BG4" s="354">
        <f>'KI-KD'!$F193</f>
        <v>0</v>
      </c>
      <c r="BH4" s="354">
        <f>'KI-KD'!$F194</f>
        <v>0</v>
      </c>
      <c r="BI4" s="354">
        <f>'KI-KD'!$F195</f>
        <v>0</v>
      </c>
      <c r="BJ4" s="355" t="str">
        <f>'KI-KD'!$F199</f>
        <v>menceritakan kembali masa berumah tangga dan Pelepasan Agung Pangeran Siddharta</v>
      </c>
      <c r="BK4" s="355" t="str">
        <f>'KI-KD'!$F200</f>
        <v>melakukan pertolongan tanpa pamrih dan tahu berterima kasih</v>
      </c>
      <c r="BL4" s="355" t="str">
        <f>'KI-KD'!$F201</f>
        <v>menyajikan pengetahuan tentang brahma vihara dan puja bakti</v>
      </c>
      <c r="BM4" s="355" t="str">
        <f>'KI-KD'!$F202</f>
        <v>menyajikan pengetahuan faktual tentang candi-candi agama Buddha di Indonesia dan candi yang dipergunakan perayaan Waisak</v>
      </c>
      <c r="BN4" s="355">
        <f>'KI-KD'!$F203</f>
        <v>0</v>
      </c>
      <c r="BO4" s="355">
        <f>'KI-KD'!$F204</f>
        <v>0</v>
      </c>
      <c r="BP4" s="355">
        <f>'KI-KD'!$F205</f>
        <v>0</v>
      </c>
      <c r="BQ4" s="355">
        <f>'KI-KD'!$F206</f>
        <v>0</v>
      </c>
      <c r="BR4" s="355">
        <f>'KI-KD'!$F207</f>
        <v>0</v>
      </c>
      <c r="BS4" s="355">
        <f>'KI-KD'!$F208</f>
        <v>0</v>
      </c>
      <c r="BT4" s="355">
        <f>'KI-KD'!$F209</f>
        <v>0</v>
      </c>
      <c r="BU4" s="355">
        <f>'KI-KD'!$F210</f>
        <v>0</v>
      </c>
      <c r="BV4" s="354" t="str">
        <f>'KI-KD'!$F214</f>
        <v>menceritakan contoh-contoh sikap tengah harmonis</v>
      </c>
      <c r="BW4" s="354" t="str">
        <f>'KI-KD'!$F215</f>
        <v>mewawancarai orang tua/rohaniawan tentang penerapan Wuchang (Lima Kebajikan)</v>
      </c>
      <c r="BX4" s="354" t="str">
        <f>'KI-KD'!$F216</f>
        <v>melakukan percobaan sederhana terkait hukum sebab akibat atau Pangkal Ujung di alam semesta</v>
      </c>
      <c r="BY4" s="354" t="str">
        <f>'KI-KD'!$F217</f>
        <v>menceritakan pengalaman terkait simulasi memuji dan mengkritik orang lain</v>
      </c>
      <c r="BZ4" s="354" t="str">
        <f>'KI-KD'!$F218</f>
        <v>menuliskan keteladanan dari tiga anak yang diasuh oleh Tiga Ibunda Agung</v>
      </c>
      <c r="CA4" s="354" t="str">
        <f>'KI-KD'!$F219</f>
        <v>membuat poster tentang keteladanan Zhisheng Kongzi semasa remaja hingga dewasa</v>
      </c>
      <c r="CB4" s="354">
        <f>'KI-KD'!$F220</f>
        <v>0</v>
      </c>
      <c r="CC4" s="354">
        <f>'KI-KD'!$F221</f>
        <v>0</v>
      </c>
      <c r="CD4" s="354">
        <f>'KI-KD'!$F222</f>
        <v>0</v>
      </c>
      <c r="CE4" s="354">
        <f>'KI-KD'!$F223</f>
        <v>0</v>
      </c>
      <c r="CF4" s="354">
        <f>'KI-KD'!$F224</f>
        <v>0</v>
      </c>
      <c r="CG4" s="354">
        <f>'KI-KD'!$F225</f>
        <v>0</v>
      </c>
      <c r="CH4" s="105"/>
      <c r="CI4" s="1045"/>
      <c r="CJ4" s="1046"/>
      <c r="CK4" s="1030" t="s">
        <v>315</v>
      </c>
      <c r="CL4" s="1031"/>
      <c r="CM4" s="1032" t="s">
        <v>316</v>
      </c>
      <c r="CN4" s="1033"/>
      <c r="CO4" s="1028"/>
      <c r="CV4" s="294"/>
      <c r="DG4" s="408">
        <f>DG5-DG6</f>
        <v>3</v>
      </c>
    </row>
    <row r="5" spans="1:118" s="334" customFormat="1" ht="25.5" customHeight="1">
      <c r="A5" s="450"/>
      <c r="B5" s="1071"/>
      <c r="C5" s="1072"/>
      <c r="D5" s="1073"/>
      <c r="E5" s="356" t="str">
        <f>'KI-KD'!$E4</f>
        <v>4.1.1</v>
      </c>
      <c r="F5" s="356" t="str">
        <f>'KI-KD'!$E5</f>
        <v>4.1.2</v>
      </c>
      <c r="G5" s="356" t="str">
        <f>'KI-KD'!$E6</f>
        <v>4.1.3</v>
      </c>
      <c r="H5" s="356">
        <f>'KI-KD'!$E7</f>
        <v>4.4000000000000004</v>
      </c>
      <c r="I5" s="356">
        <f>'KI-KD'!$E8</f>
        <v>4.12</v>
      </c>
      <c r="J5" s="356">
        <f>'KI-KD'!$E9</f>
        <v>4.13</v>
      </c>
      <c r="K5" s="356">
        <f>'KI-KD'!$E10</f>
        <v>4.7</v>
      </c>
      <c r="L5" s="356">
        <f>'KI-KD'!$E11</f>
        <v>4.8</v>
      </c>
      <c r="M5" s="356" t="str">
        <f>'KI-KD'!$E12</f>
        <v>4.15.1</v>
      </c>
      <c r="N5" s="356" t="str">
        <f>'KI-KD'!$E13</f>
        <v>4.15.2</v>
      </c>
      <c r="O5" s="356" t="str">
        <f>'KI-KD'!$E14</f>
        <v>4.21</v>
      </c>
      <c r="P5" s="356">
        <f>'KI-KD'!$E15</f>
        <v>0</v>
      </c>
      <c r="Q5" s="352">
        <f>'KI-KD'!$E16</f>
        <v>0</v>
      </c>
      <c r="R5" s="352">
        <f>'KI-KD'!$E17</f>
        <v>0</v>
      </c>
      <c r="S5" s="352">
        <f>'KI-KD'!$E18</f>
        <v>0</v>
      </c>
      <c r="T5" s="352">
        <f>'KI-KD'!$E19</f>
        <v>0</v>
      </c>
      <c r="U5" s="352">
        <f>'KI-KD'!$E20</f>
        <v>0</v>
      </c>
      <c r="V5" s="352">
        <f>'KI-KD'!$E21</f>
        <v>0</v>
      </c>
      <c r="W5" s="352">
        <f>'KI-KD'!$E22</f>
        <v>0</v>
      </c>
      <c r="X5" s="352">
        <f>'KI-KD'!$E23</f>
        <v>0</v>
      </c>
      <c r="Y5" s="352">
        <f>'KI-KD'!$E24</f>
        <v>0</v>
      </c>
      <c r="Z5" s="357">
        <f>'KI-KD'!$E154</f>
        <v>4.0999999999999996</v>
      </c>
      <c r="AA5" s="357">
        <f>'KI-KD'!$E155</f>
        <v>4.2</v>
      </c>
      <c r="AB5" s="357">
        <f>'KI-KD'!$E156</f>
        <v>4.3</v>
      </c>
      <c r="AC5" s="357">
        <f>'KI-KD'!$E157</f>
        <v>4.4000000000000004</v>
      </c>
      <c r="AD5" s="357">
        <f>'KI-KD'!$E158</f>
        <v>0</v>
      </c>
      <c r="AE5" s="357">
        <f>'KI-KD'!$E159</f>
        <v>0</v>
      </c>
      <c r="AF5" s="357">
        <f>'KI-KD'!$E160</f>
        <v>0</v>
      </c>
      <c r="AG5" s="357">
        <f>'KI-KD'!$E161</f>
        <v>0</v>
      </c>
      <c r="AH5" s="357">
        <f>'KI-KD'!$E162</f>
        <v>0</v>
      </c>
      <c r="AI5" s="357">
        <f>'KI-KD'!$E163</f>
        <v>0</v>
      </c>
      <c r="AJ5" s="357">
        <f>'KI-KD'!$E164</f>
        <v>0</v>
      </c>
      <c r="AK5" s="357">
        <f>'KI-KD'!$E165</f>
        <v>0</v>
      </c>
      <c r="AL5" s="358">
        <f>'KI-KD'!$E169</f>
        <v>4.0999999999999996</v>
      </c>
      <c r="AM5" s="358">
        <f>'KI-KD'!$E170</f>
        <v>4.2</v>
      </c>
      <c r="AN5" s="358">
        <f>'KI-KD'!$E171</f>
        <v>4.3</v>
      </c>
      <c r="AO5" s="358">
        <f>'KI-KD'!$E172</f>
        <v>4.4000000000000004</v>
      </c>
      <c r="AP5" s="358">
        <f>'KI-KD'!$E173</f>
        <v>4.5</v>
      </c>
      <c r="AQ5" s="358">
        <f>'KI-KD'!$E174</f>
        <v>4.5999999999999996</v>
      </c>
      <c r="AR5" s="358">
        <f>'KI-KD'!$E175</f>
        <v>4.7</v>
      </c>
      <c r="AS5" s="358">
        <f>'KI-KD'!$E176</f>
        <v>4.8</v>
      </c>
      <c r="AT5" s="358">
        <f>'KI-KD'!$E177</f>
        <v>0</v>
      </c>
      <c r="AU5" s="358">
        <f>'KI-KD'!$E178</f>
        <v>0</v>
      </c>
      <c r="AV5" s="358">
        <f>'KI-KD'!$E179</f>
        <v>0</v>
      </c>
      <c r="AW5" s="358">
        <f>'KI-KD'!$E180</f>
        <v>0</v>
      </c>
      <c r="AX5" s="357">
        <f>'KI-KD'!$E184</f>
        <v>4.0999999999999996</v>
      </c>
      <c r="AY5" s="357">
        <f>'KI-KD'!$E185</f>
        <v>4.2</v>
      </c>
      <c r="AZ5" s="357">
        <f>'KI-KD'!$E186</f>
        <v>4.3</v>
      </c>
      <c r="BA5" s="357">
        <f>'KI-KD'!$E187</f>
        <v>4.4000000000000004</v>
      </c>
      <c r="BB5" s="357">
        <f>'KI-KD'!$E188</f>
        <v>4.5</v>
      </c>
      <c r="BC5" s="357">
        <f>'KI-KD'!$E189</f>
        <v>4.5999999999999996</v>
      </c>
      <c r="BD5" s="357">
        <f>'KI-KD'!$E190</f>
        <v>0</v>
      </c>
      <c r="BE5" s="357">
        <f>'KI-KD'!$E191</f>
        <v>0</v>
      </c>
      <c r="BF5" s="357">
        <f>'KI-KD'!$E192</f>
        <v>0</v>
      </c>
      <c r="BG5" s="357">
        <f>'KI-KD'!$E193</f>
        <v>0</v>
      </c>
      <c r="BH5" s="357">
        <f>'KI-KD'!$E194</f>
        <v>0</v>
      </c>
      <c r="BI5" s="357">
        <f>'KI-KD'!$E195</f>
        <v>0</v>
      </c>
      <c r="BJ5" s="358">
        <f>'KI-KD'!$E199</f>
        <v>4.0999999999999996</v>
      </c>
      <c r="BK5" s="358">
        <f>'KI-KD'!$E200</f>
        <v>4.2</v>
      </c>
      <c r="BL5" s="358">
        <f>'KI-KD'!$E201</f>
        <v>4.3</v>
      </c>
      <c r="BM5" s="358">
        <f>'KI-KD'!$E202</f>
        <v>4.4000000000000004</v>
      </c>
      <c r="BN5" s="358">
        <f>'KI-KD'!$E203</f>
        <v>0</v>
      </c>
      <c r="BO5" s="358">
        <f>'KI-KD'!$E204</f>
        <v>0</v>
      </c>
      <c r="BP5" s="358">
        <f>'KI-KD'!$E205</f>
        <v>0</v>
      </c>
      <c r="BQ5" s="358">
        <f>'KI-KD'!$E206</f>
        <v>0</v>
      </c>
      <c r="BR5" s="358">
        <f>'KI-KD'!$E207</f>
        <v>0</v>
      </c>
      <c r="BS5" s="358">
        <f>'KI-KD'!$E208</f>
        <v>0</v>
      </c>
      <c r="BT5" s="358">
        <f>'KI-KD'!$E209</f>
        <v>0</v>
      </c>
      <c r="BU5" s="358">
        <f>'KI-KD'!$E210</f>
        <v>0</v>
      </c>
      <c r="BV5" s="357">
        <f>'KI-KD'!$E214</f>
        <v>4.0999999999999996</v>
      </c>
      <c r="BW5" s="357">
        <f>'KI-KD'!$E215</f>
        <v>4.2</v>
      </c>
      <c r="BX5" s="357">
        <f>'KI-KD'!$E216</f>
        <v>4.3</v>
      </c>
      <c r="BY5" s="357">
        <f>'KI-KD'!$E217</f>
        <v>4.4000000000000004</v>
      </c>
      <c r="BZ5" s="357">
        <f>'KI-KD'!$E218</f>
        <v>4.5</v>
      </c>
      <c r="CA5" s="357">
        <f>'KI-KD'!$E219</f>
        <v>4.5999999999999996</v>
      </c>
      <c r="CB5" s="357">
        <f>'KI-KD'!$E220</f>
        <v>0</v>
      </c>
      <c r="CC5" s="357">
        <f>'KI-KD'!$E221</f>
        <v>0</v>
      </c>
      <c r="CD5" s="357">
        <f>'KI-KD'!$E222</f>
        <v>0</v>
      </c>
      <c r="CE5" s="357">
        <f>'KI-KD'!$E223</f>
        <v>0</v>
      </c>
      <c r="CF5" s="357">
        <f>'KI-KD'!$E224</f>
        <v>0</v>
      </c>
      <c r="CG5" s="357">
        <f>'KI-KD'!$E225</f>
        <v>0</v>
      </c>
      <c r="CH5" s="356"/>
      <c r="CI5" s="1045"/>
      <c r="CJ5" s="1046"/>
      <c r="CK5" s="359" t="s">
        <v>317</v>
      </c>
      <c r="CL5" s="360" t="s">
        <v>1</v>
      </c>
      <c r="CM5" s="361" t="s">
        <v>317</v>
      </c>
      <c r="CN5" s="362" t="s">
        <v>1</v>
      </c>
      <c r="CO5" s="1029"/>
      <c r="CP5" s="363"/>
      <c r="CQ5" s="364" t="s">
        <v>318</v>
      </c>
      <c r="CR5" s="364" t="s">
        <v>319</v>
      </c>
      <c r="CS5" s="364" t="s">
        <v>320</v>
      </c>
      <c r="CT5" s="364" t="s">
        <v>321</v>
      </c>
      <c r="CU5" s="365" t="s">
        <v>314</v>
      </c>
      <c r="CV5" s="366"/>
      <c r="DF5" s="108"/>
      <c r="DG5" s="108">
        <v>50</v>
      </c>
    </row>
    <row r="6" spans="1:118" ht="62.25" customHeight="1">
      <c r="B6" s="109">
        <v>1</v>
      </c>
      <c r="C6" s="110">
        <f>SISWA!B6</f>
        <v>4822</v>
      </c>
      <c r="D6" s="111" t="str">
        <f>SISWA!E6</f>
        <v>Anak 1</v>
      </c>
      <c r="E6" s="124">
        <v>88</v>
      </c>
      <c r="F6" s="125"/>
      <c r="G6" s="125"/>
      <c r="H6" s="125"/>
      <c r="I6" s="125"/>
      <c r="J6" s="124"/>
      <c r="K6" s="124"/>
      <c r="L6" s="124"/>
      <c r="M6" s="124"/>
      <c r="N6" s="124"/>
      <c r="O6" s="124"/>
      <c r="P6" s="124"/>
      <c r="Q6" s="124"/>
      <c r="R6" s="124"/>
      <c r="S6" s="124"/>
      <c r="T6" s="124"/>
      <c r="U6" s="124"/>
      <c r="V6" s="124"/>
      <c r="W6" s="124"/>
      <c r="X6" s="124"/>
      <c r="Y6" s="124"/>
      <c r="Z6" s="332"/>
      <c r="AA6" s="332"/>
      <c r="AB6" s="332"/>
      <c r="AC6" s="332"/>
      <c r="AD6" s="332"/>
      <c r="AE6" s="332"/>
      <c r="AF6" s="332"/>
      <c r="AG6" s="332"/>
      <c r="AH6" s="332"/>
      <c r="AI6" s="332"/>
      <c r="AJ6" s="332"/>
      <c r="AK6" s="332"/>
      <c r="AL6" s="124"/>
      <c r="AM6" s="124"/>
      <c r="AN6" s="124"/>
      <c r="AO6" s="124"/>
      <c r="AP6" s="124"/>
      <c r="AQ6" s="124"/>
      <c r="AR6" s="124"/>
      <c r="AS6" s="124"/>
      <c r="AT6" s="124"/>
      <c r="AU6" s="124"/>
      <c r="AV6" s="124"/>
      <c r="AW6" s="124"/>
      <c r="AX6" s="332"/>
      <c r="AY6" s="332"/>
      <c r="AZ6" s="332"/>
      <c r="BA6" s="332"/>
      <c r="BB6" s="332"/>
      <c r="BC6" s="332"/>
      <c r="BD6" s="332"/>
      <c r="BE6" s="332"/>
      <c r="BF6" s="332"/>
      <c r="BG6" s="332"/>
      <c r="BH6" s="332"/>
      <c r="BI6" s="332"/>
      <c r="BJ6" s="124"/>
      <c r="BK6" s="124"/>
      <c r="BL6" s="124"/>
      <c r="BM6" s="124"/>
      <c r="BN6" s="124"/>
      <c r="BO6" s="124"/>
      <c r="BP6" s="124"/>
      <c r="BQ6" s="124"/>
      <c r="BR6" s="124"/>
      <c r="BS6" s="124"/>
      <c r="BT6" s="124"/>
      <c r="BU6" s="124"/>
      <c r="BV6" s="332"/>
      <c r="BW6" s="332"/>
      <c r="BX6" s="332"/>
      <c r="BY6" s="332"/>
      <c r="BZ6" s="332"/>
      <c r="CA6" s="332"/>
      <c r="CB6" s="332"/>
      <c r="CC6" s="332"/>
      <c r="CD6" s="332"/>
      <c r="CE6" s="332"/>
      <c r="CF6" s="332"/>
      <c r="CG6" s="332"/>
      <c r="CH6" s="112"/>
      <c r="CI6" s="302">
        <f>ROUND((AVERAGE(E6:CH6)),0)</f>
        <v>88</v>
      </c>
      <c r="CJ6" s="303" t="str">
        <f>IF(CI6&gt;KKM!$G$10,"A",IF(CI6&gt;KKM!$H$10,"B",IF(CI6&gt;=KKM!$I$10,"C","D")))</f>
        <v>B</v>
      </c>
      <c r="CK6" s="304">
        <f>MAX(E6:CH6)</f>
        <v>88</v>
      </c>
      <c r="CL6" s="309" t="str">
        <f>IF(CK6&gt;KKM!$G$10," sangat baik ",IF(CK6&gt;KKM!$H$10," baik ",IF(CK6&gt;=KKM!$I$10," cukup baik "," perlu bimbingan ")))</f>
        <v xml:space="preserve"> baik </v>
      </c>
      <c r="CM6" s="305">
        <f>MIN(E6:CH6)</f>
        <v>88</v>
      </c>
      <c r="CN6" s="309" t="str">
        <f>IF(CM6&gt;KKM!$G$10," sangat baik ",IF(CM6&gt;KKM!$H$10," baik ",IF(CM6&gt;=KKM!$I$10," cukup baik "," perlu bimbingan ")))</f>
        <v xml:space="preserve"> baik </v>
      </c>
      <c r="CO6" s="301" t="str">
        <f>IFERROR(CV6," ")</f>
        <v>Anak 1 baik  dalam membaca Q.S. al- Falaq dan Q.S.al-Fil dengan tartil</v>
      </c>
      <c r="CP6" s="306"/>
      <c r="CQ6" s="307" t="str">
        <f t="shared" ref="CQ6:CQ55" si="0">CL6&amp;" dalam "&amp;INDEX($E$4:$CH$4,MATCH(CK6,$E6:$CH6,0))</f>
        <v xml:space="preserve"> baik  dalam membaca Q.S. al- Falaq dan Q.S.al-Fil dengan tartil</v>
      </c>
      <c r="CR6" s="307" t="str">
        <f t="shared" ref="CR6:CR55" si="1">CN6&amp;" dalam "&amp;INDEX($E$4:$CH$4,MATCH(CM6,$E6:$CH6,0))</f>
        <v xml:space="preserve"> baik  dalam membaca Q.S. al- Falaq dan Q.S.al-Fil dengan tartil</v>
      </c>
      <c r="CS6" s="307" t="str">
        <f>CQ6&amp;", dan "&amp;CR6</f>
        <v xml:space="preserve"> baik  dalam membaca Q.S. al- Falaq dan Q.S.al-Fil dengan tartil, dan  baik  dalam membaca Q.S. al- Falaq dan Q.S.al-Fil dengan tartil</v>
      </c>
      <c r="CT6" s="307" t="str">
        <f>IF(CQ6=CR6,CQ6," ")</f>
        <v xml:space="preserve"> baik  dalam membaca Q.S. al- Falaq dan Q.S.al-Fil dengan tartil</v>
      </c>
      <c r="CU6" s="308" t="str">
        <f>IF(CT6=" ",CS6,CT6)</f>
        <v xml:space="preserve"> baik  dalam membaca Q.S. al- Falaq dan Q.S.al-Fil dengan tartil</v>
      </c>
      <c r="CV6" s="301" t="str">
        <f t="shared" ref="CV6:CV37" si="2">CONCATENATE(D6,CU6)</f>
        <v>Anak 1 baik  dalam membaca Q.S. al- Falaq dan Q.S.al-Fil dengan tartil</v>
      </c>
      <c r="CW6" s="120"/>
      <c r="DF6" s="408">
        <f>IFERROR(CI6,"")</f>
        <v>88</v>
      </c>
      <c r="DG6" s="408">
        <f>COUNTBLANK(DF6:DF55)</f>
        <v>47</v>
      </c>
    </row>
    <row r="7" spans="1:118" ht="62.25" customHeight="1">
      <c r="B7" s="109">
        <v>2</v>
      </c>
      <c r="C7" s="110">
        <f>SISWA!B7</f>
        <v>0</v>
      </c>
      <c r="D7" s="111" t="str">
        <f>SISWA!E7</f>
        <v>Anak 2</v>
      </c>
      <c r="E7" s="124"/>
      <c r="F7" s="125">
        <v>78</v>
      </c>
      <c r="G7" s="125"/>
      <c r="H7" s="125"/>
      <c r="I7" s="125"/>
      <c r="J7" s="124"/>
      <c r="K7" s="124"/>
      <c r="L7" s="124"/>
      <c r="M7" s="124"/>
      <c r="N7" s="124"/>
      <c r="O7" s="124"/>
      <c r="P7" s="124"/>
      <c r="Q7" s="124"/>
      <c r="R7" s="124"/>
      <c r="S7" s="124"/>
      <c r="T7" s="124"/>
      <c r="U7" s="124"/>
      <c r="V7" s="124"/>
      <c r="W7" s="124"/>
      <c r="X7" s="124"/>
      <c r="Y7" s="124"/>
      <c r="Z7" s="332"/>
      <c r="AA7" s="332"/>
      <c r="AB7" s="332"/>
      <c r="AC7" s="332"/>
      <c r="AD7" s="332"/>
      <c r="AE7" s="332"/>
      <c r="AF7" s="332"/>
      <c r="AG7" s="332"/>
      <c r="AH7" s="332"/>
      <c r="AI7" s="332"/>
      <c r="AJ7" s="332"/>
      <c r="AK7" s="332"/>
      <c r="AL7" s="124"/>
      <c r="AM7" s="124"/>
      <c r="AN7" s="124"/>
      <c r="AO7" s="124"/>
      <c r="AP7" s="124"/>
      <c r="AQ7" s="124"/>
      <c r="AR7" s="124"/>
      <c r="AS7" s="124"/>
      <c r="AT7" s="124"/>
      <c r="AU7" s="124"/>
      <c r="AV7" s="124"/>
      <c r="AW7" s="124"/>
      <c r="AX7" s="332"/>
      <c r="AY7" s="332"/>
      <c r="AZ7" s="332"/>
      <c r="BA7" s="332"/>
      <c r="BB7" s="332"/>
      <c r="BC7" s="332"/>
      <c r="BD7" s="332"/>
      <c r="BE7" s="332"/>
      <c r="BF7" s="332"/>
      <c r="BG7" s="332"/>
      <c r="BH7" s="332"/>
      <c r="BI7" s="332"/>
      <c r="BJ7" s="124"/>
      <c r="BK7" s="124"/>
      <c r="BL7" s="124"/>
      <c r="BM7" s="124"/>
      <c r="BN7" s="124"/>
      <c r="BO7" s="124"/>
      <c r="BP7" s="124"/>
      <c r="BQ7" s="124"/>
      <c r="BR7" s="124"/>
      <c r="BS7" s="124"/>
      <c r="BT7" s="124"/>
      <c r="BU7" s="124"/>
      <c r="BV7" s="332"/>
      <c r="BW7" s="332"/>
      <c r="BX7" s="332"/>
      <c r="BY7" s="332"/>
      <c r="BZ7" s="332"/>
      <c r="CA7" s="332"/>
      <c r="CB7" s="332"/>
      <c r="CC7" s="332"/>
      <c r="CD7" s="332"/>
      <c r="CE7" s="332"/>
      <c r="CF7" s="332"/>
      <c r="CG7" s="332"/>
      <c r="CH7" s="112"/>
      <c r="CI7" s="302">
        <f t="shared" ref="CI7:CI55" si="3">ROUND((AVERAGE(E7:CH7)),0)</f>
        <v>78</v>
      </c>
      <c r="CJ7" s="303" t="str">
        <f>IF(CI7&gt;KKM!$G$10,"A",IF(CI7&gt;KKM!$H$10,"B",IF(CI7&gt;=KKM!$I$10,"C","D")))</f>
        <v>C</v>
      </c>
      <c r="CK7" s="304">
        <f t="shared" ref="CK7:CK55" si="4">MAX(E7:CH7)</f>
        <v>78</v>
      </c>
      <c r="CL7" s="309" t="str">
        <f>IF(CK7&gt;KKM!$G$10," sangat baik ",IF(CK7&gt;KKM!$H$10," baik ",IF(CK7&gt;=KKM!$I$10," cukup baik "," perlu bimbingan ")))</f>
        <v xml:space="preserve"> cukup baik </v>
      </c>
      <c r="CM7" s="305">
        <f t="shared" ref="CM7:CM55" si="5">MIN(E7:CH7)</f>
        <v>78</v>
      </c>
      <c r="CN7" s="309" t="str">
        <f>IF(CM7&gt;KKM!$G$10," sangat baik ",IF(CM7&gt;KKM!$H$10," baik ",IF(CM7&gt;=KKM!$I$10," cukup baik "," perlu bimbingan ")))</f>
        <v xml:space="preserve"> cukup baik </v>
      </c>
      <c r="CO7" s="301" t="str">
        <f t="shared" ref="CO7:CO55" si="6">IFERROR(CV7," ")</f>
        <v>Anak 2 cukup baik  dalam menulis kalimat- kalimat dalam Q.S. al-Falaq dan Q.S. al-Fil dengan benar</v>
      </c>
      <c r="CP7" s="306"/>
      <c r="CQ7" s="307" t="str">
        <f t="shared" si="0"/>
        <v xml:space="preserve"> cukup baik  dalam menulis kalimat- kalimat dalam Q.S. al-Falaq dan Q.S. al-Fil dengan benar</v>
      </c>
      <c r="CR7" s="307" t="str">
        <f t="shared" si="1"/>
        <v xml:space="preserve"> cukup baik  dalam menulis kalimat- kalimat dalam Q.S. al-Falaq dan Q.S. al-Fil dengan benar</v>
      </c>
      <c r="CS7" s="307" t="str">
        <f t="shared" ref="CS7:CS55" si="7">CQ7&amp;", dan "&amp;CR7</f>
        <v xml:space="preserve"> cukup baik  dalam menulis kalimat- kalimat dalam Q.S. al-Falaq dan Q.S. al-Fil dengan benar, dan  cukup baik  dalam menulis kalimat- kalimat dalam Q.S. al-Falaq dan Q.S. al-Fil dengan benar</v>
      </c>
      <c r="CT7" s="307" t="str">
        <f t="shared" ref="CT7:CT55" si="8">IF(CQ7=CR7,CQ7," ")</f>
        <v xml:space="preserve"> cukup baik  dalam menulis kalimat- kalimat dalam Q.S. al-Falaq dan Q.S. al-Fil dengan benar</v>
      </c>
      <c r="CU7" s="308" t="str">
        <f t="shared" ref="CU7:CU55" si="9">IF(CT7=" ",CS7,CT7)</f>
        <v xml:space="preserve"> cukup baik  dalam menulis kalimat- kalimat dalam Q.S. al-Falaq dan Q.S. al-Fil dengan benar</v>
      </c>
      <c r="CV7" s="301" t="str">
        <f t="shared" si="2"/>
        <v>Anak 2 cukup baik  dalam menulis kalimat- kalimat dalam Q.S. al-Falaq dan Q.S. al-Fil dengan benar</v>
      </c>
      <c r="CW7" s="120"/>
      <c r="DF7" s="408">
        <f t="shared" ref="DF7:DF55" si="10">IFERROR(CI7,"")</f>
        <v>78</v>
      </c>
      <c r="DG7" s="442">
        <f>IFERROR(DG4/DG3,"0%")</f>
        <v>0.06</v>
      </c>
    </row>
    <row r="8" spans="1:118" ht="62.25" customHeight="1">
      <c r="B8" s="109">
        <v>3</v>
      </c>
      <c r="C8" s="110">
        <f>SISWA!B8</f>
        <v>0</v>
      </c>
      <c r="D8" s="111" t="str">
        <f>SISWA!E8</f>
        <v>Anak 3</v>
      </c>
      <c r="E8" s="124"/>
      <c r="F8" s="125">
        <v>89</v>
      </c>
      <c r="G8" s="125"/>
      <c r="H8" s="125"/>
      <c r="I8" s="125"/>
      <c r="J8" s="124"/>
      <c r="K8" s="124"/>
      <c r="L8" s="124"/>
      <c r="M8" s="124"/>
      <c r="N8" s="124"/>
      <c r="O8" s="124"/>
      <c r="P8" s="124"/>
      <c r="Q8" s="124"/>
      <c r="R8" s="124"/>
      <c r="S8" s="124"/>
      <c r="T8" s="124"/>
      <c r="U8" s="124"/>
      <c r="V8" s="124"/>
      <c r="W8" s="124"/>
      <c r="X8" s="124"/>
      <c r="Y8" s="124"/>
      <c r="Z8" s="332"/>
      <c r="AA8" s="332"/>
      <c r="AB8" s="332"/>
      <c r="AC8" s="332"/>
      <c r="AD8" s="332"/>
      <c r="AE8" s="332"/>
      <c r="AF8" s="332"/>
      <c r="AG8" s="332"/>
      <c r="AH8" s="332"/>
      <c r="AI8" s="332"/>
      <c r="AJ8" s="332"/>
      <c r="AK8" s="332"/>
      <c r="AL8" s="124"/>
      <c r="AM8" s="124"/>
      <c r="AN8" s="124"/>
      <c r="AO8" s="124"/>
      <c r="AP8" s="124"/>
      <c r="AQ8" s="124"/>
      <c r="AR8" s="124"/>
      <c r="AS8" s="124"/>
      <c r="AT8" s="124"/>
      <c r="AU8" s="124"/>
      <c r="AV8" s="124"/>
      <c r="AW8" s="124"/>
      <c r="AX8" s="332"/>
      <c r="AY8" s="332"/>
      <c r="AZ8" s="332"/>
      <c r="BA8" s="332"/>
      <c r="BB8" s="332"/>
      <c r="BC8" s="332"/>
      <c r="BD8" s="332"/>
      <c r="BE8" s="332"/>
      <c r="BF8" s="332"/>
      <c r="BG8" s="332"/>
      <c r="BH8" s="332"/>
      <c r="BI8" s="332"/>
      <c r="BJ8" s="124"/>
      <c r="BK8" s="124"/>
      <c r="BL8" s="124"/>
      <c r="BM8" s="124"/>
      <c r="BN8" s="124"/>
      <c r="BO8" s="124"/>
      <c r="BP8" s="124"/>
      <c r="BQ8" s="124"/>
      <c r="BR8" s="124"/>
      <c r="BS8" s="124"/>
      <c r="BT8" s="124"/>
      <c r="BU8" s="124"/>
      <c r="BV8" s="332"/>
      <c r="BW8" s="332"/>
      <c r="BX8" s="332"/>
      <c r="BY8" s="332"/>
      <c r="BZ8" s="332"/>
      <c r="CA8" s="332"/>
      <c r="CB8" s="332"/>
      <c r="CC8" s="332"/>
      <c r="CD8" s="332"/>
      <c r="CE8" s="332"/>
      <c r="CF8" s="332"/>
      <c r="CG8" s="332"/>
      <c r="CH8" s="112"/>
      <c r="CI8" s="302">
        <f t="shared" si="3"/>
        <v>89</v>
      </c>
      <c r="CJ8" s="303" t="str">
        <f>IF(CI8&gt;KKM!$G$10,"A",IF(CI8&gt;KKM!$H$10,"B",IF(CI8&gt;=KKM!$I$10,"C","D")))</f>
        <v>B</v>
      </c>
      <c r="CK8" s="304">
        <f t="shared" si="4"/>
        <v>89</v>
      </c>
      <c r="CL8" s="309" t="str">
        <f>IF(CK8&gt;KKM!$G$10," sangat baik ",IF(CK8&gt;KKM!$H$10," baik ",IF(CK8&gt;=KKM!$I$10," cukup baik "," perlu bimbingan ")))</f>
        <v xml:space="preserve"> baik </v>
      </c>
      <c r="CM8" s="305">
        <f t="shared" si="5"/>
        <v>89</v>
      </c>
      <c r="CN8" s="309" t="str">
        <f>IF(CM8&gt;KKM!$G$10," sangat baik ",IF(CM8&gt;KKM!$H$10," baik ",IF(CM8&gt;=KKM!$I$10," cukup baik "," perlu bimbingan ")))</f>
        <v xml:space="preserve"> baik </v>
      </c>
      <c r="CO8" s="301" t="str">
        <f t="shared" si="6"/>
        <v>Anak 3 baik  dalam menulis kalimat- kalimat dalam Q.S. al-Falaq dan Q.S. al-Fil dengan benar</v>
      </c>
      <c r="CP8" s="306"/>
      <c r="CQ8" s="307" t="str">
        <f t="shared" si="0"/>
        <v xml:space="preserve"> baik  dalam menulis kalimat- kalimat dalam Q.S. al-Falaq dan Q.S. al-Fil dengan benar</v>
      </c>
      <c r="CR8" s="307" t="str">
        <f t="shared" si="1"/>
        <v xml:space="preserve"> baik  dalam menulis kalimat- kalimat dalam Q.S. al-Falaq dan Q.S. al-Fil dengan benar</v>
      </c>
      <c r="CS8" s="307" t="str">
        <f t="shared" si="7"/>
        <v xml:space="preserve"> baik  dalam menulis kalimat- kalimat dalam Q.S. al-Falaq dan Q.S. al-Fil dengan benar, dan  baik  dalam menulis kalimat- kalimat dalam Q.S. al-Falaq dan Q.S. al-Fil dengan benar</v>
      </c>
      <c r="CT8" s="307" t="str">
        <f t="shared" si="8"/>
        <v xml:space="preserve"> baik  dalam menulis kalimat- kalimat dalam Q.S. al-Falaq dan Q.S. al-Fil dengan benar</v>
      </c>
      <c r="CU8" s="308" t="str">
        <f t="shared" si="9"/>
        <v xml:space="preserve"> baik  dalam menulis kalimat- kalimat dalam Q.S. al-Falaq dan Q.S. al-Fil dengan benar</v>
      </c>
      <c r="CV8" s="301" t="str">
        <f t="shared" si="2"/>
        <v>Anak 3 baik  dalam menulis kalimat- kalimat dalam Q.S. al-Falaq dan Q.S. al-Fil dengan benar</v>
      </c>
      <c r="CW8" s="120"/>
      <c r="DF8" s="408">
        <f t="shared" si="10"/>
        <v>89</v>
      </c>
    </row>
    <row r="9" spans="1:118" ht="62.25" customHeight="1">
      <c r="B9" s="109">
        <v>4</v>
      </c>
      <c r="C9" s="110">
        <f>SISWA!B9</f>
        <v>0</v>
      </c>
      <c r="D9" s="111" t="str">
        <f>SISWA!E9</f>
        <v>Anak 4</v>
      </c>
      <c r="E9" s="124"/>
      <c r="F9" s="125"/>
      <c r="G9" s="125"/>
      <c r="H9" s="125"/>
      <c r="I9" s="125"/>
      <c r="J9" s="124"/>
      <c r="K9" s="124"/>
      <c r="L9" s="124"/>
      <c r="M9" s="124"/>
      <c r="N9" s="124"/>
      <c r="O9" s="124"/>
      <c r="P9" s="124"/>
      <c r="Q9" s="124"/>
      <c r="R9" s="124"/>
      <c r="S9" s="124"/>
      <c r="T9" s="124"/>
      <c r="U9" s="124"/>
      <c r="V9" s="124"/>
      <c r="W9" s="124"/>
      <c r="X9" s="124"/>
      <c r="Y9" s="124"/>
      <c r="Z9" s="332"/>
      <c r="AA9" s="332"/>
      <c r="AB9" s="332"/>
      <c r="AC9" s="332"/>
      <c r="AD9" s="332"/>
      <c r="AE9" s="332"/>
      <c r="AF9" s="332"/>
      <c r="AG9" s="332"/>
      <c r="AH9" s="332"/>
      <c r="AI9" s="332"/>
      <c r="AJ9" s="332"/>
      <c r="AK9" s="332"/>
      <c r="AL9" s="124"/>
      <c r="AM9" s="124"/>
      <c r="AN9" s="124"/>
      <c r="AO9" s="124"/>
      <c r="AP9" s="124"/>
      <c r="AQ9" s="124"/>
      <c r="AR9" s="124"/>
      <c r="AS9" s="124"/>
      <c r="AT9" s="124"/>
      <c r="AU9" s="124"/>
      <c r="AV9" s="124"/>
      <c r="AW9" s="124"/>
      <c r="AX9" s="332"/>
      <c r="AY9" s="332"/>
      <c r="AZ9" s="332"/>
      <c r="BA9" s="332"/>
      <c r="BB9" s="332"/>
      <c r="BC9" s="332"/>
      <c r="BD9" s="332"/>
      <c r="BE9" s="332"/>
      <c r="BF9" s="332"/>
      <c r="BG9" s="332"/>
      <c r="BH9" s="332"/>
      <c r="BI9" s="332"/>
      <c r="BJ9" s="124"/>
      <c r="BK9" s="124"/>
      <c r="BL9" s="124"/>
      <c r="BM9" s="124"/>
      <c r="BN9" s="124"/>
      <c r="BO9" s="124"/>
      <c r="BP9" s="124"/>
      <c r="BQ9" s="124"/>
      <c r="BR9" s="124"/>
      <c r="BS9" s="124"/>
      <c r="BT9" s="124"/>
      <c r="BU9" s="124"/>
      <c r="BV9" s="332"/>
      <c r="BW9" s="332"/>
      <c r="BX9" s="332"/>
      <c r="BY9" s="332"/>
      <c r="BZ9" s="332"/>
      <c r="CA9" s="332"/>
      <c r="CB9" s="332"/>
      <c r="CC9" s="332"/>
      <c r="CD9" s="332"/>
      <c r="CE9" s="332"/>
      <c r="CF9" s="332"/>
      <c r="CG9" s="332"/>
      <c r="CH9" s="112"/>
      <c r="CI9" s="302" t="e">
        <f t="shared" si="3"/>
        <v>#DIV/0!</v>
      </c>
      <c r="CJ9" s="303" t="e">
        <f>IF(CI9&gt;KKM!$G$10,"A",IF(CI9&gt;KKM!$H$10,"B",IF(CI9&gt;=KKM!$I$10,"C","D")))</f>
        <v>#DIV/0!</v>
      </c>
      <c r="CK9" s="304">
        <f t="shared" si="4"/>
        <v>0</v>
      </c>
      <c r="CL9" s="309" t="str">
        <f>IF(CK9&gt;KKM!$G$10," sangat baik ",IF(CK9&gt;KKM!$H$10," baik ",IF(CK9&gt;=KKM!$I$10," cukup baik "," perlu bimbingan ")))</f>
        <v xml:space="preserve"> perlu bimbingan </v>
      </c>
      <c r="CM9" s="305">
        <f t="shared" si="5"/>
        <v>0</v>
      </c>
      <c r="CN9" s="309" t="str">
        <f>IF(CM9&gt;KKM!$G$10," sangat baik ",IF(CM9&gt;KKM!$H$10," baik ",IF(CM9&gt;=KKM!$I$10," cukup baik "," perlu bimbingan ")))</f>
        <v xml:space="preserve"> perlu bimbingan </v>
      </c>
      <c r="CO9" s="301" t="str">
        <f t="shared" si="6"/>
        <v xml:space="preserve"> </v>
      </c>
      <c r="CP9" s="306"/>
      <c r="CQ9" s="307" t="e">
        <f t="shared" si="0"/>
        <v>#N/A</v>
      </c>
      <c r="CR9" s="307" t="e">
        <f t="shared" si="1"/>
        <v>#N/A</v>
      </c>
      <c r="CS9" s="307" t="e">
        <f t="shared" si="7"/>
        <v>#N/A</v>
      </c>
      <c r="CT9" s="307" t="e">
        <f t="shared" si="8"/>
        <v>#N/A</v>
      </c>
      <c r="CU9" s="308" t="e">
        <f t="shared" si="9"/>
        <v>#N/A</v>
      </c>
      <c r="CV9" s="301" t="e">
        <f t="shared" si="2"/>
        <v>#N/A</v>
      </c>
      <c r="CW9" s="120"/>
      <c r="DF9" s="408" t="str">
        <f t="shared" si="10"/>
        <v/>
      </c>
    </row>
    <row r="10" spans="1:118" ht="62.25" customHeight="1">
      <c r="B10" s="109">
        <v>5</v>
      </c>
      <c r="C10" s="110">
        <f>SISWA!B10</f>
        <v>0</v>
      </c>
      <c r="D10" s="111" t="str">
        <f>SISWA!E10</f>
        <v>Anak 5</v>
      </c>
      <c r="E10" s="124"/>
      <c r="F10" s="125"/>
      <c r="G10" s="125"/>
      <c r="H10" s="125"/>
      <c r="I10" s="125"/>
      <c r="J10" s="124"/>
      <c r="K10" s="124"/>
      <c r="L10" s="124"/>
      <c r="M10" s="124"/>
      <c r="N10" s="124"/>
      <c r="O10" s="124"/>
      <c r="P10" s="124"/>
      <c r="Q10" s="124"/>
      <c r="R10" s="124"/>
      <c r="S10" s="124"/>
      <c r="T10" s="124"/>
      <c r="U10" s="124"/>
      <c r="V10" s="124"/>
      <c r="W10" s="124"/>
      <c r="X10" s="124"/>
      <c r="Y10" s="124"/>
      <c r="Z10" s="332"/>
      <c r="AA10" s="332"/>
      <c r="AB10" s="332"/>
      <c r="AC10" s="332"/>
      <c r="AD10" s="332"/>
      <c r="AE10" s="332"/>
      <c r="AF10" s="332"/>
      <c r="AG10" s="332"/>
      <c r="AH10" s="332"/>
      <c r="AI10" s="332"/>
      <c r="AJ10" s="332"/>
      <c r="AK10" s="332"/>
      <c r="AL10" s="124"/>
      <c r="AM10" s="124"/>
      <c r="AN10" s="124"/>
      <c r="AO10" s="124"/>
      <c r="AP10" s="124"/>
      <c r="AQ10" s="124"/>
      <c r="AR10" s="124"/>
      <c r="AS10" s="124"/>
      <c r="AT10" s="124"/>
      <c r="AU10" s="124"/>
      <c r="AV10" s="124"/>
      <c r="AW10" s="124"/>
      <c r="AX10" s="332"/>
      <c r="AY10" s="332"/>
      <c r="AZ10" s="332"/>
      <c r="BA10" s="332"/>
      <c r="BB10" s="332"/>
      <c r="BC10" s="332"/>
      <c r="BD10" s="332"/>
      <c r="BE10" s="332"/>
      <c r="BF10" s="332"/>
      <c r="BG10" s="332"/>
      <c r="BH10" s="332"/>
      <c r="BI10" s="332"/>
      <c r="BJ10" s="124"/>
      <c r="BK10" s="124"/>
      <c r="BL10" s="124"/>
      <c r="BM10" s="124"/>
      <c r="BN10" s="124"/>
      <c r="BO10" s="124"/>
      <c r="BP10" s="124"/>
      <c r="BQ10" s="124"/>
      <c r="BR10" s="124"/>
      <c r="BS10" s="124"/>
      <c r="BT10" s="124"/>
      <c r="BU10" s="124"/>
      <c r="BV10" s="332"/>
      <c r="BW10" s="332"/>
      <c r="BX10" s="332"/>
      <c r="BY10" s="332"/>
      <c r="BZ10" s="332"/>
      <c r="CA10" s="332"/>
      <c r="CB10" s="332"/>
      <c r="CC10" s="332"/>
      <c r="CD10" s="332"/>
      <c r="CE10" s="332"/>
      <c r="CF10" s="332"/>
      <c r="CG10" s="332"/>
      <c r="CH10" s="112"/>
      <c r="CI10" s="302" t="e">
        <f t="shared" si="3"/>
        <v>#DIV/0!</v>
      </c>
      <c r="CJ10" s="303" t="e">
        <f>IF(CI10&gt;KKM!$G$10,"A",IF(CI10&gt;KKM!$H$10,"B",IF(CI10&gt;=KKM!$I$10,"C","D")))</f>
        <v>#DIV/0!</v>
      </c>
      <c r="CK10" s="304">
        <f t="shared" si="4"/>
        <v>0</v>
      </c>
      <c r="CL10" s="309" t="str">
        <f>IF(CK10&gt;KKM!$G$10," sangat baik ",IF(CK10&gt;KKM!$H$10," baik ",IF(CK10&gt;=KKM!$I$10," cukup baik "," perlu bimbingan ")))</f>
        <v xml:space="preserve"> perlu bimbingan </v>
      </c>
      <c r="CM10" s="305">
        <f t="shared" si="5"/>
        <v>0</v>
      </c>
      <c r="CN10" s="309" t="str">
        <f>IF(CM10&gt;KKM!$G$10," sangat baik ",IF(CM10&gt;KKM!$H$10," baik ",IF(CM10&gt;=KKM!$I$10," cukup baik "," perlu bimbingan ")))</f>
        <v xml:space="preserve"> perlu bimbingan </v>
      </c>
      <c r="CO10" s="301" t="str">
        <f t="shared" si="6"/>
        <v xml:space="preserve"> </v>
      </c>
      <c r="CP10" s="306"/>
      <c r="CQ10" s="307" t="e">
        <f t="shared" si="0"/>
        <v>#N/A</v>
      </c>
      <c r="CR10" s="307" t="e">
        <f t="shared" si="1"/>
        <v>#N/A</v>
      </c>
      <c r="CS10" s="307" t="e">
        <f t="shared" si="7"/>
        <v>#N/A</v>
      </c>
      <c r="CT10" s="307" t="e">
        <f t="shared" si="8"/>
        <v>#N/A</v>
      </c>
      <c r="CU10" s="308" t="e">
        <f t="shared" si="9"/>
        <v>#N/A</v>
      </c>
      <c r="CV10" s="301" t="e">
        <f t="shared" si="2"/>
        <v>#N/A</v>
      </c>
      <c r="CW10" s="120"/>
      <c r="DF10" s="408" t="str">
        <f t="shared" si="10"/>
        <v/>
      </c>
    </row>
    <row r="11" spans="1:118" ht="62.25" customHeight="1">
      <c r="B11" s="109">
        <v>6</v>
      </c>
      <c r="C11" s="110">
        <f>SISWA!B11</f>
        <v>0</v>
      </c>
      <c r="D11" s="111" t="str">
        <f>SISWA!E11</f>
        <v>Anak 6</v>
      </c>
      <c r="E11" s="124"/>
      <c r="F11" s="125"/>
      <c r="G11" s="125"/>
      <c r="H11" s="125"/>
      <c r="I11" s="125"/>
      <c r="J11" s="124"/>
      <c r="K11" s="124"/>
      <c r="L11" s="124"/>
      <c r="M11" s="124"/>
      <c r="N11" s="124"/>
      <c r="O11" s="124"/>
      <c r="P11" s="124"/>
      <c r="Q11" s="124"/>
      <c r="R11" s="124"/>
      <c r="S11" s="124"/>
      <c r="T11" s="124"/>
      <c r="U11" s="124"/>
      <c r="V11" s="124"/>
      <c r="W11" s="124"/>
      <c r="X11" s="124"/>
      <c r="Y11" s="124"/>
      <c r="Z11" s="332"/>
      <c r="AA11" s="332"/>
      <c r="AB11" s="332"/>
      <c r="AC11" s="332"/>
      <c r="AD11" s="332"/>
      <c r="AE11" s="332"/>
      <c r="AF11" s="332"/>
      <c r="AG11" s="332"/>
      <c r="AH11" s="332"/>
      <c r="AI11" s="332"/>
      <c r="AJ11" s="332"/>
      <c r="AK11" s="332"/>
      <c r="AL11" s="124"/>
      <c r="AM11" s="124"/>
      <c r="AN11" s="124"/>
      <c r="AO11" s="124"/>
      <c r="AP11" s="124"/>
      <c r="AQ11" s="124"/>
      <c r="AR11" s="124"/>
      <c r="AS11" s="124"/>
      <c r="AT11" s="124"/>
      <c r="AU11" s="124"/>
      <c r="AV11" s="124"/>
      <c r="AW11" s="124"/>
      <c r="AX11" s="332"/>
      <c r="AY11" s="332"/>
      <c r="AZ11" s="332"/>
      <c r="BA11" s="332"/>
      <c r="BB11" s="332"/>
      <c r="BC11" s="332"/>
      <c r="BD11" s="332"/>
      <c r="BE11" s="332"/>
      <c r="BF11" s="332"/>
      <c r="BG11" s="332"/>
      <c r="BH11" s="332"/>
      <c r="BI11" s="332"/>
      <c r="BJ11" s="124"/>
      <c r="BK11" s="124"/>
      <c r="BL11" s="124"/>
      <c r="BM11" s="124"/>
      <c r="BN11" s="124"/>
      <c r="BO11" s="124"/>
      <c r="BP11" s="124"/>
      <c r="BQ11" s="124"/>
      <c r="BR11" s="124"/>
      <c r="BS11" s="124"/>
      <c r="BT11" s="124"/>
      <c r="BU11" s="124"/>
      <c r="BV11" s="332"/>
      <c r="BW11" s="332"/>
      <c r="BX11" s="332"/>
      <c r="BY11" s="332"/>
      <c r="BZ11" s="332"/>
      <c r="CA11" s="332"/>
      <c r="CB11" s="332"/>
      <c r="CC11" s="332"/>
      <c r="CD11" s="332"/>
      <c r="CE11" s="332"/>
      <c r="CF11" s="332"/>
      <c r="CG11" s="332"/>
      <c r="CH11" s="112"/>
      <c r="CI11" s="302" t="e">
        <f t="shared" si="3"/>
        <v>#DIV/0!</v>
      </c>
      <c r="CJ11" s="303" t="e">
        <f>IF(CI11&gt;KKM!$G$10,"A",IF(CI11&gt;KKM!$H$10,"B",IF(CI11&gt;=KKM!$I$10,"C","D")))</f>
        <v>#DIV/0!</v>
      </c>
      <c r="CK11" s="304">
        <f t="shared" si="4"/>
        <v>0</v>
      </c>
      <c r="CL11" s="309" t="str">
        <f>IF(CK11&gt;KKM!$G$10," sangat baik ",IF(CK11&gt;KKM!$H$10," baik ",IF(CK11&gt;=KKM!$I$10," cukup baik "," perlu bimbingan ")))</f>
        <v xml:space="preserve"> perlu bimbingan </v>
      </c>
      <c r="CM11" s="305">
        <f t="shared" si="5"/>
        <v>0</v>
      </c>
      <c r="CN11" s="309" t="str">
        <f>IF(CM11&gt;KKM!$G$10," sangat baik ",IF(CM11&gt;KKM!$H$10," baik ",IF(CM11&gt;=KKM!$I$10," cukup baik "," perlu bimbingan ")))</f>
        <v xml:space="preserve"> perlu bimbingan </v>
      </c>
      <c r="CO11" s="301" t="str">
        <f t="shared" si="6"/>
        <v xml:space="preserve"> </v>
      </c>
      <c r="CP11" s="306"/>
      <c r="CQ11" s="307" t="e">
        <f t="shared" si="0"/>
        <v>#N/A</v>
      </c>
      <c r="CR11" s="307" t="e">
        <f t="shared" si="1"/>
        <v>#N/A</v>
      </c>
      <c r="CS11" s="307" t="e">
        <f t="shared" si="7"/>
        <v>#N/A</v>
      </c>
      <c r="CT11" s="307" t="e">
        <f t="shared" si="8"/>
        <v>#N/A</v>
      </c>
      <c r="CU11" s="308" t="e">
        <f t="shared" si="9"/>
        <v>#N/A</v>
      </c>
      <c r="CV11" s="301" t="e">
        <f t="shared" si="2"/>
        <v>#N/A</v>
      </c>
      <c r="CW11" s="120"/>
      <c r="DF11" s="408" t="str">
        <f t="shared" si="10"/>
        <v/>
      </c>
    </row>
    <row r="12" spans="1:118" ht="62.25" customHeight="1">
      <c r="B12" s="109">
        <v>7</v>
      </c>
      <c r="C12" s="110">
        <f>SISWA!B12</f>
        <v>0</v>
      </c>
      <c r="D12" s="111" t="str">
        <f>SISWA!E12</f>
        <v>Anak 7</v>
      </c>
      <c r="E12" s="124"/>
      <c r="F12" s="125"/>
      <c r="G12" s="125"/>
      <c r="H12" s="125"/>
      <c r="I12" s="125"/>
      <c r="J12" s="124"/>
      <c r="K12" s="124"/>
      <c r="L12" s="124"/>
      <c r="M12" s="124"/>
      <c r="N12" s="124"/>
      <c r="O12" s="124"/>
      <c r="P12" s="124"/>
      <c r="Q12" s="124"/>
      <c r="R12" s="124"/>
      <c r="S12" s="124"/>
      <c r="T12" s="124"/>
      <c r="U12" s="124"/>
      <c r="V12" s="124"/>
      <c r="W12" s="124"/>
      <c r="X12" s="124"/>
      <c r="Y12" s="124"/>
      <c r="Z12" s="332"/>
      <c r="AA12" s="332"/>
      <c r="AB12" s="332"/>
      <c r="AC12" s="332"/>
      <c r="AD12" s="332"/>
      <c r="AE12" s="332"/>
      <c r="AF12" s="332"/>
      <c r="AG12" s="332"/>
      <c r="AH12" s="332"/>
      <c r="AI12" s="332"/>
      <c r="AJ12" s="332"/>
      <c r="AK12" s="332"/>
      <c r="AL12" s="124"/>
      <c r="AM12" s="124"/>
      <c r="AN12" s="124"/>
      <c r="AO12" s="124"/>
      <c r="AP12" s="124"/>
      <c r="AQ12" s="124"/>
      <c r="AR12" s="124"/>
      <c r="AS12" s="124"/>
      <c r="AT12" s="124"/>
      <c r="AU12" s="124"/>
      <c r="AV12" s="124"/>
      <c r="AW12" s="124"/>
      <c r="AX12" s="332"/>
      <c r="AY12" s="332"/>
      <c r="AZ12" s="332"/>
      <c r="BA12" s="332"/>
      <c r="BB12" s="332"/>
      <c r="BC12" s="332"/>
      <c r="BD12" s="332"/>
      <c r="BE12" s="332"/>
      <c r="BF12" s="332"/>
      <c r="BG12" s="332"/>
      <c r="BH12" s="332"/>
      <c r="BI12" s="332"/>
      <c r="BJ12" s="124"/>
      <c r="BK12" s="124"/>
      <c r="BL12" s="124"/>
      <c r="BM12" s="124"/>
      <c r="BN12" s="124"/>
      <c r="BO12" s="124"/>
      <c r="BP12" s="124"/>
      <c r="BQ12" s="124"/>
      <c r="BR12" s="124"/>
      <c r="BS12" s="124"/>
      <c r="BT12" s="124"/>
      <c r="BU12" s="124"/>
      <c r="BV12" s="332"/>
      <c r="BW12" s="332"/>
      <c r="BX12" s="332"/>
      <c r="BY12" s="332"/>
      <c r="BZ12" s="332"/>
      <c r="CA12" s="332"/>
      <c r="CB12" s="332"/>
      <c r="CC12" s="332"/>
      <c r="CD12" s="332"/>
      <c r="CE12" s="332"/>
      <c r="CF12" s="332"/>
      <c r="CG12" s="332"/>
      <c r="CH12" s="112"/>
      <c r="CI12" s="302" t="e">
        <f t="shared" si="3"/>
        <v>#DIV/0!</v>
      </c>
      <c r="CJ12" s="303" t="e">
        <f>IF(CI12&gt;KKM!$G$10,"A",IF(CI12&gt;KKM!$H$10,"B",IF(CI12&gt;=KKM!$I$10,"C","D")))</f>
        <v>#DIV/0!</v>
      </c>
      <c r="CK12" s="304">
        <f t="shared" si="4"/>
        <v>0</v>
      </c>
      <c r="CL12" s="309" t="str">
        <f>IF(CK12&gt;KKM!$G$10," sangat baik ",IF(CK12&gt;KKM!$H$10," baik ",IF(CK12&gt;=KKM!$I$10," cukup baik "," perlu bimbingan ")))</f>
        <v xml:space="preserve"> perlu bimbingan </v>
      </c>
      <c r="CM12" s="305">
        <f t="shared" si="5"/>
        <v>0</v>
      </c>
      <c r="CN12" s="309" t="str">
        <f>IF(CM12&gt;KKM!$G$10," sangat baik ",IF(CM12&gt;KKM!$H$10," baik ",IF(CM12&gt;=KKM!$I$10," cukup baik "," perlu bimbingan ")))</f>
        <v xml:space="preserve"> perlu bimbingan </v>
      </c>
      <c r="CO12" s="301" t="str">
        <f t="shared" si="6"/>
        <v xml:space="preserve"> </v>
      </c>
      <c r="CP12" s="306"/>
      <c r="CQ12" s="307" t="e">
        <f t="shared" si="0"/>
        <v>#N/A</v>
      </c>
      <c r="CR12" s="307" t="e">
        <f t="shared" si="1"/>
        <v>#N/A</v>
      </c>
      <c r="CS12" s="307" t="e">
        <f t="shared" si="7"/>
        <v>#N/A</v>
      </c>
      <c r="CT12" s="307" t="e">
        <f t="shared" si="8"/>
        <v>#N/A</v>
      </c>
      <c r="CU12" s="308" t="e">
        <f t="shared" si="9"/>
        <v>#N/A</v>
      </c>
      <c r="CV12" s="301" t="e">
        <f t="shared" si="2"/>
        <v>#N/A</v>
      </c>
      <c r="CW12" s="120"/>
      <c r="DF12" s="408" t="str">
        <f t="shared" si="10"/>
        <v/>
      </c>
    </row>
    <row r="13" spans="1:118" ht="62.25" customHeight="1">
      <c r="B13" s="109">
        <v>8</v>
      </c>
      <c r="C13" s="110">
        <f>SISWA!B13</f>
        <v>0</v>
      </c>
      <c r="D13" s="111" t="str">
        <f>SISWA!E13</f>
        <v>Anak 8</v>
      </c>
      <c r="E13" s="124"/>
      <c r="F13" s="125"/>
      <c r="G13" s="125"/>
      <c r="H13" s="125"/>
      <c r="I13" s="125"/>
      <c r="J13" s="124"/>
      <c r="K13" s="124"/>
      <c r="L13" s="124"/>
      <c r="M13" s="124"/>
      <c r="N13" s="124"/>
      <c r="O13" s="124"/>
      <c r="P13" s="124"/>
      <c r="Q13" s="124"/>
      <c r="R13" s="124"/>
      <c r="S13" s="124"/>
      <c r="T13" s="124"/>
      <c r="U13" s="124"/>
      <c r="V13" s="124"/>
      <c r="W13" s="124"/>
      <c r="X13" s="124"/>
      <c r="Y13" s="124"/>
      <c r="Z13" s="332"/>
      <c r="AA13" s="332"/>
      <c r="AB13" s="332"/>
      <c r="AC13" s="332"/>
      <c r="AD13" s="332"/>
      <c r="AE13" s="332"/>
      <c r="AF13" s="332"/>
      <c r="AG13" s="332"/>
      <c r="AH13" s="332"/>
      <c r="AI13" s="332"/>
      <c r="AJ13" s="332"/>
      <c r="AK13" s="332"/>
      <c r="AL13" s="124"/>
      <c r="AM13" s="124"/>
      <c r="AN13" s="124"/>
      <c r="AO13" s="124"/>
      <c r="AP13" s="124"/>
      <c r="AQ13" s="124"/>
      <c r="AR13" s="124"/>
      <c r="AS13" s="124"/>
      <c r="AT13" s="124"/>
      <c r="AU13" s="124"/>
      <c r="AV13" s="124"/>
      <c r="AW13" s="124"/>
      <c r="AX13" s="332"/>
      <c r="AY13" s="332"/>
      <c r="AZ13" s="332"/>
      <c r="BA13" s="332"/>
      <c r="BB13" s="332"/>
      <c r="BC13" s="332"/>
      <c r="BD13" s="332"/>
      <c r="BE13" s="332"/>
      <c r="BF13" s="332"/>
      <c r="BG13" s="332"/>
      <c r="BH13" s="332"/>
      <c r="BI13" s="332"/>
      <c r="BJ13" s="124"/>
      <c r="BK13" s="124"/>
      <c r="BL13" s="124"/>
      <c r="BM13" s="124"/>
      <c r="BN13" s="124"/>
      <c r="BO13" s="124"/>
      <c r="BP13" s="124"/>
      <c r="BQ13" s="124"/>
      <c r="BR13" s="124"/>
      <c r="BS13" s="124"/>
      <c r="BT13" s="124"/>
      <c r="BU13" s="124"/>
      <c r="BV13" s="332"/>
      <c r="BW13" s="332"/>
      <c r="BX13" s="332"/>
      <c r="BY13" s="332"/>
      <c r="BZ13" s="332"/>
      <c r="CA13" s="332"/>
      <c r="CB13" s="332"/>
      <c r="CC13" s="332"/>
      <c r="CD13" s="332"/>
      <c r="CE13" s="332"/>
      <c r="CF13" s="332"/>
      <c r="CG13" s="332"/>
      <c r="CH13" s="112"/>
      <c r="CI13" s="302" t="e">
        <f t="shared" si="3"/>
        <v>#DIV/0!</v>
      </c>
      <c r="CJ13" s="303" t="e">
        <f>IF(CI13&gt;KKM!$G$10,"A",IF(CI13&gt;KKM!$H$10,"B",IF(CI13&gt;=KKM!$I$10,"C","D")))</f>
        <v>#DIV/0!</v>
      </c>
      <c r="CK13" s="304">
        <f t="shared" si="4"/>
        <v>0</v>
      </c>
      <c r="CL13" s="309" t="str">
        <f>IF(CK13&gt;KKM!$G$10," sangat baik ",IF(CK13&gt;KKM!$H$10," baik ",IF(CK13&gt;=KKM!$I$10," cukup baik "," perlu bimbingan ")))</f>
        <v xml:space="preserve"> perlu bimbingan </v>
      </c>
      <c r="CM13" s="305">
        <f t="shared" si="5"/>
        <v>0</v>
      </c>
      <c r="CN13" s="309" t="str">
        <f>IF(CM13&gt;KKM!$G$10," sangat baik ",IF(CM13&gt;KKM!$H$10," baik ",IF(CM13&gt;=KKM!$I$10," cukup baik "," perlu bimbingan ")))</f>
        <v xml:space="preserve"> perlu bimbingan </v>
      </c>
      <c r="CO13" s="301" t="str">
        <f t="shared" si="6"/>
        <v xml:space="preserve"> </v>
      </c>
      <c r="CP13" s="306"/>
      <c r="CQ13" s="307" t="e">
        <f t="shared" si="0"/>
        <v>#N/A</v>
      </c>
      <c r="CR13" s="307" t="e">
        <f t="shared" si="1"/>
        <v>#N/A</v>
      </c>
      <c r="CS13" s="307" t="e">
        <f t="shared" si="7"/>
        <v>#N/A</v>
      </c>
      <c r="CT13" s="307" t="e">
        <f t="shared" si="8"/>
        <v>#N/A</v>
      </c>
      <c r="CU13" s="308" t="e">
        <f t="shared" si="9"/>
        <v>#N/A</v>
      </c>
      <c r="CV13" s="301" t="e">
        <f t="shared" si="2"/>
        <v>#N/A</v>
      </c>
      <c r="CW13" s="120"/>
      <c r="DF13" s="408" t="str">
        <f t="shared" si="10"/>
        <v/>
      </c>
    </row>
    <row r="14" spans="1:118" ht="62.25" customHeight="1">
      <c r="B14" s="109">
        <v>9</v>
      </c>
      <c r="C14" s="110">
        <f>SISWA!B14</f>
        <v>0</v>
      </c>
      <c r="D14" s="111" t="str">
        <f>SISWA!E14</f>
        <v>Anak 9</v>
      </c>
      <c r="E14" s="124"/>
      <c r="F14" s="125"/>
      <c r="G14" s="125"/>
      <c r="H14" s="125"/>
      <c r="I14" s="125"/>
      <c r="J14" s="124"/>
      <c r="K14" s="124"/>
      <c r="L14" s="124"/>
      <c r="M14" s="124"/>
      <c r="N14" s="124"/>
      <c r="O14" s="124"/>
      <c r="P14" s="124"/>
      <c r="Q14" s="124"/>
      <c r="R14" s="124"/>
      <c r="S14" s="124"/>
      <c r="T14" s="124"/>
      <c r="U14" s="124"/>
      <c r="V14" s="124"/>
      <c r="W14" s="124"/>
      <c r="X14" s="124"/>
      <c r="Y14" s="124"/>
      <c r="Z14" s="332"/>
      <c r="AA14" s="332"/>
      <c r="AB14" s="332"/>
      <c r="AC14" s="332"/>
      <c r="AD14" s="332"/>
      <c r="AE14" s="332"/>
      <c r="AF14" s="332"/>
      <c r="AG14" s="332"/>
      <c r="AH14" s="332"/>
      <c r="AI14" s="332"/>
      <c r="AJ14" s="332"/>
      <c r="AK14" s="332"/>
      <c r="AL14" s="124"/>
      <c r="AM14" s="124"/>
      <c r="AN14" s="124"/>
      <c r="AO14" s="124"/>
      <c r="AP14" s="124"/>
      <c r="AQ14" s="124"/>
      <c r="AR14" s="124"/>
      <c r="AS14" s="124"/>
      <c r="AT14" s="124"/>
      <c r="AU14" s="124"/>
      <c r="AV14" s="124"/>
      <c r="AW14" s="124"/>
      <c r="AX14" s="332"/>
      <c r="AY14" s="332"/>
      <c r="AZ14" s="332"/>
      <c r="BA14" s="332"/>
      <c r="BB14" s="332"/>
      <c r="BC14" s="332"/>
      <c r="BD14" s="332"/>
      <c r="BE14" s="332"/>
      <c r="BF14" s="332"/>
      <c r="BG14" s="332"/>
      <c r="BH14" s="332"/>
      <c r="BI14" s="332"/>
      <c r="BJ14" s="124"/>
      <c r="BK14" s="124"/>
      <c r="BL14" s="124"/>
      <c r="BM14" s="124"/>
      <c r="BN14" s="124"/>
      <c r="BO14" s="124"/>
      <c r="BP14" s="124"/>
      <c r="BQ14" s="124"/>
      <c r="BR14" s="124"/>
      <c r="BS14" s="124"/>
      <c r="BT14" s="124"/>
      <c r="BU14" s="124"/>
      <c r="BV14" s="332"/>
      <c r="BW14" s="332"/>
      <c r="BX14" s="332"/>
      <c r="BY14" s="332"/>
      <c r="BZ14" s="332"/>
      <c r="CA14" s="332"/>
      <c r="CB14" s="332"/>
      <c r="CC14" s="332"/>
      <c r="CD14" s="332"/>
      <c r="CE14" s="332"/>
      <c r="CF14" s="332"/>
      <c r="CG14" s="332"/>
      <c r="CH14" s="112"/>
      <c r="CI14" s="302" t="e">
        <f t="shared" si="3"/>
        <v>#DIV/0!</v>
      </c>
      <c r="CJ14" s="303" t="e">
        <f>IF(CI14&gt;KKM!$G$10,"A",IF(CI14&gt;KKM!$H$10,"B",IF(CI14&gt;=KKM!$I$10,"C","D")))</f>
        <v>#DIV/0!</v>
      </c>
      <c r="CK14" s="304">
        <f t="shared" si="4"/>
        <v>0</v>
      </c>
      <c r="CL14" s="309" t="str">
        <f>IF(CK14&gt;KKM!$G$10," sangat baik ",IF(CK14&gt;KKM!$H$10," baik ",IF(CK14&gt;=KKM!$I$10," cukup baik "," perlu bimbingan ")))</f>
        <v xml:space="preserve"> perlu bimbingan </v>
      </c>
      <c r="CM14" s="305">
        <f t="shared" si="5"/>
        <v>0</v>
      </c>
      <c r="CN14" s="309" t="str">
        <f>IF(CM14&gt;KKM!$G$10," sangat baik ",IF(CM14&gt;KKM!$H$10," baik ",IF(CM14&gt;=KKM!$I$10," cukup baik "," perlu bimbingan ")))</f>
        <v xml:space="preserve"> perlu bimbingan </v>
      </c>
      <c r="CO14" s="301" t="str">
        <f t="shared" si="6"/>
        <v xml:space="preserve"> </v>
      </c>
      <c r="CP14" s="306"/>
      <c r="CQ14" s="307" t="e">
        <f t="shared" si="0"/>
        <v>#N/A</v>
      </c>
      <c r="CR14" s="307" t="e">
        <f t="shared" si="1"/>
        <v>#N/A</v>
      </c>
      <c r="CS14" s="307" t="e">
        <f t="shared" si="7"/>
        <v>#N/A</v>
      </c>
      <c r="CT14" s="307" t="e">
        <f t="shared" si="8"/>
        <v>#N/A</v>
      </c>
      <c r="CU14" s="308" t="e">
        <f t="shared" si="9"/>
        <v>#N/A</v>
      </c>
      <c r="CV14" s="301" t="e">
        <f t="shared" si="2"/>
        <v>#N/A</v>
      </c>
      <c r="CW14" s="120"/>
      <c r="DF14" s="408" t="str">
        <f t="shared" si="10"/>
        <v/>
      </c>
    </row>
    <row r="15" spans="1:118" ht="62.25" customHeight="1">
      <c r="B15" s="109">
        <v>10</v>
      </c>
      <c r="C15" s="110">
        <f>SISWA!B15</f>
        <v>0</v>
      </c>
      <c r="D15" s="111" t="str">
        <f>SISWA!E15</f>
        <v>Anak 10</v>
      </c>
      <c r="E15" s="124"/>
      <c r="F15" s="125"/>
      <c r="G15" s="125"/>
      <c r="H15" s="125"/>
      <c r="I15" s="125"/>
      <c r="J15" s="124"/>
      <c r="K15" s="124"/>
      <c r="L15" s="124"/>
      <c r="M15" s="124"/>
      <c r="N15" s="124"/>
      <c r="O15" s="124"/>
      <c r="P15" s="124"/>
      <c r="Q15" s="124"/>
      <c r="R15" s="124"/>
      <c r="S15" s="124"/>
      <c r="T15" s="124"/>
      <c r="U15" s="124"/>
      <c r="V15" s="124"/>
      <c r="W15" s="124"/>
      <c r="X15" s="124"/>
      <c r="Y15" s="124"/>
      <c r="Z15" s="332"/>
      <c r="AA15" s="332"/>
      <c r="AB15" s="332"/>
      <c r="AC15" s="332"/>
      <c r="AD15" s="332"/>
      <c r="AE15" s="332"/>
      <c r="AF15" s="332"/>
      <c r="AG15" s="332"/>
      <c r="AH15" s="332"/>
      <c r="AI15" s="332"/>
      <c r="AJ15" s="332"/>
      <c r="AK15" s="332"/>
      <c r="AL15" s="124"/>
      <c r="AM15" s="124"/>
      <c r="AN15" s="124"/>
      <c r="AO15" s="124"/>
      <c r="AP15" s="124"/>
      <c r="AQ15" s="124"/>
      <c r="AR15" s="124"/>
      <c r="AS15" s="124"/>
      <c r="AT15" s="124"/>
      <c r="AU15" s="124"/>
      <c r="AV15" s="124"/>
      <c r="AW15" s="124"/>
      <c r="AX15" s="332"/>
      <c r="AY15" s="332"/>
      <c r="AZ15" s="332"/>
      <c r="BA15" s="332"/>
      <c r="BB15" s="332"/>
      <c r="BC15" s="332"/>
      <c r="BD15" s="332"/>
      <c r="BE15" s="332"/>
      <c r="BF15" s="332"/>
      <c r="BG15" s="332"/>
      <c r="BH15" s="332"/>
      <c r="BI15" s="332"/>
      <c r="BJ15" s="124"/>
      <c r="BK15" s="124"/>
      <c r="BL15" s="124"/>
      <c r="BM15" s="124"/>
      <c r="BN15" s="124"/>
      <c r="BO15" s="124"/>
      <c r="BP15" s="124"/>
      <c r="BQ15" s="124"/>
      <c r="BR15" s="124"/>
      <c r="BS15" s="124"/>
      <c r="BT15" s="124"/>
      <c r="BU15" s="124"/>
      <c r="BV15" s="332"/>
      <c r="BW15" s="332"/>
      <c r="BX15" s="332"/>
      <c r="BY15" s="332"/>
      <c r="BZ15" s="332"/>
      <c r="CA15" s="332"/>
      <c r="CB15" s="332"/>
      <c r="CC15" s="332"/>
      <c r="CD15" s="332"/>
      <c r="CE15" s="332"/>
      <c r="CF15" s="332"/>
      <c r="CG15" s="332"/>
      <c r="CH15" s="112"/>
      <c r="CI15" s="302" t="e">
        <f t="shared" si="3"/>
        <v>#DIV/0!</v>
      </c>
      <c r="CJ15" s="303" t="e">
        <f>IF(CI15&gt;KKM!$G$10,"A",IF(CI15&gt;KKM!$H$10,"B",IF(CI15&gt;=KKM!$I$10,"C","D")))</f>
        <v>#DIV/0!</v>
      </c>
      <c r="CK15" s="304">
        <f t="shared" si="4"/>
        <v>0</v>
      </c>
      <c r="CL15" s="309" t="str">
        <f>IF(CK15&gt;KKM!$G$10," sangat baik ",IF(CK15&gt;KKM!$H$10," baik ",IF(CK15&gt;=KKM!$I$10," cukup baik "," perlu bimbingan ")))</f>
        <v xml:space="preserve"> perlu bimbingan </v>
      </c>
      <c r="CM15" s="305">
        <f t="shared" si="5"/>
        <v>0</v>
      </c>
      <c r="CN15" s="309" t="str">
        <f>IF(CM15&gt;KKM!$G$10," sangat baik ",IF(CM15&gt;KKM!$H$10," baik ",IF(CM15&gt;=KKM!$I$10," cukup baik "," perlu bimbingan ")))</f>
        <v xml:space="preserve"> perlu bimbingan </v>
      </c>
      <c r="CO15" s="301" t="str">
        <f t="shared" si="6"/>
        <v xml:space="preserve"> </v>
      </c>
      <c r="CP15" s="306"/>
      <c r="CQ15" s="307" t="e">
        <f t="shared" si="0"/>
        <v>#N/A</v>
      </c>
      <c r="CR15" s="307" t="e">
        <f t="shared" si="1"/>
        <v>#N/A</v>
      </c>
      <c r="CS15" s="307" t="e">
        <f t="shared" si="7"/>
        <v>#N/A</v>
      </c>
      <c r="CT15" s="307" t="e">
        <f t="shared" si="8"/>
        <v>#N/A</v>
      </c>
      <c r="CU15" s="308" t="e">
        <f t="shared" si="9"/>
        <v>#N/A</v>
      </c>
      <c r="CV15" s="301" t="e">
        <f t="shared" si="2"/>
        <v>#N/A</v>
      </c>
      <c r="CW15" s="120"/>
      <c r="DF15" s="408" t="str">
        <f t="shared" si="10"/>
        <v/>
      </c>
    </row>
    <row r="16" spans="1:118" ht="62.25" customHeight="1">
      <c r="B16" s="109">
        <v>11</v>
      </c>
      <c r="C16" s="110">
        <f>SISWA!B16</f>
        <v>0</v>
      </c>
      <c r="D16" s="111" t="str">
        <f>SISWA!E16</f>
        <v>Anak 11</v>
      </c>
      <c r="E16" s="124"/>
      <c r="F16" s="125"/>
      <c r="G16" s="125"/>
      <c r="H16" s="125"/>
      <c r="I16" s="125"/>
      <c r="J16" s="124"/>
      <c r="K16" s="124"/>
      <c r="L16" s="124"/>
      <c r="M16" s="124"/>
      <c r="N16" s="124"/>
      <c r="O16" s="124"/>
      <c r="P16" s="124"/>
      <c r="Q16" s="124"/>
      <c r="R16" s="124"/>
      <c r="S16" s="124"/>
      <c r="T16" s="124"/>
      <c r="U16" s="124"/>
      <c r="V16" s="124"/>
      <c r="W16" s="124"/>
      <c r="X16" s="124"/>
      <c r="Y16" s="124"/>
      <c r="Z16" s="332"/>
      <c r="AA16" s="332"/>
      <c r="AB16" s="332"/>
      <c r="AC16" s="332"/>
      <c r="AD16" s="332"/>
      <c r="AE16" s="332"/>
      <c r="AF16" s="332"/>
      <c r="AG16" s="332"/>
      <c r="AH16" s="332"/>
      <c r="AI16" s="332"/>
      <c r="AJ16" s="332"/>
      <c r="AK16" s="332"/>
      <c r="AL16" s="124"/>
      <c r="AM16" s="124"/>
      <c r="AN16" s="124"/>
      <c r="AO16" s="124"/>
      <c r="AP16" s="124"/>
      <c r="AQ16" s="124"/>
      <c r="AR16" s="124"/>
      <c r="AS16" s="124"/>
      <c r="AT16" s="124"/>
      <c r="AU16" s="124"/>
      <c r="AV16" s="124"/>
      <c r="AW16" s="124"/>
      <c r="AX16" s="332"/>
      <c r="AY16" s="332"/>
      <c r="AZ16" s="332"/>
      <c r="BA16" s="332"/>
      <c r="BB16" s="332"/>
      <c r="BC16" s="332"/>
      <c r="BD16" s="332"/>
      <c r="BE16" s="332"/>
      <c r="BF16" s="332"/>
      <c r="BG16" s="332"/>
      <c r="BH16" s="332"/>
      <c r="BI16" s="332"/>
      <c r="BJ16" s="124"/>
      <c r="BK16" s="124"/>
      <c r="BL16" s="124"/>
      <c r="BM16" s="124"/>
      <c r="BN16" s="124"/>
      <c r="BO16" s="124"/>
      <c r="BP16" s="124"/>
      <c r="BQ16" s="124"/>
      <c r="BR16" s="124"/>
      <c r="BS16" s="124"/>
      <c r="BT16" s="124"/>
      <c r="BU16" s="124"/>
      <c r="BV16" s="332"/>
      <c r="BW16" s="332"/>
      <c r="BX16" s="332"/>
      <c r="BY16" s="332"/>
      <c r="BZ16" s="332"/>
      <c r="CA16" s="332"/>
      <c r="CB16" s="332"/>
      <c r="CC16" s="332"/>
      <c r="CD16" s="332"/>
      <c r="CE16" s="332"/>
      <c r="CF16" s="332"/>
      <c r="CG16" s="332"/>
      <c r="CH16" s="112"/>
      <c r="CI16" s="302" t="e">
        <f t="shared" si="3"/>
        <v>#DIV/0!</v>
      </c>
      <c r="CJ16" s="303" t="e">
        <f>IF(CI16&gt;KKM!$G$10,"A",IF(CI16&gt;KKM!$H$10,"B",IF(CI16&gt;=KKM!$I$10,"C","D")))</f>
        <v>#DIV/0!</v>
      </c>
      <c r="CK16" s="304">
        <f t="shared" si="4"/>
        <v>0</v>
      </c>
      <c r="CL16" s="309" t="str">
        <f>IF(CK16&gt;KKM!$G$10," sangat baik ",IF(CK16&gt;KKM!$H$10," baik ",IF(CK16&gt;=KKM!$I$10," cukup baik "," perlu bimbingan ")))</f>
        <v xml:space="preserve"> perlu bimbingan </v>
      </c>
      <c r="CM16" s="305">
        <f t="shared" si="5"/>
        <v>0</v>
      </c>
      <c r="CN16" s="309" t="str">
        <f>IF(CM16&gt;KKM!$G$10," sangat baik ",IF(CM16&gt;KKM!$H$10," baik ",IF(CM16&gt;=KKM!$I$10," cukup baik "," perlu bimbingan ")))</f>
        <v xml:space="preserve"> perlu bimbingan </v>
      </c>
      <c r="CO16" s="301" t="str">
        <f t="shared" si="6"/>
        <v xml:space="preserve"> </v>
      </c>
      <c r="CP16" s="306"/>
      <c r="CQ16" s="307" t="e">
        <f t="shared" si="0"/>
        <v>#N/A</v>
      </c>
      <c r="CR16" s="307" t="e">
        <f t="shared" si="1"/>
        <v>#N/A</v>
      </c>
      <c r="CS16" s="307" t="e">
        <f t="shared" si="7"/>
        <v>#N/A</v>
      </c>
      <c r="CT16" s="307" t="e">
        <f t="shared" si="8"/>
        <v>#N/A</v>
      </c>
      <c r="CU16" s="308" t="e">
        <f t="shared" si="9"/>
        <v>#N/A</v>
      </c>
      <c r="CV16" s="301" t="e">
        <f t="shared" si="2"/>
        <v>#N/A</v>
      </c>
      <c r="CW16" s="120"/>
      <c r="DF16" s="408" t="str">
        <f t="shared" si="10"/>
        <v/>
      </c>
    </row>
    <row r="17" spans="2:110" ht="62.25" customHeight="1">
      <c r="B17" s="109">
        <v>12</v>
      </c>
      <c r="C17" s="110">
        <f>SISWA!B17</f>
        <v>0</v>
      </c>
      <c r="D17" s="111" t="str">
        <f>SISWA!E17</f>
        <v>Anak 12</v>
      </c>
      <c r="E17" s="124"/>
      <c r="F17" s="125"/>
      <c r="G17" s="125"/>
      <c r="H17" s="125"/>
      <c r="I17" s="125"/>
      <c r="J17" s="124"/>
      <c r="K17" s="124"/>
      <c r="L17" s="124"/>
      <c r="M17" s="124"/>
      <c r="N17" s="124"/>
      <c r="O17" s="124"/>
      <c r="P17" s="124"/>
      <c r="Q17" s="124"/>
      <c r="R17" s="124"/>
      <c r="S17" s="124"/>
      <c r="T17" s="124"/>
      <c r="U17" s="124"/>
      <c r="V17" s="124"/>
      <c r="W17" s="124"/>
      <c r="X17" s="124"/>
      <c r="Y17" s="124"/>
      <c r="Z17" s="332"/>
      <c r="AA17" s="332"/>
      <c r="AB17" s="332"/>
      <c r="AC17" s="332"/>
      <c r="AD17" s="332"/>
      <c r="AE17" s="332"/>
      <c r="AF17" s="332"/>
      <c r="AG17" s="332"/>
      <c r="AH17" s="332"/>
      <c r="AI17" s="332"/>
      <c r="AJ17" s="332"/>
      <c r="AK17" s="332"/>
      <c r="AL17" s="124"/>
      <c r="AM17" s="124"/>
      <c r="AN17" s="124"/>
      <c r="AO17" s="124"/>
      <c r="AP17" s="124"/>
      <c r="AQ17" s="124"/>
      <c r="AR17" s="124"/>
      <c r="AS17" s="124"/>
      <c r="AT17" s="124"/>
      <c r="AU17" s="124"/>
      <c r="AV17" s="124"/>
      <c r="AW17" s="124"/>
      <c r="AX17" s="332"/>
      <c r="AY17" s="332"/>
      <c r="AZ17" s="332"/>
      <c r="BA17" s="332"/>
      <c r="BB17" s="332"/>
      <c r="BC17" s="332"/>
      <c r="BD17" s="332"/>
      <c r="BE17" s="332"/>
      <c r="BF17" s="332"/>
      <c r="BG17" s="332"/>
      <c r="BH17" s="332"/>
      <c r="BI17" s="332"/>
      <c r="BJ17" s="124"/>
      <c r="BK17" s="124"/>
      <c r="BL17" s="124"/>
      <c r="BM17" s="124"/>
      <c r="BN17" s="124"/>
      <c r="BO17" s="124"/>
      <c r="BP17" s="124"/>
      <c r="BQ17" s="124"/>
      <c r="BR17" s="124"/>
      <c r="BS17" s="124"/>
      <c r="BT17" s="124"/>
      <c r="BU17" s="124"/>
      <c r="BV17" s="332"/>
      <c r="BW17" s="332"/>
      <c r="BX17" s="332"/>
      <c r="BY17" s="332"/>
      <c r="BZ17" s="332"/>
      <c r="CA17" s="332"/>
      <c r="CB17" s="332"/>
      <c r="CC17" s="332"/>
      <c r="CD17" s="332"/>
      <c r="CE17" s="332"/>
      <c r="CF17" s="332"/>
      <c r="CG17" s="332"/>
      <c r="CH17" s="112"/>
      <c r="CI17" s="302" t="e">
        <f t="shared" si="3"/>
        <v>#DIV/0!</v>
      </c>
      <c r="CJ17" s="303" t="e">
        <f>IF(CI17&gt;KKM!$G$10,"A",IF(CI17&gt;KKM!$H$10,"B",IF(CI17&gt;=KKM!$I$10,"C","D")))</f>
        <v>#DIV/0!</v>
      </c>
      <c r="CK17" s="304">
        <f t="shared" si="4"/>
        <v>0</v>
      </c>
      <c r="CL17" s="309" t="str">
        <f>IF(CK17&gt;KKM!$G$10," sangat baik ",IF(CK17&gt;KKM!$H$10," baik ",IF(CK17&gt;=KKM!$I$10," cukup baik "," perlu bimbingan ")))</f>
        <v xml:space="preserve"> perlu bimbingan </v>
      </c>
      <c r="CM17" s="305">
        <f t="shared" si="5"/>
        <v>0</v>
      </c>
      <c r="CN17" s="309" t="str">
        <f>IF(CM17&gt;KKM!$G$10," sangat baik ",IF(CM17&gt;KKM!$H$10," baik ",IF(CM17&gt;=KKM!$I$10," cukup baik "," perlu bimbingan ")))</f>
        <v xml:space="preserve"> perlu bimbingan </v>
      </c>
      <c r="CO17" s="301" t="str">
        <f t="shared" si="6"/>
        <v xml:space="preserve"> </v>
      </c>
      <c r="CP17" s="306"/>
      <c r="CQ17" s="307" t="e">
        <f t="shared" si="0"/>
        <v>#N/A</v>
      </c>
      <c r="CR17" s="307" t="e">
        <f t="shared" si="1"/>
        <v>#N/A</v>
      </c>
      <c r="CS17" s="307" t="e">
        <f t="shared" si="7"/>
        <v>#N/A</v>
      </c>
      <c r="CT17" s="307" t="e">
        <f t="shared" si="8"/>
        <v>#N/A</v>
      </c>
      <c r="CU17" s="308" t="e">
        <f t="shared" si="9"/>
        <v>#N/A</v>
      </c>
      <c r="CV17" s="301" t="e">
        <f t="shared" si="2"/>
        <v>#N/A</v>
      </c>
      <c r="CW17" s="120"/>
      <c r="DF17" s="408" t="str">
        <f t="shared" si="10"/>
        <v/>
      </c>
    </row>
    <row r="18" spans="2:110" ht="62.25" customHeight="1">
      <c r="B18" s="109">
        <v>13</v>
      </c>
      <c r="C18" s="110">
        <f>SISWA!B18</f>
        <v>0</v>
      </c>
      <c r="D18" s="111" t="str">
        <f>SISWA!E18</f>
        <v>Anak 13</v>
      </c>
      <c r="E18" s="124"/>
      <c r="F18" s="125"/>
      <c r="G18" s="125"/>
      <c r="H18" s="125"/>
      <c r="I18" s="125"/>
      <c r="J18" s="124"/>
      <c r="K18" s="124"/>
      <c r="L18" s="124"/>
      <c r="M18" s="124"/>
      <c r="N18" s="124"/>
      <c r="O18" s="124"/>
      <c r="P18" s="124"/>
      <c r="Q18" s="124"/>
      <c r="R18" s="124"/>
      <c r="S18" s="124"/>
      <c r="T18" s="124"/>
      <c r="U18" s="124"/>
      <c r="V18" s="124"/>
      <c r="W18" s="124"/>
      <c r="X18" s="124"/>
      <c r="Y18" s="124"/>
      <c r="Z18" s="332"/>
      <c r="AA18" s="332"/>
      <c r="AB18" s="332"/>
      <c r="AC18" s="332"/>
      <c r="AD18" s="332"/>
      <c r="AE18" s="332"/>
      <c r="AF18" s="332"/>
      <c r="AG18" s="332"/>
      <c r="AH18" s="332"/>
      <c r="AI18" s="332"/>
      <c r="AJ18" s="332"/>
      <c r="AK18" s="332"/>
      <c r="AL18" s="124"/>
      <c r="AM18" s="124"/>
      <c r="AN18" s="124"/>
      <c r="AO18" s="124"/>
      <c r="AP18" s="124"/>
      <c r="AQ18" s="124"/>
      <c r="AR18" s="124"/>
      <c r="AS18" s="124"/>
      <c r="AT18" s="124"/>
      <c r="AU18" s="124"/>
      <c r="AV18" s="124"/>
      <c r="AW18" s="124"/>
      <c r="AX18" s="332"/>
      <c r="AY18" s="332"/>
      <c r="AZ18" s="332"/>
      <c r="BA18" s="332"/>
      <c r="BB18" s="332"/>
      <c r="BC18" s="332"/>
      <c r="BD18" s="332"/>
      <c r="BE18" s="332"/>
      <c r="BF18" s="332"/>
      <c r="BG18" s="332"/>
      <c r="BH18" s="332"/>
      <c r="BI18" s="332"/>
      <c r="BJ18" s="124"/>
      <c r="BK18" s="124"/>
      <c r="BL18" s="124"/>
      <c r="BM18" s="124"/>
      <c r="BN18" s="124"/>
      <c r="BO18" s="124"/>
      <c r="BP18" s="124"/>
      <c r="BQ18" s="124"/>
      <c r="BR18" s="124"/>
      <c r="BS18" s="124"/>
      <c r="BT18" s="124"/>
      <c r="BU18" s="124"/>
      <c r="BV18" s="332"/>
      <c r="BW18" s="332"/>
      <c r="BX18" s="332"/>
      <c r="BY18" s="332"/>
      <c r="BZ18" s="332"/>
      <c r="CA18" s="332"/>
      <c r="CB18" s="332"/>
      <c r="CC18" s="332"/>
      <c r="CD18" s="332"/>
      <c r="CE18" s="332"/>
      <c r="CF18" s="332"/>
      <c r="CG18" s="332"/>
      <c r="CH18" s="112"/>
      <c r="CI18" s="302" t="e">
        <f t="shared" si="3"/>
        <v>#DIV/0!</v>
      </c>
      <c r="CJ18" s="303" t="e">
        <f>IF(CI18&gt;KKM!$G$10,"A",IF(CI18&gt;KKM!$H$10,"B",IF(CI18&gt;=KKM!$I$10,"C","D")))</f>
        <v>#DIV/0!</v>
      </c>
      <c r="CK18" s="304">
        <f t="shared" si="4"/>
        <v>0</v>
      </c>
      <c r="CL18" s="309" t="str">
        <f>IF(CK18&gt;KKM!$G$10," sangat baik ",IF(CK18&gt;KKM!$H$10," baik ",IF(CK18&gt;=KKM!$I$10," cukup baik "," perlu bimbingan ")))</f>
        <v xml:space="preserve"> perlu bimbingan </v>
      </c>
      <c r="CM18" s="305">
        <f t="shared" si="5"/>
        <v>0</v>
      </c>
      <c r="CN18" s="309" t="str">
        <f>IF(CM18&gt;KKM!$G$10," sangat baik ",IF(CM18&gt;KKM!$H$10," baik ",IF(CM18&gt;=KKM!$I$10," cukup baik "," perlu bimbingan ")))</f>
        <v xml:space="preserve"> perlu bimbingan </v>
      </c>
      <c r="CO18" s="301" t="str">
        <f t="shared" si="6"/>
        <v xml:space="preserve"> </v>
      </c>
      <c r="CP18" s="306"/>
      <c r="CQ18" s="307" t="e">
        <f t="shared" si="0"/>
        <v>#N/A</v>
      </c>
      <c r="CR18" s="307" t="e">
        <f t="shared" si="1"/>
        <v>#N/A</v>
      </c>
      <c r="CS18" s="307" t="e">
        <f t="shared" si="7"/>
        <v>#N/A</v>
      </c>
      <c r="CT18" s="307" t="e">
        <f t="shared" si="8"/>
        <v>#N/A</v>
      </c>
      <c r="CU18" s="308" t="e">
        <f t="shared" si="9"/>
        <v>#N/A</v>
      </c>
      <c r="CV18" s="301" t="e">
        <f t="shared" si="2"/>
        <v>#N/A</v>
      </c>
      <c r="CW18" s="120"/>
      <c r="DF18" s="408" t="str">
        <f t="shared" si="10"/>
        <v/>
      </c>
    </row>
    <row r="19" spans="2:110" ht="62.25" customHeight="1">
      <c r="B19" s="109">
        <v>14</v>
      </c>
      <c r="C19" s="110">
        <f>SISWA!B19</f>
        <v>0</v>
      </c>
      <c r="D19" s="111" t="str">
        <f>SISWA!E19</f>
        <v>Anak 14</v>
      </c>
      <c r="E19" s="124"/>
      <c r="F19" s="125"/>
      <c r="G19" s="125"/>
      <c r="H19" s="125"/>
      <c r="I19" s="125"/>
      <c r="J19" s="124"/>
      <c r="K19" s="124"/>
      <c r="L19" s="124"/>
      <c r="M19" s="124"/>
      <c r="N19" s="124"/>
      <c r="O19" s="124"/>
      <c r="P19" s="124"/>
      <c r="Q19" s="124"/>
      <c r="R19" s="124"/>
      <c r="S19" s="124"/>
      <c r="T19" s="124"/>
      <c r="U19" s="124"/>
      <c r="V19" s="124"/>
      <c r="W19" s="124"/>
      <c r="X19" s="124"/>
      <c r="Y19" s="124"/>
      <c r="Z19" s="332"/>
      <c r="AA19" s="332"/>
      <c r="AB19" s="332"/>
      <c r="AC19" s="332"/>
      <c r="AD19" s="332"/>
      <c r="AE19" s="332"/>
      <c r="AF19" s="332"/>
      <c r="AG19" s="332"/>
      <c r="AH19" s="332"/>
      <c r="AI19" s="332"/>
      <c r="AJ19" s="332"/>
      <c r="AK19" s="332"/>
      <c r="AL19" s="124"/>
      <c r="AM19" s="124"/>
      <c r="AN19" s="124"/>
      <c r="AO19" s="124"/>
      <c r="AP19" s="124"/>
      <c r="AQ19" s="124"/>
      <c r="AR19" s="124"/>
      <c r="AS19" s="124"/>
      <c r="AT19" s="124"/>
      <c r="AU19" s="124"/>
      <c r="AV19" s="124"/>
      <c r="AW19" s="124"/>
      <c r="AX19" s="332"/>
      <c r="AY19" s="332"/>
      <c r="AZ19" s="332"/>
      <c r="BA19" s="332"/>
      <c r="BB19" s="332"/>
      <c r="BC19" s="332"/>
      <c r="BD19" s="332"/>
      <c r="BE19" s="332"/>
      <c r="BF19" s="332"/>
      <c r="BG19" s="332"/>
      <c r="BH19" s="332"/>
      <c r="BI19" s="332"/>
      <c r="BJ19" s="124"/>
      <c r="BK19" s="124"/>
      <c r="BL19" s="124"/>
      <c r="BM19" s="124"/>
      <c r="BN19" s="124"/>
      <c r="BO19" s="124"/>
      <c r="BP19" s="124"/>
      <c r="BQ19" s="124"/>
      <c r="BR19" s="124"/>
      <c r="BS19" s="124"/>
      <c r="BT19" s="124"/>
      <c r="BU19" s="124"/>
      <c r="BV19" s="332"/>
      <c r="BW19" s="332"/>
      <c r="BX19" s="332"/>
      <c r="BY19" s="332"/>
      <c r="BZ19" s="332"/>
      <c r="CA19" s="332"/>
      <c r="CB19" s="332"/>
      <c r="CC19" s="332"/>
      <c r="CD19" s="332"/>
      <c r="CE19" s="332"/>
      <c r="CF19" s="332"/>
      <c r="CG19" s="332"/>
      <c r="CH19" s="112"/>
      <c r="CI19" s="302" t="e">
        <f t="shared" si="3"/>
        <v>#DIV/0!</v>
      </c>
      <c r="CJ19" s="303" t="e">
        <f>IF(CI19&gt;KKM!$G$10,"A",IF(CI19&gt;KKM!$H$10,"B",IF(CI19&gt;=KKM!$I$10,"C","D")))</f>
        <v>#DIV/0!</v>
      </c>
      <c r="CK19" s="304">
        <f t="shared" si="4"/>
        <v>0</v>
      </c>
      <c r="CL19" s="309" t="str">
        <f>IF(CK19&gt;KKM!$G$10," sangat baik ",IF(CK19&gt;KKM!$H$10," baik ",IF(CK19&gt;=KKM!$I$10," cukup baik "," perlu bimbingan ")))</f>
        <v xml:space="preserve"> perlu bimbingan </v>
      </c>
      <c r="CM19" s="305">
        <f t="shared" si="5"/>
        <v>0</v>
      </c>
      <c r="CN19" s="309" t="str">
        <f>IF(CM19&gt;KKM!$G$10," sangat baik ",IF(CM19&gt;KKM!$H$10," baik ",IF(CM19&gt;=KKM!$I$10," cukup baik "," perlu bimbingan ")))</f>
        <v xml:space="preserve"> perlu bimbingan </v>
      </c>
      <c r="CO19" s="301" t="str">
        <f t="shared" si="6"/>
        <v xml:space="preserve"> </v>
      </c>
      <c r="CP19" s="306"/>
      <c r="CQ19" s="307" t="e">
        <f t="shared" si="0"/>
        <v>#N/A</v>
      </c>
      <c r="CR19" s="307" t="e">
        <f t="shared" si="1"/>
        <v>#N/A</v>
      </c>
      <c r="CS19" s="307" t="e">
        <f t="shared" si="7"/>
        <v>#N/A</v>
      </c>
      <c r="CT19" s="307" t="e">
        <f t="shared" si="8"/>
        <v>#N/A</v>
      </c>
      <c r="CU19" s="308" t="e">
        <f t="shared" si="9"/>
        <v>#N/A</v>
      </c>
      <c r="CV19" s="301" t="e">
        <f t="shared" si="2"/>
        <v>#N/A</v>
      </c>
      <c r="CW19" s="120"/>
      <c r="DF19" s="408" t="str">
        <f t="shared" si="10"/>
        <v/>
      </c>
    </row>
    <row r="20" spans="2:110" ht="62.25" customHeight="1">
      <c r="B20" s="109">
        <v>15</v>
      </c>
      <c r="C20" s="110">
        <f>SISWA!B20</f>
        <v>0</v>
      </c>
      <c r="D20" s="111" t="str">
        <f>SISWA!E20</f>
        <v>Anak 15</v>
      </c>
      <c r="E20" s="124"/>
      <c r="F20" s="125"/>
      <c r="G20" s="125"/>
      <c r="H20" s="125"/>
      <c r="I20" s="125"/>
      <c r="J20" s="124"/>
      <c r="K20" s="124"/>
      <c r="L20" s="124"/>
      <c r="M20" s="124"/>
      <c r="N20" s="124"/>
      <c r="O20" s="124"/>
      <c r="P20" s="124"/>
      <c r="Q20" s="124"/>
      <c r="R20" s="124"/>
      <c r="S20" s="124"/>
      <c r="T20" s="124"/>
      <c r="U20" s="124"/>
      <c r="V20" s="124"/>
      <c r="W20" s="124"/>
      <c r="X20" s="124"/>
      <c r="Y20" s="124"/>
      <c r="Z20" s="332"/>
      <c r="AA20" s="332"/>
      <c r="AB20" s="332"/>
      <c r="AC20" s="332"/>
      <c r="AD20" s="332"/>
      <c r="AE20" s="332"/>
      <c r="AF20" s="332"/>
      <c r="AG20" s="332"/>
      <c r="AH20" s="332"/>
      <c r="AI20" s="332"/>
      <c r="AJ20" s="332"/>
      <c r="AK20" s="332"/>
      <c r="AL20" s="124"/>
      <c r="AM20" s="124"/>
      <c r="AN20" s="124"/>
      <c r="AO20" s="124"/>
      <c r="AP20" s="124"/>
      <c r="AQ20" s="124"/>
      <c r="AR20" s="124"/>
      <c r="AS20" s="124"/>
      <c r="AT20" s="124"/>
      <c r="AU20" s="124"/>
      <c r="AV20" s="124"/>
      <c r="AW20" s="124"/>
      <c r="AX20" s="332"/>
      <c r="AY20" s="332"/>
      <c r="AZ20" s="332"/>
      <c r="BA20" s="332"/>
      <c r="BB20" s="332"/>
      <c r="BC20" s="332"/>
      <c r="BD20" s="332"/>
      <c r="BE20" s="332"/>
      <c r="BF20" s="332"/>
      <c r="BG20" s="332"/>
      <c r="BH20" s="332"/>
      <c r="BI20" s="332"/>
      <c r="BJ20" s="124"/>
      <c r="BK20" s="124"/>
      <c r="BL20" s="124"/>
      <c r="BM20" s="124"/>
      <c r="BN20" s="124"/>
      <c r="BO20" s="124"/>
      <c r="BP20" s="124"/>
      <c r="BQ20" s="124"/>
      <c r="BR20" s="124"/>
      <c r="BS20" s="124"/>
      <c r="BT20" s="124"/>
      <c r="BU20" s="124"/>
      <c r="BV20" s="332"/>
      <c r="BW20" s="332"/>
      <c r="BX20" s="332"/>
      <c r="BY20" s="332"/>
      <c r="BZ20" s="332"/>
      <c r="CA20" s="332"/>
      <c r="CB20" s="332"/>
      <c r="CC20" s="332"/>
      <c r="CD20" s="332"/>
      <c r="CE20" s="332"/>
      <c r="CF20" s="332"/>
      <c r="CG20" s="332"/>
      <c r="CH20" s="112"/>
      <c r="CI20" s="302" t="e">
        <f t="shared" si="3"/>
        <v>#DIV/0!</v>
      </c>
      <c r="CJ20" s="303" t="e">
        <f>IF(CI20&gt;KKM!$G$10,"A",IF(CI20&gt;KKM!$H$10,"B",IF(CI20&gt;=KKM!$I$10,"C","D")))</f>
        <v>#DIV/0!</v>
      </c>
      <c r="CK20" s="304">
        <f t="shared" si="4"/>
        <v>0</v>
      </c>
      <c r="CL20" s="309" t="str">
        <f>IF(CK20&gt;KKM!$G$10," sangat baik ",IF(CK20&gt;KKM!$H$10," baik ",IF(CK20&gt;=KKM!$I$10," cukup baik "," perlu bimbingan ")))</f>
        <v xml:space="preserve"> perlu bimbingan </v>
      </c>
      <c r="CM20" s="305">
        <f t="shared" si="5"/>
        <v>0</v>
      </c>
      <c r="CN20" s="309" t="str">
        <f>IF(CM20&gt;KKM!$G$10," sangat baik ",IF(CM20&gt;KKM!$H$10," baik ",IF(CM20&gt;=KKM!$I$10," cukup baik "," perlu bimbingan ")))</f>
        <v xml:space="preserve"> perlu bimbingan </v>
      </c>
      <c r="CO20" s="301" t="str">
        <f t="shared" si="6"/>
        <v xml:space="preserve"> </v>
      </c>
      <c r="CP20" s="306"/>
      <c r="CQ20" s="307" t="e">
        <f t="shared" si="0"/>
        <v>#N/A</v>
      </c>
      <c r="CR20" s="307" t="e">
        <f t="shared" si="1"/>
        <v>#N/A</v>
      </c>
      <c r="CS20" s="307" t="e">
        <f t="shared" si="7"/>
        <v>#N/A</v>
      </c>
      <c r="CT20" s="307" t="e">
        <f t="shared" si="8"/>
        <v>#N/A</v>
      </c>
      <c r="CU20" s="308" t="e">
        <f t="shared" si="9"/>
        <v>#N/A</v>
      </c>
      <c r="CV20" s="301" t="e">
        <f t="shared" si="2"/>
        <v>#N/A</v>
      </c>
      <c r="CW20" s="120"/>
      <c r="DF20" s="408" t="str">
        <f t="shared" si="10"/>
        <v/>
      </c>
    </row>
    <row r="21" spans="2:110" ht="62.25" customHeight="1">
      <c r="B21" s="109">
        <v>16</v>
      </c>
      <c r="C21" s="110">
        <f>SISWA!B21</f>
        <v>0</v>
      </c>
      <c r="D21" s="111" t="str">
        <f>SISWA!E21</f>
        <v>Anak 16</v>
      </c>
      <c r="E21" s="124"/>
      <c r="F21" s="125"/>
      <c r="G21" s="125"/>
      <c r="H21" s="125"/>
      <c r="I21" s="125"/>
      <c r="J21" s="124"/>
      <c r="K21" s="124"/>
      <c r="L21" s="124"/>
      <c r="M21" s="124"/>
      <c r="N21" s="124"/>
      <c r="O21" s="124"/>
      <c r="P21" s="124"/>
      <c r="Q21" s="124"/>
      <c r="R21" s="124"/>
      <c r="S21" s="124"/>
      <c r="T21" s="124"/>
      <c r="U21" s="124"/>
      <c r="V21" s="124"/>
      <c r="W21" s="124"/>
      <c r="X21" s="124"/>
      <c r="Y21" s="124"/>
      <c r="Z21" s="332"/>
      <c r="AA21" s="332"/>
      <c r="AB21" s="332"/>
      <c r="AC21" s="332"/>
      <c r="AD21" s="332"/>
      <c r="AE21" s="332"/>
      <c r="AF21" s="332"/>
      <c r="AG21" s="332"/>
      <c r="AH21" s="332"/>
      <c r="AI21" s="332"/>
      <c r="AJ21" s="332"/>
      <c r="AK21" s="332"/>
      <c r="AL21" s="124"/>
      <c r="AM21" s="124"/>
      <c r="AN21" s="124"/>
      <c r="AO21" s="124"/>
      <c r="AP21" s="124"/>
      <c r="AQ21" s="124"/>
      <c r="AR21" s="124"/>
      <c r="AS21" s="124"/>
      <c r="AT21" s="124"/>
      <c r="AU21" s="124"/>
      <c r="AV21" s="124"/>
      <c r="AW21" s="124"/>
      <c r="AX21" s="332"/>
      <c r="AY21" s="332"/>
      <c r="AZ21" s="332"/>
      <c r="BA21" s="332"/>
      <c r="BB21" s="332"/>
      <c r="BC21" s="332"/>
      <c r="BD21" s="332"/>
      <c r="BE21" s="332"/>
      <c r="BF21" s="332"/>
      <c r="BG21" s="332"/>
      <c r="BH21" s="332"/>
      <c r="BI21" s="332"/>
      <c r="BJ21" s="124"/>
      <c r="BK21" s="124"/>
      <c r="BL21" s="124"/>
      <c r="BM21" s="124"/>
      <c r="BN21" s="124"/>
      <c r="BO21" s="124"/>
      <c r="BP21" s="124"/>
      <c r="BQ21" s="124"/>
      <c r="BR21" s="124"/>
      <c r="BS21" s="124"/>
      <c r="BT21" s="124"/>
      <c r="BU21" s="124"/>
      <c r="BV21" s="332"/>
      <c r="BW21" s="332"/>
      <c r="BX21" s="332"/>
      <c r="BY21" s="332"/>
      <c r="BZ21" s="332"/>
      <c r="CA21" s="332"/>
      <c r="CB21" s="332"/>
      <c r="CC21" s="332"/>
      <c r="CD21" s="332"/>
      <c r="CE21" s="332"/>
      <c r="CF21" s="332"/>
      <c r="CG21" s="332"/>
      <c r="CH21" s="112"/>
      <c r="CI21" s="302" t="e">
        <f t="shared" si="3"/>
        <v>#DIV/0!</v>
      </c>
      <c r="CJ21" s="303" t="e">
        <f>IF(CI21&gt;KKM!$G$10,"A",IF(CI21&gt;KKM!$H$10,"B",IF(CI21&gt;=KKM!$I$10,"C","D")))</f>
        <v>#DIV/0!</v>
      </c>
      <c r="CK21" s="304">
        <f t="shared" si="4"/>
        <v>0</v>
      </c>
      <c r="CL21" s="309" t="str">
        <f>IF(CK21&gt;KKM!$G$10," sangat baik ",IF(CK21&gt;KKM!$H$10," baik ",IF(CK21&gt;=KKM!$I$10," cukup baik "," perlu bimbingan ")))</f>
        <v xml:space="preserve"> perlu bimbingan </v>
      </c>
      <c r="CM21" s="305">
        <f t="shared" si="5"/>
        <v>0</v>
      </c>
      <c r="CN21" s="309" t="str">
        <f>IF(CM21&gt;KKM!$G$10," sangat baik ",IF(CM21&gt;KKM!$H$10," baik ",IF(CM21&gt;=KKM!$I$10," cukup baik "," perlu bimbingan ")))</f>
        <v xml:space="preserve"> perlu bimbingan </v>
      </c>
      <c r="CO21" s="301" t="str">
        <f t="shared" si="6"/>
        <v xml:space="preserve"> </v>
      </c>
      <c r="CP21" s="306"/>
      <c r="CQ21" s="307" t="e">
        <f t="shared" si="0"/>
        <v>#N/A</v>
      </c>
      <c r="CR21" s="307" t="e">
        <f t="shared" si="1"/>
        <v>#N/A</v>
      </c>
      <c r="CS21" s="307" t="e">
        <f t="shared" si="7"/>
        <v>#N/A</v>
      </c>
      <c r="CT21" s="307" t="e">
        <f t="shared" si="8"/>
        <v>#N/A</v>
      </c>
      <c r="CU21" s="308" t="e">
        <f t="shared" si="9"/>
        <v>#N/A</v>
      </c>
      <c r="CV21" s="301" t="e">
        <f t="shared" si="2"/>
        <v>#N/A</v>
      </c>
      <c r="CW21" s="120"/>
      <c r="DF21" s="408" t="str">
        <f t="shared" si="10"/>
        <v/>
      </c>
    </row>
    <row r="22" spans="2:110" ht="62.25" customHeight="1">
      <c r="B22" s="109">
        <v>17</v>
      </c>
      <c r="C22" s="110">
        <f>SISWA!B22</f>
        <v>0</v>
      </c>
      <c r="D22" s="111" t="str">
        <f>SISWA!E22</f>
        <v>Anak 17</v>
      </c>
      <c r="E22" s="124"/>
      <c r="F22" s="125"/>
      <c r="G22" s="125"/>
      <c r="H22" s="125"/>
      <c r="I22" s="125"/>
      <c r="J22" s="124"/>
      <c r="K22" s="124"/>
      <c r="L22" s="124"/>
      <c r="M22" s="124"/>
      <c r="N22" s="124"/>
      <c r="O22" s="124"/>
      <c r="P22" s="124"/>
      <c r="Q22" s="124"/>
      <c r="R22" s="124"/>
      <c r="S22" s="124"/>
      <c r="T22" s="124"/>
      <c r="U22" s="124"/>
      <c r="V22" s="124"/>
      <c r="W22" s="124"/>
      <c r="X22" s="124"/>
      <c r="Y22" s="124"/>
      <c r="Z22" s="332"/>
      <c r="AA22" s="332"/>
      <c r="AB22" s="332"/>
      <c r="AC22" s="332"/>
      <c r="AD22" s="332"/>
      <c r="AE22" s="332"/>
      <c r="AF22" s="332"/>
      <c r="AG22" s="332"/>
      <c r="AH22" s="332"/>
      <c r="AI22" s="332"/>
      <c r="AJ22" s="332"/>
      <c r="AK22" s="332"/>
      <c r="AL22" s="124"/>
      <c r="AM22" s="124"/>
      <c r="AN22" s="124"/>
      <c r="AO22" s="124"/>
      <c r="AP22" s="124"/>
      <c r="AQ22" s="124"/>
      <c r="AR22" s="124"/>
      <c r="AS22" s="124"/>
      <c r="AT22" s="124"/>
      <c r="AU22" s="124"/>
      <c r="AV22" s="124"/>
      <c r="AW22" s="124"/>
      <c r="AX22" s="332"/>
      <c r="AY22" s="332"/>
      <c r="AZ22" s="332"/>
      <c r="BA22" s="332"/>
      <c r="BB22" s="332"/>
      <c r="BC22" s="332"/>
      <c r="BD22" s="332"/>
      <c r="BE22" s="332"/>
      <c r="BF22" s="332"/>
      <c r="BG22" s="332"/>
      <c r="BH22" s="332"/>
      <c r="BI22" s="332"/>
      <c r="BJ22" s="124"/>
      <c r="BK22" s="124"/>
      <c r="BL22" s="124"/>
      <c r="BM22" s="124"/>
      <c r="BN22" s="124"/>
      <c r="BO22" s="124"/>
      <c r="BP22" s="124"/>
      <c r="BQ22" s="124"/>
      <c r="BR22" s="124"/>
      <c r="BS22" s="124"/>
      <c r="BT22" s="124"/>
      <c r="BU22" s="124"/>
      <c r="BV22" s="332"/>
      <c r="BW22" s="332"/>
      <c r="BX22" s="332"/>
      <c r="BY22" s="332"/>
      <c r="BZ22" s="332"/>
      <c r="CA22" s="332"/>
      <c r="CB22" s="332"/>
      <c r="CC22" s="332"/>
      <c r="CD22" s="332"/>
      <c r="CE22" s="332"/>
      <c r="CF22" s="332"/>
      <c r="CG22" s="332"/>
      <c r="CH22" s="112"/>
      <c r="CI22" s="302" t="e">
        <f t="shared" si="3"/>
        <v>#DIV/0!</v>
      </c>
      <c r="CJ22" s="303" t="e">
        <f>IF(CI22&gt;KKM!$G$10,"A",IF(CI22&gt;KKM!$H$10,"B",IF(CI22&gt;=KKM!$I$10,"C","D")))</f>
        <v>#DIV/0!</v>
      </c>
      <c r="CK22" s="304">
        <f t="shared" si="4"/>
        <v>0</v>
      </c>
      <c r="CL22" s="309" t="str">
        <f>IF(CK22&gt;KKM!$G$10," sangat baik ",IF(CK22&gt;KKM!$H$10," baik ",IF(CK22&gt;=KKM!$I$10," cukup baik "," perlu bimbingan ")))</f>
        <v xml:space="preserve"> perlu bimbingan </v>
      </c>
      <c r="CM22" s="305">
        <f t="shared" si="5"/>
        <v>0</v>
      </c>
      <c r="CN22" s="309" t="str">
        <f>IF(CM22&gt;KKM!$G$10," sangat baik ",IF(CM22&gt;KKM!$H$10," baik ",IF(CM22&gt;=KKM!$I$10," cukup baik "," perlu bimbingan ")))</f>
        <v xml:space="preserve"> perlu bimbingan </v>
      </c>
      <c r="CO22" s="301" t="str">
        <f t="shared" si="6"/>
        <v xml:space="preserve"> </v>
      </c>
      <c r="CP22" s="306"/>
      <c r="CQ22" s="307" t="e">
        <f t="shared" si="0"/>
        <v>#N/A</v>
      </c>
      <c r="CR22" s="307" t="e">
        <f t="shared" si="1"/>
        <v>#N/A</v>
      </c>
      <c r="CS22" s="307" t="e">
        <f t="shared" si="7"/>
        <v>#N/A</v>
      </c>
      <c r="CT22" s="307" t="e">
        <f t="shared" si="8"/>
        <v>#N/A</v>
      </c>
      <c r="CU22" s="308" t="e">
        <f t="shared" si="9"/>
        <v>#N/A</v>
      </c>
      <c r="CV22" s="301" t="e">
        <f t="shared" si="2"/>
        <v>#N/A</v>
      </c>
      <c r="CW22" s="120"/>
      <c r="DF22" s="408" t="str">
        <f t="shared" si="10"/>
        <v/>
      </c>
    </row>
    <row r="23" spans="2:110" ht="62.25" customHeight="1">
      <c r="B23" s="109">
        <v>18</v>
      </c>
      <c r="C23" s="110">
        <f>SISWA!B23</f>
        <v>0</v>
      </c>
      <c r="D23" s="111" t="str">
        <f>SISWA!E23</f>
        <v>Anak 18</v>
      </c>
      <c r="E23" s="124"/>
      <c r="F23" s="125"/>
      <c r="G23" s="125"/>
      <c r="H23" s="125"/>
      <c r="I23" s="125"/>
      <c r="J23" s="124"/>
      <c r="K23" s="124"/>
      <c r="L23" s="124"/>
      <c r="M23" s="124"/>
      <c r="N23" s="124"/>
      <c r="O23" s="124"/>
      <c r="P23" s="124"/>
      <c r="Q23" s="124"/>
      <c r="R23" s="124"/>
      <c r="S23" s="124"/>
      <c r="T23" s="124"/>
      <c r="U23" s="124"/>
      <c r="V23" s="124"/>
      <c r="W23" s="124"/>
      <c r="X23" s="124"/>
      <c r="Y23" s="124"/>
      <c r="Z23" s="332"/>
      <c r="AA23" s="332"/>
      <c r="AB23" s="332"/>
      <c r="AC23" s="332"/>
      <c r="AD23" s="332"/>
      <c r="AE23" s="332"/>
      <c r="AF23" s="332"/>
      <c r="AG23" s="332"/>
      <c r="AH23" s="332"/>
      <c r="AI23" s="332"/>
      <c r="AJ23" s="332"/>
      <c r="AK23" s="332"/>
      <c r="AL23" s="124"/>
      <c r="AM23" s="124"/>
      <c r="AN23" s="124"/>
      <c r="AO23" s="124"/>
      <c r="AP23" s="124"/>
      <c r="AQ23" s="124"/>
      <c r="AR23" s="124"/>
      <c r="AS23" s="124"/>
      <c r="AT23" s="124"/>
      <c r="AU23" s="124"/>
      <c r="AV23" s="124"/>
      <c r="AW23" s="124"/>
      <c r="AX23" s="332"/>
      <c r="AY23" s="332"/>
      <c r="AZ23" s="332"/>
      <c r="BA23" s="332"/>
      <c r="BB23" s="332"/>
      <c r="BC23" s="332"/>
      <c r="BD23" s="332"/>
      <c r="BE23" s="332"/>
      <c r="BF23" s="332"/>
      <c r="BG23" s="332"/>
      <c r="BH23" s="332"/>
      <c r="BI23" s="332"/>
      <c r="BJ23" s="124"/>
      <c r="BK23" s="124"/>
      <c r="BL23" s="124"/>
      <c r="BM23" s="124"/>
      <c r="BN23" s="124"/>
      <c r="BO23" s="124"/>
      <c r="BP23" s="124"/>
      <c r="BQ23" s="124"/>
      <c r="BR23" s="124"/>
      <c r="BS23" s="124"/>
      <c r="BT23" s="124"/>
      <c r="BU23" s="124"/>
      <c r="BV23" s="332"/>
      <c r="BW23" s="332"/>
      <c r="BX23" s="332"/>
      <c r="BY23" s="332"/>
      <c r="BZ23" s="332"/>
      <c r="CA23" s="332"/>
      <c r="CB23" s="332"/>
      <c r="CC23" s="332"/>
      <c r="CD23" s="332"/>
      <c r="CE23" s="332"/>
      <c r="CF23" s="332"/>
      <c r="CG23" s="332"/>
      <c r="CH23" s="112"/>
      <c r="CI23" s="302" t="e">
        <f t="shared" si="3"/>
        <v>#DIV/0!</v>
      </c>
      <c r="CJ23" s="303" t="e">
        <f>IF(CI23&gt;KKM!$G$10,"A",IF(CI23&gt;KKM!$H$10,"B",IF(CI23&gt;=KKM!$I$10,"C","D")))</f>
        <v>#DIV/0!</v>
      </c>
      <c r="CK23" s="304">
        <f t="shared" si="4"/>
        <v>0</v>
      </c>
      <c r="CL23" s="309" t="str">
        <f>IF(CK23&gt;KKM!$G$10," sangat baik ",IF(CK23&gt;KKM!$H$10," baik ",IF(CK23&gt;=KKM!$I$10," cukup baik "," perlu bimbingan ")))</f>
        <v xml:space="preserve"> perlu bimbingan </v>
      </c>
      <c r="CM23" s="305">
        <f t="shared" si="5"/>
        <v>0</v>
      </c>
      <c r="CN23" s="309" t="str">
        <f>IF(CM23&gt;KKM!$G$10," sangat baik ",IF(CM23&gt;KKM!$H$10," baik ",IF(CM23&gt;=KKM!$I$10," cukup baik "," perlu bimbingan ")))</f>
        <v xml:space="preserve"> perlu bimbingan </v>
      </c>
      <c r="CO23" s="301" t="str">
        <f t="shared" si="6"/>
        <v xml:space="preserve"> </v>
      </c>
      <c r="CP23" s="306"/>
      <c r="CQ23" s="307" t="e">
        <f t="shared" si="0"/>
        <v>#N/A</v>
      </c>
      <c r="CR23" s="307" t="e">
        <f t="shared" si="1"/>
        <v>#N/A</v>
      </c>
      <c r="CS23" s="307" t="e">
        <f t="shared" si="7"/>
        <v>#N/A</v>
      </c>
      <c r="CT23" s="307" t="e">
        <f t="shared" si="8"/>
        <v>#N/A</v>
      </c>
      <c r="CU23" s="308" t="e">
        <f t="shared" si="9"/>
        <v>#N/A</v>
      </c>
      <c r="CV23" s="301" t="e">
        <f t="shared" si="2"/>
        <v>#N/A</v>
      </c>
      <c r="CW23" s="120"/>
      <c r="DF23" s="408" t="str">
        <f t="shared" si="10"/>
        <v/>
      </c>
    </row>
    <row r="24" spans="2:110" ht="62.25" customHeight="1">
      <c r="B24" s="109">
        <v>19</v>
      </c>
      <c r="C24" s="110">
        <f>SISWA!B24</f>
        <v>0</v>
      </c>
      <c r="D24" s="111" t="str">
        <f>SISWA!E24</f>
        <v>Anak 19</v>
      </c>
      <c r="E24" s="124"/>
      <c r="F24" s="125"/>
      <c r="G24" s="125"/>
      <c r="H24" s="125"/>
      <c r="I24" s="125"/>
      <c r="J24" s="124"/>
      <c r="K24" s="124"/>
      <c r="L24" s="124"/>
      <c r="M24" s="124"/>
      <c r="N24" s="124"/>
      <c r="O24" s="124"/>
      <c r="P24" s="124"/>
      <c r="Q24" s="124"/>
      <c r="R24" s="124"/>
      <c r="S24" s="124"/>
      <c r="T24" s="124"/>
      <c r="U24" s="124"/>
      <c r="V24" s="124"/>
      <c r="W24" s="124"/>
      <c r="X24" s="124"/>
      <c r="Y24" s="124"/>
      <c r="Z24" s="332"/>
      <c r="AA24" s="332"/>
      <c r="AB24" s="332"/>
      <c r="AC24" s="332"/>
      <c r="AD24" s="332"/>
      <c r="AE24" s="332"/>
      <c r="AF24" s="332"/>
      <c r="AG24" s="332"/>
      <c r="AH24" s="332"/>
      <c r="AI24" s="332"/>
      <c r="AJ24" s="332"/>
      <c r="AK24" s="332"/>
      <c r="AL24" s="124"/>
      <c r="AM24" s="124"/>
      <c r="AN24" s="124"/>
      <c r="AO24" s="124"/>
      <c r="AP24" s="124"/>
      <c r="AQ24" s="124"/>
      <c r="AR24" s="124"/>
      <c r="AS24" s="124"/>
      <c r="AT24" s="124"/>
      <c r="AU24" s="124"/>
      <c r="AV24" s="124"/>
      <c r="AW24" s="124"/>
      <c r="AX24" s="332"/>
      <c r="AY24" s="332"/>
      <c r="AZ24" s="332"/>
      <c r="BA24" s="332"/>
      <c r="BB24" s="332"/>
      <c r="BC24" s="332"/>
      <c r="BD24" s="332"/>
      <c r="BE24" s="332"/>
      <c r="BF24" s="332"/>
      <c r="BG24" s="332"/>
      <c r="BH24" s="332"/>
      <c r="BI24" s="332"/>
      <c r="BJ24" s="124"/>
      <c r="BK24" s="124"/>
      <c r="BL24" s="124"/>
      <c r="BM24" s="124"/>
      <c r="BN24" s="124"/>
      <c r="BO24" s="124"/>
      <c r="BP24" s="124"/>
      <c r="BQ24" s="124"/>
      <c r="BR24" s="124"/>
      <c r="BS24" s="124"/>
      <c r="BT24" s="124"/>
      <c r="BU24" s="124"/>
      <c r="BV24" s="332"/>
      <c r="BW24" s="332"/>
      <c r="BX24" s="332"/>
      <c r="BY24" s="332"/>
      <c r="BZ24" s="332"/>
      <c r="CA24" s="332"/>
      <c r="CB24" s="332"/>
      <c r="CC24" s="332"/>
      <c r="CD24" s="332"/>
      <c r="CE24" s="332"/>
      <c r="CF24" s="332"/>
      <c r="CG24" s="332"/>
      <c r="CH24" s="112"/>
      <c r="CI24" s="302" t="e">
        <f t="shared" si="3"/>
        <v>#DIV/0!</v>
      </c>
      <c r="CJ24" s="303" t="e">
        <f>IF(CI24&gt;KKM!$G$10,"A",IF(CI24&gt;KKM!$H$10,"B",IF(CI24&gt;=KKM!$I$10,"C","D")))</f>
        <v>#DIV/0!</v>
      </c>
      <c r="CK24" s="304">
        <f t="shared" si="4"/>
        <v>0</v>
      </c>
      <c r="CL24" s="309" t="str">
        <f>IF(CK24&gt;KKM!$G$10," sangat baik ",IF(CK24&gt;KKM!$H$10," baik ",IF(CK24&gt;=KKM!$I$10," cukup baik "," perlu bimbingan ")))</f>
        <v xml:space="preserve"> perlu bimbingan </v>
      </c>
      <c r="CM24" s="305">
        <f t="shared" si="5"/>
        <v>0</v>
      </c>
      <c r="CN24" s="309" t="str">
        <f>IF(CM24&gt;KKM!$G$10," sangat baik ",IF(CM24&gt;KKM!$H$10," baik ",IF(CM24&gt;=KKM!$I$10," cukup baik "," perlu bimbingan ")))</f>
        <v xml:space="preserve"> perlu bimbingan </v>
      </c>
      <c r="CO24" s="301" t="str">
        <f t="shared" si="6"/>
        <v xml:space="preserve"> </v>
      </c>
      <c r="CP24" s="306"/>
      <c r="CQ24" s="307" t="e">
        <f t="shared" si="0"/>
        <v>#N/A</v>
      </c>
      <c r="CR24" s="307" t="e">
        <f t="shared" si="1"/>
        <v>#N/A</v>
      </c>
      <c r="CS24" s="307" t="e">
        <f t="shared" si="7"/>
        <v>#N/A</v>
      </c>
      <c r="CT24" s="307" t="e">
        <f t="shared" si="8"/>
        <v>#N/A</v>
      </c>
      <c r="CU24" s="308" t="e">
        <f t="shared" si="9"/>
        <v>#N/A</v>
      </c>
      <c r="CV24" s="301" t="e">
        <f t="shared" si="2"/>
        <v>#N/A</v>
      </c>
      <c r="CW24" s="120"/>
      <c r="DF24" s="408" t="str">
        <f t="shared" si="10"/>
        <v/>
      </c>
    </row>
    <row r="25" spans="2:110" ht="62.25" customHeight="1">
      <c r="B25" s="109">
        <v>20</v>
      </c>
      <c r="C25" s="110">
        <f>SISWA!B25</f>
        <v>0</v>
      </c>
      <c r="D25" s="111" t="str">
        <f>SISWA!E25</f>
        <v>Anak 20</v>
      </c>
      <c r="E25" s="124"/>
      <c r="F25" s="125"/>
      <c r="G25" s="125"/>
      <c r="H25" s="125"/>
      <c r="I25" s="125"/>
      <c r="J25" s="124"/>
      <c r="K25" s="124"/>
      <c r="L25" s="124"/>
      <c r="M25" s="124"/>
      <c r="N25" s="124"/>
      <c r="O25" s="124"/>
      <c r="P25" s="124"/>
      <c r="Q25" s="124"/>
      <c r="R25" s="124"/>
      <c r="S25" s="124"/>
      <c r="T25" s="124"/>
      <c r="U25" s="124"/>
      <c r="V25" s="124"/>
      <c r="W25" s="124"/>
      <c r="X25" s="124"/>
      <c r="Y25" s="124"/>
      <c r="Z25" s="332"/>
      <c r="AA25" s="332"/>
      <c r="AB25" s="332"/>
      <c r="AC25" s="332"/>
      <c r="AD25" s="332"/>
      <c r="AE25" s="332"/>
      <c r="AF25" s="332"/>
      <c r="AG25" s="332"/>
      <c r="AH25" s="332"/>
      <c r="AI25" s="332"/>
      <c r="AJ25" s="332"/>
      <c r="AK25" s="332"/>
      <c r="AL25" s="124"/>
      <c r="AM25" s="124"/>
      <c r="AN25" s="124"/>
      <c r="AO25" s="124"/>
      <c r="AP25" s="124"/>
      <c r="AQ25" s="124"/>
      <c r="AR25" s="124"/>
      <c r="AS25" s="124"/>
      <c r="AT25" s="124"/>
      <c r="AU25" s="124"/>
      <c r="AV25" s="124"/>
      <c r="AW25" s="124"/>
      <c r="AX25" s="332"/>
      <c r="AY25" s="332"/>
      <c r="AZ25" s="332"/>
      <c r="BA25" s="332"/>
      <c r="BB25" s="332"/>
      <c r="BC25" s="332"/>
      <c r="BD25" s="332"/>
      <c r="BE25" s="332"/>
      <c r="BF25" s="332"/>
      <c r="BG25" s="332"/>
      <c r="BH25" s="332"/>
      <c r="BI25" s="332"/>
      <c r="BJ25" s="124"/>
      <c r="BK25" s="124"/>
      <c r="BL25" s="124"/>
      <c r="BM25" s="124"/>
      <c r="BN25" s="124"/>
      <c r="BO25" s="124"/>
      <c r="BP25" s="124"/>
      <c r="BQ25" s="124"/>
      <c r="BR25" s="124"/>
      <c r="BS25" s="124"/>
      <c r="BT25" s="124"/>
      <c r="BU25" s="124"/>
      <c r="BV25" s="332"/>
      <c r="BW25" s="332"/>
      <c r="BX25" s="332"/>
      <c r="BY25" s="332"/>
      <c r="BZ25" s="332"/>
      <c r="CA25" s="332"/>
      <c r="CB25" s="332"/>
      <c r="CC25" s="332"/>
      <c r="CD25" s="332"/>
      <c r="CE25" s="332"/>
      <c r="CF25" s="332"/>
      <c r="CG25" s="332"/>
      <c r="CH25" s="112"/>
      <c r="CI25" s="302" t="e">
        <f t="shared" si="3"/>
        <v>#DIV/0!</v>
      </c>
      <c r="CJ25" s="303" t="e">
        <f>IF(CI25&gt;KKM!$G$10,"A",IF(CI25&gt;KKM!$H$10,"B",IF(CI25&gt;=KKM!$I$10,"C","D")))</f>
        <v>#DIV/0!</v>
      </c>
      <c r="CK25" s="304">
        <f t="shared" si="4"/>
        <v>0</v>
      </c>
      <c r="CL25" s="309" t="str">
        <f>IF(CK25&gt;KKM!$G$10," sangat baik ",IF(CK25&gt;KKM!$H$10," baik ",IF(CK25&gt;=KKM!$I$10," cukup baik "," perlu bimbingan ")))</f>
        <v xml:space="preserve"> perlu bimbingan </v>
      </c>
      <c r="CM25" s="305">
        <f t="shared" si="5"/>
        <v>0</v>
      </c>
      <c r="CN25" s="309" t="str">
        <f>IF(CM25&gt;KKM!$G$10," sangat baik ",IF(CM25&gt;KKM!$H$10," baik ",IF(CM25&gt;=KKM!$I$10," cukup baik "," perlu bimbingan ")))</f>
        <v xml:space="preserve"> perlu bimbingan </v>
      </c>
      <c r="CO25" s="301" t="str">
        <f t="shared" si="6"/>
        <v xml:space="preserve"> </v>
      </c>
      <c r="CP25" s="306"/>
      <c r="CQ25" s="307" t="e">
        <f t="shared" si="0"/>
        <v>#N/A</v>
      </c>
      <c r="CR25" s="307" t="e">
        <f t="shared" si="1"/>
        <v>#N/A</v>
      </c>
      <c r="CS25" s="307" t="e">
        <f t="shared" si="7"/>
        <v>#N/A</v>
      </c>
      <c r="CT25" s="307" t="e">
        <f t="shared" si="8"/>
        <v>#N/A</v>
      </c>
      <c r="CU25" s="308" t="e">
        <f t="shared" si="9"/>
        <v>#N/A</v>
      </c>
      <c r="CV25" s="301" t="e">
        <f t="shared" si="2"/>
        <v>#N/A</v>
      </c>
      <c r="CW25" s="120"/>
      <c r="DF25" s="408" t="str">
        <f t="shared" si="10"/>
        <v/>
      </c>
    </row>
    <row r="26" spans="2:110" ht="62.25" customHeight="1">
      <c r="B26" s="109">
        <v>21</v>
      </c>
      <c r="C26" s="110">
        <f>SISWA!B26</f>
        <v>0</v>
      </c>
      <c r="D26" s="111" t="str">
        <f>SISWA!E26</f>
        <v>Anak 21</v>
      </c>
      <c r="E26" s="124"/>
      <c r="F26" s="125"/>
      <c r="G26" s="125"/>
      <c r="H26" s="125"/>
      <c r="I26" s="125"/>
      <c r="J26" s="124"/>
      <c r="K26" s="124"/>
      <c r="L26" s="124"/>
      <c r="M26" s="124"/>
      <c r="N26" s="124"/>
      <c r="O26" s="124"/>
      <c r="P26" s="124"/>
      <c r="Q26" s="124"/>
      <c r="R26" s="124"/>
      <c r="S26" s="124"/>
      <c r="T26" s="124"/>
      <c r="U26" s="124"/>
      <c r="V26" s="124"/>
      <c r="W26" s="124"/>
      <c r="X26" s="124"/>
      <c r="Y26" s="124"/>
      <c r="Z26" s="332"/>
      <c r="AA26" s="332"/>
      <c r="AB26" s="332"/>
      <c r="AC26" s="332"/>
      <c r="AD26" s="332"/>
      <c r="AE26" s="332"/>
      <c r="AF26" s="332"/>
      <c r="AG26" s="332"/>
      <c r="AH26" s="332"/>
      <c r="AI26" s="332"/>
      <c r="AJ26" s="332"/>
      <c r="AK26" s="332"/>
      <c r="AL26" s="124"/>
      <c r="AM26" s="124"/>
      <c r="AN26" s="124"/>
      <c r="AO26" s="124"/>
      <c r="AP26" s="124"/>
      <c r="AQ26" s="124"/>
      <c r="AR26" s="124"/>
      <c r="AS26" s="124"/>
      <c r="AT26" s="124"/>
      <c r="AU26" s="124"/>
      <c r="AV26" s="124"/>
      <c r="AW26" s="124"/>
      <c r="AX26" s="332"/>
      <c r="AY26" s="332"/>
      <c r="AZ26" s="332"/>
      <c r="BA26" s="332"/>
      <c r="BB26" s="332"/>
      <c r="BC26" s="332"/>
      <c r="BD26" s="332"/>
      <c r="BE26" s="332"/>
      <c r="BF26" s="332"/>
      <c r="BG26" s="332"/>
      <c r="BH26" s="332"/>
      <c r="BI26" s="332"/>
      <c r="BJ26" s="124"/>
      <c r="BK26" s="124"/>
      <c r="BL26" s="124"/>
      <c r="BM26" s="124"/>
      <c r="BN26" s="124"/>
      <c r="BO26" s="124"/>
      <c r="BP26" s="124"/>
      <c r="BQ26" s="124"/>
      <c r="BR26" s="124"/>
      <c r="BS26" s="124"/>
      <c r="BT26" s="124"/>
      <c r="BU26" s="124"/>
      <c r="BV26" s="332"/>
      <c r="BW26" s="332"/>
      <c r="BX26" s="332"/>
      <c r="BY26" s="332"/>
      <c r="BZ26" s="332"/>
      <c r="CA26" s="332"/>
      <c r="CB26" s="332"/>
      <c r="CC26" s="332"/>
      <c r="CD26" s="332"/>
      <c r="CE26" s="332"/>
      <c r="CF26" s="332"/>
      <c r="CG26" s="332"/>
      <c r="CH26" s="112"/>
      <c r="CI26" s="302" t="e">
        <f t="shared" si="3"/>
        <v>#DIV/0!</v>
      </c>
      <c r="CJ26" s="303" t="e">
        <f>IF(CI26&gt;KKM!$G$10,"A",IF(CI26&gt;KKM!$H$10,"B",IF(CI26&gt;=KKM!$I$10,"C","D")))</f>
        <v>#DIV/0!</v>
      </c>
      <c r="CK26" s="304">
        <f t="shared" si="4"/>
        <v>0</v>
      </c>
      <c r="CL26" s="309" t="str">
        <f>IF(CK26&gt;KKM!$G$10," sangat baik ",IF(CK26&gt;KKM!$H$10," baik ",IF(CK26&gt;=KKM!$I$10," cukup baik "," perlu bimbingan ")))</f>
        <v xml:space="preserve"> perlu bimbingan </v>
      </c>
      <c r="CM26" s="305">
        <f t="shared" si="5"/>
        <v>0</v>
      </c>
      <c r="CN26" s="309" t="str">
        <f>IF(CM26&gt;KKM!$G$10," sangat baik ",IF(CM26&gt;KKM!$H$10," baik ",IF(CM26&gt;=KKM!$I$10," cukup baik "," perlu bimbingan ")))</f>
        <v xml:space="preserve"> perlu bimbingan </v>
      </c>
      <c r="CO26" s="301" t="str">
        <f t="shared" si="6"/>
        <v xml:space="preserve"> </v>
      </c>
      <c r="CP26" s="306"/>
      <c r="CQ26" s="307" t="e">
        <f t="shared" si="0"/>
        <v>#N/A</v>
      </c>
      <c r="CR26" s="307" t="e">
        <f t="shared" si="1"/>
        <v>#N/A</v>
      </c>
      <c r="CS26" s="307" t="e">
        <f t="shared" si="7"/>
        <v>#N/A</v>
      </c>
      <c r="CT26" s="307" t="e">
        <f t="shared" si="8"/>
        <v>#N/A</v>
      </c>
      <c r="CU26" s="308" t="e">
        <f t="shared" si="9"/>
        <v>#N/A</v>
      </c>
      <c r="CV26" s="301" t="e">
        <f t="shared" si="2"/>
        <v>#N/A</v>
      </c>
      <c r="CW26" s="120"/>
      <c r="DF26" s="408" t="str">
        <f t="shared" si="10"/>
        <v/>
      </c>
    </row>
    <row r="27" spans="2:110" ht="62.25" customHeight="1">
      <c r="B27" s="109">
        <v>22</v>
      </c>
      <c r="C27" s="110">
        <f>SISWA!B27</f>
        <v>0</v>
      </c>
      <c r="D27" s="111" t="str">
        <f>SISWA!E27</f>
        <v>Anak 22</v>
      </c>
      <c r="E27" s="124"/>
      <c r="F27" s="125"/>
      <c r="G27" s="125"/>
      <c r="H27" s="125"/>
      <c r="I27" s="125"/>
      <c r="J27" s="124"/>
      <c r="K27" s="124"/>
      <c r="L27" s="124"/>
      <c r="M27" s="124"/>
      <c r="N27" s="124"/>
      <c r="O27" s="124"/>
      <c r="P27" s="124"/>
      <c r="Q27" s="124"/>
      <c r="R27" s="124"/>
      <c r="S27" s="124"/>
      <c r="T27" s="124"/>
      <c r="U27" s="124"/>
      <c r="V27" s="124"/>
      <c r="W27" s="124"/>
      <c r="X27" s="124"/>
      <c r="Y27" s="124"/>
      <c r="Z27" s="332"/>
      <c r="AA27" s="332"/>
      <c r="AB27" s="332"/>
      <c r="AC27" s="332"/>
      <c r="AD27" s="332"/>
      <c r="AE27" s="332"/>
      <c r="AF27" s="332"/>
      <c r="AG27" s="332"/>
      <c r="AH27" s="332"/>
      <c r="AI27" s="332"/>
      <c r="AJ27" s="332"/>
      <c r="AK27" s="332"/>
      <c r="AL27" s="124"/>
      <c r="AM27" s="124"/>
      <c r="AN27" s="124"/>
      <c r="AO27" s="124"/>
      <c r="AP27" s="124"/>
      <c r="AQ27" s="124"/>
      <c r="AR27" s="124"/>
      <c r="AS27" s="124"/>
      <c r="AT27" s="124"/>
      <c r="AU27" s="124"/>
      <c r="AV27" s="124"/>
      <c r="AW27" s="124"/>
      <c r="AX27" s="332"/>
      <c r="AY27" s="332"/>
      <c r="AZ27" s="332"/>
      <c r="BA27" s="332"/>
      <c r="BB27" s="332"/>
      <c r="BC27" s="332"/>
      <c r="BD27" s="332"/>
      <c r="BE27" s="332"/>
      <c r="BF27" s="332"/>
      <c r="BG27" s="332"/>
      <c r="BH27" s="332"/>
      <c r="BI27" s="332"/>
      <c r="BJ27" s="124"/>
      <c r="BK27" s="124"/>
      <c r="BL27" s="124"/>
      <c r="BM27" s="124"/>
      <c r="BN27" s="124"/>
      <c r="BO27" s="124"/>
      <c r="BP27" s="124"/>
      <c r="BQ27" s="124"/>
      <c r="BR27" s="124"/>
      <c r="BS27" s="124"/>
      <c r="BT27" s="124"/>
      <c r="BU27" s="124"/>
      <c r="BV27" s="332"/>
      <c r="BW27" s="332"/>
      <c r="BX27" s="332"/>
      <c r="BY27" s="332"/>
      <c r="BZ27" s="332"/>
      <c r="CA27" s="332"/>
      <c r="CB27" s="332"/>
      <c r="CC27" s="332"/>
      <c r="CD27" s="332"/>
      <c r="CE27" s="332"/>
      <c r="CF27" s="332"/>
      <c r="CG27" s="332"/>
      <c r="CH27" s="112"/>
      <c r="CI27" s="302" t="e">
        <f t="shared" si="3"/>
        <v>#DIV/0!</v>
      </c>
      <c r="CJ27" s="303" t="e">
        <f>IF(CI27&gt;KKM!$G$10,"A",IF(CI27&gt;KKM!$H$10,"B",IF(CI27&gt;=KKM!$I$10,"C","D")))</f>
        <v>#DIV/0!</v>
      </c>
      <c r="CK27" s="304">
        <f t="shared" si="4"/>
        <v>0</v>
      </c>
      <c r="CL27" s="309" t="str">
        <f>IF(CK27&gt;KKM!$G$10," sangat baik ",IF(CK27&gt;KKM!$H$10," baik ",IF(CK27&gt;=KKM!$I$10," cukup baik "," perlu bimbingan ")))</f>
        <v xml:space="preserve"> perlu bimbingan </v>
      </c>
      <c r="CM27" s="305">
        <f t="shared" si="5"/>
        <v>0</v>
      </c>
      <c r="CN27" s="309" t="str">
        <f>IF(CM27&gt;KKM!$G$10," sangat baik ",IF(CM27&gt;KKM!$H$10," baik ",IF(CM27&gt;=KKM!$I$10," cukup baik "," perlu bimbingan ")))</f>
        <v xml:space="preserve"> perlu bimbingan </v>
      </c>
      <c r="CO27" s="301" t="str">
        <f t="shared" si="6"/>
        <v xml:space="preserve"> </v>
      </c>
      <c r="CP27" s="306"/>
      <c r="CQ27" s="307" t="e">
        <f t="shared" si="0"/>
        <v>#N/A</v>
      </c>
      <c r="CR27" s="307" t="e">
        <f t="shared" si="1"/>
        <v>#N/A</v>
      </c>
      <c r="CS27" s="307" t="e">
        <f t="shared" si="7"/>
        <v>#N/A</v>
      </c>
      <c r="CT27" s="307" t="e">
        <f t="shared" si="8"/>
        <v>#N/A</v>
      </c>
      <c r="CU27" s="308" t="e">
        <f t="shared" si="9"/>
        <v>#N/A</v>
      </c>
      <c r="CV27" s="301" t="e">
        <f t="shared" si="2"/>
        <v>#N/A</v>
      </c>
      <c r="CW27" s="120"/>
      <c r="DF27" s="408" t="str">
        <f t="shared" si="10"/>
        <v/>
      </c>
    </row>
    <row r="28" spans="2:110" ht="62.25" customHeight="1">
      <c r="B28" s="109">
        <v>23</v>
      </c>
      <c r="C28" s="110">
        <f>SISWA!B28</f>
        <v>0</v>
      </c>
      <c r="D28" s="111" t="str">
        <f>SISWA!E28</f>
        <v>Anak 23</v>
      </c>
      <c r="E28" s="124"/>
      <c r="F28" s="125"/>
      <c r="G28" s="125"/>
      <c r="H28" s="125"/>
      <c r="I28" s="125"/>
      <c r="J28" s="124"/>
      <c r="K28" s="124"/>
      <c r="L28" s="124"/>
      <c r="M28" s="124"/>
      <c r="N28" s="124"/>
      <c r="O28" s="124"/>
      <c r="P28" s="124"/>
      <c r="Q28" s="124"/>
      <c r="R28" s="124"/>
      <c r="S28" s="124"/>
      <c r="T28" s="124"/>
      <c r="U28" s="124"/>
      <c r="V28" s="124"/>
      <c r="W28" s="124"/>
      <c r="X28" s="124"/>
      <c r="Y28" s="124"/>
      <c r="Z28" s="332"/>
      <c r="AA28" s="332"/>
      <c r="AB28" s="332"/>
      <c r="AC28" s="332"/>
      <c r="AD28" s="332"/>
      <c r="AE28" s="332"/>
      <c r="AF28" s="332"/>
      <c r="AG28" s="332"/>
      <c r="AH28" s="332"/>
      <c r="AI28" s="332"/>
      <c r="AJ28" s="332"/>
      <c r="AK28" s="332"/>
      <c r="AL28" s="124"/>
      <c r="AM28" s="124"/>
      <c r="AN28" s="124"/>
      <c r="AO28" s="124"/>
      <c r="AP28" s="124"/>
      <c r="AQ28" s="124"/>
      <c r="AR28" s="124"/>
      <c r="AS28" s="124"/>
      <c r="AT28" s="124"/>
      <c r="AU28" s="124"/>
      <c r="AV28" s="124"/>
      <c r="AW28" s="124"/>
      <c r="AX28" s="332"/>
      <c r="AY28" s="332"/>
      <c r="AZ28" s="332"/>
      <c r="BA28" s="332"/>
      <c r="BB28" s="332"/>
      <c r="BC28" s="332"/>
      <c r="BD28" s="332"/>
      <c r="BE28" s="332"/>
      <c r="BF28" s="332"/>
      <c r="BG28" s="332"/>
      <c r="BH28" s="332"/>
      <c r="BI28" s="332"/>
      <c r="BJ28" s="124"/>
      <c r="BK28" s="124"/>
      <c r="BL28" s="124"/>
      <c r="BM28" s="124"/>
      <c r="BN28" s="124"/>
      <c r="BO28" s="124"/>
      <c r="BP28" s="124"/>
      <c r="BQ28" s="124"/>
      <c r="BR28" s="124"/>
      <c r="BS28" s="124"/>
      <c r="BT28" s="124"/>
      <c r="BU28" s="124"/>
      <c r="BV28" s="332"/>
      <c r="BW28" s="332"/>
      <c r="BX28" s="332"/>
      <c r="BY28" s="332"/>
      <c r="BZ28" s="332"/>
      <c r="CA28" s="332"/>
      <c r="CB28" s="332"/>
      <c r="CC28" s="332"/>
      <c r="CD28" s="332"/>
      <c r="CE28" s="332"/>
      <c r="CF28" s="332"/>
      <c r="CG28" s="332"/>
      <c r="CH28" s="112"/>
      <c r="CI28" s="302" t="e">
        <f t="shared" si="3"/>
        <v>#DIV/0!</v>
      </c>
      <c r="CJ28" s="303" t="e">
        <f>IF(CI28&gt;KKM!$G$10,"A",IF(CI28&gt;KKM!$H$10,"B",IF(CI28&gt;=KKM!$I$10,"C","D")))</f>
        <v>#DIV/0!</v>
      </c>
      <c r="CK28" s="304">
        <f t="shared" si="4"/>
        <v>0</v>
      </c>
      <c r="CL28" s="309" t="str">
        <f>IF(CK28&gt;KKM!$G$10," sangat baik ",IF(CK28&gt;KKM!$H$10," baik ",IF(CK28&gt;=KKM!$I$10," cukup baik "," perlu bimbingan ")))</f>
        <v xml:space="preserve"> perlu bimbingan </v>
      </c>
      <c r="CM28" s="305">
        <f t="shared" si="5"/>
        <v>0</v>
      </c>
      <c r="CN28" s="309" t="str">
        <f>IF(CM28&gt;KKM!$G$10," sangat baik ",IF(CM28&gt;KKM!$H$10," baik ",IF(CM28&gt;=KKM!$I$10," cukup baik "," perlu bimbingan ")))</f>
        <v xml:space="preserve"> perlu bimbingan </v>
      </c>
      <c r="CO28" s="301" t="str">
        <f t="shared" si="6"/>
        <v xml:space="preserve"> </v>
      </c>
      <c r="CP28" s="306"/>
      <c r="CQ28" s="307" t="e">
        <f t="shared" si="0"/>
        <v>#N/A</v>
      </c>
      <c r="CR28" s="307" t="e">
        <f t="shared" si="1"/>
        <v>#N/A</v>
      </c>
      <c r="CS28" s="307" t="e">
        <f t="shared" si="7"/>
        <v>#N/A</v>
      </c>
      <c r="CT28" s="307" t="e">
        <f t="shared" si="8"/>
        <v>#N/A</v>
      </c>
      <c r="CU28" s="308" t="e">
        <f t="shared" si="9"/>
        <v>#N/A</v>
      </c>
      <c r="CV28" s="301" t="e">
        <f t="shared" si="2"/>
        <v>#N/A</v>
      </c>
      <c r="CW28" s="120"/>
      <c r="DF28" s="408" t="str">
        <f t="shared" si="10"/>
        <v/>
      </c>
    </row>
    <row r="29" spans="2:110" ht="62.25" customHeight="1">
      <c r="B29" s="109">
        <v>24</v>
      </c>
      <c r="C29" s="110">
        <f>SISWA!B29</f>
        <v>0</v>
      </c>
      <c r="D29" s="111" t="str">
        <f>SISWA!E29</f>
        <v>Anak 24</v>
      </c>
      <c r="E29" s="124"/>
      <c r="F29" s="125"/>
      <c r="G29" s="125"/>
      <c r="H29" s="125"/>
      <c r="I29" s="125"/>
      <c r="J29" s="124"/>
      <c r="K29" s="124"/>
      <c r="L29" s="124"/>
      <c r="M29" s="124"/>
      <c r="N29" s="124"/>
      <c r="O29" s="124"/>
      <c r="P29" s="124"/>
      <c r="Q29" s="124"/>
      <c r="R29" s="124"/>
      <c r="S29" s="124"/>
      <c r="T29" s="124"/>
      <c r="U29" s="124"/>
      <c r="V29" s="124"/>
      <c r="W29" s="124"/>
      <c r="X29" s="124"/>
      <c r="Y29" s="124"/>
      <c r="Z29" s="332"/>
      <c r="AA29" s="332"/>
      <c r="AB29" s="332"/>
      <c r="AC29" s="332"/>
      <c r="AD29" s="332"/>
      <c r="AE29" s="332"/>
      <c r="AF29" s="332"/>
      <c r="AG29" s="332"/>
      <c r="AH29" s="332"/>
      <c r="AI29" s="332"/>
      <c r="AJ29" s="332"/>
      <c r="AK29" s="332"/>
      <c r="AL29" s="124"/>
      <c r="AM29" s="124"/>
      <c r="AN29" s="124"/>
      <c r="AO29" s="124"/>
      <c r="AP29" s="124"/>
      <c r="AQ29" s="124"/>
      <c r="AR29" s="124"/>
      <c r="AS29" s="124"/>
      <c r="AT29" s="124"/>
      <c r="AU29" s="124"/>
      <c r="AV29" s="124"/>
      <c r="AW29" s="124"/>
      <c r="AX29" s="332"/>
      <c r="AY29" s="332"/>
      <c r="AZ29" s="332"/>
      <c r="BA29" s="332"/>
      <c r="BB29" s="332"/>
      <c r="BC29" s="332"/>
      <c r="BD29" s="332"/>
      <c r="BE29" s="332"/>
      <c r="BF29" s="332"/>
      <c r="BG29" s="332"/>
      <c r="BH29" s="332"/>
      <c r="BI29" s="332"/>
      <c r="BJ29" s="124"/>
      <c r="BK29" s="124"/>
      <c r="BL29" s="124"/>
      <c r="BM29" s="124"/>
      <c r="BN29" s="124"/>
      <c r="BO29" s="124"/>
      <c r="BP29" s="124"/>
      <c r="BQ29" s="124"/>
      <c r="BR29" s="124"/>
      <c r="BS29" s="124"/>
      <c r="BT29" s="124"/>
      <c r="BU29" s="124"/>
      <c r="BV29" s="332"/>
      <c r="BW29" s="332"/>
      <c r="BX29" s="332"/>
      <c r="BY29" s="332"/>
      <c r="BZ29" s="332"/>
      <c r="CA29" s="332"/>
      <c r="CB29" s="332"/>
      <c r="CC29" s="332"/>
      <c r="CD29" s="332"/>
      <c r="CE29" s="332"/>
      <c r="CF29" s="332"/>
      <c r="CG29" s="332"/>
      <c r="CH29" s="112"/>
      <c r="CI29" s="302" t="e">
        <f t="shared" si="3"/>
        <v>#DIV/0!</v>
      </c>
      <c r="CJ29" s="303" t="e">
        <f>IF(CI29&gt;KKM!$G$10,"A",IF(CI29&gt;KKM!$H$10,"B",IF(CI29&gt;=KKM!$I$10,"C","D")))</f>
        <v>#DIV/0!</v>
      </c>
      <c r="CK29" s="304">
        <f t="shared" si="4"/>
        <v>0</v>
      </c>
      <c r="CL29" s="309" t="str">
        <f>IF(CK29&gt;KKM!$G$10," sangat baik ",IF(CK29&gt;KKM!$H$10," baik ",IF(CK29&gt;=KKM!$I$10," cukup baik "," perlu bimbingan ")))</f>
        <v xml:space="preserve"> perlu bimbingan </v>
      </c>
      <c r="CM29" s="305">
        <f t="shared" si="5"/>
        <v>0</v>
      </c>
      <c r="CN29" s="309" t="str">
        <f>IF(CM29&gt;KKM!$G$10," sangat baik ",IF(CM29&gt;KKM!$H$10," baik ",IF(CM29&gt;=KKM!$I$10," cukup baik "," perlu bimbingan ")))</f>
        <v xml:space="preserve"> perlu bimbingan </v>
      </c>
      <c r="CO29" s="301" t="str">
        <f t="shared" si="6"/>
        <v xml:space="preserve"> </v>
      </c>
      <c r="CP29" s="306"/>
      <c r="CQ29" s="307" t="e">
        <f t="shared" si="0"/>
        <v>#N/A</v>
      </c>
      <c r="CR29" s="307" t="e">
        <f t="shared" si="1"/>
        <v>#N/A</v>
      </c>
      <c r="CS29" s="307" t="e">
        <f t="shared" si="7"/>
        <v>#N/A</v>
      </c>
      <c r="CT29" s="307" t="e">
        <f t="shared" si="8"/>
        <v>#N/A</v>
      </c>
      <c r="CU29" s="308" t="e">
        <f t="shared" si="9"/>
        <v>#N/A</v>
      </c>
      <c r="CV29" s="301" t="e">
        <f t="shared" si="2"/>
        <v>#N/A</v>
      </c>
      <c r="CW29" s="120"/>
      <c r="DF29" s="408" t="str">
        <f t="shared" si="10"/>
        <v/>
      </c>
    </row>
    <row r="30" spans="2:110" ht="62.25" customHeight="1">
      <c r="B30" s="109">
        <v>25</v>
      </c>
      <c r="C30" s="110">
        <f>SISWA!B30</f>
        <v>0</v>
      </c>
      <c r="D30" s="111" t="str">
        <f>SISWA!E30</f>
        <v>Anak 25</v>
      </c>
      <c r="E30" s="124"/>
      <c r="F30" s="125"/>
      <c r="G30" s="125"/>
      <c r="H30" s="125"/>
      <c r="I30" s="125"/>
      <c r="J30" s="124"/>
      <c r="K30" s="124"/>
      <c r="L30" s="124"/>
      <c r="M30" s="124"/>
      <c r="N30" s="124"/>
      <c r="O30" s="124"/>
      <c r="P30" s="124"/>
      <c r="Q30" s="124"/>
      <c r="R30" s="124"/>
      <c r="S30" s="124"/>
      <c r="T30" s="124"/>
      <c r="U30" s="124"/>
      <c r="V30" s="124"/>
      <c r="W30" s="124"/>
      <c r="X30" s="124"/>
      <c r="Y30" s="124"/>
      <c r="Z30" s="332"/>
      <c r="AA30" s="332"/>
      <c r="AB30" s="332"/>
      <c r="AC30" s="332"/>
      <c r="AD30" s="332"/>
      <c r="AE30" s="332"/>
      <c r="AF30" s="332"/>
      <c r="AG30" s="332"/>
      <c r="AH30" s="332"/>
      <c r="AI30" s="332"/>
      <c r="AJ30" s="332"/>
      <c r="AK30" s="332"/>
      <c r="AL30" s="124"/>
      <c r="AM30" s="124"/>
      <c r="AN30" s="124"/>
      <c r="AO30" s="124"/>
      <c r="AP30" s="124"/>
      <c r="AQ30" s="124"/>
      <c r="AR30" s="124"/>
      <c r="AS30" s="124"/>
      <c r="AT30" s="124"/>
      <c r="AU30" s="124"/>
      <c r="AV30" s="124"/>
      <c r="AW30" s="124"/>
      <c r="AX30" s="332"/>
      <c r="AY30" s="332"/>
      <c r="AZ30" s="332"/>
      <c r="BA30" s="332"/>
      <c r="BB30" s="332"/>
      <c r="BC30" s="332"/>
      <c r="BD30" s="332"/>
      <c r="BE30" s="332"/>
      <c r="BF30" s="332"/>
      <c r="BG30" s="332"/>
      <c r="BH30" s="332"/>
      <c r="BI30" s="332"/>
      <c r="BJ30" s="124"/>
      <c r="BK30" s="124"/>
      <c r="BL30" s="124"/>
      <c r="BM30" s="124"/>
      <c r="BN30" s="124"/>
      <c r="BO30" s="124"/>
      <c r="BP30" s="124"/>
      <c r="BQ30" s="124"/>
      <c r="BR30" s="124"/>
      <c r="BS30" s="124"/>
      <c r="BT30" s="124"/>
      <c r="BU30" s="124"/>
      <c r="BV30" s="332"/>
      <c r="BW30" s="332"/>
      <c r="BX30" s="332"/>
      <c r="BY30" s="332"/>
      <c r="BZ30" s="332"/>
      <c r="CA30" s="332"/>
      <c r="CB30" s="332"/>
      <c r="CC30" s="332"/>
      <c r="CD30" s="332"/>
      <c r="CE30" s="332"/>
      <c r="CF30" s="332"/>
      <c r="CG30" s="332"/>
      <c r="CH30" s="112"/>
      <c r="CI30" s="302" t="e">
        <f t="shared" si="3"/>
        <v>#DIV/0!</v>
      </c>
      <c r="CJ30" s="303" t="e">
        <f>IF(CI30&gt;KKM!$G$10,"A",IF(CI30&gt;KKM!$H$10,"B",IF(CI30&gt;=KKM!$I$10,"C","D")))</f>
        <v>#DIV/0!</v>
      </c>
      <c r="CK30" s="304">
        <f t="shared" si="4"/>
        <v>0</v>
      </c>
      <c r="CL30" s="309" t="str">
        <f>IF(CK30&gt;KKM!$G$10," sangat baik ",IF(CK30&gt;KKM!$H$10," baik ",IF(CK30&gt;=KKM!$I$10," cukup baik "," perlu bimbingan ")))</f>
        <v xml:space="preserve"> perlu bimbingan </v>
      </c>
      <c r="CM30" s="305">
        <f t="shared" si="5"/>
        <v>0</v>
      </c>
      <c r="CN30" s="309" t="str">
        <f>IF(CM30&gt;KKM!$G$10," sangat baik ",IF(CM30&gt;KKM!$H$10," baik ",IF(CM30&gt;=KKM!$I$10," cukup baik "," perlu bimbingan ")))</f>
        <v xml:space="preserve"> perlu bimbingan </v>
      </c>
      <c r="CO30" s="301" t="str">
        <f t="shared" si="6"/>
        <v xml:space="preserve"> </v>
      </c>
      <c r="CP30" s="306"/>
      <c r="CQ30" s="307" t="e">
        <f t="shared" si="0"/>
        <v>#N/A</v>
      </c>
      <c r="CR30" s="307" t="e">
        <f t="shared" si="1"/>
        <v>#N/A</v>
      </c>
      <c r="CS30" s="307" t="e">
        <f t="shared" si="7"/>
        <v>#N/A</v>
      </c>
      <c r="CT30" s="307" t="e">
        <f t="shared" si="8"/>
        <v>#N/A</v>
      </c>
      <c r="CU30" s="308" t="e">
        <f t="shared" si="9"/>
        <v>#N/A</v>
      </c>
      <c r="CV30" s="301" t="e">
        <f t="shared" si="2"/>
        <v>#N/A</v>
      </c>
      <c r="CW30" s="120"/>
      <c r="DF30" s="408" t="str">
        <f t="shared" si="10"/>
        <v/>
      </c>
    </row>
    <row r="31" spans="2:110" ht="62.25" customHeight="1">
      <c r="B31" s="109">
        <v>26</v>
      </c>
      <c r="C31" s="110">
        <f>SISWA!B31</f>
        <v>0</v>
      </c>
      <c r="D31" s="111" t="str">
        <f>SISWA!E31</f>
        <v>Anak 26</v>
      </c>
      <c r="E31" s="124"/>
      <c r="F31" s="125"/>
      <c r="G31" s="125"/>
      <c r="H31" s="125"/>
      <c r="I31" s="125"/>
      <c r="J31" s="124"/>
      <c r="K31" s="124"/>
      <c r="L31" s="124"/>
      <c r="M31" s="124"/>
      <c r="N31" s="124"/>
      <c r="O31" s="124"/>
      <c r="P31" s="124"/>
      <c r="Q31" s="124"/>
      <c r="R31" s="124"/>
      <c r="S31" s="124"/>
      <c r="T31" s="124"/>
      <c r="U31" s="124"/>
      <c r="V31" s="124"/>
      <c r="W31" s="124"/>
      <c r="X31" s="124"/>
      <c r="Y31" s="124"/>
      <c r="Z31" s="332"/>
      <c r="AA31" s="332"/>
      <c r="AB31" s="332"/>
      <c r="AC31" s="332"/>
      <c r="AD31" s="332"/>
      <c r="AE31" s="332"/>
      <c r="AF31" s="332"/>
      <c r="AG31" s="332"/>
      <c r="AH31" s="332"/>
      <c r="AI31" s="332"/>
      <c r="AJ31" s="332"/>
      <c r="AK31" s="332"/>
      <c r="AL31" s="124"/>
      <c r="AM31" s="124"/>
      <c r="AN31" s="124"/>
      <c r="AO31" s="124"/>
      <c r="AP31" s="124"/>
      <c r="AQ31" s="124"/>
      <c r="AR31" s="124"/>
      <c r="AS31" s="124"/>
      <c r="AT31" s="124"/>
      <c r="AU31" s="124"/>
      <c r="AV31" s="124"/>
      <c r="AW31" s="124"/>
      <c r="AX31" s="332"/>
      <c r="AY31" s="332"/>
      <c r="AZ31" s="332"/>
      <c r="BA31" s="332"/>
      <c r="BB31" s="332"/>
      <c r="BC31" s="332"/>
      <c r="BD31" s="332"/>
      <c r="BE31" s="332"/>
      <c r="BF31" s="332"/>
      <c r="BG31" s="332"/>
      <c r="BH31" s="332"/>
      <c r="BI31" s="332"/>
      <c r="BJ31" s="124"/>
      <c r="BK31" s="124"/>
      <c r="BL31" s="124"/>
      <c r="BM31" s="124"/>
      <c r="BN31" s="124"/>
      <c r="BO31" s="124"/>
      <c r="BP31" s="124"/>
      <c r="BQ31" s="124"/>
      <c r="BR31" s="124"/>
      <c r="BS31" s="124"/>
      <c r="BT31" s="124"/>
      <c r="BU31" s="124"/>
      <c r="BV31" s="332"/>
      <c r="BW31" s="332"/>
      <c r="BX31" s="332"/>
      <c r="BY31" s="332"/>
      <c r="BZ31" s="332"/>
      <c r="CA31" s="332"/>
      <c r="CB31" s="332"/>
      <c r="CC31" s="332"/>
      <c r="CD31" s="332"/>
      <c r="CE31" s="332"/>
      <c r="CF31" s="332"/>
      <c r="CG31" s="332"/>
      <c r="CH31" s="112"/>
      <c r="CI31" s="302" t="e">
        <f t="shared" si="3"/>
        <v>#DIV/0!</v>
      </c>
      <c r="CJ31" s="303" t="e">
        <f>IF(CI31&gt;KKM!$G$10,"A",IF(CI31&gt;KKM!$H$10,"B",IF(CI31&gt;=KKM!$I$10,"C","D")))</f>
        <v>#DIV/0!</v>
      </c>
      <c r="CK31" s="304">
        <f t="shared" si="4"/>
        <v>0</v>
      </c>
      <c r="CL31" s="309" t="str">
        <f>IF(CK31&gt;KKM!$G$10," sangat baik ",IF(CK31&gt;KKM!$H$10," baik ",IF(CK31&gt;=KKM!$I$10," cukup baik "," perlu bimbingan ")))</f>
        <v xml:space="preserve"> perlu bimbingan </v>
      </c>
      <c r="CM31" s="305">
        <f t="shared" si="5"/>
        <v>0</v>
      </c>
      <c r="CN31" s="309" t="str">
        <f>IF(CM31&gt;KKM!$G$10," sangat baik ",IF(CM31&gt;KKM!$H$10," baik ",IF(CM31&gt;=KKM!$I$10," cukup baik "," perlu bimbingan ")))</f>
        <v xml:space="preserve"> perlu bimbingan </v>
      </c>
      <c r="CO31" s="301" t="str">
        <f t="shared" si="6"/>
        <v xml:space="preserve"> </v>
      </c>
      <c r="CP31" s="306"/>
      <c r="CQ31" s="307" t="e">
        <f t="shared" si="0"/>
        <v>#N/A</v>
      </c>
      <c r="CR31" s="307" t="e">
        <f t="shared" si="1"/>
        <v>#N/A</v>
      </c>
      <c r="CS31" s="307" t="e">
        <f t="shared" si="7"/>
        <v>#N/A</v>
      </c>
      <c r="CT31" s="307" t="e">
        <f t="shared" si="8"/>
        <v>#N/A</v>
      </c>
      <c r="CU31" s="308" t="e">
        <f t="shared" si="9"/>
        <v>#N/A</v>
      </c>
      <c r="CV31" s="301" t="e">
        <f t="shared" si="2"/>
        <v>#N/A</v>
      </c>
      <c r="CW31" s="120"/>
      <c r="DF31" s="408" t="str">
        <f t="shared" si="10"/>
        <v/>
      </c>
    </row>
    <row r="32" spans="2:110" ht="62.25" customHeight="1">
      <c r="B32" s="109">
        <v>27</v>
      </c>
      <c r="C32" s="110">
        <f>SISWA!B32</f>
        <v>0</v>
      </c>
      <c r="D32" s="111" t="str">
        <f>SISWA!E32</f>
        <v>Anak 27</v>
      </c>
      <c r="E32" s="124"/>
      <c r="F32" s="125"/>
      <c r="G32" s="125"/>
      <c r="H32" s="125"/>
      <c r="I32" s="125"/>
      <c r="J32" s="124"/>
      <c r="K32" s="124"/>
      <c r="L32" s="124"/>
      <c r="M32" s="124"/>
      <c r="N32" s="124"/>
      <c r="O32" s="124"/>
      <c r="P32" s="124"/>
      <c r="Q32" s="124"/>
      <c r="R32" s="124"/>
      <c r="S32" s="124"/>
      <c r="T32" s="124"/>
      <c r="U32" s="124"/>
      <c r="V32" s="124"/>
      <c r="W32" s="124"/>
      <c r="X32" s="124"/>
      <c r="Y32" s="124"/>
      <c r="Z32" s="332"/>
      <c r="AA32" s="332"/>
      <c r="AB32" s="332"/>
      <c r="AC32" s="332"/>
      <c r="AD32" s="332"/>
      <c r="AE32" s="332"/>
      <c r="AF32" s="332"/>
      <c r="AG32" s="332"/>
      <c r="AH32" s="332"/>
      <c r="AI32" s="332"/>
      <c r="AJ32" s="332"/>
      <c r="AK32" s="332"/>
      <c r="AL32" s="124"/>
      <c r="AM32" s="124"/>
      <c r="AN32" s="124"/>
      <c r="AO32" s="124"/>
      <c r="AP32" s="124"/>
      <c r="AQ32" s="124"/>
      <c r="AR32" s="124"/>
      <c r="AS32" s="124"/>
      <c r="AT32" s="124"/>
      <c r="AU32" s="124"/>
      <c r="AV32" s="124"/>
      <c r="AW32" s="124"/>
      <c r="AX32" s="332"/>
      <c r="AY32" s="332"/>
      <c r="AZ32" s="332"/>
      <c r="BA32" s="332"/>
      <c r="BB32" s="332"/>
      <c r="BC32" s="332"/>
      <c r="BD32" s="332"/>
      <c r="BE32" s="332"/>
      <c r="BF32" s="332"/>
      <c r="BG32" s="332"/>
      <c r="BH32" s="332"/>
      <c r="BI32" s="332"/>
      <c r="BJ32" s="124"/>
      <c r="BK32" s="124"/>
      <c r="BL32" s="124"/>
      <c r="BM32" s="124"/>
      <c r="BN32" s="124"/>
      <c r="BO32" s="124"/>
      <c r="BP32" s="124"/>
      <c r="BQ32" s="124"/>
      <c r="BR32" s="124"/>
      <c r="BS32" s="124"/>
      <c r="BT32" s="124"/>
      <c r="BU32" s="124"/>
      <c r="BV32" s="332"/>
      <c r="BW32" s="332"/>
      <c r="BX32" s="332"/>
      <c r="BY32" s="332"/>
      <c r="BZ32" s="332"/>
      <c r="CA32" s="332"/>
      <c r="CB32" s="332"/>
      <c r="CC32" s="332"/>
      <c r="CD32" s="332"/>
      <c r="CE32" s="332"/>
      <c r="CF32" s="332"/>
      <c r="CG32" s="332"/>
      <c r="CH32" s="112"/>
      <c r="CI32" s="302" t="e">
        <f t="shared" si="3"/>
        <v>#DIV/0!</v>
      </c>
      <c r="CJ32" s="303" t="e">
        <f>IF(CI32&gt;KKM!$G$10,"A",IF(CI32&gt;KKM!$H$10,"B",IF(CI32&gt;=KKM!$I$10,"C","D")))</f>
        <v>#DIV/0!</v>
      </c>
      <c r="CK32" s="304">
        <f t="shared" si="4"/>
        <v>0</v>
      </c>
      <c r="CL32" s="309" t="str">
        <f>IF(CK32&gt;KKM!$G$10," sangat baik ",IF(CK32&gt;KKM!$H$10," baik ",IF(CK32&gt;=KKM!$I$10," cukup baik "," perlu bimbingan ")))</f>
        <v xml:space="preserve"> perlu bimbingan </v>
      </c>
      <c r="CM32" s="305">
        <f t="shared" si="5"/>
        <v>0</v>
      </c>
      <c r="CN32" s="309" t="str">
        <f>IF(CM32&gt;KKM!$G$10," sangat baik ",IF(CM32&gt;KKM!$H$10," baik ",IF(CM32&gt;=KKM!$I$10," cukup baik "," perlu bimbingan ")))</f>
        <v xml:space="preserve"> perlu bimbingan </v>
      </c>
      <c r="CO32" s="301" t="str">
        <f t="shared" si="6"/>
        <v xml:space="preserve"> </v>
      </c>
      <c r="CP32" s="306"/>
      <c r="CQ32" s="307" t="e">
        <f t="shared" si="0"/>
        <v>#N/A</v>
      </c>
      <c r="CR32" s="307" t="e">
        <f t="shared" si="1"/>
        <v>#N/A</v>
      </c>
      <c r="CS32" s="307" t="e">
        <f t="shared" si="7"/>
        <v>#N/A</v>
      </c>
      <c r="CT32" s="307" t="e">
        <f t="shared" si="8"/>
        <v>#N/A</v>
      </c>
      <c r="CU32" s="308" t="e">
        <f t="shared" si="9"/>
        <v>#N/A</v>
      </c>
      <c r="CV32" s="301" t="e">
        <f t="shared" si="2"/>
        <v>#N/A</v>
      </c>
      <c r="CW32" s="120"/>
      <c r="DF32" s="408" t="str">
        <f t="shared" si="10"/>
        <v/>
      </c>
    </row>
    <row r="33" spans="2:110" ht="62.25" customHeight="1">
      <c r="B33" s="109">
        <v>28</v>
      </c>
      <c r="C33" s="110">
        <f>SISWA!B33</f>
        <v>0</v>
      </c>
      <c r="D33" s="111" t="str">
        <f>SISWA!E33</f>
        <v>Anak 28</v>
      </c>
      <c r="E33" s="124"/>
      <c r="F33" s="125"/>
      <c r="G33" s="125"/>
      <c r="H33" s="125"/>
      <c r="I33" s="125"/>
      <c r="J33" s="124"/>
      <c r="K33" s="124"/>
      <c r="L33" s="124"/>
      <c r="M33" s="124"/>
      <c r="N33" s="124"/>
      <c r="O33" s="124"/>
      <c r="P33" s="124"/>
      <c r="Q33" s="124"/>
      <c r="R33" s="124"/>
      <c r="S33" s="124"/>
      <c r="T33" s="124"/>
      <c r="U33" s="124"/>
      <c r="V33" s="124"/>
      <c r="W33" s="124"/>
      <c r="X33" s="124"/>
      <c r="Y33" s="124"/>
      <c r="Z33" s="332"/>
      <c r="AA33" s="332"/>
      <c r="AB33" s="332"/>
      <c r="AC33" s="332"/>
      <c r="AD33" s="332"/>
      <c r="AE33" s="332"/>
      <c r="AF33" s="332"/>
      <c r="AG33" s="332"/>
      <c r="AH33" s="332"/>
      <c r="AI33" s="332"/>
      <c r="AJ33" s="332"/>
      <c r="AK33" s="332"/>
      <c r="AL33" s="124"/>
      <c r="AM33" s="124"/>
      <c r="AN33" s="124"/>
      <c r="AO33" s="124"/>
      <c r="AP33" s="124"/>
      <c r="AQ33" s="124"/>
      <c r="AR33" s="124"/>
      <c r="AS33" s="124"/>
      <c r="AT33" s="124"/>
      <c r="AU33" s="124"/>
      <c r="AV33" s="124"/>
      <c r="AW33" s="124"/>
      <c r="AX33" s="332"/>
      <c r="AY33" s="332"/>
      <c r="AZ33" s="332"/>
      <c r="BA33" s="332"/>
      <c r="BB33" s="332"/>
      <c r="BC33" s="332"/>
      <c r="BD33" s="332"/>
      <c r="BE33" s="332"/>
      <c r="BF33" s="332"/>
      <c r="BG33" s="332"/>
      <c r="BH33" s="332"/>
      <c r="BI33" s="332"/>
      <c r="BJ33" s="124"/>
      <c r="BK33" s="124"/>
      <c r="BL33" s="124"/>
      <c r="BM33" s="124"/>
      <c r="BN33" s="124"/>
      <c r="BO33" s="124"/>
      <c r="BP33" s="124"/>
      <c r="BQ33" s="124"/>
      <c r="BR33" s="124"/>
      <c r="BS33" s="124"/>
      <c r="BT33" s="124"/>
      <c r="BU33" s="124"/>
      <c r="BV33" s="332"/>
      <c r="BW33" s="332"/>
      <c r="BX33" s="332"/>
      <c r="BY33" s="332"/>
      <c r="BZ33" s="332"/>
      <c r="CA33" s="332"/>
      <c r="CB33" s="332"/>
      <c r="CC33" s="332"/>
      <c r="CD33" s="332"/>
      <c r="CE33" s="332"/>
      <c r="CF33" s="332"/>
      <c r="CG33" s="332"/>
      <c r="CH33" s="112"/>
      <c r="CI33" s="302" t="e">
        <f t="shared" si="3"/>
        <v>#DIV/0!</v>
      </c>
      <c r="CJ33" s="303" t="e">
        <f>IF(CI33&gt;KKM!$G$10,"A",IF(CI33&gt;KKM!$H$10,"B",IF(CI33&gt;=KKM!$I$10,"C","D")))</f>
        <v>#DIV/0!</v>
      </c>
      <c r="CK33" s="304">
        <f t="shared" si="4"/>
        <v>0</v>
      </c>
      <c r="CL33" s="309" t="str">
        <f>IF(CK33&gt;KKM!$G$10," sangat baik ",IF(CK33&gt;KKM!$H$10," baik ",IF(CK33&gt;=KKM!$I$10," cukup baik "," perlu bimbingan ")))</f>
        <v xml:space="preserve"> perlu bimbingan </v>
      </c>
      <c r="CM33" s="305">
        <f t="shared" si="5"/>
        <v>0</v>
      </c>
      <c r="CN33" s="309" t="str">
        <f>IF(CM33&gt;KKM!$G$10," sangat baik ",IF(CM33&gt;KKM!$H$10," baik ",IF(CM33&gt;=KKM!$I$10," cukup baik "," perlu bimbingan ")))</f>
        <v xml:space="preserve"> perlu bimbingan </v>
      </c>
      <c r="CO33" s="301" t="str">
        <f t="shared" si="6"/>
        <v xml:space="preserve"> </v>
      </c>
      <c r="CP33" s="306"/>
      <c r="CQ33" s="307" t="e">
        <f t="shared" si="0"/>
        <v>#N/A</v>
      </c>
      <c r="CR33" s="307" t="e">
        <f t="shared" si="1"/>
        <v>#N/A</v>
      </c>
      <c r="CS33" s="307" t="e">
        <f t="shared" si="7"/>
        <v>#N/A</v>
      </c>
      <c r="CT33" s="307" t="e">
        <f t="shared" si="8"/>
        <v>#N/A</v>
      </c>
      <c r="CU33" s="308" t="e">
        <f t="shared" si="9"/>
        <v>#N/A</v>
      </c>
      <c r="CV33" s="301" t="e">
        <f t="shared" si="2"/>
        <v>#N/A</v>
      </c>
      <c r="CW33" s="120"/>
      <c r="DF33" s="408" t="str">
        <f t="shared" si="10"/>
        <v/>
      </c>
    </row>
    <row r="34" spans="2:110" ht="62.25" customHeight="1">
      <c r="B34" s="109">
        <v>29</v>
      </c>
      <c r="C34" s="110">
        <f>SISWA!B34</f>
        <v>0</v>
      </c>
      <c r="D34" s="111" t="str">
        <f>SISWA!E34</f>
        <v>Anak 29</v>
      </c>
      <c r="E34" s="124"/>
      <c r="F34" s="125"/>
      <c r="G34" s="125"/>
      <c r="H34" s="125"/>
      <c r="I34" s="125"/>
      <c r="J34" s="124"/>
      <c r="K34" s="124"/>
      <c r="L34" s="124"/>
      <c r="M34" s="124"/>
      <c r="N34" s="124"/>
      <c r="O34" s="124"/>
      <c r="P34" s="124"/>
      <c r="Q34" s="124"/>
      <c r="R34" s="124"/>
      <c r="S34" s="124"/>
      <c r="T34" s="124"/>
      <c r="U34" s="124"/>
      <c r="V34" s="124"/>
      <c r="W34" s="124"/>
      <c r="X34" s="124"/>
      <c r="Y34" s="124"/>
      <c r="Z34" s="332"/>
      <c r="AA34" s="332"/>
      <c r="AB34" s="332"/>
      <c r="AC34" s="332"/>
      <c r="AD34" s="332"/>
      <c r="AE34" s="332"/>
      <c r="AF34" s="332"/>
      <c r="AG34" s="332"/>
      <c r="AH34" s="332"/>
      <c r="AI34" s="332"/>
      <c r="AJ34" s="332"/>
      <c r="AK34" s="332"/>
      <c r="AL34" s="124"/>
      <c r="AM34" s="124"/>
      <c r="AN34" s="124"/>
      <c r="AO34" s="124"/>
      <c r="AP34" s="124"/>
      <c r="AQ34" s="124"/>
      <c r="AR34" s="124"/>
      <c r="AS34" s="124"/>
      <c r="AT34" s="124"/>
      <c r="AU34" s="124"/>
      <c r="AV34" s="124"/>
      <c r="AW34" s="124"/>
      <c r="AX34" s="332"/>
      <c r="AY34" s="332"/>
      <c r="AZ34" s="332"/>
      <c r="BA34" s="332"/>
      <c r="BB34" s="332"/>
      <c r="BC34" s="332"/>
      <c r="BD34" s="332"/>
      <c r="BE34" s="332"/>
      <c r="BF34" s="332"/>
      <c r="BG34" s="332"/>
      <c r="BH34" s="332"/>
      <c r="BI34" s="332"/>
      <c r="BJ34" s="124"/>
      <c r="BK34" s="124"/>
      <c r="BL34" s="124"/>
      <c r="BM34" s="124"/>
      <c r="BN34" s="124"/>
      <c r="BO34" s="124"/>
      <c r="BP34" s="124"/>
      <c r="BQ34" s="124"/>
      <c r="BR34" s="124"/>
      <c r="BS34" s="124"/>
      <c r="BT34" s="124"/>
      <c r="BU34" s="124"/>
      <c r="BV34" s="332"/>
      <c r="BW34" s="332"/>
      <c r="BX34" s="332"/>
      <c r="BY34" s="332"/>
      <c r="BZ34" s="332"/>
      <c r="CA34" s="332"/>
      <c r="CB34" s="332"/>
      <c r="CC34" s="332"/>
      <c r="CD34" s="332"/>
      <c r="CE34" s="332"/>
      <c r="CF34" s="332"/>
      <c r="CG34" s="332"/>
      <c r="CH34" s="112"/>
      <c r="CI34" s="302" t="e">
        <f t="shared" si="3"/>
        <v>#DIV/0!</v>
      </c>
      <c r="CJ34" s="303" t="e">
        <f>IF(CI34&gt;KKM!$G$10,"A",IF(CI34&gt;KKM!$H$10,"B",IF(CI34&gt;=KKM!$I$10,"C","D")))</f>
        <v>#DIV/0!</v>
      </c>
      <c r="CK34" s="304">
        <f t="shared" si="4"/>
        <v>0</v>
      </c>
      <c r="CL34" s="309" t="str">
        <f>IF(CK34&gt;KKM!$G$10," sangat baik ",IF(CK34&gt;KKM!$H$10," baik ",IF(CK34&gt;=KKM!$I$10," cukup baik "," perlu bimbingan ")))</f>
        <v xml:space="preserve"> perlu bimbingan </v>
      </c>
      <c r="CM34" s="305">
        <f t="shared" si="5"/>
        <v>0</v>
      </c>
      <c r="CN34" s="309" t="str">
        <f>IF(CM34&gt;KKM!$G$10," sangat baik ",IF(CM34&gt;KKM!$H$10," baik ",IF(CM34&gt;=KKM!$I$10," cukup baik "," perlu bimbingan ")))</f>
        <v xml:space="preserve"> perlu bimbingan </v>
      </c>
      <c r="CO34" s="301" t="str">
        <f t="shared" si="6"/>
        <v xml:space="preserve"> </v>
      </c>
      <c r="CP34" s="306"/>
      <c r="CQ34" s="307" t="e">
        <f t="shared" si="0"/>
        <v>#N/A</v>
      </c>
      <c r="CR34" s="307" t="e">
        <f t="shared" si="1"/>
        <v>#N/A</v>
      </c>
      <c r="CS34" s="307" t="e">
        <f t="shared" si="7"/>
        <v>#N/A</v>
      </c>
      <c r="CT34" s="307" t="e">
        <f t="shared" si="8"/>
        <v>#N/A</v>
      </c>
      <c r="CU34" s="308" t="e">
        <f t="shared" si="9"/>
        <v>#N/A</v>
      </c>
      <c r="CV34" s="301" t="e">
        <f t="shared" si="2"/>
        <v>#N/A</v>
      </c>
      <c r="CW34" s="120"/>
      <c r="DF34" s="408" t="str">
        <f t="shared" si="10"/>
        <v/>
      </c>
    </row>
    <row r="35" spans="2:110" ht="62.25" customHeight="1">
      <c r="B35" s="109">
        <v>30</v>
      </c>
      <c r="C35" s="110">
        <f>SISWA!B35</f>
        <v>0</v>
      </c>
      <c r="D35" s="111" t="str">
        <f>SISWA!E35</f>
        <v>Anak 30</v>
      </c>
      <c r="E35" s="124"/>
      <c r="F35" s="125"/>
      <c r="G35" s="125"/>
      <c r="H35" s="125"/>
      <c r="I35" s="125"/>
      <c r="J35" s="124"/>
      <c r="K35" s="124"/>
      <c r="L35" s="124"/>
      <c r="M35" s="124"/>
      <c r="N35" s="124"/>
      <c r="O35" s="124"/>
      <c r="P35" s="124"/>
      <c r="Q35" s="124"/>
      <c r="R35" s="124"/>
      <c r="S35" s="124"/>
      <c r="T35" s="124"/>
      <c r="U35" s="124"/>
      <c r="V35" s="124"/>
      <c r="W35" s="124"/>
      <c r="X35" s="124"/>
      <c r="Y35" s="124"/>
      <c r="Z35" s="332"/>
      <c r="AA35" s="332"/>
      <c r="AB35" s="332"/>
      <c r="AC35" s="332"/>
      <c r="AD35" s="332"/>
      <c r="AE35" s="332"/>
      <c r="AF35" s="332"/>
      <c r="AG35" s="332"/>
      <c r="AH35" s="332"/>
      <c r="AI35" s="332"/>
      <c r="AJ35" s="332"/>
      <c r="AK35" s="332"/>
      <c r="AL35" s="124"/>
      <c r="AM35" s="124"/>
      <c r="AN35" s="124"/>
      <c r="AO35" s="124"/>
      <c r="AP35" s="124"/>
      <c r="AQ35" s="124"/>
      <c r="AR35" s="124"/>
      <c r="AS35" s="124"/>
      <c r="AT35" s="124"/>
      <c r="AU35" s="124"/>
      <c r="AV35" s="124"/>
      <c r="AW35" s="124"/>
      <c r="AX35" s="332"/>
      <c r="AY35" s="332"/>
      <c r="AZ35" s="332"/>
      <c r="BA35" s="332"/>
      <c r="BB35" s="332"/>
      <c r="BC35" s="332"/>
      <c r="BD35" s="332"/>
      <c r="BE35" s="332"/>
      <c r="BF35" s="332"/>
      <c r="BG35" s="332"/>
      <c r="BH35" s="332"/>
      <c r="BI35" s="332"/>
      <c r="BJ35" s="124"/>
      <c r="BK35" s="124"/>
      <c r="BL35" s="124"/>
      <c r="BM35" s="124"/>
      <c r="BN35" s="124"/>
      <c r="BO35" s="124"/>
      <c r="BP35" s="124"/>
      <c r="BQ35" s="124"/>
      <c r="BR35" s="124"/>
      <c r="BS35" s="124"/>
      <c r="BT35" s="124"/>
      <c r="BU35" s="124"/>
      <c r="BV35" s="332"/>
      <c r="BW35" s="332"/>
      <c r="BX35" s="332"/>
      <c r="BY35" s="332"/>
      <c r="BZ35" s="332"/>
      <c r="CA35" s="332"/>
      <c r="CB35" s="332"/>
      <c r="CC35" s="332"/>
      <c r="CD35" s="332"/>
      <c r="CE35" s="332"/>
      <c r="CF35" s="332"/>
      <c r="CG35" s="332"/>
      <c r="CH35" s="112"/>
      <c r="CI35" s="302" t="e">
        <f t="shared" si="3"/>
        <v>#DIV/0!</v>
      </c>
      <c r="CJ35" s="303" t="e">
        <f>IF(CI35&gt;KKM!$G$10,"A",IF(CI35&gt;KKM!$H$10,"B",IF(CI35&gt;=KKM!$I$10,"C","D")))</f>
        <v>#DIV/0!</v>
      </c>
      <c r="CK35" s="304">
        <f t="shared" si="4"/>
        <v>0</v>
      </c>
      <c r="CL35" s="309" t="str">
        <f>IF(CK35&gt;KKM!$G$10," sangat baik ",IF(CK35&gt;KKM!$H$10," baik ",IF(CK35&gt;=KKM!$I$10," cukup baik "," perlu bimbingan ")))</f>
        <v xml:space="preserve"> perlu bimbingan </v>
      </c>
      <c r="CM35" s="305">
        <f t="shared" si="5"/>
        <v>0</v>
      </c>
      <c r="CN35" s="309" t="str">
        <f>IF(CM35&gt;KKM!$G$10," sangat baik ",IF(CM35&gt;KKM!$H$10," baik ",IF(CM35&gt;=KKM!$I$10," cukup baik "," perlu bimbingan ")))</f>
        <v xml:space="preserve"> perlu bimbingan </v>
      </c>
      <c r="CO35" s="301" t="str">
        <f t="shared" si="6"/>
        <v xml:space="preserve"> </v>
      </c>
      <c r="CP35" s="306"/>
      <c r="CQ35" s="307" t="e">
        <f t="shared" si="0"/>
        <v>#N/A</v>
      </c>
      <c r="CR35" s="307" t="e">
        <f t="shared" si="1"/>
        <v>#N/A</v>
      </c>
      <c r="CS35" s="307" t="e">
        <f t="shared" si="7"/>
        <v>#N/A</v>
      </c>
      <c r="CT35" s="307" t="e">
        <f t="shared" si="8"/>
        <v>#N/A</v>
      </c>
      <c r="CU35" s="308" t="e">
        <f t="shared" si="9"/>
        <v>#N/A</v>
      </c>
      <c r="CV35" s="301" t="e">
        <f t="shared" si="2"/>
        <v>#N/A</v>
      </c>
      <c r="CW35" s="120"/>
      <c r="DF35" s="408" t="str">
        <f t="shared" si="10"/>
        <v/>
      </c>
    </row>
    <row r="36" spans="2:110" ht="62.25" customHeight="1">
      <c r="B36" s="109">
        <v>31</v>
      </c>
      <c r="C36" s="110">
        <f>SISWA!B36</f>
        <v>0</v>
      </c>
      <c r="D36" s="111" t="str">
        <f>SISWA!E36</f>
        <v>Anak 31</v>
      </c>
      <c r="E36" s="124"/>
      <c r="F36" s="125"/>
      <c r="G36" s="125"/>
      <c r="H36" s="125"/>
      <c r="I36" s="125"/>
      <c r="J36" s="124"/>
      <c r="K36" s="124"/>
      <c r="L36" s="124"/>
      <c r="M36" s="124"/>
      <c r="N36" s="124"/>
      <c r="O36" s="124"/>
      <c r="P36" s="124"/>
      <c r="Q36" s="124"/>
      <c r="R36" s="124"/>
      <c r="S36" s="124"/>
      <c r="T36" s="124"/>
      <c r="U36" s="124"/>
      <c r="V36" s="124"/>
      <c r="W36" s="124"/>
      <c r="X36" s="124"/>
      <c r="Y36" s="124"/>
      <c r="Z36" s="332"/>
      <c r="AA36" s="332"/>
      <c r="AB36" s="332"/>
      <c r="AC36" s="332"/>
      <c r="AD36" s="332"/>
      <c r="AE36" s="332"/>
      <c r="AF36" s="332"/>
      <c r="AG36" s="332"/>
      <c r="AH36" s="332"/>
      <c r="AI36" s="332"/>
      <c r="AJ36" s="332"/>
      <c r="AK36" s="332"/>
      <c r="AL36" s="124"/>
      <c r="AM36" s="124"/>
      <c r="AN36" s="124"/>
      <c r="AO36" s="124"/>
      <c r="AP36" s="124"/>
      <c r="AQ36" s="124"/>
      <c r="AR36" s="124"/>
      <c r="AS36" s="124"/>
      <c r="AT36" s="124"/>
      <c r="AU36" s="124"/>
      <c r="AV36" s="124"/>
      <c r="AW36" s="124"/>
      <c r="AX36" s="332"/>
      <c r="AY36" s="332"/>
      <c r="AZ36" s="332"/>
      <c r="BA36" s="332"/>
      <c r="BB36" s="332"/>
      <c r="BC36" s="332"/>
      <c r="BD36" s="332"/>
      <c r="BE36" s="332"/>
      <c r="BF36" s="332"/>
      <c r="BG36" s="332"/>
      <c r="BH36" s="332"/>
      <c r="BI36" s="332"/>
      <c r="BJ36" s="124"/>
      <c r="BK36" s="124"/>
      <c r="BL36" s="124"/>
      <c r="BM36" s="124"/>
      <c r="BN36" s="124"/>
      <c r="BO36" s="124"/>
      <c r="BP36" s="124"/>
      <c r="BQ36" s="124"/>
      <c r="BR36" s="124"/>
      <c r="BS36" s="124"/>
      <c r="BT36" s="124"/>
      <c r="BU36" s="124"/>
      <c r="BV36" s="332"/>
      <c r="BW36" s="332"/>
      <c r="BX36" s="332"/>
      <c r="BY36" s="332"/>
      <c r="BZ36" s="332"/>
      <c r="CA36" s="332"/>
      <c r="CB36" s="332"/>
      <c r="CC36" s="332"/>
      <c r="CD36" s="332"/>
      <c r="CE36" s="332"/>
      <c r="CF36" s="332"/>
      <c r="CG36" s="332"/>
      <c r="CH36" s="112"/>
      <c r="CI36" s="302" t="e">
        <f t="shared" si="3"/>
        <v>#DIV/0!</v>
      </c>
      <c r="CJ36" s="303" t="e">
        <f>IF(CI36&gt;KKM!$G$10,"A",IF(CI36&gt;KKM!$H$10,"B",IF(CI36&gt;=KKM!$I$10,"C","D")))</f>
        <v>#DIV/0!</v>
      </c>
      <c r="CK36" s="304">
        <f t="shared" si="4"/>
        <v>0</v>
      </c>
      <c r="CL36" s="309" t="str">
        <f>IF(CK36&gt;KKM!$G$10," sangat baik ",IF(CK36&gt;KKM!$H$10," baik ",IF(CK36&gt;=KKM!$I$10," cukup baik "," perlu bimbingan ")))</f>
        <v xml:space="preserve"> perlu bimbingan </v>
      </c>
      <c r="CM36" s="305">
        <f t="shared" si="5"/>
        <v>0</v>
      </c>
      <c r="CN36" s="309" t="str">
        <f>IF(CM36&gt;KKM!$G$10," sangat baik ",IF(CM36&gt;KKM!$H$10," baik ",IF(CM36&gt;=KKM!$I$10," cukup baik "," perlu bimbingan ")))</f>
        <v xml:space="preserve"> perlu bimbingan </v>
      </c>
      <c r="CO36" s="301" t="str">
        <f t="shared" si="6"/>
        <v xml:space="preserve"> </v>
      </c>
      <c r="CP36" s="306"/>
      <c r="CQ36" s="307" t="e">
        <f t="shared" si="0"/>
        <v>#N/A</v>
      </c>
      <c r="CR36" s="307" t="e">
        <f t="shared" si="1"/>
        <v>#N/A</v>
      </c>
      <c r="CS36" s="307" t="e">
        <f t="shared" si="7"/>
        <v>#N/A</v>
      </c>
      <c r="CT36" s="307" t="e">
        <f t="shared" si="8"/>
        <v>#N/A</v>
      </c>
      <c r="CU36" s="308" t="e">
        <f t="shared" si="9"/>
        <v>#N/A</v>
      </c>
      <c r="CV36" s="301" t="e">
        <f t="shared" si="2"/>
        <v>#N/A</v>
      </c>
      <c r="CW36" s="120"/>
      <c r="DF36" s="408" t="str">
        <f t="shared" si="10"/>
        <v/>
      </c>
    </row>
    <row r="37" spans="2:110" ht="62.25" customHeight="1">
      <c r="B37" s="109">
        <v>32</v>
      </c>
      <c r="C37" s="110">
        <f>SISWA!B37</f>
        <v>0</v>
      </c>
      <c r="D37" s="111" t="str">
        <f>SISWA!E37</f>
        <v>Anak 32</v>
      </c>
      <c r="E37" s="124"/>
      <c r="F37" s="125"/>
      <c r="G37" s="125"/>
      <c r="H37" s="125"/>
      <c r="I37" s="125"/>
      <c r="J37" s="124"/>
      <c r="K37" s="124"/>
      <c r="L37" s="124"/>
      <c r="M37" s="124"/>
      <c r="N37" s="124"/>
      <c r="O37" s="124"/>
      <c r="P37" s="124"/>
      <c r="Q37" s="124"/>
      <c r="R37" s="124"/>
      <c r="S37" s="124"/>
      <c r="T37" s="124"/>
      <c r="U37" s="124"/>
      <c r="V37" s="124"/>
      <c r="W37" s="124"/>
      <c r="X37" s="124"/>
      <c r="Y37" s="124"/>
      <c r="Z37" s="332"/>
      <c r="AA37" s="332"/>
      <c r="AB37" s="332"/>
      <c r="AC37" s="332"/>
      <c r="AD37" s="332"/>
      <c r="AE37" s="332"/>
      <c r="AF37" s="332"/>
      <c r="AG37" s="332"/>
      <c r="AH37" s="332"/>
      <c r="AI37" s="332"/>
      <c r="AJ37" s="332"/>
      <c r="AK37" s="332"/>
      <c r="AL37" s="124"/>
      <c r="AM37" s="124"/>
      <c r="AN37" s="124"/>
      <c r="AO37" s="124"/>
      <c r="AP37" s="124"/>
      <c r="AQ37" s="124"/>
      <c r="AR37" s="124"/>
      <c r="AS37" s="124"/>
      <c r="AT37" s="124"/>
      <c r="AU37" s="124"/>
      <c r="AV37" s="124"/>
      <c r="AW37" s="124"/>
      <c r="AX37" s="332"/>
      <c r="AY37" s="332"/>
      <c r="AZ37" s="332"/>
      <c r="BA37" s="332"/>
      <c r="BB37" s="332"/>
      <c r="BC37" s="332"/>
      <c r="BD37" s="332"/>
      <c r="BE37" s="332"/>
      <c r="BF37" s="332"/>
      <c r="BG37" s="332"/>
      <c r="BH37" s="332"/>
      <c r="BI37" s="332"/>
      <c r="BJ37" s="124"/>
      <c r="BK37" s="124"/>
      <c r="BL37" s="124"/>
      <c r="BM37" s="124"/>
      <c r="BN37" s="124"/>
      <c r="BO37" s="124"/>
      <c r="BP37" s="124"/>
      <c r="BQ37" s="124"/>
      <c r="BR37" s="124"/>
      <c r="BS37" s="124"/>
      <c r="BT37" s="124"/>
      <c r="BU37" s="124"/>
      <c r="BV37" s="332"/>
      <c r="BW37" s="332"/>
      <c r="BX37" s="332"/>
      <c r="BY37" s="332"/>
      <c r="BZ37" s="332"/>
      <c r="CA37" s="332"/>
      <c r="CB37" s="332"/>
      <c r="CC37" s="332"/>
      <c r="CD37" s="332"/>
      <c r="CE37" s="332"/>
      <c r="CF37" s="332"/>
      <c r="CG37" s="332"/>
      <c r="CH37" s="112"/>
      <c r="CI37" s="302" t="e">
        <f t="shared" si="3"/>
        <v>#DIV/0!</v>
      </c>
      <c r="CJ37" s="303" t="e">
        <f>IF(CI37&gt;KKM!$G$10,"A",IF(CI37&gt;KKM!$H$10,"B",IF(CI37&gt;=KKM!$I$10,"C","D")))</f>
        <v>#DIV/0!</v>
      </c>
      <c r="CK37" s="304">
        <f t="shared" si="4"/>
        <v>0</v>
      </c>
      <c r="CL37" s="309" t="str">
        <f>IF(CK37&gt;KKM!$G$10," sangat baik ",IF(CK37&gt;KKM!$H$10," baik ",IF(CK37&gt;=KKM!$I$10," cukup baik "," perlu bimbingan ")))</f>
        <v xml:space="preserve"> perlu bimbingan </v>
      </c>
      <c r="CM37" s="305">
        <f t="shared" si="5"/>
        <v>0</v>
      </c>
      <c r="CN37" s="309" t="str">
        <f>IF(CM37&gt;KKM!$G$10," sangat baik ",IF(CM37&gt;KKM!$H$10," baik ",IF(CM37&gt;=KKM!$I$10," cukup baik "," perlu bimbingan ")))</f>
        <v xml:space="preserve"> perlu bimbingan </v>
      </c>
      <c r="CO37" s="301" t="str">
        <f t="shared" si="6"/>
        <v xml:space="preserve"> </v>
      </c>
      <c r="CP37" s="306"/>
      <c r="CQ37" s="307" t="e">
        <f t="shared" si="0"/>
        <v>#N/A</v>
      </c>
      <c r="CR37" s="307" t="e">
        <f t="shared" si="1"/>
        <v>#N/A</v>
      </c>
      <c r="CS37" s="307" t="e">
        <f t="shared" si="7"/>
        <v>#N/A</v>
      </c>
      <c r="CT37" s="307" t="e">
        <f t="shared" si="8"/>
        <v>#N/A</v>
      </c>
      <c r="CU37" s="308" t="e">
        <f t="shared" si="9"/>
        <v>#N/A</v>
      </c>
      <c r="CV37" s="301" t="e">
        <f t="shared" si="2"/>
        <v>#N/A</v>
      </c>
      <c r="CW37" s="120"/>
      <c r="DF37" s="408" t="str">
        <f t="shared" si="10"/>
        <v/>
      </c>
    </row>
    <row r="38" spans="2:110" ht="62.25" customHeight="1">
      <c r="B38" s="109">
        <v>33</v>
      </c>
      <c r="C38" s="110">
        <f>SISWA!B38</f>
        <v>0</v>
      </c>
      <c r="D38" s="111" t="str">
        <f>SISWA!E38</f>
        <v>Anak 33</v>
      </c>
      <c r="E38" s="124"/>
      <c r="F38" s="125"/>
      <c r="G38" s="125"/>
      <c r="H38" s="125"/>
      <c r="I38" s="125"/>
      <c r="J38" s="124"/>
      <c r="K38" s="124"/>
      <c r="L38" s="124"/>
      <c r="M38" s="124"/>
      <c r="N38" s="124"/>
      <c r="O38" s="124"/>
      <c r="P38" s="124"/>
      <c r="Q38" s="124"/>
      <c r="R38" s="124"/>
      <c r="S38" s="124"/>
      <c r="T38" s="124"/>
      <c r="U38" s="124"/>
      <c r="V38" s="124"/>
      <c r="W38" s="124"/>
      <c r="X38" s="124"/>
      <c r="Y38" s="124"/>
      <c r="Z38" s="332"/>
      <c r="AA38" s="332"/>
      <c r="AB38" s="332"/>
      <c r="AC38" s="332"/>
      <c r="AD38" s="332"/>
      <c r="AE38" s="332"/>
      <c r="AF38" s="332"/>
      <c r="AG38" s="332"/>
      <c r="AH38" s="332"/>
      <c r="AI38" s="332"/>
      <c r="AJ38" s="332"/>
      <c r="AK38" s="332"/>
      <c r="AL38" s="124"/>
      <c r="AM38" s="124"/>
      <c r="AN38" s="124"/>
      <c r="AO38" s="124"/>
      <c r="AP38" s="124"/>
      <c r="AQ38" s="124"/>
      <c r="AR38" s="124"/>
      <c r="AS38" s="124"/>
      <c r="AT38" s="124"/>
      <c r="AU38" s="124"/>
      <c r="AV38" s="124"/>
      <c r="AW38" s="124"/>
      <c r="AX38" s="332"/>
      <c r="AY38" s="332"/>
      <c r="AZ38" s="332"/>
      <c r="BA38" s="332"/>
      <c r="BB38" s="332"/>
      <c r="BC38" s="332"/>
      <c r="BD38" s="332"/>
      <c r="BE38" s="332"/>
      <c r="BF38" s="332"/>
      <c r="BG38" s="332"/>
      <c r="BH38" s="332"/>
      <c r="BI38" s="332"/>
      <c r="BJ38" s="124"/>
      <c r="BK38" s="124"/>
      <c r="BL38" s="124"/>
      <c r="BM38" s="124"/>
      <c r="BN38" s="124"/>
      <c r="BO38" s="124"/>
      <c r="BP38" s="124"/>
      <c r="BQ38" s="124"/>
      <c r="BR38" s="124"/>
      <c r="BS38" s="124"/>
      <c r="BT38" s="124"/>
      <c r="BU38" s="124"/>
      <c r="BV38" s="332"/>
      <c r="BW38" s="332"/>
      <c r="BX38" s="332"/>
      <c r="BY38" s="332"/>
      <c r="BZ38" s="332"/>
      <c r="CA38" s="332"/>
      <c r="CB38" s="332"/>
      <c r="CC38" s="332"/>
      <c r="CD38" s="332"/>
      <c r="CE38" s="332"/>
      <c r="CF38" s="332"/>
      <c r="CG38" s="332"/>
      <c r="CH38" s="112"/>
      <c r="CI38" s="302" t="e">
        <f t="shared" si="3"/>
        <v>#DIV/0!</v>
      </c>
      <c r="CJ38" s="303" t="e">
        <f>IF(CI38&gt;KKM!$G$10,"A",IF(CI38&gt;KKM!$H$10,"B",IF(CI38&gt;=KKM!$I$10,"C","D")))</f>
        <v>#DIV/0!</v>
      </c>
      <c r="CK38" s="304">
        <f t="shared" si="4"/>
        <v>0</v>
      </c>
      <c r="CL38" s="309" t="str">
        <f>IF(CK38&gt;KKM!$G$10," sangat baik ",IF(CK38&gt;KKM!$H$10," baik ",IF(CK38&gt;=KKM!$I$10," cukup baik "," perlu bimbingan ")))</f>
        <v xml:space="preserve"> perlu bimbingan </v>
      </c>
      <c r="CM38" s="305">
        <f t="shared" si="5"/>
        <v>0</v>
      </c>
      <c r="CN38" s="309" t="str">
        <f>IF(CM38&gt;KKM!$G$10," sangat baik ",IF(CM38&gt;KKM!$H$10," baik ",IF(CM38&gt;=KKM!$I$10," cukup baik "," perlu bimbingan ")))</f>
        <v xml:space="preserve"> perlu bimbingan </v>
      </c>
      <c r="CO38" s="301" t="str">
        <f t="shared" si="6"/>
        <v xml:space="preserve"> </v>
      </c>
      <c r="CP38" s="306"/>
      <c r="CQ38" s="307" t="e">
        <f t="shared" si="0"/>
        <v>#N/A</v>
      </c>
      <c r="CR38" s="307" t="e">
        <f t="shared" si="1"/>
        <v>#N/A</v>
      </c>
      <c r="CS38" s="307" t="e">
        <f t="shared" si="7"/>
        <v>#N/A</v>
      </c>
      <c r="CT38" s="307" t="e">
        <f t="shared" si="8"/>
        <v>#N/A</v>
      </c>
      <c r="CU38" s="308" t="e">
        <f t="shared" si="9"/>
        <v>#N/A</v>
      </c>
      <c r="CV38" s="301" t="e">
        <f t="shared" ref="CV38:CV55" si="11">CONCATENATE(D38,CU38)</f>
        <v>#N/A</v>
      </c>
      <c r="CW38" s="120"/>
      <c r="DF38" s="408" t="str">
        <f t="shared" si="10"/>
        <v/>
      </c>
    </row>
    <row r="39" spans="2:110" ht="62.25" customHeight="1">
      <c r="B39" s="109">
        <v>34</v>
      </c>
      <c r="C39" s="110">
        <f>SISWA!B39</f>
        <v>0</v>
      </c>
      <c r="D39" s="111" t="str">
        <f>SISWA!E39</f>
        <v>Anak 34</v>
      </c>
      <c r="E39" s="124"/>
      <c r="F39" s="125"/>
      <c r="G39" s="125"/>
      <c r="H39" s="125"/>
      <c r="I39" s="125"/>
      <c r="J39" s="124"/>
      <c r="K39" s="124"/>
      <c r="L39" s="124"/>
      <c r="M39" s="124"/>
      <c r="N39" s="124"/>
      <c r="O39" s="124"/>
      <c r="P39" s="124"/>
      <c r="Q39" s="124"/>
      <c r="R39" s="124"/>
      <c r="S39" s="124"/>
      <c r="T39" s="124"/>
      <c r="U39" s="124"/>
      <c r="V39" s="124"/>
      <c r="W39" s="124"/>
      <c r="X39" s="124"/>
      <c r="Y39" s="124"/>
      <c r="Z39" s="332"/>
      <c r="AA39" s="332"/>
      <c r="AB39" s="332"/>
      <c r="AC39" s="332"/>
      <c r="AD39" s="332"/>
      <c r="AE39" s="332"/>
      <c r="AF39" s="332"/>
      <c r="AG39" s="332"/>
      <c r="AH39" s="332"/>
      <c r="AI39" s="332"/>
      <c r="AJ39" s="332"/>
      <c r="AK39" s="332"/>
      <c r="AL39" s="124"/>
      <c r="AM39" s="124"/>
      <c r="AN39" s="124"/>
      <c r="AO39" s="124"/>
      <c r="AP39" s="124"/>
      <c r="AQ39" s="124"/>
      <c r="AR39" s="124"/>
      <c r="AS39" s="124"/>
      <c r="AT39" s="124"/>
      <c r="AU39" s="124"/>
      <c r="AV39" s="124"/>
      <c r="AW39" s="124"/>
      <c r="AX39" s="332"/>
      <c r="AY39" s="332"/>
      <c r="AZ39" s="332"/>
      <c r="BA39" s="332"/>
      <c r="BB39" s="332"/>
      <c r="BC39" s="332"/>
      <c r="BD39" s="332"/>
      <c r="BE39" s="332"/>
      <c r="BF39" s="332"/>
      <c r="BG39" s="332"/>
      <c r="BH39" s="332"/>
      <c r="BI39" s="332"/>
      <c r="BJ39" s="124"/>
      <c r="BK39" s="124"/>
      <c r="BL39" s="124"/>
      <c r="BM39" s="124"/>
      <c r="BN39" s="124"/>
      <c r="BO39" s="124"/>
      <c r="BP39" s="124"/>
      <c r="BQ39" s="124"/>
      <c r="BR39" s="124"/>
      <c r="BS39" s="124"/>
      <c r="BT39" s="124"/>
      <c r="BU39" s="124"/>
      <c r="BV39" s="332"/>
      <c r="BW39" s="332"/>
      <c r="BX39" s="332"/>
      <c r="BY39" s="332"/>
      <c r="BZ39" s="332"/>
      <c r="CA39" s="332"/>
      <c r="CB39" s="332"/>
      <c r="CC39" s="332"/>
      <c r="CD39" s="332"/>
      <c r="CE39" s="332"/>
      <c r="CF39" s="332"/>
      <c r="CG39" s="332"/>
      <c r="CH39" s="112"/>
      <c r="CI39" s="302" t="e">
        <f t="shared" si="3"/>
        <v>#DIV/0!</v>
      </c>
      <c r="CJ39" s="303" t="e">
        <f>IF(CI39&gt;KKM!$G$10,"A",IF(CI39&gt;KKM!$H$10,"B",IF(CI39&gt;=KKM!$I$10,"C","D")))</f>
        <v>#DIV/0!</v>
      </c>
      <c r="CK39" s="304">
        <f t="shared" si="4"/>
        <v>0</v>
      </c>
      <c r="CL39" s="309" t="str">
        <f>IF(CK39&gt;KKM!$G$10," sangat baik ",IF(CK39&gt;KKM!$H$10," baik ",IF(CK39&gt;=KKM!$I$10," cukup baik "," perlu bimbingan ")))</f>
        <v xml:space="preserve"> perlu bimbingan </v>
      </c>
      <c r="CM39" s="305">
        <f t="shared" si="5"/>
        <v>0</v>
      </c>
      <c r="CN39" s="309" t="str">
        <f>IF(CM39&gt;KKM!$G$10," sangat baik ",IF(CM39&gt;KKM!$H$10," baik ",IF(CM39&gt;=KKM!$I$10," cukup baik "," perlu bimbingan ")))</f>
        <v xml:space="preserve"> perlu bimbingan </v>
      </c>
      <c r="CO39" s="301" t="str">
        <f t="shared" si="6"/>
        <v xml:space="preserve"> </v>
      </c>
      <c r="CP39" s="306"/>
      <c r="CQ39" s="307" t="e">
        <f t="shared" si="0"/>
        <v>#N/A</v>
      </c>
      <c r="CR39" s="307" t="e">
        <f t="shared" si="1"/>
        <v>#N/A</v>
      </c>
      <c r="CS39" s="307" t="e">
        <f t="shared" si="7"/>
        <v>#N/A</v>
      </c>
      <c r="CT39" s="307" t="e">
        <f t="shared" si="8"/>
        <v>#N/A</v>
      </c>
      <c r="CU39" s="308" t="e">
        <f t="shared" si="9"/>
        <v>#N/A</v>
      </c>
      <c r="CV39" s="301" t="e">
        <f t="shared" si="11"/>
        <v>#N/A</v>
      </c>
      <c r="CW39" s="120"/>
      <c r="DF39" s="408" t="str">
        <f t="shared" si="10"/>
        <v/>
      </c>
    </row>
    <row r="40" spans="2:110" ht="62.25" customHeight="1">
      <c r="B40" s="109">
        <v>35</v>
      </c>
      <c r="C40" s="110">
        <f>SISWA!B40</f>
        <v>0</v>
      </c>
      <c r="D40" s="111" t="str">
        <f>SISWA!E40</f>
        <v>Anak 35</v>
      </c>
      <c r="E40" s="124"/>
      <c r="F40" s="125"/>
      <c r="G40" s="125"/>
      <c r="H40" s="125"/>
      <c r="I40" s="125"/>
      <c r="J40" s="124"/>
      <c r="K40" s="124"/>
      <c r="L40" s="124"/>
      <c r="M40" s="124"/>
      <c r="N40" s="124"/>
      <c r="O40" s="124"/>
      <c r="P40" s="124"/>
      <c r="Q40" s="124"/>
      <c r="R40" s="124"/>
      <c r="S40" s="124"/>
      <c r="T40" s="124"/>
      <c r="U40" s="124"/>
      <c r="V40" s="124"/>
      <c r="W40" s="124"/>
      <c r="X40" s="124"/>
      <c r="Y40" s="124"/>
      <c r="Z40" s="332"/>
      <c r="AA40" s="332"/>
      <c r="AB40" s="332"/>
      <c r="AC40" s="332"/>
      <c r="AD40" s="332"/>
      <c r="AE40" s="332"/>
      <c r="AF40" s="332"/>
      <c r="AG40" s="332"/>
      <c r="AH40" s="332"/>
      <c r="AI40" s="332"/>
      <c r="AJ40" s="332"/>
      <c r="AK40" s="332"/>
      <c r="AL40" s="124"/>
      <c r="AM40" s="124"/>
      <c r="AN40" s="124"/>
      <c r="AO40" s="124"/>
      <c r="AP40" s="124"/>
      <c r="AQ40" s="124"/>
      <c r="AR40" s="124"/>
      <c r="AS40" s="124"/>
      <c r="AT40" s="124"/>
      <c r="AU40" s="124"/>
      <c r="AV40" s="124"/>
      <c r="AW40" s="124"/>
      <c r="AX40" s="332"/>
      <c r="AY40" s="332"/>
      <c r="AZ40" s="332"/>
      <c r="BA40" s="332"/>
      <c r="BB40" s="332"/>
      <c r="BC40" s="332"/>
      <c r="BD40" s="332"/>
      <c r="BE40" s="332"/>
      <c r="BF40" s="332"/>
      <c r="BG40" s="332"/>
      <c r="BH40" s="332"/>
      <c r="BI40" s="332"/>
      <c r="BJ40" s="124"/>
      <c r="BK40" s="124"/>
      <c r="BL40" s="124"/>
      <c r="BM40" s="124"/>
      <c r="BN40" s="124"/>
      <c r="BO40" s="124"/>
      <c r="BP40" s="124"/>
      <c r="BQ40" s="124"/>
      <c r="BR40" s="124"/>
      <c r="BS40" s="124"/>
      <c r="BT40" s="124"/>
      <c r="BU40" s="124"/>
      <c r="BV40" s="332"/>
      <c r="BW40" s="332"/>
      <c r="BX40" s="332"/>
      <c r="BY40" s="332"/>
      <c r="BZ40" s="332"/>
      <c r="CA40" s="332"/>
      <c r="CB40" s="332"/>
      <c r="CC40" s="332"/>
      <c r="CD40" s="332"/>
      <c r="CE40" s="332"/>
      <c r="CF40" s="332"/>
      <c r="CG40" s="332"/>
      <c r="CH40" s="112"/>
      <c r="CI40" s="302" t="e">
        <f t="shared" si="3"/>
        <v>#DIV/0!</v>
      </c>
      <c r="CJ40" s="303" t="e">
        <f>IF(CI40&gt;KKM!$G$10,"A",IF(CI40&gt;KKM!$H$10,"B",IF(CI40&gt;=KKM!$I$10,"C","D")))</f>
        <v>#DIV/0!</v>
      </c>
      <c r="CK40" s="304">
        <f t="shared" si="4"/>
        <v>0</v>
      </c>
      <c r="CL40" s="309" t="str">
        <f>IF(CK40&gt;KKM!$G$10," sangat baik ",IF(CK40&gt;KKM!$H$10," baik ",IF(CK40&gt;=KKM!$I$10," cukup baik "," perlu bimbingan ")))</f>
        <v xml:space="preserve"> perlu bimbingan </v>
      </c>
      <c r="CM40" s="305">
        <f t="shared" si="5"/>
        <v>0</v>
      </c>
      <c r="CN40" s="309" t="str">
        <f>IF(CM40&gt;KKM!$G$10," sangat baik ",IF(CM40&gt;KKM!$H$10," baik ",IF(CM40&gt;=KKM!$I$10," cukup baik "," perlu bimbingan ")))</f>
        <v xml:space="preserve"> perlu bimbingan </v>
      </c>
      <c r="CO40" s="301" t="str">
        <f t="shared" si="6"/>
        <v xml:space="preserve"> </v>
      </c>
      <c r="CP40" s="306"/>
      <c r="CQ40" s="307" t="e">
        <f t="shared" si="0"/>
        <v>#N/A</v>
      </c>
      <c r="CR40" s="307" t="e">
        <f t="shared" si="1"/>
        <v>#N/A</v>
      </c>
      <c r="CS40" s="307" t="e">
        <f t="shared" si="7"/>
        <v>#N/A</v>
      </c>
      <c r="CT40" s="307" t="e">
        <f t="shared" si="8"/>
        <v>#N/A</v>
      </c>
      <c r="CU40" s="308" t="e">
        <f t="shared" si="9"/>
        <v>#N/A</v>
      </c>
      <c r="CV40" s="301" t="e">
        <f t="shared" si="11"/>
        <v>#N/A</v>
      </c>
      <c r="CW40" s="120"/>
      <c r="DF40" s="408" t="str">
        <f t="shared" si="10"/>
        <v/>
      </c>
    </row>
    <row r="41" spans="2:110" ht="62.25" customHeight="1">
      <c r="B41" s="109">
        <v>36</v>
      </c>
      <c r="C41" s="110">
        <f>SISWA!B41</f>
        <v>0</v>
      </c>
      <c r="D41" s="111" t="str">
        <f>SISWA!E41</f>
        <v>Anak 36</v>
      </c>
      <c r="E41" s="124"/>
      <c r="F41" s="125"/>
      <c r="G41" s="125"/>
      <c r="H41" s="125"/>
      <c r="I41" s="125"/>
      <c r="J41" s="124"/>
      <c r="K41" s="124"/>
      <c r="L41" s="124"/>
      <c r="M41" s="124"/>
      <c r="N41" s="124"/>
      <c r="O41" s="124"/>
      <c r="P41" s="124"/>
      <c r="Q41" s="124"/>
      <c r="R41" s="124"/>
      <c r="S41" s="124"/>
      <c r="T41" s="124"/>
      <c r="U41" s="124"/>
      <c r="V41" s="124"/>
      <c r="W41" s="124"/>
      <c r="X41" s="124"/>
      <c r="Y41" s="124"/>
      <c r="Z41" s="332"/>
      <c r="AA41" s="332"/>
      <c r="AB41" s="332"/>
      <c r="AC41" s="332"/>
      <c r="AD41" s="332"/>
      <c r="AE41" s="332"/>
      <c r="AF41" s="332"/>
      <c r="AG41" s="332"/>
      <c r="AH41" s="332"/>
      <c r="AI41" s="332"/>
      <c r="AJ41" s="332"/>
      <c r="AK41" s="332"/>
      <c r="AL41" s="124"/>
      <c r="AM41" s="124"/>
      <c r="AN41" s="124"/>
      <c r="AO41" s="124"/>
      <c r="AP41" s="124"/>
      <c r="AQ41" s="124"/>
      <c r="AR41" s="124"/>
      <c r="AS41" s="124"/>
      <c r="AT41" s="124"/>
      <c r="AU41" s="124"/>
      <c r="AV41" s="124"/>
      <c r="AW41" s="124"/>
      <c r="AX41" s="332"/>
      <c r="AY41" s="332"/>
      <c r="AZ41" s="332"/>
      <c r="BA41" s="332"/>
      <c r="BB41" s="332"/>
      <c r="BC41" s="332"/>
      <c r="BD41" s="332"/>
      <c r="BE41" s="332"/>
      <c r="BF41" s="332"/>
      <c r="BG41" s="332"/>
      <c r="BH41" s="332"/>
      <c r="BI41" s="332"/>
      <c r="BJ41" s="124"/>
      <c r="BK41" s="124"/>
      <c r="BL41" s="124"/>
      <c r="BM41" s="124"/>
      <c r="BN41" s="124"/>
      <c r="BO41" s="124"/>
      <c r="BP41" s="124"/>
      <c r="BQ41" s="124"/>
      <c r="BR41" s="124"/>
      <c r="BS41" s="124"/>
      <c r="BT41" s="124"/>
      <c r="BU41" s="124"/>
      <c r="BV41" s="332"/>
      <c r="BW41" s="332"/>
      <c r="BX41" s="332"/>
      <c r="BY41" s="332"/>
      <c r="BZ41" s="332"/>
      <c r="CA41" s="332"/>
      <c r="CB41" s="332"/>
      <c r="CC41" s="332"/>
      <c r="CD41" s="332"/>
      <c r="CE41" s="332"/>
      <c r="CF41" s="332"/>
      <c r="CG41" s="332"/>
      <c r="CH41" s="112"/>
      <c r="CI41" s="302" t="e">
        <f t="shared" si="3"/>
        <v>#DIV/0!</v>
      </c>
      <c r="CJ41" s="303" t="e">
        <f>IF(CI41&gt;KKM!$G$10,"A",IF(CI41&gt;KKM!$H$10,"B",IF(CI41&gt;=KKM!$I$10,"C","D")))</f>
        <v>#DIV/0!</v>
      </c>
      <c r="CK41" s="304">
        <f t="shared" si="4"/>
        <v>0</v>
      </c>
      <c r="CL41" s="309" t="str">
        <f>IF(CK41&gt;KKM!$G$10," sangat baik ",IF(CK41&gt;KKM!$H$10," baik ",IF(CK41&gt;=KKM!$I$10," cukup baik "," perlu bimbingan ")))</f>
        <v xml:space="preserve"> perlu bimbingan </v>
      </c>
      <c r="CM41" s="305">
        <f t="shared" si="5"/>
        <v>0</v>
      </c>
      <c r="CN41" s="309" t="str">
        <f>IF(CM41&gt;KKM!$G$10," sangat baik ",IF(CM41&gt;KKM!$H$10," baik ",IF(CM41&gt;=KKM!$I$10," cukup baik "," perlu bimbingan ")))</f>
        <v xml:space="preserve"> perlu bimbingan </v>
      </c>
      <c r="CO41" s="301" t="str">
        <f t="shared" si="6"/>
        <v xml:space="preserve"> </v>
      </c>
      <c r="CP41" s="306"/>
      <c r="CQ41" s="307" t="e">
        <f t="shared" si="0"/>
        <v>#N/A</v>
      </c>
      <c r="CR41" s="307" t="e">
        <f t="shared" si="1"/>
        <v>#N/A</v>
      </c>
      <c r="CS41" s="307" t="e">
        <f t="shared" si="7"/>
        <v>#N/A</v>
      </c>
      <c r="CT41" s="307" t="e">
        <f t="shared" si="8"/>
        <v>#N/A</v>
      </c>
      <c r="CU41" s="308" t="e">
        <f t="shared" si="9"/>
        <v>#N/A</v>
      </c>
      <c r="CV41" s="301" t="e">
        <f t="shared" si="11"/>
        <v>#N/A</v>
      </c>
      <c r="CW41" s="120"/>
      <c r="DF41" s="408" t="str">
        <f t="shared" si="10"/>
        <v/>
      </c>
    </row>
    <row r="42" spans="2:110" ht="62.25" customHeight="1">
      <c r="B42" s="109">
        <v>37</v>
      </c>
      <c r="C42" s="110">
        <f>SISWA!B42</f>
        <v>0</v>
      </c>
      <c r="D42" s="111" t="str">
        <f>SISWA!E42</f>
        <v>Anak 37</v>
      </c>
      <c r="E42" s="124"/>
      <c r="F42" s="125"/>
      <c r="G42" s="125"/>
      <c r="H42" s="125"/>
      <c r="I42" s="125"/>
      <c r="J42" s="124"/>
      <c r="K42" s="124"/>
      <c r="L42" s="124"/>
      <c r="M42" s="124"/>
      <c r="N42" s="124"/>
      <c r="O42" s="124"/>
      <c r="P42" s="124"/>
      <c r="Q42" s="124"/>
      <c r="R42" s="124"/>
      <c r="S42" s="124"/>
      <c r="T42" s="124"/>
      <c r="U42" s="124"/>
      <c r="V42" s="124"/>
      <c r="W42" s="124"/>
      <c r="X42" s="124"/>
      <c r="Y42" s="124"/>
      <c r="Z42" s="332"/>
      <c r="AA42" s="332"/>
      <c r="AB42" s="332"/>
      <c r="AC42" s="332"/>
      <c r="AD42" s="332"/>
      <c r="AE42" s="332"/>
      <c r="AF42" s="332"/>
      <c r="AG42" s="332"/>
      <c r="AH42" s="332"/>
      <c r="AI42" s="332"/>
      <c r="AJ42" s="332"/>
      <c r="AK42" s="332"/>
      <c r="AL42" s="124"/>
      <c r="AM42" s="124"/>
      <c r="AN42" s="124"/>
      <c r="AO42" s="124"/>
      <c r="AP42" s="124"/>
      <c r="AQ42" s="124"/>
      <c r="AR42" s="124"/>
      <c r="AS42" s="124"/>
      <c r="AT42" s="124"/>
      <c r="AU42" s="124"/>
      <c r="AV42" s="124"/>
      <c r="AW42" s="124"/>
      <c r="AX42" s="332"/>
      <c r="AY42" s="332"/>
      <c r="AZ42" s="332"/>
      <c r="BA42" s="332"/>
      <c r="BB42" s="332"/>
      <c r="BC42" s="332"/>
      <c r="BD42" s="332"/>
      <c r="BE42" s="332"/>
      <c r="BF42" s="332"/>
      <c r="BG42" s="332"/>
      <c r="BH42" s="332"/>
      <c r="BI42" s="332"/>
      <c r="BJ42" s="124"/>
      <c r="BK42" s="124"/>
      <c r="BL42" s="124"/>
      <c r="BM42" s="124"/>
      <c r="BN42" s="124"/>
      <c r="BO42" s="124"/>
      <c r="BP42" s="124"/>
      <c r="BQ42" s="124"/>
      <c r="BR42" s="124"/>
      <c r="BS42" s="124"/>
      <c r="BT42" s="124"/>
      <c r="BU42" s="124"/>
      <c r="BV42" s="332"/>
      <c r="BW42" s="332"/>
      <c r="BX42" s="332"/>
      <c r="BY42" s="332"/>
      <c r="BZ42" s="332"/>
      <c r="CA42" s="332"/>
      <c r="CB42" s="332"/>
      <c r="CC42" s="332"/>
      <c r="CD42" s="332"/>
      <c r="CE42" s="332"/>
      <c r="CF42" s="332"/>
      <c r="CG42" s="332"/>
      <c r="CH42" s="112"/>
      <c r="CI42" s="302" t="e">
        <f t="shared" si="3"/>
        <v>#DIV/0!</v>
      </c>
      <c r="CJ42" s="303" t="e">
        <f>IF(CI42&gt;KKM!$G$10,"A",IF(CI42&gt;KKM!$H$10,"B",IF(CI42&gt;=KKM!$I$10,"C","D")))</f>
        <v>#DIV/0!</v>
      </c>
      <c r="CK42" s="304">
        <f t="shared" si="4"/>
        <v>0</v>
      </c>
      <c r="CL42" s="309" t="str">
        <f>IF(CK42&gt;KKM!$G$10," sangat baik ",IF(CK42&gt;KKM!$H$10," baik ",IF(CK42&gt;=KKM!$I$10," cukup baik "," perlu bimbingan ")))</f>
        <v xml:space="preserve"> perlu bimbingan </v>
      </c>
      <c r="CM42" s="305">
        <f t="shared" si="5"/>
        <v>0</v>
      </c>
      <c r="CN42" s="309" t="str">
        <f>IF(CM42&gt;KKM!$G$10," sangat baik ",IF(CM42&gt;KKM!$H$10," baik ",IF(CM42&gt;=KKM!$I$10," cukup baik "," perlu bimbingan ")))</f>
        <v xml:space="preserve"> perlu bimbingan </v>
      </c>
      <c r="CO42" s="301" t="str">
        <f t="shared" si="6"/>
        <v xml:space="preserve"> </v>
      </c>
      <c r="CP42" s="306"/>
      <c r="CQ42" s="307" t="e">
        <f t="shared" si="0"/>
        <v>#N/A</v>
      </c>
      <c r="CR42" s="307" t="e">
        <f t="shared" si="1"/>
        <v>#N/A</v>
      </c>
      <c r="CS42" s="307" t="e">
        <f t="shared" si="7"/>
        <v>#N/A</v>
      </c>
      <c r="CT42" s="307" t="e">
        <f t="shared" si="8"/>
        <v>#N/A</v>
      </c>
      <c r="CU42" s="308" t="e">
        <f t="shared" si="9"/>
        <v>#N/A</v>
      </c>
      <c r="CV42" s="301" t="e">
        <f t="shared" si="11"/>
        <v>#N/A</v>
      </c>
      <c r="CW42" s="120"/>
      <c r="DF42" s="408" t="str">
        <f t="shared" si="10"/>
        <v/>
      </c>
    </row>
    <row r="43" spans="2:110" ht="62.25" customHeight="1">
      <c r="B43" s="109">
        <v>38</v>
      </c>
      <c r="C43" s="110">
        <f>SISWA!B43</f>
        <v>0</v>
      </c>
      <c r="D43" s="111" t="str">
        <f>SISWA!E43</f>
        <v>Anak 38</v>
      </c>
      <c r="E43" s="124"/>
      <c r="F43" s="125"/>
      <c r="G43" s="125"/>
      <c r="H43" s="125"/>
      <c r="I43" s="125"/>
      <c r="J43" s="124"/>
      <c r="K43" s="124"/>
      <c r="L43" s="124"/>
      <c r="M43" s="124"/>
      <c r="N43" s="124"/>
      <c r="O43" s="124"/>
      <c r="P43" s="124"/>
      <c r="Q43" s="124"/>
      <c r="R43" s="124"/>
      <c r="S43" s="124"/>
      <c r="T43" s="124"/>
      <c r="U43" s="124"/>
      <c r="V43" s="124"/>
      <c r="W43" s="124"/>
      <c r="X43" s="124"/>
      <c r="Y43" s="124"/>
      <c r="Z43" s="332"/>
      <c r="AA43" s="332"/>
      <c r="AB43" s="332"/>
      <c r="AC43" s="332"/>
      <c r="AD43" s="332"/>
      <c r="AE43" s="332"/>
      <c r="AF43" s="332"/>
      <c r="AG43" s="332"/>
      <c r="AH43" s="332"/>
      <c r="AI43" s="332"/>
      <c r="AJ43" s="332"/>
      <c r="AK43" s="332"/>
      <c r="AL43" s="124"/>
      <c r="AM43" s="124"/>
      <c r="AN43" s="124"/>
      <c r="AO43" s="124"/>
      <c r="AP43" s="124"/>
      <c r="AQ43" s="124"/>
      <c r="AR43" s="124"/>
      <c r="AS43" s="124"/>
      <c r="AT43" s="124"/>
      <c r="AU43" s="124"/>
      <c r="AV43" s="124"/>
      <c r="AW43" s="124"/>
      <c r="AX43" s="332"/>
      <c r="AY43" s="332"/>
      <c r="AZ43" s="332"/>
      <c r="BA43" s="332"/>
      <c r="BB43" s="332"/>
      <c r="BC43" s="332"/>
      <c r="BD43" s="332"/>
      <c r="BE43" s="332"/>
      <c r="BF43" s="332"/>
      <c r="BG43" s="332"/>
      <c r="BH43" s="332"/>
      <c r="BI43" s="332"/>
      <c r="BJ43" s="124"/>
      <c r="BK43" s="124"/>
      <c r="BL43" s="124"/>
      <c r="BM43" s="124"/>
      <c r="BN43" s="124"/>
      <c r="BO43" s="124"/>
      <c r="BP43" s="124"/>
      <c r="BQ43" s="124"/>
      <c r="BR43" s="124"/>
      <c r="BS43" s="124"/>
      <c r="BT43" s="124"/>
      <c r="BU43" s="124"/>
      <c r="BV43" s="332"/>
      <c r="BW43" s="332"/>
      <c r="BX43" s="332"/>
      <c r="BY43" s="332"/>
      <c r="BZ43" s="332"/>
      <c r="CA43" s="332"/>
      <c r="CB43" s="332"/>
      <c r="CC43" s="332"/>
      <c r="CD43" s="332"/>
      <c r="CE43" s="332"/>
      <c r="CF43" s="332"/>
      <c r="CG43" s="332"/>
      <c r="CH43" s="112"/>
      <c r="CI43" s="302" t="e">
        <f t="shared" si="3"/>
        <v>#DIV/0!</v>
      </c>
      <c r="CJ43" s="303" t="e">
        <f>IF(CI43&gt;KKM!$G$10,"A",IF(CI43&gt;KKM!$H$10,"B",IF(CI43&gt;=KKM!$I$10,"C","D")))</f>
        <v>#DIV/0!</v>
      </c>
      <c r="CK43" s="304">
        <f t="shared" si="4"/>
        <v>0</v>
      </c>
      <c r="CL43" s="309" t="str">
        <f>IF(CK43&gt;KKM!$G$10," sangat baik ",IF(CK43&gt;KKM!$H$10," baik ",IF(CK43&gt;=KKM!$I$10," cukup baik "," perlu bimbingan ")))</f>
        <v xml:space="preserve"> perlu bimbingan </v>
      </c>
      <c r="CM43" s="305">
        <f t="shared" si="5"/>
        <v>0</v>
      </c>
      <c r="CN43" s="309" t="str">
        <f>IF(CM43&gt;KKM!$G$10," sangat baik ",IF(CM43&gt;KKM!$H$10," baik ",IF(CM43&gt;=KKM!$I$10," cukup baik "," perlu bimbingan ")))</f>
        <v xml:space="preserve"> perlu bimbingan </v>
      </c>
      <c r="CO43" s="301" t="str">
        <f t="shared" si="6"/>
        <v xml:space="preserve"> </v>
      </c>
      <c r="CP43" s="306"/>
      <c r="CQ43" s="307" t="e">
        <f t="shared" si="0"/>
        <v>#N/A</v>
      </c>
      <c r="CR43" s="307" t="e">
        <f t="shared" si="1"/>
        <v>#N/A</v>
      </c>
      <c r="CS43" s="307" t="e">
        <f t="shared" si="7"/>
        <v>#N/A</v>
      </c>
      <c r="CT43" s="307" t="e">
        <f t="shared" si="8"/>
        <v>#N/A</v>
      </c>
      <c r="CU43" s="308" t="e">
        <f t="shared" si="9"/>
        <v>#N/A</v>
      </c>
      <c r="CV43" s="301" t="e">
        <f t="shared" si="11"/>
        <v>#N/A</v>
      </c>
      <c r="CW43" s="120"/>
      <c r="DF43" s="408" t="str">
        <f t="shared" si="10"/>
        <v/>
      </c>
    </row>
    <row r="44" spans="2:110" ht="62.25" customHeight="1">
      <c r="B44" s="109">
        <v>39</v>
      </c>
      <c r="C44" s="110">
        <f>SISWA!B44</f>
        <v>0</v>
      </c>
      <c r="D44" s="111" t="str">
        <f>SISWA!E44</f>
        <v>Anak 39</v>
      </c>
      <c r="E44" s="124"/>
      <c r="F44" s="125"/>
      <c r="G44" s="125"/>
      <c r="H44" s="125"/>
      <c r="I44" s="125"/>
      <c r="J44" s="124"/>
      <c r="K44" s="124"/>
      <c r="L44" s="124"/>
      <c r="M44" s="124"/>
      <c r="N44" s="124"/>
      <c r="O44" s="124"/>
      <c r="P44" s="124"/>
      <c r="Q44" s="124"/>
      <c r="R44" s="124"/>
      <c r="S44" s="124"/>
      <c r="T44" s="124"/>
      <c r="U44" s="124"/>
      <c r="V44" s="124"/>
      <c r="W44" s="124"/>
      <c r="X44" s="124"/>
      <c r="Y44" s="124"/>
      <c r="Z44" s="332"/>
      <c r="AA44" s="332"/>
      <c r="AB44" s="332"/>
      <c r="AC44" s="332"/>
      <c r="AD44" s="332"/>
      <c r="AE44" s="332"/>
      <c r="AF44" s="332"/>
      <c r="AG44" s="332"/>
      <c r="AH44" s="332"/>
      <c r="AI44" s="332"/>
      <c r="AJ44" s="332"/>
      <c r="AK44" s="332"/>
      <c r="AL44" s="124"/>
      <c r="AM44" s="124"/>
      <c r="AN44" s="124"/>
      <c r="AO44" s="124"/>
      <c r="AP44" s="124"/>
      <c r="AQ44" s="124"/>
      <c r="AR44" s="124"/>
      <c r="AS44" s="124"/>
      <c r="AT44" s="124"/>
      <c r="AU44" s="124"/>
      <c r="AV44" s="124"/>
      <c r="AW44" s="124"/>
      <c r="AX44" s="332"/>
      <c r="AY44" s="332"/>
      <c r="AZ44" s="332"/>
      <c r="BA44" s="332"/>
      <c r="BB44" s="332"/>
      <c r="BC44" s="332"/>
      <c r="BD44" s="332"/>
      <c r="BE44" s="332"/>
      <c r="BF44" s="332"/>
      <c r="BG44" s="332"/>
      <c r="BH44" s="332"/>
      <c r="BI44" s="332"/>
      <c r="BJ44" s="124"/>
      <c r="BK44" s="124"/>
      <c r="BL44" s="124"/>
      <c r="BM44" s="124"/>
      <c r="BN44" s="124"/>
      <c r="BO44" s="124"/>
      <c r="BP44" s="124"/>
      <c r="BQ44" s="124"/>
      <c r="BR44" s="124"/>
      <c r="BS44" s="124"/>
      <c r="BT44" s="124"/>
      <c r="BU44" s="124"/>
      <c r="BV44" s="332"/>
      <c r="BW44" s="332"/>
      <c r="BX44" s="332"/>
      <c r="BY44" s="332"/>
      <c r="BZ44" s="332"/>
      <c r="CA44" s="332"/>
      <c r="CB44" s="332"/>
      <c r="CC44" s="332"/>
      <c r="CD44" s="332"/>
      <c r="CE44" s="332"/>
      <c r="CF44" s="332"/>
      <c r="CG44" s="332"/>
      <c r="CH44" s="112"/>
      <c r="CI44" s="302" t="e">
        <f t="shared" si="3"/>
        <v>#DIV/0!</v>
      </c>
      <c r="CJ44" s="303" t="e">
        <f>IF(CI44&gt;KKM!$G$10,"A",IF(CI44&gt;KKM!$H$10,"B",IF(CI44&gt;=KKM!$I$10,"C","D")))</f>
        <v>#DIV/0!</v>
      </c>
      <c r="CK44" s="304">
        <f t="shared" si="4"/>
        <v>0</v>
      </c>
      <c r="CL44" s="309" t="str">
        <f>IF(CK44&gt;KKM!$G$10," sangat baik ",IF(CK44&gt;KKM!$H$10," baik ",IF(CK44&gt;=KKM!$I$10," cukup baik "," perlu bimbingan ")))</f>
        <v xml:space="preserve"> perlu bimbingan </v>
      </c>
      <c r="CM44" s="305">
        <f t="shared" si="5"/>
        <v>0</v>
      </c>
      <c r="CN44" s="309" t="str">
        <f>IF(CM44&gt;KKM!$G$10," sangat baik ",IF(CM44&gt;KKM!$H$10," baik ",IF(CM44&gt;=KKM!$I$10," cukup baik "," perlu bimbingan ")))</f>
        <v xml:space="preserve"> perlu bimbingan </v>
      </c>
      <c r="CO44" s="301" t="str">
        <f t="shared" si="6"/>
        <v xml:space="preserve"> </v>
      </c>
      <c r="CP44" s="306"/>
      <c r="CQ44" s="307" t="e">
        <f t="shared" si="0"/>
        <v>#N/A</v>
      </c>
      <c r="CR44" s="307" t="e">
        <f t="shared" si="1"/>
        <v>#N/A</v>
      </c>
      <c r="CS44" s="307" t="e">
        <f t="shared" si="7"/>
        <v>#N/A</v>
      </c>
      <c r="CT44" s="307" t="e">
        <f t="shared" si="8"/>
        <v>#N/A</v>
      </c>
      <c r="CU44" s="308" t="e">
        <f t="shared" si="9"/>
        <v>#N/A</v>
      </c>
      <c r="CV44" s="301" t="e">
        <f t="shared" si="11"/>
        <v>#N/A</v>
      </c>
      <c r="CW44" s="120"/>
      <c r="DF44" s="408" t="str">
        <f t="shared" si="10"/>
        <v/>
      </c>
    </row>
    <row r="45" spans="2:110" ht="62.25" customHeight="1">
      <c r="B45" s="109">
        <v>40</v>
      </c>
      <c r="C45" s="110">
        <f>SISWA!B45</f>
        <v>0</v>
      </c>
      <c r="D45" s="111" t="str">
        <f>SISWA!E45</f>
        <v>Anak 40</v>
      </c>
      <c r="E45" s="124"/>
      <c r="F45" s="125"/>
      <c r="G45" s="125"/>
      <c r="H45" s="125"/>
      <c r="I45" s="125"/>
      <c r="J45" s="124"/>
      <c r="K45" s="124"/>
      <c r="L45" s="124"/>
      <c r="M45" s="124"/>
      <c r="N45" s="124"/>
      <c r="O45" s="124"/>
      <c r="P45" s="124"/>
      <c r="Q45" s="124"/>
      <c r="R45" s="124"/>
      <c r="S45" s="124"/>
      <c r="T45" s="124"/>
      <c r="U45" s="124"/>
      <c r="V45" s="124"/>
      <c r="W45" s="124"/>
      <c r="X45" s="124"/>
      <c r="Y45" s="124"/>
      <c r="Z45" s="332"/>
      <c r="AA45" s="332"/>
      <c r="AB45" s="332"/>
      <c r="AC45" s="332"/>
      <c r="AD45" s="332"/>
      <c r="AE45" s="332"/>
      <c r="AF45" s="332"/>
      <c r="AG45" s="332"/>
      <c r="AH45" s="332"/>
      <c r="AI45" s="332"/>
      <c r="AJ45" s="332"/>
      <c r="AK45" s="332"/>
      <c r="AL45" s="124"/>
      <c r="AM45" s="124"/>
      <c r="AN45" s="124"/>
      <c r="AO45" s="124"/>
      <c r="AP45" s="124"/>
      <c r="AQ45" s="124"/>
      <c r="AR45" s="124"/>
      <c r="AS45" s="124"/>
      <c r="AT45" s="124"/>
      <c r="AU45" s="124"/>
      <c r="AV45" s="124"/>
      <c r="AW45" s="124"/>
      <c r="AX45" s="332"/>
      <c r="AY45" s="332"/>
      <c r="AZ45" s="332"/>
      <c r="BA45" s="332"/>
      <c r="BB45" s="332"/>
      <c r="BC45" s="332"/>
      <c r="BD45" s="332"/>
      <c r="BE45" s="332"/>
      <c r="BF45" s="332"/>
      <c r="BG45" s="332"/>
      <c r="BH45" s="332"/>
      <c r="BI45" s="332"/>
      <c r="BJ45" s="124"/>
      <c r="BK45" s="124"/>
      <c r="BL45" s="124"/>
      <c r="BM45" s="124"/>
      <c r="BN45" s="124"/>
      <c r="BO45" s="124"/>
      <c r="BP45" s="124"/>
      <c r="BQ45" s="124"/>
      <c r="BR45" s="124"/>
      <c r="BS45" s="124"/>
      <c r="BT45" s="124"/>
      <c r="BU45" s="124"/>
      <c r="BV45" s="332"/>
      <c r="BW45" s="332"/>
      <c r="BX45" s="332"/>
      <c r="BY45" s="332"/>
      <c r="BZ45" s="332"/>
      <c r="CA45" s="332"/>
      <c r="CB45" s="332"/>
      <c r="CC45" s="332"/>
      <c r="CD45" s="332"/>
      <c r="CE45" s="332"/>
      <c r="CF45" s="332"/>
      <c r="CG45" s="332"/>
      <c r="CH45" s="112"/>
      <c r="CI45" s="302" t="e">
        <f t="shared" si="3"/>
        <v>#DIV/0!</v>
      </c>
      <c r="CJ45" s="303" t="e">
        <f>IF(CI45&gt;KKM!$G$10,"A",IF(CI45&gt;KKM!$H$10,"B",IF(CI45&gt;=KKM!$I$10,"C","D")))</f>
        <v>#DIV/0!</v>
      </c>
      <c r="CK45" s="304">
        <f t="shared" si="4"/>
        <v>0</v>
      </c>
      <c r="CL45" s="309" t="str">
        <f>IF(CK45&gt;KKM!$G$10," sangat baik ",IF(CK45&gt;KKM!$H$10," baik ",IF(CK45&gt;=KKM!$I$10," cukup baik "," perlu bimbingan ")))</f>
        <v xml:space="preserve"> perlu bimbingan </v>
      </c>
      <c r="CM45" s="305">
        <f t="shared" si="5"/>
        <v>0</v>
      </c>
      <c r="CN45" s="309" t="str">
        <f>IF(CM45&gt;KKM!$G$10," sangat baik ",IF(CM45&gt;KKM!$H$10," baik ",IF(CM45&gt;=KKM!$I$10," cukup baik "," perlu bimbingan ")))</f>
        <v xml:space="preserve"> perlu bimbingan </v>
      </c>
      <c r="CO45" s="301" t="str">
        <f t="shared" si="6"/>
        <v xml:space="preserve"> </v>
      </c>
      <c r="CP45" s="306"/>
      <c r="CQ45" s="307" t="e">
        <f t="shared" si="0"/>
        <v>#N/A</v>
      </c>
      <c r="CR45" s="307" t="e">
        <f t="shared" si="1"/>
        <v>#N/A</v>
      </c>
      <c r="CS45" s="307" t="e">
        <f t="shared" si="7"/>
        <v>#N/A</v>
      </c>
      <c r="CT45" s="307" t="e">
        <f t="shared" si="8"/>
        <v>#N/A</v>
      </c>
      <c r="CU45" s="308" t="e">
        <f t="shared" si="9"/>
        <v>#N/A</v>
      </c>
      <c r="CV45" s="301" t="e">
        <f t="shared" si="11"/>
        <v>#N/A</v>
      </c>
      <c r="CW45" s="120"/>
      <c r="DF45" s="408" t="str">
        <f t="shared" si="10"/>
        <v/>
      </c>
    </row>
    <row r="46" spans="2:110" ht="62.25" customHeight="1">
      <c r="B46" s="109">
        <v>41</v>
      </c>
      <c r="C46" s="110">
        <f>SISWA!B46</f>
        <v>0</v>
      </c>
      <c r="D46" s="111" t="str">
        <f>SISWA!E46</f>
        <v>Anak 41</v>
      </c>
      <c r="E46" s="124"/>
      <c r="F46" s="125"/>
      <c r="G46" s="125"/>
      <c r="H46" s="125"/>
      <c r="I46" s="125"/>
      <c r="J46" s="124"/>
      <c r="K46" s="124"/>
      <c r="L46" s="124"/>
      <c r="M46" s="124"/>
      <c r="N46" s="124"/>
      <c r="O46" s="124"/>
      <c r="P46" s="124"/>
      <c r="Q46" s="124"/>
      <c r="R46" s="124"/>
      <c r="S46" s="124"/>
      <c r="T46" s="124"/>
      <c r="U46" s="124"/>
      <c r="V46" s="124"/>
      <c r="W46" s="124"/>
      <c r="X46" s="124"/>
      <c r="Y46" s="124"/>
      <c r="Z46" s="332"/>
      <c r="AA46" s="332"/>
      <c r="AB46" s="332"/>
      <c r="AC46" s="332"/>
      <c r="AD46" s="332"/>
      <c r="AE46" s="332"/>
      <c r="AF46" s="332"/>
      <c r="AG46" s="332"/>
      <c r="AH46" s="332"/>
      <c r="AI46" s="332"/>
      <c r="AJ46" s="332"/>
      <c r="AK46" s="332"/>
      <c r="AL46" s="124"/>
      <c r="AM46" s="124"/>
      <c r="AN46" s="124"/>
      <c r="AO46" s="124"/>
      <c r="AP46" s="124"/>
      <c r="AQ46" s="124"/>
      <c r="AR46" s="124"/>
      <c r="AS46" s="124"/>
      <c r="AT46" s="124"/>
      <c r="AU46" s="124"/>
      <c r="AV46" s="124"/>
      <c r="AW46" s="124"/>
      <c r="AX46" s="332"/>
      <c r="AY46" s="332"/>
      <c r="AZ46" s="332"/>
      <c r="BA46" s="332"/>
      <c r="BB46" s="332"/>
      <c r="BC46" s="332"/>
      <c r="BD46" s="332"/>
      <c r="BE46" s="332"/>
      <c r="BF46" s="332"/>
      <c r="BG46" s="332"/>
      <c r="BH46" s="332"/>
      <c r="BI46" s="332"/>
      <c r="BJ46" s="124"/>
      <c r="BK46" s="124"/>
      <c r="BL46" s="124"/>
      <c r="BM46" s="124"/>
      <c r="BN46" s="124"/>
      <c r="BO46" s="124"/>
      <c r="BP46" s="124"/>
      <c r="BQ46" s="124"/>
      <c r="BR46" s="124"/>
      <c r="BS46" s="124"/>
      <c r="BT46" s="124"/>
      <c r="BU46" s="124"/>
      <c r="BV46" s="332"/>
      <c r="BW46" s="332"/>
      <c r="BX46" s="332"/>
      <c r="BY46" s="332"/>
      <c r="BZ46" s="332"/>
      <c r="CA46" s="332"/>
      <c r="CB46" s="332"/>
      <c r="CC46" s="332"/>
      <c r="CD46" s="332"/>
      <c r="CE46" s="332"/>
      <c r="CF46" s="332"/>
      <c r="CG46" s="332"/>
      <c r="CH46" s="112"/>
      <c r="CI46" s="302" t="e">
        <f t="shared" si="3"/>
        <v>#DIV/0!</v>
      </c>
      <c r="CJ46" s="303" t="e">
        <f>IF(CI46&gt;KKM!$G$10,"A",IF(CI46&gt;KKM!$H$10,"B",IF(CI46&gt;=KKM!$I$10,"C","D")))</f>
        <v>#DIV/0!</v>
      </c>
      <c r="CK46" s="304">
        <f t="shared" si="4"/>
        <v>0</v>
      </c>
      <c r="CL46" s="309" t="str">
        <f>IF(CK46&gt;KKM!$G$10," sangat baik ",IF(CK46&gt;KKM!$H$10," baik ",IF(CK46&gt;=KKM!$I$10," cukup baik "," perlu bimbingan ")))</f>
        <v xml:space="preserve"> perlu bimbingan </v>
      </c>
      <c r="CM46" s="305">
        <f t="shared" si="5"/>
        <v>0</v>
      </c>
      <c r="CN46" s="309" t="str">
        <f>IF(CM46&gt;KKM!$G$10," sangat baik ",IF(CM46&gt;KKM!$H$10," baik ",IF(CM46&gt;=KKM!$I$10," cukup baik "," perlu bimbingan ")))</f>
        <v xml:space="preserve"> perlu bimbingan </v>
      </c>
      <c r="CO46" s="301" t="str">
        <f t="shared" si="6"/>
        <v xml:space="preserve"> </v>
      </c>
      <c r="CP46" s="306"/>
      <c r="CQ46" s="307" t="e">
        <f t="shared" si="0"/>
        <v>#N/A</v>
      </c>
      <c r="CR46" s="307" t="e">
        <f t="shared" si="1"/>
        <v>#N/A</v>
      </c>
      <c r="CS46" s="307" t="e">
        <f t="shared" si="7"/>
        <v>#N/A</v>
      </c>
      <c r="CT46" s="307" t="e">
        <f t="shared" si="8"/>
        <v>#N/A</v>
      </c>
      <c r="CU46" s="308" t="e">
        <f t="shared" si="9"/>
        <v>#N/A</v>
      </c>
      <c r="CV46" s="301" t="e">
        <f t="shared" si="11"/>
        <v>#N/A</v>
      </c>
      <c r="CW46" s="120"/>
      <c r="DF46" s="408" t="str">
        <f t="shared" si="10"/>
        <v/>
      </c>
    </row>
    <row r="47" spans="2:110" ht="62.25" customHeight="1">
      <c r="B47" s="109">
        <v>42</v>
      </c>
      <c r="C47" s="110">
        <f>SISWA!B47</f>
        <v>0</v>
      </c>
      <c r="D47" s="111" t="str">
        <f>SISWA!E47</f>
        <v>Anak 42</v>
      </c>
      <c r="E47" s="124"/>
      <c r="F47" s="125"/>
      <c r="G47" s="125"/>
      <c r="H47" s="125"/>
      <c r="I47" s="125"/>
      <c r="J47" s="124"/>
      <c r="K47" s="124"/>
      <c r="L47" s="124"/>
      <c r="M47" s="124"/>
      <c r="N47" s="124"/>
      <c r="O47" s="124"/>
      <c r="P47" s="124"/>
      <c r="Q47" s="124"/>
      <c r="R47" s="124"/>
      <c r="S47" s="124"/>
      <c r="T47" s="124"/>
      <c r="U47" s="124"/>
      <c r="V47" s="124"/>
      <c r="W47" s="124"/>
      <c r="X47" s="124"/>
      <c r="Y47" s="124"/>
      <c r="Z47" s="332"/>
      <c r="AA47" s="332"/>
      <c r="AB47" s="332"/>
      <c r="AC47" s="332"/>
      <c r="AD47" s="332"/>
      <c r="AE47" s="332"/>
      <c r="AF47" s="332"/>
      <c r="AG47" s="332"/>
      <c r="AH47" s="332"/>
      <c r="AI47" s="332"/>
      <c r="AJ47" s="332"/>
      <c r="AK47" s="332"/>
      <c r="AL47" s="124"/>
      <c r="AM47" s="124"/>
      <c r="AN47" s="124"/>
      <c r="AO47" s="124"/>
      <c r="AP47" s="124"/>
      <c r="AQ47" s="124"/>
      <c r="AR47" s="124"/>
      <c r="AS47" s="124"/>
      <c r="AT47" s="124"/>
      <c r="AU47" s="124"/>
      <c r="AV47" s="124"/>
      <c r="AW47" s="124"/>
      <c r="AX47" s="332"/>
      <c r="AY47" s="332"/>
      <c r="AZ47" s="332"/>
      <c r="BA47" s="332"/>
      <c r="BB47" s="332"/>
      <c r="BC47" s="332"/>
      <c r="BD47" s="332"/>
      <c r="BE47" s="332"/>
      <c r="BF47" s="332"/>
      <c r="BG47" s="332"/>
      <c r="BH47" s="332"/>
      <c r="BI47" s="332"/>
      <c r="BJ47" s="124"/>
      <c r="BK47" s="124"/>
      <c r="BL47" s="124"/>
      <c r="BM47" s="124"/>
      <c r="BN47" s="124"/>
      <c r="BO47" s="124"/>
      <c r="BP47" s="124"/>
      <c r="BQ47" s="124"/>
      <c r="BR47" s="124"/>
      <c r="BS47" s="124"/>
      <c r="BT47" s="124"/>
      <c r="BU47" s="124"/>
      <c r="BV47" s="332"/>
      <c r="BW47" s="332"/>
      <c r="BX47" s="332"/>
      <c r="BY47" s="332"/>
      <c r="BZ47" s="332"/>
      <c r="CA47" s="332"/>
      <c r="CB47" s="332"/>
      <c r="CC47" s="332"/>
      <c r="CD47" s="332"/>
      <c r="CE47" s="332"/>
      <c r="CF47" s="332"/>
      <c r="CG47" s="332"/>
      <c r="CH47" s="112"/>
      <c r="CI47" s="302" t="e">
        <f t="shared" si="3"/>
        <v>#DIV/0!</v>
      </c>
      <c r="CJ47" s="303" t="e">
        <f>IF(CI47&gt;KKM!$G$10,"A",IF(CI47&gt;KKM!$H$10,"B",IF(CI47&gt;=KKM!$I$10,"C","D")))</f>
        <v>#DIV/0!</v>
      </c>
      <c r="CK47" s="304">
        <f t="shared" si="4"/>
        <v>0</v>
      </c>
      <c r="CL47" s="309" t="str">
        <f>IF(CK47&gt;KKM!$G$10," sangat baik ",IF(CK47&gt;KKM!$H$10," baik ",IF(CK47&gt;=KKM!$I$10," cukup baik "," perlu bimbingan ")))</f>
        <v xml:space="preserve"> perlu bimbingan </v>
      </c>
      <c r="CM47" s="305">
        <f t="shared" si="5"/>
        <v>0</v>
      </c>
      <c r="CN47" s="309" t="str">
        <f>IF(CM47&gt;KKM!$G$10," sangat baik ",IF(CM47&gt;KKM!$H$10," baik ",IF(CM47&gt;=KKM!$I$10," cukup baik "," perlu bimbingan ")))</f>
        <v xml:space="preserve"> perlu bimbingan </v>
      </c>
      <c r="CO47" s="301" t="str">
        <f t="shared" si="6"/>
        <v xml:space="preserve"> </v>
      </c>
      <c r="CP47" s="306"/>
      <c r="CQ47" s="307" t="e">
        <f t="shared" si="0"/>
        <v>#N/A</v>
      </c>
      <c r="CR47" s="307" t="e">
        <f t="shared" si="1"/>
        <v>#N/A</v>
      </c>
      <c r="CS47" s="307" t="e">
        <f t="shared" si="7"/>
        <v>#N/A</v>
      </c>
      <c r="CT47" s="307" t="e">
        <f t="shared" si="8"/>
        <v>#N/A</v>
      </c>
      <c r="CU47" s="308" t="e">
        <f t="shared" si="9"/>
        <v>#N/A</v>
      </c>
      <c r="CV47" s="301" t="e">
        <f t="shared" si="11"/>
        <v>#N/A</v>
      </c>
      <c r="CW47" s="120"/>
      <c r="DF47" s="408" t="str">
        <f t="shared" si="10"/>
        <v/>
      </c>
    </row>
    <row r="48" spans="2:110" ht="62.25" customHeight="1">
      <c r="B48" s="109">
        <v>43</v>
      </c>
      <c r="C48" s="110">
        <f>SISWA!B48</f>
        <v>0</v>
      </c>
      <c r="D48" s="111" t="str">
        <f>SISWA!E48</f>
        <v>Anak 43</v>
      </c>
      <c r="E48" s="124"/>
      <c r="F48" s="125"/>
      <c r="G48" s="125"/>
      <c r="H48" s="125"/>
      <c r="I48" s="125"/>
      <c r="J48" s="124"/>
      <c r="K48" s="124"/>
      <c r="L48" s="124"/>
      <c r="M48" s="124"/>
      <c r="N48" s="124"/>
      <c r="O48" s="124"/>
      <c r="P48" s="124"/>
      <c r="Q48" s="124"/>
      <c r="R48" s="124"/>
      <c r="S48" s="124"/>
      <c r="T48" s="124"/>
      <c r="U48" s="124"/>
      <c r="V48" s="124"/>
      <c r="W48" s="124"/>
      <c r="X48" s="124"/>
      <c r="Y48" s="124"/>
      <c r="Z48" s="332"/>
      <c r="AA48" s="332"/>
      <c r="AB48" s="332"/>
      <c r="AC48" s="332"/>
      <c r="AD48" s="332"/>
      <c r="AE48" s="332"/>
      <c r="AF48" s="332"/>
      <c r="AG48" s="332"/>
      <c r="AH48" s="332"/>
      <c r="AI48" s="332"/>
      <c r="AJ48" s="332"/>
      <c r="AK48" s="332"/>
      <c r="AL48" s="124"/>
      <c r="AM48" s="124"/>
      <c r="AN48" s="124"/>
      <c r="AO48" s="124"/>
      <c r="AP48" s="124"/>
      <c r="AQ48" s="124"/>
      <c r="AR48" s="124"/>
      <c r="AS48" s="124"/>
      <c r="AT48" s="124"/>
      <c r="AU48" s="124"/>
      <c r="AV48" s="124"/>
      <c r="AW48" s="124"/>
      <c r="AX48" s="332"/>
      <c r="AY48" s="332"/>
      <c r="AZ48" s="332"/>
      <c r="BA48" s="332"/>
      <c r="BB48" s="332"/>
      <c r="BC48" s="332"/>
      <c r="BD48" s="332"/>
      <c r="BE48" s="332"/>
      <c r="BF48" s="332"/>
      <c r="BG48" s="332"/>
      <c r="BH48" s="332"/>
      <c r="BI48" s="332"/>
      <c r="BJ48" s="124"/>
      <c r="BK48" s="124"/>
      <c r="BL48" s="124"/>
      <c r="BM48" s="124"/>
      <c r="BN48" s="124"/>
      <c r="BO48" s="124"/>
      <c r="BP48" s="124"/>
      <c r="BQ48" s="124"/>
      <c r="BR48" s="124"/>
      <c r="BS48" s="124"/>
      <c r="BT48" s="124"/>
      <c r="BU48" s="124"/>
      <c r="BV48" s="332"/>
      <c r="BW48" s="332"/>
      <c r="BX48" s="332"/>
      <c r="BY48" s="332"/>
      <c r="BZ48" s="332"/>
      <c r="CA48" s="332"/>
      <c r="CB48" s="332"/>
      <c r="CC48" s="332"/>
      <c r="CD48" s="332"/>
      <c r="CE48" s="332"/>
      <c r="CF48" s="332"/>
      <c r="CG48" s="332"/>
      <c r="CH48" s="112"/>
      <c r="CI48" s="302" t="e">
        <f t="shared" si="3"/>
        <v>#DIV/0!</v>
      </c>
      <c r="CJ48" s="303" t="e">
        <f>IF(CI48&gt;KKM!$G$10,"A",IF(CI48&gt;KKM!$H$10,"B",IF(CI48&gt;=KKM!$I$10,"C","D")))</f>
        <v>#DIV/0!</v>
      </c>
      <c r="CK48" s="304">
        <f t="shared" si="4"/>
        <v>0</v>
      </c>
      <c r="CL48" s="309" t="str">
        <f>IF(CK48&gt;KKM!$G$10," sangat baik ",IF(CK48&gt;KKM!$H$10," baik ",IF(CK48&gt;=KKM!$I$10," cukup baik "," perlu bimbingan ")))</f>
        <v xml:space="preserve"> perlu bimbingan </v>
      </c>
      <c r="CM48" s="305">
        <f t="shared" si="5"/>
        <v>0</v>
      </c>
      <c r="CN48" s="309" t="str">
        <f>IF(CM48&gt;KKM!$G$10," sangat baik ",IF(CM48&gt;KKM!$H$10," baik ",IF(CM48&gt;=KKM!$I$10," cukup baik "," perlu bimbingan ")))</f>
        <v xml:space="preserve"> perlu bimbingan </v>
      </c>
      <c r="CO48" s="301" t="str">
        <f t="shared" si="6"/>
        <v xml:space="preserve"> </v>
      </c>
      <c r="CP48" s="306"/>
      <c r="CQ48" s="307" t="e">
        <f t="shared" si="0"/>
        <v>#N/A</v>
      </c>
      <c r="CR48" s="307" t="e">
        <f t="shared" si="1"/>
        <v>#N/A</v>
      </c>
      <c r="CS48" s="307" t="e">
        <f t="shared" si="7"/>
        <v>#N/A</v>
      </c>
      <c r="CT48" s="307" t="e">
        <f t="shared" si="8"/>
        <v>#N/A</v>
      </c>
      <c r="CU48" s="308" t="e">
        <f t="shared" si="9"/>
        <v>#N/A</v>
      </c>
      <c r="CV48" s="301" t="e">
        <f t="shared" si="11"/>
        <v>#N/A</v>
      </c>
      <c r="CW48" s="120"/>
      <c r="DF48" s="408" t="str">
        <f t="shared" si="10"/>
        <v/>
      </c>
    </row>
    <row r="49" spans="2:110" ht="62.25" customHeight="1">
      <c r="B49" s="109">
        <v>44</v>
      </c>
      <c r="C49" s="110">
        <f>SISWA!B49</f>
        <v>0</v>
      </c>
      <c r="D49" s="111" t="str">
        <f>SISWA!E49</f>
        <v>Anak 44</v>
      </c>
      <c r="E49" s="124"/>
      <c r="F49" s="125"/>
      <c r="G49" s="125"/>
      <c r="H49" s="125"/>
      <c r="I49" s="125"/>
      <c r="J49" s="124"/>
      <c r="K49" s="124"/>
      <c r="L49" s="124"/>
      <c r="M49" s="124"/>
      <c r="N49" s="124"/>
      <c r="O49" s="124"/>
      <c r="P49" s="124"/>
      <c r="Q49" s="124"/>
      <c r="R49" s="124"/>
      <c r="S49" s="124"/>
      <c r="T49" s="124"/>
      <c r="U49" s="124"/>
      <c r="V49" s="124"/>
      <c r="W49" s="124"/>
      <c r="X49" s="124"/>
      <c r="Y49" s="124"/>
      <c r="Z49" s="332"/>
      <c r="AA49" s="332"/>
      <c r="AB49" s="332"/>
      <c r="AC49" s="332"/>
      <c r="AD49" s="332"/>
      <c r="AE49" s="332"/>
      <c r="AF49" s="332"/>
      <c r="AG49" s="332"/>
      <c r="AH49" s="332"/>
      <c r="AI49" s="332"/>
      <c r="AJ49" s="332"/>
      <c r="AK49" s="332"/>
      <c r="AL49" s="124"/>
      <c r="AM49" s="124"/>
      <c r="AN49" s="124"/>
      <c r="AO49" s="124"/>
      <c r="AP49" s="124"/>
      <c r="AQ49" s="124"/>
      <c r="AR49" s="124"/>
      <c r="AS49" s="124"/>
      <c r="AT49" s="124"/>
      <c r="AU49" s="124"/>
      <c r="AV49" s="124"/>
      <c r="AW49" s="124"/>
      <c r="AX49" s="332"/>
      <c r="AY49" s="332"/>
      <c r="AZ49" s="332"/>
      <c r="BA49" s="332"/>
      <c r="BB49" s="332"/>
      <c r="BC49" s="332"/>
      <c r="BD49" s="332"/>
      <c r="BE49" s="332"/>
      <c r="BF49" s="332"/>
      <c r="BG49" s="332"/>
      <c r="BH49" s="332"/>
      <c r="BI49" s="332"/>
      <c r="BJ49" s="124"/>
      <c r="BK49" s="124"/>
      <c r="BL49" s="124"/>
      <c r="BM49" s="124"/>
      <c r="BN49" s="124"/>
      <c r="BO49" s="124"/>
      <c r="BP49" s="124"/>
      <c r="BQ49" s="124"/>
      <c r="BR49" s="124"/>
      <c r="BS49" s="124"/>
      <c r="BT49" s="124"/>
      <c r="BU49" s="124"/>
      <c r="BV49" s="332"/>
      <c r="BW49" s="332"/>
      <c r="BX49" s="332"/>
      <c r="BY49" s="332"/>
      <c r="BZ49" s="332"/>
      <c r="CA49" s="332"/>
      <c r="CB49" s="332"/>
      <c r="CC49" s="332"/>
      <c r="CD49" s="332"/>
      <c r="CE49" s="332"/>
      <c r="CF49" s="332"/>
      <c r="CG49" s="332"/>
      <c r="CH49" s="112"/>
      <c r="CI49" s="302" t="e">
        <f t="shared" si="3"/>
        <v>#DIV/0!</v>
      </c>
      <c r="CJ49" s="303" t="e">
        <f>IF(CI49&gt;KKM!$G$10,"A",IF(CI49&gt;KKM!$H$10,"B",IF(CI49&gt;=KKM!$I$10,"C","D")))</f>
        <v>#DIV/0!</v>
      </c>
      <c r="CK49" s="304">
        <f t="shared" si="4"/>
        <v>0</v>
      </c>
      <c r="CL49" s="309" t="str">
        <f>IF(CK49&gt;KKM!$G$10," sangat baik ",IF(CK49&gt;KKM!$H$10," baik ",IF(CK49&gt;=KKM!$I$10," cukup baik "," perlu bimbingan ")))</f>
        <v xml:space="preserve"> perlu bimbingan </v>
      </c>
      <c r="CM49" s="305">
        <f t="shared" si="5"/>
        <v>0</v>
      </c>
      <c r="CN49" s="309" t="str">
        <f>IF(CM49&gt;KKM!$G$10," sangat baik ",IF(CM49&gt;KKM!$H$10," baik ",IF(CM49&gt;=KKM!$I$10," cukup baik "," perlu bimbingan ")))</f>
        <v xml:space="preserve"> perlu bimbingan </v>
      </c>
      <c r="CO49" s="301" t="str">
        <f t="shared" si="6"/>
        <v xml:space="preserve"> </v>
      </c>
      <c r="CP49" s="306"/>
      <c r="CQ49" s="307" t="e">
        <f t="shared" si="0"/>
        <v>#N/A</v>
      </c>
      <c r="CR49" s="307" t="e">
        <f t="shared" si="1"/>
        <v>#N/A</v>
      </c>
      <c r="CS49" s="307" t="e">
        <f t="shared" si="7"/>
        <v>#N/A</v>
      </c>
      <c r="CT49" s="307" t="e">
        <f t="shared" si="8"/>
        <v>#N/A</v>
      </c>
      <c r="CU49" s="308" t="e">
        <f t="shared" si="9"/>
        <v>#N/A</v>
      </c>
      <c r="CV49" s="301" t="e">
        <f t="shared" si="11"/>
        <v>#N/A</v>
      </c>
      <c r="CW49" s="120"/>
      <c r="DF49" s="408" t="str">
        <f t="shared" si="10"/>
        <v/>
      </c>
    </row>
    <row r="50" spans="2:110" ht="62.25" customHeight="1">
      <c r="B50" s="109">
        <v>45</v>
      </c>
      <c r="C50" s="110">
        <f>SISWA!B50</f>
        <v>0</v>
      </c>
      <c r="D50" s="111" t="str">
        <f>SISWA!E50</f>
        <v>Anak 45</v>
      </c>
      <c r="E50" s="124"/>
      <c r="F50" s="125"/>
      <c r="G50" s="125"/>
      <c r="H50" s="125"/>
      <c r="I50" s="125"/>
      <c r="J50" s="124"/>
      <c r="K50" s="124"/>
      <c r="L50" s="124"/>
      <c r="M50" s="124"/>
      <c r="N50" s="124"/>
      <c r="O50" s="124"/>
      <c r="P50" s="124"/>
      <c r="Q50" s="124"/>
      <c r="R50" s="124"/>
      <c r="S50" s="124"/>
      <c r="T50" s="124"/>
      <c r="U50" s="124"/>
      <c r="V50" s="124"/>
      <c r="W50" s="124"/>
      <c r="X50" s="124"/>
      <c r="Y50" s="124"/>
      <c r="Z50" s="332"/>
      <c r="AA50" s="332"/>
      <c r="AB50" s="332"/>
      <c r="AC50" s="332"/>
      <c r="AD50" s="332"/>
      <c r="AE50" s="332"/>
      <c r="AF50" s="332"/>
      <c r="AG50" s="332"/>
      <c r="AH50" s="332"/>
      <c r="AI50" s="332"/>
      <c r="AJ50" s="332"/>
      <c r="AK50" s="332"/>
      <c r="AL50" s="124"/>
      <c r="AM50" s="124"/>
      <c r="AN50" s="124"/>
      <c r="AO50" s="124"/>
      <c r="AP50" s="124"/>
      <c r="AQ50" s="124"/>
      <c r="AR50" s="124"/>
      <c r="AS50" s="124"/>
      <c r="AT50" s="124"/>
      <c r="AU50" s="124"/>
      <c r="AV50" s="124"/>
      <c r="AW50" s="124"/>
      <c r="AX50" s="332"/>
      <c r="AY50" s="332"/>
      <c r="AZ50" s="332"/>
      <c r="BA50" s="332"/>
      <c r="BB50" s="332"/>
      <c r="BC50" s="332"/>
      <c r="BD50" s="332"/>
      <c r="BE50" s="332"/>
      <c r="BF50" s="332"/>
      <c r="BG50" s="332"/>
      <c r="BH50" s="332"/>
      <c r="BI50" s="332"/>
      <c r="BJ50" s="124"/>
      <c r="BK50" s="124"/>
      <c r="BL50" s="124"/>
      <c r="BM50" s="124"/>
      <c r="BN50" s="124"/>
      <c r="BO50" s="124"/>
      <c r="BP50" s="124"/>
      <c r="BQ50" s="124"/>
      <c r="BR50" s="124"/>
      <c r="BS50" s="124"/>
      <c r="BT50" s="124"/>
      <c r="BU50" s="124"/>
      <c r="BV50" s="332"/>
      <c r="BW50" s="332"/>
      <c r="BX50" s="332"/>
      <c r="BY50" s="332"/>
      <c r="BZ50" s="332"/>
      <c r="CA50" s="332"/>
      <c r="CB50" s="332"/>
      <c r="CC50" s="332"/>
      <c r="CD50" s="332"/>
      <c r="CE50" s="332"/>
      <c r="CF50" s="332"/>
      <c r="CG50" s="332"/>
      <c r="CH50" s="112"/>
      <c r="CI50" s="302" t="e">
        <f t="shared" si="3"/>
        <v>#DIV/0!</v>
      </c>
      <c r="CJ50" s="303" t="e">
        <f>IF(CI50&gt;KKM!$G$10,"A",IF(CI50&gt;KKM!$H$10,"B",IF(CI50&gt;=KKM!$I$10,"C","D")))</f>
        <v>#DIV/0!</v>
      </c>
      <c r="CK50" s="304">
        <f t="shared" si="4"/>
        <v>0</v>
      </c>
      <c r="CL50" s="309" t="str">
        <f>IF(CK50&gt;KKM!$G$10," sangat baik ",IF(CK50&gt;KKM!$H$10," baik ",IF(CK50&gt;=KKM!$I$10," cukup baik "," perlu bimbingan ")))</f>
        <v xml:space="preserve"> perlu bimbingan </v>
      </c>
      <c r="CM50" s="305">
        <f t="shared" si="5"/>
        <v>0</v>
      </c>
      <c r="CN50" s="309" t="str">
        <f>IF(CM50&gt;KKM!$G$10," sangat baik ",IF(CM50&gt;KKM!$H$10," baik ",IF(CM50&gt;=KKM!$I$10," cukup baik "," perlu bimbingan ")))</f>
        <v xml:space="preserve"> perlu bimbingan </v>
      </c>
      <c r="CO50" s="301" t="str">
        <f t="shared" si="6"/>
        <v xml:space="preserve"> </v>
      </c>
      <c r="CP50" s="306"/>
      <c r="CQ50" s="307" t="e">
        <f t="shared" si="0"/>
        <v>#N/A</v>
      </c>
      <c r="CR50" s="307" t="e">
        <f t="shared" si="1"/>
        <v>#N/A</v>
      </c>
      <c r="CS50" s="307" t="e">
        <f t="shared" si="7"/>
        <v>#N/A</v>
      </c>
      <c r="CT50" s="307" t="e">
        <f t="shared" si="8"/>
        <v>#N/A</v>
      </c>
      <c r="CU50" s="308" t="e">
        <f t="shared" si="9"/>
        <v>#N/A</v>
      </c>
      <c r="CV50" s="301" t="e">
        <f t="shared" si="11"/>
        <v>#N/A</v>
      </c>
      <c r="CW50" s="120"/>
      <c r="DF50" s="408" t="str">
        <f t="shared" si="10"/>
        <v/>
      </c>
    </row>
    <row r="51" spans="2:110" ht="62.25" customHeight="1">
      <c r="B51" s="109">
        <v>46</v>
      </c>
      <c r="C51" s="110">
        <f>SISWA!B51</f>
        <v>0</v>
      </c>
      <c r="D51" s="111" t="str">
        <f>SISWA!E51</f>
        <v>Anak 46</v>
      </c>
      <c r="E51" s="124"/>
      <c r="F51" s="125"/>
      <c r="G51" s="125"/>
      <c r="H51" s="125"/>
      <c r="I51" s="125"/>
      <c r="J51" s="124"/>
      <c r="K51" s="124"/>
      <c r="L51" s="124"/>
      <c r="M51" s="124"/>
      <c r="N51" s="124"/>
      <c r="O51" s="124"/>
      <c r="P51" s="124"/>
      <c r="Q51" s="124"/>
      <c r="R51" s="124"/>
      <c r="S51" s="124"/>
      <c r="T51" s="124"/>
      <c r="U51" s="124"/>
      <c r="V51" s="124"/>
      <c r="W51" s="124"/>
      <c r="X51" s="124"/>
      <c r="Y51" s="124"/>
      <c r="Z51" s="332"/>
      <c r="AA51" s="332"/>
      <c r="AB51" s="332"/>
      <c r="AC51" s="332"/>
      <c r="AD51" s="332"/>
      <c r="AE51" s="332"/>
      <c r="AF51" s="332"/>
      <c r="AG51" s="332"/>
      <c r="AH51" s="332"/>
      <c r="AI51" s="332"/>
      <c r="AJ51" s="332"/>
      <c r="AK51" s="332"/>
      <c r="AL51" s="124"/>
      <c r="AM51" s="124"/>
      <c r="AN51" s="124"/>
      <c r="AO51" s="124"/>
      <c r="AP51" s="124"/>
      <c r="AQ51" s="124"/>
      <c r="AR51" s="124"/>
      <c r="AS51" s="124"/>
      <c r="AT51" s="124"/>
      <c r="AU51" s="124"/>
      <c r="AV51" s="124"/>
      <c r="AW51" s="124"/>
      <c r="AX51" s="332"/>
      <c r="AY51" s="332"/>
      <c r="AZ51" s="332"/>
      <c r="BA51" s="332"/>
      <c r="BB51" s="332"/>
      <c r="BC51" s="332"/>
      <c r="BD51" s="332"/>
      <c r="BE51" s="332"/>
      <c r="BF51" s="332"/>
      <c r="BG51" s="332"/>
      <c r="BH51" s="332"/>
      <c r="BI51" s="332"/>
      <c r="BJ51" s="124"/>
      <c r="BK51" s="124"/>
      <c r="BL51" s="124"/>
      <c r="BM51" s="124"/>
      <c r="BN51" s="124"/>
      <c r="BO51" s="124"/>
      <c r="BP51" s="124"/>
      <c r="BQ51" s="124"/>
      <c r="BR51" s="124"/>
      <c r="BS51" s="124"/>
      <c r="BT51" s="124"/>
      <c r="BU51" s="124"/>
      <c r="BV51" s="332"/>
      <c r="BW51" s="332"/>
      <c r="BX51" s="332"/>
      <c r="BY51" s="332"/>
      <c r="BZ51" s="332"/>
      <c r="CA51" s="332"/>
      <c r="CB51" s="332"/>
      <c r="CC51" s="332"/>
      <c r="CD51" s="332"/>
      <c r="CE51" s="332"/>
      <c r="CF51" s="332"/>
      <c r="CG51" s="332"/>
      <c r="CH51" s="112"/>
      <c r="CI51" s="302" t="e">
        <f t="shared" si="3"/>
        <v>#DIV/0!</v>
      </c>
      <c r="CJ51" s="303" t="e">
        <f>IF(CI51&gt;KKM!$G$10,"A",IF(CI51&gt;KKM!$H$10,"B",IF(CI51&gt;=KKM!$I$10,"C","D")))</f>
        <v>#DIV/0!</v>
      </c>
      <c r="CK51" s="304">
        <f t="shared" si="4"/>
        <v>0</v>
      </c>
      <c r="CL51" s="309" t="str">
        <f>IF(CK51&gt;KKM!$G$10," sangat baik ",IF(CK51&gt;KKM!$H$10," baik ",IF(CK51&gt;=KKM!$I$10," cukup baik "," perlu bimbingan ")))</f>
        <v xml:space="preserve"> perlu bimbingan </v>
      </c>
      <c r="CM51" s="305">
        <f t="shared" si="5"/>
        <v>0</v>
      </c>
      <c r="CN51" s="309" t="str">
        <f>IF(CM51&gt;KKM!$G$10," sangat baik ",IF(CM51&gt;KKM!$H$10," baik ",IF(CM51&gt;=KKM!$I$10," cukup baik "," perlu bimbingan ")))</f>
        <v xml:space="preserve"> perlu bimbingan </v>
      </c>
      <c r="CO51" s="301" t="str">
        <f t="shared" si="6"/>
        <v xml:space="preserve"> </v>
      </c>
      <c r="CP51" s="306"/>
      <c r="CQ51" s="307" t="e">
        <f t="shared" si="0"/>
        <v>#N/A</v>
      </c>
      <c r="CR51" s="307" t="e">
        <f t="shared" si="1"/>
        <v>#N/A</v>
      </c>
      <c r="CS51" s="307" t="e">
        <f t="shared" si="7"/>
        <v>#N/A</v>
      </c>
      <c r="CT51" s="307" t="e">
        <f t="shared" si="8"/>
        <v>#N/A</v>
      </c>
      <c r="CU51" s="308" t="e">
        <f t="shared" si="9"/>
        <v>#N/A</v>
      </c>
      <c r="CV51" s="301" t="e">
        <f t="shared" si="11"/>
        <v>#N/A</v>
      </c>
      <c r="CW51" s="120"/>
      <c r="DF51" s="408" t="str">
        <f t="shared" si="10"/>
        <v/>
      </c>
    </row>
    <row r="52" spans="2:110" ht="62.25" customHeight="1">
      <c r="B52" s="109">
        <v>47</v>
      </c>
      <c r="C52" s="110">
        <f>SISWA!B52</f>
        <v>0</v>
      </c>
      <c r="D52" s="111" t="str">
        <f>SISWA!E52</f>
        <v>Anak 47</v>
      </c>
      <c r="E52" s="124"/>
      <c r="F52" s="125"/>
      <c r="G52" s="125"/>
      <c r="H52" s="125"/>
      <c r="I52" s="125"/>
      <c r="J52" s="124"/>
      <c r="K52" s="124"/>
      <c r="L52" s="124"/>
      <c r="M52" s="124"/>
      <c r="N52" s="124"/>
      <c r="O52" s="124"/>
      <c r="P52" s="124"/>
      <c r="Q52" s="124"/>
      <c r="R52" s="124"/>
      <c r="S52" s="124"/>
      <c r="T52" s="124"/>
      <c r="U52" s="124"/>
      <c r="V52" s="124"/>
      <c r="W52" s="124"/>
      <c r="X52" s="124"/>
      <c r="Y52" s="124"/>
      <c r="Z52" s="332"/>
      <c r="AA52" s="332"/>
      <c r="AB52" s="332"/>
      <c r="AC52" s="332"/>
      <c r="AD52" s="332"/>
      <c r="AE52" s="332"/>
      <c r="AF52" s="332"/>
      <c r="AG52" s="332"/>
      <c r="AH52" s="332"/>
      <c r="AI52" s="332"/>
      <c r="AJ52" s="332"/>
      <c r="AK52" s="332"/>
      <c r="AL52" s="124"/>
      <c r="AM52" s="124"/>
      <c r="AN52" s="124"/>
      <c r="AO52" s="124"/>
      <c r="AP52" s="124"/>
      <c r="AQ52" s="124"/>
      <c r="AR52" s="124"/>
      <c r="AS52" s="124"/>
      <c r="AT52" s="124"/>
      <c r="AU52" s="124"/>
      <c r="AV52" s="124"/>
      <c r="AW52" s="124"/>
      <c r="AX52" s="332"/>
      <c r="AY52" s="332"/>
      <c r="AZ52" s="332"/>
      <c r="BA52" s="332"/>
      <c r="BB52" s="332"/>
      <c r="BC52" s="332"/>
      <c r="BD52" s="332"/>
      <c r="BE52" s="332"/>
      <c r="BF52" s="332"/>
      <c r="BG52" s="332"/>
      <c r="BH52" s="332"/>
      <c r="BI52" s="332"/>
      <c r="BJ52" s="124"/>
      <c r="BK52" s="124"/>
      <c r="BL52" s="124"/>
      <c r="BM52" s="124"/>
      <c r="BN52" s="124"/>
      <c r="BO52" s="124"/>
      <c r="BP52" s="124"/>
      <c r="BQ52" s="124"/>
      <c r="BR52" s="124"/>
      <c r="BS52" s="124"/>
      <c r="BT52" s="124"/>
      <c r="BU52" s="124"/>
      <c r="BV52" s="332"/>
      <c r="BW52" s="332"/>
      <c r="BX52" s="332"/>
      <c r="BY52" s="332"/>
      <c r="BZ52" s="332"/>
      <c r="CA52" s="332"/>
      <c r="CB52" s="332"/>
      <c r="CC52" s="332"/>
      <c r="CD52" s="332"/>
      <c r="CE52" s="332"/>
      <c r="CF52" s="332"/>
      <c r="CG52" s="332"/>
      <c r="CH52" s="112"/>
      <c r="CI52" s="302" t="e">
        <f t="shared" si="3"/>
        <v>#DIV/0!</v>
      </c>
      <c r="CJ52" s="303" t="e">
        <f>IF(CI52&gt;KKM!$G$10,"A",IF(CI52&gt;KKM!$H$10,"B",IF(CI52&gt;=KKM!$I$10,"C","D")))</f>
        <v>#DIV/0!</v>
      </c>
      <c r="CK52" s="304">
        <f t="shared" si="4"/>
        <v>0</v>
      </c>
      <c r="CL52" s="309" t="str">
        <f>IF(CK52&gt;KKM!$G$10," sangat baik ",IF(CK52&gt;KKM!$H$10," baik ",IF(CK52&gt;=KKM!$I$10," cukup baik "," perlu bimbingan ")))</f>
        <v xml:space="preserve"> perlu bimbingan </v>
      </c>
      <c r="CM52" s="305">
        <f t="shared" si="5"/>
        <v>0</v>
      </c>
      <c r="CN52" s="309" t="str">
        <f>IF(CM52&gt;KKM!$G$10," sangat baik ",IF(CM52&gt;KKM!$H$10," baik ",IF(CM52&gt;=KKM!$I$10," cukup baik "," perlu bimbingan ")))</f>
        <v xml:space="preserve"> perlu bimbingan </v>
      </c>
      <c r="CO52" s="301" t="str">
        <f t="shared" si="6"/>
        <v xml:space="preserve"> </v>
      </c>
      <c r="CP52" s="306"/>
      <c r="CQ52" s="307" t="e">
        <f t="shared" si="0"/>
        <v>#N/A</v>
      </c>
      <c r="CR52" s="307" t="e">
        <f t="shared" si="1"/>
        <v>#N/A</v>
      </c>
      <c r="CS52" s="307" t="e">
        <f t="shared" si="7"/>
        <v>#N/A</v>
      </c>
      <c r="CT52" s="307" t="e">
        <f t="shared" si="8"/>
        <v>#N/A</v>
      </c>
      <c r="CU52" s="308" t="e">
        <f t="shared" si="9"/>
        <v>#N/A</v>
      </c>
      <c r="CV52" s="301" t="e">
        <f t="shared" si="11"/>
        <v>#N/A</v>
      </c>
      <c r="CW52" s="120"/>
      <c r="DF52" s="408" t="str">
        <f t="shared" si="10"/>
        <v/>
      </c>
    </row>
    <row r="53" spans="2:110" ht="62.25" customHeight="1">
      <c r="B53" s="109">
        <v>48</v>
      </c>
      <c r="C53" s="110">
        <f>SISWA!B53</f>
        <v>0</v>
      </c>
      <c r="D53" s="111" t="str">
        <f>SISWA!E53</f>
        <v>Anak 48</v>
      </c>
      <c r="E53" s="124"/>
      <c r="F53" s="125"/>
      <c r="G53" s="125"/>
      <c r="H53" s="125"/>
      <c r="I53" s="125"/>
      <c r="J53" s="124"/>
      <c r="K53" s="124"/>
      <c r="L53" s="124"/>
      <c r="M53" s="124"/>
      <c r="N53" s="124"/>
      <c r="O53" s="124"/>
      <c r="P53" s="124"/>
      <c r="Q53" s="124"/>
      <c r="R53" s="124"/>
      <c r="S53" s="124"/>
      <c r="T53" s="124"/>
      <c r="U53" s="124"/>
      <c r="V53" s="124"/>
      <c r="W53" s="124"/>
      <c r="X53" s="124"/>
      <c r="Y53" s="124"/>
      <c r="Z53" s="332"/>
      <c r="AA53" s="332"/>
      <c r="AB53" s="332"/>
      <c r="AC53" s="332"/>
      <c r="AD53" s="332"/>
      <c r="AE53" s="332"/>
      <c r="AF53" s="332"/>
      <c r="AG53" s="332"/>
      <c r="AH53" s="332"/>
      <c r="AI53" s="332"/>
      <c r="AJ53" s="332"/>
      <c r="AK53" s="332"/>
      <c r="AL53" s="124"/>
      <c r="AM53" s="124"/>
      <c r="AN53" s="124"/>
      <c r="AO53" s="124"/>
      <c r="AP53" s="124"/>
      <c r="AQ53" s="124"/>
      <c r="AR53" s="124"/>
      <c r="AS53" s="124"/>
      <c r="AT53" s="124"/>
      <c r="AU53" s="124"/>
      <c r="AV53" s="124"/>
      <c r="AW53" s="124"/>
      <c r="AX53" s="332"/>
      <c r="AY53" s="332"/>
      <c r="AZ53" s="332"/>
      <c r="BA53" s="332"/>
      <c r="BB53" s="332"/>
      <c r="BC53" s="332"/>
      <c r="BD53" s="332"/>
      <c r="BE53" s="332"/>
      <c r="BF53" s="332"/>
      <c r="BG53" s="332"/>
      <c r="BH53" s="332"/>
      <c r="BI53" s="332"/>
      <c r="BJ53" s="124"/>
      <c r="BK53" s="124"/>
      <c r="BL53" s="124"/>
      <c r="BM53" s="124"/>
      <c r="BN53" s="124"/>
      <c r="BO53" s="124"/>
      <c r="BP53" s="124"/>
      <c r="BQ53" s="124"/>
      <c r="BR53" s="124"/>
      <c r="BS53" s="124"/>
      <c r="BT53" s="124"/>
      <c r="BU53" s="124"/>
      <c r="BV53" s="332"/>
      <c r="BW53" s="332"/>
      <c r="BX53" s="332"/>
      <c r="BY53" s="332"/>
      <c r="BZ53" s="332"/>
      <c r="CA53" s="332"/>
      <c r="CB53" s="332"/>
      <c r="CC53" s="332"/>
      <c r="CD53" s="332"/>
      <c r="CE53" s="332"/>
      <c r="CF53" s="332"/>
      <c r="CG53" s="332"/>
      <c r="CH53" s="112"/>
      <c r="CI53" s="302" t="e">
        <f t="shared" si="3"/>
        <v>#DIV/0!</v>
      </c>
      <c r="CJ53" s="303" t="e">
        <f>IF(CI53&gt;KKM!$G$10,"A",IF(CI53&gt;KKM!$H$10,"B",IF(CI53&gt;=KKM!$I$10,"C","D")))</f>
        <v>#DIV/0!</v>
      </c>
      <c r="CK53" s="304">
        <f t="shared" si="4"/>
        <v>0</v>
      </c>
      <c r="CL53" s="309" t="str">
        <f>IF(CK53&gt;KKM!$G$10," sangat baik ",IF(CK53&gt;KKM!$H$10," baik ",IF(CK53&gt;=KKM!$I$10," cukup baik "," perlu bimbingan ")))</f>
        <v xml:space="preserve"> perlu bimbingan </v>
      </c>
      <c r="CM53" s="305">
        <f t="shared" si="5"/>
        <v>0</v>
      </c>
      <c r="CN53" s="309" t="str">
        <f>IF(CM53&gt;KKM!$G$10," sangat baik ",IF(CM53&gt;KKM!$H$10," baik ",IF(CM53&gt;=KKM!$I$10," cukup baik "," perlu bimbingan ")))</f>
        <v xml:space="preserve"> perlu bimbingan </v>
      </c>
      <c r="CO53" s="301" t="str">
        <f t="shared" si="6"/>
        <v xml:space="preserve"> </v>
      </c>
      <c r="CP53" s="306"/>
      <c r="CQ53" s="307" t="e">
        <f t="shared" si="0"/>
        <v>#N/A</v>
      </c>
      <c r="CR53" s="307" t="e">
        <f t="shared" si="1"/>
        <v>#N/A</v>
      </c>
      <c r="CS53" s="307" t="e">
        <f t="shared" si="7"/>
        <v>#N/A</v>
      </c>
      <c r="CT53" s="307" t="e">
        <f t="shared" si="8"/>
        <v>#N/A</v>
      </c>
      <c r="CU53" s="308" t="e">
        <f t="shared" si="9"/>
        <v>#N/A</v>
      </c>
      <c r="CV53" s="301" t="e">
        <f t="shared" si="11"/>
        <v>#N/A</v>
      </c>
      <c r="CW53" s="120"/>
      <c r="DF53" s="408" t="str">
        <f t="shared" si="10"/>
        <v/>
      </c>
    </row>
    <row r="54" spans="2:110" ht="62.25" customHeight="1">
      <c r="B54" s="109">
        <v>49</v>
      </c>
      <c r="C54" s="110">
        <f>SISWA!B54</f>
        <v>0</v>
      </c>
      <c r="D54" s="111" t="str">
        <f>SISWA!E54</f>
        <v>Anak 49</v>
      </c>
      <c r="E54" s="124"/>
      <c r="F54" s="125"/>
      <c r="G54" s="125"/>
      <c r="H54" s="125"/>
      <c r="I54" s="125"/>
      <c r="J54" s="124"/>
      <c r="K54" s="124"/>
      <c r="L54" s="124"/>
      <c r="M54" s="124"/>
      <c r="N54" s="124"/>
      <c r="O54" s="124"/>
      <c r="P54" s="124"/>
      <c r="Q54" s="124"/>
      <c r="R54" s="124"/>
      <c r="S54" s="124"/>
      <c r="T54" s="124"/>
      <c r="U54" s="124"/>
      <c r="V54" s="124"/>
      <c r="W54" s="124"/>
      <c r="X54" s="124"/>
      <c r="Y54" s="124"/>
      <c r="Z54" s="332"/>
      <c r="AA54" s="332"/>
      <c r="AB54" s="332"/>
      <c r="AC54" s="332"/>
      <c r="AD54" s="332"/>
      <c r="AE54" s="332"/>
      <c r="AF54" s="332"/>
      <c r="AG54" s="332"/>
      <c r="AH54" s="332"/>
      <c r="AI54" s="332"/>
      <c r="AJ54" s="332"/>
      <c r="AK54" s="332"/>
      <c r="AL54" s="124"/>
      <c r="AM54" s="124"/>
      <c r="AN54" s="124"/>
      <c r="AO54" s="124"/>
      <c r="AP54" s="124"/>
      <c r="AQ54" s="124"/>
      <c r="AR54" s="124"/>
      <c r="AS54" s="124"/>
      <c r="AT54" s="124"/>
      <c r="AU54" s="124"/>
      <c r="AV54" s="124"/>
      <c r="AW54" s="124"/>
      <c r="AX54" s="332"/>
      <c r="AY54" s="332"/>
      <c r="AZ54" s="332"/>
      <c r="BA54" s="332"/>
      <c r="BB54" s="332"/>
      <c r="BC54" s="332"/>
      <c r="BD54" s="332"/>
      <c r="BE54" s="332"/>
      <c r="BF54" s="332"/>
      <c r="BG54" s="332"/>
      <c r="BH54" s="332"/>
      <c r="BI54" s="332"/>
      <c r="BJ54" s="124"/>
      <c r="BK54" s="124"/>
      <c r="BL54" s="124"/>
      <c r="BM54" s="124"/>
      <c r="BN54" s="124"/>
      <c r="BO54" s="124"/>
      <c r="BP54" s="124"/>
      <c r="BQ54" s="124"/>
      <c r="BR54" s="124"/>
      <c r="BS54" s="124"/>
      <c r="BT54" s="124"/>
      <c r="BU54" s="124"/>
      <c r="BV54" s="332"/>
      <c r="BW54" s="332"/>
      <c r="BX54" s="332"/>
      <c r="BY54" s="332"/>
      <c r="BZ54" s="332"/>
      <c r="CA54" s="332"/>
      <c r="CB54" s="332"/>
      <c r="CC54" s="332"/>
      <c r="CD54" s="332"/>
      <c r="CE54" s="332"/>
      <c r="CF54" s="332"/>
      <c r="CG54" s="332"/>
      <c r="CH54" s="112"/>
      <c r="CI54" s="302" t="e">
        <f t="shared" si="3"/>
        <v>#DIV/0!</v>
      </c>
      <c r="CJ54" s="303" t="e">
        <f>IF(CI54&gt;KKM!$G$10,"A",IF(CI54&gt;KKM!$H$10,"B",IF(CI54&gt;=KKM!$I$10,"C","D")))</f>
        <v>#DIV/0!</v>
      </c>
      <c r="CK54" s="304">
        <f t="shared" si="4"/>
        <v>0</v>
      </c>
      <c r="CL54" s="309" t="str">
        <f>IF(CK54&gt;KKM!$G$10," sangat baik ",IF(CK54&gt;KKM!$H$10," baik ",IF(CK54&gt;=KKM!$I$10," cukup baik "," perlu bimbingan ")))</f>
        <v xml:space="preserve"> perlu bimbingan </v>
      </c>
      <c r="CM54" s="305">
        <f t="shared" si="5"/>
        <v>0</v>
      </c>
      <c r="CN54" s="309" t="str">
        <f>IF(CM54&gt;KKM!$G$10," sangat baik ",IF(CM54&gt;KKM!$H$10," baik ",IF(CM54&gt;=KKM!$I$10," cukup baik "," perlu bimbingan ")))</f>
        <v xml:space="preserve"> perlu bimbingan </v>
      </c>
      <c r="CO54" s="301" t="str">
        <f t="shared" si="6"/>
        <v xml:space="preserve"> </v>
      </c>
      <c r="CP54" s="306"/>
      <c r="CQ54" s="307" t="e">
        <f t="shared" si="0"/>
        <v>#N/A</v>
      </c>
      <c r="CR54" s="307" t="e">
        <f t="shared" si="1"/>
        <v>#N/A</v>
      </c>
      <c r="CS54" s="307" t="e">
        <f t="shared" si="7"/>
        <v>#N/A</v>
      </c>
      <c r="CT54" s="307" t="e">
        <f t="shared" si="8"/>
        <v>#N/A</v>
      </c>
      <c r="CU54" s="308" t="e">
        <f t="shared" si="9"/>
        <v>#N/A</v>
      </c>
      <c r="CV54" s="301" t="e">
        <f t="shared" si="11"/>
        <v>#N/A</v>
      </c>
      <c r="CW54" s="120"/>
      <c r="DF54" s="408" t="str">
        <f t="shared" si="10"/>
        <v/>
      </c>
    </row>
    <row r="55" spans="2:110" ht="62.25" customHeight="1">
      <c r="B55" s="109">
        <v>50</v>
      </c>
      <c r="C55" s="110">
        <f>SISWA!B55</f>
        <v>0</v>
      </c>
      <c r="D55" s="111" t="str">
        <f>SISWA!E55</f>
        <v>Anak 50</v>
      </c>
      <c r="E55" s="124"/>
      <c r="F55" s="125"/>
      <c r="G55" s="125"/>
      <c r="H55" s="125"/>
      <c r="I55" s="125"/>
      <c r="J55" s="124"/>
      <c r="K55" s="124"/>
      <c r="L55" s="124"/>
      <c r="M55" s="124"/>
      <c r="N55" s="124"/>
      <c r="O55" s="124"/>
      <c r="P55" s="124"/>
      <c r="Q55" s="124"/>
      <c r="R55" s="124"/>
      <c r="S55" s="124"/>
      <c r="T55" s="124"/>
      <c r="U55" s="124"/>
      <c r="V55" s="124"/>
      <c r="W55" s="124"/>
      <c r="X55" s="124"/>
      <c r="Y55" s="124"/>
      <c r="Z55" s="332"/>
      <c r="AA55" s="332"/>
      <c r="AB55" s="332"/>
      <c r="AC55" s="332"/>
      <c r="AD55" s="332"/>
      <c r="AE55" s="332"/>
      <c r="AF55" s="332"/>
      <c r="AG55" s="332"/>
      <c r="AH55" s="332"/>
      <c r="AI55" s="332"/>
      <c r="AJ55" s="332"/>
      <c r="AK55" s="332"/>
      <c r="AL55" s="124"/>
      <c r="AM55" s="124"/>
      <c r="AN55" s="124"/>
      <c r="AO55" s="124"/>
      <c r="AP55" s="124"/>
      <c r="AQ55" s="124"/>
      <c r="AR55" s="124"/>
      <c r="AS55" s="124"/>
      <c r="AT55" s="124"/>
      <c r="AU55" s="124"/>
      <c r="AV55" s="124"/>
      <c r="AW55" s="124"/>
      <c r="AX55" s="332"/>
      <c r="AY55" s="332"/>
      <c r="AZ55" s="332"/>
      <c r="BA55" s="332"/>
      <c r="BB55" s="332"/>
      <c r="BC55" s="332"/>
      <c r="BD55" s="332"/>
      <c r="BE55" s="332"/>
      <c r="BF55" s="332"/>
      <c r="BG55" s="332"/>
      <c r="BH55" s="332"/>
      <c r="BI55" s="332"/>
      <c r="BJ55" s="124"/>
      <c r="BK55" s="124"/>
      <c r="BL55" s="124"/>
      <c r="BM55" s="124"/>
      <c r="BN55" s="124"/>
      <c r="BO55" s="124"/>
      <c r="BP55" s="124"/>
      <c r="BQ55" s="124"/>
      <c r="BR55" s="124"/>
      <c r="BS55" s="124"/>
      <c r="BT55" s="124"/>
      <c r="BU55" s="124"/>
      <c r="BV55" s="332"/>
      <c r="BW55" s="332"/>
      <c r="BX55" s="332"/>
      <c r="BY55" s="332"/>
      <c r="BZ55" s="332"/>
      <c r="CA55" s="332"/>
      <c r="CB55" s="332"/>
      <c r="CC55" s="332"/>
      <c r="CD55" s="332"/>
      <c r="CE55" s="332"/>
      <c r="CF55" s="332"/>
      <c r="CG55" s="332"/>
      <c r="CH55" s="112"/>
      <c r="CI55" s="302" t="e">
        <f t="shared" si="3"/>
        <v>#DIV/0!</v>
      </c>
      <c r="CJ55" s="303" t="e">
        <f>IF(CI55&gt;KKM!$G$10,"A",IF(CI55&gt;KKM!$H$10,"B",IF(CI55&gt;=KKM!$I$10,"C","D")))</f>
        <v>#DIV/0!</v>
      </c>
      <c r="CK55" s="304">
        <f t="shared" si="4"/>
        <v>0</v>
      </c>
      <c r="CL55" s="309" t="str">
        <f>IF(CK55&gt;KKM!$G$10," sangat baik ",IF(CK55&gt;KKM!$H$10," baik ",IF(CK55&gt;=KKM!$I$10," cukup baik "," perlu bimbingan ")))</f>
        <v xml:space="preserve"> perlu bimbingan </v>
      </c>
      <c r="CM55" s="305">
        <f t="shared" si="5"/>
        <v>0</v>
      </c>
      <c r="CN55" s="309" t="str">
        <f>IF(CM55&gt;KKM!$G$10," sangat baik ",IF(CM55&gt;KKM!$H$10," baik ",IF(CM55&gt;=KKM!$I$10," cukup baik "," perlu bimbingan ")))</f>
        <v xml:space="preserve"> perlu bimbingan </v>
      </c>
      <c r="CO55" s="301" t="str">
        <f t="shared" si="6"/>
        <v xml:space="preserve"> </v>
      </c>
      <c r="CP55" s="306"/>
      <c r="CQ55" s="307" t="e">
        <f t="shared" si="0"/>
        <v>#N/A</v>
      </c>
      <c r="CR55" s="307" t="e">
        <f t="shared" si="1"/>
        <v>#N/A</v>
      </c>
      <c r="CS55" s="307" t="e">
        <f t="shared" si="7"/>
        <v>#N/A</v>
      </c>
      <c r="CT55" s="307" t="e">
        <f t="shared" si="8"/>
        <v>#N/A</v>
      </c>
      <c r="CU55" s="308" t="e">
        <f t="shared" si="9"/>
        <v>#N/A</v>
      </c>
      <c r="CV55" s="301" t="e">
        <f t="shared" si="11"/>
        <v>#N/A</v>
      </c>
      <c r="CW55" s="120"/>
      <c r="DF55" s="408" t="str">
        <f t="shared" si="10"/>
        <v/>
      </c>
    </row>
    <row r="56" spans="2:110" ht="15.75">
      <c r="B56" s="121"/>
      <c r="C56" s="121"/>
      <c r="D56" s="121"/>
      <c r="E56" s="124"/>
      <c r="F56" s="125"/>
      <c r="G56" s="125"/>
      <c r="H56" s="125"/>
      <c r="I56" s="125"/>
      <c r="J56" s="124"/>
      <c r="K56" s="124"/>
      <c r="L56" s="124"/>
      <c r="M56" s="124"/>
      <c r="N56" s="124"/>
      <c r="O56" s="124"/>
      <c r="P56" s="124"/>
      <c r="Q56" s="124"/>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4"/>
      <c r="AR56" s="124"/>
      <c r="AS56" s="124"/>
      <c r="AT56" s="124"/>
      <c r="AU56" s="124"/>
      <c r="AV56" s="124"/>
      <c r="AW56" s="124"/>
      <c r="AX56" s="124"/>
      <c r="AY56" s="124"/>
      <c r="AZ56" s="124"/>
      <c r="BA56" s="124"/>
      <c r="BB56" s="124"/>
      <c r="BC56" s="124"/>
      <c r="BD56" s="124"/>
      <c r="BE56" s="124"/>
      <c r="BF56" s="124"/>
      <c r="BG56" s="124"/>
      <c r="BH56" s="124"/>
      <c r="BI56" s="124"/>
      <c r="BJ56" s="124"/>
      <c r="BK56" s="124"/>
      <c r="BL56" s="124"/>
      <c r="BM56" s="124"/>
      <c r="BN56" s="124"/>
      <c r="BO56" s="124"/>
      <c r="BP56" s="124"/>
      <c r="BQ56" s="124"/>
      <c r="BR56" s="124"/>
      <c r="BS56" s="124"/>
      <c r="BT56" s="124"/>
      <c r="BU56" s="124"/>
      <c r="BV56" s="124"/>
      <c r="BW56" s="124"/>
      <c r="BX56" s="124"/>
      <c r="BY56" s="124"/>
      <c r="BZ56" s="124"/>
      <c r="CA56" s="124"/>
      <c r="CB56" s="124"/>
      <c r="CC56" s="124"/>
      <c r="CD56" s="124"/>
      <c r="CE56" s="124"/>
      <c r="CF56" s="124"/>
      <c r="CG56" s="124"/>
      <c r="CH56" s="112"/>
      <c r="CI56" s="114"/>
      <c r="CJ56" s="115"/>
      <c r="CK56" s="116"/>
      <c r="CL56" s="367"/>
      <c r="CM56" s="116"/>
      <c r="CN56" s="367"/>
      <c r="CO56" s="117"/>
      <c r="CP56" s="118"/>
      <c r="CQ56" s="119"/>
      <c r="CR56" s="122"/>
      <c r="CS56" s="122"/>
      <c r="CT56" s="122"/>
      <c r="CU56" s="122"/>
      <c r="CV56" s="122"/>
      <c r="CW56" s="120"/>
    </row>
  </sheetData>
  <sheetProtection algorithmName="SHA-512" hashValue="IwNAvEXys0H/wxOhRh6z1GM1ML+xLGPlyICh5brDVTXo6dMsAQ7E8kEsUBS35n8vpUUv/Jv53JaHCU/bTZYLGQ==" saltValue="RpiT+QzWK7yhPEBd38H7ew==" spinCount="100000" sheet="1" objects="1" scenarios="1"/>
  <mergeCells count="16">
    <mergeCell ref="CJ2:CJ5"/>
    <mergeCell ref="CK2:CN2"/>
    <mergeCell ref="CO2:CO5"/>
    <mergeCell ref="CK4:CL4"/>
    <mergeCell ref="CM4:CN4"/>
    <mergeCell ref="B2:B5"/>
    <mergeCell ref="C2:C5"/>
    <mergeCell ref="D2:D5"/>
    <mergeCell ref="E2:CH2"/>
    <mergeCell ref="CI2:CI5"/>
    <mergeCell ref="E3:Y3"/>
    <mergeCell ref="Z3:AK3"/>
    <mergeCell ref="AL3:AW3"/>
    <mergeCell ref="AX3:BI3"/>
    <mergeCell ref="BJ3:BU3"/>
    <mergeCell ref="BV3:CG3"/>
  </mergeCell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J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135" customWidth="1"/>
    <col min="2" max="2" width="4.42578125" style="104" customWidth="1"/>
    <col min="3" max="3" width="6.42578125" style="104" customWidth="1"/>
    <col min="4" max="4" width="28.7109375" style="104" customWidth="1"/>
    <col min="5" max="13" width="7.5703125" style="104" customWidth="1"/>
    <col min="14" max="18" width="6" style="104" customWidth="1"/>
    <col min="19" max="29" width="6" style="104" hidden="1" customWidth="1"/>
    <col min="30" max="32" width="6" style="104" customWidth="1"/>
    <col min="33" max="33" width="12.7109375" style="104" customWidth="1"/>
    <col min="34" max="34" width="6" style="104" customWidth="1"/>
    <col min="35" max="35" width="13.7109375" style="104" customWidth="1"/>
    <col min="36" max="36" width="107.140625" style="104" customWidth="1"/>
    <col min="37" max="37" width="34.7109375" style="104" customWidth="1"/>
    <col min="38" max="38" width="5" style="104" hidden="1" customWidth="1"/>
    <col min="39" max="39" width="4.7109375" style="104" hidden="1" customWidth="1"/>
    <col min="40" max="40" width="5.140625" style="104" hidden="1" customWidth="1"/>
    <col min="41" max="46" width="5" style="104" hidden="1" customWidth="1"/>
    <col min="47" max="47" width="4.85546875" style="104" hidden="1" customWidth="1"/>
    <col min="48" max="48" width="5" style="104" hidden="1" customWidth="1"/>
    <col min="49" max="50" width="5" style="104" customWidth="1"/>
    <col min="51" max="51" width="5" style="104" hidden="1" customWidth="1"/>
    <col min="52" max="52" width="6.85546875" style="104" hidden="1" customWidth="1"/>
    <col min="53" max="53" width="5" style="104" customWidth="1"/>
    <col min="54" max="61" width="5" style="104" hidden="1" customWidth="1"/>
    <col min="62" max="62" width="84.42578125" style="104" hidden="1" customWidth="1"/>
    <col min="63" max="63" width="29.85546875" style="104" hidden="1" customWidth="1"/>
    <col min="64" max="77" width="10.7109375" style="104" hidden="1" customWidth="1"/>
    <col min="78" max="87" width="9.140625" style="104" hidden="1" customWidth="1"/>
    <col min="88" max="89" width="0" style="104" hidden="1" customWidth="1"/>
    <col min="90" max="97" width="5" style="104" hidden="1" customWidth="1"/>
    <col min="98" max="98" width="84.42578125" style="104" hidden="1" customWidth="1"/>
    <col min="99" max="99" width="29.85546875" style="104" hidden="1" customWidth="1"/>
    <col min="100" max="113" width="10.7109375" style="104" hidden="1" customWidth="1"/>
    <col min="114" max="123" width="9.140625" style="104" hidden="1" customWidth="1"/>
    <col min="124" max="124" width="0" style="104" hidden="1" customWidth="1"/>
    <col min="125" max="133" width="9.140625" style="104" hidden="1" customWidth="1"/>
    <col min="134" max="134" width="0" style="104" hidden="1" customWidth="1"/>
    <col min="135" max="135" width="9.140625" style="104" hidden="1" customWidth="1"/>
    <col min="136" max="136" width="0" style="104" hidden="1" customWidth="1"/>
    <col min="137" max="145" width="9.140625" style="104" hidden="1" customWidth="1"/>
    <col min="146" max="146" width="0" style="104" hidden="1" customWidth="1"/>
    <col min="147" max="147" width="9.140625" style="104" hidden="1" customWidth="1"/>
    <col min="148" max="148" width="0" style="104" hidden="1" customWidth="1"/>
    <col min="149" max="149" width="9.140625" style="104" hidden="1" customWidth="1"/>
    <col min="150" max="150" width="0" style="104" hidden="1" customWidth="1"/>
    <col min="151" max="151" width="9.140625" style="104" hidden="1" customWidth="1"/>
    <col min="152" max="152" width="0" style="104" hidden="1" customWidth="1"/>
    <col min="153" max="156" width="9.140625" style="104" hidden="1" customWidth="1"/>
    <col min="157" max="157" width="0" style="104" hidden="1" customWidth="1"/>
    <col min="158" max="158" width="9.140625" style="104" hidden="1" customWidth="1"/>
    <col min="159" max="159" width="0" style="104" hidden="1" customWidth="1"/>
    <col min="160" max="160" width="9.140625" style="104" hidden="1" customWidth="1"/>
    <col min="161" max="161" width="0" style="104" hidden="1" customWidth="1"/>
    <col min="162" max="162" width="9.140625" style="104" hidden="1" customWidth="1"/>
    <col min="163" max="164" width="0" style="104" hidden="1" customWidth="1"/>
    <col min="165" max="165" width="9.140625" style="104" hidden="1" customWidth="1"/>
    <col min="166" max="166" width="0" style="104" hidden="1" customWidth="1"/>
    <col min="167" max="16384" width="9.140625" style="104" hidden="1"/>
  </cols>
  <sheetData>
    <row r="1" spans="1:61" s="451" customFormat="1" ht="45.75" customHeight="1">
      <c r="B1" s="452" t="s">
        <v>56</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row>
    <row r="2" spans="1:61" ht="23.25" customHeight="1">
      <c r="B2" s="1071" t="s">
        <v>2</v>
      </c>
      <c r="C2" s="1072" t="s">
        <v>3</v>
      </c>
      <c r="D2" s="1073" t="s">
        <v>48</v>
      </c>
      <c r="E2" s="1121" t="s">
        <v>704</v>
      </c>
      <c r="F2" s="1121"/>
      <c r="G2" s="1121"/>
      <c r="H2" s="1121"/>
      <c r="I2" s="1121"/>
      <c r="J2" s="1121"/>
      <c r="K2" s="1121"/>
      <c r="L2" s="1121"/>
      <c r="M2" s="1122"/>
      <c r="N2" s="1098" t="s">
        <v>694</v>
      </c>
      <c r="O2" s="1098"/>
      <c r="P2" s="1098"/>
      <c r="Q2" s="1098"/>
      <c r="R2" s="1098"/>
      <c r="S2" s="1098"/>
      <c r="T2" s="1098"/>
      <c r="U2" s="1098"/>
      <c r="V2" s="1098"/>
      <c r="W2" s="1098"/>
      <c r="X2" s="1098"/>
      <c r="Y2" s="1098"/>
      <c r="Z2" s="1098"/>
      <c r="AA2" s="1098"/>
      <c r="AB2" s="1098"/>
      <c r="AC2" s="1098"/>
      <c r="AD2" s="1139" t="s">
        <v>5</v>
      </c>
      <c r="AE2" s="1123" t="s">
        <v>6</v>
      </c>
      <c r="AF2" s="1124" t="s">
        <v>314</v>
      </c>
      <c r="AG2" s="1125"/>
      <c r="AH2" s="1125"/>
      <c r="AI2" s="1125"/>
      <c r="AJ2" s="1027" t="s">
        <v>1</v>
      </c>
      <c r="AK2" s="1"/>
      <c r="AL2" s="1"/>
      <c r="AM2" s="1"/>
      <c r="AN2" s="1"/>
      <c r="AO2" s="1"/>
      <c r="AP2" s="1"/>
      <c r="AQ2" s="215"/>
      <c r="AZ2" s="441">
        <f>DEPAN!$E$23</f>
        <v>50</v>
      </c>
    </row>
    <row r="3" spans="1:61" ht="94.5" customHeight="1">
      <c r="B3" s="1071"/>
      <c r="C3" s="1072"/>
      <c r="D3" s="1073"/>
      <c r="E3" s="1126" t="str">
        <f>N4</f>
        <v>4.2</v>
      </c>
      <c r="F3" s="1127"/>
      <c r="G3" s="1128"/>
      <c r="H3" s="1129" t="str">
        <f>O4</f>
        <v>4.3</v>
      </c>
      <c r="I3" s="1130"/>
      <c r="J3" s="1131"/>
      <c r="K3" s="1132" t="str">
        <f>P4</f>
        <v>4.4</v>
      </c>
      <c r="L3" s="1133"/>
      <c r="M3" s="1134"/>
      <c r="N3" s="510" t="str">
        <f>'KI-KD'!$F29</f>
        <v>menyajikan hasil identifikasi pelaksanaan kewajiban dan hak sebagai warga masyarakat dalam kehidupan sehari-hari.</v>
      </c>
      <c r="O3" s="510" t="str">
        <f>'KI-KD'!$F30</f>
        <v>mengemukakan manfaat keberagaman karakteristik individu dalam kehidupan sehari-hari.</v>
      </c>
      <c r="P3" s="510" t="str">
        <f>'KI-KD'!$F31</f>
        <v>menyajikan berbagai bentuk keragaman suku bangsa, sosial, dan budaya di Indonesia yang terikat persatuan dan kesatuan.</v>
      </c>
      <c r="Q3" s="510">
        <f>'KI-KD'!$F32</f>
        <v>0</v>
      </c>
      <c r="R3" s="510">
        <f>'KI-KD'!$F33</f>
        <v>0</v>
      </c>
      <c r="S3" s="510">
        <f>'KI-KD'!$F34</f>
        <v>0</v>
      </c>
      <c r="T3" s="510">
        <f>'KI-KD'!$F265</f>
        <v>0</v>
      </c>
      <c r="U3" s="510">
        <f>'KI-KD'!$F36</f>
        <v>0</v>
      </c>
      <c r="V3" s="525"/>
      <c r="W3" s="511"/>
      <c r="X3" s="511"/>
      <c r="Y3" s="511"/>
      <c r="Z3" s="511"/>
      <c r="AA3" s="511"/>
      <c r="AB3" s="511"/>
      <c r="AC3" s="511"/>
      <c r="AD3" s="1139"/>
      <c r="AE3" s="1123"/>
      <c r="AF3" s="1135" t="s">
        <v>315</v>
      </c>
      <c r="AG3" s="1136"/>
      <c r="AH3" s="1137" t="s">
        <v>316</v>
      </c>
      <c r="AI3" s="1138"/>
      <c r="AJ3" s="1028"/>
      <c r="AK3" s="1"/>
      <c r="AL3" s="1"/>
      <c r="AM3" s="1"/>
      <c r="AN3" s="1"/>
      <c r="AO3" s="1"/>
      <c r="AP3" s="1"/>
      <c r="AQ3" s="215"/>
      <c r="AZ3" s="408">
        <f>AZ4-AZ5</f>
        <v>2</v>
      </c>
    </row>
    <row r="4" spans="1:61"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12" t="str">
        <f>'KI-KD'!$E29</f>
        <v>4.2</v>
      </c>
      <c r="O4" s="512" t="str">
        <f>'KI-KD'!$E30</f>
        <v>4.3</v>
      </c>
      <c r="P4" s="512" t="str">
        <f>'KI-KD'!$E31</f>
        <v>4.4</v>
      </c>
      <c r="Q4" s="512">
        <f>'KI-KD'!$E32</f>
        <v>0</v>
      </c>
      <c r="R4" s="512">
        <f>'KI-KD'!$E33</f>
        <v>0</v>
      </c>
      <c r="S4" s="512">
        <f>'KI-KD'!$E34</f>
        <v>0</v>
      </c>
      <c r="T4" s="512">
        <f>'KI-KD'!$E35</f>
        <v>0</v>
      </c>
      <c r="U4" s="512">
        <f>'KI-KD'!$E36</f>
        <v>0</v>
      </c>
      <c r="V4" s="512"/>
      <c r="W4" s="512"/>
      <c r="X4" s="512"/>
      <c r="Y4" s="512"/>
      <c r="Z4" s="512"/>
      <c r="AA4" s="512"/>
      <c r="AB4" s="512"/>
      <c r="AC4" s="512"/>
      <c r="AD4" s="1139"/>
      <c r="AE4" s="1123"/>
      <c r="AF4" s="210" t="s">
        <v>317</v>
      </c>
      <c r="AG4" s="211" t="s">
        <v>1</v>
      </c>
      <c r="AH4" s="212" t="s">
        <v>317</v>
      </c>
      <c r="AI4" s="213" t="s">
        <v>1</v>
      </c>
      <c r="AJ4" s="1029"/>
      <c r="AK4" s="1"/>
      <c r="AL4" s="216" t="s">
        <v>318</v>
      </c>
      <c r="AM4" s="216" t="s">
        <v>319</v>
      </c>
      <c r="AN4" s="216" t="s">
        <v>320</v>
      </c>
      <c r="AO4" s="216" t="s">
        <v>321</v>
      </c>
      <c r="AP4" s="217" t="s">
        <v>314</v>
      </c>
      <c r="AQ4" s="214"/>
      <c r="AZ4" s="108">
        <v>50</v>
      </c>
    </row>
    <row r="5" spans="1:61" ht="59.25" customHeight="1">
      <c r="B5" s="109">
        <v>1</v>
      </c>
      <c r="C5" s="110">
        <f>SISWA!B6</f>
        <v>4822</v>
      </c>
      <c r="D5" s="111" t="str">
        <f>SISWA!E6</f>
        <v>Anak 1</v>
      </c>
      <c r="E5" s="520">
        <v>68</v>
      </c>
      <c r="F5" s="520">
        <v>55</v>
      </c>
      <c r="G5" s="520"/>
      <c r="H5" s="520">
        <v>98</v>
      </c>
      <c r="I5" s="520"/>
      <c r="J5" s="520"/>
      <c r="K5" s="520">
        <v>98</v>
      </c>
      <c r="L5" s="520">
        <v>88</v>
      </c>
      <c r="M5" s="520"/>
      <c r="N5" s="533">
        <f>IFERROR(AVERAGE(E5:G5),"")</f>
        <v>61.5</v>
      </c>
      <c r="O5" s="533">
        <f>IFERROR(AVERAGE(H5:J5),"")</f>
        <v>98</v>
      </c>
      <c r="P5" s="533">
        <f>IFERROR(AVERAGE(K5:M5),"")</f>
        <v>93</v>
      </c>
      <c r="Q5" s="513"/>
      <c r="R5" s="514"/>
      <c r="S5" s="514"/>
      <c r="T5" s="514"/>
      <c r="U5" s="514"/>
      <c r="V5" s="514"/>
      <c r="W5" s="513"/>
      <c r="X5" s="513"/>
      <c r="Y5" s="513"/>
      <c r="Z5" s="513"/>
      <c r="AA5" s="514"/>
      <c r="AB5" s="514"/>
      <c r="AC5" s="513"/>
      <c r="AD5" s="302">
        <f>ROUND((AVERAGE(N5:AC5)),0)</f>
        <v>84</v>
      </c>
      <c r="AE5" s="303" t="str">
        <f>IF(AD5&gt;KKM!$G$10,"A",IF(AD5&gt;KKM!$H$10,"B",IF(AD5&gt;=KKM!$I$10,"C","D")))</f>
        <v>B</v>
      </c>
      <c r="AF5" s="523">
        <f t="shared" ref="AF5:AF54" si="0">MAX(N5:AC5)</f>
        <v>98</v>
      </c>
      <c r="AG5" s="309" t="str">
        <f>IF(AF5&gt;KKM!$G$10," sangat baik ",IF(AF5&gt;KKM!$H$10," baik ",IF(AF5&gt;=KKM!$I$10," cukup baik "," perlu bimbingan ")))</f>
        <v xml:space="preserve"> sangat baik </v>
      </c>
      <c r="AH5" s="524">
        <f t="shared" ref="AH5:AH54" si="1">MIN(N5:AC5)</f>
        <v>61.5</v>
      </c>
      <c r="AI5" s="309" t="str">
        <f>IF(AH5&gt;KKM!$G$10," sangat baik ",IF(AH5&gt;KKM!$H$10," baik ",IF(AH5&gt;=KKM!$I$10," cukup baik "," perlu bimbingan ")))</f>
        <v xml:space="preserve"> perlu bimbingan </v>
      </c>
      <c r="AJ5" s="301" t="str">
        <f>IFERROR(AQ5," ")</f>
        <v>Anak 1 sangat baik  dalam mengemukakan manfaat keberagaman karakteristik individu dalam kehidupan sehari-hari., dan  perlu bimbingan  dalam menyajikan hasil identifikasi pelaksanaan kewajiban dan hak sebagai warga masyarakat dalam kehidupan sehari-hari.</v>
      </c>
      <c r="AK5" s="218"/>
      <c r="AL5" s="219" t="str">
        <f t="shared" ref="AL5:AL54" si="2">AG5&amp;" dalam "&amp;INDEX($N$3:$AC$3,MATCH(AF5,$N5:$AC5,0))</f>
        <v xml:space="preserve"> sangat baik  dalam mengemukakan manfaat keberagaman karakteristik individu dalam kehidupan sehari-hari.</v>
      </c>
      <c r="AM5" s="219" t="str">
        <f t="shared" ref="AM5:AM54" si="3">AI5&amp;" dalam "&amp;INDEX($N$3:$AC$3,MATCH(AH5,$N5:$AC5,0))</f>
        <v xml:space="preserve"> perlu bimbingan  dalam menyajikan hasil identifikasi pelaksanaan kewajiban dan hak sebagai warga masyarakat dalam kehidupan sehari-hari.</v>
      </c>
      <c r="AN5" s="219" t="str">
        <f>AL5&amp;", dan "&amp;AM5</f>
        <v xml:space="preserve"> sangat baik  dalam mengemukakan manfaat keberagaman karakteristik individu dalam kehidupan sehari-hari., dan  perlu bimbingan  dalam menyajikan hasil identifikasi pelaksanaan kewajiban dan hak sebagai warga masyarakat dalam kehidupan sehari-hari.</v>
      </c>
      <c r="AO5" s="219" t="str">
        <f>IF(AL5=AM5,AL5," ")</f>
        <v xml:space="preserve"> </v>
      </c>
      <c r="AP5" s="220" t="str">
        <f>IF(AO5=" ",AN5,AO5)</f>
        <v xml:space="preserve"> sangat baik  dalam mengemukakan manfaat keberagaman karakteristik individu dalam kehidupan sehari-hari., dan  perlu bimbingan  dalam menyajikan hasil identifikasi pelaksanaan kewajiban dan hak sebagai warga masyarakat dalam kehidupan sehari-hari.</v>
      </c>
      <c r="AQ5" s="214" t="str">
        <f t="shared" ref="AQ5:AQ36" si="4">CONCATENATE(D5,AP5)</f>
        <v>Anak 1 sangat baik  dalam mengemukakan manfaat keberagaman karakteristik individu dalam kehidupan sehari-hari., dan  perlu bimbingan  dalam menyajikan hasil identifikasi pelaksanaan kewajiban dan hak sebagai warga masyarakat dalam kehidupan sehari-hari.</v>
      </c>
      <c r="AR5" s="120"/>
      <c r="AY5" s="408">
        <f>IFERROR(AD5,"")</f>
        <v>84</v>
      </c>
      <c r="AZ5" s="408">
        <f>COUNTBLANK(AY5:AY54)</f>
        <v>48</v>
      </c>
    </row>
    <row r="6" spans="1:61" ht="59.25" customHeight="1">
      <c r="B6" s="109">
        <v>2</v>
      </c>
      <c r="C6" s="110">
        <f>SISWA!B7</f>
        <v>0</v>
      </c>
      <c r="D6" s="111" t="str">
        <f>SISWA!E7</f>
        <v>Anak 2</v>
      </c>
      <c r="E6" s="520">
        <v>77</v>
      </c>
      <c r="F6" s="520"/>
      <c r="G6" s="520"/>
      <c r="H6" s="520">
        <v>66</v>
      </c>
      <c r="I6" s="520"/>
      <c r="J6" s="520"/>
      <c r="K6" s="520">
        <v>88</v>
      </c>
      <c r="L6" s="520"/>
      <c r="M6" s="520"/>
      <c r="N6" s="533">
        <f t="shared" ref="N6:N54" si="5">IFERROR(AVERAGE(E6:G6),"")</f>
        <v>77</v>
      </c>
      <c r="O6" s="533">
        <f t="shared" ref="O6:O54" si="6">IFERROR(AVERAGE(H6:J6),"")</f>
        <v>66</v>
      </c>
      <c r="P6" s="533">
        <f t="shared" ref="P6:P54" si="7">IFERROR(AVERAGE(K6:M6),"")</f>
        <v>88</v>
      </c>
      <c r="Q6" s="514"/>
      <c r="R6" s="514"/>
      <c r="S6" s="514"/>
      <c r="T6" s="514"/>
      <c r="U6" s="514"/>
      <c r="V6" s="514"/>
      <c r="W6" s="513"/>
      <c r="X6" s="513"/>
      <c r="Y6" s="513"/>
      <c r="Z6" s="513"/>
      <c r="AA6" s="514"/>
      <c r="AB6" s="514"/>
      <c r="AC6" s="513"/>
      <c r="AD6" s="302">
        <f t="shared" ref="AD6:AD54" si="8">ROUND((AVERAGE(N6:AC6)),0)</f>
        <v>77</v>
      </c>
      <c r="AE6" s="303" t="str">
        <f>IF(AD6&gt;KKM!$G$10,"A",IF(AD6&gt;KKM!$H$10,"B",IF(AD6&gt;=KKM!$I$10,"C","D")))</f>
        <v>C</v>
      </c>
      <c r="AF6" s="523">
        <f t="shared" si="0"/>
        <v>88</v>
      </c>
      <c r="AG6" s="309" t="str">
        <f>IF(AF6&gt;KKM!$G$10," sangat baik ",IF(AF6&gt;KKM!$H$10," baik ",IF(AF6&gt;=KKM!$I$10," cukup baik "," perlu bimbingan ")))</f>
        <v xml:space="preserve"> baik </v>
      </c>
      <c r="AH6" s="524">
        <f t="shared" si="1"/>
        <v>66</v>
      </c>
      <c r="AI6" s="309" t="str">
        <f>IF(AH6&gt;KKM!$G$10," sangat baik ",IF(AH6&gt;KKM!$H$10," baik ",IF(AH6&gt;=KKM!$I$10," cukup baik "," perlu bimbingan ")))</f>
        <v xml:space="preserve"> perlu bimbingan </v>
      </c>
      <c r="AJ6" s="301" t="str">
        <f t="shared" ref="AJ6:AJ54" si="9">IFERROR(AQ6," ")</f>
        <v>Anak 2 baik  dalam menyajikan berbagai bentuk keragaman suku bangsa, sosial, dan budaya di Indonesia yang terikat persatuan dan kesatuan., dan  perlu bimbingan  dalam mengemukakan manfaat keberagaman karakteristik individu dalam kehidupan sehari-hari.</v>
      </c>
      <c r="AK6" s="218"/>
      <c r="AL6" s="219" t="str">
        <f t="shared" si="2"/>
        <v xml:space="preserve"> baik  dalam menyajikan berbagai bentuk keragaman suku bangsa, sosial, dan budaya di Indonesia yang terikat persatuan dan kesatuan.</v>
      </c>
      <c r="AM6" s="219" t="str">
        <f t="shared" si="3"/>
        <v xml:space="preserve"> perlu bimbingan  dalam mengemukakan manfaat keberagaman karakteristik individu dalam kehidupan sehari-hari.</v>
      </c>
      <c r="AN6" s="219" t="str">
        <f t="shared" ref="AN6:AN54" si="10">AL6&amp;", dan "&amp;AM6</f>
        <v xml:space="preserve"> baik  dalam menyajikan berbagai bentuk keragaman suku bangsa, sosial, dan budaya di Indonesia yang terikat persatuan dan kesatuan., dan  perlu bimbingan  dalam mengemukakan manfaat keberagaman karakteristik individu dalam kehidupan sehari-hari.</v>
      </c>
      <c r="AO6" s="219" t="str">
        <f t="shared" ref="AO6:AO54" si="11">IF(AL6=AM6,AL6," ")</f>
        <v xml:space="preserve"> </v>
      </c>
      <c r="AP6" s="220" t="str">
        <f t="shared" ref="AP6:AP54" si="12">IF(AO6=" ",AN6,AO6)</f>
        <v xml:space="preserve"> baik  dalam menyajikan berbagai bentuk keragaman suku bangsa, sosial, dan budaya di Indonesia yang terikat persatuan dan kesatuan., dan  perlu bimbingan  dalam mengemukakan manfaat keberagaman karakteristik individu dalam kehidupan sehari-hari.</v>
      </c>
      <c r="AQ6" s="214" t="str">
        <f t="shared" si="4"/>
        <v>Anak 2 baik  dalam menyajikan berbagai bentuk keragaman suku bangsa, sosial, dan budaya di Indonesia yang terikat persatuan dan kesatuan., dan  perlu bimbingan  dalam mengemukakan manfaat keberagaman karakteristik individu dalam kehidupan sehari-hari.</v>
      </c>
      <c r="AR6" s="120"/>
      <c r="AY6" s="408">
        <f t="shared" ref="AY6:AY54" si="13">IFERROR(AD6,"")</f>
        <v>77</v>
      </c>
      <c r="AZ6" s="442">
        <f>IFERROR(AZ3/AZ2,"0%")</f>
        <v>0.04</v>
      </c>
    </row>
    <row r="7" spans="1:61" ht="59.25" customHeight="1">
      <c r="B7" s="109">
        <v>3</v>
      </c>
      <c r="C7" s="110">
        <f>SISWA!B8</f>
        <v>0</v>
      </c>
      <c r="D7" s="111" t="str">
        <f>SISWA!E8</f>
        <v>Anak 3</v>
      </c>
      <c r="E7" s="520"/>
      <c r="F7" s="520"/>
      <c r="G7" s="520"/>
      <c r="H7" s="520"/>
      <c r="I7" s="520"/>
      <c r="J7" s="520"/>
      <c r="K7" s="520"/>
      <c r="L7" s="520"/>
      <c r="M7" s="520"/>
      <c r="N7" s="533" t="str">
        <f t="shared" si="5"/>
        <v/>
      </c>
      <c r="O7" s="533" t="str">
        <f t="shared" si="6"/>
        <v/>
      </c>
      <c r="P7" s="533" t="str">
        <f t="shared" si="7"/>
        <v/>
      </c>
      <c r="Q7" s="514"/>
      <c r="R7" s="514"/>
      <c r="S7" s="514"/>
      <c r="T7" s="514"/>
      <c r="U7" s="514"/>
      <c r="V7" s="514"/>
      <c r="W7" s="513"/>
      <c r="X7" s="513"/>
      <c r="Y7" s="513"/>
      <c r="Z7" s="513"/>
      <c r="AA7" s="514"/>
      <c r="AB7" s="514"/>
      <c r="AC7" s="513"/>
      <c r="AD7" s="302" t="e">
        <f t="shared" si="8"/>
        <v>#DIV/0!</v>
      </c>
      <c r="AE7" s="303" t="e">
        <f>IF(AD7&gt;KKM!$G$10,"A",IF(AD7&gt;KKM!$H$10,"B",IF(AD7&gt;=KKM!$I$10,"C","D")))</f>
        <v>#DIV/0!</v>
      </c>
      <c r="AF7" s="523">
        <f t="shared" si="0"/>
        <v>0</v>
      </c>
      <c r="AG7" s="309" t="str">
        <f>IF(AF7&gt;KKM!$G$10," sangat baik ",IF(AF7&gt;KKM!$H$10," baik ",IF(AF7&gt;=KKM!$I$10," cukup baik "," perlu bimbingan ")))</f>
        <v xml:space="preserve"> perlu bimbingan </v>
      </c>
      <c r="AH7" s="524">
        <f t="shared" si="1"/>
        <v>0</v>
      </c>
      <c r="AI7" s="309" t="str">
        <f>IF(AH7&gt;KKM!$G$10," sangat baik ",IF(AH7&gt;KKM!$H$10," baik ",IF(AH7&gt;=KKM!$I$10," cukup baik "," perlu bimbingan ")))</f>
        <v xml:space="preserve"> perlu bimbingan </v>
      </c>
      <c r="AJ7" s="301" t="str">
        <f t="shared" si="9"/>
        <v xml:space="preserve"> </v>
      </c>
      <c r="AK7" s="218"/>
      <c r="AL7" s="219" t="e">
        <f t="shared" si="2"/>
        <v>#N/A</v>
      </c>
      <c r="AM7" s="219" t="e">
        <f t="shared" si="3"/>
        <v>#N/A</v>
      </c>
      <c r="AN7" s="219" t="e">
        <f t="shared" si="10"/>
        <v>#N/A</v>
      </c>
      <c r="AO7" s="219" t="e">
        <f t="shared" si="11"/>
        <v>#N/A</v>
      </c>
      <c r="AP7" s="220" t="e">
        <f t="shared" si="12"/>
        <v>#N/A</v>
      </c>
      <c r="AQ7" s="214" t="e">
        <f t="shared" si="4"/>
        <v>#N/A</v>
      </c>
      <c r="AR7" s="120"/>
      <c r="AY7" s="408" t="str">
        <f t="shared" si="13"/>
        <v/>
      </c>
    </row>
    <row r="8" spans="1:61" ht="59.25" customHeight="1">
      <c r="B8" s="109">
        <v>4</v>
      </c>
      <c r="C8" s="110">
        <f>SISWA!B9</f>
        <v>0</v>
      </c>
      <c r="D8" s="111" t="str">
        <f>SISWA!E9</f>
        <v>Anak 4</v>
      </c>
      <c r="E8" s="520"/>
      <c r="F8" s="520"/>
      <c r="G8" s="520"/>
      <c r="H8" s="520"/>
      <c r="I8" s="520"/>
      <c r="J8" s="520"/>
      <c r="K8" s="520"/>
      <c r="L8" s="520"/>
      <c r="M8" s="520"/>
      <c r="N8" s="533" t="str">
        <f t="shared" si="5"/>
        <v/>
      </c>
      <c r="O8" s="533" t="str">
        <f t="shared" si="6"/>
        <v/>
      </c>
      <c r="P8" s="533" t="str">
        <f t="shared" si="7"/>
        <v/>
      </c>
      <c r="Q8" s="514"/>
      <c r="R8" s="514"/>
      <c r="S8" s="514"/>
      <c r="T8" s="514"/>
      <c r="U8" s="514"/>
      <c r="V8" s="514"/>
      <c r="W8" s="513"/>
      <c r="X8" s="513"/>
      <c r="Y8" s="513"/>
      <c r="Z8" s="513"/>
      <c r="AA8" s="514"/>
      <c r="AB8" s="514"/>
      <c r="AC8" s="513"/>
      <c r="AD8" s="302" t="e">
        <f t="shared" si="8"/>
        <v>#DIV/0!</v>
      </c>
      <c r="AE8" s="303" t="e">
        <f>IF(AD8&gt;KKM!$G$10,"A",IF(AD8&gt;KKM!$H$10,"B",IF(AD8&gt;=KKM!$I$10,"C","D")))</f>
        <v>#DIV/0!</v>
      </c>
      <c r="AF8" s="523">
        <f t="shared" si="0"/>
        <v>0</v>
      </c>
      <c r="AG8" s="309" t="str">
        <f>IF(AF8&gt;KKM!$G$10," sangat baik ",IF(AF8&gt;KKM!$H$10," baik ",IF(AF8&gt;=KKM!$I$10," cukup baik "," perlu bimbingan ")))</f>
        <v xml:space="preserve"> perlu bimbingan </v>
      </c>
      <c r="AH8" s="524">
        <f t="shared" si="1"/>
        <v>0</v>
      </c>
      <c r="AI8" s="309" t="str">
        <f>IF(AH8&gt;KKM!$G$10," sangat baik ",IF(AH8&gt;KKM!$H$10," baik ",IF(AH8&gt;=KKM!$I$10," cukup baik "," perlu bimbingan ")))</f>
        <v xml:space="preserve"> perlu bimbingan </v>
      </c>
      <c r="AJ8" s="301" t="str">
        <f t="shared" si="9"/>
        <v xml:space="preserve"> </v>
      </c>
      <c r="AK8" s="218"/>
      <c r="AL8" s="219" t="e">
        <f t="shared" si="2"/>
        <v>#N/A</v>
      </c>
      <c r="AM8" s="219" t="e">
        <f t="shared" si="3"/>
        <v>#N/A</v>
      </c>
      <c r="AN8" s="219" t="e">
        <f t="shared" si="10"/>
        <v>#N/A</v>
      </c>
      <c r="AO8" s="219" t="e">
        <f t="shared" si="11"/>
        <v>#N/A</v>
      </c>
      <c r="AP8" s="220" t="e">
        <f t="shared" si="12"/>
        <v>#N/A</v>
      </c>
      <c r="AQ8" s="214" t="e">
        <f t="shared" si="4"/>
        <v>#N/A</v>
      </c>
      <c r="AR8" s="120"/>
      <c r="AY8" s="408" t="str">
        <f t="shared" si="13"/>
        <v/>
      </c>
    </row>
    <row r="9" spans="1:61" ht="59.25" customHeight="1">
      <c r="B9" s="109">
        <v>5</v>
      </c>
      <c r="C9" s="110">
        <f>SISWA!B10</f>
        <v>0</v>
      </c>
      <c r="D9" s="111" t="str">
        <f>SISWA!E10</f>
        <v>Anak 5</v>
      </c>
      <c r="E9" s="520"/>
      <c r="F9" s="520"/>
      <c r="G9" s="520"/>
      <c r="H9" s="520"/>
      <c r="I9" s="520"/>
      <c r="J9" s="520"/>
      <c r="K9" s="520"/>
      <c r="L9" s="520"/>
      <c r="M9" s="520"/>
      <c r="N9" s="533" t="str">
        <f t="shared" si="5"/>
        <v/>
      </c>
      <c r="O9" s="533" t="str">
        <f t="shared" si="6"/>
        <v/>
      </c>
      <c r="P9" s="533" t="str">
        <f t="shared" si="7"/>
        <v/>
      </c>
      <c r="Q9" s="514"/>
      <c r="R9" s="514"/>
      <c r="S9" s="514"/>
      <c r="T9" s="514"/>
      <c r="U9" s="514"/>
      <c r="V9" s="514"/>
      <c r="W9" s="513"/>
      <c r="X9" s="513"/>
      <c r="Y9" s="513"/>
      <c r="Z9" s="513"/>
      <c r="AA9" s="514"/>
      <c r="AB9" s="514"/>
      <c r="AC9" s="513"/>
      <c r="AD9" s="302" t="e">
        <f t="shared" si="8"/>
        <v>#DIV/0!</v>
      </c>
      <c r="AE9" s="303" t="e">
        <f>IF(AD9&gt;KKM!$G$10,"A",IF(AD9&gt;KKM!$H$10,"B",IF(AD9&gt;=KKM!$I$10,"C","D")))</f>
        <v>#DIV/0!</v>
      </c>
      <c r="AF9" s="523">
        <f t="shared" si="0"/>
        <v>0</v>
      </c>
      <c r="AG9" s="309" t="str">
        <f>IF(AF9&gt;KKM!$G$10," sangat baik ",IF(AF9&gt;KKM!$H$10," baik ",IF(AF9&gt;=KKM!$I$10," cukup baik "," perlu bimbingan ")))</f>
        <v xml:space="preserve"> perlu bimbingan </v>
      </c>
      <c r="AH9" s="524">
        <f t="shared" si="1"/>
        <v>0</v>
      </c>
      <c r="AI9" s="309" t="str">
        <f>IF(AH9&gt;KKM!$G$10," sangat baik ",IF(AH9&gt;KKM!$H$10," baik ",IF(AH9&gt;=KKM!$I$10," cukup baik "," perlu bimbingan ")))</f>
        <v xml:space="preserve"> perlu bimbingan </v>
      </c>
      <c r="AJ9" s="301" t="str">
        <f t="shared" si="9"/>
        <v xml:space="preserve"> </v>
      </c>
      <c r="AK9" s="218"/>
      <c r="AL9" s="219" t="e">
        <f t="shared" si="2"/>
        <v>#N/A</v>
      </c>
      <c r="AM9" s="219" t="e">
        <f t="shared" si="3"/>
        <v>#N/A</v>
      </c>
      <c r="AN9" s="219" t="e">
        <f t="shared" si="10"/>
        <v>#N/A</v>
      </c>
      <c r="AO9" s="219" t="e">
        <f t="shared" si="11"/>
        <v>#N/A</v>
      </c>
      <c r="AP9" s="220" t="e">
        <f t="shared" si="12"/>
        <v>#N/A</v>
      </c>
      <c r="AQ9" s="214" t="e">
        <f t="shared" si="4"/>
        <v>#N/A</v>
      </c>
      <c r="AR9" s="120"/>
      <c r="AY9" s="408" t="str">
        <f t="shared" si="13"/>
        <v/>
      </c>
    </row>
    <row r="10" spans="1:61" ht="59.25" customHeight="1">
      <c r="B10" s="109">
        <v>6</v>
      </c>
      <c r="C10" s="110">
        <f>SISWA!B11</f>
        <v>0</v>
      </c>
      <c r="D10" s="111" t="str">
        <f>SISWA!E11</f>
        <v>Anak 6</v>
      </c>
      <c r="E10" s="520"/>
      <c r="F10" s="520"/>
      <c r="G10" s="520"/>
      <c r="H10" s="520"/>
      <c r="I10" s="520"/>
      <c r="J10" s="520"/>
      <c r="K10" s="520"/>
      <c r="L10" s="520"/>
      <c r="M10" s="520"/>
      <c r="N10" s="533" t="str">
        <f t="shared" si="5"/>
        <v/>
      </c>
      <c r="O10" s="533" t="str">
        <f t="shared" si="6"/>
        <v/>
      </c>
      <c r="P10" s="533" t="str">
        <f t="shared" si="7"/>
        <v/>
      </c>
      <c r="Q10" s="514"/>
      <c r="R10" s="514"/>
      <c r="S10" s="514"/>
      <c r="T10" s="514"/>
      <c r="U10" s="514"/>
      <c r="V10" s="514"/>
      <c r="W10" s="513"/>
      <c r="X10" s="513"/>
      <c r="Y10" s="513"/>
      <c r="Z10" s="513"/>
      <c r="AA10" s="514"/>
      <c r="AB10" s="514"/>
      <c r="AC10" s="513"/>
      <c r="AD10" s="302" t="e">
        <f t="shared" si="8"/>
        <v>#DIV/0!</v>
      </c>
      <c r="AE10" s="303" t="e">
        <f>IF(AD10&gt;KKM!$G$10,"A",IF(AD10&gt;KKM!$H$10,"B",IF(AD10&gt;=KKM!$I$10,"C","D")))</f>
        <v>#DIV/0!</v>
      </c>
      <c r="AF10" s="523">
        <f t="shared" si="0"/>
        <v>0</v>
      </c>
      <c r="AG10" s="309" t="str">
        <f>IF(AF10&gt;KKM!$G$10," sangat baik ",IF(AF10&gt;KKM!$H$10," baik ",IF(AF10&gt;=KKM!$I$10," cukup baik "," perlu bimbingan ")))</f>
        <v xml:space="preserve"> perlu bimbingan </v>
      </c>
      <c r="AH10" s="524">
        <f t="shared" si="1"/>
        <v>0</v>
      </c>
      <c r="AI10" s="309" t="str">
        <f>IF(AH10&gt;KKM!$G$10," sangat baik ",IF(AH10&gt;KKM!$H$10," baik ",IF(AH10&gt;=KKM!$I$10," cukup baik "," perlu bimbingan ")))</f>
        <v xml:space="preserve"> perlu bimbingan </v>
      </c>
      <c r="AJ10" s="301" t="str">
        <f t="shared" si="9"/>
        <v xml:space="preserve"> </v>
      </c>
      <c r="AK10" s="218"/>
      <c r="AL10" s="219" t="e">
        <f t="shared" si="2"/>
        <v>#N/A</v>
      </c>
      <c r="AM10" s="219" t="e">
        <f t="shared" si="3"/>
        <v>#N/A</v>
      </c>
      <c r="AN10" s="219" t="e">
        <f t="shared" si="10"/>
        <v>#N/A</v>
      </c>
      <c r="AO10" s="219" t="e">
        <f t="shared" si="11"/>
        <v>#N/A</v>
      </c>
      <c r="AP10" s="220" t="e">
        <f t="shared" si="12"/>
        <v>#N/A</v>
      </c>
      <c r="AQ10" s="214" t="e">
        <f t="shared" si="4"/>
        <v>#N/A</v>
      </c>
      <c r="AR10" s="120"/>
      <c r="AY10" s="408" t="str">
        <f t="shared" si="13"/>
        <v/>
      </c>
    </row>
    <row r="11" spans="1:61" ht="59.25" customHeight="1">
      <c r="B11" s="109">
        <v>7</v>
      </c>
      <c r="C11" s="110">
        <f>SISWA!B12</f>
        <v>0</v>
      </c>
      <c r="D11" s="111" t="str">
        <f>SISWA!E12</f>
        <v>Anak 7</v>
      </c>
      <c r="E11" s="520"/>
      <c r="F11" s="520"/>
      <c r="G11" s="520"/>
      <c r="H11" s="520"/>
      <c r="I11" s="520"/>
      <c r="J11" s="520"/>
      <c r="K11" s="520"/>
      <c r="L11" s="520"/>
      <c r="M11" s="520"/>
      <c r="N11" s="533" t="str">
        <f t="shared" si="5"/>
        <v/>
      </c>
      <c r="O11" s="533" t="str">
        <f t="shared" si="6"/>
        <v/>
      </c>
      <c r="P11" s="533" t="str">
        <f t="shared" si="7"/>
        <v/>
      </c>
      <c r="Q11" s="514"/>
      <c r="R11" s="514"/>
      <c r="S11" s="514"/>
      <c r="T11" s="514"/>
      <c r="U11" s="514"/>
      <c r="V11" s="514"/>
      <c r="W11" s="513"/>
      <c r="X11" s="513"/>
      <c r="Y11" s="513"/>
      <c r="Z11" s="513"/>
      <c r="AA11" s="514"/>
      <c r="AB11" s="514"/>
      <c r="AC11" s="513"/>
      <c r="AD11" s="302" t="e">
        <f t="shared" si="8"/>
        <v>#DIV/0!</v>
      </c>
      <c r="AE11" s="303" t="e">
        <f>IF(AD11&gt;KKM!$G$10,"A",IF(AD11&gt;KKM!$H$10,"B",IF(AD11&gt;=KKM!$I$10,"C","D")))</f>
        <v>#DIV/0!</v>
      </c>
      <c r="AF11" s="523">
        <f t="shared" si="0"/>
        <v>0</v>
      </c>
      <c r="AG11" s="309" t="str">
        <f>IF(AF11&gt;KKM!$G$10," sangat baik ",IF(AF11&gt;KKM!$H$10," baik ",IF(AF11&gt;=KKM!$I$10," cukup baik "," perlu bimbingan ")))</f>
        <v xml:space="preserve"> perlu bimbingan </v>
      </c>
      <c r="AH11" s="524">
        <f t="shared" si="1"/>
        <v>0</v>
      </c>
      <c r="AI11" s="309" t="str">
        <f>IF(AH11&gt;KKM!$G$10," sangat baik ",IF(AH11&gt;KKM!$H$10," baik ",IF(AH11&gt;=KKM!$I$10," cukup baik "," perlu bimbingan ")))</f>
        <v xml:space="preserve"> perlu bimbingan </v>
      </c>
      <c r="AJ11" s="301" t="str">
        <f t="shared" si="9"/>
        <v xml:space="preserve"> </v>
      </c>
      <c r="AK11" s="218"/>
      <c r="AL11" s="219" t="e">
        <f t="shared" si="2"/>
        <v>#N/A</v>
      </c>
      <c r="AM11" s="219" t="e">
        <f t="shared" si="3"/>
        <v>#N/A</v>
      </c>
      <c r="AN11" s="219" t="e">
        <f t="shared" si="10"/>
        <v>#N/A</v>
      </c>
      <c r="AO11" s="219" t="e">
        <f t="shared" si="11"/>
        <v>#N/A</v>
      </c>
      <c r="AP11" s="220" t="e">
        <f t="shared" si="12"/>
        <v>#N/A</v>
      </c>
      <c r="AQ11" s="214" t="e">
        <f t="shared" si="4"/>
        <v>#N/A</v>
      </c>
      <c r="AR11" s="120"/>
      <c r="AY11" s="408" t="str">
        <f t="shared" si="13"/>
        <v/>
      </c>
    </row>
    <row r="12" spans="1:61" ht="59.25" customHeight="1">
      <c r="B12" s="109">
        <v>8</v>
      </c>
      <c r="C12" s="110">
        <f>SISWA!B13</f>
        <v>0</v>
      </c>
      <c r="D12" s="111" t="str">
        <f>SISWA!E13</f>
        <v>Anak 8</v>
      </c>
      <c r="E12" s="520"/>
      <c r="F12" s="520"/>
      <c r="G12" s="520"/>
      <c r="H12" s="520"/>
      <c r="I12" s="520"/>
      <c r="J12" s="520"/>
      <c r="K12" s="520"/>
      <c r="L12" s="520"/>
      <c r="M12" s="520"/>
      <c r="N12" s="533" t="str">
        <f t="shared" si="5"/>
        <v/>
      </c>
      <c r="O12" s="533" t="str">
        <f t="shared" si="6"/>
        <v/>
      </c>
      <c r="P12" s="533" t="str">
        <f t="shared" si="7"/>
        <v/>
      </c>
      <c r="Q12" s="514"/>
      <c r="R12" s="514"/>
      <c r="S12" s="514"/>
      <c r="T12" s="514"/>
      <c r="U12" s="514"/>
      <c r="V12" s="514"/>
      <c r="W12" s="513"/>
      <c r="X12" s="513"/>
      <c r="Y12" s="513"/>
      <c r="Z12" s="513"/>
      <c r="AA12" s="514"/>
      <c r="AB12" s="514"/>
      <c r="AC12" s="513"/>
      <c r="AD12" s="302" t="e">
        <f t="shared" si="8"/>
        <v>#DIV/0!</v>
      </c>
      <c r="AE12" s="303" t="e">
        <f>IF(AD12&gt;KKM!$G$10,"A",IF(AD12&gt;KKM!$H$10,"B",IF(AD12&gt;=KKM!$I$10,"C","D")))</f>
        <v>#DIV/0!</v>
      </c>
      <c r="AF12" s="523">
        <f t="shared" si="0"/>
        <v>0</v>
      </c>
      <c r="AG12" s="309" t="str">
        <f>IF(AF12&gt;KKM!$G$10," sangat baik ",IF(AF12&gt;KKM!$H$10," baik ",IF(AF12&gt;=KKM!$I$10," cukup baik "," perlu bimbingan ")))</f>
        <v xml:space="preserve"> perlu bimbingan </v>
      </c>
      <c r="AH12" s="524">
        <f t="shared" si="1"/>
        <v>0</v>
      </c>
      <c r="AI12" s="309" t="str">
        <f>IF(AH12&gt;KKM!$G$10," sangat baik ",IF(AH12&gt;KKM!$H$10," baik ",IF(AH12&gt;=KKM!$I$10," cukup baik "," perlu bimbingan ")))</f>
        <v xml:space="preserve"> perlu bimbingan </v>
      </c>
      <c r="AJ12" s="301" t="str">
        <f t="shared" si="9"/>
        <v xml:space="preserve"> </v>
      </c>
      <c r="AK12" s="218"/>
      <c r="AL12" s="219" t="e">
        <f t="shared" si="2"/>
        <v>#N/A</v>
      </c>
      <c r="AM12" s="219" t="e">
        <f t="shared" si="3"/>
        <v>#N/A</v>
      </c>
      <c r="AN12" s="219" t="e">
        <f t="shared" si="10"/>
        <v>#N/A</v>
      </c>
      <c r="AO12" s="219" t="e">
        <f t="shared" si="11"/>
        <v>#N/A</v>
      </c>
      <c r="AP12" s="220" t="e">
        <f t="shared" si="12"/>
        <v>#N/A</v>
      </c>
      <c r="AQ12" s="214" t="e">
        <f t="shared" si="4"/>
        <v>#N/A</v>
      </c>
      <c r="AR12" s="120"/>
      <c r="AY12" s="408" t="str">
        <f t="shared" si="13"/>
        <v/>
      </c>
    </row>
    <row r="13" spans="1:61" ht="59.25" customHeight="1">
      <c r="B13" s="109">
        <v>9</v>
      </c>
      <c r="C13" s="110">
        <f>SISWA!B14</f>
        <v>0</v>
      </c>
      <c r="D13" s="111" t="str">
        <f>SISWA!E14</f>
        <v>Anak 9</v>
      </c>
      <c r="E13" s="520"/>
      <c r="F13" s="520"/>
      <c r="G13" s="520"/>
      <c r="H13" s="520"/>
      <c r="I13" s="520"/>
      <c r="J13" s="520"/>
      <c r="K13" s="520"/>
      <c r="L13" s="520"/>
      <c r="M13" s="520"/>
      <c r="N13" s="533" t="str">
        <f t="shared" si="5"/>
        <v/>
      </c>
      <c r="O13" s="533" t="str">
        <f t="shared" si="6"/>
        <v/>
      </c>
      <c r="P13" s="533" t="str">
        <f t="shared" si="7"/>
        <v/>
      </c>
      <c r="Q13" s="514"/>
      <c r="R13" s="514"/>
      <c r="S13" s="514"/>
      <c r="T13" s="514"/>
      <c r="U13" s="514"/>
      <c r="V13" s="514"/>
      <c r="W13" s="513"/>
      <c r="X13" s="513"/>
      <c r="Y13" s="513"/>
      <c r="Z13" s="513"/>
      <c r="AA13" s="514"/>
      <c r="AB13" s="514"/>
      <c r="AC13" s="513"/>
      <c r="AD13" s="302" t="e">
        <f t="shared" si="8"/>
        <v>#DIV/0!</v>
      </c>
      <c r="AE13" s="303" t="e">
        <f>IF(AD13&gt;KKM!$G$10,"A",IF(AD13&gt;KKM!$H$10,"B",IF(AD13&gt;=KKM!$I$10,"C","D")))</f>
        <v>#DIV/0!</v>
      </c>
      <c r="AF13" s="523">
        <f t="shared" si="0"/>
        <v>0</v>
      </c>
      <c r="AG13" s="309" t="str">
        <f>IF(AF13&gt;KKM!$G$10," sangat baik ",IF(AF13&gt;KKM!$H$10," baik ",IF(AF13&gt;=KKM!$I$10," cukup baik "," perlu bimbingan ")))</f>
        <v xml:space="preserve"> perlu bimbingan </v>
      </c>
      <c r="AH13" s="524">
        <f t="shared" si="1"/>
        <v>0</v>
      </c>
      <c r="AI13" s="309" t="str">
        <f>IF(AH13&gt;KKM!$G$10," sangat baik ",IF(AH13&gt;KKM!$H$10," baik ",IF(AH13&gt;=KKM!$I$10," cukup baik "," perlu bimbingan ")))</f>
        <v xml:space="preserve"> perlu bimbingan </v>
      </c>
      <c r="AJ13" s="301" t="str">
        <f t="shared" si="9"/>
        <v xml:space="preserve"> </v>
      </c>
      <c r="AK13" s="218"/>
      <c r="AL13" s="219" t="e">
        <f t="shared" si="2"/>
        <v>#N/A</v>
      </c>
      <c r="AM13" s="219" t="e">
        <f t="shared" si="3"/>
        <v>#N/A</v>
      </c>
      <c r="AN13" s="219" t="e">
        <f t="shared" si="10"/>
        <v>#N/A</v>
      </c>
      <c r="AO13" s="219" t="e">
        <f t="shared" si="11"/>
        <v>#N/A</v>
      </c>
      <c r="AP13" s="220" t="e">
        <f t="shared" si="12"/>
        <v>#N/A</v>
      </c>
      <c r="AQ13" s="214" t="e">
        <f t="shared" si="4"/>
        <v>#N/A</v>
      </c>
      <c r="AR13" s="120"/>
      <c r="AY13" s="408" t="str">
        <f t="shared" si="13"/>
        <v/>
      </c>
    </row>
    <row r="14" spans="1:61" ht="59.25" customHeight="1">
      <c r="B14" s="109">
        <v>10</v>
      </c>
      <c r="C14" s="110">
        <f>SISWA!B15</f>
        <v>0</v>
      </c>
      <c r="D14" s="111" t="str">
        <f>SISWA!E15</f>
        <v>Anak 10</v>
      </c>
      <c r="E14" s="520"/>
      <c r="F14" s="520"/>
      <c r="G14" s="520"/>
      <c r="H14" s="520"/>
      <c r="I14" s="520"/>
      <c r="J14" s="520"/>
      <c r="K14" s="520"/>
      <c r="L14" s="520"/>
      <c r="M14" s="520"/>
      <c r="N14" s="533" t="str">
        <f t="shared" si="5"/>
        <v/>
      </c>
      <c r="O14" s="533" t="str">
        <f t="shared" si="6"/>
        <v/>
      </c>
      <c r="P14" s="533" t="str">
        <f t="shared" si="7"/>
        <v/>
      </c>
      <c r="Q14" s="514"/>
      <c r="R14" s="514"/>
      <c r="S14" s="514"/>
      <c r="T14" s="514"/>
      <c r="U14" s="514"/>
      <c r="V14" s="514"/>
      <c r="W14" s="513"/>
      <c r="X14" s="513"/>
      <c r="Y14" s="513"/>
      <c r="Z14" s="513"/>
      <c r="AA14" s="514"/>
      <c r="AB14" s="514"/>
      <c r="AC14" s="513"/>
      <c r="AD14" s="302" t="e">
        <f t="shared" si="8"/>
        <v>#DIV/0!</v>
      </c>
      <c r="AE14" s="303" t="e">
        <f>IF(AD14&gt;KKM!$G$10,"A",IF(AD14&gt;KKM!$H$10,"B",IF(AD14&gt;=KKM!$I$10,"C","D")))</f>
        <v>#DIV/0!</v>
      </c>
      <c r="AF14" s="523">
        <f t="shared" si="0"/>
        <v>0</v>
      </c>
      <c r="AG14" s="309" t="str">
        <f>IF(AF14&gt;KKM!$G$10," sangat baik ",IF(AF14&gt;KKM!$H$10," baik ",IF(AF14&gt;=KKM!$I$10," cukup baik "," perlu bimbingan ")))</f>
        <v xml:space="preserve"> perlu bimbingan </v>
      </c>
      <c r="AH14" s="524">
        <f t="shared" si="1"/>
        <v>0</v>
      </c>
      <c r="AI14" s="309" t="str">
        <f>IF(AH14&gt;KKM!$G$10," sangat baik ",IF(AH14&gt;KKM!$H$10," baik ",IF(AH14&gt;=KKM!$I$10," cukup baik "," perlu bimbingan ")))</f>
        <v xml:space="preserve"> perlu bimbingan </v>
      </c>
      <c r="AJ14" s="301" t="str">
        <f t="shared" si="9"/>
        <v xml:space="preserve"> </v>
      </c>
      <c r="AK14" s="218"/>
      <c r="AL14" s="219" t="e">
        <f t="shared" si="2"/>
        <v>#N/A</v>
      </c>
      <c r="AM14" s="219" t="e">
        <f t="shared" si="3"/>
        <v>#N/A</v>
      </c>
      <c r="AN14" s="219" t="e">
        <f t="shared" si="10"/>
        <v>#N/A</v>
      </c>
      <c r="AO14" s="219" t="e">
        <f t="shared" si="11"/>
        <v>#N/A</v>
      </c>
      <c r="AP14" s="220" t="e">
        <f t="shared" si="12"/>
        <v>#N/A</v>
      </c>
      <c r="AQ14" s="214" t="e">
        <f t="shared" si="4"/>
        <v>#N/A</v>
      </c>
      <c r="AR14" s="120"/>
      <c r="AY14" s="408" t="str">
        <f t="shared" si="13"/>
        <v/>
      </c>
    </row>
    <row r="15" spans="1:61" ht="59.25" customHeight="1">
      <c r="B15" s="109">
        <v>11</v>
      </c>
      <c r="C15" s="110">
        <f>SISWA!B16</f>
        <v>0</v>
      </c>
      <c r="D15" s="111" t="str">
        <f>SISWA!E16</f>
        <v>Anak 11</v>
      </c>
      <c r="E15" s="520"/>
      <c r="F15" s="520"/>
      <c r="G15" s="520"/>
      <c r="H15" s="520"/>
      <c r="I15" s="520"/>
      <c r="J15" s="520"/>
      <c r="K15" s="520"/>
      <c r="L15" s="520"/>
      <c r="M15" s="520"/>
      <c r="N15" s="533" t="str">
        <f t="shared" si="5"/>
        <v/>
      </c>
      <c r="O15" s="533" t="str">
        <f t="shared" si="6"/>
        <v/>
      </c>
      <c r="P15" s="533" t="str">
        <f t="shared" si="7"/>
        <v/>
      </c>
      <c r="Q15" s="514"/>
      <c r="R15" s="514"/>
      <c r="S15" s="514"/>
      <c r="T15" s="514"/>
      <c r="U15" s="514"/>
      <c r="V15" s="514"/>
      <c r="W15" s="513"/>
      <c r="X15" s="513"/>
      <c r="Y15" s="513"/>
      <c r="Z15" s="513"/>
      <c r="AA15" s="514"/>
      <c r="AB15" s="514"/>
      <c r="AC15" s="513"/>
      <c r="AD15" s="302" t="e">
        <f t="shared" si="8"/>
        <v>#DIV/0!</v>
      </c>
      <c r="AE15" s="303" t="e">
        <f>IF(AD15&gt;KKM!$G$10,"A",IF(AD15&gt;KKM!$H$10,"B",IF(AD15&gt;=KKM!$I$10,"C","D")))</f>
        <v>#DIV/0!</v>
      </c>
      <c r="AF15" s="523">
        <f t="shared" si="0"/>
        <v>0</v>
      </c>
      <c r="AG15" s="309" t="str">
        <f>IF(AF15&gt;KKM!$G$10," sangat baik ",IF(AF15&gt;KKM!$H$10," baik ",IF(AF15&gt;=KKM!$I$10," cukup baik "," perlu bimbingan ")))</f>
        <v xml:space="preserve"> perlu bimbingan </v>
      </c>
      <c r="AH15" s="524">
        <f t="shared" si="1"/>
        <v>0</v>
      </c>
      <c r="AI15" s="309" t="str">
        <f>IF(AH15&gt;KKM!$G$10," sangat baik ",IF(AH15&gt;KKM!$H$10," baik ",IF(AH15&gt;=KKM!$I$10," cukup baik "," perlu bimbingan ")))</f>
        <v xml:space="preserve"> perlu bimbingan </v>
      </c>
      <c r="AJ15" s="301" t="str">
        <f t="shared" si="9"/>
        <v xml:space="preserve"> </v>
      </c>
      <c r="AK15" s="218"/>
      <c r="AL15" s="219" t="e">
        <f t="shared" si="2"/>
        <v>#N/A</v>
      </c>
      <c r="AM15" s="219" t="e">
        <f t="shared" si="3"/>
        <v>#N/A</v>
      </c>
      <c r="AN15" s="219" t="e">
        <f t="shared" si="10"/>
        <v>#N/A</v>
      </c>
      <c r="AO15" s="219" t="e">
        <f t="shared" si="11"/>
        <v>#N/A</v>
      </c>
      <c r="AP15" s="220" t="e">
        <f t="shared" si="12"/>
        <v>#N/A</v>
      </c>
      <c r="AQ15" s="214" t="e">
        <f t="shared" si="4"/>
        <v>#N/A</v>
      </c>
      <c r="AR15" s="120"/>
      <c r="AY15" s="408" t="str">
        <f t="shared" si="13"/>
        <v/>
      </c>
    </row>
    <row r="16" spans="1:61" ht="59.25" customHeight="1">
      <c r="B16" s="109">
        <v>12</v>
      </c>
      <c r="C16" s="110">
        <f>SISWA!B17</f>
        <v>0</v>
      </c>
      <c r="D16" s="111" t="str">
        <f>SISWA!E17</f>
        <v>Anak 12</v>
      </c>
      <c r="E16" s="520"/>
      <c r="F16" s="520"/>
      <c r="G16" s="520"/>
      <c r="H16" s="520"/>
      <c r="I16" s="520"/>
      <c r="J16" s="520"/>
      <c r="K16" s="520"/>
      <c r="L16" s="520"/>
      <c r="M16" s="520"/>
      <c r="N16" s="533" t="str">
        <f t="shared" si="5"/>
        <v/>
      </c>
      <c r="O16" s="533" t="str">
        <f t="shared" si="6"/>
        <v/>
      </c>
      <c r="P16" s="533" t="str">
        <f t="shared" si="7"/>
        <v/>
      </c>
      <c r="Q16" s="514"/>
      <c r="R16" s="514"/>
      <c r="S16" s="514"/>
      <c r="T16" s="514"/>
      <c r="U16" s="514"/>
      <c r="V16" s="514"/>
      <c r="W16" s="513"/>
      <c r="X16" s="513"/>
      <c r="Y16" s="513"/>
      <c r="Z16" s="513"/>
      <c r="AA16" s="514"/>
      <c r="AB16" s="514"/>
      <c r="AC16" s="513"/>
      <c r="AD16" s="302" t="e">
        <f t="shared" si="8"/>
        <v>#DIV/0!</v>
      </c>
      <c r="AE16" s="303" t="e">
        <f>IF(AD16&gt;KKM!$G$10,"A",IF(AD16&gt;KKM!$H$10,"B",IF(AD16&gt;=KKM!$I$10,"C","D")))</f>
        <v>#DIV/0!</v>
      </c>
      <c r="AF16" s="523">
        <f t="shared" si="0"/>
        <v>0</v>
      </c>
      <c r="AG16" s="309" t="str">
        <f>IF(AF16&gt;KKM!$G$10," sangat baik ",IF(AF16&gt;KKM!$H$10," baik ",IF(AF16&gt;=KKM!$I$10," cukup baik "," perlu bimbingan ")))</f>
        <v xml:space="preserve"> perlu bimbingan </v>
      </c>
      <c r="AH16" s="524">
        <f t="shared" si="1"/>
        <v>0</v>
      </c>
      <c r="AI16" s="309" t="str">
        <f>IF(AH16&gt;KKM!$G$10," sangat baik ",IF(AH16&gt;KKM!$H$10," baik ",IF(AH16&gt;=KKM!$I$10," cukup baik "," perlu bimbingan ")))</f>
        <v xml:space="preserve"> perlu bimbingan </v>
      </c>
      <c r="AJ16" s="301" t="str">
        <f t="shared" si="9"/>
        <v xml:space="preserve"> </v>
      </c>
      <c r="AK16" s="218"/>
      <c r="AL16" s="219" t="e">
        <f t="shared" si="2"/>
        <v>#N/A</v>
      </c>
      <c r="AM16" s="219" t="e">
        <f t="shared" si="3"/>
        <v>#N/A</v>
      </c>
      <c r="AN16" s="219" t="e">
        <f t="shared" si="10"/>
        <v>#N/A</v>
      </c>
      <c r="AO16" s="219" t="e">
        <f t="shared" si="11"/>
        <v>#N/A</v>
      </c>
      <c r="AP16" s="220" t="e">
        <f t="shared" si="12"/>
        <v>#N/A</v>
      </c>
      <c r="AQ16" s="214" t="e">
        <f t="shared" si="4"/>
        <v>#N/A</v>
      </c>
      <c r="AR16" s="120"/>
      <c r="AY16" s="408" t="str">
        <f t="shared" si="13"/>
        <v/>
      </c>
    </row>
    <row r="17" spans="2:51" ht="59.25" customHeight="1">
      <c r="B17" s="109">
        <v>13</v>
      </c>
      <c r="C17" s="110">
        <f>SISWA!B18</f>
        <v>0</v>
      </c>
      <c r="D17" s="111" t="str">
        <f>SISWA!E18</f>
        <v>Anak 13</v>
      </c>
      <c r="E17" s="520"/>
      <c r="F17" s="520"/>
      <c r="G17" s="520"/>
      <c r="H17" s="520"/>
      <c r="I17" s="520"/>
      <c r="J17" s="520"/>
      <c r="K17" s="520"/>
      <c r="L17" s="520"/>
      <c r="M17" s="520"/>
      <c r="N17" s="533" t="str">
        <f t="shared" si="5"/>
        <v/>
      </c>
      <c r="O17" s="533" t="str">
        <f t="shared" si="6"/>
        <v/>
      </c>
      <c r="P17" s="533" t="str">
        <f t="shared" si="7"/>
        <v/>
      </c>
      <c r="Q17" s="514"/>
      <c r="R17" s="514"/>
      <c r="S17" s="514"/>
      <c r="T17" s="514"/>
      <c r="U17" s="514"/>
      <c r="V17" s="514"/>
      <c r="W17" s="513"/>
      <c r="X17" s="513"/>
      <c r="Y17" s="513"/>
      <c r="Z17" s="513"/>
      <c r="AA17" s="514"/>
      <c r="AB17" s="514"/>
      <c r="AC17" s="513"/>
      <c r="AD17" s="302" t="e">
        <f t="shared" si="8"/>
        <v>#DIV/0!</v>
      </c>
      <c r="AE17" s="303" t="e">
        <f>IF(AD17&gt;KKM!$G$10,"A",IF(AD17&gt;KKM!$H$10,"B",IF(AD17&gt;=KKM!$I$10,"C","D")))</f>
        <v>#DIV/0!</v>
      </c>
      <c r="AF17" s="523">
        <f t="shared" si="0"/>
        <v>0</v>
      </c>
      <c r="AG17" s="309" t="str">
        <f>IF(AF17&gt;KKM!$G$10," sangat baik ",IF(AF17&gt;KKM!$H$10," baik ",IF(AF17&gt;=KKM!$I$10," cukup baik "," perlu bimbingan ")))</f>
        <v xml:space="preserve"> perlu bimbingan </v>
      </c>
      <c r="AH17" s="524">
        <f t="shared" si="1"/>
        <v>0</v>
      </c>
      <c r="AI17" s="309" t="str">
        <f>IF(AH17&gt;KKM!$G$10," sangat baik ",IF(AH17&gt;KKM!$H$10," baik ",IF(AH17&gt;=KKM!$I$10," cukup baik "," perlu bimbingan ")))</f>
        <v xml:space="preserve"> perlu bimbingan </v>
      </c>
      <c r="AJ17" s="301" t="str">
        <f t="shared" si="9"/>
        <v xml:space="preserve"> </v>
      </c>
      <c r="AK17" s="218"/>
      <c r="AL17" s="219" t="e">
        <f t="shared" si="2"/>
        <v>#N/A</v>
      </c>
      <c r="AM17" s="219" t="e">
        <f t="shared" si="3"/>
        <v>#N/A</v>
      </c>
      <c r="AN17" s="219" t="e">
        <f t="shared" si="10"/>
        <v>#N/A</v>
      </c>
      <c r="AO17" s="219" t="e">
        <f t="shared" si="11"/>
        <v>#N/A</v>
      </c>
      <c r="AP17" s="220" t="e">
        <f t="shared" si="12"/>
        <v>#N/A</v>
      </c>
      <c r="AQ17" s="214" t="e">
        <f t="shared" si="4"/>
        <v>#N/A</v>
      </c>
      <c r="AR17" s="120"/>
      <c r="AY17" s="408" t="str">
        <f t="shared" si="13"/>
        <v/>
      </c>
    </row>
    <row r="18" spans="2:51" ht="59.25" customHeight="1">
      <c r="B18" s="109">
        <v>14</v>
      </c>
      <c r="C18" s="110">
        <f>SISWA!B19</f>
        <v>0</v>
      </c>
      <c r="D18" s="111" t="str">
        <f>SISWA!E19</f>
        <v>Anak 14</v>
      </c>
      <c r="E18" s="520"/>
      <c r="F18" s="520"/>
      <c r="G18" s="520"/>
      <c r="H18" s="520"/>
      <c r="I18" s="520"/>
      <c r="J18" s="520"/>
      <c r="K18" s="520"/>
      <c r="L18" s="520"/>
      <c r="M18" s="520"/>
      <c r="N18" s="533" t="str">
        <f t="shared" si="5"/>
        <v/>
      </c>
      <c r="O18" s="533" t="str">
        <f t="shared" si="6"/>
        <v/>
      </c>
      <c r="P18" s="533" t="str">
        <f t="shared" si="7"/>
        <v/>
      </c>
      <c r="Q18" s="514"/>
      <c r="R18" s="514"/>
      <c r="S18" s="514"/>
      <c r="T18" s="514"/>
      <c r="U18" s="514"/>
      <c r="V18" s="514"/>
      <c r="W18" s="513"/>
      <c r="X18" s="513"/>
      <c r="Y18" s="513"/>
      <c r="Z18" s="513"/>
      <c r="AA18" s="514"/>
      <c r="AB18" s="514"/>
      <c r="AC18" s="513"/>
      <c r="AD18" s="302" t="e">
        <f t="shared" si="8"/>
        <v>#DIV/0!</v>
      </c>
      <c r="AE18" s="303" t="e">
        <f>IF(AD18&gt;KKM!$G$10,"A",IF(AD18&gt;KKM!$H$10,"B",IF(AD18&gt;=KKM!$I$10,"C","D")))</f>
        <v>#DIV/0!</v>
      </c>
      <c r="AF18" s="523">
        <f t="shared" si="0"/>
        <v>0</v>
      </c>
      <c r="AG18" s="309" t="str">
        <f>IF(AF18&gt;KKM!$G$10," sangat baik ",IF(AF18&gt;KKM!$H$10," baik ",IF(AF18&gt;=KKM!$I$10," cukup baik "," perlu bimbingan ")))</f>
        <v xml:space="preserve"> perlu bimbingan </v>
      </c>
      <c r="AH18" s="524">
        <f t="shared" si="1"/>
        <v>0</v>
      </c>
      <c r="AI18" s="309" t="str">
        <f>IF(AH18&gt;KKM!$G$10," sangat baik ",IF(AH18&gt;KKM!$H$10," baik ",IF(AH18&gt;=KKM!$I$10," cukup baik "," perlu bimbingan ")))</f>
        <v xml:space="preserve"> perlu bimbingan </v>
      </c>
      <c r="AJ18" s="301" t="str">
        <f t="shared" si="9"/>
        <v xml:space="preserve"> </v>
      </c>
      <c r="AK18" s="218"/>
      <c r="AL18" s="219" t="e">
        <f t="shared" si="2"/>
        <v>#N/A</v>
      </c>
      <c r="AM18" s="219" t="e">
        <f t="shared" si="3"/>
        <v>#N/A</v>
      </c>
      <c r="AN18" s="219" t="e">
        <f t="shared" si="10"/>
        <v>#N/A</v>
      </c>
      <c r="AO18" s="219" t="e">
        <f t="shared" si="11"/>
        <v>#N/A</v>
      </c>
      <c r="AP18" s="220" t="e">
        <f t="shared" si="12"/>
        <v>#N/A</v>
      </c>
      <c r="AQ18" s="214" t="e">
        <f t="shared" si="4"/>
        <v>#N/A</v>
      </c>
      <c r="AR18" s="120"/>
      <c r="AY18" s="408" t="str">
        <f t="shared" si="13"/>
        <v/>
      </c>
    </row>
    <row r="19" spans="2:51" ht="59.25" customHeight="1">
      <c r="B19" s="109">
        <v>15</v>
      </c>
      <c r="C19" s="110">
        <f>SISWA!B20</f>
        <v>0</v>
      </c>
      <c r="D19" s="111" t="str">
        <f>SISWA!E20</f>
        <v>Anak 15</v>
      </c>
      <c r="E19" s="520"/>
      <c r="F19" s="520"/>
      <c r="G19" s="520"/>
      <c r="H19" s="520"/>
      <c r="I19" s="520"/>
      <c r="J19" s="520"/>
      <c r="K19" s="520"/>
      <c r="L19" s="520"/>
      <c r="M19" s="520"/>
      <c r="N19" s="533" t="str">
        <f t="shared" si="5"/>
        <v/>
      </c>
      <c r="O19" s="533" t="str">
        <f t="shared" si="6"/>
        <v/>
      </c>
      <c r="P19" s="533" t="str">
        <f t="shared" si="7"/>
        <v/>
      </c>
      <c r="Q19" s="514"/>
      <c r="R19" s="514"/>
      <c r="S19" s="514"/>
      <c r="T19" s="514"/>
      <c r="U19" s="514"/>
      <c r="V19" s="514"/>
      <c r="W19" s="513"/>
      <c r="X19" s="513"/>
      <c r="Y19" s="513"/>
      <c r="Z19" s="513"/>
      <c r="AA19" s="514"/>
      <c r="AB19" s="514"/>
      <c r="AC19" s="513"/>
      <c r="AD19" s="302" t="e">
        <f t="shared" si="8"/>
        <v>#DIV/0!</v>
      </c>
      <c r="AE19" s="303" t="e">
        <f>IF(AD19&gt;KKM!$G$10,"A",IF(AD19&gt;KKM!$H$10,"B",IF(AD19&gt;=KKM!$I$10,"C","D")))</f>
        <v>#DIV/0!</v>
      </c>
      <c r="AF19" s="523">
        <f t="shared" si="0"/>
        <v>0</v>
      </c>
      <c r="AG19" s="309" t="str">
        <f>IF(AF19&gt;KKM!$G$10," sangat baik ",IF(AF19&gt;KKM!$H$10," baik ",IF(AF19&gt;=KKM!$I$10," cukup baik "," perlu bimbingan ")))</f>
        <v xml:space="preserve"> perlu bimbingan </v>
      </c>
      <c r="AH19" s="524">
        <f t="shared" si="1"/>
        <v>0</v>
      </c>
      <c r="AI19" s="309" t="str">
        <f>IF(AH19&gt;KKM!$G$10," sangat baik ",IF(AH19&gt;KKM!$H$10," baik ",IF(AH19&gt;=KKM!$I$10," cukup baik "," perlu bimbingan ")))</f>
        <v xml:space="preserve"> perlu bimbingan </v>
      </c>
      <c r="AJ19" s="301" t="str">
        <f t="shared" si="9"/>
        <v xml:space="preserve"> </v>
      </c>
      <c r="AK19" s="218"/>
      <c r="AL19" s="219" t="e">
        <f t="shared" si="2"/>
        <v>#N/A</v>
      </c>
      <c r="AM19" s="219" t="e">
        <f t="shared" si="3"/>
        <v>#N/A</v>
      </c>
      <c r="AN19" s="219" t="e">
        <f t="shared" si="10"/>
        <v>#N/A</v>
      </c>
      <c r="AO19" s="219" t="e">
        <f t="shared" si="11"/>
        <v>#N/A</v>
      </c>
      <c r="AP19" s="220" t="e">
        <f t="shared" si="12"/>
        <v>#N/A</v>
      </c>
      <c r="AQ19" s="214" t="e">
        <f t="shared" si="4"/>
        <v>#N/A</v>
      </c>
      <c r="AR19" s="120"/>
      <c r="AY19" s="408" t="str">
        <f t="shared" si="13"/>
        <v/>
      </c>
    </row>
    <row r="20" spans="2:51" ht="59.25" customHeight="1">
      <c r="B20" s="109">
        <v>16</v>
      </c>
      <c r="C20" s="110">
        <f>SISWA!B21</f>
        <v>0</v>
      </c>
      <c r="D20" s="111" t="str">
        <f>SISWA!E21</f>
        <v>Anak 16</v>
      </c>
      <c r="E20" s="520"/>
      <c r="F20" s="520"/>
      <c r="G20" s="520"/>
      <c r="H20" s="520"/>
      <c r="I20" s="520"/>
      <c r="J20" s="520"/>
      <c r="K20" s="520"/>
      <c r="L20" s="520"/>
      <c r="M20" s="520"/>
      <c r="N20" s="533" t="str">
        <f t="shared" si="5"/>
        <v/>
      </c>
      <c r="O20" s="533" t="str">
        <f t="shared" si="6"/>
        <v/>
      </c>
      <c r="P20" s="533" t="str">
        <f t="shared" si="7"/>
        <v/>
      </c>
      <c r="Q20" s="514"/>
      <c r="R20" s="514"/>
      <c r="S20" s="514"/>
      <c r="T20" s="514"/>
      <c r="U20" s="514"/>
      <c r="V20" s="514"/>
      <c r="W20" s="513"/>
      <c r="X20" s="513"/>
      <c r="Y20" s="513"/>
      <c r="Z20" s="513"/>
      <c r="AA20" s="514"/>
      <c r="AB20" s="514"/>
      <c r="AC20" s="513"/>
      <c r="AD20" s="302" t="e">
        <f t="shared" si="8"/>
        <v>#DIV/0!</v>
      </c>
      <c r="AE20" s="303" t="e">
        <f>IF(AD20&gt;KKM!$G$10,"A",IF(AD20&gt;KKM!$H$10,"B",IF(AD20&gt;=KKM!$I$10,"C","D")))</f>
        <v>#DIV/0!</v>
      </c>
      <c r="AF20" s="523">
        <f t="shared" si="0"/>
        <v>0</v>
      </c>
      <c r="AG20" s="309" t="str">
        <f>IF(AF20&gt;KKM!$G$10," sangat baik ",IF(AF20&gt;KKM!$H$10," baik ",IF(AF20&gt;=KKM!$I$10," cukup baik "," perlu bimbingan ")))</f>
        <v xml:space="preserve"> perlu bimbingan </v>
      </c>
      <c r="AH20" s="524">
        <f t="shared" si="1"/>
        <v>0</v>
      </c>
      <c r="AI20" s="309" t="str">
        <f>IF(AH20&gt;KKM!$G$10," sangat baik ",IF(AH20&gt;KKM!$H$10," baik ",IF(AH20&gt;=KKM!$I$10," cukup baik "," perlu bimbingan ")))</f>
        <v xml:space="preserve"> perlu bimbingan </v>
      </c>
      <c r="AJ20" s="301" t="str">
        <f t="shared" si="9"/>
        <v xml:space="preserve"> </v>
      </c>
      <c r="AK20" s="218"/>
      <c r="AL20" s="219" t="e">
        <f t="shared" si="2"/>
        <v>#N/A</v>
      </c>
      <c r="AM20" s="219" t="e">
        <f t="shared" si="3"/>
        <v>#N/A</v>
      </c>
      <c r="AN20" s="219" t="e">
        <f t="shared" si="10"/>
        <v>#N/A</v>
      </c>
      <c r="AO20" s="219" t="e">
        <f t="shared" si="11"/>
        <v>#N/A</v>
      </c>
      <c r="AP20" s="220" t="e">
        <f t="shared" si="12"/>
        <v>#N/A</v>
      </c>
      <c r="AQ20" s="214" t="e">
        <f t="shared" si="4"/>
        <v>#N/A</v>
      </c>
      <c r="AR20" s="120"/>
      <c r="AY20" s="408" t="str">
        <f t="shared" si="13"/>
        <v/>
      </c>
    </row>
    <row r="21" spans="2:51" ht="59.25" customHeight="1">
      <c r="B21" s="109">
        <v>17</v>
      </c>
      <c r="C21" s="110">
        <f>SISWA!B22</f>
        <v>0</v>
      </c>
      <c r="D21" s="111" t="str">
        <f>SISWA!E22</f>
        <v>Anak 17</v>
      </c>
      <c r="E21" s="520"/>
      <c r="F21" s="520"/>
      <c r="G21" s="520"/>
      <c r="H21" s="520"/>
      <c r="I21" s="520"/>
      <c r="J21" s="520"/>
      <c r="K21" s="520"/>
      <c r="L21" s="520"/>
      <c r="M21" s="520"/>
      <c r="N21" s="533" t="str">
        <f t="shared" si="5"/>
        <v/>
      </c>
      <c r="O21" s="533" t="str">
        <f t="shared" si="6"/>
        <v/>
      </c>
      <c r="P21" s="533" t="str">
        <f t="shared" si="7"/>
        <v/>
      </c>
      <c r="Q21" s="514"/>
      <c r="R21" s="514"/>
      <c r="S21" s="514"/>
      <c r="T21" s="514"/>
      <c r="U21" s="514"/>
      <c r="V21" s="514"/>
      <c r="W21" s="513"/>
      <c r="X21" s="513"/>
      <c r="Y21" s="513"/>
      <c r="Z21" s="513"/>
      <c r="AA21" s="514"/>
      <c r="AB21" s="514"/>
      <c r="AC21" s="513"/>
      <c r="AD21" s="302" t="e">
        <f t="shared" si="8"/>
        <v>#DIV/0!</v>
      </c>
      <c r="AE21" s="303" t="e">
        <f>IF(AD21&gt;KKM!$G$10,"A",IF(AD21&gt;KKM!$H$10,"B",IF(AD21&gt;=KKM!$I$10,"C","D")))</f>
        <v>#DIV/0!</v>
      </c>
      <c r="AF21" s="523">
        <f t="shared" si="0"/>
        <v>0</v>
      </c>
      <c r="AG21" s="309" t="str">
        <f>IF(AF21&gt;KKM!$G$10," sangat baik ",IF(AF21&gt;KKM!$H$10," baik ",IF(AF21&gt;=KKM!$I$10," cukup baik "," perlu bimbingan ")))</f>
        <v xml:space="preserve"> perlu bimbingan </v>
      </c>
      <c r="AH21" s="524">
        <f t="shared" si="1"/>
        <v>0</v>
      </c>
      <c r="AI21" s="309" t="str">
        <f>IF(AH21&gt;KKM!$G$10," sangat baik ",IF(AH21&gt;KKM!$H$10," baik ",IF(AH21&gt;=KKM!$I$10," cukup baik "," perlu bimbingan ")))</f>
        <v xml:space="preserve"> perlu bimbingan </v>
      </c>
      <c r="AJ21" s="301" t="str">
        <f t="shared" si="9"/>
        <v xml:space="preserve"> </v>
      </c>
      <c r="AK21" s="218"/>
      <c r="AL21" s="219" t="e">
        <f t="shared" si="2"/>
        <v>#N/A</v>
      </c>
      <c r="AM21" s="219" t="e">
        <f t="shared" si="3"/>
        <v>#N/A</v>
      </c>
      <c r="AN21" s="219" t="e">
        <f t="shared" si="10"/>
        <v>#N/A</v>
      </c>
      <c r="AO21" s="219" t="e">
        <f t="shared" si="11"/>
        <v>#N/A</v>
      </c>
      <c r="AP21" s="220" t="e">
        <f t="shared" si="12"/>
        <v>#N/A</v>
      </c>
      <c r="AQ21" s="214" t="e">
        <f t="shared" si="4"/>
        <v>#N/A</v>
      </c>
      <c r="AR21" s="120"/>
      <c r="AY21" s="408" t="str">
        <f t="shared" si="13"/>
        <v/>
      </c>
    </row>
    <row r="22" spans="2:51" ht="59.25" customHeight="1">
      <c r="B22" s="109">
        <v>18</v>
      </c>
      <c r="C22" s="110">
        <f>SISWA!B23</f>
        <v>0</v>
      </c>
      <c r="D22" s="111" t="str">
        <f>SISWA!E23</f>
        <v>Anak 18</v>
      </c>
      <c r="E22" s="520"/>
      <c r="F22" s="520"/>
      <c r="G22" s="520"/>
      <c r="H22" s="520"/>
      <c r="I22" s="520"/>
      <c r="J22" s="520"/>
      <c r="K22" s="520"/>
      <c r="L22" s="520"/>
      <c r="M22" s="520"/>
      <c r="N22" s="533" t="str">
        <f t="shared" si="5"/>
        <v/>
      </c>
      <c r="O22" s="533" t="str">
        <f t="shared" si="6"/>
        <v/>
      </c>
      <c r="P22" s="533" t="str">
        <f t="shared" si="7"/>
        <v/>
      </c>
      <c r="Q22" s="514"/>
      <c r="R22" s="514"/>
      <c r="S22" s="514"/>
      <c r="T22" s="514"/>
      <c r="U22" s="514"/>
      <c r="V22" s="514"/>
      <c r="W22" s="513"/>
      <c r="X22" s="513"/>
      <c r="Y22" s="513"/>
      <c r="Z22" s="513"/>
      <c r="AA22" s="514"/>
      <c r="AB22" s="514"/>
      <c r="AC22" s="513"/>
      <c r="AD22" s="302" t="e">
        <f t="shared" si="8"/>
        <v>#DIV/0!</v>
      </c>
      <c r="AE22" s="303" t="e">
        <f>IF(AD22&gt;KKM!$G$10,"A",IF(AD22&gt;KKM!$H$10,"B",IF(AD22&gt;=KKM!$I$10,"C","D")))</f>
        <v>#DIV/0!</v>
      </c>
      <c r="AF22" s="523">
        <f t="shared" si="0"/>
        <v>0</v>
      </c>
      <c r="AG22" s="309" t="str">
        <f>IF(AF22&gt;KKM!$G$10," sangat baik ",IF(AF22&gt;KKM!$H$10," baik ",IF(AF22&gt;=KKM!$I$10," cukup baik "," perlu bimbingan ")))</f>
        <v xml:space="preserve"> perlu bimbingan </v>
      </c>
      <c r="AH22" s="524">
        <f t="shared" si="1"/>
        <v>0</v>
      </c>
      <c r="AI22" s="309" t="str">
        <f>IF(AH22&gt;KKM!$G$10," sangat baik ",IF(AH22&gt;KKM!$H$10," baik ",IF(AH22&gt;=KKM!$I$10," cukup baik "," perlu bimbingan ")))</f>
        <v xml:space="preserve"> perlu bimbingan </v>
      </c>
      <c r="AJ22" s="301" t="str">
        <f t="shared" si="9"/>
        <v xml:space="preserve"> </v>
      </c>
      <c r="AK22" s="218"/>
      <c r="AL22" s="219" t="e">
        <f t="shared" si="2"/>
        <v>#N/A</v>
      </c>
      <c r="AM22" s="219" t="e">
        <f t="shared" si="3"/>
        <v>#N/A</v>
      </c>
      <c r="AN22" s="219" t="e">
        <f t="shared" si="10"/>
        <v>#N/A</v>
      </c>
      <c r="AO22" s="219" t="e">
        <f t="shared" si="11"/>
        <v>#N/A</v>
      </c>
      <c r="AP22" s="220" t="e">
        <f t="shared" si="12"/>
        <v>#N/A</v>
      </c>
      <c r="AQ22" s="214" t="e">
        <f t="shared" si="4"/>
        <v>#N/A</v>
      </c>
      <c r="AR22" s="120"/>
      <c r="AY22" s="408" t="str">
        <f t="shared" si="13"/>
        <v/>
      </c>
    </row>
    <row r="23" spans="2:51" ht="59.25" customHeight="1">
      <c r="B23" s="109">
        <v>19</v>
      </c>
      <c r="C23" s="110">
        <f>SISWA!B24</f>
        <v>0</v>
      </c>
      <c r="D23" s="111" t="str">
        <f>SISWA!E24</f>
        <v>Anak 19</v>
      </c>
      <c r="E23" s="520"/>
      <c r="F23" s="520"/>
      <c r="G23" s="520"/>
      <c r="H23" s="520"/>
      <c r="I23" s="520"/>
      <c r="J23" s="520"/>
      <c r="K23" s="520"/>
      <c r="L23" s="520"/>
      <c r="M23" s="520"/>
      <c r="N23" s="533" t="str">
        <f t="shared" si="5"/>
        <v/>
      </c>
      <c r="O23" s="533" t="str">
        <f t="shared" si="6"/>
        <v/>
      </c>
      <c r="P23" s="533" t="str">
        <f t="shared" si="7"/>
        <v/>
      </c>
      <c r="Q23" s="514"/>
      <c r="R23" s="514"/>
      <c r="S23" s="514"/>
      <c r="T23" s="514"/>
      <c r="U23" s="514"/>
      <c r="V23" s="514"/>
      <c r="W23" s="513"/>
      <c r="X23" s="513"/>
      <c r="Y23" s="513"/>
      <c r="Z23" s="513"/>
      <c r="AA23" s="514"/>
      <c r="AB23" s="514"/>
      <c r="AC23" s="513"/>
      <c r="AD23" s="302" t="e">
        <f t="shared" si="8"/>
        <v>#DIV/0!</v>
      </c>
      <c r="AE23" s="303" t="e">
        <f>IF(AD23&gt;KKM!$G$10,"A",IF(AD23&gt;KKM!$H$10,"B",IF(AD23&gt;=KKM!$I$10,"C","D")))</f>
        <v>#DIV/0!</v>
      </c>
      <c r="AF23" s="523">
        <f t="shared" si="0"/>
        <v>0</v>
      </c>
      <c r="AG23" s="309" t="str">
        <f>IF(AF23&gt;KKM!$G$10," sangat baik ",IF(AF23&gt;KKM!$H$10," baik ",IF(AF23&gt;=KKM!$I$10," cukup baik "," perlu bimbingan ")))</f>
        <v xml:space="preserve"> perlu bimbingan </v>
      </c>
      <c r="AH23" s="524">
        <f t="shared" si="1"/>
        <v>0</v>
      </c>
      <c r="AI23" s="309" t="str">
        <f>IF(AH23&gt;KKM!$G$10," sangat baik ",IF(AH23&gt;KKM!$H$10," baik ",IF(AH23&gt;=KKM!$I$10," cukup baik "," perlu bimbingan ")))</f>
        <v xml:space="preserve"> perlu bimbingan </v>
      </c>
      <c r="AJ23" s="301" t="str">
        <f t="shared" si="9"/>
        <v xml:space="preserve"> </v>
      </c>
      <c r="AK23" s="218"/>
      <c r="AL23" s="219" t="e">
        <f t="shared" si="2"/>
        <v>#N/A</v>
      </c>
      <c r="AM23" s="219" t="e">
        <f t="shared" si="3"/>
        <v>#N/A</v>
      </c>
      <c r="AN23" s="219" t="e">
        <f t="shared" si="10"/>
        <v>#N/A</v>
      </c>
      <c r="AO23" s="219" t="e">
        <f t="shared" si="11"/>
        <v>#N/A</v>
      </c>
      <c r="AP23" s="220" t="e">
        <f t="shared" si="12"/>
        <v>#N/A</v>
      </c>
      <c r="AQ23" s="214" t="e">
        <f t="shared" si="4"/>
        <v>#N/A</v>
      </c>
      <c r="AR23" s="120"/>
      <c r="AY23" s="408" t="str">
        <f t="shared" si="13"/>
        <v/>
      </c>
    </row>
    <row r="24" spans="2:51" ht="59.25" customHeight="1">
      <c r="B24" s="109">
        <v>20</v>
      </c>
      <c r="C24" s="110">
        <f>SISWA!B25</f>
        <v>0</v>
      </c>
      <c r="D24" s="111" t="str">
        <f>SISWA!E25</f>
        <v>Anak 20</v>
      </c>
      <c r="E24" s="520"/>
      <c r="F24" s="520"/>
      <c r="G24" s="520"/>
      <c r="H24" s="520"/>
      <c r="I24" s="520"/>
      <c r="J24" s="520"/>
      <c r="K24" s="520"/>
      <c r="L24" s="520"/>
      <c r="M24" s="520"/>
      <c r="N24" s="533" t="str">
        <f t="shared" si="5"/>
        <v/>
      </c>
      <c r="O24" s="533" t="str">
        <f t="shared" si="6"/>
        <v/>
      </c>
      <c r="P24" s="533" t="str">
        <f t="shared" si="7"/>
        <v/>
      </c>
      <c r="Q24" s="514"/>
      <c r="R24" s="514"/>
      <c r="S24" s="514"/>
      <c r="T24" s="514"/>
      <c r="U24" s="514"/>
      <c r="V24" s="514"/>
      <c r="W24" s="513"/>
      <c r="X24" s="513"/>
      <c r="Y24" s="513"/>
      <c r="Z24" s="513"/>
      <c r="AA24" s="514"/>
      <c r="AB24" s="514"/>
      <c r="AC24" s="513"/>
      <c r="AD24" s="302" t="e">
        <f t="shared" si="8"/>
        <v>#DIV/0!</v>
      </c>
      <c r="AE24" s="303" t="e">
        <f>IF(AD24&gt;KKM!$G$10,"A",IF(AD24&gt;KKM!$H$10,"B",IF(AD24&gt;=KKM!$I$10,"C","D")))</f>
        <v>#DIV/0!</v>
      </c>
      <c r="AF24" s="523">
        <f t="shared" si="0"/>
        <v>0</v>
      </c>
      <c r="AG24" s="309" t="str">
        <f>IF(AF24&gt;KKM!$G$10," sangat baik ",IF(AF24&gt;KKM!$H$10," baik ",IF(AF24&gt;=KKM!$I$10," cukup baik "," perlu bimbingan ")))</f>
        <v xml:space="preserve"> perlu bimbingan </v>
      </c>
      <c r="AH24" s="524">
        <f t="shared" si="1"/>
        <v>0</v>
      </c>
      <c r="AI24" s="309" t="str">
        <f>IF(AH24&gt;KKM!$G$10," sangat baik ",IF(AH24&gt;KKM!$H$10," baik ",IF(AH24&gt;=KKM!$I$10," cukup baik "," perlu bimbingan ")))</f>
        <v xml:space="preserve"> perlu bimbingan </v>
      </c>
      <c r="AJ24" s="301" t="str">
        <f t="shared" si="9"/>
        <v xml:space="preserve"> </v>
      </c>
      <c r="AK24" s="218"/>
      <c r="AL24" s="219" t="e">
        <f t="shared" si="2"/>
        <v>#N/A</v>
      </c>
      <c r="AM24" s="219" t="e">
        <f t="shared" si="3"/>
        <v>#N/A</v>
      </c>
      <c r="AN24" s="219" t="e">
        <f t="shared" si="10"/>
        <v>#N/A</v>
      </c>
      <c r="AO24" s="219" t="e">
        <f t="shared" si="11"/>
        <v>#N/A</v>
      </c>
      <c r="AP24" s="220" t="e">
        <f t="shared" si="12"/>
        <v>#N/A</v>
      </c>
      <c r="AQ24" s="214" t="e">
        <f t="shared" si="4"/>
        <v>#N/A</v>
      </c>
      <c r="AR24" s="120"/>
      <c r="AY24" s="408" t="str">
        <f t="shared" si="13"/>
        <v/>
      </c>
    </row>
    <row r="25" spans="2:51" ht="59.25" customHeight="1">
      <c r="B25" s="109">
        <v>21</v>
      </c>
      <c r="C25" s="110">
        <f>SISWA!B26</f>
        <v>0</v>
      </c>
      <c r="D25" s="111" t="str">
        <f>SISWA!E26</f>
        <v>Anak 21</v>
      </c>
      <c r="E25" s="520"/>
      <c r="F25" s="520"/>
      <c r="G25" s="520"/>
      <c r="H25" s="520"/>
      <c r="I25" s="520"/>
      <c r="J25" s="520"/>
      <c r="K25" s="520"/>
      <c r="L25" s="520"/>
      <c r="M25" s="520"/>
      <c r="N25" s="533" t="str">
        <f t="shared" si="5"/>
        <v/>
      </c>
      <c r="O25" s="533" t="str">
        <f t="shared" si="6"/>
        <v/>
      </c>
      <c r="P25" s="533" t="str">
        <f t="shared" si="7"/>
        <v/>
      </c>
      <c r="Q25" s="514"/>
      <c r="R25" s="514"/>
      <c r="S25" s="514"/>
      <c r="T25" s="514"/>
      <c r="U25" s="514"/>
      <c r="V25" s="514"/>
      <c r="W25" s="513"/>
      <c r="X25" s="513"/>
      <c r="Y25" s="513"/>
      <c r="Z25" s="513"/>
      <c r="AA25" s="514"/>
      <c r="AB25" s="514"/>
      <c r="AC25" s="513"/>
      <c r="AD25" s="302" t="e">
        <f t="shared" si="8"/>
        <v>#DIV/0!</v>
      </c>
      <c r="AE25" s="303" t="e">
        <f>IF(AD25&gt;KKM!$G$10,"A",IF(AD25&gt;KKM!$H$10,"B",IF(AD25&gt;=KKM!$I$10,"C","D")))</f>
        <v>#DIV/0!</v>
      </c>
      <c r="AF25" s="523">
        <f t="shared" si="0"/>
        <v>0</v>
      </c>
      <c r="AG25" s="309" t="str">
        <f>IF(AF25&gt;KKM!$G$10," sangat baik ",IF(AF25&gt;KKM!$H$10," baik ",IF(AF25&gt;=KKM!$I$10," cukup baik "," perlu bimbingan ")))</f>
        <v xml:space="preserve"> perlu bimbingan </v>
      </c>
      <c r="AH25" s="524">
        <f t="shared" si="1"/>
        <v>0</v>
      </c>
      <c r="AI25" s="309" t="str">
        <f>IF(AH25&gt;KKM!$G$10," sangat baik ",IF(AH25&gt;KKM!$H$10," baik ",IF(AH25&gt;=KKM!$I$10," cukup baik "," perlu bimbingan ")))</f>
        <v xml:space="preserve"> perlu bimbingan </v>
      </c>
      <c r="AJ25" s="301" t="str">
        <f t="shared" si="9"/>
        <v xml:space="preserve"> </v>
      </c>
      <c r="AK25" s="218"/>
      <c r="AL25" s="219" t="e">
        <f t="shared" si="2"/>
        <v>#N/A</v>
      </c>
      <c r="AM25" s="219" t="e">
        <f t="shared" si="3"/>
        <v>#N/A</v>
      </c>
      <c r="AN25" s="219" t="e">
        <f t="shared" si="10"/>
        <v>#N/A</v>
      </c>
      <c r="AO25" s="219" t="e">
        <f t="shared" si="11"/>
        <v>#N/A</v>
      </c>
      <c r="AP25" s="220" t="e">
        <f t="shared" si="12"/>
        <v>#N/A</v>
      </c>
      <c r="AQ25" s="214" t="e">
        <f t="shared" si="4"/>
        <v>#N/A</v>
      </c>
      <c r="AR25" s="120"/>
      <c r="AY25" s="408" t="str">
        <f t="shared" si="13"/>
        <v/>
      </c>
    </row>
    <row r="26" spans="2:51" ht="59.25" customHeight="1">
      <c r="B26" s="109">
        <v>22</v>
      </c>
      <c r="C26" s="110">
        <f>SISWA!B27</f>
        <v>0</v>
      </c>
      <c r="D26" s="111" t="str">
        <f>SISWA!E27</f>
        <v>Anak 22</v>
      </c>
      <c r="E26" s="520"/>
      <c r="F26" s="520"/>
      <c r="G26" s="520"/>
      <c r="H26" s="520"/>
      <c r="I26" s="520"/>
      <c r="J26" s="520"/>
      <c r="K26" s="520"/>
      <c r="L26" s="520"/>
      <c r="M26" s="520"/>
      <c r="N26" s="533" t="str">
        <f t="shared" si="5"/>
        <v/>
      </c>
      <c r="O26" s="533" t="str">
        <f t="shared" si="6"/>
        <v/>
      </c>
      <c r="P26" s="533" t="str">
        <f t="shared" si="7"/>
        <v/>
      </c>
      <c r="Q26" s="514"/>
      <c r="R26" s="514"/>
      <c r="S26" s="514"/>
      <c r="T26" s="514"/>
      <c r="U26" s="514"/>
      <c r="V26" s="514"/>
      <c r="W26" s="513"/>
      <c r="X26" s="513"/>
      <c r="Y26" s="513"/>
      <c r="Z26" s="513"/>
      <c r="AA26" s="514"/>
      <c r="AB26" s="514"/>
      <c r="AC26" s="513"/>
      <c r="AD26" s="302" t="e">
        <f t="shared" si="8"/>
        <v>#DIV/0!</v>
      </c>
      <c r="AE26" s="303" t="e">
        <f>IF(AD26&gt;KKM!$G$10,"A",IF(AD26&gt;KKM!$H$10,"B",IF(AD26&gt;=KKM!$I$10,"C","D")))</f>
        <v>#DIV/0!</v>
      </c>
      <c r="AF26" s="523">
        <f t="shared" si="0"/>
        <v>0</v>
      </c>
      <c r="AG26" s="309" t="str">
        <f>IF(AF26&gt;KKM!$G$10," sangat baik ",IF(AF26&gt;KKM!$H$10," baik ",IF(AF26&gt;=KKM!$I$10," cukup baik "," perlu bimbingan ")))</f>
        <v xml:space="preserve"> perlu bimbingan </v>
      </c>
      <c r="AH26" s="524">
        <f t="shared" si="1"/>
        <v>0</v>
      </c>
      <c r="AI26" s="309" t="str">
        <f>IF(AH26&gt;KKM!$G$10," sangat baik ",IF(AH26&gt;KKM!$H$10," baik ",IF(AH26&gt;=KKM!$I$10," cukup baik "," perlu bimbingan ")))</f>
        <v xml:space="preserve"> perlu bimbingan </v>
      </c>
      <c r="AJ26" s="301" t="str">
        <f t="shared" si="9"/>
        <v xml:space="preserve"> </v>
      </c>
      <c r="AK26" s="218"/>
      <c r="AL26" s="219" t="e">
        <f t="shared" si="2"/>
        <v>#N/A</v>
      </c>
      <c r="AM26" s="219" t="e">
        <f t="shared" si="3"/>
        <v>#N/A</v>
      </c>
      <c r="AN26" s="219" t="e">
        <f t="shared" si="10"/>
        <v>#N/A</v>
      </c>
      <c r="AO26" s="219" t="e">
        <f t="shared" si="11"/>
        <v>#N/A</v>
      </c>
      <c r="AP26" s="220" t="e">
        <f t="shared" si="12"/>
        <v>#N/A</v>
      </c>
      <c r="AQ26" s="214" t="e">
        <f t="shared" si="4"/>
        <v>#N/A</v>
      </c>
      <c r="AR26" s="120"/>
      <c r="AY26" s="408" t="str">
        <f t="shared" si="13"/>
        <v/>
      </c>
    </row>
    <row r="27" spans="2:51" ht="59.25" customHeight="1">
      <c r="B27" s="109">
        <v>23</v>
      </c>
      <c r="C27" s="110">
        <f>SISWA!B28</f>
        <v>0</v>
      </c>
      <c r="D27" s="111" t="str">
        <f>SISWA!E28</f>
        <v>Anak 23</v>
      </c>
      <c r="E27" s="520"/>
      <c r="F27" s="520"/>
      <c r="G27" s="520"/>
      <c r="H27" s="520"/>
      <c r="I27" s="520"/>
      <c r="J27" s="520"/>
      <c r="K27" s="520"/>
      <c r="L27" s="520"/>
      <c r="M27" s="520"/>
      <c r="N27" s="533" t="str">
        <f t="shared" si="5"/>
        <v/>
      </c>
      <c r="O27" s="533" t="str">
        <f t="shared" si="6"/>
        <v/>
      </c>
      <c r="P27" s="533" t="str">
        <f t="shared" si="7"/>
        <v/>
      </c>
      <c r="Q27" s="514"/>
      <c r="R27" s="514"/>
      <c r="S27" s="514"/>
      <c r="T27" s="514"/>
      <c r="U27" s="514"/>
      <c r="V27" s="514"/>
      <c r="W27" s="513"/>
      <c r="X27" s="513"/>
      <c r="Y27" s="513"/>
      <c r="Z27" s="513"/>
      <c r="AA27" s="514"/>
      <c r="AB27" s="514"/>
      <c r="AC27" s="513"/>
      <c r="AD27" s="302" t="e">
        <f t="shared" si="8"/>
        <v>#DIV/0!</v>
      </c>
      <c r="AE27" s="303" t="e">
        <f>IF(AD27&gt;KKM!$G$10,"A",IF(AD27&gt;KKM!$H$10,"B",IF(AD27&gt;=KKM!$I$10,"C","D")))</f>
        <v>#DIV/0!</v>
      </c>
      <c r="AF27" s="523">
        <f t="shared" si="0"/>
        <v>0</v>
      </c>
      <c r="AG27" s="309" t="str">
        <f>IF(AF27&gt;KKM!$G$10," sangat baik ",IF(AF27&gt;KKM!$H$10," baik ",IF(AF27&gt;=KKM!$I$10," cukup baik "," perlu bimbingan ")))</f>
        <v xml:space="preserve"> perlu bimbingan </v>
      </c>
      <c r="AH27" s="524">
        <f t="shared" si="1"/>
        <v>0</v>
      </c>
      <c r="AI27" s="309" t="str">
        <f>IF(AH27&gt;KKM!$G$10," sangat baik ",IF(AH27&gt;KKM!$H$10," baik ",IF(AH27&gt;=KKM!$I$10," cukup baik "," perlu bimbingan ")))</f>
        <v xml:space="preserve"> perlu bimbingan </v>
      </c>
      <c r="AJ27" s="301" t="str">
        <f t="shared" si="9"/>
        <v xml:space="preserve"> </v>
      </c>
      <c r="AK27" s="218"/>
      <c r="AL27" s="219" t="e">
        <f t="shared" si="2"/>
        <v>#N/A</v>
      </c>
      <c r="AM27" s="219" t="e">
        <f t="shared" si="3"/>
        <v>#N/A</v>
      </c>
      <c r="AN27" s="219" t="e">
        <f t="shared" si="10"/>
        <v>#N/A</v>
      </c>
      <c r="AO27" s="219" t="e">
        <f t="shared" si="11"/>
        <v>#N/A</v>
      </c>
      <c r="AP27" s="220" t="e">
        <f t="shared" si="12"/>
        <v>#N/A</v>
      </c>
      <c r="AQ27" s="214" t="e">
        <f t="shared" si="4"/>
        <v>#N/A</v>
      </c>
      <c r="AR27" s="120"/>
      <c r="AY27" s="408" t="str">
        <f t="shared" si="13"/>
        <v/>
      </c>
    </row>
    <row r="28" spans="2:51" ht="59.25" customHeight="1">
      <c r="B28" s="109">
        <v>24</v>
      </c>
      <c r="C28" s="110">
        <f>SISWA!B29</f>
        <v>0</v>
      </c>
      <c r="D28" s="111" t="str">
        <f>SISWA!E29</f>
        <v>Anak 24</v>
      </c>
      <c r="E28" s="520"/>
      <c r="F28" s="520"/>
      <c r="G28" s="520"/>
      <c r="H28" s="520"/>
      <c r="I28" s="520"/>
      <c r="J28" s="520"/>
      <c r="K28" s="520"/>
      <c r="L28" s="520"/>
      <c r="M28" s="520"/>
      <c r="N28" s="533" t="str">
        <f t="shared" si="5"/>
        <v/>
      </c>
      <c r="O28" s="533" t="str">
        <f t="shared" si="6"/>
        <v/>
      </c>
      <c r="P28" s="533" t="str">
        <f t="shared" si="7"/>
        <v/>
      </c>
      <c r="Q28" s="514"/>
      <c r="R28" s="514"/>
      <c r="S28" s="514"/>
      <c r="T28" s="514"/>
      <c r="U28" s="514"/>
      <c r="V28" s="514"/>
      <c r="W28" s="513"/>
      <c r="X28" s="513"/>
      <c r="Y28" s="513"/>
      <c r="Z28" s="513"/>
      <c r="AA28" s="514"/>
      <c r="AB28" s="514"/>
      <c r="AC28" s="513"/>
      <c r="AD28" s="302" t="e">
        <f t="shared" si="8"/>
        <v>#DIV/0!</v>
      </c>
      <c r="AE28" s="303" t="e">
        <f>IF(AD28&gt;KKM!$G$10,"A",IF(AD28&gt;KKM!$H$10,"B",IF(AD28&gt;=KKM!$I$10,"C","D")))</f>
        <v>#DIV/0!</v>
      </c>
      <c r="AF28" s="523">
        <f t="shared" si="0"/>
        <v>0</v>
      </c>
      <c r="AG28" s="309" t="str">
        <f>IF(AF28&gt;KKM!$G$10," sangat baik ",IF(AF28&gt;KKM!$H$10," baik ",IF(AF28&gt;=KKM!$I$10," cukup baik "," perlu bimbingan ")))</f>
        <v xml:space="preserve"> perlu bimbingan </v>
      </c>
      <c r="AH28" s="524">
        <f t="shared" si="1"/>
        <v>0</v>
      </c>
      <c r="AI28" s="309" t="str">
        <f>IF(AH28&gt;KKM!$G$10," sangat baik ",IF(AH28&gt;KKM!$H$10," baik ",IF(AH28&gt;=KKM!$I$10," cukup baik "," perlu bimbingan ")))</f>
        <v xml:space="preserve"> perlu bimbingan </v>
      </c>
      <c r="AJ28" s="301" t="str">
        <f t="shared" si="9"/>
        <v xml:space="preserve"> </v>
      </c>
      <c r="AK28" s="218"/>
      <c r="AL28" s="219" t="e">
        <f t="shared" si="2"/>
        <v>#N/A</v>
      </c>
      <c r="AM28" s="219" t="e">
        <f t="shared" si="3"/>
        <v>#N/A</v>
      </c>
      <c r="AN28" s="219" t="e">
        <f t="shared" si="10"/>
        <v>#N/A</v>
      </c>
      <c r="AO28" s="219" t="e">
        <f t="shared" si="11"/>
        <v>#N/A</v>
      </c>
      <c r="AP28" s="220" t="e">
        <f t="shared" si="12"/>
        <v>#N/A</v>
      </c>
      <c r="AQ28" s="214" t="e">
        <f t="shared" si="4"/>
        <v>#N/A</v>
      </c>
      <c r="AR28" s="120"/>
      <c r="AY28" s="408" t="str">
        <f t="shared" si="13"/>
        <v/>
      </c>
    </row>
    <row r="29" spans="2:51" ht="59.25" customHeight="1">
      <c r="B29" s="109">
        <v>25</v>
      </c>
      <c r="C29" s="110">
        <f>SISWA!B30</f>
        <v>0</v>
      </c>
      <c r="D29" s="111" t="str">
        <f>SISWA!E30</f>
        <v>Anak 25</v>
      </c>
      <c r="E29" s="520"/>
      <c r="F29" s="520"/>
      <c r="G29" s="520"/>
      <c r="H29" s="520"/>
      <c r="I29" s="520"/>
      <c r="J29" s="520"/>
      <c r="K29" s="520"/>
      <c r="L29" s="520"/>
      <c r="M29" s="520"/>
      <c r="N29" s="533" t="str">
        <f t="shared" si="5"/>
        <v/>
      </c>
      <c r="O29" s="533" t="str">
        <f t="shared" si="6"/>
        <v/>
      </c>
      <c r="P29" s="533" t="str">
        <f t="shared" si="7"/>
        <v/>
      </c>
      <c r="Q29" s="514"/>
      <c r="R29" s="514"/>
      <c r="S29" s="514"/>
      <c r="T29" s="514"/>
      <c r="U29" s="514"/>
      <c r="V29" s="514"/>
      <c r="W29" s="513"/>
      <c r="X29" s="513"/>
      <c r="Y29" s="513"/>
      <c r="Z29" s="513"/>
      <c r="AA29" s="514"/>
      <c r="AB29" s="514"/>
      <c r="AC29" s="513"/>
      <c r="AD29" s="302" t="e">
        <f t="shared" si="8"/>
        <v>#DIV/0!</v>
      </c>
      <c r="AE29" s="303" t="e">
        <f>IF(AD29&gt;KKM!$G$10,"A",IF(AD29&gt;KKM!$H$10,"B",IF(AD29&gt;=KKM!$I$10,"C","D")))</f>
        <v>#DIV/0!</v>
      </c>
      <c r="AF29" s="523">
        <f t="shared" si="0"/>
        <v>0</v>
      </c>
      <c r="AG29" s="309" t="str">
        <f>IF(AF29&gt;KKM!$G$10," sangat baik ",IF(AF29&gt;KKM!$H$10," baik ",IF(AF29&gt;=KKM!$I$10," cukup baik "," perlu bimbingan ")))</f>
        <v xml:space="preserve"> perlu bimbingan </v>
      </c>
      <c r="AH29" s="524">
        <f t="shared" si="1"/>
        <v>0</v>
      </c>
      <c r="AI29" s="309" t="str">
        <f>IF(AH29&gt;KKM!$G$10," sangat baik ",IF(AH29&gt;KKM!$H$10," baik ",IF(AH29&gt;=KKM!$I$10," cukup baik "," perlu bimbingan ")))</f>
        <v xml:space="preserve"> perlu bimbingan </v>
      </c>
      <c r="AJ29" s="301" t="str">
        <f t="shared" si="9"/>
        <v xml:space="preserve"> </v>
      </c>
      <c r="AK29" s="218"/>
      <c r="AL29" s="219" t="e">
        <f t="shared" si="2"/>
        <v>#N/A</v>
      </c>
      <c r="AM29" s="219" t="e">
        <f t="shared" si="3"/>
        <v>#N/A</v>
      </c>
      <c r="AN29" s="219" t="e">
        <f t="shared" si="10"/>
        <v>#N/A</v>
      </c>
      <c r="AO29" s="219" t="e">
        <f t="shared" si="11"/>
        <v>#N/A</v>
      </c>
      <c r="AP29" s="220" t="e">
        <f t="shared" si="12"/>
        <v>#N/A</v>
      </c>
      <c r="AQ29" s="214" t="e">
        <f t="shared" si="4"/>
        <v>#N/A</v>
      </c>
      <c r="AR29" s="120"/>
      <c r="AY29" s="408" t="str">
        <f t="shared" si="13"/>
        <v/>
      </c>
    </row>
    <row r="30" spans="2:51" ht="59.25" customHeight="1">
      <c r="B30" s="109">
        <v>26</v>
      </c>
      <c r="C30" s="110">
        <f>SISWA!B31</f>
        <v>0</v>
      </c>
      <c r="D30" s="111" t="str">
        <f>SISWA!E31</f>
        <v>Anak 26</v>
      </c>
      <c r="E30" s="520"/>
      <c r="F30" s="520"/>
      <c r="G30" s="520"/>
      <c r="H30" s="520"/>
      <c r="I30" s="520"/>
      <c r="J30" s="520"/>
      <c r="K30" s="520"/>
      <c r="L30" s="520"/>
      <c r="M30" s="520"/>
      <c r="N30" s="533" t="str">
        <f t="shared" si="5"/>
        <v/>
      </c>
      <c r="O30" s="533" t="str">
        <f t="shared" si="6"/>
        <v/>
      </c>
      <c r="P30" s="533" t="str">
        <f t="shared" si="7"/>
        <v/>
      </c>
      <c r="Q30" s="514"/>
      <c r="R30" s="514"/>
      <c r="S30" s="514"/>
      <c r="T30" s="514"/>
      <c r="U30" s="514"/>
      <c r="V30" s="514"/>
      <c r="W30" s="513"/>
      <c r="X30" s="513"/>
      <c r="Y30" s="513"/>
      <c r="Z30" s="513"/>
      <c r="AA30" s="514"/>
      <c r="AB30" s="514"/>
      <c r="AC30" s="513"/>
      <c r="AD30" s="302" t="e">
        <f t="shared" si="8"/>
        <v>#DIV/0!</v>
      </c>
      <c r="AE30" s="303" t="e">
        <f>IF(AD30&gt;KKM!$G$10,"A",IF(AD30&gt;KKM!$H$10,"B",IF(AD30&gt;=KKM!$I$10,"C","D")))</f>
        <v>#DIV/0!</v>
      </c>
      <c r="AF30" s="523">
        <f t="shared" si="0"/>
        <v>0</v>
      </c>
      <c r="AG30" s="309" t="str">
        <f>IF(AF30&gt;KKM!$G$10," sangat baik ",IF(AF30&gt;KKM!$H$10," baik ",IF(AF30&gt;=KKM!$I$10," cukup baik "," perlu bimbingan ")))</f>
        <v xml:space="preserve"> perlu bimbingan </v>
      </c>
      <c r="AH30" s="524">
        <f t="shared" si="1"/>
        <v>0</v>
      </c>
      <c r="AI30" s="309" t="str">
        <f>IF(AH30&gt;KKM!$G$10," sangat baik ",IF(AH30&gt;KKM!$H$10," baik ",IF(AH30&gt;=KKM!$I$10," cukup baik "," perlu bimbingan ")))</f>
        <v xml:space="preserve"> perlu bimbingan </v>
      </c>
      <c r="AJ30" s="301" t="str">
        <f t="shared" si="9"/>
        <v xml:space="preserve"> </v>
      </c>
      <c r="AK30" s="218"/>
      <c r="AL30" s="219" t="e">
        <f t="shared" si="2"/>
        <v>#N/A</v>
      </c>
      <c r="AM30" s="219" t="e">
        <f t="shared" si="3"/>
        <v>#N/A</v>
      </c>
      <c r="AN30" s="219" t="e">
        <f t="shared" si="10"/>
        <v>#N/A</v>
      </c>
      <c r="AO30" s="219" t="e">
        <f t="shared" si="11"/>
        <v>#N/A</v>
      </c>
      <c r="AP30" s="220" t="e">
        <f t="shared" si="12"/>
        <v>#N/A</v>
      </c>
      <c r="AQ30" s="214" t="e">
        <f t="shared" si="4"/>
        <v>#N/A</v>
      </c>
      <c r="AR30" s="120"/>
      <c r="AY30" s="408" t="str">
        <f t="shared" si="13"/>
        <v/>
      </c>
    </row>
    <row r="31" spans="2:51" ht="59.25" customHeight="1">
      <c r="B31" s="109">
        <v>27</v>
      </c>
      <c r="C31" s="110">
        <f>SISWA!B32</f>
        <v>0</v>
      </c>
      <c r="D31" s="111" t="str">
        <f>SISWA!E32</f>
        <v>Anak 27</v>
      </c>
      <c r="E31" s="520"/>
      <c r="F31" s="520"/>
      <c r="G31" s="520"/>
      <c r="H31" s="520"/>
      <c r="I31" s="520"/>
      <c r="J31" s="520"/>
      <c r="K31" s="520"/>
      <c r="L31" s="520"/>
      <c r="M31" s="520"/>
      <c r="N31" s="533" t="str">
        <f t="shared" si="5"/>
        <v/>
      </c>
      <c r="O31" s="533" t="str">
        <f t="shared" si="6"/>
        <v/>
      </c>
      <c r="P31" s="533" t="str">
        <f t="shared" si="7"/>
        <v/>
      </c>
      <c r="Q31" s="514"/>
      <c r="R31" s="514"/>
      <c r="S31" s="514"/>
      <c r="T31" s="514"/>
      <c r="U31" s="514"/>
      <c r="V31" s="514"/>
      <c r="W31" s="513"/>
      <c r="X31" s="513"/>
      <c r="Y31" s="513"/>
      <c r="Z31" s="513"/>
      <c r="AA31" s="514"/>
      <c r="AB31" s="514"/>
      <c r="AC31" s="513"/>
      <c r="AD31" s="302" t="e">
        <f t="shared" si="8"/>
        <v>#DIV/0!</v>
      </c>
      <c r="AE31" s="303" t="e">
        <f>IF(AD31&gt;KKM!$G$10,"A",IF(AD31&gt;KKM!$H$10,"B",IF(AD31&gt;=KKM!$I$10,"C","D")))</f>
        <v>#DIV/0!</v>
      </c>
      <c r="AF31" s="523">
        <f t="shared" si="0"/>
        <v>0</v>
      </c>
      <c r="AG31" s="309" t="str">
        <f>IF(AF31&gt;KKM!$G$10," sangat baik ",IF(AF31&gt;KKM!$H$10," baik ",IF(AF31&gt;=KKM!$I$10," cukup baik "," perlu bimbingan ")))</f>
        <v xml:space="preserve"> perlu bimbingan </v>
      </c>
      <c r="AH31" s="524">
        <f t="shared" si="1"/>
        <v>0</v>
      </c>
      <c r="AI31" s="309" t="str">
        <f>IF(AH31&gt;KKM!$G$10," sangat baik ",IF(AH31&gt;KKM!$H$10," baik ",IF(AH31&gt;=KKM!$I$10," cukup baik "," perlu bimbingan ")))</f>
        <v xml:space="preserve"> perlu bimbingan </v>
      </c>
      <c r="AJ31" s="301" t="str">
        <f t="shared" si="9"/>
        <v xml:space="preserve"> </v>
      </c>
      <c r="AK31" s="218"/>
      <c r="AL31" s="219" t="e">
        <f t="shared" si="2"/>
        <v>#N/A</v>
      </c>
      <c r="AM31" s="219" t="e">
        <f t="shared" si="3"/>
        <v>#N/A</v>
      </c>
      <c r="AN31" s="219" t="e">
        <f t="shared" si="10"/>
        <v>#N/A</v>
      </c>
      <c r="AO31" s="219" t="e">
        <f t="shared" si="11"/>
        <v>#N/A</v>
      </c>
      <c r="AP31" s="220" t="e">
        <f t="shared" si="12"/>
        <v>#N/A</v>
      </c>
      <c r="AQ31" s="214" t="e">
        <f t="shared" si="4"/>
        <v>#N/A</v>
      </c>
      <c r="AR31" s="120"/>
      <c r="AY31" s="408" t="str">
        <f t="shared" si="13"/>
        <v/>
      </c>
    </row>
    <row r="32" spans="2:51" ht="59.25" customHeight="1">
      <c r="B32" s="109">
        <v>28</v>
      </c>
      <c r="C32" s="110">
        <f>SISWA!B33</f>
        <v>0</v>
      </c>
      <c r="D32" s="111" t="str">
        <f>SISWA!E33</f>
        <v>Anak 28</v>
      </c>
      <c r="E32" s="520"/>
      <c r="F32" s="520"/>
      <c r="G32" s="520"/>
      <c r="H32" s="520"/>
      <c r="I32" s="520"/>
      <c r="J32" s="520"/>
      <c r="K32" s="520"/>
      <c r="L32" s="520"/>
      <c r="M32" s="520"/>
      <c r="N32" s="533" t="str">
        <f t="shared" si="5"/>
        <v/>
      </c>
      <c r="O32" s="533" t="str">
        <f t="shared" si="6"/>
        <v/>
      </c>
      <c r="P32" s="533" t="str">
        <f t="shared" si="7"/>
        <v/>
      </c>
      <c r="Q32" s="514"/>
      <c r="R32" s="514"/>
      <c r="S32" s="514"/>
      <c r="T32" s="514"/>
      <c r="U32" s="514"/>
      <c r="V32" s="514"/>
      <c r="W32" s="513"/>
      <c r="X32" s="513"/>
      <c r="Y32" s="513"/>
      <c r="Z32" s="513"/>
      <c r="AA32" s="514"/>
      <c r="AB32" s="514"/>
      <c r="AC32" s="513"/>
      <c r="AD32" s="302" t="e">
        <f t="shared" si="8"/>
        <v>#DIV/0!</v>
      </c>
      <c r="AE32" s="303" t="e">
        <f>IF(AD32&gt;KKM!$G$10,"A",IF(AD32&gt;KKM!$H$10,"B",IF(AD32&gt;=KKM!$I$10,"C","D")))</f>
        <v>#DIV/0!</v>
      </c>
      <c r="AF32" s="523">
        <f t="shared" si="0"/>
        <v>0</v>
      </c>
      <c r="AG32" s="309" t="str">
        <f>IF(AF32&gt;KKM!$G$10," sangat baik ",IF(AF32&gt;KKM!$H$10," baik ",IF(AF32&gt;=KKM!$I$10," cukup baik "," perlu bimbingan ")))</f>
        <v xml:space="preserve"> perlu bimbingan </v>
      </c>
      <c r="AH32" s="524">
        <f t="shared" si="1"/>
        <v>0</v>
      </c>
      <c r="AI32" s="309" t="str">
        <f>IF(AH32&gt;KKM!$G$10," sangat baik ",IF(AH32&gt;KKM!$H$10," baik ",IF(AH32&gt;=KKM!$I$10," cukup baik "," perlu bimbingan ")))</f>
        <v xml:space="preserve"> perlu bimbingan </v>
      </c>
      <c r="AJ32" s="301" t="str">
        <f t="shared" si="9"/>
        <v xml:space="preserve"> </v>
      </c>
      <c r="AK32" s="218"/>
      <c r="AL32" s="219" t="e">
        <f t="shared" si="2"/>
        <v>#N/A</v>
      </c>
      <c r="AM32" s="219" t="e">
        <f t="shared" si="3"/>
        <v>#N/A</v>
      </c>
      <c r="AN32" s="219" t="e">
        <f t="shared" si="10"/>
        <v>#N/A</v>
      </c>
      <c r="AO32" s="219" t="e">
        <f t="shared" si="11"/>
        <v>#N/A</v>
      </c>
      <c r="AP32" s="220" t="e">
        <f t="shared" si="12"/>
        <v>#N/A</v>
      </c>
      <c r="AQ32" s="214" t="e">
        <f t="shared" si="4"/>
        <v>#N/A</v>
      </c>
      <c r="AR32" s="120"/>
      <c r="AY32" s="408" t="str">
        <f t="shared" si="13"/>
        <v/>
      </c>
    </row>
    <row r="33" spans="2:51" ht="59.25" customHeight="1">
      <c r="B33" s="109">
        <v>29</v>
      </c>
      <c r="C33" s="110">
        <f>SISWA!B34</f>
        <v>0</v>
      </c>
      <c r="D33" s="111" t="str">
        <f>SISWA!E34</f>
        <v>Anak 29</v>
      </c>
      <c r="E33" s="520"/>
      <c r="F33" s="520"/>
      <c r="G33" s="520"/>
      <c r="H33" s="520"/>
      <c r="I33" s="520"/>
      <c r="J33" s="520"/>
      <c r="K33" s="520"/>
      <c r="L33" s="520"/>
      <c r="M33" s="520"/>
      <c r="N33" s="533" t="str">
        <f t="shared" si="5"/>
        <v/>
      </c>
      <c r="O33" s="533" t="str">
        <f t="shared" si="6"/>
        <v/>
      </c>
      <c r="P33" s="533" t="str">
        <f t="shared" si="7"/>
        <v/>
      </c>
      <c r="Q33" s="514"/>
      <c r="R33" s="514"/>
      <c r="S33" s="514"/>
      <c r="T33" s="514"/>
      <c r="U33" s="514"/>
      <c r="V33" s="514"/>
      <c r="W33" s="513"/>
      <c r="X33" s="513"/>
      <c r="Y33" s="513"/>
      <c r="Z33" s="513"/>
      <c r="AA33" s="514"/>
      <c r="AB33" s="514"/>
      <c r="AC33" s="513"/>
      <c r="AD33" s="302" t="e">
        <f t="shared" si="8"/>
        <v>#DIV/0!</v>
      </c>
      <c r="AE33" s="303" t="e">
        <f>IF(AD33&gt;KKM!$G$10,"A",IF(AD33&gt;KKM!$H$10,"B",IF(AD33&gt;=KKM!$I$10,"C","D")))</f>
        <v>#DIV/0!</v>
      </c>
      <c r="AF33" s="523">
        <f t="shared" si="0"/>
        <v>0</v>
      </c>
      <c r="AG33" s="309" t="str">
        <f>IF(AF33&gt;KKM!$G$10," sangat baik ",IF(AF33&gt;KKM!$H$10," baik ",IF(AF33&gt;=KKM!$I$10," cukup baik "," perlu bimbingan ")))</f>
        <v xml:space="preserve"> perlu bimbingan </v>
      </c>
      <c r="AH33" s="524">
        <f t="shared" si="1"/>
        <v>0</v>
      </c>
      <c r="AI33" s="309" t="str">
        <f>IF(AH33&gt;KKM!$G$10," sangat baik ",IF(AH33&gt;KKM!$H$10," baik ",IF(AH33&gt;=KKM!$I$10," cukup baik "," perlu bimbingan ")))</f>
        <v xml:space="preserve"> perlu bimbingan </v>
      </c>
      <c r="AJ33" s="301" t="str">
        <f t="shared" si="9"/>
        <v xml:space="preserve"> </v>
      </c>
      <c r="AK33" s="218"/>
      <c r="AL33" s="219" t="e">
        <f t="shared" si="2"/>
        <v>#N/A</v>
      </c>
      <c r="AM33" s="219" t="e">
        <f t="shared" si="3"/>
        <v>#N/A</v>
      </c>
      <c r="AN33" s="219" t="e">
        <f t="shared" si="10"/>
        <v>#N/A</v>
      </c>
      <c r="AO33" s="219" t="e">
        <f t="shared" si="11"/>
        <v>#N/A</v>
      </c>
      <c r="AP33" s="220" t="e">
        <f t="shared" si="12"/>
        <v>#N/A</v>
      </c>
      <c r="AQ33" s="214" t="e">
        <f t="shared" si="4"/>
        <v>#N/A</v>
      </c>
      <c r="AR33" s="120"/>
      <c r="AY33" s="408" t="str">
        <f t="shared" si="13"/>
        <v/>
      </c>
    </row>
    <row r="34" spans="2:51" ht="59.25" customHeight="1">
      <c r="B34" s="109">
        <v>30</v>
      </c>
      <c r="C34" s="110">
        <f>SISWA!B35</f>
        <v>0</v>
      </c>
      <c r="D34" s="111" t="str">
        <f>SISWA!E35</f>
        <v>Anak 30</v>
      </c>
      <c r="E34" s="520"/>
      <c r="F34" s="520"/>
      <c r="G34" s="520"/>
      <c r="H34" s="520"/>
      <c r="I34" s="520"/>
      <c r="J34" s="520"/>
      <c r="K34" s="520"/>
      <c r="L34" s="520"/>
      <c r="M34" s="520"/>
      <c r="N34" s="533" t="str">
        <f t="shared" si="5"/>
        <v/>
      </c>
      <c r="O34" s="533" t="str">
        <f t="shared" si="6"/>
        <v/>
      </c>
      <c r="P34" s="533" t="str">
        <f t="shared" si="7"/>
        <v/>
      </c>
      <c r="Q34" s="514"/>
      <c r="R34" s="514"/>
      <c r="S34" s="514"/>
      <c r="T34" s="514"/>
      <c r="U34" s="514"/>
      <c r="V34" s="514"/>
      <c r="W34" s="513"/>
      <c r="X34" s="513"/>
      <c r="Y34" s="513"/>
      <c r="Z34" s="513"/>
      <c r="AA34" s="514"/>
      <c r="AB34" s="514"/>
      <c r="AC34" s="513"/>
      <c r="AD34" s="302" t="e">
        <f t="shared" si="8"/>
        <v>#DIV/0!</v>
      </c>
      <c r="AE34" s="303" t="e">
        <f>IF(AD34&gt;KKM!$G$10,"A",IF(AD34&gt;KKM!$H$10,"B",IF(AD34&gt;=KKM!$I$10,"C","D")))</f>
        <v>#DIV/0!</v>
      </c>
      <c r="AF34" s="523">
        <f t="shared" si="0"/>
        <v>0</v>
      </c>
      <c r="AG34" s="309" t="str">
        <f>IF(AF34&gt;KKM!$G$10," sangat baik ",IF(AF34&gt;KKM!$H$10," baik ",IF(AF34&gt;=KKM!$I$10," cukup baik "," perlu bimbingan ")))</f>
        <v xml:space="preserve"> perlu bimbingan </v>
      </c>
      <c r="AH34" s="524">
        <f t="shared" si="1"/>
        <v>0</v>
      </c>
      <c r="AI34" s="309" t="str">
        <f>IF(AH34&gt;KKM!$G$10," sangat baik ",IF(AH34&gt;KKM!$H$10," baik ",IF(AH34&gt;=KKM!$I$10," cukup baik "," perlu bimbingan ")))</f>
        <v xml:space="preserve"> perlu bimbingan </v>
      </c>
      <c r="AJ34" s="301" t="str">
        <f t="shared" si="9"/>
        <v xml:space="preserve"> </v>
      </c>
      <c r="AK34" s="218"/>
      <c r="AL34" s="219" t="e">
        <f t="shared" si="2"/>
        <v>#N/A</v>
      </c>
      <c r="AM34" s="219" t="e">
        <f t="shared" si="3"/>
        <v>#N/A</v>
      </c>
      <c r="AN34" s="219" t="e">
        <f t="shared" si="10"/>
        <v>#N/A</v>
      </c>
      <c r="AO34" s="219" t="e">
        <f t="shared" si="11"/>
        <v>#N/A</v>
      </c>
      <c r="AP34" s="220" t="e">
        <f t="shared" si="12"/>
        <v>#N/A</v>
      </c>
      <c r="AQ34" s="214" t="e">
        <f t="shared" si="4"/>
        <v>#N/A</v>
      </c>
      <c r="AR34" s="120"/>
      <c r="AY34" s="408" t="str">
        <f t="shared" si="13"/>
        <v/>
      </c>
    </row>
    <row r="35" spans="2:51" ht="59.25" customHeight="1">
      <c r="B35" s="109">
        <v>31</v>
      </c>
      <c r="C35" s="110">
        <f>SISWA!B36</f>
        <v>0</v>
      </c>
      <c r="D35" s="111" t="str">
        <f>SISWA!E36</f>
        <v>Anak 31</v>
      </c>
      <c r="E35" s="520"/>
      <c r="F35" s="520"/>
      <c r="G35" s="520"/>
      <c r="H35" s="520"/>
      <c r="I35" s="520"/>
      <c r="J35" s="520"/>
      <c r="K35" s="520"/>
      <c r="L35" s="520"/>
      <c r="M35" s="520"/>
      <c r="N35" s="533" t="str">
        <f t="shared" si="5"/>
        <v/>
      </c>
      <c r="O35" s="533" t="str">
        <f t="shared" si="6"/>
        <v/>
      </c>
      <c r="P35" s="533" t="str">
        <f t="shared" si="7"/>
        <v/>
      </c>
      <c r="Q35" s="514"/>
      <c r="R35" s="514"/>
      <c r="S35" s="514"/>
      <c r="T35" s="514"/>
      <c r="U35" s="514"/>
      <c r="V35" s="514"/>
      <c r="W35" s="513"/>
      <c r="X35" s="513"/>
      <c r="Y35" s="513"/>
      <c r="Z35" s="513"/>
      <c r="AA35" s="514"/>
      <c r="AB35" s="514"/>
      <c r="AC35" s="513"/>
      <c r="AD35" s="302" t="e">
        <f t="shared" si="8"/>
        <v>#DIV/0!</v>
      </c>
      <c r="AE35" s="303" t="e">
        <f>IF(AD35&gt;KKM!$G$10,"A",IF(AD35&gt;KKM!$H$10,"B",IF(AD35&gt;=KKM!$I$10,"C","D")))</f>
        <v>#DIV/0!</v>
      </c>
      <c r="AF35" s="523">
        <f t="shared" si="0"/>
        <v>0</v>
      </c>
      <c r="AG35" s="309" t="str">
        <f>IF(AF35&gt;KKM!$G$10," sangat baik ",IF(AF35&gt;KKM!$H$10," baik ",IF(AF35&gt;=KKM!$I$10," cukup baik "," perlu bimbingan ")))</f>
        <v xml:space="preserve"> perlu bimbingan </v>
      </c>
      <c r="AH35" s="524">
        <f t="shared" si="1"/>
        <v>0</v>
      </c>
      <c r="AI35" s="309" t="str">
        <f>IF(AH35&gt;KKM!$G$10," sangat baik ",IF(AH35&gt;KKM!$H$10," baik ",IF(AH35&gt;=KKM!$I$10," cukup baik "," perlu bimbingan ")))</f>
        <v xml:space="preserve"> perlu bimbingan </v>
      </c>
      <c r="AJ35" s="301" t="str">
        <f t="shared" si="9"/>
        <v xml:space="preserve"> </v>
      </c>
      <c r="AK35" s="218"/>
      <c r="AL35" s="219" t="e">
        <f t="shared" si="2"/>
        <v>#N/A</v>
      </c>
      <c r="AM35" s="219" t="e">
        <f t="shared" si="3"/>
        <v>#N/A</v>
      </c>
      <c r="AN35" s="219" t="e">
        <f t="shared" si="10"/>
        <v>#N/A</v>
      </c>
      <c r="AO35" s="219" t="e">
        <f t="shared" si="11"/>
        <v>#N/A</v>
      </c>
      <c r="AP35" s="220" t="e">
        <f t="shared" si="12"/>
        <v>#N/A</v>
      </c>
      <c r="AQ35" s="214" t="e">
        <f t="shared" si="4"/>
        <v>#N/A</v>
      </c>
      <c r="AR35" s="120"/>
      <c r="AY35" s="408" t="str">
        <f t="shared" si="13"/>
        <v/>
      </c>
    </row>
    <row r="36" spans="2:51" ht="59.25" customHeight="1">
      <c r="B36" s="109">
        <v>32</v>
      </c>
      <c r="C36" s="110">
        <f>SISWA!B37</f>
        <v>0</v>
      </c>
      <c r="D36" s="111" t="str">
        <f>SISWA!E37</f>
        <v>Anak 32</v>
      </c>
      <c r="E36" s="520"/>
      <c r="F36" s="520"/>
      <c r="G36" s="520"/>
      <c r="H36" s="520"/>
      <c r="I36" s="520"/>
      <c r="J36" s="520"/>
      <c r="K36" s="520"/>
      <c r="L36" s="520"/>
      <c r="M36" s="520"/>
      <c r="N36" s="533" t="str">
        <f t="shared" si="5"/>
        <v/>
      </c>
      <c r="O36" s="533" t="str">
        <f t="shared" si="6"/>
        <v/>
      </c>
      <c r="P36" s="533" t="str">
        <f t="shared" si="7"/>
        <v/>
      </c>
      <c r="Q36" s="514"/>
      <c r="R36" s="514"/>
      <c r="S36" s="514"/>
      <c r="T36" s="514"/>
      <c r="U36" s="514"/>
      <c r="V36" s="514"/>
      <c r="W36" s="513"/>
      <c r="X36" s="513"/>
      <c r="Y36" s="513"/>
      <c r="Z36" s="513"/>
      <c r="AA36" s="514"/>
      <c r="AB36" s="514"/>
      <c r="AC36" s="513"/>
      <c r="AD36" s="302" t="e">
        <f t="shared" si="8"/>
        <v>#DIV/0!</v>
      </c>
      <c r="AE36" s="303" t="e">
        <f>IF(AD36&gt;KKM!$G$10,"A",IF(AD36&gt;KKM!$H$10,"B",IF(AD36&gt;=KKM!$I$10,"C","D")))</f>
        <v>#DIV/0!</v>
      </c>
      <c r="AF36" s="523">
        <f t="shared" si="0"/>
        <v>0</v>
      </c>
      <c r="AG36" s="309" t="str">
        <f>IF(AF36&gt;KKM!$G$10," sangat baik ",IF(AF36&gt;KKM!$H$10," baik ",IF(AF36&gt;=KKM!$I$10," cukup baik "," perlu bimbingan ")))</f>
        <v xml:space="preserve"> perlu bimbingan </v>
      </c>
      <c r="AH36" s="524">
        <f t="shared" si="1"/>
        <v>0</v>
      </c>
      <c r="AI36" s="309" t="str">
        <f>IF(AH36&gt;KKM!$G$10," sangat baik ",IF(AH36&gt;KKM!$H$10," baik ",IF(AH36&gt;=KKM!$I$10," cukup baik "," perlu bimbingan ")))</f>
        <v xml:space="preserve"> perlu bimbingan </v>
      </c>
      <c r="AJ36" s="301" t="str">
        <f t="shared" si="9"/>
        <v xml:space="preserve"> </v>
      </c>
      <c r="AK36" s="218"/>
      <c r="AL36" s="219" t="e">
        <f t="shared" si="2"/>
        <v>#N/A</v>
      </c>
      <c r="AM36" s="219" t="e">
        <f t="shared" si="3"/>
        <v>#N/A</v>
      </c>
      <c r="AN36" s="219" t="e">
        <f t="shared" si="10"/>
        <v>#N/A</v>
      </c>
      <c r="AO36" s="219" t="e">
        <f t="shared" si="11"/>
        <v>#N/A</v>
      </c>
      <c r="AP36" s="220" t="e">
        <f t="shared" si="12"/>
        <v>#N/A</v>
      </c>
      <c r="AQ36" s="214" t="e">
        <f t="shared" si="4"/>
        <v>#N/A</v>
      </c>
      <c r="AR36" s="120"/>
      <c r="AY36" s="408" t="str">
        <f t="shared" si="13"/>
        <v/>
      </c>
    </row>
    <row r="37" spans="2:51" ht="59.25" customHeight="1">
      <c r="B37" s="109">
        <v>33</v>
      </c>
      <c r="C37" s="110">
        <f>SISWA!B38</f>
        <v>0</v>
      </c>
      <c r="D37" s="111" t="str">
        <f>SISWA!E38</f>
        <v>Anak 33</v>
      </c>
      <c r="E37" s="520"/>
      <c r="F37" s="520"/>
      <c r="G37" s="520"/>
      <c r="H37" s="520"/>
      <c r="I37" s="520"/>
      <c r="J37" s="520"/>
      <c r="K37" s="520"/>
      <c r="L37" s="520"/>
      <c r="M37" s="520"/>
      <c r="N37" s="533" t="str">
        <f t="shared" si="5"/>
        <v/>
      </c>
      <c r="O37" s="533" t="str">
        <f t="shared" si="6"/>
        <v/>
      </c>
      <c r="P37" s="533" t="str">
        <f t="shared" si="7"/>
        <v/>
      </c>
      <c r="Q37" s="514"/>
      <c r="R37" s="514"/>
      <c r="S37" s="514"/>
      <c r="T37" s="514"/>
      <c r="U37" s="514"/>
      <c r="V37" s="514"/>
      <c r="W37" s="513"/>
      <c r="X37" s="513"/>
      <c r="Y37" s="513"/>
      <c r="Z37" s="513"/>
      <c r="AA37" s="514"/>
      <c r="AB37" s="514"/>
      <c r="AC37" s="513"/>
      <c r="AD37" s="302" t="e">
        <f t="shared" si="8"/>
        <v>#DIV/0!</v>
      </c>
      <c r="AE37" s="303" t="e">
        <f>IF(AD37&gt;KKM!$G$10,"A",IF(AD37&gt;KKM!$H$10,"B",IF(AD37&gt;=KKM!$I$10,"C","D")))</f>
        <v>#DIV/0!</v>
      </c>
      <c r="AF37" s="523">
        <f t="shared" si="0"/>
        <v>0</v>
      </c>
      <c r="AG37" s="309" t="str">
        <f>IF(AF37&gt;KKM!$G$10," sangat baik ",IF(AF37&gt;KKM!$H$10," baik ",IF(AF37&gt;=KKM!$I$10," cukup baik "," perlu bimbingan ")))</f>
        <v xml:space="preserve"> perlu bimbingan </v>
      </c>
      <c r="AH37" s="524">
        <f t="shared" si="1"/>
        <v>0</v>
      </c>
      <c r="AI37" s="309" t="str">
        <f>IF(AH37&gt;KKM!$G$10," sangat baik ",IF(AH37&gt;KKM!$H$10," baik ",IF(AH37&gt;=KKM!$I$10," cukup baik "," perlu bimbingan ")))</f>
        <v xml:space="preserve"> perlu bimbingan </v>
      </c>
      <c r="AJ37" s="301" t="str">
        <f t="shared" si="9"/>
        <v xml:space="preserve"> </v>
      </c>
      <c r="AK37" s="218"/>
      <c r="AL37" s="219" t="e">
        <f t="shared" si="2"/>
        <v>#N/A</v>
      </c>
      <c r="AM37" s="219" t="e">
        <f t="shared" si="3"/>
        <v>#N/A</v>
      </c>
      <c r="AN37" s="219" t="e">
        <f t="shared" si="10"/>
        <v>#N/A</v>
      </c>
      <c r="AO37" s="219" t="e">
        <f t="shared" si="11"/>
        <v>#N/A</v>
      </c>
      <c r="AP37" s="220" t="e">
        <f t="shared" si="12"/>
        <v>#N/A</v>
      </c>
      <c r="AQ37" s="214" t="e">
        <f t="shared" ref="AQ37:AQ54" si="14">CONCATENATE(D37,AP37)</f>
        <v>#N/A</v>
      </c>
      <c r="AR37" s="120"/>
      <c r="AY37" s="408" t="str">
        <f t="shared" si="13"/>
        <v/>
      </c>
    </row>
    <row r="38" spans="2:51" ht="59.25" customHeight="1">
      <c r="B38" s="109">
        <v>34</v>
      </c>
      <c r="C38" s="110">
        <f>SISWA!B39</f>
        <v>0</v>
      </c>
      <c r="D38" s="111" t="str">
        <f>SISWA!E39</f>
        <v>Anak 34</v>
      </c>
      <c r="E38" s="520"/>
      <c r="F38" s="520"/>
      <c r="G38" s="520"/>
      <c r="H38" s="520"/>
      <c r="I38" s="520"/>
      <c r="J38" s="520"/>
      <c r="K38" s="520"/>
      <c r="L38" s="520"/>
      <c r="M38" s="520"/>
      <c r="N38" s="533" t="str">
        <f t="shared" si="5"/>
        <v/>
      </c>
      <c r="O38" s="533" t="str">
        <f t="shared" si="6"/>
        <v/>
      </c>
      <c r="P38" s="533" t="str">
        <f t="shared" si="7"/>
        <v/>
      </c>
      <c r="Q38" s="514"/>
      <c r="R38" s="514"/>
      <c r="S38" s="514"/>
      <c r="T38" s="514"/>
      <c r="U38" s="514"/>
      <c r="V38" s="514"/>
      <c r="W38" s="513"/>
      <c r="X38" s="513"/>
      <c r="Y38" s="513"/>
      <c r="Z38" s="513"/>
      <c r="AA38" s="514"/>
      <c r="AB38" s="514"/>
      <c r="AC38" s="513"/>
      <c r="AD38" s="302" t="e">
        <f t="shared" si="8"/>
        <v>#DIV/0!</v>
      </c>
      <c r="AE38" s="303" t="e">
        <f>IF(AD38&gt;KKM!$G$10,"A",IF(AD38&gt;KKM!$H$10,"B",IF(AD38&gt;=KKM!$I$10,"C","D")))</f>
        <v>#DIV/0!</v>
      </c>
      <c r="AF38" s="523">
        <f t="shared" si="0"/>
        <v>0</v>
      </c>
      <c r="AG38" s="309" t="str">
        <f>IF(AF38&gt;KKM!$G$10," sangat baik ",IF(AF38&gt;KKM!$H$10," baik ",IF(AF38&gt;=KKM!$I$10," cukup baik "," perlu bimbingan ")))</f>
        <v xml:space="preserve"> perlu bimbingan </v>
      </c>
      <c r="AH38" s="524">
        <f t="shared" si="1"/>
        <v>0</v>
      </c>
      <c r="AI38" s="309" t="str">
        <f>IF(AH38&gt;KKM!$G$10," sangat baik ",IF(AH38&gt;KKM!$H$10," baik ",IF(AH38&gt;=KKM!$I$10," cukup baik "," perlu bimbingan ")))</f>
        <v xml:space="preserve"> perlu bimbingan </v>
      </c>
      <c r="AJ38" s="301" t="str">
        <f t="shared" si="9"/>
        <v xml:space="preserve"> </v>
      </c>
      <c r="AK38" s="218"/>
      <c r="AL38" s="219" t="e">
        <f t="shared" si="2"/>
        <v>#N/A</v>
      </c>
      <c r="AM38" s="219" t="e">
        <f t="shared" si="3"/>
        <v>#N/A</v>
      </c>
      <c r="AN38" s="219" t="e">
        <f t="shared" si="10"/>
        <v>#N/A</v>
      </c>
      <c r="AO38" s="219" t="e">
        <f t="shared" si="11"/>
        <v>#N/A</v>
      </c>
      <c r="AP38" s="220" t="e">
        <f t="shared" si="12"/>
        <v>#N/A</v>
      </c>
      <c r="AQ38" s="214" t="e">
        <f t="shared" si="14"/>
        <v>#N/A</v>
      </c>
      <c r="AR38" s="120"/>
      <c r="AY38" s="408" t="str">
        <f t="shared" si="13"/>
        <v/>
      </c>
    </row>
    <row r="39" spans="2:51" ht="59.25" customHeight="1">
      <c r="B39" s="109">
        <v>35</v>
      </c>
      <c r="C39" s="110">
        <f>SISWA!B40</f>
        <v>0</v>
      </c>
      <c r="D39" s="111" t="str">
        <f>SISWA!E40</f>
        <v>Anak 35</v>
      </c>
      <c r="E39" s="520"/>
      <c r="F39" s="520"/>
      <c r="G39" s="520"/>
      <c r="H39" s="520"/>
      <c r="I39" s="520"/>
      <c r="J39" s="520"/>
      <c r="K39" s="520"/>
      <c r="L39" s="520"/>
      <c r="M39" s="520"/>
      <c r="N39" s="533" t="str">
        <f t="shared" si="5"/>
        <v/>
      </c>
      <c r="O39" s="533" t="str">
        <f t="shared" si="6"/>
        <v/>
      </c>
      <c r="P39" s="533" t="str">
        <f t="shared" si="7"/>
        <v/>
      </c>
      <c r="Q39" s="514"/>
      <c r="R39" s="514"/>
      <c r="S39" s="514"/>
      <c r="T39" s="514"/>
      <c r="U39" s="514"/>
      <c r="V39" s="514"/>
      <c r="W39" s="513"/>
      <c r="X39" s="513"/>
      <c r="Y39" s="513"/>
      <c r="Z39" s="513"/>
      <c r="AA39" s="514"/>
      <c r="AB39" s="514"/>
      <c r="AC39" s="513"/>
      <c r="AD39" s="302" t="e">
        <f t="shared" si="8"/>
        <v>#DIV/0!</v>
      </c>
      <c r="AE39" s="303" t="e">
        <f>IF(AD39&gt;KKM!$G$10,"A",IF(AD39&gt;KKM!$H$10,"B",IF(AD39&gt;=KKM!$I$10,"C","D")))</f>
        <v>#DIV/0!</v>
      </c>
      <c r="AF39" s="523">
        <f t="shared" si="0"/>
        <v>0</v>
      </c>
      <c r="AG39" s="309" t="str">
        <f>IF(AF39&gt;KKM!$G$10," sangat baik ",IF(AF39&gt;KKM!$H$10," baik ",IF(AF39&gt;=KKM!$I$10," cukup baik "," perlu bimbingan ")))</f>
        <v xml:space="preserve"> perlu bimbingan </v>
      </c>
      <c r="AH39" s="524">
        <f t="shared" si="1"/>
        <v>0</v>
      </c>
      <c r="AI39" s="309" t="str">
        <f>IF(AH39&gt;KKM!$G$10," sangat baik ",IF(AH39&gt;KKM!$H$10," baik ",IF(AH39&gt;=KKM!$I$10," cukup baik "," perlu bimbingan ")))</f>
        <v xml:space="preserve"> perlu bimbingan </v>
      </c>
      <c r="AJ39" s="301" t="str">
        <f t="shared" si="9"/>
        <v xml:space="preserve"> </v>
      </c>
      <c r="AK39" s="218"/>
      <c r="AL39" s="219" t="e">
        <f t="shared" si="2"/>
        <v>#N/A</v>
      </c>
      <c r="AM39" s="219" t="e">
        <f t="shared" si="3"/>
        <v>#N/A</v>
      </c>
      <c r="AN39" s="219" t="e">
        <f t="shared" si="10"/>
        <v>#N/A</v>
      </c>
      <c r="AO39" s="219" t="e">
        <f t="shared" si="11"/>
        <v>#N/A</v>
      </c>
      <c r="AP39" s="220" t="e">
        <f t="shared" si="12"/>
        <v>#N/A</v>
      </c>
      <c r="AQ39" s="214" t="e">
        <f t="shared" si="14"/>
        <v>#N/A</v>
      </c>
      <c r="AR39" s="120"/>
      <c r="AY39" s="408" t="str">
        <f t="shared" si="13"/>
        <v/>
      </c>
    </row>
    <row r="40" spans="2:51" ht="59.25" customHeight="1">
      <c r="B40" s="109">
        <v>36</v>
      </c>
      <c r="C40" s="110">
        <f>SISWA!B41</f>
        <v>0</v>
      </c>
      <c r="D40" s="111" t="str">
        <f>SISWA!E41</f>
        <v>Anak 36</v>
      </c>
      <c r="E40" s="520"/>
      <c r="F40" s="520"/>
      <c r="G40" s="520"/>
      <c r="H40" s="520"/>
      <c r="I40" s="520"/>
      <c r="J40" s="520"/>
      <c r="K40" s="520"/>
      <c r="L40" s="520"/>
      <c r="M40" s="520"/>
      <c r="N40" s="533" t="str">
        <f t="shared" si="5"/>
        <v/>
      </c>
      <c r="O40" s="533" t="str">
        <f t="shared" si="6"/>
        <v/>
      </c>
      <c r="P40" s="533" t="str">
        <f t="shared" si="7"/>
        <v/>
      </c>
      <c r="Q40" s="514"/>
      <c r="R40" s="514"/>
      <c r="S40" s="514"/>
      <c r="T40" s="514"/>
      <c r="U40" s="514"/>
      <c r="V40" s="514"/>
      <c r="W40" s="513"/>
      <c r="X40" s="513"/>
      <c r="Y40" s="513"/>
      <c r="Z40" s="513"/>
      <c r="AA40" s="514"/>
      <c r="AB40" s="514"/>
      <c r="AC40" s="513"/>
      <c r="AD40" s="302" t="e">
        <f t="shared" si="8"/>
        <v>#DIV/0!</v>
      </c>
      <c r="AE40" s="303" t="e">
        <f>IF(AD40&gt;KKM!$G$10,"A",IF(AD40&gt;KKM!$H$10,"B",IF(AD40&gt;=KKM!$I$10,"C","D")))</f>
        <v>#DIV/0!</v>
      </c>
      <c r="AF40" s="523">
        <f t="shared" si="0"/>
        <v>0</v>
      </c>
      <c r="AG40" s="309" t="str">
        <f>IF(AF40&gt;KKM!$G$10," sangat baik ",IF(AF40&gt;KKM!$H$10," baik ",IF(AF40&gt;=KKM!$I$10," cukup baik "," perlu bimbingan ")))</f>
        <v xml:space="preserve"> perlu bimbingan </v>
      </c>
      <c r="AH40" s="524">
        <f t="shared" si="1"/>
        <v>0</v>
      </c>
      <c r="AI40" s="309" t="str">
        <f>IF(AH40&gt;KKM!$G$10," sangat baik ",IF(AH40&gt;KKM!$H$10," baik ",IF(AH40&gt;=KKM!$I$10," cukup baik "," perlu bimbingan ")))</f>
        <v xml:space="preserve"> perlu bimbingan </v>
      </c>
      <c r="AJ40" s="301" t="str">
        <f t="shared" si="9"/>
        <v xml:space="preserve"> </v>
      </c>
      <c r="AK40" s="218"/>
      <c r="AL40" s="219" t="e">
        <f t="shared" si="2"/>
        <v>#N/A</v>
      </c>
      <c r="AM40" s="219" t="e">
        <f t="shared" si="3"/>
        <v>#N/A</v>
      </c>
      <c r="AN40" s="219" t="e">
        <f t="shared" si="10"/>
        <v>#N/A</v>
      </c>
      <c r="AO40" s="219" t="e">
        <f t="shared" si="11"/>
        <v>#N/A</v>
      </c>
      <c r="AP40" s="220" t="e">
        <f t="shared" si="12"/>
        <v>#N/A</v>
      </c>
      <c r="AQ40" s="214" t="e">
        <f t="shared" si="14"/>
        <v>#N/A</v>
      </c>
      <c r="AR40" s="120"/>
      <c r="AY40" s="408" t="str">
        <f t="shared" si="13"/>
        <v/>
      </c>
    </row>
    <row r="41" spans="2:51" ht="59.25" customHeight="1">
      <c r="B41" s="109">
        <v>37</v>
      </c>
      <c r="C41" s="110">
        <f>SISWA!B42</f>
        <v>0</v>
      </c>
      <c r="D41" s="111" t="str">
        <f>SISWA!E42</f>
        <v>Anak 37</v>
      </c>
      <c r="E41" s="520"/>
      <c r="F41" s="520"/>
      <c r="G41" s="520"/>
      <c r="H41" s="520"/>
      <c r="I41" s="520"/>
      <c r="J41" s="520"/>
      <c r="K41" s="520"/>
      <c r="L41" s="520"/>
      <c r="M41" s="520"/>
      <c r="N41" s="533" t="str">
        <f t="shared" si="5"/>
        <v/>
      </c>
      <c r="O41" s="533" t="str">
        <f t="shared" si="6"/>
        <v/>
      </c>
      <c r="P41" s="533" t="str">
        <f t="shared" si="7"/>
        <v/>
      </c>
      <c r="Q41" s="514"/>
      <c r="R41" s="514"/>
      <c r="S41" s="514"/>
      <c r="T41" s="514"/>
      <c r="U41" s="514"/>
      <c r="V41" s="514"/>
      <c r="W41" s="513"/>
      <c r="X41" s="513"/>
      <c r="Y41" s="513"/>
      <c r="Z41" s="513"/>
      <c r="AA41" s="514"/>
      <c r="AB41" s="514"/>
      <c r="AC41" s="513"/>
      <c r="AD41" s="302" t="e">
        <f t="shared" si="8"/>
        <v>#DIV/0!</v>
      </c>
      <c r="AE41" s="303" t="e">
        <f>IF(AD41&gt;KKM!$G$10,"A",IF(AD41&gt;KKM!$H$10,"B",IF(AD41&gt;=KKM!$I$10,"C","D")))</f>
        <v>#DIV/0!</v>
      </c>
      <c r="AF41" s="523">
        <f t="shared" si="0"/>
        <v>0</v>
      </c>
      <c r="AG41" s="309" t="str">
        <f>IF(AF41&gt;KKM!$G$10," sangat baik ",IF(AF41&gt;KKM!$H$10," baik ",IF(AF41&gt;=KKM!$I$10," cukup baik "," perlu bimbingan ")))</f>
        <v xml:space="preserve"> perlu bimbingan </v>
      </c>
      <c r="AH41" s="524">
        <f t="shared" si="1"/>
        <v>0</v>
      </c>
      <c r="AI41" s="309" t="str">
        <f>IF(AH41&gt;KKM!$G$10," sangat baik ",IF(AH41&gt;KKM!$H$10," baik ",IF(AH41&gt;=KKM!$I$10," cukup baik "," perlu bimbingan ")))</f>
        <v xml:space="preserve"> perlu bimbingan </v>
      </c>
      <c r="AJ41" s="301" t="str">
        <f t="shared" si="9"/>
        <v xml:space="preserve"> </v>
      </c>
      <c r="AK41" s="218"/>
      <c r="AL41" s="219" t="e">
        <f t="shared" si="2"/>
        <v>#N/A</v>
      </c>
      <c r="AM41" s="219" t="e">
        <f t="shared" si="3"/>
        <v>#N/A</v>
      </c>
      <c r="AN41" s="219" t="e">
        <f t="shared" si="10"/>
        <v>#N/A</v>
      </c>
      <c r="AO41" s="219" t="e">
        <f t="shared" si="11"/>
        <v>#N/A</v>
      </c>
      <c r="AP41" s="220" t="e">
        <f t="shared" si="12"/>
        <v>#N/A</v>
      </c>
      <c r="AQ41" s="214" t="e">
        <f t="shared" si="14"/>
        <v>#N/A</v>
      </c>
      <c r="AR41" s="120"/>
      <c r="AY41" s="408" t="str">
        <f t="shared" si="13"/>
        <v/>
      </c>
    </row>
    <row r="42" spans="2:51" ht="59.25" customHeight="1">
      <c r="B42" s="109">
        <v>38</v>
      </c>
      <c r="C42" s="110">
        <f>SISWA!B43</f>
        <v>0</v>
      </c>
      <c r="D42" s="111" t="str">
        <f>SISWA!E43</f>
        <v>Anak 38</v>
      </c>
      <c r="E42" s="520"/>
      <c r="F42" s="520"/>
      <c r="G42" s="520"/>
      <c r="H42" s="520"/>
      <c r="I42" s="520"/>
      <c r="J42" s="520"/>
      <c r="K42" s="520"/>
      <c r="L42" s="520"/>
      <c r="M42" s="520"/>
      <c r="N42" s="533" t="str">
        <f t="shared" si="5"/>
        <v/>
      </c>
      <c r="O42" s="533" t="str">
        <f t="shared" si="6"/>
        <v/>
      </c>
      <c r="P42" s="533" t="str">
        <f t="shared" si="7"/>
        <v/>
      </c>
      <c r="Q42" s="514"/>
      <c r="R42" s="514"/>
      <c r="S42" s="514"/>
      <c r="T42" s="514"/>
      <c r="U42" s="514"/>
      <c r="V42" s="514"/>
      <c r="W42" s="513"/>
      <c r="X42" s="513"/>
      <c r="Y42" s="513"/>
      <c r="Z42" s="513"/>
      <c r="AA42" s="514"/>
      <c r="AB42" s="514"/>
      <c r="AC42" s="513"/>
      <c r="AD42" s="302" t="e">
        <f t="shared" si="8"/>
        <v>#DIV/0!</v>
      </c>
      <c r="AE42" s="303" t="e">
        <f>IF(AD42&gt;KKM!$G$10,"A",IF(AD42&gt;KKM!$H$10,"B",IF(AD42&gt;=KKM!$I$10,"C","D")))</f>
        <v>#DIV/0!</v>
      </c>
      <c r="AF42" s="523">
        <f t="shared" si="0"/>
        <v>0</v>
      </c>
      <c r="AG42" s="309" t="str">
        <f>IF(AF42&gt;KKM!$G$10," sangat baik ",IF(AF42&gt;KKM!$H$10," baik ",IF(AF42&gt;=KKM!$I$10," cukup baik "," perlu bimbingan ")))</f>
        <v xml:space="preserve"> perlu bimbingan </v>
      </c>
      <c r="AH42" s="524">
        <f t="shared" si="1"/>
        <v>0</v>
      </c>
      <c r="AI42" s="309" t="str">
        <f>IF(AH42&gt;KKM!$G$10," sangat baik ",IF(AH42&gt;KKM!$H$10," baik ",IF(AH42&gt;=KKM!$I$10," cukup baik "," perlu bimbingan ")))</f>
        <v xml:space="preserve"> perlu bimbingan </v>
      </c>
      <c r="AJ42" s="301" t="str">
        <f t="shared" si="9"/>
        <v xml:space="preserve"> </v>
      </c>
      <c r="AK42" s="218"/>
      <c r="AL42" s="219" t="e">
        <f t="shared" si="2"/>
        <v>#N/A</v>
      </c>
      <c r="AM42" s="219" t="e">
        <f t="shared" si="3"/>
        <v>#N/A</v>
      </c>
      <c r="AN42" s="219" t="e">
        <f t="shared" si="10"/>
        <v>#N/A</v>
      </c>
      <c r="AO42" s="219" t="e">
        <f t="shared" si="11"/>
        <v>#N/A</v>
      </c>
      <c r="AP42" s="220" t="e">
        <f t="shared" si="12"/>
        <v>#N/A</v>
      </c>
      <c r="AQ42" s="214" t="e">
        <f t="shared" si="14"/>
        <v>#N/A</v>
      </c>
      <c r="AR42" s="120"/>
      <c r="AY42" s="408" t="str">
        <f t="shared" si="13"/>
        <v/>
      </c>
    </row>
    <row r="43" spans="2:51" ht="59.25" customHeight="1">
      <c r="B43" s="109">
        <v>39</v>
      </c>
      <c r="C43" s="110">
        <f>SISWA!B44</f>
        <v>0</v>
      </c>
      <c r="D43" s="111" t="str">
        <f>SISWA!E44</f>
        <v>Anak 39</v>
      </c>
      <c r="E43" s="520"/>
      <c r="F43" s="520"/>
      <c r="G43" s="520"/>
      <c r="H43" s="520"/>
      <c r="I43" s="520"/>
      <c r="J43" s="520"/>
      <c r="K43" s="520"/>
      <c r="L43" s="520"/>
      <c r="M43" s="520"/>
      <c r="N43" s="533" t="str">
        <f t="shared" si="5"/>
        <v/>
      </c>
      <c r="O43" s="533" t="str">
        <f t="shared" si="6"/>
        <v/>
      </c>
      <c r="P43" s="533" t="str">
        <f t="shared" si="7"/>
        <v/>
      </c>
      <c r="Q43" s="514"/>
      <c r="R43" s="514"/>
      <c r="S43" s="514"/>
      <c r="T43" s="514"/>
      <c r="U43" s="514"/>
      <c r="V43" s="514"/>
      <c r="W43" s="513"/>
      <c r="X43" s="513"/>
      <c r="Y43" s="513"/>
      <c r="Z43" s="513"/>
      <c r="AA43" s="514"/>
      <c r="AB43" s="514"/>
      <c r="AC43" s="513"/>
      <c r="AD43" s="302" t="e">
        <f t="shared" si="8"/>
        <v>#DIV/0!</v>
      </c>
      <c r="AE43" s="303" t="e">
        <f>IF(AD43&gt;KKM!$G$10,"A",IF(AD43&gt;KKM!$H$10,"B",IF(AD43&gt;=KKM!$I$10,"C","D")))</f>
        <v>#DIV/0!</v>
      </c>
      <c r="AF43" s="523">
        <f t="shared" si="0"/>
        <v>0</v>
      </c>
      <c r="AG43" s="309" t="str">
        <f>IF(AF43&gt;KKM!$G$10," sangat baik ",IF(AF43&gt;KKM!$H$10," baik ",IF(AF43&gt;=KKM!$I$10," cukup baik "," perlu bimbingan ")))</f>
        <v xml:space="preserve"> perlu bimbingan </v>
      </c>
      <c r="AH43" s="524">
        <f t="shared" si="1"/>
        <v>0</v>
      </c>
      <c r="AI43" s="309" t="str">
        <f>IF(AH43&gt;KKM!$G$10," sangat baik ",IF(AH43&gt;KKM!$H$10," baik ",IF(AH43&gt;=KKM!$I$10," cukup baik "," perlu bimbingan ")))</f>
        <v xml:space="preserve"> perlu bimbingan </v>
      </c>
      <c r="AJ43" s="301" t="str">
        <f t="shared" si="9"/>
        <v xml:space="preserve"> </v>
      </c>
      <c r="AK43" s="218"/>
      <c r="AL43" s="219" t="e">
        <f t="shared" si="2"/>
        <v>#N/A</v>
      </c>
      <c r="AM43" s="219" t="e">
        <f t="shared" si="3"/>
        <v>#N/A</v>
      </c>
      <c r="AN43" s="219" t="e">
        <f t="shared" si="10"/>
        <v>#N/A</v>
      </c>
      <c r="AO43" s="219" t="e">
        <f t="shared" si="11"/>
        <v>#N/A</v>
      </c>
      <c r="AP43" s="220" t="e">
        <f t="shared" si="12"/>
        <v>#N/A</v>
      </c>
      <c r="AQ43" s="214" t="e">
        <f t="shared" si="14"/>
        <v>#N/A</v>
      </c>
      <c r="AR43" s="120"/>
      <c r="AY43" s="408" t="str">
        <f t="shared" si="13"/>
        <v/>
      </c>
    </row>
    <row r="44" spans="2:51" ht="59.25" customHeight="1">
      <c r="B44" s="109">
        <v>40</v>
      </c>
      <c r="C44" s="110">
        <f>SISWA!B45</f>
        <v>0</v>
      </c>
      <c r="D44" s="111" t="str">
        <f>SISWA!E45</f>
        <v>Anak 40</v>
      </c>
      <c r="E44" s="520"/>
      <c r="F44" s="520"/>
      <c r="G44" s="520"/>
      <c r="H44" s="520"/>
      <c r="I44" s="520"/>
      <c r="J44" s="520"/>
      <c r="K44" s="520"/>
      <c r="L44" s="520"/>
      <c r="M44" s="520"/>
      <c r="N44" s="533" t="str">
        <f t="shared" si="5"/>
        <v/>
      </c>
      <c r="O44" s="533" t="str">
        <f t="shared" si="6"/>
        <v/>
      </c>
      <c r="P44" s="533" t="str">
        <f t="shared" si="7"/>
        <v/>
      </c>
      <c r="Q44" s="514"/>
      <c r="R44" s="514"/>
      <c r="S44" s="514"/>
      <c r="T44" s="514"/>
      <c r="U44" s="514"/>
      <c r="V44" s="514"/>
      <c r="W44" s="513"/>
      <c r="X44" s="513"/>
      <c r="Y44" s="513"/>
      <c r="Z44" s="513"/>
      <c r="AA44" s="514"/>
      <c r="AB44" s="514"/>
      <c r="AC44" s="513"/>
      <c r="AD44" s="302" t="e">
        <f t="shared" si="8"/>
        <v>#DIV/0!</v>
      </c>
      <c r="AE44" s="303" t="e">
        <f>IF(AD44&gt;KKM!$G$10,"A",IF(AD44&gt;KKM!$H$10,"B",IF(AD44&gt;=KKM!$I$10,"C","D")))</f>
        <v>#DIV/0!</v>
      </c>
      <c r="AF44" s="523">
        <f t="shared" si="0"/>
        <v>0</v>
      </c>
      <c r="AG44" s="309" t="str">
        <f>IF(AF44&gt;KKM!$G$10," sangat baik ",IF(AF44&gt;KKM!$H$10," baik ",IF(AF44&gt;=KKM!$I$10," cukup baik "," perlu bimbingan ")))</f>
        <v xml:space="preserve"> perlu bimbingan </v>
      </c>
      <c r="AH44" s="524">
        <f t="shared" si="1"/>
        <v>0</v>
      </c>
      <c r="AI44" s="309" t="str">
        <f>IF(AH44&gt;KKM!$G$10," sangat baik ",IF(AH44&gt;KKM!$H$10," baik ",IF(AH44&gt;=KKM!$I$10," cukup baik "," perlu bimbingan ")))</f>
        <v xml:space="preserve"> perlu bimbingan </v>
      </c>
      <c r="AJ44" s="301" t="str">
        <f t="shared" si="9"/>
        <v xml:space="preserve"> </v>
      </c>
      <c r="AK44" s="218"/>
      <c r="AL44" s="219" t="e">
        <f t="shared" si="2"/>
        <v>#N/A</v>
      </c>
      <c r="AM44" s="219" t="e">
        <f t="shared" si="3"/>
        <v>#N/A</v>
      </c>
      <c r="AN44" s="219" t="e">
        <f t="shared" si="10"/>
        <v>#N/A</v>
      </c>
      <c r="AO44" s="219" t="e">
        <f t="shared" si="11"/>
        <v>#N/A</v>
      </c>
      <c r="AP44" s="220" t="e">
        <f t="shared" si="12"/>
        <v>#N/A</v>
      </c>
      <c r="AQ44" s="214" t="e">
        <f t="shared" si="14"/>
        <v>#N/A</v>
      </c>
      <c r="AR44" s="120"/>
      <c r="AY44" s="408" t="str">
        <f t="shared" si="13"/>
        <v/>
      </c>
    </row>
    <row r="45" spans="2:51" ht="59.25" customHeight="1">
      <c r="B45" s="109">
        <v>41</v>
      </c>
      <c r="C45" s="110">
        <f>SISWA!B46</f>
        <v>0</v>
      </c>
      <c r="D45" s="111" t="str">
        <f>SISWA!E46</f>
        <v>Anak 41</v>
      </c>
      <c r="E45" s="520"/>
      <c r="F45" s="520"/>
      <c r="G45" s="520"/>
      <c r="H45" s="520"/>
      <c r="I45" s="520"/>
      <c r="J45" s="520"/>
      <c r="K45" s="520"/>
      <c r="L45" s="520"/>
      <c r="M45" s="520"/>
      <c r="N45" s="533" t="str">
        <f t="shared" si="5"/>
        <v/>
      </c>
      <c r="O45" s="533" t="str">
        <f t="shared" si="6"/>
        <v/>
      </c>
      <c r="P45" s="533" t="str">
        <f t="shared" si="7"/>
        <v/>
      </c>
      <c r="Q45" s="514"/>
      <c r="R45" s="514"/>
      <c r="S45" s="514"/>
      <c r="T45" s="514"/>
      <c r="U45" s="514"/>
      <c r="V45" s="514"/>
      <c r="W45" s="513"/>
      <c r="X45" s="513"/>
      <c r="Y45" s="513"/>
      <c r="Z45" s="513"/>
      <c r="AA45" s="514"/>
      <c r="AB45" s="514"/>
      <c r="AC45" s="513"/>
      <c r="AD45" s="302" t="e">
        <f t="shared" si="8"/>
        <v>#DIV/0!</v>
      </c>
      <c r="AE45" s="303" t="e">
        <f>IF(AD45&gt;KKM!$G$10,"A",IF(AD45&gt;KKM!$H$10,"B",IF(AD45&gt;=KKM!$I$10,"C","D")))</f>
        <v>#DIV/0!</v>
      </c>
      <c r="AF45" s="523">
        <f t="shared" si="0"/>
        <v>0</v>
      </c>
      <c r="AG45" s="309" t="str">
        <f>IF(AF45&gt;KKM!$G$10," sangat baik ",IF(AF45&gt;KKM!$H$10," baik ",IF(AF45&gt;=KKM!$I$10," cukup baik "," perlu bimbingan ")))</f>
        <v xml:space="preserve"> perlu bimbingan </v>
      </c>
      <c r="AH45" s="524">
        <f t="shared" si="1"/>
        <v>0</v>
      </c>
      <c r="AI45" s="309" t="str">
        <f>IF(AH45&gt;KKM!$G$10," sangat baik ",IF(AH45&gt;KKM!$H$10," baik ",IF(AH45&gt;=KKM!$I$10," cukup baik "," perlu bimbingan ")))</f>
        <v xml:space="preserve"> perlu bimbingan </v>
      </c>
      <c r="AJ45" s="301" t="str">
        <f t="shared" si="9"/>
        <v xml:space="preserve"> </v>
      </c>
      <c r="AK45" s="218"/>
      <c r="AL45" s="219" t="e">
        <f t="shared" si="2"/>
        <v>#N/A</v>
      </c>
      <c r="AM45" s="219" t="e">
        <f t="shared" si="3"/>
        <v>#N/A</v>
      </c>
      <c r="AN45" s="219" t="e">
        <f t="shared" si="10"/>
        <v>#N/A</v>
      </c>
      <c r="AO45" s="219" t="e">
        <f t="shared" si="11"/>
        <v>#N/A</v>
      </c>
      <c r="AP45" s="220" t="e">
        <f t="shared" si="12"/>
        <v>#N/A</v>
      </c>
      <c r="AQ45" s="214" t="e">
        <f t="shared" si="14"/>
        <v>#N/A</v>
      </c>
      <c r="AR45" s="120"/>
      <c r="AY45" s="408" t="str">
        <f t="shared" si="13"/>
        <v/>
      </c>
    </row>
    <row r="46" spans="2:51" ht="59.25" customHeight="1">
      <c r="B46" s="109">
        <v>42</v>
      </c>
      <c r="C46" s="110">
        <f>SISWA!B47</f>
        <v>0</v>
      </c>
      <c r="D46" s="111" t="str">
        <f>SISWA!E47</f>
        <v>Anak 42</v>
      </c>
      <c r="E46" s="520"/>
      <c r="F46" s="520"/>
      <c r="G46" s="520"/>
      <c r="H46" s="520"/>
      <c r="I46" s="520"/>
      <c r="J46" s="520"/>
      <c r="K46" s="520"/>
      <c r="L46" s="520"/>
      <c r="M46" s="520"/>
      <c r="N46" s="533" t="str">
        <f t="shared" si="5"/>
        <v/>
      </c>
      <c r="O46" s="533" t="str">
        <f t="shared" si="6"/>
        <v/>
      </c>
      <c r="P46" s="533" t="str">
        <f t="shared" si="7"/>
        <v/>
      </c>
      <c r="Q46" s="514"/>
      <c r="R46" s="514"/>
      <c r="S46" s="514"/>
      <c r="T46" s="514"/>
      <c r="U46" s="514"/>
      <c r="V46" s="514"/>
      <c r="W46" s="513"/>
      <c r="X46" s="513"/>
      <c r="Y46" s="513"/>
      <c r="Z46" s="513"/>
      <c r="AA46" s="514"/>
      <c r="AB46" s="514"/>
      <c r="AC46" s="513"/>
      <c r="AD46" s="302" t="e">
        <f t="shared" si="8"/>
        <v>#DIV/0!</v>
      </c>
      <c r="AE46" s="303" t="e">
        <f>IF(AD46&gt;KKM!$G$10,"A",IF(AD46&gt;KKM!$H$10,"B",IF(AD46&gt;=KKM!$I$10,"C","D")))</f>
        <v>#DIV/0!</v>
      </c>
      <c r="AF46" s="523">
        <f t="shared" si="0"/>
        <v>0</v>
      </c>
      <c r="AG46" s="309" t="str">
        <f>IF(AF46&gt;KKM!$G$10," sangat baik ",IF(AF46&gt;KKM!$H$10," baik ",IF(AF46&gt;=KKM!$I$10," cukup baik "," perlu bimbingan ")))</f>
        <v xml:space="preserve"> perlu bimbingan </v>
      </c>
      <c r="AH46" s="524">
        <f t="shared" si="1"/>
        <v>0</v>
      </c>
      <c r="AI46" s="309" t="str">
        <f>IF(AH46&gt;KKM!$G$10," sangat baik ",IF(AH46&gt;KKM!$H$10," baik ",IF(AH46&gt;=KKM!$I$10," cukup baik "," perlu bimbingan ")))</f>
        <v xml:space="preserve"> perlu bimbingan </v>
      </c>
      <c r="AJ46" s="301" t="str">
        <f t="shared" si="9"/>
        <v xml:space="preserve"> </v>
      </c>
      <c r="AK46" s="218"/>
      <c r="AL46" s="219" t="e">
        <f t="shared" si="2"/>
        <v>#N/A</v>
      </c>
      <c r="AM46" s="219" t="e">
        <f t="shared" si="3"/>
        <v>#N/A</v>
      </c>
      <c r="AN46" s="219" t="e">
        <f t="shared" si="10"/>
        <v>#N/A</v>
      </c>
      <c r="AO46" s="219" t="e">
        <f t="shared" si="11"/>
        <v>#N/A</v>
      </c>
      <c r="AP46" s="220" t="e">
        <f t="shared" si="12"/>
        <v>#N/A</v>
      </c>
      <c r="AQ46" s="214" t="e">
        <f t="shared" si="14"/>
        <v>#N/A</v>
      </c>
      <c r="AR46" s="120"/>
      <c r="AY46" s="408" t="str">
        <f t="shared" si="13"/>
        <v/>
      </c>
    </row>
    <row r="47" spans="2:51" ht="59.25" customHeight="1">
      <c r="B47" s="109">
        <v>43</v>
      </c>
      <c r="C47" s="110">
        <f>SISWA!B48</f>
        <v>0</v>
      </c>
      <c r="D47" s="111" t="str">
        <f>SISWA!E48</f>
        <v>Anak 43</v>
      </c>
      <c r="E47" s="520"/>
      <c r="F47" s="520"/>
      <c r="G47" s="520"/>
      <c r="H47" s="520"/>
      <c r="I47" s="520"/>
      <c r="J47" s="520"/>
      <c r="K47" s="520"/>
      <c r="L47" s="520"/>
      <c r="M47" s="520"/>
      <c r="N47" s="533" t="str">
        <f t="shared" si="5"/>
        <v/>
      </c>
      <c r="O47" s="533" t="str">
        <f t="shared" si="6"/>
        <v/>
      </c>
      <c r="P47" s="533" t="str">
        <f t="shared" si="7"/>
        <v/>
      </c>
      <c r="Q47" s="514"/>
      <c r="R47" s="514"/>
      <c r="S47" s="514"/>
      <c r="T47" s="514"/>
      <c r="U47" s="514"/>
      <c r="V47" s="514"/>
      <c r="W47" s="513"/>
      <c r="X47" s="513"/>
      <c r="Y47" s="513"/>
      <c r="Z47" s="513"/>
      <c r="AA47" s="514"/>
      <c r="AB47" s="514"/>
      <c r="AC47" s="513"/>
      <c r="AD47" s="302" t="e">
        <f t="shared" si="8"/>
        <v>#DIV/0!</v>
      </c>
      <c r="AE47" s="303" t="e">
        <f>IF(AD47&gt;KKM!$G$10,"A",IF(AD47&gt;KKM!$H$10,"B",IF(AD47&gt;=KKM!$I$10,"C","D")))</f>
        <v>#DIV/0!</v>
      </c>
      <c r="AF47" s="523">
        <f t="shared" si="0"/>
        <v>0</v>
      </c>
      <c r="AG47" s="309" t="str">
        <f>IF(AF47&gt;KKM!$G$10," sangat baik ",IF(AF47&gt;KKM!$H$10," baik ",IF(AF47&gt;=KKM!$I$10," cukup baik "," perlu bimbingan ")))</f>
        <v xml:space="preserve"> perlu bimbingan </v>
      </c>
      <c r="AH47" s="524">
        <f t="shared" si="1"/>
        <v>0</v>
      </c>
      <c r="AI47" s="309" t="str">
        <f>IF(AH47&gt;KKM!$G$10," sangat baik ",IF(AH47&gt;KKM!$H$10," baik ",IF(AH47&gt;=KKM!$I$10," cukup baik "," perlu bimbingan ")))</f>
        <v xml:space="preserve"> perlu bimbingan </v>
      </c>
      <c r="AJ47" s="301" t="str">
        <f t="shared" si="9"/>
        <v xml:space="preserve"> </v>
      </c>
      <c r="AK47" s="218"/>
      <c r="AL47" s="219" t="e">
        <f t="shared" si="2"/>
        <v>#N/A</v>
      </c>
      <c r="AM47" s="219" t="e">
        <f t="shared" si="3"/>
        <v>#N/A</v>
      </c>
      <c r="AN47" s="219" t="e">
        <f t="shared" si="10"/>
        <v>#N/A</v>
      </c>
      <c r="AO47" s="219" t="e">
        <f t="shared" si="11"/>
        <v>#N/A</v>
      </c>
      <c r="AP47" s="220" t="e">
        <f t="shared" si="12"/>
        <v>#N/A</v>
      </c>
      <c r="AQ47" s="214" t="e">
        <f t="shared" si="14"/>
        <v>#N/A</v>
      </c>
      <c r="AR47" s="120"/>
      <c r="AY47" s="408" t="str">
        <f t="shared" si="13"/>
        <v/>
      </c>
    </row>
    <row r="48" spans="2:51" ht="59.25" customHeight="1">
      <c r="B48" s="109">
        <v>44</v>
      </c>
      <c r="C48" s="110">
        <f>SISWA!B49</f>
        <v>0</v>
      </c>
      <c r="D48" s="111" t="str">
        <f>SISWA!E49</f>
        <v>Anak 44</v>
      </c>
      <c r="E48" s="520"/>
      <c r="F48" s="520"/>
      <c r="G48" s="520"/>
      <c r="H48" s="520"/>
      <c r="I48" s="520"/>
      <c r="J48" s="520"/>
      <c r="K48" s="520"/>
      <c r="L48" s="520"/>
      <c r="M48" s="520"/>
      <c r="N48" s="533" t="str">
        <f t="shared" si="5"/>
        <v/>
      </c>
      <c r="O48" s="533" t="str">
        <f t="shared" si="6"/>
        <v/>
      </c>
      <c r="P48" s="533" t="str">
        <f t="shared" si="7"/>
        <v/>
      </c>
      <c r="Q48" s="514"/>
      <c r="R48" s="514"/>
      <c r="S48" s="514"/>
      <c r="T48" s="514"/>
      <c r="U48" s="514"/>
      <c r="V48" s="514"/>
      <c r="W48" s="513"/>
      <c r="X48" s="513"/>
      <c r="Y48" s="513"/>
      <c r="Z48" s="513"/>
      <c r="AA48" s="514"/>
      <c r="AB48" s="514"/>
      <c r="AC48" s="513"/>
      <c r="AD48" s="302" t="e">
        <f t="shared" si="8"/>
        <v>#DIV/0!</v>
      </c>
      <c r="AE48" s="303" t="e">
        <f>IF(AD48&gt;KKM!$G$10,"A",IF(AD48&gt;KKM!$H$10,"B",IF(AD48&gt;=KKM!$I$10,"C","D")))</f>
        <v>#DIV/0!</v>
      </c>
      <c r="AF48" s="523">
        <f t="shared" si="0"/>
        <v>0</v>
      </c>
      <c r="AG48" s="309" t="str">
        <f>IF(AF48&gt;KKM!$G$10," sangat baik ",IF(AF48&gt;KKM!$H$10," baik ",IF(AF48&gt;=KKM!$I$10," cukup baik "," perlu bimbingan ")))</f>
        <v xml:space="preserve"> perlu bimbingan </v>
      </c>
      <c r="AH48" s="524">
        <f t="shared" si="1"/>
        <v>0</v>
      </c>
      <c r="AI48" s="309" t="str">
        <f>IF(AH48&gt;KKM!$G$10," sangat baik ",IF(AH48&gt;KKM!$H$10," baik ",IF(AH48&gt;=KKM!$I$10," cukup baik "," perlu bimbingan ")))</f>
        <v xml:space="preserve"> perlu bimbingan </v>
      </c>
      <c r="AJ48" s="301" t="str">
        <f t="shared" si="9"/>
        <v xml:space="preserve"> </v>
      </c>
      <c r="AK48" s="218"/>
      <c r="AL48" s="219" t="e">
        <f t="shared" si="2"/>
        <v>#N/A</v>
      </c>
      <c r="AM48" s="219" t="e">
        <f t="shared" si="3"/>
        <v>#N/A</v>
      </c>
      <c r="AN48" s="219" t="e">
        <f t="shared" si="10"/>
        <v>#N/A</v>
      </c>
      <c r="AO48" s="219" t="e">
        <f t="shared" si="11"/>
        <v>#N/A</v>
      </c>
      <c r="AP48" s="220" t="e">
        <f t="shared" si="12"/>
        <v>#N/A</v>
      </c>
      <c r="AQ48" s="214" t="e">
        <f t="shared" si="14"/>
        <v>#N/A</v>
      </c>
      <c r="AR48" s="120"/>
      <c r="AY48" s="408" t="str">
        <f t="shared" si="13"/>
        <v/>
      </c>
    </row>
    <row r="49" spans="2:51" ht="59.25" customHeight="1">
      <c r="B49" s="109">
        <v>45</v>
      </c>
      <c r="C49" s="110">
        <f>SISWA!B50</f>
        <v>0</v>
      </c>
      <c r="D49" s="111" t="str">
        <f>SISWA!E50</f>
        <v>Anak 45</v>
      </c>
      <c r="E49" s="520"/>
      <c r="F49" s="520"/>
      <c r="G49" s="520"/>
      <c r="H49" s="520"/>
      <c r="I49" s="520"/>
      <c r="J49" s="520"/>
      <c r="K49" s="520"/>
      <c r="L49" s="520"/>
      <c r="M49" s="520"/>
      <c r="N49" s="533" t="str">
        <f t="shared" si="5"/>
        <v/>
      </c>
      <c r="O49" s="533" t="str">
        <f t="shared" si="6"/>
        <v/>
      </c>
      <c r="P49" s="533" t="str">
        <f t="shared" si="7"/>
        <v/>
      </c>
      <c r="Q49" s="514"/>
      <c r="R49" s="514"/>
      <c r="S49" s="514"/>
      <c r="T49" s="514"/>
      <c r="U49" s="514"/>
      <c r="V49" s="514"/>
      <c r="W49" s="513"/>
      <c r="X49" s="513"/>
      <c r="Y49" s="513"/>
      <c r="Z49" s="513"/>
      <c r="AA49" s="514"/>
      <c r="AB49" s="514"/>
      <c r="AC49" s="513"/>
      <c r="AD49" s="302" t="e">
        <f t="shared" si="8"/>
        <v>#DIV/0!</v>
      </c>
      <c r="AE49" s="303" t="e">
        <f>IF(AD49&gt;KKM!$G$10,"A",IF(AD49&gt;KKM!$H$10,"B",IF(AD49&gt;=KKM!$I$10,"C","D")))</f>
        <v>#DIV/0!</v>
      </c>
      <c r="AF49" s="523">
        <f t="shared" si="0"/>
        <v>0</v>
      </c>
      <c r="AG49" s="309" t="str">
        <f>IF(AF49&gt;KKM!$G$10," sangat baik ",IF(AF49&gt;KKM!$H$10," baik ",IF(AF49&gt;=KKM!$I$10," cukup baik "," perlu bimbingan ")))</f>
        <v xml:space="preserve"> perlu bimbingan </v>
      </c>
      <c r="AH49" s="524">
        <f t="shared" si="1"/>
        <v>0</v>
      </c>
      <c r="AI49" s="309" t="str">
        <f>IF(AH49&gt;KKM!$G$10," sangat baik ",IF(AH49&gt;KKM!$H$10," baik ",IF(AH49&gt;=KKM!$I$10," cukup baik "," perlu bimbingan ")))</f>
        <v xml:space="preserve"> perlu bimbingan </v>
      </c>
      <c r="AJ49" s="301" t="str">
        <f t="shared" si="9"/>
        <v xml:space="preserve"> </v>
      </c>
      <c r="AK49" s="218"/>
      <c r="AL49" s="219" t="e">
        <f t="shared" si="2"/>
        <v>#N/A</v>
      </c>
      <c r="AM49" s="219" t="e">
        <f t="shared" si="3"/>
        <v>#N/A</v>
      </c>
      <c r="AN49" s="219" t="e">
        <f t="shared" si="10"/>
        <v>#N/A</v>
      </c>
      <c r="AO49" s="219" t="e">
        <f t="shared" si="11"/>
        <v>#N/A</v>
      </c>
      <c r="AP49" s="220" t="e">
        <f t="shared" si="12"/>
        <v>#N/A</v>
      </c>
      <c r="AQ49" s="214" t="e">
        <f t="shared" si="14"/>
        <v>#N/A</v>
      </c>
      <c r="AR49" s="120"/>
      <c r="AY49" s="408" t="str">
        <f t="shared" si="13"/>
        <v/>
      </c>
    </row>
    <row r="50" spans="2:51" ht="59.25" customHeight="1">
      <c r="B50" s="109">
        <v>46</v>
      </c>
      <c r="C50" s="110">
        <f>SISWA!B51</f>
        <v>0</v>
      </c>
      <c r="D50" s="111" t="str">
        <f>SISWA!E51</f>
        <v>Anak 46</v>
      </c>
      <c r="E50" s="520"/>
      <c r="F50" s="520"/>
      <c r="G50" s="520"/>
      <c r="H50" s="520"/>
      <c r="I50" s="520"/>
      <c r="J50" s="520"/>
      <c r="K50" s="520"/>
      <c r="L50" s="520"/>
      <c r="M50" s="520"/>
      <c r="N50" s="533" t="str">
        <f t="shared" si="5"/>
        <v/>
      </c>
      <c r="O50" s="533" t="str">
        <f t="shared" si="6"/>
        <v/>
      </c>
      <c r="P50" s="533" t="str">
        <f t="shared" si="7"/>
        <v/>
      </c>
      <c r="Q50" s="514"/>
      <c r="R50" s="514"/>
      <c r="S50" s="514"/>
      <c r="T50" s="514"/>
      <c r="U50" s="514"/>
      <c r="V50" s="514"/>
      <c r="W50" s="513"/>
      <c r="X50" s="513"/>
      <c r="Y50" s="513"/>
      <c r="Z50" s="513"/>
      <c r="AA50" s="514"/>
      <c r="AB50" s="514"/>
      <c r="AC50" s="513"/>
      <c r="AD50" s="302" t="e">
        <f t="shared" si="8"/>
        <v>#DIV/0!</v>
      </c>
      <c r="AE50" s="303" t="e">
        <f>IF(AD50&gt;KKM!$G$10,"A",IF(AD50&gt;KKM!$H$10,"B",IF(AD50&gt;=KKM!$I$10,"C","D")))</f>
        <v>#DIV/0!</v>
      </c>
      <c r="AF50" s="523">
        <f t="shared" si="0"/>
        <v>0</v>
      </c>
      <c r="AG50" s="309" t="str">
        <f>IF(AF50&gt;KKM!$G$10," sangat baik ",IF(AF50&gt;KKM!$H$10," baik ",IF(AF50&gt;=KKM!$I$10," cukup baik "," perlu bimbingan ")))</f>
        <v xml:space="preserve"> perlu bimbingan </v>
      </c>
      <c r="AH50" s="524">
        <f t="shared" si="1"/>
        <v>0</v>
      </c>
      <c r="AI50" s="309" t="str">
        <f>IF(AH50&gt;KKM!$G$10," sangat baik ",IF(AH50&gt;KKM!$H$10," baik ",IF(AH50&gt;=KKM!$I$10," cukup baik "," perlu bimbingan ")))</f>
        <v xml:space="preserve"> perlu bimbingan </v>
      </c>
      <c r="AJ50" s="301" t="str">
        <f t="shared" si="9"/>
        <v xml:space="preserve"> </v>
      </c>
      <c r="AK50" s="218"/>
      <c r="AL50" s="219" t="e">
        <f t="shared" si="2"/>
        <v>#N/A</v>
      </c>
      <c r="AM50" s="219" t="e">
        <f t="shared" si="3"/>
        <v>#N/A</v>
      </c>
      <c r="AN50" s="219" t="e">
        <f t="shared" si="10"/>
        <v>#N/A</v>
      </c>
      <c r="AO50" s="219" t="e">
        <f t="shared" si="11"/>
        <v>#N/A</v>
      </c>
      <c r="AP50" s="220" t="e">
        <f t="shared" si="12"/>
        <v>#N/A</v>
      </c>
      <c r="AQ50" s="214" t="e">
        <f t="shared" si="14"/>
        <v>#N/A</v>
      </c>
      <c r="AR50" s="120"/>
      <c r="AY50" s="408" t="str">
        <f t="shared" si="13"/>
        <v/>
      </c>
    </row>
    <row r="51" spans="2:51" ht="59.25" customHeight="1">
      <c r="B51" s="109">
        <v>47</v>
      </c>
      <c r="C51" s="110">
        <f>SISWA!B52</f>
        <v>0</v>
      </c>
      <c r="D51" s="111" t="str">
        <f>SISWA!E52</f>
        <v>Anak 47</v>
      </c>
      <c r="E51" s="520"/>
      <c r="F51" s="520"/>
      <c r="G51" s="520"/>
      <c r="H51" s="520"/>
      <c r="I51" s="520"/>
      <c r="J51" s="520"/>
      <c r="K51" s="520"/>
      <c r="L51" s="520"/>
      <c r="M51" s="520"/>
      <c r="N51" s="533" t="str">
        <f t="shared" si="5"/>
        <v/>
      </c>
      <c r="O51" s="533" t="str">
        <f t="shared" si="6"/>
        <v/>
      </c>
      <c r="P51" s="533" t="str">
        <f t="shared" si="7"/>
        <v/>
      </c>
      <c r="Q51" s="514"/>
      <c r="R51" s="514"/>
      <c r="S51" s="514"/>
      <c r="T51" s="514"/>
      <c r="U51" s="514"/>
      <c r="V51" s="514"/>
      <c r="W51" s="513"/>
      <c r="X51" s="513"/>
      <c r="Y51" s="513"/>
      <c r="Z51" s="513"/>
      <c r="AA51" s="514"/>
      <c r="AB51" s="514"/>
      <c r="AC51" s="513"/>
      <c r="AD51" s="302" t="e">
        <f t="shared" si="8"/>
        <v>#DIV/0!</v>
      </c>
      <c r="AE51" s="303" t="e">
        <f>IF(AD51&gt;KKM!$G$10,"A",IF(AD51&gt;KKM!$H$10,"B",IF(AD51&gt;=KKM!$I$10,"C","D")))</f>
        <v>#DIV/0!</v>
      </c>
      <c r="AF51" s="523">
        <f t="shared" si="0"/>
        <v>0</v>
      </c>
      <c r="AG51" s="309" t="str">
        <f>IF(AF51&gt;KKM!$G$10," sangat baik ",IF(AF51&gt;KKM!$H$10," baik ",IF(AF51&gt;=KKM!$I$10," cukup baik "," perlu bimbingan ")))</f>
        <v xml:space="preserve"> perlu bimbingan </v>
      </c>
      <c r="AH51" s="524">
        <f t="shared" si="1"/>
        <v>0</v>
      </c>
      <c r="AI51" s="309" t="str">
        <f>IF(AH51&gt;KKM!$G$10," sangat baik ",IF(AH51&gt;KKM!$H$10," baik ",IF(AH51&gt;=KKM!$I$10," cukup baik "," perlu bimbingan ")))</f>
        <v xml:space="preserve"> perlu bimbingan </v>
      </c>
      <c r="AJ51" s="301" t="str">
        <f t="shared" si="9"/>
        <v xml:space="preserve"> </v>
      </c>
      <c r="AK51" s="218"/>
      <c r="AL51" s="219" t="e">
        <f t="shared" si="2"/>
        <v>#N/A</v>
      </c>
      <c r="AM51" s="219" t="e">
        <f t="shared" si="3"/>
        <v>#N/A</v>
      </c>
      <c r="AN51" s="219" t="e">
        <f t="shared" si="10"/>
        <v>#N/A</v>
      </c>
      <c r="AO51" s="219" t="e">
        <f t="shared" si="11"/>
        <v>#N/A</v>
      </c>
      <c r="AP51" s="220" t="e">
        <f t="shared" si="12"/>
        <v>#N/A</v>
      </c>
      <c r="AQ51" s="214" t="e">
        <f t="shared" si="14"/>
        <v>#N/A</v>
      </c>
      <c r="AR51" s="120"/>
      <c r="AY51" s="408" t="str">
        <f t="shared" si="13"/>
        <v/>
      </c>
    </row>
    <row r="52" spans="2:51" ht="59.25" customHeight="1">
      <c r="B52" s="109">
        <v>48</v>
      </c>
      <c r="C52" s="110">
        <f>SISWA!B53</f>
        <v>0</v>
      </c>
      <c r="D52" s="111" t="str">
        <f>SISWA!E53</f>
        <v>Anak 48</v>
      </c>
      <c r="E52" s="520"/>
      <c r="F52" s="520"/>
      <c r="G52" s="520"/>
      <c r="H52" s="520"/>
      <c r="I52" s="520"/>
      <c r="J52" s="520"/>
      <c r="K52" s="520"/>
      <c r="L52" s="520"/>
      <c r="M52" s="520"/>
      <c r="N52" s="533" t="str">
        <f t="shared" si="5"/>
        <v/>
      </c>
      <c r="O52" s="533" t="str">
        <f t="shared" si="6"/>
        <v/>
      </c>
      <c r="P52" s="533" t="str">
        <f t="shared" si="7"/>
        <v/>
      </c>
      <c r="Q52" s="514"/>
      <c r="R52" s="514"/>
      <c r="S52" s="514"/>
      <c r="T52" s="514"/>
      <c r="U52" s="514"/>
      <c r="V52" s="514"/>
      <c r="W52" s="513"/>
      <c r="X52" s="513"/>
      <c r="Y52" s="513"/>
      <c r="Z52" s="513"/>
      <c r="AA52" s="514"/>
      <c r="AB52" s="514"/>
      <c r="AC52" s="513"/>
      <c r="AD52" s="302" t="e">
        <f t="shared" si="8"/>
        <v>#DIV/0!</v>
      </c>
      <c r="AE52" s="303" t="e">
        <f>IF(AD52&gt;KKM!$G$10,"A",IF(AD52&gt;KKM!$H$10,"B",IF(AD52&gt;=KKM!$I$10,"C","D")))</f>
        <v>#DIV/0!</v>
      </c>
      <c r="AF52" s="523">
        <f t="shared" si="0"/>
        <v>0</v>
      </c>
      <c r="AG52" s="309" t="str">
        <f>IF(AF52&gt;KKM!$G$10," sangat baik ",IF(AF52&gt;KKM!$H$10," baik ",IF(AF52&gt;=KKM!$I$10," cukup baik "," perlu bimbingan ")))</f>
        <v xml:space="preserve"> perlu bimbingan </v>
      </c>
      <c r="AH52" s="524">
        <f t="shared" si="1"/>
        <v>0</v>
      </c>
      <c r="AI52" s="309" t="str">
        <f>IF(AH52&gt;KKM!$G$10," sangat baik ",IF(AH52&gt;KKM!$H$10," baik ",IF(AH52&gt;=KKM!$I$10," cukup baik "," perlu bimbingan ")))</f>
        <v xml:space="preserve"> perlu bimbingan </v>
      </c>
      <c r="AJ52" s="301" t="str">
        <f t="shared" si="9"/>
        <v xml:space="preserve"> </v>
      </c>
      <c r="AK52" s="218"/>
      <c r="AL52" s="219" t="e">
        <f t="shared" si="2"/>
        <v>#N/A</v>
      </c>
      <c r="AM52" s="219" t="e">
        <f t="shared" si="3"/>
        <v>#N/A</v>
      </c>
      <c r="AN52" s="219" t="e">
        <f t="shared" si="10"/>
        <v>#N/A</v>
      </c>
      <c r="AO52" s="219" t="e">
        <f t="shared" si="11"/>
        <v>#N/A</v>
      </c>
      <c r="AP52" s="220" t="e">
        <f t="shared" si="12"/>
        <v>#N/A</v>
      </c>
      <c r="AQ52" s="214" t="e">
        <f t="shared" si="14"/>
        <v>#N/A</v>
      </c>
      <c r="AR52" s="120"/>
      <c r="AY52" s="408" t="str">
        <f t="shared" si="13"/>
        <v/>
      </c>
    </row>
    <row r="53" spans="2:51" ht="59.25" customHeight="1">
      <c r="B53" s="109">
        <v>49</v>
      </c>
      <c r="C53" s="110">
        <f>SISWA!B54</f>
        <v>0</v>
      </c>
      <c r="D53" s="111" t="str">
        <f>SISWA!E54</f>
        <v>Anak 49</v>
      </c>
      <c r="E53" s="520"/>
      <c r="F53" s="520"/>
      <c r="G53" s="520"/>
      <c r="H53" s="520"/>
      <c r="I53" s="520"/>
      <c r="J53" s="520"/>
      <c r="K53" s="520"/>
      <c r="L53" s="520"/>
      <c r="M53" s="520"/>
      <c r="N53" s="533" t="str">
        <f t="shared" si="5"/>
        <v/>
      </c>
      <c r="O53" s="533" t="str">
        <f t="shared" si="6"/>
        <v/>
      </c>
      <c r="P53" s="533" t="str">
        <f t="shared" si="7"/>
        <v/>
      </c>
      <c r="Q53" s="514"/>
      <c r="R53" s="514"/>
      <c r="S53" s="514"/>
      <c r="T53" s="514"/>
      <c r="U53" s="514"/>
      <c r="V53" s="514"/>
      <c r="W53" s="513"/>
      <c r="X53" s="513"/>
      <c r="Y53" s="513"/>
      <c r="Z53" s="513"/>
      <c r="AA53" s="514"/>
      <c r="AB53" s="514"/>
      <c r="AC53" s="513"/>
      <c r="AD53" s="302" t="e">
        <f t="shared" si="8"/>
        <v>#DIV/0!</v>
      </c>
      <c r="AE53" s="303" t="e">
        <f>IF(AD53&gt;KKM!$G$10,"A",IF(AD53&gt;KKM!$H$10,"B",IF(AD53&gt;=KKM!$I$10,"C","D")))</f>
        <v>#DIV/0!</v>
      </c>
      <c r="AF53" s="523">
        <f t="shared" si="0"/>
        <v>0</v>
      </c>
      <c r="AG53" s="309" t="str">
        <f>IF(AF53&gt;KKM!$G$10," sangat baik ",IF(AF53&gt;KKM!$H$10," baik ",IF(AF53&gt;=KKM!$I$10," cukup baik "," perlu bimbingan ")))</f>
        <v xml:space="preserve"> perlu bimbingan </v>
      </c>
      <c r="AH53" s="524">
        <f t="shared" si="1"/>
        <v>0</v>
      </c>
      <c r="AI53" s="309" t="str">
        <f>IF(AH53&gt;KKM!$G$10," sangat baik ",IF(AH53&gt;KKM!$H$10," baik ",IF(AH53&gt;=KKM!$I$10," cukup baik "," perlu bimbingan ")))</f>
        <v xml:space="preserve"> perlu bimbingan </v>
      </c>
      <c r="AJ53" s="301" t="str">
        <f t="shared" si="9"/>
        <v xml:space="preserve"> </v>
      </c>
      <c r="AK53" s="218"/>
      <c r="AL53" s="219" t="e">
        <f t="shared" si="2"/>
        <v>#N/A</v>
      </c>
      <c r="AM53" s="219" t="e">
        <f t="shared" si="3"/>
        <v>#N/A</v>
      </c>
      <c r="AN53" s="219" t="e">
        <f t="shared" si="10"/>
        <v>#N/A</v>
      </c>
      <c r="AO53" s="219" t="e">
        <f t="shared" si="11"/>
        <v>#N/A</v>
      </c>
      <c r="AP53" s="220" t="e">
        <f t="shared" si="12"/>
        <v>#N/A</v>
      </c>
      <c r="AQ53" s="214" t="e">
        <f t="shared" si="14"/>
        <v>#N/A</v>
      </c>
      <c r="AR53" s="120"/>
      <c r="AY53" s="408" t="str">
        <f t="shared" si="13"/>
        <v/>
      </c>
    </row>
    <row r="54" spans="2:51" ht="59.25" customHeight="1">
      <c r="B54" s="109">
        <v>50</v>
      </c>
      <c r="C54" s="110">
        <f>SISWA!B55</f>
        <v>0</v>
      </c>
      <c r="D54" s="111" t="str">
        <f>SISWA!E55</f>
        <v>Anak 50</v>
      </c>
      <c r="E54" s="520"/>
      <c r="F54" s="520"/>
      <c r="G54" s="520"/>
      <c r="H54" s="520"/>
      <c r="I54" s="520"/>
      <c r="J54" s="520"/>
      <c r="K54" s="520"/>
      <c r="L54" s="520"/>
      <c r="M54" s="520"/>
      <c r="N54" s="533" t="str">
        <f t="shared" si="5"/>
        <v/>
      </c>
      <c r="O54" s="533" t="str">
        <f t="shared" si="6"/>
        <v/>
      </c>
      <c r="P54" s="533" t="str">
        <f t="shared" si="7"/>
        <v/>
      </c>
      <c r="Q54" s="514"/>
      <c r="R54" s="514"/>
      <c r="S54" s="514"/>
      <c r="T54" s="514"/>
      <c r="U54" s="514"/>
      <c r="V54" s="514"/>
      <c r="W54" s="513"/>
      <c r="X54" s="513"/>
      <c r="Y54" s="513"/>
      <c r="Z54" s="513"/>
      <c r="AA54" s="514"/>
      <c r="AB54" s="514"/>
      <c r="AC54" s="513"/>
      <c r="AD54" s="302" t="e">
        <f t="shared" si="8"/>
        <v>#DIV/0!</v>
      </c>
      <c r="AE54" s="303" t="e">
        <f>IF(AD54&gt;KKM!$G$10,"A",IF(AD54&gt;KKM!$H$10,"B",IF(AD54&gt;=KKM!$I$10,"C","D")))</f>
        <v>#DIV/0!</v>
      </c>
      <c r="AF54" s="523">
        <f t="shared" si="0"/>
        <v>0</v>
      </c>
      <c r="AG54" s="309" t="str">
        <f>IF(AF54&gt;KKM!$G$10," sangat baik ",IF(AF54&gt;KKM!$H$10," baik ",IF(AF54&gt;=KKM!$I$10," cukup baik "," perlu bimbingan ")))</f>
        <v xml:space="preserve"> perlu bimbingan </v>
      </c>
      <c r="AH54" s="524">
        <f t="shared" si="1"/>
        <v>0</v>
      </c>
      <c r="AI54" s="309" t="str">
        <f>IF(AH54&gt;KKM!$G$10," sangat baik ",IF(AH54&gt;KKM!$H$10," baik ",IF(AH54&gt;=KKM!$I$10," cukup baik "," perlu bimbingan ")))</f>
        <v xml:space="preserve"> perlu bimbingan </v>
      </c>
      <c r="AJ54" s="301" t="str">
        <f t="shared" si="9"/>
        <v xml:space="preserve"> </v>
      </c>
      <c r="AK54" s="218"/>
      <c r="AL54" s="219" t="e">
        <f t="shared" si="2"/>
        <v>#N/A</v>
      </c>
      <c r="AM54" s="219" t="e">
        <f t="shared" si="3"/>
        <v>#N/A</v>
      </c>
      <c r="AN54" s="219" t="e">
        <f t="shared" si="10"/>
        <v>#N/A</v>
      </c>
      <c r="AO54" s="219" t="e">
        <f t="shared" si="11"/>
        <v>#N/A</v>
      </c>
      <c r="AP54" s="220" t="e">
        <f t="shared" si="12"/>
        <v>#N/A</v>
      </c>
      <c r="AQ54" s="214" t="e">
        <f t="shared" si="14"/>
        <v>#N/A</v>
      </c>
      <c r="AR54" s="120"/>
      <c r="AY54" s="408" t="str">
        <f t="shared" si="13"/>
        <v/>
      </c>
    </row>
    <row r="55" spans="2:51" ht="15.75">
      <c r="B55" s="121"/>
      <c r="C55" s="121"/>
      <c r="D55" s="121"/>
      <c r="E55" s="519"/>
      <c r="F55" s="519"/>
      <c r="G55" s="519"/>
      <c r="H55" s="519"/>
      <c r="I55" s="519"/>
      <c r="J55" s="519"/>
      <c r="K55" s="519"/>
      <c r="L55" s="519"/>
      <c r="M55" s="519"/>
      <c r="N55" s="528"/>
      <c r="O55" s="529"/>
      <c r="P55" s="529"/>
      <c r="Q55" s="529"/>
      <c r="R55" s="529"/>
      <c r="S55" s="529"/>
      <c r="T55" s="529"/>
      <c r="U55" s="529"/>
      <c r="V55" s="529"/>
      <c r="W55" s="528"/>
      <c r="X55" s="528"/>
      <c r="Y55" s="528"/>
      <c r="Z55" s="528"/>
      <c r="AA55" s="529"/>
      <c r="AB55" s="529"/>
      <c r="AC55" s="528"/>
      <c r="AD55" s="114"/>
      <c r="AE55" s="115"/>
      <c r="AF55" s="116"/>
      <c r="AG55" s="116"/>
      <c r="AH55" s="116"/>
      <c r="AI55" s="116"/>
      <c r="AJ55" s="117"/>
      <c r="AK55" s="118"/>
      <c r="AL55" s="119"/>
      <c r="AM55" s="122"/>
      <c r="AN55" s="122"/>
      <c r="AO55" s="122"/>
      <c r="AP55" s="122"/>
      <c r="AQ55" s="122"/>
      <c r="AR55" s="120"/>
    </row>
  </sheetData>
  <mergeCells count="14">
    <mergeCell ref="AF2:AI2"/>
    <mergeCell ref="E3:G3"/>
    <mergeCell ref="H3:J3"/>
    <mergeCell ref="K3:M3"/>
    <mergeCell ref="AJ2:AJ4"/>
    <mergeCell ref="AF3:AG3"/>
    <mergeCell ref="AH3:AI3"/>
    <mergeCell ref="N2:AC2"/>
    <mergeCell ref="AD2:AD4"/>
    <mergeCell ref="B2:B4"/>
    <mergeCell ref="C2:C4"/>
    <mergeCell ref="D2:D4"/>
    <mergeCell ref="E2:M2"/>
    <mergeCell ref="AE2:AE4"/>
  </mergeCell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L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5703125" style="135" customWidth="1"/>
    <col min="2" max="2" width="4.42578125" style="104" customWidth="1"/>
    <col min="3" max="3" width="6.42578125" style="104" customWidth="1"/>
    <col min="4" max="4" width="28.7109375" style="104" customWidth="1"/>
    <col min="5" max="25" width="7.5703125" style="104" customWidth="1"/>
    <col min="26" max="32" width="5" style="104" customWidth="1"/>
    <col min="33" max="40" width="5" style="104" hidden="1" customWidth="1"/>
    <col min="41" max="44" width="5" style="104" customWidth="1"/>
    <col min="45" max="45" width="10.7109375" style="104" customWidth="1"/>
    <col min="46" max="46" width="5" style="104" customWidth="1"/>
    <col min="47" max="47" width="11.7109375" style="104" customWidth="1"/>
    <col min="48" max="48" width="107" style="104" customWidth="1"/>
    <col min="49" max="49" width="36" style="104" customWidth="1"/>
    <col min="50" max="50" width="5" style="104" hidden="1" customWidth="1"/>
    <col min="51" max="51" width="4.7109375" style="104" hidden="1" customWidth="1"/>
    <col min="52" max="52" width="5.140625" style="104" hidden="1" customWidth="1"/>
    <col min="53" max="58" width="5" style="104" hidden="1" customWidth="1"/>
    <col min="59" max="59" width="4.85546875" style="104" hidden="1" customWidth="1"/>
    <col min="60" max="63" width="5" style="104" hidden="1" customWidth="1"/>
    <col min="64" max="65" width="5" style="104" customWidth="1"/>
    <col min="66" max="66" width="5" style="104" hidden="1" customWidth="1"/>
    <col min="67" max="67" width="7.5703125" style="104" hidden="1" customWidth="1"/>
    <col min="68" max="68" width="5" style="104" customWidth="1"/>
    <col min="69" max="76" width="5" style="104" hidden="1" customWidth="1"/>
    <col min="77" max="77" width="84.42578125" style="104" hidden="1" customWidth="1"/>
    <col min="78" max="78" width="29.85546875" style="104" hidden="1" customWidth="1"/>
    <col min="79" max="92" width="10.7109375" style="104" hidden="1" customWidth="1"/>
    <col min="93" max="102" width="9.140625" style="104" hidden="1" customWidth="1"/>
    <col min="103" max="104" width="0" style="104" hidden="1" customWidth="1"/>
    <col min="105" max="112" width="5" style="104" hidden="1" customWidth="1"/>
    <col min="113" max="113" width="84.42578125" style="104" hidden="1" customWidth="1"/>
    <col min="114" max="114" width="29.85546875" style="104" hidden="1" customWidth="1"/>
    <col min="115" max="128" width="10.7109375" style="104" hidden="1" customWidth="1"/>
    <col min="129" max="138" width="9.140625" style="104" hidden="1" customWidth="1"/>
    <col min="139" max="139" width="0" style="104" hidden="1" customWidth="1"/>
    <col min="140" max="148" width="9.140625" style="104" hidden="1" customWidth="1"/>
    <col min="149" max="149" width="0" style="104" hidden="1" customWidth="1"/>
    <col min="150" max="157" width="9.140625" style="104" hidden="1" customWidth="1"/>
    <col min="158" max="158" width="0" style="104" hidden="1" customWidth="1"/>
    <col min="159" max="167" width="9.140625" style="104" hidden="1" customWidth="1"/>
    <col min="168" max="168" width="0" style="104" hidden="1" customWidth="1"/>
    <col min="169" max="16384" width="9.140625" style="104" hidden="1"/>
  </cols>
  <sheetData>
    <row r="1" spans="1:76" s="451" customFormat="1" ht="45.75" customHeight="1">
      <c r="B1" s="452" t="s">
        <v>57</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c r="BM1" s="452"/>
      <c r="BN1" s="452"/>
      <c r="BO1" s="452"/>
      <c r="BP1" s="452"/>
      <c r="BQ1" s="452"/>
      <c r="BR1" s="452"/>
      <c r="BS1" s="452"/>
      <c r="BT1" s="452"/>
      <c r="BU1" s="452"/>
      <c r="BV1" s="452"/>
      <c r="BW1" s="452"/>
      <c r="BX1" s="452"/>
    </row>
    <row r="2" spans="1:76" ht="23.25" customHeight="1">
      <c r="B2" s="1071" t="s">
        <v>2</v>
      </c>
      <c r="C2" s="1072" t="s">
        <v>3</v>
      </c>
      <c r="D2" s="1073" t="s">
        <v>48</v>
      </c>
      <c r="E2" s="1152" t="s">
        <v>700</v>
      </c>
      <c r="F2" s="1153"/>
      <c r="G2" s="1153"/>
      <c r="H2" s="1153"/>
      <c r="I2" s="1153"/>
      <c r="J2" s="1153"/>
      <c r="K2" s="1153"/>
      <c r="L2" s="1153"/>
      <c r="M2" s="1153"/>
      <c r="N2" s="1153"/>
      <c r="O2" s="1153"/>
      <c r="P2" s="1153"/>
      <c r="Q2" s="1153"/>
      <c r="R2" s="1153"/>
      <c r="S2" s="1153"/>
      <c r="T2" s="1153"/>
      <c r="U2" s="1153"/>
      <c r="V2" s="1153"/>
      <c r="W2" s="1153"/>
      <c r="X2" s="1153"/>
      <c r="Y2" s="1153"/>
      <c r="Z2" s="1098" t="s">
        <v>694</v>
      </c>
      <c r="AA2" s="1098"/>
      <c r="AB2" s="1098"/>
      <c r="AC2" s="1098"/>
      <c r="AD2" s="1098"/>
      <c r="AE2" s="1098"/>
      <c r="AF2" s="1098"/>
      <c r="AG2" s="1098"/>
      <c r="AH2" s="1098"/>
      <c r="AI2" s="1098"/>
      <c r="AJ2" s="1098"/>
      <c r="AK2" s="1098"/>
      <c r="AL2" s="1098"/>
      <c r="AM2" s="1098"/>
      <c r="AN2" s="1098"/>
      <c r="AO2" s="1098"/>
      <c r="AP2" s="1139" t="s">
        <v>5</v>
      </c>
      <c r="AQ2" s="1123" t="s">
        <v>6</v>
      </c>
      <c r="AR2" s="1124" t="s">
        <v>314</v>
      </c>
      <c r="AS2" s="1125"/>
      <c r="AT2" s="1125"/>
      <c r="AU2" s="1125"/>
      <c r="AV2" s="1027" t="s">
        <v>1</v>
      </c>
      <c r="AW2" s="1"/>
      <c r="AX2" s="1"/>
      <c r="AY2" s="1"/>
      <c r="AZ2" s="1"/>
      <c r="BA2" s="1"/>
      <c r="BB2" s="1"/>
      <c r="BC2" s="215"/>
      <c r="BO2" s="441">
        <f>DEPAN!$E$23</f>
        <v>50</v>
      </c>
    </row>
    <row r="3" spans="1:76" ht="94.5" customHeight="1">
      <c r="B3" s="1071"/>
      <c r="C3" s="1072"/>
      <c r="D3" s="1073"/>
      <c r="E3" s="1140" t="str">
        <f>Z4</f>
        <v>4.3</v>
      </c>
      <c r="F3" s="1141"/>
      <c r="G3" s="1142"/>
      <c r="H3" s="1143" t="str">
        <f>AA4</f>
        <v>4.6</v>
      </c>
      <c r="I3" s="1144"/>
      <c r="J3" s="1145"/>
      <c r="K3" s="1146" t="str">
        <f>AB4</f>
        <v>4.7</v>
      </c>
      <c r="L3" s="1147"/>
      <c r="M3" s="1148"/>
      <c r="N3" s="1149" t="str">
        <f>AC4</f>
        <v>4.9</v>
      </c>
      <c r="O3" s="1150"/>
      <c r="P3" s="1151"/>
      <c r="Q3" s="1126" t="str">
        <f>AD4</f>
        <v>4.10</v>
      </c>
      <c r="R3" s="1127"/>
      <c r="S3" s="1128"/>
      <c r="T3" s="1129">
        <f>AE4</f>
        <v>0</v>
      </c>
      <c r="U3" s="1130"/>
      <c r="V3" s="1131"/>
      <c r="W3" s="1132">
        <f>AF4</f>
        <v>0</v>
      </c>
      <c r="X3" s="1133"/>
      <c r="Y3" s="1134"/>
      <c r="Z3" s="510" t="str">
        <f>'KI-KD'!$F40</f>
        <v>melaporkan hasil wawancara menggunakan kosakata baku dan kalimat efektif dalam bentuk teks tulis.</v>
      </c>
      <c r="AA3" s="510" t="str">
        <f>'KI-KD'!$F41</f>
        <v>melisankan puisi hasil karya pribadi dengan lafal, intonasi, dan ekspresi yang tepat sebagai bentuk ungkapan diri.</v>
      </c>
      <c r="AB3" s="510" t="str">
        <f>'KI-KD'!$F42</f>
        <v>menyampaikan pengetahuan baru dari teks nonfiksi ke dalam tulisan dengan bahasa sendiri.</v>
      </c>
      <c r="AC3" s="510" t="str">
        <f>'KI-KD'!$F43</f>
        <v>menyampaikan hasil identifikasi tokoh-tokoh yang terdapat pada teks fiksi secara lisan, tulis, dan visual.</v>
      </c>
      <c r="AD3" s="510" t="str">
        <f>'KI-KD'!$F44</f>
        <v>menyajikan hasil membandingkan watak setiap tokoh pada teks fiksi secara lisan, tulis, dan visual.</v>
      </c>
      <c r="AE3" s="510">
        <f>'KI-KD'!$F45</f>
        <v>0</v>
      </c>
      <c r="AF3" s="510">
        <f>'KI-KD'!$F46</f>
        <v>0</v>
      </c>
      <c r="AG3" s="510">
        <f>'KI-KD'!$F47</f>
        <v>0</v>
      </c>
      <c r="AH3" s="510">
        <f>'KI-KD'!$F48</f>
        <v>0</v>
      </c>
      <c r="AI3" s="510">
        <f>'KI-KD'!$F49</f>
        <v>0</v>
      </c>
      <c r="AJ3" s="510">
        <f>'KI-KD'!$F50</f>
        <v>0</v>
      </c>
      <c r="AK3" s="510">
        <f>'KI-KD'!$F51</f>
        <v>0</v>
      </c>
      <c r="AL3" s="511"/>
      <c r="AM3" s="511"/>
      <c r="AN3" s="511"/>
      <c r="AO3" s="511"/>
      <c r="AP3" s="1139"/>
      <c r="AQ3" s="1123"/>
      <c r="AR3" s="1135" t="s">
        <v>315</v>
      </c>
      <c r="AS3" s="1136"/>
      <c r="AT3" s="1137" t="s">
        <v>316</v>
      </c>
      <c r="AU3" s="1138"/>
      <c r="AV3" s="1028"/>
      <c r="AW3" s="1"/>
      <c r="AX3" s="1"/>
      <c r="AY3" s="1"/>
      <c r="AZ3" s="1"/>
      <c r="BA3" s="1"/>
      <c r="BB3" s="1"/>
      <c r="BC3" s="215"/>
      <c r="BO3" s="408">
        <f>BO4-BO5</f>
        <v>8</v>
      </c>
    </row>
    <row r="4" spans="1:76"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31" t="s">
        <v>701</v>
      </c>
      <c r="R4" s="530" t="s">
        <v>702</v>
      </c>
      <c r="S4" s="532" t="s">
        <v>703</v>
      </c>
      <c r="T4" s="531" t="s">
        <v>701</v>
      </c>
      <c r="U4" s="530" t="s">
        <v>702</v>
      </c>
      <c r="V4" s="532" t="s">
        <v>703</v>
      </c>
      <c r="W4" s="531" t="s">
        <v>701</v>
      </c>
      <c r="X4" s="530" t="s">
        <v>702</v>
      </c>
      <c r="Y4" s="532" t="s">
        <v>703</v>
      </c>
      <c r="Z4" s="512" t="str">
        <f>'KI-KD'!$E40</f>
        <v>4.3</v>
      </c>
      <c r="AA4" s="512" t="str">
        <f>'KI-KD'!$E41</f>
        <v>4.6</v>
      </c>
      <c r="AB4" s="512" t="str">
        <f>'KI-KD'!$E42</f>
        <v>4.7</v>
      </c>
      <c r="AC4" s="512" t="str">
        <f>'KI-KD'!$E43</f>
        <v>4.9</v>
      </c>
      <c r="AD4" s="512" t="str">
        <f>'KI-KD'!$E44</f>
        <v>4.10</v>
      </c>
      <c r="AE4" s="512">
        <f>'KI-KD'!$E45</f>
        <v>0</v>
      </c>
      <c r="AF4" s="512">
        <f>'KI-KD'!$E46</f>
        <v>0</v>
      </c>
      <c r="AG4" s="512">
        <f>'KI-KD'!$E47</f>
        <v>0</v>
      </c>
      <c r="AH4" s="512">
        <f>'KI-KD'!$E48</f>
        <v>0</v>
      </c>
      <c r="AI4" s="512">
        <f>'KI-KD'!$E49</f>
        <v>0</v>
      </c>
      <c r="AJ4" s="512">
        <f>'KI-KD'!$E50</f>
        <v>0</v>
      </c>
      <c r="AK4" s="512">
        <f>'KI-KD'!$E51</f>
        <v>0</v>
      </c>
      <c r="AL4" s="512"/>
      <c r="AM4" s="512"/>
      <c r="AN4" s="512"/>
      <c r="AO4" s="512"/>
      <c r="AP4" s="1139"/>
      <c r="AQ4" s="1123"/>
      <c r="AR4" s="210" t="s">
        <v>317</v>
      </c>
      <c r="AS4" s="211" t="s">
        <v>1</v>
      </c>
      <c r="AT4" s="212" t="s">
        <v>317</v>
      </c>
      <c r="AU4" s="213" t="s">
        <v>1</v>
      </c>
      <c r="AV4" s="1029"/>
      <c r="AW4" s="1"/>
      <c r="AX4" s="216" t="s">
        <v>318</v>
      </c>
      <c r="AY4" s="216" t="s">
        <v>319</v>
      </c>
      <c r="AZ4" s="216" t="s">
        <v>320</v>
      </c>
      <c r="BA4" s="216" t="s">
        <v>321</v>
      </c>
      <c r="BB4" s="217" t="s">
        <v>314</v>
      </c>
      <c r="BC4" s="214"/>
      <c r="BO4" s="108">
        <v>50</v>
      </c>
    </row>
    <row r="5" spans="1:76" ht="65.25" customHeight="1">
      <c r="B5" s="109">
        <v>1</v>
      </c>
      <c r="C5" s="110">
        <f>SISWA!B6</f>
        <v>4822</v>
      </c>
      <c r="D5" s="111" t="str">
        <f>SISWA!E6</f>
        <v>Anak 1</v>
      </c>
      <c r="E5" s="520">
        <v>99</v>
      </c>
      <c r="F5" s="520"/>
      <c r="G5" s="520"/>
      <c r="H5" s="520"/>
      <c r="I5" s="520">
        <v>88</v>
      </c>
      <c r="J5" s="520"/>
      <c r="K5" s="520">
        <v>88</v>
      </c>
      <c r="L5" s="520"/>
      <c r="M5" s="520"/>
      <c r="N5" s="520">
        <v>88</v>
      </c>
      <c r="O5" s="520">
        <v>75</v>
      </c>
      <c r="P5" s="520"/>
      <c r="Q5" s="520"/>
      <c r="R5" s="520">
        <v>77</v>
      </c>
      <c r="S5" s="520"/>
      <c r="T5" s="520"/>
      <c r="U5" s="520">
        <v>75</v>
      </c>
      <c r="V5" s="520"/>
      <c r="W5" s="520">
        <v>99</v>
      </c>
      <c r="X5" s="520"/>
      <c r="Y5" s="520"/>
      <c r="Z5" s="533">
        <f>IFERROR(AVERAGE(E5:G5),"")</f>
        <v>99</v>
      </c>
      <c r="AA5" s="533">
        <f>IFERROR(AVERAGE(H5:J5),"")</f>
        <v>88</v>
      </c>
      <c r="AB5" s="533">
        <f>IFERROR(AVERAGE(K5:M5),"")</f>
        <v>88</v>
      </c>
      <c r="AC5" s="533">
        <f>IFERROR(AVERAGE(N5:P5),"")</f>
        <v>81.5</v>
      </c>
      <c r="AD5" s="533">
        <f>IFERROR(AVERAGE(Q5:S5),"")</f>
        <v>77</v>
      </c>
      <c r="AE5" s="533">
        <f>IFERROR(AVERAGE(T5:V5),"")</f>
        <v>75</v>
      </c>
      <c r="AF5" s="533">
        <f>IFERROR(AVERAGE(W5:Y5),"")</f>
        <v>99</v>
      </c>
      <c r="AG5" s="513"/>
      <c r="AH5" s="513"/>
      <c r="AI5" s="513"/>
      <c r="AJ5" s="513"/>
      <c r="AK5" s="513"/>
      <c r="AL5" s="513"/>
      <c r="AM5" s="514"/>
      <c r="AN5" s="514"/>
      <c r="AO5" s="513"/>
      <c r="AP5" s="302">
        <f>ROUND((AVERAGE(Z5:AO5)),0)</f>
        <v>87</v>
      </c>
      <c r="AQ5" s="303" t="str">
        <f>IF(AP5&gt;KKM!$G$10,"A",IF(AP5&gt;KKM!$H$10,"B",IF(AP5&gt;=KKM!$I$10,"C","D")))</f>
        <v>B</v>
      </c>
      <c r="AR5" s="304">
        <f t="shared" ref="AR5:AR54" si="0">MAX(Z5:AO5)</f>
        <v>99</v>
      </c>
      <c r="AS5" s="309" t="str">
        <f>IF(AR5&gt;KKM!$G$10," sangat baik ",IF(AR5&gt;KKM!$H$10," baik ",IF(AR5&gt;=KKM!$I$10," cukup baik "," perlu bimbingan ")))</f>
        <v xml:space="preserve"> sangat baik </v>
      </c>
      <c r="AT5" s="305">
        <f t="shared" ref="AT5:AT54" si="1">MIN(Z5:AO5)</f>
        <v>75</v>
      </c>
      <c r="AU5" s="309" t="str">
        <f>IF(AT5&gt;KKM!$G$10," sangat baik ",IF(AT5&gt;KKM!$H$10," baik ",IF(AT5&gt;=KKM!$I$10," cukup baik "," perlu bimbingan ")))</f>
        <v xml:space="preserve"> cukup baik </v>
      </c>
      <c r="AV5" s="301" t="str">
        <f>IFERROR(BC5," ")</f>
        <v>Anak 1 sangat baik  dalam melaporkan hasil wawancara menggunakan kosakata baku dan kalimat efektif dalam bentuk teks tulis., dan  cukup baik  dalam 0</v>
      </c>
      <c r="AW5" s="218"/>
      <c r="AX5" s="219" t="str">
        <f t="shared" ref="AX5:AX54" si="2">AS5&amp;" dalam "&amp;INDEX($Z$3:$AO$3,MATCH(AR5,$Z5:$AO5,0))</f>
        <v xml:space="preserve"> sangat baik  dalam melaporkan hasil wawancara menggunakan kosakata baku dan kalimat efektif dalam bentuk teks tulis.</v>
      </c>
      <c r="AY5" s="219" t="str">
        <f t="shared" ref="AY5:AY54" si="3">AU5&amp;" dalam "&amp;INDEX($Z$3:$AO$3,MATCH(AT5,$Z5:$AO5,0))</f>
        <v xml:space="preserve"> cukup baik  dalam 0</v>
      </c>
      <c r="AZ5" s="219" t="str">
        <f>AX5&amp;", dan "&amp;AY5</f>
        <v xml:space="preserve"> sangat baik  dalam melaporkan hasil wawancara menggunakan kosakata baku dan kalimat efektif dalam bentuk teks tulis., dan  cukup baik  dalam 0</v>
      </c>
      <c r="BA5" s="219" t="str">
        <f>IF(AX5=AY5,AX5," ")</f>
        <v xml:space="preserve"> </v>
      </c>
      <c r="BB5" s="220" t="str">
        <f>IF(BA5=" ",AZ5,BA5)</f>
        <v xml:space="preserve"> sangat baik  dalam melaporkan hasil wawancara menggunakan kosakata baku dan kalimat efektif dalam bentuk teks tulis., dan  cukup baik  dalam 0</v>
      </c>
      <c r="BC5" s="214" t="str">
        <f t="shared" ref="BC5:BC36" si="4">CONCATENATE(D5,BB5)</f>
        <v>Anak 1 sangat baik  dalam melaporkan hasil wawancara menggunakan kosakata baku dan kalimat efektif dalam bentuk teks tulis., dan  cukup baik  dalam 0</v>
      </c>
      <c r="BD5" s="120"/>
      <c r="BN5" s="408">
        <f>IFERROR(AP5,"")</f>
        <v>87</v>
      </c>
      <c r="BO5" s="408">
        <f>COUNTBLANK(BN5:BN54)</f>
        <v>42</v>
      </c>
    </row>
    <row r="6" spans="1:76" ht="65.25" customHeight="1">
      <c r="B6" s="109">
        <v>2</v>
      </c>
      <c r="C6" s="110">
        <f>SISWA!B7</f>
        <v>0</v>
      </c>
      <c r="D6" s="111" t="str">
        <f>SISWA!E7</f>
        <v>Anak 2</v>
      </c>
      <c r="E6" s="520">
        <v>87</v>
      </c>
      <c r="F6" s="520"/>
      <c r="G6" s="520"/>
      <c r="H6" s="520"/>
      <c r="I6" s="520"/>
      <c r="J6" s="520"/>
      <c r="K6" s="520"/>
      <c r="L6" s="520"/>
      <c r="M6" s="520"/>
      <c r="N6" s="520"/>
      <c r="O6" s="520"/>
      <c r="P6" s="520"/>
      <c r="Q6" s="520"/>
      <c r="R6" s="520"/>
      <c r="S6" s="520"/>
      <c r="T6" s="520"/>
      <c r="U6" s="520"/>
      <c r="V6" s="520"/>
      <c r="W6" s="520"/>
      <c r="X6" s="520"/>
      <c r="Y6" s="520"/>
      <c r="Z6" s="533">
        <f t="shared" ref="Z6:Z54" si="5">IFERROR(AVERAGE(E6:G6),"")</f>
        <v>87</v>
      </c>
      <c r="AA6" s="533" t="str">
        <f>IFERROR(AVERAGE(H6:J6),"")</f>
        <v/>
      </c>
      <c r="AB6" s="533" t="str">
        <f t="shared" ref="AB6:AB54" si="6">IFERROR(AVERAGE(K6:M6),"")</f>
        <v/>
      </c>
      <c r="AC6" s="533" t="str">
        <f>IFERROR(AVERAGE(N6:P6),"")</f>
        <v/>
      </c>
      <c r="AD6" s="533" t="str">
        <f t="shared" ref="AD6:AD54" si="7">IFERROR(AVERAGE(Q6:S6),"")</f>
        <v/>
      </c>
      <c r="AE6" s="533" t="str">
        <f t="shared" ref="AE6:AE54" si="8">IFERROR(AVERAGE(T6:V6),"")</f>
        <v/>
      </c>
      <c r="AF6" s="533" t="str">
        <f t="shared" ref="AF6:AF54" si="9">IFERROR(AVERAGE(W6:Y6),"")</f>
        <v/>
      </c>
      <c r="AG6" s="513"/>
      <c r="AH6" s="513"/>
      <c r="AI6" s="513"/>
      <c r="AJ6" s="513"/>
      <c r="AK6" s="513"/>
      <c r="AL6" s="513"/>
      <c r="AM6" s="514"/>
      <c r="AN6" s="514"/>
      <c r="AO6" s="513"/>
      <c r="AP6" s="302">
        <f t="shared" ref="AP6:AP54" si="10">ROUND((AVERAGE(Z6:AO6)),0)</f>
        <v>87</v>
      </c>
      <c r="AQ6" s="303" t="str">
        <f>IF(AP6&gt;KKM!$G$10,"A",IF(AP6&gt;KKM!$H$10,"B",IF(AP6&gt;=KKM!$I$10,"C","D")))</f>
        <v>B</v>
      </c>
      <c r="AR6" s="304">
        <f t="shared" si="0"/>
        <v>87</v>
      </c>
      <c r="AS6" s="309" t="str">
        <f>IF(AR6&gt;KKM!$G$10," sangat baik ",IF(AR6&gt;KKM!$H$10," baik ",IF(AR6&gt;=KKM!$I$10," cukup baik "," perlu bimbingan ")))</f>
        <v xml:space="preserve"> baik </v>
      </c>
      <c r="AT6" s="305">
        <f t="shared" si="1"/>
        <v>87</v>
      </c>
      <c r="AU6" s="309" t="str">
        <f>IF(AT6&gt;KKM!$G$10," sangat baik ",IF(AT6&gt;KKM!$H$10," baik ",IF(AT6&gt;=KKM!$I$10," cukup baik "," perlu bimbingan ")))</f>
        <v xml:space="preserve"> baik </v>
      </c>
      <c r="AV6" s="301" t="str">
        <f t="shared" ref="AV6:AV54" si="11">IFERROR(BC6," ")</f>
        <v>Anak 2 baik  dalam melaporkan hasil wawancara menggunakan kosakata baku dan kalimat efektif dalam bentuk teks tulis.</v>
      </c>
      <c r="AW6" s="218"/>
      <c r="AX6" s="219" t="str">
        <f t="shared" si="2"/>
        <v xml:space="preserve"> baik  dalam melaporkan hasil wawancara menggunakan kosakata baku dan kalimat efektif dalam bentuk teks tulis.</v>
      </c>
      <c r="AY6" s="219" t="str">
        <f t="shared" si="3"/>
        <v xml:space="preserve"> baik  dalam melaporkan hasil wawancara menggunakan kosakata baku dan kalimat efektif dalam bentuk teks tulis.</v>
      </c>
      <c r="AZ6" s="219" t="str">
        <f t="shared" ref="AZ6:AZ54" si="12">AX6&amp;", dan "&amp;AY6</f>
        <v xml:space="preserve"> baik  dalam melaporkan hasil wawancara menggunakan kosakata baku dan kalimat efektif dalam bentuk teks tulis., dan  baik  dalam melaporkan hasil wawancara menggunakan kosakata baku dan kalimat efektif dalam bentuk teks tulis.</v>
      </c>
      <c r="BA6" s="219" t="str">
        <f t="shared" ref="BA6:BA54" si="13">IF(AX6=AY6,AX6," ")</f>
        <v xml:space="preserve"> baik  dalam melaporkan hasil wawancara menggunakan kosakata baku dan kalimat efektif dalam bentuk teks tulis.</v>
      </c>
      <c r="BB6" s="220" t="str">
        <f t="shared" ref="BB6:BB54" si="14">IF(BA6=" ",AZ6,BA6)</f>
        <v xml:space="preserve"> baik  dalam melaporkan hasil wawancara menggunakan kosakata baku dan kalimat efektif dalam bentuk teks tulis.</v>
      </c>
      <c r="BC6" s="214" t="str">
        <f t="shared" si="4"/>
        <v>Anak 2 baik  dalam melaporkan hasil wawancara menggunakan kosakata baku dan kalimat efektif dalam bentuk teks tulis.</v>
      </c>
      <c r="BD6" s="120"/>
      <c r="BN6" s="408">
        <f t="shared" ref="BN6:BN54" si="15">IFERROR(AP6,"")</f>
        <v>87</v>
      </c>
      <c r="BO6" s="442">
        <f>IFERROR(BO3/BO2,"0%")</f>
        <v>0.16</v>
      </c>
    </row>
    <row r="7" spans="1:76" ht="65.25" customHeight="1">
      <c r="B7" s="109">
        <v>3</v>
      </c>
      <c r="C7" s="110">
        <f>SISWA!B8</f>
        <v>0</v>
      </c>
      <c r="D7" s="111" t="str">
        <f>SISWA!E8</f>
        <v>Anak 3</v>
      </c>
      <c r="E7" s="520"/>
      <c r="F7" s="520"/>
      <c r="G7" s="520"/>
      <c r="H7" s="520"/>
      <c r="I7" s="520">
        <v>88</v>
      </c>
      <c r="J7" s="520"/>
      <c r="K7" s="520"/>
      <c r="L7" s="520"/>
      <c r="M7" s="520"/>
      <c r="N7" s="520"/>
      <c r="O7" s="520"/>
      <c r="P7" s="520"/>
      <c r="Q7" s="520"/>
      <c r="R7" s="520"/>
      <c r="S7" s="520"/>
      <c r="T7" s="520"/>
      <c r="U7" s="520"/>
      <c r="V7" s="520"/>
      <c r="W7" s="520"/>
      <c r="X7" s="520"/>
      <c r="Y7" s="520"/>
      <c r="Z7" s="533" t="str">
        <f t="shared" si="5"/>
        <v/>
      </c>
      <c r="AA7" s="533">
        <f>IFERROR(AVERAGE(H7:J7),"")</f>
        <v>88</v>
      </c>
      <c r="AB7" s="533" t="str">
        <f t="shared" si="6"/>
        <v/>
      </c>
      <c r="AC7" s="533" t="str">
        <f t="shared" ref="AC7:AC54" si="16">IFERROR(AVERAGE(N7:P7),"")</f>
        <v/>
      </c>
      <c r="AD7" s="533" t="str">
        <f t="shared" si="7"/>
        <v/>
      </c>
      <c r="AE7" s="533" t="str">
        <f t="shared" si="8"/>
        <v/>
      </c>
      <c r="AF7" s="533" t="str">
        <f t="shared" si="9"/>
        <v/>
      </c>
      <c r="AG7" s="513"/>
      <c r="AH7" s="513"/>
      <c r="AI7" s="513"/>
      <c r="AJ7" s="513"/>
      <c r="AK7" s="513"/>
      <c r="AL7" s="513"/>
      <c r="AM7" s="514"/>
      <c r="AN7" s="514"/>
      <c r="AO7" s="513"/>
      <c r="AP7" s="302">
        <f t="shared" si="10"/>
        <v>88</v>
      </c>
      <c r="AQ7" s="303" t="str">
        <f>IF(AP7&gt;KKM!$G$10,"A",IF(AP7&gt;KKM!$H$10,"B",IF(AP7&gt;=KKM!$I$10,"C","D")))</f>
        <v>B</v>
      </c>
      <c r="AR7" s="304">
        <f t="shared" si="0"/>
        <v>88</v>
      </c>
      <c r="AS7" s="309" t="str">
        <f>IF(AR7&gt;KKM!$G$10," sangat baik ",IF(AR7&gt;KKM!$H$10," baik ",IF(AR7&gt;=KKM!$I$10," cukup baik "," perlu bimbingan ")))</f>
        <v xml:space="preserve"> baik </v>
      </c>
      <c r="AT7" s="305">
        <f t="shared" si="1"/>
        <v>88</v>
      </c>
      <c r="AU7" s="309" t="str">
        <f>IF(AT7&gt;KKM!$G$10," sangat baik ",IF(AT7&gt;KKM!$H$10," baik ",IF(AT7&gt;=KKM!$I$10," cukup baik "," perlu bimbingan ")))</f>
        <v xml:space="preserve"> baik </v>
      </c>
      <c r="AV7" s="301" t="str">
        <f t="shared" si="11"/>
        <v>Anak 3 baik  dalam melisankan puisi hasil karya pribadi dengan lafal, intonasi, dan ekspresi yang tepat sebagai bentuk ungkapan diri.</v>
      </c>
      <c r="AW7" s="218"/>
      <c r="AX7" s="219" t="str">
        <f t="shared" si="2"/>
        <v xml:space="preserve"> baik  dalam melisankan puisi hasil karya pribadi dengan lafal, intonasi, dan ekspresi yang tepat sebagai bentuk ungkapan diri.</v>
      </c>
      <c r="AY7" s="219" t="str">
        <f t="shared" si="3"/>
        <v xml:space="preserve"> baik  dalam melisankan puisi hasil karya pribadi dengan lafal, intonasi, dan ekspresi yang tepat sebagai bentuk ungkapan diri.</v>
      </c>
      <c r="AZ7" s="219" t="str">
        <f t="shared" si="12"/>
        <v xml:space="preserve"> baik  dalam melisankan puisi hasil karya pribadi dengan lafal, intonasi, dan ekspresi yang tepat sebagai bentuk ungkapan diri., dan  baik  dalam melisankan puisi hasil karya pribadi dengan lafal, intonasi, dan ekspresi yang tepat sebagai bentuk ungkapan diri.</v>
      </c>
      <c r="BA7" s="219" t="str">
        <f t="shared" si="13"/>
        <v xml:space="preserve"> baik  dalam melisankan puisi hasil karya pribadi dengan lafal, intonasi, dan ekspresi yang tepat sebagai bentuk ungkapan diri.</v>
      </c>
      <c r="BB7" s="220" t="str">
        <f t="shared" si="14"/>
        <v xml:space="preserve"> baik  dalam melisankan puisi hasil karya pribadi dengan lafal, intonasi, dan ekspresi yang tepat sebagai bentuk ungkapan diri.</v>
      </c>
      <c r="BC7" s="214" t="str">
        <f t="shared" si="4"/>
        <v>Anak 3 baik  dalam melisankan puisi hasil karya pribadi dengan lafal, intonasi, dan ekspresi yang tepat sebagai bentuk ungkapan diri.</v>
      </c>
      <c r="BD7" s="120"/>
      <c r="BN7" s="408">
        <f t="shared" si="15"/>
        <v>88</v>
      </c>
    </row>
    <row r="8" spans="1:76" ht="65.25" customHeight="1">
      <c r="B8" s="109">
        <v>4</v>
      </c>
      <c r="C8" s="110">
        <f>SISWA!B9</f>
        <v>0</v>
      </c>
      <c r="D8" s="111" t="str">
        <f>SISWA!E9</f>
        <v>Anak 4</v>
      </c>
      <c r="E8" s="520"/>
      <c r="F8" s="520"/>
      <c r="G8" s="520"/>
      <c r="H8" s="520"/>
      <c r="I8" s="520"/>
      <c r="J8" s="520"/>
      <c r="K8" s="520"/>
      <c r="L8" s="520">
        <v>87</v>
      </c>
      <c r="M8" s="520"/>
      <c r="N8" s="520"/>
      <c r="O8" s="520"/>
      <c r="P8" s="520"/>
      <c r="Q8" s="520"/>
      <c r="R8" s="520"/>
      <c r="S8" s="520"/>
      <c r="T8" s="520"/>
      <c r="U8" s="520"/>
      <c r="V8" s="520"/>
      <c r="W8" s="520"/>
      <c r="X8" s="520"/>
      <c r="Y8" s="520"/>
      <c r="Z8" s="533" t="str">
        <f t="shared" si="5"/>
        <v/>
      </c>
      <c r="AA8" s="533" t="str">
        <f t="shared" ref="AA8:AA54" si="17">IFERROR(AVERAGE(H8:J8),"")</f>
        <v/>
      </c>
      <c r="AB8" s="533">
        <f t="shared" si="6"/>
        <v>87</v>
      </c>
      <c r="AC8" s="533" t="str">
        <f t="shared" si="16"/>
        <v/>
      </c>
      <c r="AD8" s="533" t="str">
        <f t="shared" si="7"/>
        <v/>
      </c>
      <c r="AE8" s="533" t="str">
        <f t="shared" si="8"/>
        <v/>
      </c>
      <c r="AF8" s="533" t="str">
        <f t="shared" si="9"/>
        <v/>
      </c>
      <c r="AG8" s="513"/>
      <c r="AH8" s="513"/>
      <c r="AI8" s="513"/>
      <c r="AJ8" s="513"/>
      <c r="AK8" s="513"/>
      <c r="AL8" s="513"/>
      <c r="AM8" s="514"/>
      <c r="AN8" s="514"/>
      <c r="AO8" s="513"/>
      <c r="AP8" s="302">
        <f t="shared" si="10"/>
        <v>87</v>
      </c>
      <c r="AQ8" s="303" t="str">
        <f>IF(AP8&gt;KKM!$G$10,"A",IF(AP8&gt;KKM!$H$10,"B",IF(AP8&gt;=KKM!$I$10,"C","D")))</f>
        <v>B</v>
      </c>
      <c r="AR8" s="304">
        <f t="shared" si="0"/>
        <v>87</v>
      </c>
      <c r="AS8" s="309" t="str">
        <f>IF(AR8&gt;KKM!$G$10," sangat baik ",IF(AR8&gt;KKM!$H$10," baik ",IF(AR8&gt;=KKM!$I$10," cukup baik "," perlu bimbingan ")))</f>
        <v xml:space="preserve"> baik </v>
      </c>
      <c r="AT8" s="305">
        <f t="shared" si="1"/>
        <v>87</v>
      </c>
      <c r="AU8" s="309" t="str">
        <f>IF(AT8&gt;KKM!$G$10," sangat baik ",IF(AT8&gt;KKM!$H$10," baik ",IF(AT8&gt;=KKM!$I$10," cukup baik "," perlu bimbingan ")))</f>
        <v xml:space="preserve"> baik </v>
      </c>
      <c r="AV8" s="301" t="str">
        <f t="shared" si="11"/>
        <v>Anak 4 baik  dalam menyampaikan pengetahuan baru dari teks nonfiksi ke dalam tulisan dengan bahasa sendiri.</v>
      </c>
      <c r="AW8" s="218"/>
      <c r="AX8" s="219" t="str">
        <f t="shared" si="2"/>
        <v xml:space="preserve"> baik  dalam menyampaikan pengetahuan baru dari teks nonfiksi ke dalam tulisan dengan bahasa sendiri.</v>
      </c>
      <c r="AY8" s="219" t="str">
        <f t="shared" si="3"/>
        <v xml:space="preserve"> baik  dalam menyampaikan pengetahuan baru dari teks nonfiksi ke dalam tulisan dengan bahasa sendiri.</v>
      </c>
      <c r="AZ8" s="219" t="str">
        <f t="shared" si="12"/>
        <v xml:space="preserve"> baik  dalam menyampaikan pengetahuan baru dari teks nonfiksi ke dalam tulisan dengan bahasa sendiri., dan  baik  dalam menyampaikan pengetahuan baru dari teks nonfiksi ke dalam tulisan dengan bahasa sendiri.</v>
      </c>
      <c r="BA8" s="219" t="str">
        <f t="shared" si="13"/>
        <v xml:space="preserve"> baik  dalam menyampaikan pengetahuan baru dari teks nonfiksi ke dalam tulisan dengan bahasa sendiri.</v>
      </c>
      <c r="BB8" s="220" t="str">
        <f t="shared" si="14"/>
        <v xml:space="preserve"> baik  dalam menyampaikan pengetahuan baru dari teks nonfiksi ke dalam tulisan dengan bahasa sendiri.</v>
      </c>
      <c r="BC8" s="214" t="str">
        <f t="shared" si="4"/>
        <v>Anak 4 baik  dalam menyampaikan pengetahuan baru dari teks nonfiksi ke dalam tulisan dengan bahasa sendiri.</v>
      </c>
      <c r="BD8" s="120"/>
      <c r="BN8" s="408">
        <f t="shared" si="15"/>
        <v>87</v>
      </c>
    </row>
    <row r="9" spans="1:76" ht="65.25" customHeight="1">
      <c r="B9" s="109">
        <v>5</v>
      </c>
      <c r="C9" s="110">
        <f>SISWA!B10</f>
        <v>0</v>
      </c>
      <c r="D9" s="111" t="str">
        <f>SISWA!E10</f>
        <v>Anak 5</v>
      </c>
      <c r="E9" s="520"/>
      <c r="F9" s="520"/>
      <c r="G9" s="520"/>
      <c r="H9" s="520"/>
      <c r="I9" s="520"/>
      <c r="J9" s="520"/>
      <c r="K9" s="520"/>
      <c r="L9" s="520"/>
      <c r="M9" s="520"/>
      <c r="N9" s="520"/>
      <c r="O9" s="520">
        <v>88</v>
      </c>
      <c r="P9" s="520"/>
      <c r="Q9" s="520"/>
      <c r="R9" s="520"/>
      <c r="S9" s="520"/>
      <c r="T9" s="520"/>
      <c r="U9" s="520"/>
      <c r="V9" s="520"/>
      <c r="W9" s="520"/>
      <c r="X9" s="520"/>
      <c r="Y9" s="520"/>
      <c r="Z9" s="533" t="str">
        <f t="shared" si="5"/>
        <v/>
      </c>
      <c r="AA9" s="533" t="str">
        <f t="shared" si="17"/>
        <v/>
      </c>
      <c r="AB9" s="533" t="str">
        <f t="shared" si="6"/>
        <v/>
      </c>
      <c r="AC9" s="533">
        <f t="shared" si="16"/>
        <v>88</v>
      </c>
      <c r="AD9" s="533" t="str">
        <f t="shared" si="7"/>
        <v/>
      </c>
      <c r="AE9" s="533" t="str">
        <f t="shared" si="8"/>
        <v/>
      </c>
      <c r="AF9" s="533" t="str">
        <f t="shared" si="9"/>
        <v/>
      </c>
      <c r="AG9" s="513"/>
      <c r="AH9" s="513"/>
      <c r="AI9" s="513"/>
      <c r="AJ9" s="513"/>
      <c r="AK9" s="513"/>
      <c r="AL9" s="513"/>
      <c r="AM9" s="514"/>
      <c r="AN9" s="514"/>
      <c r="AO9" s="513"/>
      <c r="AP9" s="302">
        <f t="shared" si="10"/>
        <v>88</v>
      </c>
      <c r="AQ9" s="303" t="str">
        <f>IF(AP9&gt;KKM!$G$10,"A",IF(AP9&gt;KKM!$H$10,"B",IF(AP9&gt;=KKM!$I$10,"C","D")))</f>
        <v>B</v>
      </c>
      <c r="AR9" s="304">
        <f t="shared" si="0"/>
        <v>88</v>
      </c>
      <c r="AS9" s="309" t="str">
        <f>IF(AR9&gt;KKM!$G$10," sangat baik ",IF(AR9&gt;KKM!$H$10," baik ",IF(AR9&gt;=KKM!$I$10," cukup baik "," perlu bimbingan ")))</f>
        <v xml:space="preserve"> baik </v>
      </c>
      <c r="AT9" s="305">
        <f t="shared" si="1"/>
        <v>88</v>
      </c>
      <c r="AU9" s="309" t="str">
        <f>IF(AT9&gt;KKM!$G$10," sangat baik ",IF(AT9&gt;KKM!$H$10," baik ",IF(AT9&gt;=KKM!$I$10," cukup baik "," perlu bimbingan ")))</f>
        <v xml:space="preserve"> baik </v>
      </c>
      <c r="AV9" s="301" t="str">
        <f t="shared" si="11"/>
        <v>Anak 5 baik  dalam menyampaikan hasil identifikasi tokoh-tokoh yang terdapat pada teks fiksi secara lisan, tulis, dan visual.</v>
      </c>
      <c r="AW9" s="218"/>
      <c r="AX9" s="219" t="str">
        <f t="shared" si="2"/>
        <v xml:space="preserve"> baik  dalam menyampaikan hasil identifikasi tokoh-tokoh yang terdapat pada teks fiksi secara lisan, tulis, dan visual.</v>
      </c>
      <c r="AY9" s="219" t="str">
        <f t="shared" si="3"/>
        <v xml:space="preserve"> baik  dalam menyampaikan hasil identifikasi tokoh-tokoh yang terdapat pada teks fiksi secara lisan, tulis, dan visual.</v>
      </c>
      <c r="AZ9" s="219" t="str">
        <f t="shared" si="12"/>
        <v xml:space="preserve"> baik  dalam menyampaikan hasil identifikasi tokoh-tokoh yang terdapat pada teks fiksi secara lisan, tulis, dan visual., dan  baik  dalam menyampaikan hasil identifikasi tokoh-tokoh yang terdapat pada teks fiksi secara lisan, tulis, dan visual.</v>
      </c>
      <c r="BA9" s="219" t="str">
        <f t="shared" si="13"/>
        <v xml:space="preserve"> baik  dalam menyampaikan hasil identifikasi tokoh-tokoh yang terdapat pada teks fiksi secara lisan, tulis, dan visual.</v>
      </c>
      <c r="BB9" s="220" t="str">
        <f t="shared" si="14"/>
        <v xml:space="preserve"> baik  dalam menyampaikan hasil identifikasi tokoh-tokoh yang terdapat pada teks fiksi secara lisan, tulis, dan visual.</v>
      </c>
      <c r="BC9" s="214" t="str">
        <f t="shared" si="4"/>
        <v>Anak 5 baik  dalam menyampaikan hasil identifikasi tokoh-tokoh yang terdapat pada teks fiksi secara lisan, tulis, dan visual.</v>
      </c>
      <c r="BD9" s="120"/>
      <c r="BN9" s="408">
        <f t="shared" si="15"/>
        <v>88</v>
      </c>
    </row>
    <row r="10" spans="1:76" ht="65.25" customHeight="1">
      <c r="B10" s="109">
        <v>6</v>
      </c>
      <c r="C10" s="110">
        <f>SISWA!B11</f>
        <v>0</v>
      </c>
      <c r="D10" s="111" t="str">
        <f>SISWA!E11</f>
        <v>Anak 6</v>
      </c>
      <c r="E10" s="520"/>
      <c r="F10" s="520"/>
      <c r="G10" s="520"/>
      <c r="H10" s="520"/>
      <c r="I10" s="520"/>
      <c r="J10" s="520"/>
      <c r="K10" s="520"/>
      <c r="L10" s="520"/>
      <c r="M10" s="520"/>
      <c r="N10" s="520"/>
      <c r="O10" s="520"/>
      <c r="P10" s="520"/>
      <c r="Q10" s="520"/>
      <c r="R10" s="520">
        <v>77</v>
      </c>
      <c r="S10" s="520"/>
      <c r="T10" s="520"/>
      <c r="U10" s="520"/>
      <c r="V10" s="520"/>
      <c r="W10" s="520"/>
      <c r="X10" s="520"/>
      <c r="Y10" s="520"/>
      <c r="Z10" s="533" t="str">
        <f t="shared" si="5"/>
        <v/>
      </c>
      <c r="AA10" s="533" t="str">
        <f t="shared" si="17"/>
        <v/>
      </c>
      <c r="AB10" s="533" t="str">
        <f t="shared" si="6"/>
        <v/>
      </c>
      <c r="AC10" s="533" t="str">
        <f t="shared" si="16"/>
        <v/>
      </c>
      <c r="AD10" s="533">
        <f t="shared" si="7"/>
        <v>77</v>
      </c>
      <c r="AE10" s="533" t="str">
        <f t="shared" si="8"/>
        <v/>
      </c>
      <c r="AF10" s="533" t="str">
        <f t="shared" si="9"/>
        <v/>
      </c>
      <c r="AG10" s="513"/>
      <c r="AH10" s="513"/>
      <c r="AI10" s="513"/>
      <c r="AJ10" s="513"/>
      <c r="AK10" s="513"/>
      <c r="AL10" s="513"/>
      <c r="AM10" s="514"/>
      <c r="AN10" s="514"/>
      <c r="AO10" s="513"/>
      <c r="AP10" s="302">
        <f t="shared" si="10"/>
        <v>77</v>
      </c>
      <c r="AQ10" s="303" t="str">
        <f>IF(AP10&gt;KKM!$G$10,"A",IF(AP10&gt;KKM!$H$10,"B",IF(AP10&gt;=KKM!$I$10,"C","D")))</f>
        <v>C</v>
      </c>
      <c r="AR10" s="304">
        <f t="shared" si="0"/>
        <v>77</v>
      </c>
      <c r="AS10" s="309" t="str">
        <f>IF(AR10&gt;KKM!$G$10," sangat baik ",IF(AR10&gt;KKM!$H$10," baik ",IF(AR10&gt;=KKM!$I$10," cukup baik "," perlu bimbingan ")))</f>
        <v xml:space="preserve"> cukup baik </v>
      </c>
      <c r="AT10" s="305">
        <f t="shared" si="1"/>
        <v>77</v>
      </c>
      <c r="AU10" s="309" t="str">
        <f>IF(AT10&gt;KKM!$G$10," sangat baik ",IF(AT10&gt;KKM!$H$10," baik ",IF(AT10&gt;=KKM!$I$10," cukup baik "," perlu bimbingan ")))</f>
        <v xml:space="preserve"> cukup baik </v>
      </c>
      <c r="AV10" s="301" t="str">
        <f t="shared" si="11"/>
        <v>Anak 6 cukup baik  dalam menyajikan hasil membandingkan watak setiap tokoh pada teks fiksi secara lisan, tulis, dan visual.</v>
      </c>
      <c r="AW10" s="218"/>
      <c r="AX10" s="219" t="str">
        <f t="shared" si="2"/>
        <v xml:space="preserve"> cukup baik  dalam menyajikan hasil membandingkan watak setiap tokoh pada teks fiksi secara lisan, tulis, dan visual.</v>
      </c>
      <c r="AY10" s="219" t="str">
        <f t="shared" si="3"/>
        <v xml:space="preserve"> cukup baik  dalam menyajikan hasil membandingkan watak setiap tokoh pada teks fiksi secara lisan, tulis, dan visual.</v>
      </c>
      <c r="AZ10" s="219" t="str">
        <f t="shared" si="12"/>
        <v xml:space="preserve"> cukup baik  dalam menyajikan hasil membandingkan watak setiap tokoh pada teks fiksi secara lisan, tulis, dan visual., dan  cukup baik  dalam menyajikan hasil membandingkan watak setiap tokoh pada teks fiksi secara lisan, tulis, dan visual.</v>
      </c>
      <c r="BA10" s="219" t="str">
        <f t="shared" si="13"/>
        <v xml:space="preserve"> cukup baik  dalam menyajikan hasil membandingkan watak setiap tokoh pada teks fiksi secara lisan, tulis, dan visual.</v>
      </c>
      <c r="BB10" s="220" t="str">
        <f t="shared" si="14"/>
        <v xml:space="preserve"> cukup baik  dalam menyajikan hasil membandingkan watak setiap tokoh pada teks fiksi secara lisan, tulis, dan visual.</v>
      </c>
      <c r="BC10" s="214" t="str">
        <f t="shared" si="4"/>
        <v>Anak 6 cukup baik  dalam menyajikan hasil membandingkan watak setiap tokoh pada teks fiksi secara lisan, tulis, dan visual.</v>
      </c>
      <c r="BD10" s="120"/>
      <c r="BN10" s="408">
        <f t="shared" si="15"/>
        <v>77</v>
      </c>
    </row>
    <row r="11" spans="1:76" ht="65.25" customHeight="1">
      <c r="B11" s="109">
        <v>7</v>
      </c>
      <c r="C11" s="110">
        <f>SISWA!B12</f>
        <v>0</v>
      </c>
      <c r="D11" s="111" t="str">
        <f>SISWA!E12</f>
        <v>Anak 7</v>
      </c>
      <c r="E11" s="520"/>
      <c r="F11" s="520"/>
      <c r="G11" s="520"/>
      <c r="H11" s="520"/>
      <c r="I11" s="520"/>
      <c r="J11" s="520"/>
      <c r="K11" s="520"/>
      <c r="L11" s="520"/>
      <c r="M11" s="520"/>
      <c r="N11" s="520"/>
      <c r="O11" s="520"/>
      <c r="P11" s="520"/>
      <c r="Q11" s="520"/>
      <c r="R11" s="520"/>
      <c r="S11" s="520"/>
      <c r="T11" s="520">
        <v>77</v>
      </c>
      <c r="U11" s="520"/>
      <c r="V11" s="520"/>
      <c r="W11" s="520"/>
      <c r="X11" s="520"/>
      <c r="Y11" s="520"/>
      <c r="Z11" s="533" t="str">
        <f t="shared" si="5"/>
        <v/>
      </c>
      <c r="AA11" s="533" t="str">
        <f t="shared" si="17"/>
        <v/>
      </c>
      <c r="AB11" s="533" t="str">
        <f t="shared" si="6"/>
        <v/>
      </c>
      <c r="AC11" s="533" t="str">
        <f t="shared" si="16"/>
        <v/>
      </c>
      <c r="AD11" s="533" t="str">
        <f t="shared" si="7"/>
        <v/>
      </c>
      <c r="AE11" s="533">
        <f t="shared" si="8"/>
        <v>77</v>
      </c>
      <c r="AF11" s="533" t="str">
        <f t="shared" si="9"/>
        <v/>
      </c>
      <c r="AG11" s="513"/>
      <c r="AH11" s="513"/>
      <c r="AI11" s="513"/>
      <c r="AJ11" s="513"/>
      <c r="AK11" s="513"/>
      <c r="AL11" s="513"/>
      <c r="AM11" s="514"/>
      <c r="AN11" s="514"/>
      <c r="AO11" s="513"/>
      <c r="AP11" s="302">
        <f t="shared" si="10"/>
        <v>77</v>
      </c>
      <c r="AQ11" s="303" t="str">
        <f>IF(AP11&gt;KKM!$G$10,"A",IF(AP11&gt;KKM!$H$10,"B",IF(AP11&gt;=KKM!$I$10,"C","D")))</f>
        <v>C</v>
      </c>
      <c r="AR11" s="304">
        <f t="shared" si="0"/>
        <v>77</v>
      </c>
      <c r="AS11" s="309" t="str">
        <f>IF(AR11&gt;KKM!$G$10," sangat baik ",IF(AR11&gt;KKM!$H$10," baik ",IF(AR11&gt;=KKM!$I$10," cukup baik "," perlu bimbingan ")))</f>
        <v xml:space="preserve"> cukup baik </v>
      </c>
      <c r="AT11" s="305">
        <f t="shared" si="1"/>
        <v>77</v>
      </c>
      <c r="AU11" s="309" t="str">
        <f>IF(AT11&gt;KKM!$G$10," sangat baik ",IF(AT11&gt;KKM!$H$10," baik ",IF(AT11&gt;=KKM!$I$10," cukup baik "," perlu bimbingan ")))</f>
        <v xml:space="preserve"> cukup baik </v>
      </c>
      <c r="AV11" s="301" t="str">
        <f t="shared" si="11"/>
        <v>Anak 7 cukup baik  dalam 0</v>
      </c>
      <c r="AW11" s="218"/>
      <c r="AX11" s="219" t="str">
        <f t="shared" si="2"/>
        <v xml:space="preserve"> cukup baik  dalam 0</v>
      </c>
      <c r="AY11" s="219" t="str">
        <f t="shared" si="3"/>
        <v xml:space="preserve"> cukup baik  dalam 0</v>
      </c>
      <c r="AZ11" s="219" t="str">
        <f t="shared" si="12"/>
        <v xml:space="preserve"> cukup baik  dalam 0, dan  cukup baik  dalam 0</v>
      </c>
      <c r="BA11" s="219" t="str">
        <f t="shared" si="13"/>
        <v xml:space="preserve"> cukup baik  dalam 0</v>
      </c>
      <c r="BB11" s="220" t="str">
        <f t="shared" si="14"/>
        <v xml:space="preserve"> cukup baik  dalam 0</v>
      </c>
      <c r="BC11" s="214" t="str">
        <f t="shared" si="4"/>
        <v>Anak 7 cukup baik  dalam 0</v>
      </c>
      <c r="BD11" s="120"/>
      <c r="BN11" s="408">
        <f t="shared" si="15"/>
        <v>77</v>
      </c>
    </row>
    <row r="12" spans="1:76" ht="65.25" customHeight="1">
      <c r="B12" s="109">
        <v>8</v>
      </c>
      <c r="C12" s="110">
        <f>SISWA!B13</f>
        <v>0</v>
      </c>
      <c r="D12" s="111" t="str">
        <f>SISWA!E13</f>
        <v>Anak 8</v>
      </c>
      <c r="E12" s="520"/>
      <c r="F12" s="520"/>
      <c r="G12" s="520"/>
      <c r="H12" s="520"/>
      <c r="I12" s="520"/>
      <c r="J12" s="520"/>
      <c r="K12" s="520"/>
      <c r="L12" s="520"/>
      <c r="M12" s="520"/>
      <c r="N12" s="520"/>
      <c r="O12" s="520"/>
      <c r="P12" s="520"/>
      <c r="Q12" s="520"/>
      <c r="R12" s="520"/>
      <c r="S12" s="520"/>
      <c r="T12" s="520"/>
      <c r="U12" s="520"/>
      <c r="V12" s="520"/>
      <c r="W12" s="520">
        <v>88</v>
      </c>
      <c r="X12" s="520"/>
      <c r="Y12" s="520"/>
      <c r="Z12" s="533" t="str">
        <f t="shared" si="5"/>
        <v/>
      </c>
      <c r="AA12" s="533" t="str">
        <f t="shared" si="17"/>
        <v/>
      </c>
      <c r="AB12" s="533" t="str">
        <f t="shared" si="6"/>
        <v/>
      </c>
      <c r="AC12" s="533" t="str">
        <f t="shared" si="16"/>
        <v/>
      </c>
      <c r="AD12" s="533" t="str">
        <f t="shared" si="7"/>
        <v/>
      </c>
      <c r="AE12" s="533" t="str">
        <f t="shared" si="8"/>
        <v/>
      </c>
      <c r="AF12" s="533">
        <f t="shared" si="9"/>
        <v>88</v>
      </c>
      <c r="AG12" s="513"/>
      <c r="AH12" s="513"/>
      <c r="AI12" s="513"/>
      <c r="AJ12" s="513"/>
      <c r="AK12" s="513"/>
      <c r="AL12" s="513"/>
      <c r="AM12" s="514"/>
      <c r="AN12" s="514"/>
      <c r="AO12" s="513"/>
      <c r="AP12" s="302">
        <f t="shared" si="10"/>
        <v>88</v>
      </c>
      <c r="AQ12" s="303" t="str">
        <f>IF(AP12&gt;KKM!$G$10,"A",IF(AP12&gt;KKM!$H$10,"B",IF(AP12&gt;=KKM!$I$10,"C","D")))</f>
        <v>B</v>
      </c>
      <c r="AR12" s="304">
        <f t="shared" si="0"/>
        <v>88</v>
      </c>
      <c r="AS12" s="309" t="str">
        <f>IF(AR12&gt;KKM!$G$10," sangat baik ",IF(AR12&gt;KKM!$H$10," baik ",IF(AR12&gt;=KKM!$I$10," cukup baik "," perlu bimbingan ")))</f>
        <v xml:space="preserve"> baik </v>
      </c>
      <c r="AT12" s="305">
        <f t="shared" si="1"/>
        <v>88</v>
      </c>
      <c r="AU12" s="309" t="str">
        <f>IF(AT12&gt;KKM!$G$10," sangat baik ",IF(AT12&gt;KKM!$H$10," baik ",IF(AT12&gt;=KKM!$I$10," cukup baik "," perlu bimbingan ")))</f>
        <v xml:space="preserve"> baik </v>
      </c>
      <c r="AV12" s="301" t="str">
        <f t="shared" si="11"/>
        <v>Anak 8 baik  dalam 0</v>
      </c>
      <c r="AW12" s="218"/>
      <c r="AX12" s="219" t="str">
        <f t="shared" si="2"/>
        <v xml:space="preserve"> baik  dalam 0</v>
      </c>
      <c r="AY12" s="219" t="str">
        <f t="shared" si="3"/>
        <v xml:space="preserve"> baik  dalam 0</v>
      </c>
      <c r="AZ12" s="219" t="str">
        <f t="shared" si="12"/>
        <v xml:space="preserve"> baik  dalam 0, dan  baik  dalam 0</v>
      </c>
      <c r="BA12" s="219" t="str">
        <f t="shared" si="13"/>
        <v xml:space="preserve"> baik  dalam 0</v>
      </c>
      <c r="BB12" s="220" t="str">
        <f t="shared" si="14"/>
        <v xml:space="preserve"> baik  dalam 0</v>
      </c>
      <c r="BC12" s="214" t="str">
        <f t="shared" si="4"/>
        <v>Anak 8 baik  dalam 0</v>
      </c>
      <c r="BD12" s="120"/>
      <c r="BN12" s="408">
        <f t="shared" si="15"/>
        <v>88</v>
      </c>
    </row>
    <row r="13" spans="1:76" ht="65.25" customHeight="1">
      <c r="B13" s="109">
        <v>9</v>
      </c>
      <c r="C13" s="110">
        <f>SISWA!B14</f>
        <v>0</v>
      </c>
      <c r="D13" s="111" t="str">
        <f>SISWA!E14</f>
        <v>Anak 9</v>
      </c>
      <c r="E13" s="520"/>
      <c r="F13" s="520"/>
      <c r="G13" s="520"/>
      <c r="H13" s="520"/>
      <c r="I13" s="520"/>
      <c r="J13" s="520"/>
      <c r="K13" s="520"/>
      <c r="L13" s="520"/>
      <c r="M13" s="520"/>
      <c r="N13" s="520"/>
      <c r="O13" s="520"/>
      <c r="P13" s="520"/>
      <c r="Q13" s="520"/>
      <c r="R13" s="520"/>
      <c r="S13" s="520"/>
      <c r="T13" s="520"/>
      <c r="U13" s="520"/>
      <c r="V13" s="520"/>
      <c r="W13" s="520"/>
      <c r="X13" s="520"/>
      <c r="Y13" s="520"/>
      <c r="Z13" s="533" t="str">
        <f t="shared" si="5"/>
        <v/>
      </c>
      <c r="AA13" s="533" t="str">
        <f t="shared" si="17"/>
        <v/>
      </c>
      <c r="AB13" s="533" t="str">
        <f t="shared" si="6"/>
        <v/>
      </c>
      <c r="AC13" s="533" t="str">
        <f t="shared" si="16"/>
        <v/>
      </c>
      <c r="AD13" s="533" t="str">
        <f t="shared" si="7"/>
        <v/>
      </c>
      <c r="AE13" s="533" t="str">
        <f t="shared" si="8"/>
        <v/>
      </c>
      <c r="AF13" s="533" t="str">
        <f t="shared" si="9"/>
        <v/>
      </c>
      <c r="AG13" s="513"/>
      <c r="AH13" s="513"/>
      <c r="AI13" s="513"/>
      <c r="AJ13" s="513"/>
      <c r="AK13" s="513"/>
      <c r="AL13" s="513"/>
      <c r="AM13" s="514"/>
      <c r="AN13" s="514"/>
      <c r="AO13" s="513"/>
      <c r="AP13" s="302" t="e">
        <f t="shared" si="10"/>
        <v>#DIV/0!</v>
      </c>
      <c r="AQ13" s="303" t="e">
        <f>IF(AP13&gt;KKM!$G$10,"A",IF(AP13&gt;KKM!$H$10,"B",IF(AP13&gt;=KKM!$I$10,"C","D")))</f>
        <v>#DIV/0!</v>
      </c>
      <c r="AR13" s="304">
        <f t="shared" si="0"/>
        <v>0</v>
      </c>
      <c r="AS13" s="309" t="str">
        <f>IF(AR13&gt;KKM!$G$10," sangat baik ",IF(AR13&gt;KKM!$H$10," baik ",IF(AR13&gt;=KKM!$I$10," cukup baik "," perlu bimbingan ")))</f>
        <v xml:space="preserve"> perlu bimbingan </v>
      </c>
      <c r="AT13" s="305">
        <f t="shared" si="1"/>
        <v>0</v>
      </c>
      <c r="AU13" s="309" t="str">
        <f>IF(AT13&gt;KKM!$G$10," sangat baik ",IF(AT13&gt;KKM!$H$10," baik ",IF(AT13&gt;=KKM!$I$10," cukup baik "," perlu bimbingan ")))</f>
        <v xml:space="preserve"> perlu bimbingan </v>
      </c>
      <c r="AV13" s="301" t="str">
        <f t="shared" si="11"/>
        <v xml:space="preserve"> </v>
      </c>
      <c r="AW13" s="218"/>
      <c r="AX13" s="219" t="e">
        <f t="shared" si="2"/>
        <v>#N/A</v>
      </c>
      <c r="AY13" s="219" t="e">
        <f t="shared" si="3"/>
        <v>#N/A</v>
      </c>
      <c r="AZ13" s="219" t="e">
        <f t="shared" si="12"/>
        <v>#N/A</v>
      </c>
      <c r="BA13" s="219" t="e">
        <f t="shared" si="13"/>
        <v>#N/A</v>
      </c>
      <c r="BB13" s="220" t="e">
        <f t="shared" si="14"/>
        <v>#N/A</v>
      </c>
      <c r="BC13" s="214" t="e">
        <f t="shared" si="4"/>
        <v>#N/A</v>
      </c>
      <c r="BD13" s="120"/>
      <c r="BN13" s="408" t="str">
        <f t="shared" si="15"/>
        <v/>
      </c>
    </row>
    <row r="14" spans="1:76" ht="65.25" customHeight="1">
      <c r="B14" s="109">
        <v>10</v>
      </c>
      <c r="C14" s="110">
        <f>SISWA!B15</f>
        <v>0</v>
      </c>
      <c r="D14" s="111" t="str">
        <f>SISWA!E15</f>
        <v>Anak 10</v>
      </c>
      <c r="E14" s="520"/>
      <c r="F14" s="520"/>
      <c r="G14" s="520"/>
      <c r="H14" s="520"/>
      <c r="I14" s="520"/>
      <c r="J14" s="520"/>
      <c r="K14" s="520"/>
      <c r="L14" s="520"/>
      <c r="M14" s="520"/>
      <c r="N14" s="520"/>
      <c r="O14" s="520"/>
      <c r="P14" s="520"/>
      <c r="Q14" s="520"/>
      <c r="R14" s="520"/>
      <c r="S14" s="520"/>
      <c r="T14" s="520"/>
      <c r="U14" s="520"/>
      <c r="V14" s="520"/>
      <c r="W14" s="520"/>
      <c r="X14" s="520"/>
      <c r="Y14" s="520"/>
      <c r="Z14" s="533" t="str">
        <f t="shared" si="5"/>
        <v/>
      </c>
      <c r="AA14" s="533" t="str">
        <f t="shared" si="17"/>
        <v/>
      </c>
      <c r="AB14" s="533" t="str">
        <f t="shared" si="6"/>
        <v/>
      </c>
      <c r="AC14" s="533" t="str">
        <f t="shared" si="16"/>
        <v/>
      </c>
      <c r="AD14" s="533" t="str">
        <f t="shared" si="7"/>
        <v/>
      </c>
      <c r="AE14" s="533" t="str">
        <f t="shared" si="8"/>
        <v/>
      </c>
      <c r="AF14" s="533" t="str">
        <f t="shared" si="9"/>
        <v/>
      </c>
      <c r="AG14" s="513"/>
      <c r="AH14" s="513"/>
      <c r="AI14" s="513"/>
      <c r="AJ14" s="513"/>
      <c r="AK14" s="513"/>
      <c r="AL14" s="513"/>
      <c r="AM14" s="514"/>
      <c r="AN14" s="514"/>
      <c r="AO14" s="513"/>
      <c r="AP14" s="302" t="e">
        <f t="shared" si="10"/>
        <v>#DIV/0!</v>
      </c>
      <c r="AQ14" s="303" t="e">
        <f>IF(AP14&gt;KKM!$G$10,"A",IF(AP14&gt;KKM!$H$10,"B",IF(AP14&gt;=KKM!$I$10,"C","D")))</f>
        <v>#DIV/0!</v>
      </c>
      <c r="AR14" s="304">
        <f t="shared" si="0"/>
        <v>0</v>
      </c>
      <c r="AS14" s="309" t="str">
        <f>IF(AR14&gt;KKM!$G$10," sangat baik ",IF(AR14&gt;KKM!$H$10," baik ",IF(AR14&gt;=KKM!$I$10," cukup baik "," perlu bimbingan ")))</f>
        <v xml:space="preserve"> perlu bimbingan </v>
      </c>
      <c r="AT14" s="305">
        <f t="shared" si="1"/>
        <v>0</v>
      </c>
      <c r="AU14" s="309" t="str">
        <f>IF(AT14&gt;KKM!$G$10," sangat baik ",IF(AT14&gt;KKM!$H$10," baik ",IF(AT14&gt;=KKM!$I$10," cukup baik "," perlu bimbingan ")))</f>
        <v xml:space="preserve"> perlu bimbingan </v>
      </c>
      <c r="AV14" s="301" t="str">
        <f t="shared" si="11"/>
        <v xml:space="preserve"> </v>
      </c>
      <c r="AW14" s="218"/>
      <c r="AX14" s="219" t="e">
        <f t="shared" si="2"/>
        <v>#N/A</v>
      </c>
      <c r="AY14" s="219" t="e">
        <f t="shared" si="3"/>
        <v>#N/A</v>
      </c>
      <c r="AZ14" s="219" t="e">
        <f t="shared" si="12"/>
        <v>#N/A</v>
      </c>
      <c r="BA14" s="219" t="e">
        <f t="shared" si="13"/>
        <v>#N/A</v>
      </c>
      <c r="BB14" s="220" t="e">
        <f t="shared" si="14"/>
        <v>#N/A</v>
      </c>
      <c r="BC14" s="214" t="e">
        <f t="shared" si="4"/>
        <v>#N/A</v>
      </c>
      <c r="BD14" s="120"/>
      <c r="BN14" s="408" t="str">
        <f t="shared" si="15"/>
        <v/>
      </c>
    </row>
    <row r="15" spans="1:76" ht="65.25" customHeight="1">
      <c r="B15" s="109">
        <v>11</v>
      </c>
      <c r="C15" s="110">
        <f>SISWA!B16</f>
        <v>0</v>
      </c>
      <c r="D15" s="111" t="str">
        <f>SISWA!E16</f>
        <v>Anak 11</v>
      </c>
      <c r="E15" s="520"/>
      <c r="F15" s="520"/>
      <c r="G15" s="520"/>
      <c r="H15" s="520"/>
      <c r="I15" s="520"/>
      <c r="J15" s="520"/>
      <c r="K15" s="520"/>
      <c r="L15" s="520"/>
      <c r="M15" s="520"/>
      <c r="N15" s="520"/>
      <c r="O15" s="520"/>
      <c r="P15" s="520"/>
      <c r="Q15" s="520"/>
      <c r="R15" s="520"/>
      <c r="S15" s="520"/>
      <c r="T15" s="520"/>
      <c r="U15" s="520"/>
      <c r="V15" s="520"/>
      <c r="W15" s="520"/>
      <c r="X15" s="520"/>
      <c r="Y15" s="520"/>
      <c r="Z15" s="533" t="str">
        <f t="shared" si="5"/>
        <v/>
      </c>
      <c r="AA15" s="533" t="str">
        <f t="shared" si="17"/>
        <v/>
      </c>
      <c r="AB15" s="533" t="str">
        <f t="shared" si="6"/>
        <v/>
      </c>
      <c r="AC15" s="533" t="str">
        <f t="shared" si="16"/>
        <v/>
      </c>
      <c r="AD15" s="533" t="str">
        <f t="shared" si="7"/>
        <v/>
      </c>
      <c r="AE15" s="533" t="str">
        <f t="shared" si="8"/>
        <v/>
      </c>
      <c r="AF15" s="533" t="str">
        <f t="shared" si="9"/>
        <v/>
      </c>
      <c r="AG15" s="513"/>
      <c r="AH15" s="513"/>
      <c r="AI15" s="513"/>
      <c r="AJ15" s="513"/>
      <c r="AK15" s="513"/>
      <c r="AL15" s="513"/>
      <c r="AM15" s="514"/>
      <c r="AN15" s="514"/>
      <c r="AO15" s="513"/>
      <c r="AP15" s="302" t="e">
        <f t="shared" si="10"/>
        <v>#DIV/0!</v>
      </c>
      <c r="AQ15" s="303" t="e">
        <f>IF(AP15&gt;KKM!$G$10,"A",IF(AP15&gt;KKM!$H$10,"B",IF(AP15&gt;=KKM!$I$10,"C","D")))</f>
        <v>#DIV/0!</v>
      </c>
      <c r="AR15" s="304">
        <f t="shared" si="0"/>
        <v>0</v>
      </c>
      <c r="AS15" s="309" t="str">
        <f>IF(AR15&gt;KKM!$G$10," sangat baik ",IF(AR15&gt;KKM!$H$10," baik ",IF(AR15&gt;=KKM!$I$10," cukup baik "," perlu bimbingan ")))</f>
        <v xml:space="preserve"> perlu bimbingan </v>
      </c>
      <c r="AT15" s="305">
        <f t="shared" si="1"/>
        <v>0</v>
      </c>
      <c r="AU15" s="309" t="str">
        <f>IF(AT15&gt;KKM!$G$10," sangat baik ",IF(AT15&gt;KKM!$H$10," baik ",IF(AT15&gt;=KKM!$I$10," cukup baik "," perlu bimbingan ")))</f>
        <v xml:space="preserve"> perlu bimbingan </v>
      </c>
      <c r="AV15" s="301" t="str">
        <f t="shared" si="11"/>
        <v xml:space="preserve"> </v>
      </c>
      <c r="AW15" s="218"/>
      <c r="AX15" s="219" t="e">
        <f t="shared" si="2"/>
        <v>#N/A</v>
      </c>
      <c r="AY15" s="219" t="e">
        <f t="shared" si="3"/>
        <v>#N/A</v>
      </c>
      <c r="AZ15" s="219" t="e">
        <f t="shared" si="12"/>
        <v>#N/A</v>
      </c>
      <c r="BA15" s="219" t="e">
        <f t="shared" si="13"/>
        <v>#N/A</v>
      </c>
      <c r="BB15" s="220" t="e">
        <f t="shared" si="14"/>
        <v>#N/A</v>
      </c>
      <c r="BC15" s="214" t="e">
        <f t="shared" si="4"/>
        <v>#N/A</v>
      </c>
      <c r="BD15" s="120"/>
      <c r="BN15" s="408" t="str">
        <f t="shared" si="15"/>
        <v/>
      </c>
    </row>
    <row r="16" spans="1:76" ht="65.25" customHeight="1">
      <c r="B16" s="109">
        <v>12</v>
      </c>
      <c r="C16" s="110">
        <f>SISWA!B17</f>
        <v>0</v>
      </c>
      <c r="D16" s="111" t="str">
        <f>SISWA!E17</f>
        <v>Anak 12</v>
      </c>
      <c r="E16" s="520"/>
      <c r="F16" s="520"/>
      <c r="G16" s="520"/>
      <c r="H16" s="520"/>
      <c r="I16" s="520"/>
      <c r="J16" s="520"/>
      <c r="K16" s="520"/>
      <c r="L16" s="520"/>
      <c r="M16" s="520"/>
      <c r="N16" s="520"/>
      <c r="O16" s="520"/>
      <c r="P16" s="520"/>
      <c r="Q16" s="520"/>
      <c r="R16" s="520"/>
      <c r="S16" s="520"/>
      <c r="T16" s="520"/>
      <c r="U16" s="520"/>
      <c r="V16" s="520"/>
      <c r="W16" s="520"/>
      <c r="X16" s="520"/>
      <c r="Y16" s="520"/>
      <c r="Z16" s="533" t="str">
        <f t="shared" si="5"/>
        <v/>
      </c>
      <c r="AA16" s="533" t="str">
        <f t="shared" si="17"/>
        <v/>
      </c>
      <c r="AB16" s="533" t="str">
        <f t="shared" si="6"/>
        <v/>
      </c>
      <c r="AC16" s="533" t="str">
        <f t="shared" si="16"/>
        <v/>
      </c>
      <c r="AD16" s="533" t="str">
        <f t="shared" si="7"/>
        <v/>
      </c>
      <c r="AE16" s="533" t="str">
        <f t="shared" si="8"/>
        <v/>
      </c>
      <c r="AF16" s="533" t="str">
        <f t="shared" si="9"/>
        <v/>
      </c>
      <c r="AG16" s="513"/>
      <c r="AH16" s="513"/>
      <c r="AI16" s="513"/>
      <c r="AJ16" s="513"/>
      <c r="AK16" s="513"/>
      <c r="AL16" s="513"/>
      <c r="AM16" s="514"/>
      <c r="AN16" s="514"/>
      <c r="AO16" s="513"/>
      <c r="AP16" s="302" t="e">
        <f t="shared" si="10"/>
        <v>#DIV/0!</v>
      </c>
      <c r="AQ16" s="303" t="e">
        <f>IF(AP16&gt;KKM!$G$10,"A",IF(AP16&gt;KKM!$H$10,"B",IF(AP16&gt;=KKM!$I$10,"C","D")))</f>
        <v>#DIV/0!</v>
      </c>
      <c r="AR16" s="304">
        <f t="shared" si="0"/>
        <v>0</v>
      </c>
      <c r="AS16" s="309" t="str">
        <f>IF(AR16&gt;KKM!$G$10," sangat baik ",IF(AR16&gt;KKM!$H$10," baik ",IF(AR16&gt;=KKM!$I$10," cukup baik "," perlu bimbingan ")))</f>
        <v xml:space="preserve"> perlu bimbingan </v>
      </c>
      <c r="AT16" s="305">
        <f t="shared" si="1"/>
        <v>0</v>
      </c>
      <c r="AU16" s="309" t="str">
        <f>IF(AT16&gt;KKM!$G$10," sangat baik ",IF(AT16&gt;KKM!$H$10," baik ",IF(AT16&gt;=KKM!$I$10," cukup baik "," perlu bimbingan ")))</f>
        <v xml:space="preserve"> perlu bimbingan </v>
      </c>
      <c r="AV16" s="301" t="str">
        <f t="shared" si="11"/>
        <v xml:space="preserve"> </v>
      </c>
      <c r="AW16" s="218"/>
      <c r="AX16" s="219" t="e">
        <f t="shared" si="2"/>
        <v>#N/A</v>
      </c>
      <c r="AY16" s="219" t="e">
        <f t="shared" si="3"/>
        <v>#N/A</v>
      </c>
      <c r="AZ16" s="219" t="e">
        <f t="shared" si="12"/>
        <v>#N/A</v>
      </c>
      <c r="BA16" s="219" t="e">
        <f t="shared" si="13"/>
        <v>#N/A</v>
      </c>
      <c r="BB16" s="220" t="e">
        <f t="shared" si="14"/>
        <v>#N/A</v>
      </c>
      <c r="BC16" s="214" t="e">
        <f t="shared" si="4"/>
        <v>#N/A</v>
      </c>
      <c r="BD16" s="120"/>
      <c r="BN16" s="408" t="str">
        <f t="shared" si="15"/>
        <v/>
      </c>
    </row>
    <row r="17" spans="2:66" ht="65.25" customHeight="1">
      <c r="B17" s="109">
        <v>13</v>
      </c>
      <c r="C17" s="110">
        <f>SISWA!B18</f>
        <v>0</v>
      </c>
      <c r="D17" s="111" t="str">
        <f>SISWA!E18</f>
        <v>Anak 13</v>
      </c>
      <c r="E17" s="520"/>
      <c r="F17" s="520"/>
      <c r="G17" s="520"/>
      <c r="H17" s="520"/>
      <c r="I17" s="520"/>
      <c r="J17" s="520"/>
      <c r="K17" s="520"/>
      <c r="L17" s="520"/>
      <c r="M17" s="520"/>
      <c r="N17" s="520"/>
      <c r="O17" s="520"/>
      <c r="P17" s="520"/>
      <c r="Q17" s="520"/>
      <c r="R17" s="520"/>
      <c r="S17" s="520"/>
      <c r="T17" s="520"/>
      <c r="U17" s="520"/>
      <c r="V17" s="520"/>
      <c r="W17" s="520"/>
      <c r="X17" s="520"/>
      <c r="Y17" s="520"/>
      <c r="Z17" s="533" t="str">
        <f t="shared" si="5"/>
        <v/>
      </c>
      <c r="AA17" s="533" t="str">
        <f t="shared" si="17"/>
        <v/>
      </c>
      <c r="AB17" s="533" t="str">
        <f t="shared" si="6"/>
        <v/>
      </c>
      <c r="AC17" s="533" t="str">
        <f t="shared" si="16"/>
        <v/>
      </c>
      <c r="AD17" s="533" t="str">
        <f t="shared" si="7"/>
        <v/>
      </c>
      <c r="AE17" s="533" t="str">
        <f t="shared" si="8"/>
        <v/>
      </c>
      <c r="AF17" s="533" t="str">
        <f t="shared" si="9"/>
        <v/>
      </c>
      <c r="AG17" s="513"/>
      <c r="AH17" s="513"/>
      <c r="AI17" s="513"/>
      <c r="AJ17" s="513"/>
      <c r="AK17" s="513"/>
      <c r="AL17" s="513"/>
      <c r="AM17" s="514"/>
      <c r="AN17" s="514"/>
      <c r="AO17" s="513"/>
      <c r="AP17" s="302" t="e">
        <f t="shared" si="10"/>
        <v>#DIV/0!</v>
      </c>
      <c r="AQ17" s="303" t="e">
        <f>IF(AP17&gt;KKM!$G$10,"A",IF(AP17&gt;KKM!$H$10,"B",IF(AP17&gt;=KKM!$I$10,"C","D")))</f>
        <v>#DIV/0!</v>
      </c>
      <c r="AR17" s="304">
        <f t="shared" si="0"/>
        <v>0</v>
      </c>
      <c r="AS17" s="309" t="str">
        <f>IF(AR17&gt;KKM!$G$10," sangat baik ",IF(AR17&gt;KKM!$H$10," baik ",IF(AR17&gt;=KKM!$I$10," cukup baik "," perlu bimbingan ")))</f>
        <v xml:space="preserve"> perlu bimbingan </v>
      </c>
      <c r="AT17" s="305">
        <f t="shared" si="1"/>
        <v>0</v>
      </c>
      <c r="AU17" s="309" t="str">
        <f>IF(AT17&gt;KKM!$G$10," sangat baik ",IF(AT17&gt;KKM!$H$10," baik ",IF(AT17&gt;=KKM!$I$10," cukup baik "," perlu bimbingan ")))</f>
        <v xml:space="preserve"> perlu bimbingan </v>
      </c>
      <c r="AV17" s="301" t="str">
        <f t="shared" si="11"/>
        <v xml:space="preserve"> </v>
      </c>
      <c r="AW17" s="218"/>
      <c r="AX17" s="219" t="e">
        <f t="shared" si="2"/>
        <v>#N/A</v>
      </c>
      <c r="AY17" s="219" t="e">
        <f t="shared" si="3"/>
        <v>#N/A</v>
      </c>
      <c r="AZ17" s="219" t="e">
        <f t="shared" si="12"/>
        <v>#N/A</v>
      </c>
      <c r="BA17" s="219" t="e">
        <f t="shared" si="13"/>
        <v>#N/A</v>
      </c>
      <c r="BB17" s="220" t="e">
        <f t="shared" si="14"/>
        <v>#N/A</v>
      </c>
      <c r="BC17" s="214" t="e">
        <f t="shared" si="4"/>
        <v>#N/A</v>
      </c>
      <c r="BD17" s="120"/>
      <c r="BN17" s="408" t="str">
        <f t="shared" si="15"/>
        <v/>
      </c>
    </row>
    <row r="18" spans="2:66" ht="65.25" customHeight="1">
      <c r="B18" s="109">
        <v>14</v>
      </c>
      <c r="C18" s="110">
        <f>SISWA!B19</f>
        <v>0</v>
      </c>
      <c r="D18" s="111" t="str">
        <f>SISWA!E19</f>
        <v>Anak 14</v>
      </c>
      <c r="E18" s="520"/>
      <c r="F18" s="520"/>
      <c r="G18" s="520"/>
      <c r="H18" s="520"/>
      <c r="I18" s="520"/>
      <c r="J18" s="520"/>
      <c r="K18" s="520"/>
      <c r="L18" s="520"/>
      <c r="M18" s="520"/>
      <c r="N18" s="520"/>
      <c r="O18" s="520"/>
      <c r="P18" s="520"/>
      <c r="Q18" s="520"/>
      <c r="R18" s="520"/>
      <c r="S18" s="520"/>
      <c r="T18" s="520"/>
      <c r="U18" s="520"/>
      <c r="V18" s="520"/>
      <c r="W18" s="520"/>
      <c r="X18" s="520"/>
      <c r="Y18" s="520"/>
      <c r="Z18" s="533" t="str">
        <f t="shared" si="5"/>
        <v/>
      </c>
      <c r="AA18" s="533" t="str">
        <f t="shared" si="17"/>
        <v/>
      </c>
      <c r="AB18" s="533" t="str">
        <f t="shared" si="6"/>
        <v/>
      </c>
      <c r="AC18" s="533" t="str">
        <f t="shared" si="16"/>
        <v/>
      </c>
      <c r="AD18" s="533" t="str">
        <f t="shared" si="7"/>
        <v/>
      </c>
      <c r="AE18" s="533" t="str">
        <f t="shared" si="8"/>
        <v/>
      </c>
      <c r="AF18" s="533" t="str">
        <f t="shared" si="9"/>
        <v/>
      </c>
      <c r="AG18" s="513"/>
      <c r="AH18" s="513"/>
      <c r="AI18" s="513"/>
      <c r="AJ18" s="513"/>
      <c r="AK18" s="513"/>
      <c r="AL18" s="513"/>
      <c r="AM18" s="514"/>
      <c r="AN18" s="514"/>
      <c r="AO18" s="513"/>
      <c r="AP18" s="302" t="e">
        <f t="shared" si="10"/>
        <v>#DIV/0!</v>
      </c>
      <c r="AQ18" s="303" t="e">
        <f>IF(AP18&gt;KKM!$G$10,"A",IF(AP18&gt;KKM!$H$10,"B",IF(AP18&gt;=KKM!$I$10,"C","D")))</f>
        <v>#DIV/0!</v>
      </c>
      <c r="AR18" s="304">
        <f t="shared" si="0"/>
        <v>0</v>
      </c>
      <c r="AS18" s="309" t="str">
        <f>IF(AR18&gt;KKM!$G$10," sangat baik ",IF(AR18&gt;KKM!$H$10," baik ",IF(AR18&gt;=KKM!$I$10," cukup baik "," perlu bimbingan ")))</f>
        <v xml:space="preserve"> perlu bimbingan </v>
      </c>
      <c r="AT18" s="305">
        <f t="shared" si="1"/>
        <v>0</v>
      </c>
      <c r="AU18" s="309" t="str">
        <f>IF(AT18&gt;KKM!$G$10," sangat baik ",IF(AT18&gt;KKM!$H$10," baik ",IF(AT18&gt;=KKM!$I$10," cukup baik "," perlu bimbingan ")))</f>
        <v xml:space="preserve"> perlu bimbingan </v>
      </c>
      <c r="AV18" s="301" t="str">
        <f t="shared" si="11"/>
        <v xml:space="preserve"> </v>
      </c>
      <c r="AW18" s="218"/>
      <c r="AX18" s="219" t="e">
        <f t="shared" si="2"/>
        <v>#N/A</v>
      </c>
      <c r="AY18" s="219" t="e">
        <f t="shared" si="3"/>
        <v>#N/A</v>
      </c>
      <c r="AZ18" s="219" t="e">
        <f t="shared" si="12"/>
        <v>#N/A</v>
      </c>
      <c r="BA18" s="219" t="e">
        <f t="shared" si="13"/>
        <v>#N/A</v>
      </c>
      <c r="BB18" s="220" t="e">
        <f t="shared" si="14"/>
        <v>#N/A</v>
      </c>
      <c r="BC18" s="214" t="e">
        <f t="shared" si="4"/>
        <v>#N/A</v>
      </c>
      <c r="BD18" s="120"/>
      <c r="BN18" s="408" t="str">
        <f t="shared" si="15"/>
        <v/>
      </c>
    </row>
    <row r="19" spans="2:66" ht="65.25" customHeight="1">
      <c r="B19" s="109">
        <v>15</v>
      </c>
      <c r="C19" s="110">
        <f>SISWA!B20</f>
        <v>0</v>
      </c>
      <c r="D19" s="111" t="str">
        <f>SISWA!E20</f>
        <v>Anak 15</v>
      </c>
      <c r="E19" s="520"/>
      <c r="F19" s="520"/>
      <c r="G19" s="520"/>
      <c r="H19" s="520"/>
      <c r="I19" s="520"/>
      <c r="J19" s="520"/>
      <c r="K19" s="520"/>
      <c r="L19" s="520"/>
      <c r="M19" s="520"/>
      <c r="N19" s="520"/>
      <c r="O19" s="520"/>
      <c r="P19" s="520"/>
      <c r="Q19" s="520"/>
      <c r="R19" s="520"/>
      <c r="S19" s="520"/>
      <c r="T19" s="520"/>
      <c r="U19" s="520"/>
      <c r="V19" s="520"/>
      <c r="W19" s="520"/>
      <c r="X19" s="520"/>
      <c r="Y19" s="520"/>
      <c r="Z19" s="533" t="str">
        <f t="shared" si="5"/>
        <v/>
      </c>
      <c r="AA19" s="533" t="str">
        <f t="shared" si="17"/>
        <v/>
      </c>
      <c r="AB19" s="533" t="str">
        <f t="shared" si="6"/>
        <v/>
      </c>
      <c r="AC19" s="533" t="str">
        <f t="shared" si="16"/>
        <v/>
      </c>
      <c r="AD19" s="533" t="str">
        <f t="shared" si="7"/>
        <v/>
      </c>
      <c r="AE19" s="533" t="str">
        <f t="shared" si="8"/>
        <v/>
      </c>
      <c r="AF19" s="533" t="str">
        <f t="shared" si="9"/>
        <v/>
      </c>
      <c r="AG19" s="513"/>
      <c r="AH19" s="513"/>
      <c r="AI19" s="513"/>
      <c r="AJ19" s="513"/>
      <c r="AK19" s="513"/>
      <c r="AL19" s="513"/>
      <c r="AM19" s="514"/>
      <c r="AN19" s="514"/>
      <c r="AO19" s="513"/>
      <c r="AP19" s="302" t="e">
        <f t="shared" si="10"/>
        <v>#DIV/0!</v>
      </c>
      <c r="AQ19" s="303" t="e">
        <f>IF(AP19&gt;KKM!$G$10,"A",IF(AP19&gt;KKM!$H$10,"B",IF(AP19&gt;=KKM!$I$10,"C","D")))</f>
        <v>#DIV/0!</v>
      </c>
      <c r="AR19" s="304">
        <f t="shared" si="0"/>
        <v>0</v>
      </c>
      <c r="AS19" s="309" t="str">
        <f>IF(AR19&gt;KKM!$G$10," sangat baik ",IF(AR19&gt;KKM!$H$10," baik ",IF(AR19&gt;=KKM!$I$10," cukup baik "," perlu bimbingan ")))</f>
        <v xml:space="preserve"> perlu bimbingan </v>
      </c>
      <c r="AT19" s="305">
        <f t="shared" si="1"/>
        <v>0</v>
      </c>
      <c r="AU19" s="309" t="str">
        <f>IF(AT19&gt;KKM!$G$10," sangat baik ",IF(AT19&gt;KKM!$H$10," baik ",IF(AT19&gt;=KKM!$I$10," cukup baik "," perlu bimbingan ")))</f>
        <v xml:space="preserve"> perlu bimbingan </v>
      </c>
      <c r="AV19" s="301" t="str">
        <f t="shared" si="11"/>
        <v xml:space="preserve"> </v>
      </c>
      <c r="AW19" s="218"/>
      <c r="AX19" s="219" t="e">
        <f t="shared" si="2"/>
        <v>#N/A</v>
      </c>
      <c r="AY19" s="219" t="e">
        <f t="shared" si="3"/>
        <v>#N/A</v>
      </c>
      <c r="AZ19" s="219" t="e">
        <f t="shared" si="12"/>
        <v>#N/A</v>
      </c>
      <c r="BA19" s="219" t="e">
        <f t="shared" si="13"/>
        <v>#N/A</v>
      </c>
      <c r="BB19" s="220" t="e">
        <f t="shared" si="14"/>
        <v>#N/A</v>
      </c>
      <c r="BC19" s="214" t="e">
        <f t="shared" si="4"/>
        <v>#N/A</v>
      </c>
      <c r="BD19" s="120"/>
      <c r="BN19" s="408" t="str">
        <f t="shared" si="15"/>
        <v/>
      </c>
    </row>
    <row r="20" spans="2:66" ht="65.25" customHeight="1">
      <c r="B20" s="109">
        <v>16</v>
      </c>
      <c r="C20" s="110">
        <f>SISWA!B21</f>
        <v>0</v>
      </c>
      <c r="D20" s="111" t="str">
        <f>SISWA!E21</f>
        <v>Anak 16</v>
      </c>
      <c r="E20" s="520"/>
      <c r="F20" s="520"/>
      <c r="G20" s="520"/>
      <c r="H20" s="520"/>
      <c r="I20" s="520"/>
      <c r="J20" s="520"/>
      <c r="K20" s="520"/>
      <c r="L20" s="520"/>
      <c r="M20" s="520"/>
      <c r="N20" s="520"/>
      <c r="O20" s="520"/>
      <c r="P20" s="520"/>
      <c r="Q20" s="520"/>
      <c r="R20" s="520"/>
      <c r="S20" s="520"/>
      <c r="T20" s="520"/>
      <c r="U20" s="520"/>
      <c r="V20" s="520"/>
      <c r="W20" s="520"/>
      <c r="X20" s="520"/>
      <c r="Y20" s="520"/>
      <c r="Z20" s="533" t="str">
        <f t="shared" si="5"/>
        <v/>
      </c>
      <c r="AA20" s="533" t="str">
        <f t="shared" si="17"/>
        <v/>
      </c>
      <c r="AB20" s="533" t="str">
        <f t="shared" si="6"/>
        <v/>
      </c>
      <c r="AC20" s="533" t="str">
        <f t="shared" si="16"/>
        <v/>
      </c>
      <c r="AD20" s="533" t="str">
        <f t="shared" si="7"/>
        <v/>
      </c>
      <c r="AE20" s="533" t="str">
        <f t="shared" si="8"/>
        <v/>
      </c>
      <c r="AF20" s="533" t="str">
        <f t="shared" si="9"/>
        <v/>
      </c>
      <c r="AG20" s="513"/>
      <c r="AH20" s="513"/>
      <c r="AI20" s="513"/>
      <c r="AJ20" s="513"/>
      <c r="AK20" s="513"/>
      <c r="AL20" s="513"/>
      <c r="AM20" s="514"/>
      <c r="AN20" s="514"/>
      <c r="AO20" s="513"/>
      <c r="AP20" s="302" t="e">
        <f t="shared" si="10"/>
        <v>#DIV/0!</v>
      </c>
      <c r="AQ20" s="303" t="e">
        <f>IF(AP20&gt;KKM!$G$10,"A",IF(AP20&gt;KKM!$H$10,"B",IF(AP20&gt;=KKM!$I$10,"C","D")))</f>
        <v>#DIV/0!</v>
      </c>
      <c r="AR20" s="304">
        <f t="shared" si="0"/>
        <v>0</v>
      </c>
      <c r="AS20" s="309" t="str">
        <f>IF(AR20&gt;KKM!$G$10," sangat baik ",IF(AR20&gt;KKM!$H$10," baik ",IF(AR20&gt;=KKM!$I$10," cukup baik "," perlu bimbingan ")))</f>
        <v xml:space="preserve"> perlu bimbingan </v>
      </c>
      <c r="AT20" s="305">
        <f t="shared" si="1"/>
        <v>0</v>
      </c>
      <c r="AU20" s="309" t="str">
        <f>IF(AT20&gt;KKM!$G$10," sangat baik ",IF(AT20&gt;KKM!$H$10," baik ",IF(AT20&gt;=KKM!$I$10," cukup baik "," perlu bimbingan ")))</f>
        <v xml:space="preserve"> perlu bimbingan </v>
      </c>
      <c r="AV20" s="301" t="str">
        <f t="shared" si="11"/>
        <v xml:space="preserve"> </v>
      </c>
      <c r="AW20" s="218"/>
      <c r="AX20" s="219" t="e">
        <f t="shared" si="2"/>
        <v>#N/A</v>
      </c>
      <c r="AY20" s="219" t="e">
        <f t="shared" si="3"/>
        <v>#N/A</v>
      </c>
      <c r="AZ20" s="219" t="e">
        <f t="shared" si="12"/>
        <v>#N/A</v>
      </c>
      <c r="BA20" s="219" t="e">
        <f t="shared" si="13"/>
        <v>#N/A</v>
      </c>
      <c r="BB20" s="220" t="e">
        <f t="shared" si="14"/>
        <v>#N/A</v>
      </c>
      <c r="BC20" s="214" t="e">
        <f t="shared" si="4"/>
        <v>#N/A</v>
      </c>
      <c r="BD20" s="120"/>
      <c r="BN20" s="408" t="str">
        <f t="shared" si="15"/>
        <v/>
      </c>
    </row>
    <row r="21" spans="2:66" ht="65.25" customHeight="1">
      <c r="B21" s="109">
        <v>17</v>
      </c>
      <c r="C21" s="110">
        <f>SISWA!B22</f>
        <v>0</v>
      </c>
      <c r="D21" s="111" t="str">
        <f>SISWA!E22</f>
        <v>Anak 17</v>
      </c>
      <c r="E21" s="520"/>
      <c r="F21" s="520"/>
      <c r="G21" s="520"/>
      <c r="H21" s="520"/>
      <c r="I21" s="520"/>
      <c r="J21" s="520"/>
      <c r="K21" s="520"/>
      <c r="L21" s="520"/>
      <c r="M21" s="520"/>
      <c r="N21" s="520"/>
      <c r="O21" s="520"/>
      <c r="P21" s="520"/>
      <c r="Q21" s="520"/>
      <c r="R21" s="520"/>
      <c r="S21" s="520"/>
      <c r="T21" s="520"/>
      <c r="U21" s="520"/>
      <c r="V21" s="520"/>
      <c r="W21" s="520"/>
      <c r="X21" s="520"/>
      <c r="Y21" s="520"/>
      <c r="Z21" s="533" t="str">
        <f t="shared" si="5"/>
        <v/>
      </c>
      <c r="AA21" s="533" t="str">
        <f t="shared" si="17"/>
        <v/>
      </c>
      <c r="AB21" s="533" t="str">
        <f t="shared" si="6"/>
        <v/>
      </c>
      <c r="AC21" s="533" t="str">
        <f t="shared" si="16"/>
        <v/>
      </c>
      <c r="AD21" s="533" t="str">
        <f t="shared" si="7"/>
        <v/>
      </c>
      <c r="AE21" s="533" t="str">
        <f t="shared" si="8"/>
        <v/>
      </c>
      <c r="AF21" s="533" t="str">
        <f t="shared" si="9"/>
        <v/>
      </c>
      <c r="AG21" s="513"/>
      <c r="AH21" s="513"/>
      <c r="AI21" s="513"/>
      <c r="AJ21" s="513"/>
      <c r="AK21" s="513"/>
      <c r="AL21" s="513"/>
      <c r="AM21" s="514"/>
      <c r="AN21" s="514"/>
      <c r="AO21" s="513"/>
      <c r="AP21" s="302" t="e">
        <f t="shared" si="10"/>
        <v>#DIV/0!</v>
      </c>
      <c r="AQ21" s="303" t="e">
        <f>IF(AP21&gt;KKM!$G$10,"A",IF(AP21&gt;KKM!$H$10,"B",IF(AP21&gt;=KKM!$I$10,"C","D")))</f>
        <v>#DIV/0!</v>
      </c>
      <c r="AR21" s="304">
        <f t="shared" si="0"/>
        <v>0</v>
      </c>
      <c r="AS21" s="309" t="str">
        <f>IF(AR21&gt;KKM!$G$10," sangat baik ",IF(AR21&gt;KKM!$H$10," baik ",IF(AR21&gt;=KKM!$I$10," cukup baik "," perlu bimbingan ")))</f>
        <v xml:space="preserve"> perlu bimbingan </v>
      </c>
      <c r="AT21" s="305">
        <f t="shared" si="1"/>
        <v>0</v>
      </c>
      <c r="AU21" s="309" t="str">
        <f>IF(AT21&gt;KKM!$G$10," sangat baik ",IF(AT21&gt;KKM!$H$10," baik ",IF(AT21&gt;=KKM!$I$10," cukup baik "," perlu bimbingan ")))</f>
        <v xml:space="preserve"> perlu bimbingan </v>
      </c>
      <c r="AV21" s="301" t="str">
        <f t="shared" si="11"/>
        <v xml:space="preserve"> </v>
      </c>
      <c r="AW21" s="218"/>
      <c r="AX21" s="219" t="e">
        <f t="shared" si="2"/>
        <v>#N/A</v>
      </c>
      <c r="AY21" s="219" t="e">
        <f t="shared" si="3"/>
        <v>#N/A</v>
      </c>
      <c r="AZ21" s="219" t="e">
        <f t="shared" si="12"/>
        <v>#N/A</v>
      </c>
      <c r="BA21" s="219" t="e">
        <f t="shared" si="13"/>
        <v>#N/A</v>
      </c>
      <c r="BB21" s="220" t="e">
        <f t="shared" si="14"/>
        <v>#N/A</v>
      </c>
      <c r="BC21" s="214" t="e">
        <f t="shared" si="4"/>
        <v>#N/A</v>
      </c>
      <c r="BD21" s="120"/>
      <c r="BN21" s="408" t="str">
        <f t="shared" si="15"/>
        <v/>
      </c>
    </row>
    <row r="22" spans="2:66" ht="65.25" customHeight="1">
      <c r="B22" s="109">
        <v>18</v>
      </c>
      <c r="C22" s="110">
        <f>SISWA!B23</f>
        <v>0</v>
      </c>
      <c r="D22" s="111" t="str">
        <f>SISWA!E23</f>
        <v>Anak 18</v>
      </c>
      <c r="E22" s="520"/>
      <c r="F22" s="520"/>
      <c r="G22" s="520"/>
      <c r="H22" s="520"/>
      <c r="I22" s="520"/>
      <c r="J22" s="520"/>
      <c r="K22" s="520"/>
      <c r="L22" s="520"/>
      <c r="M22" s="520"/>
      <c r="N22" s="520"/>
      <c r="O22" s="520"/>
      <c r="P22" s="520"/>
      <c r="Q22" s="520"/>
      <c r="R22" s="520"/>
      <c r="S22" s="520"/>
      <c r="T22" s="520"/>
      <c r="U22" s="520"/>
      <c r="V22" s="520"/>
      <c r="W22" s="520"/>
      <c r="X22" s="520"/>
      <c r="Y22" s="520"/>
      <c r="Z22" s="533" t="str">
        <f t="shared" si="5"/>
        <v/>
      </c>
      <c r="AA22" s="533" t="str">
        <f t="shared" si="17"/>
        <v/>
      </c>
      <c r="AB22" s="533" t="str">
        <f t="shared" si="6"/>
        <v/>
      </c>
      <c r="AC22" s="533" t="str">
        <f t="shared" si="16"/>
        <v/>
      </c>
      <c r="AD22" s="533" t="str">
        <f t="shared" si="7"/>
        <v/>
      </c>
      <c r="AE22" s="533" t="str">
        <f t="shared" si="8"/>
        <v/>
      </c>
      <c r="AF22" s="533" t="str">
        <f t="shared" si="9"/>
        <v/>
      </c>
      <c r="AG22" s="513"/>
      <c r="AH22" s="513"/>
      <c r="AI22" s="513"/>
      <c r="AJ22" s="513"/>
      <c r="AK22" s="513"/>
      <c r="AL22" s="513"/>
      <c r="AM22" s="514"/>
      <c r="AN22" s="514"/>
      <c r="AO22" s="513"/>
      <c r="AP22" s="302" t="e">
        <f t="shared" si="10"/>
        <v>#DIV/0!</v>
      </c>
      <c r="AQ22" s="303" t="e">
        <f>IF(AP22&gt;KKM!$G$10,"A",IF(AP22&gt;KKM!$H$10,"B",IF(AP22&gt;=KKM!$I$10,"C","D")))</f>
        <v>#DIV/0!</v>
      </c>
      <c r="AR22" s="304">
        <f t="shared" si="0"/>
        <v>0</v>
      </c>
      <c r="AS22" s="309" t="str">
        <f>IF(AR22&gt;KKM!$G$10," sangat baik ",IF(AR22&gt;KKM!$H$10," baik ",IF(AR22&gt;=KKM!$I$10," cukup baik "," perlu bimbingan ")))</f>
        <v xml:space="preserve"> perlu bimbingan </v>
      </c>
      <c r="AT22" s="305">
        <f t="shared" si="1"/>
        <v>0</v>
      </c>
      <c r="AU22" s="309" t="str">
        <f>IF(AT22&gt;KKM!$G$10," sangat baik ",IF(AT22&gt;KKM!$H$10," baik ",IF(AT22&gt;=KKM!$I$10," cukup baik "," perlu bimbingan ")))</f>
        <v xml:space="preserve"> perlu bimbingan </v>
      </c>
      <c r="AV22" s="301" t="str">
        <f t="shared" si="11"/>
        <v xml:space="preserve"> </v>
      </c>
      <c r="AW22" s="218"/>
      <c r="AX22" s="219" t="e">
        <f t="shared" si="2"/>
        <v>#N/A</v>
      </c>
      <c r="AY22" s="219" t="e">
        <f t="shared" si="3"/>
        <v>#N/A</v>
      </c>
      <c r="AZ22" s="219" t="e">
        <f t="shared" si="12"/>
        <v>#N/A</v>
      </c>
      <c r="BA22" s="219" t="e">
        <f t="shared" si="13"/>
        <v>#N/A</v>
      </c>
      <c r="BB22" s="220" t="e">
        <f t="shared" si="14"/>
        <v>#N/A</v>
      </c>
      <c r="BC22" s="214" t="e">
        <f t="shared" si="4"/>
        <v>#N/A</v>
      </c>
      <c r="BD22" s="120"/>
      <c r="BN22" s="408" t="str">
        <f t="shared" si="15"/>
        <v/>
      </c>
    </row>
    <row r="23" spans="2:66" ht="65.25" customHeight="1">
      <c r="B23" s="109">
        <v>19</v>
      </c>
      <c r="C23" s="110">
        <f>SISWA!B24</f>
        <v>0</v>
      </c>
      <c r="D23" s="111" t="str">
        <f>SISWA!E24</f>
        <v>Anak 19</v>
      </c>
      <c r="E23" s="520"/>
      <c r="F23" s="520"/>
      <c r="G23" s="520"/>
      <c r="H23" s="520"/>
      <c r="I23" s="520"/>
      <c r="J23" s="520"/>
      <c r="K23" s="520"/>
      <c r="L23" s="520"/>
      <c r="M23" s="520"/>
      <c r="N23" s="520"/>
      <c r="O23" s="520"/>
      <c r="P23" s="520"/>
      <c r="Q23" s="520"/>
      <c r="R23" s="520"/>
      <c r="S23" s="520"/>
      <c r="T23" s="520"/>
      <c r="U23" s="520"/>
      <c r="V23" s="520"/>
      <c r="W23" s="520"/>
      <c r="X23" s="520"/>
      <c r="Y23" s="520"/>
      <c r="Z23" s="533" t="str">
        <f t="shared" si="5"/>
        <v/>
      </c>
      <c r="AA23" s="533" t="str">
        <f t="shared" si="17"/>
        <v/>
      </c>
      <c r="AB23" s="533" t="str">
        <f t="shared" si="6"/>
        <v/>
      </c>
      <c r="AC23" s="533" t="str">
        <f t="shared" si="16"/>
        <v/>
      </c>
      <c r="AD23" s="533" t="str">
        <f t="shared" si="7"/>
        <v/>
      </c>
      <c r="AE23" s="533" t="str">
        <f t="shared" si="8"/>
        <v/>
      </c>
      <c r="AF23" s="533" t="str">
        <f t="shared" si="9"/>
        <v/>
      </c>
      <c r="AG23" s="513"/>
      <c r="AH23" s="513"/>
      <c r="AI23" s="513"/>
      <c r="AJ23" s="513"/>
      <c r="AK23" s="513"/>
      <c r="AL23" s="513"/>
      <c r="AM23" s="514"/>
      <c r="AN23" s="514"/>
      <c r="AO23" s="513"/>
      <c r="AP23" s="302" t="e">
        <f t="shared" si="10"/>
        <v>#DIV/0!</v>
      </c>
      <c r="AQ23" s="303" t="e">
        <f>IF(AP23&gt;KKM!$G$10,"A",IF(AP23&gt;KKM!$H$10,"B",IF(AP23&gt;=KKM!$I$10,"C","D")))</f>
        <v>#DIV/0!</v>
      </c>
      <c r="AR23" s="304">
        <f t="shared" si="0"/>
        <v>0</v>
      </c>
      <c r="AS23" s="309" t="str">
        <f>IF(AR23&gt;KKM!$G$10," sangat baik ",IF(AR23&gt;KKM!$H$10," baik ",IF(AR23&gt;=KKM!$I$10," cukup baik "," perlu bimbingan ")))</f>
        <v xml:space="preserve"> perlu bimbingan </v>
      </c>
      <c r="AT23" s="305">
        <f t="shared" si="1"/>
        <v>0</v>
      </c>
      <c r="AU23" s="309" t="str">
        <f>IF(AT23&gt;KKM!$G$10," sangat baik ",IF(AT23&gt;KKM!$H$10," baik ",IF(AT23&gt;=KKM!$I$10," cukup baik "," perlu bimbingan ")))</f>
        <v xml:space="preserve"> perlu bimbingan </v>
      </c>
      <c r="AV23" s="301" t="str">
        <f t="shared" si="11"/>
        <v xml:space="preserve"> </v>
      </c>
      <c r="AW23" s="218"/>
      <c r="AX23" s="219" t="e">
        <f t="shared" si="2"/>
        <v>#N/A</v>
      </c>
      <c r="AY23" s="219" t="e">
        <f t="shared" si="3"/>
        <v>#N/A</v>
      </c>
      <c r="AZ23" s="219" t="e">
        <f t="shared" si="12"/>
        <v>#N/A</v>
      </c>
      <c r="BA23" s="219" t="e">
        <f t="shared" si="13"/>
        <v>#N/A</v>
      </c>
      <c r="BB23" s="220" t="e">
        <f t="shared" si="14"/>
        <v>#N/A</v>
      </c>
      <c r="BC23" s="214" t="e">
        <f t="shared" si="4"/>
        <v>#N/A</v>
      </c>
      <c r="BD23" s="120"/>
      <c r="BN23" s="408" t="str">
        <f t="shared" si="15"/>
        <v/>
      </c>
    </row>
    <row r="24" spans="2:66" ht="65.25" customHeight="1">
      <c r="B24" s="109">
        <v>20</v>
      </c>
      <c r="C24" s="110">
        <f>SISWA!B25</f>
        <v>0</v>
      </c>
      <c r="D24" s="111" t="str">
        <f>SISWA!E25</f>
        <v>Anak 20</v>
      </c>
      <c r="E24" s="520"/>
      <c r="F24" s="520"/>
      <c r="G24" s="520"/>
      <c r="H24" s="520"/>
      <c r="I24" s="520"/>
      <c r="J24" s="520"/>
      <c r="K24" s="520"/>
      <c r="L24" s="520"/>
      <c r="M24" s="520"/>
      <c r="N24" s="520"/>
      <c r="O24" s="520"/>
      <c r="P24" s="520"/>
      <c r="Q24" s="520"/>
      <c r="R24" s="520"/>
      <c r="S24" s="520"/>
      <c r="T24" s="520"/>
      <c r="U24" s="520"/>
      <c r="V24" s="520"/>
      <c r="W24" s="520"/>
      <c r="X24" s="520"/>
      <c r="Y24" s="520"/>
      <c r="Z24" s="533" t="str">
        <f t="shared" si="5"/>
        <v/>
      </c>
      <c r="AA24" s="533" t="str">
        <f t="shared" si="17"/>
        <v/>
      </c>
      <c r="AB24" s="533" t="str">
        <f t="shared" si="6"/>
        <v/>
      </c>
      <c r="AC24" s="533" t="str">
        <f t="shared" si="16"/>
        <v/>
      </c>
      <c r="AD24" s="533" t="str">
        <f t="shared" si="7"/>
        <v/>
      </c>
      <c r="AE24" s="533" t="str">
        <f t="shared" si="8"/>
        <v/>
      </c>
      <c r="AF24" s="533" t="str">
        <f t="shared" si="9"/>
        <v/>
      </c>
      <c r="AG24" s="513"/>
      <c r="AH24" s="513"/>
      <c r="AI24" s="513"/>
      <c r="AJ24" s="513"/>
      <c r="AK24" s="513"/>
      <c r="AL24" s="513"/>
      <c r="AM24" s="514"/>
      <c r="AN24" s="514"/>
      <c r="AO24" s="513"/>
      <c r="AP24" s="302" t="e">
        <f t="shared" si="10"/>
        <v>#DIV/0!</v>
      </c>
      <c r="AQ24" s="303" t="e">
        <f>IF(AP24&gt;KKM!$G$10,"A",IF(AP24&gt;KKM!$H$10,"B",IF(AP24&gt;=KKM!$I$10,"C","D")))</f>
        <v>#DIV/0!</v>
      </c>
      <c r="AR24" s="304">
        <f t="shared" si="0"/>
        <v>0</v>
      </c>
      <c r="AS24" s="309" t="str">
        <f>IF(AR24&gt;KKM!$G$10," sangat baik ",IF(AR24&gt;KKM!$H$10," baik ",IF(AR24&gt;=KKM!$I$10," cukup baik "," perlu bimbingan ")))</f>
        <v xml:space="preserve"> perlu bimbingan </v>
      </c>
      <c r="AT24" s="305">
        <f t="shared" si="1"/>
        <v>0</v>
      </c>
      <c r="AU24" s="309" t="str">
        <f>IF(AT24&gt;KKM!$G$10," sangat baik ",IF(AT24&gt;KKM!$H$10," baik ",IF(AT24&gt;=KKM!$I$10," cukup baik "," perlu bimbingan ")))</f>
        <v xml:space="preserve"> perlu bimbingan </v>
      </c>
      <c r="AV24" s="301" t="str">
        <f t="shared" si="11"/>
        <v xml:space="preserve"> </v>
      </c>
      <c r="AW24" s="218"/>
      <c r="AX24" s="219" t="e">
        <f t="shared" si="2"/>
        <v>#N/A</v>
      </c>
      <c r="AY24" s="219" t="e">
        <f t="shared" si="3"/>
        <v>#N/A</v>
      </c>
      <c r="AZ24" s="219" t="e">
        <f t="shared" si="12"/>
        <v>#N/A</v>
      </c>
      <c r="BA24" s="219" t="e">
        <f t="shared" si="13"/>
        <v>#N/A</v>
      </c>
      <c r="BB24" s="220" t="e">
        <f t="shared" si="14"/>
        <v>#N/A</v>
      </c>
      <c r="BC24" s="214" t="e">
        <f t="shared" si="4"/>
        <v>#N/A</v>
      </c>
      <c r="BD24" s="120"/>
      <c r="BN24" s="408" t="str">
        <f t="shared" si="15"/>
        <v/>
      </c>
    </row>
    <row r="25" spans="2:66" ht="65.25" customHeight="1">
      <c r="B25" s="109">
        <v>21</v>
      </c>
      <c r="C25" s="110">
        <f>SISWA!B26</f>
        <v>0</v>
      </c>
      <c r="D25" s="111" t="str">
        <f>SISWA!E26</f>
        <v>Anak 21</v>
      </c>
      <c r="E25" s="520"/>
      <c r="F25" s="520"/>
      <c r="G25" s="520"/>
      <c r="H25" s="520"/>
      <c r="I25" s="520"/>
      <c r="J25" s="520"/>
      <c r="K25" s="520"/>
      <c r="L25" s="520"/>
      <c r="M25" s="520"/>
      <c r="N25" s="520"/>
      <c r="O25" s="520"/>
      <c r="P25" s="520"/>
      <c r="Q25" s="520"/>
      <c r="R25" s="520"/>
      <c r="S25" s="520"/>
      <c r="T25" s="520"/>
      <c r="U25" s="520"/>
      <c r="V25" s="520"/>
      <c r="W25" s="520"/>
      <c r="X25" s="520"/>
      <c r="Y25" s="520"/>
      <c r="Z25" s="533" t="str">
        <f t="shared" si="5"/>
        <v/>
      </c>
      <c r="AA25" s="533" t="str">
        <f t="shared" si="17"/>
        <v/>
      </c>
      <c r="AB25" s="533" t="str">
        <f t="shared" si="6"/>
        <v/>
      </c>
      <c r="AC25" s="533" t="str">
        <f t="shared" si="16"/>
        <v/>
      </c>
      <c r="AD25" s="533" t="str">
        <f t="shared" si="7"/>
        <v/>
      </c>
      <c r="AE25" s="533" t="str">
        <f t="shared" si="8"/>
        <v/>
      </c>
      <c r="AF25" s="533" t="str">
        <f t="shared" si="9"/>
        <v/>
      </c>
      <c r="AG25" s="513"/>
      <c r="AH25" s="513"/>
      <c r="AI25" s="513"/>
      <c r="AJ25" s="513"/>
      <c r="AK25" s="513"/>
      <c r="AL25" s="513"/>
      <c r="AM25" s="514"/>
      <c r="AN25" s="514"/>
      <c r="AO25" s="513"/>
      <c r="AP25" s="302" t="e">
        <f t="shared" si="10"/>
        <v>#DIV/0!</v>
      </c>
      <c r="AQ25" s="303" t="e">
        <f>IF(AP25&gt;KKM!$G$10,"A",IF(AP25&gt;KKM!$H$10,"B",IF(AP25&gt;=KKM!$I$10,"C","D")))</f>
        <v>#DIV/0!</v>
      </c>
      <c r="AR25" s="304">
        <f t="shared" si="0"/>
        <v>0</v>
      </c>
      <c r="AS25" s="309" t="str">
        <f>IF(AR25&gt;KKM!$G$10," sangat baik ",IF(AR25&gt;KKM!$H$10," baik ",IF(AR25&gt;=KKM!$I$10," cukup baik "," perlu bimbingan ")))</f>
        <v xml:space="preserve"> perlu bimbingan </v>
      </c>
      <c r="AT25" s="305">
        <f t="shared" si="1"/>
        <v>0</v>
      </c>
      <c r="AU25" s="309" t="str">
        <f>IF(AT25&gt;KKM!$G$10," sangat baik ",IF(AT25&gt;KKM!$H$10," baik ",IF(AT25&gt;=KKM!$I$10," cukup baik "," perlu bimbingan ")))</f>
        <v xml:space="preserve"> perlu bimbingan </v>
      </c>
      <c r="AV25" s="301" t="str">
        <f t="shared" si="11"/>
        <v xml:space="preserve"> </v>
      </c>
      <c r="AW25" s="218"/>
      <c r="AX25" s="219" t="e">
        <f t="shared" si="2"/>
        <v>#N/A</v>
      </c>
      <c r="AY25" s="219" t="e">
        <f t="shared" si="3"/>
        <v>#N/A</v>
      </c>
      <c r="AZ25" s="219" t="e">
        <f t="shared" si="12"/>
        <v>#N/A</v>
      </c>
      <c r="BA25" s="219" t="e">
        <f t="shared" si="13"/>
        <v>#N/A</v>
      </c>
      <c r="BB25" s="220" t="e">
        <f t="shared" si="14"/>
        <v>#N/A</v>
      </c>
      <c r="BC25" s="214" t="e">
        <f t="shared" si="4"/>
        <v>#N/A</v>
      </c>
      <c r="BD25" s="120"/>
      <c r="BN25" s="408" t="str">
        <f t="shared" si="15"/>
        <v/>
      </c>
    </row>
    <row r="26" spans="2:66" ht="65.25" customHeight="1">
      <c r="B26" s="109">
        <v>22</v>
      </c>
      <c r="C26" s="110">
        <f>SISWA!B27</f>
        <v>0</v>
      </c>
      <c r="D26" s="111" t="str">
        <f>SISWA!E27</f>
        <v>Anak 22</v>
      </c>
      <c r="E26" s="520"/>
      <c r="F26" s="520"/>
      <c r="G26" s="520"/>
      <c r="H26" s="520"/>
      <c r="I26" s="520"/>
      <c r="J26" s="520"/>
      <c r="K26" s="520"/>
      <c r="L26" s="520"/>
      <c r="M26" s="520"/>
      <c r="N26" s="520"/>
      <c r="O26" s="520"/>
      <c r="P26" s="520"/>
      <c r="Q26" s="520"/>
      <c r="R26" s="520"/>
      <c r="S26" s="520"/>
      <c r="T26" s="520"/>
      <c r="U26" s="520"/>
      <c r="V26" s="520"/>
      <c r="W26" s="520"/>
      <c r="X26" s="520"/>
      <c r="Y26" s="520"/>
      <c r="Z26" s="533" t="str">
        <f t="shared" si="5"/>
        <v/>
      </c>
      <c r="AA26" s="533" t="str">
        <f t="shared" si="17"/>
        <v/>
      </c>
      <c r="AB26" s="533" t="str">
        <f t="shared" si="6"/>
        <v/>
      </c>
      <c r="AC26" s="533" t="str">
        <f t="shared" si="16"/>
        <v/>
      </c>
      <c r="AD26" s="533" t="str">
        <f t="shared" si="7"/>
        <v/>
      </c>
      <c r="AE26" s="533" t="str">
        <f t="shared" si="8"/>
        <v/>
      </c>
      <c r="AF26" s="533" t="str">
        <f t="shared" si="9"/>
        <v/>
      </c>
      <c r="AG26" s="513"/>
      <c r="AH26" s="513"/>
      <c r="AI26" s="513"/>
      <c r="AJ26" s="513"/>
      <c r="AK26" s="513"/>
      <c r="AL26" s="513"/>
      <c r="AM26" s="514"/>
      <c r="AN26" s="514"/>
      <c r="AO26" s="513"/>
      <c r="AP26" s="302" t="e">
        <f t="shared" si="10"/>
        <v>#DIV/0!</v>
      </c>
      <c r="AQ26" s="303" t="e">
        <f>IF(AP26&gt;KKM!$G$10,"A",IF(AP26&gt;KKM!$H$10,"B",IF(AP26&gt;=KKM!$I$10,"C","D")))</f>
        <v>#DIV/0!</v>
      </c>
      <c r="AR26" s="304">
        <f t="shared" si="0"/>
        <v>0</v>
      </c>
      <c r="AS26" s="309" t="str">
        <f>IF(AR26&gt;KKM!$G$10," sangat baik ",IF(AR26&gt;KKM!$H$10," baik ",IF(AR26&gt;=KKM!$I$10," cukup baik "," perlu bimbingan ")))</f>
        <v xml:space="preserve"> perlu bimbingan </v>
      </c>
      <c r="AT26" s="305">
        <f t="shared" si="1"/>
        <v>0</v>
      </c>
      <c r="AU26" s="309" t="str">
        <f>IF(AT26&gt;KKM!$G$10," sangat baik ",IF(AT26&gt;KKM!$H$10," baik ",IF(AT26&gt;=KKM!$I$10," cukup baik "," perlu bimbingan ")))</f>
        <v xml:space="preserve"> perlu bimbingan </v>
      </c>
      <c r="AV26" s="301" t="str">
        <f t="shared" si="11"/>
        <v xml:space="preserve"> </v>
      </c>
      <c r="AW26" s="218"/>
      <c r="AX26" s="219" t="e">
        <f t="shared" si="2"/>
        <v>#N/A</v>
      </c>
      <c r="AY26" s="219" t="e">
        <f t="shared" si="3"/>
        <v>#N/A</v>
      </c>
      <c r="AZ26" s="219" t="e">
        <f t="shared" si="12"/>
        <v>#N/A</v>
      </c>
      <c r="BA26" s="219" t="e">
        <f t="shared" si="13"/>
        <v>#N/A</v>
      </c>
      <c r="BB26" s="220" t="e">
        <f t="shared" si="14"/>
        <v>#N/A</v>
      </c>
      <c r="BC26" s="214" t="e">
        <f t="shared" si="4"/>
        <v>#N/A</v>
      </c>
      <c r="BD26" s="120"/>
      <c r="BN26" s="408" t="str">
        <f t="shared" si="15"/>
        <v/>
      </c>
    </row>
    <row r="27" spans="2:66" ht="65.25" customHeight="1">
      <c r="B27" s="109">
        <v>23</v>
      </c>
      <c r="C27" s="110">
        <f>SISWA!B28</f>
        <v>0</v>
      </c>
      <c r="D27" s="111" t="str">
        <f>SISWA!E28</f>
        <v>Anak 23</v>
      </c>
      <c r="E27" s="520"/>
      <c r="F27" s="520"/>
      <c r="G27" s="520"/>
      <c r="H27" s="520"/>
      <c r="I27" s="520"/>
      <c r="J27" s="520"/>
      <c r="K27" s="520"/>
      <c r="L27" s="520"/>
      <c r="M27" s="520"/>
      <c r="N27" s="520"/>
      <c r="O27" s="520"/>
      <c r="P27" s="520"/>
      <c r="Q27" s="520"/>
      <c r="R27" s="520"/>
      <c r="S27" s="520"/>
      <c r="T27" s="520"/>
      <c r="U27" s="520"/>
      <c r="V27" s="520"/>
      <c r="W27" s="520"/>
      <c r="X27" s="520"/>
      <c r="Y27" s="520"/>
      <c r="Z27" s="533" t="str">
        <f t="shared" si="5"/>
        <v/>
      </c>
      <c r="AA27" s="533" t="str">
        <f t="shared" si="17"/>
        <v/>
      </c>
      <c r="AB27" s="533" t="str">
        <f t="shared" si="6"/>
        <v/>
      </c>
      <c r="AC27" s="533" t="str">
        <f t="shared" si="16"/>
        <v/>
      </c>
      <c r="AD27" s="533" t="str">
        <f t="shared" si="7"/>
        <v/>
      </c>
      <c r="AE27" s="533" t="str">
        <f t="shared" si="8"/>
        <v/>
      </c>
      <c r="AF27" s="533" t="str">
        <f t="shared" si="9"/>
        <v/>
      </c>
      <c r="AG27" s="513"/>
      <c r="AH27" s="513"/>
      <c r="AI27" s="513"/>
      <c r="AJ27" s="513"/>
      <c r="AK27" s="513"/>
      <c r="AL27" s="513"/>
      <c r="AM27" s="514"/>
      <c r="AN27" s="514"/>
      <c r="AO27" s="513"/>
      <c r="AP27" s="302" t="e">
        <f t="shared" si="10"/>
        <v>#DIV/0!</v>
      </c>
      <c r="AQ27" s="303" t="e">
        <f>IF(AP27&gt;KKM!$G$10,"A",IF(AP27&gt;KKM!$H$10,"B",IF(AP27&gt;=KKM!$I$10,"C","D")))</f>
        <v>#DIV/0!</v>
      </c>
      <c r="AR27" s="304">
        <f t="shared" si="0"/>
        <v>0</v>
      </c>
      <c r="AS27" s="309" t="str">
        <f>IF(AR27&gt;KKM!$G$10," sangat baik ",IF(AR27&gt;KKM!$H$10," baik ",IF(AR27&gt;=KKM!$I$10," cukup baik "," perlu bimbingan ")))</f>
        <v xml:space="preserve"> perlu bimbingan </v>
      </c>
      <c r="AT27" s="305">
        <f t="shared" si="1"/>
        <v>0</v>
      </c>
      <c r="AU27" s="309" t="str">
        <f>IF(AT27&gt;KKM!$G$10," sangat baik ",IF(AT27&gt;KKM!$H$10," baik ",IF(AT27&gt;=KKM!$I$10," cukup baik "," perlu bimbingan ")))</f>
        <v xml:space="preserve"> perlu bimbingan </v>
      </c>
      <c r="AV27" s="301" t="str">
        <f t="shared" si="11"/>
        <v xml:space="preserve"> </v>
      </c>
      <c r="AW27" s="218"/>
      <c r="AX27" s="219" t="e">
        <f t="shared" si="2"/>
        <v>#N/A</v>
      </c>
      <c r="AY27" s="219" t="e">
        <f t="shared" si="3"/>
        <v>#N/A</v>
      </c>
      <c r="AZ27" s="219" t="e">
        <f t="shared" si="12"/>
        <v>#N/A</v>
      </c>
      <c r="BA27" s="219" t="e">
        <f t="shared" si="13"/>
        <v>#N/A</v>
      </c>
      <c r="BB27" s="220" t="e">
        <f t="shared" si="14"/>
        <v>#N/A</v>
      </c>
      <c r="BC27" s="214" t="e">
        <f t="shared" si="4"/>
        <v>#N/A</v>
      </c>
      <c r="BD27" s="120"/>
      <c r="BN27" s="408" t="str">
        <f t="shared" si="15"/>
        <v/>
      </c>
    </row>
    <row r="28" spans="2:66" ht="65.25" customHeight="1">
      <c r="B28" s="109">
        <v>24</v>
      </c>
      <c r="C28" s="110">
        <f>SISWA!B29</f>
        <v>0</v>
      </c>
      <c r="D28" s="111" t="str">
        <f>SISWA!E29</f>
        <v>Anak 24</v>
      </c>
      <c r="E28" s="520"/>
      <c r="F28" s="520"/>
      <c r="G28" s="520"/>
      <c r="H28" s="520"/>
      <c r="I28" s="520"/>
      <c r="J28" s="520"/>
      <c r="K28" s="520"/>
      <c r="L28" s="520"/>
      <c r="M28" s="520"/>
      <c r="N28" s="520"/>
      <c r="O28" s="520"/>
      <c r="P28" s="520"/>
      <c r="Q28" s="520"/>
      <c r="R28" s="520"/>
      <c r="S28" s="520"/>
      <c r="T28" s="520"/>
      <c r="U28" s="520"/>
      <c r="V28" s="520"/>
      <c r="W28" s="520"/>
      <c r="X28" s="520"/>
      <c r="Y28" s="520"/>
      <c r="Z28" s="533" t="str">
        <f t="shared" si="5"/>
        <v/>
      </c>
      <c r="AA28" s="533" t="str">
        <f t="shared" si="17"/>
        <v/>
      </c>
      <c r="AB28" s="533" t="str">
        <f t="shared" si="6"/>
        <v/>
      </c>
      <c r="AC28" s="533" t="str">
        <f t="shared" si="16"/>
        <v/>
      </c>
      <c r="AD28" s="533" t="str">
        <f t="shared" si="7"/>
        <v/>
      </c>
      <c r="AE28" s="533" t="str">
        <f t="shared" si="8"/>
        <v/>
      </c>
      <c r="AF28" s="533" t="str">
        <f t="shared" si="9"/>
        <v/>
      </c>
      <c r="AG28" s="513"/>
      <c r="AH28" s="513"/>
      <c r="AI28" s="513"/>
      <c r="AJ28" s="513"/>
      <c r="AK28" s="513"/>
      <c r="AL28" s="513"/>
      <c r="AM28" s="514"/>
      <c r="AN28" s="514"/>
      <c r="AO28" s="513"/>
      <c r="AP28" s="302" t="e">
        <f t="shared" si="10"/>
        <v>#DIV/0!</v>
      </c>
      <c r="AQ28" s="303" t="e">
        <f>IF(AP28&gt;KKM!$G$10,"A",IF(AP28&gt;KKM!$H$10,"B",IF(AP28&gt;=KKM!$I$10,"C","D")))</f>
        <v>#DIV/0!</v>
      </c>
      <c r="AR28" s="304">
        <f t="shared" si="0"/>
        <v>0</v>
      </c>
      <c r="AS28" s="309" t="str">
        <f>IF(AR28&gt;KKM!$G$10," sangat baik ",IF(AR28&gt;KKM!$H$10," baik ",IF(AR28&gt;=KKM!$I$10," cukup baik "," perlu bimbingan ")))</f>
        <v xml:space="preserve"> perlu bimbingan </v>
      </c>
      <c r="AT28" s="305">
        <f t="shared" si="1"/>
        <v>0</v>
      </c>
      <c r="AU28" s="309" t="str">
        <f>IF(AT28&gt;KKM!$G$10," sangat baik ",IF(AT28&gt;KKM!$H$10," baik ",IF(AT28&gt;=KKM!$I$10," cukup baik "," perlu bimbingan ")))</f>
        <v xml:space="preserve"> perlu bimbingan </v>
      </c>
      <c r="AV28" s="301" t="str">
        <f t="shared" si="11"/>
        <v xml:space="preserve"> </v>
      </c>
      <c r="AW28" s="218"/>
      <c r="AX28" s="219" t="e">
        <f t="shared" si="2"/>
        <v>#N/A</v>
      </c>
      <c r="AY28" s="219" t="e">
        <f t="shared" si="3"/>
        <v>#N/A</v>
      </c>
      <c r="AZ28" s="219" t="e">
        <f t="shared" si="12"/>
        <v>#N/A</v>
      </c>
      <c r="BA28" s="219" t="e">
        <f t="shared" si="13"/>
        <v>#N/A</v>
      </c>
      <c r="BB28" s="220" t="e">
        <f t="shared" si="14"/>
        <v>#N/A</v>
      </c>
      <c r="BC28" s="214" t="e">
        <f t="shared" si="4"/>
        <v>#N/A</v>
      </c>
      <c r="BD28" s="120"/>
      <c r="BN28" s="408" t="str">
        <f t="shared" si="15"/>
        <v/>
      </c>
    </row>
    <row r="29" spans="2:66" ht="65.25" customHeight="1">
      <c r="B29" s="109">
        <v>25</v>
      </c>
      <c r="C29" s="110">
        <f>SISWA!B30</f>
        <v>0</v>
      </c>
      <c r="D29" s="111" t="str">
        <f>SISWA!E30</f>
        <v>Anak 25</v>
      </c>
      <c r="E29" s="520"/>
      <c r="F29" s="520"/>
      <c r="G29" s="520"/>
      <c r="H29" s="520"/>
      <c r="I29" s="520"/>
      <c r="J29" s="520"/>
      <c r="K29" s="520"/>
      <c r="L29" s="520"/>
      <c r="M29" s="520"/>
      <c r="N29" s="520"/>
      <c r="O29" s="520"/>
      <c r="P29" s="520"/>
      <c r="Q29" s="520"/>
      <c r="R29" s="520"/>
      <c r="S29" s="520"/>
      <c r="T29" s="520"/>
      <c r="U29" s="520"/>
      <c r="V29" s="520"/>
      <c r="W29" s="520"/>
      <c r="X29" s="520"/>
      <c r="Y29" s="520"/>
      <c r="Z29" s="533" t="str">
        <f t="shared" si="5"/>
        <v/>
      </c>
      <c r="AA29" s="533" t="str">
        <f t="shared" si="17"/>
        <v/>
      </c>
      <c r="AB29" s="533" t="str">
        <f t="shared" si="6"/>
        <v/>
      </c>
      <c r="AC29" s="533" t="str">
        <f t="shared" si="16"/>
        <v/>
      </c>
      <c r="AD29" s="533" t="str">
        <f t="shared" si="7"/>
        <v/>
      </c>
      <c r="AE29" s="533" t="str">
        <f t="shared" si="8"/>
        <v/>
      </c>
      <c r="AF29" s="533" t="str">
        <f t="shared" si="9"/>
        <v/>
      </c>
      <c r="AG29" s="513"/>
      <c r="AH29" s="513"/>
      <c r="AI29" s="513"/>
      <c r="AJ29" s="513"/>
      <c r="AK29" s="513"/>
      <c r="AL29" s="513"/>
      <c r="AM29" s="514"/>
      <c r="AN29" s="514"/>
      <c r="AO29" s="513"/>
      <c r="AP29" s="302" t="e">
        <f t="shared" si="10"/>
        <v>#DIV/0!</v>
      </c>
      <c r="AQ29" s="303" t="e">
        <f>IF(AP29&gt;KKM!$G$10,"A",IF(AP29&gt;KKM!$H$10,"B",IF(AP29&gt;=KKM!$I$10,"C","D")))</f>
        <v>#DIV/0!</v>
      </c>
      <c r="AR29" s="304">
        <f t="shared" si="0"/>
        <v>0</v>
      </c>
      <c r="AS29" s="309" t="str">
        <f>IF(AR29&gt;KKM!$G$10," sangat baik ",IF(AR29&gt;KKM!$H$10," baik ",IF(AR29&gt;=KKM!$I$10," cukup baik "," perlu bimbingan ")))</f>
        <v xml:space="preserve"> perlu bimbingan </v>
      </c>
      <c r="AT29" s="305">
        <f t="shared" si="1"/>
        <v>0</v>
      </c>
      <c r="AU29" s="309" t="str">
        <f>IF(AT29&gt;KKM!$G$10," sangat baik ",IF(AT29&gt;KKM!$H$10," baik ",IF(AT29&gt;=KKM!$I$10," cukup baik "," perlu bimbingan ")))</f>
        <v xml:space="preserve"> perlu bimbingan </v>
      </c>
      <c r="AV29" s="301" t="str">
        <f t="shared" si="11"/>
        <v xml:space="preserve"> </v>
      </c>
      <c r="AW29" s="218"/>
      <c r="AX29" s="219" t="e">
        <f t="shared" si="2"/>
        <v>#N/A</v>
      </c>
      <c r="AY29" s="219" t="e">
        <f t="shared" si="3"/>
        <v>#N/A</v>
      </c>
      <c r="AZ29" s="219" t="e">
        <f t="shared" si="12"/>
        <v>#N/A</v>
      </c>
      <c r="BA29" s="219" t="e">
        <f t="shared" si="13"/>
        <v>#N/A</v>
      </c>
      <c r="BB29" s="220" t="e">
        <f t="shared" si="14"/>
        <v>#N/A</v>
      </c>
      <c r="BC29" s="214" t="e">
        <f t="shared" si="4"/>
        <v>#N/A</v>
      </c>
      <c r="BD29" s="120"/>
      <c r="BN29" s="408" t="str">
        <f t="shared" si="15"/>
        <v/>
      </c>
    </row>
    <row r="30" spans="2:66" ht="65.25" customHeight="1">
      <c r="B30" s="109">
        <v>26</v>
      </c>
      <c r="C30" s="110">
        <f>SISWA!B31</f>
        <v>0</v>
      </c>
      <c r="D30" s="111" t="str">
        <f>SISWA!E31</f>
        <v>Anak 26</v>
      </c>
      <c r="E30" s="520"/>
      <c r="F30" s="520"/>
      <c r="G30" s="520"/>
      <c r="H30" s="520"/>
      <c r="I30" s="520"/>
      <c r="J30" s="520"/>
      <c r="K30" s="520"/>
      <c r="L30" s="520"/>
      <c r="M30" s="520"/>
      <c r="N30" s="520"/>
      <c r="O30" s="520"/>
      <c r="P30" s="520"/>
      <c r="Q30" s="520"/>
      <c r="R30" s="520"/>
      <c r="S30" s="520"/>
      <c r="T30" s="520"/>
      <c r="U30" s="520"/>
      <c r="V30" s="520"/>
      <c r="W30" s="520"/>
      <c r="X30" s="520"/>
      <c r="Y30" s="520"/>
      <c r="Z30" s="533" t="str">
        <f t="shared" si="5"/>
        <v/>
      </c>
      <c r="AA30" s="533" t="str">
        <f t="shared" si="17"/>
        <v/>
      </c>
      <c r="AB30" s="533" t="str">
        <f t="shared" si="6"/>
        <v/>
      </c>
      <c r="AC30" s="533" t="str">
        <f t="shared" si="16"/>
        <v/>
      </c>
      <c r="AD30" s="533" t="str">
        <f t="shared" si="7"/>
        <v/>
      </c>
      <c r="AE30" s="533" t="str">
        <f t="shared" si="8"/>
        <v/>
      </c>
      <c r="AF30" s="533" t="str">
        <f t="shared" si="9"/>
        <v/>
      </c>
      <c r="AG30" s="513"/>
      <c r="AH30" s="513"/>
      <c r="AI30" s="513"/>
      <c r="AJ30" s="513"/>
      <c r="AK30" s="513"/>
      <c r="AL30" s="513"/>
      <c r="AM30" s="514"/>
      <c r="AN30" s="514"/>
      <c r="AO30" s="513"/>
      <c r="AP30" s="302" t="e">
        <f t="shared" si="10"/>
        <v>#DIV/0!</v>
      </c>
      <c r="AQ30" s="303" t="e">
        <f>IF(AP30&gt;KKM!$G$10,"A",IF(AP30&gt;KKM!$H$10,"B",IF(AP30&gt;=KKM!$I$10,"C","D")))</f>
        <v>#DIV/0!</v>
      </c>
      <c r="AR30" s="304">
        <f t="shared" si="0"/>
        <v>0</v>
      </c>
      <c r="AS30" s="309" t="str">
        <f>IF(AR30&gt;KKM!$G$10," sangat baik ",IF(AR30&gt;KKM!$H$10," baik ",IF(AR30&gt;=KKM!$I$10," cukup baik "," perlu bimbingan ")))</f>
        <v xml:space="preserve"> perlu bimbingan </v>
      </c>
      <c r="AT30" s="305">
        <f t="shared" si="1"/>
        <v>0</v>
      </c>
      <c r="AU30" s="309" t="str">
        <f>IF(AT30&gt;KKM!$G$10," sangat baik ",IF(AT30&gt;KKM!$H$10," baik ",IF(AT30&gt;=KKM!$I$10," cukup baik "," perlu bimbingan ")))</f>
        <v xml:space="preserve"> perlu bimbingan </v>
      </c>
      <c r="AV30" s="301" t="str">
        <f t="shared" si="11"/>
        <v xml:space="preserve"> </v>
      </c>
      <c r="AW30" s="218"/>
      <c r="AX30" s="219" t="e">
        <f t="shared" si="2"/>
        <v>#N/A</v>
      </c>
      <c r="AY30" s="219" t="e">
        <f t="shared" si="3"/>
        <v>#N/A</v>
      </c>
      <c r="AZ30" s="219" t="e">
        <f t="shared" si="12"/>
        <v>#N/A</v>
      </c>
      <c r="BA30" s="219" t="e">
        <f t="shared" si="13"/>
        <v>#N/A</v>
      </c>
      <c r="BB30" s="220" t="e">
        <f t="shared" si="14"/>
        <v>#N/A</v>
      </c>
      <c r="BC30" s="214" t="e">
        <f t="shared" si="4"/>
        <v>#N/A</v>
      </c>
      <c r="BD30" s="120"/>
      <c r="BN30" s="408" t="str">
        <f t="shared" si="15"/>
        <v/>
      </c>
    </row>
    <row r="31" spans="2:66" ht="65.25" customHeight="1">
      <c r="B31" s="109">
        <v>27</v>
      </c>
      <c r="C31" s="110">
        <f>SISWA!B32</f>
        <v>0</v>
      </c>
      <c r="D31" s="111" t="str">
        <f>SISWA!E32</f>
        <v>Anak 27</v>
      </c>
      <c r="E31" s="520"/>
      <c r="F31" s="520"/>
      <c r="G31" s="520"/>
      <c r="H31" s="520"/>
      <c r="I31" s="520"/>
      <c r="J31" s="520"/>
      <c r="K31" s="520"/>
      <c r="L31" s="520"/>
      <c r="M31" s="520"/>
      <c r="N31" s="520"/>
      <c r="O31" s="520"/>
      <c r="P31" s="520"/>
      <c r="Q31" s="520"/>
      <c r="R31" s="520"/>
      <c r="S31" s="520"/>
      <c r="T31" s="520"/>
      <c r="U31" s="520"/>
      <c r="V31" s="520"/>
      <c r="W31" s="520"/>
      <c r="X31" s="520"/>
      <c r="Y31" s="520"/>
      <c r="Z31" s="533" t="str">
        <f t="shared" si="5"/>
        <v/>
      </c>
      <c r="AA31" s="533" t="str">
        <f t="shared" si="17"/>
        <v/>
      </c>
      <c r="AB31" s="533" t="str">
        <f t="shared" si="6"/>
        <v/>
      </c>
      <c r="AC31" s="533" t="str">
        <f t="shared" si="16"/>
        <v/>
      </c>
      <c r="AD31" s="533" t="str">
        <f t="shared" si="7"/>
        <v/>
      </c>
      <c r="AE31" s="533" t="str">
        <f t="shared" si="8"/>
        <v/>
      </c>
      <c r="AF31" s="533" t="str">
        <f t="shared" si="9"/>
        <v/>
      </c>
      <c r="AG31" s="513"/>
      <c r="AH31" s="513"/>
      <c r="AI31" s="513"/>
      <c r="AJ31" s="513"/>
      <c r="AK31" s="513"/>
      <c r="AL31" s="513"/>
      <c r="AM31" s="514"/>
      <c r="AN31" s="514"/>
      <c r="AO31" s="513"/>
      <c r="AP31" s="302" t="e">
        <f t="shared" si="10"/>
        <v>#DIV/0!</v>
      </c>
      <c r="AQ31" s="303" t="e">
        <f>IF(AP31&gt;KKM!$G$10,"A",IF(AP31&gt;KKM!$H$10,"B",IF(AP31&gt;=KKM!$I$10,"C","D")))</f>
        <v>#DIV/0!</v>
      </c>
      <c r="AR31" s="304">
        <f t="shared" si="0"/>
        <v>0</v>
      </c>
      <c r="AS31" s="309" t="str">
        <f>IF(AR31&gt;KKM!$G$10," sangat baik ",IF(AR31&gt;KKM!$H$10," baik ",IF(AR31&gt;=KKM!$I$10," cukup baik "," perlu bimbingan ")))</f>
        <v xml:space="preserve"> perlu bimbingan </v>
      </c>
      <c r="AT31" s="305">
        <f t="shared" si="1"/>
        <v>0</v>
      </c>
      <c r="AU31" s="309" t="str">
        <f>IF(AT31&gt;KKM!$G$10," sangat baik ",IF(AT31&gt;KKM!$H$10," baik ",IF(AT31&gt;=KKM!$I$10," cukup baik "," perlu bimbingan ")))</f>
        <v xml:space="preserve"> perlu bimbingan </v>
      </c>
      <c r="AV31" s="301" t="str">
        <f t="shared" si="11"/>
        <v xml:space="preserve"> </v>
      </c>
      <c r="AW31" s="218"/>
      <c r="AX31" s="219" t="e">
        <f t="shared" si="2"/>
        <v>#N/A</v>
      </c>
      <c r="AY31" s="219" t="e">
        <f t="shared" si="3"/>
        <v>#N/A</v>
      </c>
      <c r="AZ31" s="219" t="e">
        <f t="shared" si="12"/>
        <v>#N/A</v>
      </c>
      <c r="BA31" s="219" t="e">
        <f t="shared" si="13"/>
        <v>#N/A</v>
      </c>
      <c r="BB31" s="220" t="e">
        <f t="shared" si="14"/>
        <v>#N/A</v>
      </c>
      <c r="BC31" s="214" t="e">
        <f t="shared" si="4"/>
        <v>#N/A</v>
      </c>
      <c r="BD31" s="120"/>
      <c r="BN31" s="408" t="str">
        <f t="shared" si="15"/>
        <v/>
      </c>
    </row>
    <row r="32" spans="2:66" ht="65.25" customHeight="1">
      <c r="B32" s="109">
        <v>28</v>
      </c>
      <c r="C32" s="110">
        <f>SISWA!B33</f>
        <v>0</v>
      </c>
      <c r="D32" s="111" t="str">
        <f>SISWA!E33</f>
        <v>Anak 28</v>
      </c>
      <c r="E32" s="520"/>
      <c r="F32" s="520"/>
      <c r="G32" s="520"/>
      <c r="H32" s="520"/>
      <c r="I32" s="520"/>
      <c r="J32" s="520"/>
      <c r="K32" s="520"/>
      <c r="L32" s="520"/>
      <c r="M32" s="520"/>
      <c r="N32" s="520"/>
      <c r="O32" s="520"/>
      <c r="P32" s="520"/>
      <c r="Q32" s="520"/>
      <c r="R32" s="520"/>
      <c r="S32" s="520"/>
      <c r="T32" s="520"/>
      <c r="U32" s="520"/>
      <c r="V32" s="520"/>
      <c r="W32" s="520"/>
      <c r="X32" s="520"/>
      <c r="Y32" s="520"/>
      <c r="Z32" s="533" t="str">
        <f t="shared" si="5"/>
        <v/>
      </c>
      <c r="AA32" s="533" t="str">
        <f t="shared" si="17"/>
        <v/>
      </c>
      <c r="AB32" s="533" t="str">
        <f t="shared" si="6"/>
        <v/>
      </c>
      <c r="AC32" s="533" t="str">
        <f t="shared" si="16"/>
        <v/>
      </c>
      <c r="AD32" s="533" t="str">
        <f t="shared" si="7"/>
        <v/>
      </c>
      <c r="AE32" s="533" t="str">
        <f t="shared" si="8"/>
        <v/>
      </c>
      <c r="AF32" s="533" t="str">
        <f t="shared" si="9"/>
        <v/>
      </c>
      <c r="AG32" s="513"/>
      <c r="AH32" s="513"/>
      <c r="AI32" s="513"/>
      <c r="AJ32" s="513"/>
      <c r="AK32" s="513"/>
      <c r="AL32" s="513"/>
      <c r="AM32" s="514"/>
      <c r="AN32" s="514"/>
      <c r="AO32" s="513"/>
      <c r="AP32" s="302" t="e">
        <f t="shared" si="10"/>
        <v>#DIV/0!</v>
      </c>
      <c r="AQ32" s="303" t="e">
        <f>IF(AP32&gt;KKM!$G$10,"A",IF(AP32&gt;KKM!$H$10,"B",IF(AP32&gt;=KKM!$I$10,"C","D")))</f>
        <v>#DIV/0!</v>
      </c>
      <c r="AR32" s="304">
        <f t="shared" si="0"/>
        <v>0</v>
      </c>
      <c r="AS32" s="309" t="str">
        <f>IF(AR32&gt;KKM!$G$10," sangat baik ",IF(AR32&gt;KKM!$H$10," baik ",IF(AR32&gt;=KKM!$I$10," cukup baik "," perlu bimbingan ")))</f>
        <v xml:space="preserve"> perlu bimbingan </v>
      </c>
      <c r="AT32" s="305">
        <f t="shared" si="1"/>
        <v>0</v>
      </c>
      <c r="AU32" s="309" t="str">
        <f>IF(AT32&gt;KKM!$G$10," sangat baik ",IF(AT32&gt;KKM!$H$10," baik ",IF(AT32&gt;=KKM!$I$10," cukup baik "," perlu bimbingan ")))</f>
        <v xml:space="preserve"> perlu bimbingan </v>
      </c>
      <c r="AV32" s="301" t="str">
        <f t="shared" si="11"/>
        <v xml:space="preserve"> </v>
      </c>
      <c r="AW32" s="218"/>
      <c r="AX32" s="219" t="e">
        <f t="shared" si="2"/>
        <v>#N/A</v>
      </c>
      <c r="AY32" s="219" t="e">
        <f t="shared" si="3"/>
        <v>#N/A</v>
      </c>
      <c r="AZ32" s="219" t="e">
        <f t="shared" si="12"/>
        <v>#N/A</v>
      </c>
      <c r="BA32" s="219" t="e">
        <f t="shared" si="13"/>
        <v>#N/A</v>
      </c>
      <c r="BB32" s="220" t="e">
        <f t="shared" si="14"/>
        <v>#N/A</v>
      </c>
      <c r="BC32" s="214" t="e">
        <f t="shared" si="4"/>
        <v>#N/A</v>
      </c>
      <c r="BD32" s="120"/>
      <c r="BN32" s="408" t="str">
        <f t="shared" si="15"/>
        <v/>
      </c>
    </row>
    <row r="33" spans="2:66" ht="65.25" customHeight="1">
      <c r="B33" s="109">
        <v>29</v>
      </c>
      <c r="C33" s="110">
        <f>SISWA!B34</f>
        <v>0</v>
      </c>
      <c r="D33" s="111" t="str">
        <f>SISWA!E34</f>
        <v>Anak 29</v>
      </c>
      <c r="E33" s="520"/>
      <c r="F33" s="520"/>
      <c r="G33" s="520"/>
      <c r="H33" s="520"/>
      <c r="I33" s="520"/>
      <c r="J33" s="520"/>
      <c r="K33" s="520"/>
      <c r="L33" s="520"/>
      <c r="M33" s="520"/>
      <c r="N33" s="520"/>
      <c r="O33" s="520"/>
      <c r="P33" s="520"/>
      <c r="Q33" s="520"/>
      <c r="R33" s="520"/>
      <c r="S33" s="520"/>
      <c r="T33" s="520"/>
      <c r="U33" s="520"/>
      <c r="V33" s="520"/>
      <c r="W33" s="520"/>
      <c r="X33" s="520"/>
      <c r="Y33" s="520"/>
      <c r="Z33" s="533" t="str">
        <f t="shared" si="5"/>
        <v/>
      </c>
      <c r="AA33" s="533" t="str">
        <f t="shared" si="17"/>
        <v/>
      </c>
      <c r="AB33" s="533" t="str">
        <f t="shared" si="6"/>
        <v/>
      </c>
      <c r="AC33" s="533" t="str">
        <f t="shared" si="16"/>
        <v/>
      </c>
      <c r="AD33" s="533" t="str">
        <f t="shared" si="7"/>
        <v/>
      </c>
      <c r="AE33" s="533" t="str">
        <f t="shared" si="8"/>
        <v/>
      </c>
      <c r="AF33" s="533" t="str">
        <f t="shared" si="9"/>
        <v/>
      </c>
      <c r="AG33" s="513"/>
      <c r="AH33" s="513"/>
      <c r="AI33" s="513"/>
      <c r="AJ33" s="513"/>
      <c r="AK33" s="513"/>
      <c r="AL33" s="513"/>
      <c r="AM33" s="514"/>
      <c r="AN33" s="514"/>
      <c r="AO33" s="513"/>
      <c r="AP33" s="302" t="e">
        <f t="shared" si="10"/>
        <v>#DIV/0!</v>
      </c>
      <c r="AQ33" s="303" t="e">
        <f>IF(AP33&gt;KKM!$G$10,"A",IF(AP33&gt;KKM!$H$10,"B",IF(AP33&gt;=KKM!$I$10,"C","D")))</f>
        <v>#DIV/0!</v>
      </c>
      <c r="AR33" s="304">
        <f t="shared" si="0"/>
        <v>0</v>
      </c>
      <c r="AS33" s="309" t="str">
        <f>IF(AR33&gt;KKM!$G$10," sangat baik ",IF(AR33&gt;KKM!$H$10," baik ",IF(AR33&gt;=KKM!$I$10," cukup baik "," perlu bimbingan ")))</f>
        <v xml:space="preserve"> perlu bimbingan </v>
      </c>
      <c r="AT33" s="305">
        <f t="shared" si="1"/>
        <v>0</v>
      </c>
      <c r="AU33" s="309" t="str">
        <f>IF(AT33&gt;KKM!$G$10," sangat baik ",IF(AT33&gt;KKM!$H$10," baik ",IF(AT33&gt;=KKM!$I$10," cukup baik "," perlu bimbingan ")))</f>
        <v xml:space="preserve"> perlu bimbingan </v>
      </c>
      <c r="AV33" s="301" t="str">
        <f t="shared" si="11"/>
        <v xml:space="preserve"> </v>
      </c>
      <c r="AW33" s="218"/>
      <c r="AX33" s="219" t="e">
        <f t="shared" si="2"/>
        <v>#N/A</v>
      </c>
      <c r="AY33" s="219" t="e">
        <f t="shared" si="3"/>
        <v>#N/A</v>
      </c>
      <c r="AZ33" s="219" t="e">
        <f t="shared" si="12"/>
        <v>#N/A</v>
      </c>
      <c r="BA33" s="219" t="e">
        <f t="shared" si="13"/>
        <v>#N/A</v>
      </c>
      <c r="BB33" s="220" t="e">
        <f t="shared" si="14"/>
        <v>#N/A</v>
      </c>
      <c r="BC33" s="214" t="e">
        <f t="shared" si="4"/>
        <v>#N/A</v>
      </c>
      <c r="BD33" s="120"/>
      <c r="BN33" s="408" t="str">
        <f t="shared" si="15"/>
        <v/>
      </c>
    </row>
    <row r="34" spans="2:66" ht="65.25" customHeight="1">
      <c r="B34" s="109">
        <v>30</v>
      </c>
      <c r="C34" s="110">
        <f>SISWA!B35</f>
        <v>0</v>
      </c>
      <c r="D34" s="111" t="str">
        <f>SISWA!E35</f>
        <v>Anak 30</v>
      </c>
      <c r="E34" s="520"/>
      <c r="F34" s="520"/>
      <c r="G34" s="520"/>
      <c r="H34" s="520"/>
      <c r="I34" s="520"/>
      <c r="J34" s="520"/>
      <c r="K34" s="520"/>
      <c r="L34" s="520"/>
      <c r="M34" s="520"/>
      <c r="N34" s="520"/>
      <c r="O34" s="520"/>
      <c r="P34" s="520"/>
      <c r="Q34" s="520"/>
      <c r="R34" s="520"/>
      <c r="S34" s="520"/>
      <c r="T34" s="520"/>
      <c r="U34" s="520"/>
      <c r="V34" s="520"/>
      <c r="W34" s="520"/>
      <c r="X34" s="520"/>
      <c r="Y34" s="520"/>
      <c r="Z34" s="533" t="str">
        <f t="shared" si="5"/>
        <v/>
      </c>
      <c r="AA34" s="533" t="str">
        <f t="shared" si="17"/>
        <v/>
      </c>
      <c r="AB34" s="533" t="str">
        <f t="shared" si="6"/>
        <v/>
      </c>
      <c r="AC34" s="533" t="str">
        <f t="shared" si="16"/>
        <v/>
      </c>
      <c r="AD34" s="533" t="str">
        <f t="shared" si="7"/>
        <v/>
      </c>
      <c r="AE34" s="533" t="str">
        <f t="shared" si="8"/>
        <v/>
      </c>
      <c r="AF34" s="533" t="str">
        <f t="shared" si="9"/>
        <v/>
      </c>
      <c r="AG34" s="513"/>
      <c r="AH34" s="513"/>
      <c r="AI34" s="513"/>
      <c r="AJ34" s="513"/>
      <c r="AK34" s="513"/>
      <c r="AL34" s="513"/>
      <c r="AM34" s="514"/>
      <c r="AN34" s="514"/>
      <c r="AO34" s="513"/>
      <c r="AP34" s="302" t="e">
        <f t="shared" si="10"/>
        <v>#DIV/0!</v>
      </c>
      <c r="AQ34" s="303" t="e">
        <f>IF(AP34&gt;KKM!$G$10,"A",IF(AP34&gt;KKM!$H$10,"B",IF(AP34&gt;=KKM!$I$10,"C","D")))</f>
        <v>#DIV/0!</v>
      </c>
      <c r="AR34" s="304">
        <f t="shared" si="0"/>
        <v>0</v>
      </c>
      <c r="AS34" s="309" t="str">
        <f>IF(AR34&gt;KKM!$G$10," sangat baik ",IF(AR34&gt;KKM!$H$10," baik ",IF(AR34&gt;=KKM!$I$10," cukup baik "," perlu bimbingan ")))</f>
        <v xml:space="preserve"> perlu bimbingan </v>
      </c>
      <c r="AT34" s="305">
        <f t="shared" si="1"/>
        <v>0</v>
      </c>
      <c r="AU34" s="309" t="str">
        <f>IF(AT34&gt;KKM!$G$10," sangat baik ",IF(AT34&gt;KKM!$H$10," baik ",IF(AT34&gt;=KKM!$I$10," cukup baik "," perlu bimbingan ")))</f>
        <v xml:space="preserve"> perlu bimbingan </v>
      </c>
      <c r="AV34" s="301" t="str">
        <f t="shared" si="11"/>
        <v xml:space="preserve"> </v>
      </c>
      <c r="AW34" s="218"/>
      <c r="AX34" s="219" t="e">
        <f t="shared" si="2"/>
        <v>#N/A</v>
      </c>
      <c r="AY34" s="219" t="e">
        <f t="shared" si="3"/>
        <v>#N/A</v>
      </c>
      <c r="AZ34" s="219" t="e">
        <f t="shared" si="12"/>
        <v>#N/A</v>
      </c>
      <c r="BA34" s="219" t="e">
        <f t="shared" si="13"/>
        <v>#N/A</v>
      </c>
      <c r="BB34" s="220" t="e">
        <f t="shared" si="14"/>
        <v>#N/A</v>
      </c>
      <c r="BC34" s="214" t="e">
        <f t="shared" si="4"/>
        <v>#N/A</v>
      </c>
      <c r="BD34" s="120"/>
      <c r="BN34" s="408" t="str">
        <f t="shared" si="15"/>
        <v/>
      </c>
    </row>
    <row r="35" spans="2:66" ht="65.25" customHeight="1">
      <c r="B35" s="109">
        <v>31</v>
      </c>
      <c r="C35" s="110">
        <f>SISWA!B36</f>
        <v>0</v>
      </c>
      <c r="D35" s="111" t="str">
        <f>SISWA!E36</f>
        <v>Anak 31</v>
      </c>
      <c r="E35" s="520"/>
      <c r="F35" s="520"/>
      <c r="G35" s="520"/>
      <c r="H35" s="520"/>
      <c r="I35" s="520"/>
      <c r="J35" s="520"/>
      <c r="K35" s="520"/>
      <c r="L35" s="520"/>
      <c r="M35" s="520"/>
      <c r="N35" s="520"/>
      <c r="O35" s="520"/>
      <c r="P35" s="520"/>
      <c r="Q35" s="520"/>
      <c r="R35" s="520"/>
      <c r="S35" s="520"/>
      <c r="T35" s="520"/>
      <c r="U35" s="520"/>
      <c r="V35" s="520"/>
      <c r="W35" s="520"/>
      <c r="X35" s="520"/>
      <c r="Y35" s="520"/>
      <c r="Z35" s="533" t="str">
        <f t="shared" si="5"/>
        <v/>
      </c>
      <c r="AA35" s="533" t="str">
        <f t="shared" si="17"/>
        <v/>
      </c>
      <c r="AB35" s="533" t="str">
        <f t="shared" si="6"/>
        <v/>
      </c>
      <c r="AC35" s="533" t="str">
        <f t="shared" si="16"/>
        <v/>
      </c>
      <c r="AD35" s="533" t="str">
        <f t="shared" si="7"/>
        <v/>
      </c>
      <c r="AE35" s="533" t="str">
        <f t="shared" si="8"/>
        <v/>
      </c>
      <c r="AF35" s="533" t="str">
        <f t="shared" si="9"/>
        <v/>
      </c>
      <c r="AG35" s="513"/>
      <c r="AH35" s="513"/>
      <c r="AI35" s="513"/>
      <c r="AJ35" s="513"/>
      <c r="AK35" s="513"/>
      <c r="AL35" s="513"/>
      <c r="AM35" s="514"/>
      <c r="AN35" s="514"/>
      <c r="AO35" s="513"/>
      <c r="AP35" s="302" t="e">
        <f t="shared" si="10"/>
        <v>#DIV/0!</v>
      </c>
      <c r="AQ35" s="303" t="e">
        <f>IF(AP35&gt;KKM!$G$10,"A",IF(AP35&gt;KKM!$H$10,"B",IF(AP35&gt;=KKM!$I$10,"C","D")))</f>
        <v>#DIV/0!</v>
      </c>
      <c r="AR35" s="304">
        <f t="shared" si="0"/>
        <v>0</v>
      </c>
      <c r="AS35" s="309" t="str">
        <f>IF(AR35&gt;KKM!$G$10," sangat baik ",IF(AR35&gt;KKM!$H$10," baik ",IF(AR35&gt;=KKM!$I$10," cukup baik "," perlu bimbingan ")))</f>
        <v xml:space="preserve"> perlu bimbingan </v>
      </c>
      <c r="AT35" s="305">
        <f t="shared" si="1"/>
        <v>0</v>
      </c>
      <c r="AU35" s="309" t="str">
        <f>IF(AT35&gt;KKM!$G$10," sangat baik ",IF(AT35&gt;KKM!$H$10," baik ",IF(AT35&gt;=KKM!$I$10," cukup baik "," perlu bimbingan ")))</f>
        <v xml:space="preserve"> perlu bimbingan </v>
      </c>
      <c r="AV35" s="301" t="str">
        <f t="shared" si="11"/>
        <v xml:space="preserve"> </v>
      </c>
      <c r="AW35" s="218"/>
      <c r="AX35" s="219" t="e">
        <f t="shared" si="2"/>
        <v>#N/A</v>
      </c>
      <c r="AY35" s="219" t="e">
        <f t="shared" si="3"/>
        <v>#N/A</v>
      </c>
      <c r="AZ35" s="219" t="e">
        <f t="shared" si="12"/>
        <v>#N/A</v>
      </c>
      <c r="BA35" s="219" t="e">
        <f t="shared" si="13"/>
        <v>#N/A</v>
      </c>
      <c r="BB35" s="220" t="e">
        <f t="shared" si="14"/>
        <v>#N/A</v>
      </c>
      <c r="BC35" s="214" t="e">
        <f t="shared" si="4"/>
        <v>#N/A</v>
      </c>
      <c r="BD35" s="120"/>
      <c r="BN35" s="408" t="str">
        <f t="shared" si="15"/>
        <v/>
      </c>
    </row>
    <row r="36" spans="2:66" ht="65.25" customHeight="1">
      <c r="B36" s="109">
        <v>32</v>
      </c>
      <c r="C36" s="110">
        <f>SISWA!B37</f>
        <v>0</v>
      </c>
      <c r="D36" s="111" t="str">
        <f>SISWA!E37</f>
        <v>Anak 32</v>
      </c>
      <c r="E36" s="520"/>
      <c r="F36" s="520"/>
      <c r="G36" s="520"/>
      <c r="H36" s="520"/>
      <c r="I36" s="520"/>
      <c r="J36" s="520"/>
      <c r="K36" s="520"/>
      <c r="L36" s="520"/>
      <c r="M36" s="520"/>
      <c r="N36" s="520"/>
      <c r="O36" s="520"/>
      <c r="P36" s="520"/>
      <c r="Q36" s="520"/>
      <c r="R36" s="520"/>
      <c r="S36" s="520"/>
      <c r="T36" s="520"/>
      <c r="U36" s="520"/>
      <c r="V36" s="520"/>
      <c r="W36" s="520"/>
      <c r="X36" s="520"/>
      <c r="Y36" s="520"/>
      <c r="Z36" s="533" t="str">
        <f t="shared" si="5"/>
        <v/>
      </c>
      <c r="AA36" s="533" t="str">
        <f t="shared" si="17"/>
        <v/>
      </c>
      <c r="AB36" s="533" t="str">
        <f t="shared" si="6"/>
        <v/>
      </c>
      <c r="AC36" s="533" t="str">
        <f t="shared" si="16"/>
        <v/>
      </c>
      <c r="AD36" s="533" t="str">
        <f t="shared" si="7"/>
        <v/>
      </c>
      <c r="AE36" s="533" t="str">
        <f t="shared" si="8"/>
        <v/>
      </c>
      <c r="AF36" s="533" t="str">
        <f t="shared" si="9"/>
        <v/>
      </c>
      <c r="AG36" s="513"/>
      <c r="AH36" s="513"/>
      <c r="AI36" s="513"/>
      <c r="AJ36" s="513"/>
      <c r="AK36" s="513"/>
      <c r="AL36" s="513"/>
      <c r="AM36" s="514"/>
      <c r="AN36" s="514"/>
      <c r="AO36" s="513"/>
      <c r="AP36" s="302" t="e">
        <f t="shared" si="10"/>
        <v>#DIV/0!</v>
      </c>
      <c r="AQ36" s="303" t="e">
        <f>IF(AP36&gt;KKM!$G$10,"A",IF(AP36&gt;KKM!$H$10,"B",IF(AP36&gt;=KKM!$I$10,"C","D")))</f>
        <v>#DIV/0!</v>
      </c>
      <c r="AR36" s="304">
        <f t="shared" si="0"/>
        <v>0</v>
      </c>
      <c r="AS36" s="309" t="str">
        <f>IF(AR36&gt;KKM!$G$10," sangat baik ",IF(AR36&gt;KKM!$H$10," baik ",IF(AR36&gt;=KKM!$I$10," cukup baik "," perlu bimbingan ")))</f>
        <v xml:space="preserve"> perlu bimbingan </v>
      </c>
      <c r="AT36" s="305">
        <f t="shared" si="1"/>
        <v>0</v>
      </c>
      <c r="AU36" s="309" t="str">
        <f>IF(AT36&gt;KKM!$G$10," sangat baik ",IF(AT36&gt;KKM!$H$10," baik ",IF(AT36&gt;=KKM!$I$10," cukup baik "," perlu bimbingan ")))</f>
        <v xml:space="preserve"> perlu bimbingan </v>
      </c>
      <c r="AV36" s="301" t="str">
        <f t="shared" si="11"/>
        <v xml:space="preserve"> </v>
      </c>
      <c r="AW36" s="218"/>
      <c r="AX36" s="219" t="e">
        <f t="shared" si="2"/>
        <v>#N/A</v>
      </c>
      <c r="AY36" s="219" t="e">
        <f t="shared" si="3"/>
        <v>#N/A</v>
      </c>
      <c r="AZ36" s="219" t="e">
        <f t="shared" si="12"/>
        <v>#N/A</v>
      </c>
      <c r="BA36" s="219" t="e">
        <f t="shared" si="13"/>
        <v>#N/A</v>
      </c>
      <c r="BB36" s="220" t="e">
        <f t="shared" si="14"/>
        <v>#N/A</v>
      </c>
      <c r="BC36" s="214" t="e">
        <f t="shared" si="4"/>
        <v>#N/A</v>
      </c>
      <c r="BD36" s="120"/>
      <c r="BN36" s="408" t="str">
        <f t="shared" si="15"/>
        <v/>
      </c>
    </row>
    <row r="37" spans="2:66" ht="65.25" customHeight="1">
      <c r="B37" s="109">
        <v>33</v>
      </c>
      <c r="C37" s="110">
        <f>SISWA!B38</f>
        <v>0</v>
      </c>
      <c r="D37" s="111" t="str">
        <f>SISWA!E38</f>
        <v>Anak 33</v>
      </c>
      <c r="E37" s="520"/>
      <c r="F37" s="520"/>
      <c r="G37" s="520"/>
      <c r="H37" s="520"/>
      <c r="I37" s="520"/>
      <c r="J37" s="520"/>
      <c r="K37" s="520"/>
      <c r="L37" s="520"/>
      <c r="M37" s="520"/>
      <c r="N37" s="520"/>
      <c r="O37" s="520"/>
      <c r="P37" s="520"/>
      <c r="Q37" s="520"/>
      <c r="R37" s="520"/>
      <c r="S37" s="520"/>
      <c r="T37" s="520"/>
      <c r="U37" s="520"/>
      <c r="V37" s="520"/>
      <c r="W37" s="520"/>
      <c r="X37" s="520"/>
      <c r="Y37" s="520"/>
      <c r="Z37" s="533" t="str">
        <f t="shared" si="5"/>
        <v/>
      </c>
      <c r="AA37" s="533" t="str">
        <f t="shared" si="17"/>
        <v/>
      </c>
      <c r="AB37" s="533" t="str">
        <f t="shared" si="6"/>
        <v/>
      </c>
      <c r="AC37" s="533" t="str">
        <f t="shared" si="16"/>
        <v/>
      </c>
      <c r="AD37" s="533" t="str">
        <f t="shared" si="7"/>
        <v/>
      </c>
      <c r="AE37" s="533" t="str">
        <f t="shared" si="8"/>
        <v/>
      </c>
      <c r="AF37" s="533" t="str">
        <f t="shared" si="9"/>
        <v/>
      </c>
      <c r="AG37" s="513"/>
      <c r="AH37" s="513"/>
      <c r="AI37" s="513"/>
      <c r="AJ37" s="513"/>
      <c r="AK37" s="513"/>
      <c r="AL37" s="513"/>
      <c r="AM37" s="514"/>
      <c r="AN37" s="514"/>
      <c r="AO37" s="513"/>
      <c r="AP37" s="302" t="e">
        <f t="shared" si="10"/>
        <v>#DIV/0!</v>
      </c>
      <c r="AQ37" s="303" t="e">
        <f>IF(AP37&gt;KKM!$G$10,"A",IF(AP37&gt;KKM!$H$10,"B",IF(AP37&gt;=KKM!$I$10,"C","D")))</f>
        <v>#DIV/0!</v>
      </c>
      <c r="AR37" s="304">
        <f t="shared" si="0"/>
        <v>0</v>
      </c>
      <c r="AS37" s="309" t="str">
        <f>IF(AR37&gt;KKM!$G$10," sangat baik ",IF(AR37&gt;KKM!$H$10," baik ",IF(AR37&gt;=KKM!$I$10," cukup baik "," perlu bimbingan ")))</f>
        <v xml:space="preserve"> perlu bimbingan </v>
      </c>
      <c r="AT37" s="305">
        <f t="shared" si="1"/>
        <v>0</v>
      </c>
      <c r="AU37" s="309" t="str">
        <f>IF(AT37&gt;KKM!$G$10," sangat baik ",IF(AT37&gt;KKM!$H$10," baik ",IF(AT37&gt;=KKM!$I$10," cukup baik "," perlu bimbingan ")))</f>
        <v xml:space="preserve"> perlu bimbingan </v>
      </c>
      <c r="AV37" s="301" t="str">
        <f t="shared" si="11"/>
        <v xml:space="preserve"> </v>
      </c>
      <c r="AW37" s="218"/>
      <c r="AX37" s="219" t="e">
        <f t="shared" si="2"/>
        <v>#N/A</v>
      </c>
      <c r="AY37" s="219" t="e">
        <f t="shared" si="3"/>
        <v>#N/A</v>
      </c>
      <c r="AZ37" s="219" t="e">
        <f t="shared" si="12"/>
        <v>#N/A</v>
      </c>
      <c r="BA37" s="219" t="e">
        <f t="shared" si="13"/>
        <v>#N/A</v>
      </c>
      <c r="BB37" s="220" t="e">
        <f t="shared" si="14"/>
        <v>#N/A</v>
      </c>
      <c r="BC37" s="214" t="e">
        <f t="shared" ref="BC37:BC54" si="18">CONCATENATE(D37,BB37)</f>
        <v>#N/A</v>
      </c>
      <c r="BD37" s="120"/>
      <c r="BN37" s="408" t="str">
        <f t="shared" si="15"/>
        <v/>
      </c>
    </row>
    <row r="38" spans="2:66" ht="65.25" customHeight="1">
      <c r="B38" s="109">
        <v>34</v>
      </c>
      <c r="C38" s="110">
        <f>SISWA!B39</f>
        <v>0</v>
      </c>
      <c r="D38" s="111" t="str">
        <f>SISWA!E39</f>
        <v>Anak 34</v>
      </c>
      <c r="E38" s="520"/>
      <c r="F38" s="520"/>
      <c r="G38" s="520"/>
      <c r="H38" s="520"/>
      <c r="I38" s="520"/>
      <c r="J38" s="520"/>
      <c r="K38" s="520"/>
      <c r="L38" s="520"/>
      <c r="M38" s="520"/>
      <c r="N38" s="520"/>
      <c r="O38" s="520"/>
      <c r="P38" s="520"/>
      <c r="Q38" s="520"/>
      <c r="R38" s="520"/>
      <c r="S38" s="520"/>
      <c r="T38" s="520"/>
      <c r="U38" s="520"/>
      <c r="V38" s="520"/>
      <c r="W38" s="520"/>
      <c r="X38" s="520"/>
      <c r="Y38" s="520"/>
      <c r="Z38" s="533" t="str">
        <f t="shared" si="5"/>
        <v/>
      </c>
      <c r="AA38" s="533" t="str">
        <f t="shared" si="17"/>
        <v/>
      </c>
      <c r="AB38" s="533" t="str">
        <f t="shared" si="6"/>
        <v/>
      </c>
      <c r="AC38" s="533" t="str">
        <f t="shared" si="16"/>
        <v/>
      </c>
      <c r="AD38" s="533" t="str">
        <f t="shared" si="7"/>
        <v/>
      </c>
      <c r="AE38" s="533" t="str">
        <f t="shared" si="8"/>
        <v/>
      </c>
      <c r="AF38" s="533" t="str">
        <f t="shared" si="9"/>
        <v/>
      </c>
      <c r="AG38" s="513"/>
      <c r="AH38" s="513"/>
      <c r="AI38" s="513"/>
      <c r="AJ38" s="513"/>
      <c r="AK38" s="513"/>
      <c r="AL38" s="513"/>
      <c r="AM38" s="514"/>
      <c r="AN38" s="514"/>
      <c r="AO38" s="513"/>
      <c r="AP38" s="302" t="e">
        <f t="shared" si="10"/>
        <v>#DIV/0!</v>
      </c>
      <c r="AQ38" s="303" t="e">
        <f>IF(AP38&gt;KKM!$G$10,"A",IF(AP38&gt;KKM!$H$10,"B",IF(AP38&gt;=KKM!$I$10,"C","D")))</f>
        <v>#DIV/0!</v>
      </c>
      <c r="AR38" s="304">
        <f t="shared" si="0"/>
        <v>0</v>
      </c>
      <c r="AS38" s="309" t="str">
        <f>IF(AR38&gt;KKM!$G$10," sangat baik ",IF(AR38&gt;KKM!$H$10," baik ",IF(AR38&gt;=KKM!$I$10," cukup baik "," perlu bimbingan ")))</f>
        <v xml:space="preserve"> perlu bimbingan </v>
      </c>
      <c r="AT38" s="305">
        <f t="shared" si="1"/>
        <v>0</v>
      </c>
      <c r="AU38" s="309" t="str">
        <f>IF(AT38&gt;KKM!$G$10," sangat baik ",IF(AT38&gt;KKM!$H$10," baik ",IF(AT38&gt;=KKM!$I$10," cukup baik "," perlu bimbingan ")))</f>
        <v xml:space="preserve"> perlu bimbingan </v>
      </c>
      <c r="AV38" s="301" t="str">
        <f t="shared" si="11"/>
        <v xml:space="preserve"> </v>
      </c>
      <c r="AW38" s="218"/>
      <c r="AX38" s="219" t="e">
        <f t="shared" si="2"/>
        <v>#N/A</v>
      </c>
      <c r="AY38" s="219" t="e">
        <f t="shared" si="3"/>
        <v>#N/A</v>
      </c>
      <c r="AZ38" s="219" t="e">
        <f t="shared" si="12"/>
        <v>#N/A</v>
      </c>
      <c r="BA38" s="219" t="e">
        <f t="shared" si="13"/>
        <v>#N/A</v>
      </c>
      <c r="BB38" s="220" t="e">
        <f t="shared" si="14"/>
        <v>#N/A</v>
      </c>
      <c r="BC38" s="214" t="e">
        <f t="shared" si="18"/>
        <v>#N/A</v>
      </c>
      <c r="BD38" s="120"/>
      <c r="BN38" s="408" t="str">
        <f t="shared" si="15"/>
        <v/>
      </c>
    </row>
    <row r="39" spans="2:66" ht="65.25" customHeight="1">
      <c r="B39" s="109">
        <v>35</v>
      </c>
      <c r="C39" s="110">
        <f>SISWA!B40</f>
        <v>0</v>
      </c>
      <c r="D39" s="111" t="str">
        <f>SISWA!E40</f>
        <v>Anak 35</v>
      </c>
      <c r="E39" s="520"/>
      <c r="F39" s="520"/>
      <c r="G39" s="520"/>
      <c r="H39" s="520"/>
      <c r="I39" s="520"/>
      <c r="J39" s="520"/>
      <c r="K39" s="520"/>
      <c r="L39" s="520"/>
      <c r="M39" s="520"/>
      <c r="N39" s="520"/>
      <c r="O39" s="520"/>
      <c r="P39" s="520"/>
      <c r="Q39" s="520"/>
      <c r="R39" s="520"/>
      <c r="S39" s="520"/>
      <c r="T39" s="520"/>
      <c r="U39" s="520"/>
      <c r="V39" s="520"/>
      <c r="W39" s="520"/>
      <c r="X39" s="520"/>
      <c r="Y39" s="520"/>
      <c r="Z39" s="533" t="str">
        <f t="shared" si="5"/>
        <v/>
      </c>
      <c r="AA39" s="533" t="str">
        <f t="shared" si="17"/>
        <v/>
      </c>
      <c r="AB39" s="533" t="str">
        <f t="shared" si="6"/>
        <v/>
      </c>
      <c r="AC39" s="533" t="str">
        <f t="shared" si="16"/>
        <v/>
      </c>
      <c r="AD39" s="533" t="str">
        <f t="shared" si="7"/>
        <v/>
      </c>
      <c r="AE39" s="533" t="str">
        <f t="shared" si="8"/>
        <v/>
      </c>
      <c r="AF39" s="533" t="str">
        <f t="shared" si="9"/>
        <v/>
      </c>
      <c r="AG39" s="513"/>
      <c r="AH39" s="513"/>
      <c r="AI39" s="513"/>
      <c r="AJ39" s="513"/>
      <c r="AK39" s="513"/>
      <c r="AL39" s="513"/>
      <c r="AM39" s="514"/>
      <c r="AN39" s="514"/>
      <c r="AO39" s="513"/>
      <c r="AP39" s="302" t="e">
        <f t="shared" si="10"/>
        <v>#DIV/0!</v>
      </c>
      <c r="AQ39" s="303" t="e">
        <f>IF(AP39&gt;KKM!$G$10,"A",IF(AP39&gt;KKM!$H$10,"B",IF(AP39&gt;=KKM!$I$10,"C","D")))</f>
        <v>#DIV/0!</v>
      </c>
      <c r="AR39" s="304">
        <f t="shared" si="0"/>
        <v>0</v>
      </c>
      <c r="AS39" s="309" t="str">
        <f>IF(AR39&gt;KKM!$G$10," sangat baik ",IF(AR39&gt;KKM!$H$10," baik ",IF(AR39&gt;=KKM!$I$10," cukup baik "," perlu bimbingan ")))</f>
        <v xml:space="preserve"> perlu bimbingan </v>
      </c>
      <c r="AT39" s="305">
        <f t="shared" si="1"/>
        <v>0</v>
      </c>
      <c r="AU39" s="309" t="str">
        <f>IF(AT39&gt;KKM!$G$10," sangat baik ",IF(AT39&gt;KKM!$H$10," baik ",IF(AT39&gt;=KKM!$I$10," cukup baik "," perlu bimbingan ")))</f>
        <v xml:space="preserve"> perlu bimbingan </v>
      </c>
      <c r="AV39" s="301" t="str">
        <f t="shared" si="11"/>
        <v xml:space="preserve"> </v>
      </c>
      <c r="AW39" s="218"/>
      <c r="AX39" s="219" t="e">
        <f t="shared" si="2"/>
        <v>#N/A</v>
      </c>
      <c r="AY39" s="219" t="e">
        <f t="shared" si="3"/>
        <v>#N/A</v>
      </c>
      <c r="AZ39" s="219" t="e">
        <f t="shared" si="12"/>
        <v>#N/A</v>
      </c>
      <c r="BA39" s="219" t="e">
        <f t="shared" si="13"/>
        <v>#N/A</v>
      </c>
      <c r="BB39" s="220" t="e">
        <f t="shared" si="14"/>
        <v>#N/A</v>
      </c>
      <c r="BC39" s="214" t="e">
        <f t="shared" si="18"/>
        <v>#N/A</v>
      </c>
      <c r="BD39" s="120"/>
      <c r="BN39" s="408" t="str">
        <f t="shared" si="15"/>
        <v/>
      </c>
    </row>
    <row r="40" spans="2:66" ht="65.25" customHeight="1">
      <c r="B40" s="109">
        <v>36</v>
      </c>
      <c r="C40" s="110">
        <f>SISWA!B41</f>
        <v>0</v>
      </c>
      <c r="D40" s="111" t="str">
        <f>SISWA!E41</f>
        <v>Anak 36</v>
      </c>
      <c r="E40" s="520"/>
      <c r="F40" s="520"/>
      <c r="G40" s="520"/>
      <c r="H40" s="520"/>
      <c r="I40" s="520"/>
      <c r="J40" s="520"/>
      <c r="K40" s="520"/>
      <c r="L40" s="520"/>
      <c r="M40" s="520"/>
      <c r="N40" s="520"/>
      <c r="O40" s="520"/>
      <c r="P40" s="520"/>
      <c r="Q40" s="520"/>
      <c r="R40" s="520"/>
      <c r="S40" s="520"/>
      <c r="T40" s="520"/>
      <c r="U40" s="520"/>
      <c r="V40" s="520"/>
      <c r="W40" s="520"/>
      <c r="X40" s="520"/>
      <c r="Y40" s="520"/>
      <c r="Z40" s="533" t="str">
        <f t="shared" si="5"/>
        <v/>
      </c>
      <c r="AA40" s="533" t="str">
        <f t="shared" si="17"/>
        <v/>
      </c>
      <c r="AB40" s="533" t="str">
        <f t="shared" si="6"/>
        <v/>
      </c>
      <c r="AC40" s="533" t="str">
        <f t="shared" si="16"/>
        <v/>
      </c>
      <c r="AD40" s="533" t="str">
        <f t="shared" si="7"/>
        <v/>
      </c>
      <c r="AE40" s="533" t="str">
        <f t="shared" si="8"/>
        <v/>
      </c>
      <c r="AF40" s="533" t="str">
        <f t="shared" si="9"/>
        <v/>
      </c>
      <c r="AG40" s="513"/>
      <c r="AH40" s="513"/>
      <c r="AI40" s="513"/>
      <c r="AJ40" s="513"/>
      <c r="AK40" s="513"/>
      <c r="AL40" s="513"/>
      <c r="AM40" s="514"/>
      <c r="AN40" s="514"/>
      <c r="AO40" s="513"/>
      <c r="AP40" s="302" t="e">
        <f t="shared" si="10"/>
        <v>#DIV/0!</v>
      </c>
      <c r="AQ40" s="303" t="e">
        <f>IF(AP40&gt;KKM!$G$10,"A",IF(AP40&gt;KKM!$H$10,"B",IF(AP40&gt;=KKM!$I$10,"C","D")))</f>
        <v>#DIV/0!</v>
      </c>
      <c r="AR40" s="304">
        <f t="shared" si="0"/>
        <v>0</v>
      </c>
      <c r="AS40" s="309" t="str">
        <f>IF(AR40&gt;KKM!$G$10," sangat baik ",IF(AR40&gt;KKM!$H$10," baik ",IF(AR40&gt;=KKM!$I$10," cukup baik "," perlu bimbingan ")))</f>
        <v xml:space="preserve"> perlu bimbingan </v>
      </c>
      <c r="AT40" s="305">
        <f t="shared" si="1"/>
        <v>0</v>
      </c>
      <c r="AU40" s="309" t="str">
        <f>IF(AT40&gt;KKM!$G$10," sangat baik ",IF(AT40&gt;KKM!$H$10," baik ",IF(AT40&gt;=KKM!$I$10," cukup baik "," perlu bimbingan ")))</f>
        <v xml:space="preserve"> perlu bimbingan </v>
      </c>
      <c r="AV40" s="301" t="str">
        <f t="shared" si="11"/>
        <v xml:space="preserve"> </v>
      </c>
      <c r="AW40" s="218"/>
      <c r="AX40" s="219" t="e">
        <f t="shared" si="2"/>
        <v>#N/A</v>
      </c>
      <c r="AY40" s="219" t="e">
        <f t="shared" si="3"/>
        <v>#N/A</v>
      </c>
      <c r="AZ40" s="219" t="e">
        <f t="shared" si="12"/>
        <v>#N/A</v>
      </c>
      <c r="BA40" s="219" t="e">
        <f t="shared" si="13"/>
        <v>#N/A</v>
      </c>
      <c r="BB40" s="220" t="e">
        <f t="shared" si="14"/>
        <v>#N/A</v>
      </c>
      <c r="BC40" s="214" t="e">
        <f t="shared" si="18"/>
        <v>#N/A</v>
      </c>
      <c r="BD40" s="120"/>
      <c r="BN40" s="408" t="str">
        <f t="shared" si="15"/>
        <v/>
      </c>
    </row>
    <row r="41" spans="2:66" ht="65.25" customHeight="1">
      <c r="B41" s="109">
        <v>37</v>
      </c>
      <c r="C41" s="110">
        <f>SISWA!B42</f>
        <v>0</v>
      </c>
      <c r="D41" s="111" t="str">
        <f>SISWA!E42</f>
        <v>Anak 37</v>
      </c>
      <c r="E41" s="520"/>
      <c r="F41" s="520"/>
      <c r="G41" s="520"/>
      <c r="H41" s="520"/>
      <c r="I41" s="520"/>
      <c r="J41" s="520"/>
      <c r="K41" s="520"/>
      <c r="L41" s="520"/>
      <c r="M41" s="520"/>
      <c r="N41" s="520"/>
      <c r="O41" s="520"/>
      <c r="P41" s="520"/>
      <c r="Q41" s="520"/>
      <c r="R41" s="520"/>
      <c r="S41" s="520"/>
      <c r="T41" s="520"/>
      <c r="U41" s="520"/>
      <c r="V41" s="520"/>
      <c r="W41" s="520"/>
      <c r="X41" s="520"/>
      <c r="Y41" s="520"/>
      <c r="Z41" s="533" t="str">
        <f t="shared" si="5"/>
        <v/>
      </c>
      <c r="AA41" s="533" t="str">
        <f t="shared" si="17"/>
        <v/>
      </c>
      <c r="AB41" s="533" t="str">
        <f t="shared" si="6"/>
        <v/>
      </c>
      <c r="AC41" s="533" t="str">
        <f t="shared" si="16"/>
        <v/>
      </c>
      <c r="AD41" s="533" t="str">
        <f t="shared" si="7"/>
        <v/>
      </c>
      <c r="AE41" s="533" t="str">
        <f t="shared" si="8"/>
        <v/>
      </c>
      <c r="AF41" s="533" t="str">
        <f t="shared" si="9"/>
        <v/>
      </c>
      <c r="AG41" s="513"/>
      <c r="AH41" s="513"/>
      <c r="AI41" s="513"/>
      <c r="AJ41" s="513"/>
      <c r="AK41" s="513"/>
      <c r="AL41" s="513"/>
      <c r="AM41" s="514"/>
      <c r="AN41" s="514"/>
      <c r="AO41" s="513"/>
      <c r="AP41" s="302" t="e">
        <f t="shared" si="10"/>
        <v>#DIV/0!</v>
      </c>
      <c r="AQ41" s="303" t="e">
        <f>IF(AP41&gt;KKM!$G$10,"A",IF(AP41&gt;KKM!$H$10,"B",IF(AP41&gt;=KKM!$I$10,"C","D")))</f>
        <v>#DIV/0!</v>
      </c>
      <c r="AR41" s="304">
        <f t="shared" si="0"/>
        <v>0</v>
      </c>
      <c r="AS41" s="309" t="str">
        <f>IF(AR41&gt;KKM!$G$10," sangat baik ",IF(AR41&gt;KKM!$H$10," baik ",IF(AR41&gt;=KKM!$I$10," cukup baik "," perlu bimbingan ")))</f>
        <v xml:space="preserve"> perlu bimbingan </v>
      </c>
      <c r="AT41" s="305">
        <f t="shared" si="1"/>
        <v>0</v>
      </c>
      <c r="AU41" s="309" t="str">
        <f>IF(AT41&gt;KKM!$G$10," sangat baik ",IF(AT41&gt;KKM!$H$10," baik ",IF(AT41&gt;=KKM!$I$10," cukup baik "," perlu bimbingan ")))</f>
        <v xml:space="preserve"> perlu bimbingan </v>
      </c>
      <c r="AV41" s="301" t="str">
        <f t="shared" si="11"/>
        <v xml:space="preserve"> </v>
      </c>
      <c r="AW41" s="218"/>
      <c r="AX41" s="219" t="e">
        <f t="shared" si="2"/>
        <v>#N/A</v>
      </c>
      <c r="AY41" s="219" t="e">
        <f t="shared" si="3"/>
        <v>#N/A</v>
      </c>
      <c r="AZ41" s="219" t="e">
        <f t="shared" si="12"/>
        <v>#N/A</v>
      </c>
      <c r="BA41" s="219" t="e">
        <f t="shared" si="13"/>
        <v>#N/A</v>
      </c>
      <c r="BB41" s="220" t="e">
        <f t="shared" si="14"/>
        <v>#N/A</v>
      </c>
      <c r="BC41" s="214" t="e">
        <f t="shared" si="18"/>
        <v>#N/A</v>
      </c>
      <c r="BD41" s="120"/>
      <c r="BN41" s="408" t="str">
        <f t="shared" si="15"/>
        <v/>
      </c>
    </row>
    <row r="42" spans="2:66" ht="65.25" customHeight="1">
      <c r="B42" s="109">
        <v>38</v>
      </c>
      <c r="C42" s="110">
        <f>SISWA!B43</f>
        <v>0</v>
      </c>
      <c r="D42" s="111" t="str">
        <f>SISWA!E43</f>
        <v>Anak 38</v>
      </c>
      <c r="E42" s="520"/>
      <c r="F42" s="520"/>
      <c r="G42" s="520"/>
      <c r="H42" s="520"/>
      <c r="I42" s="520"/>
      <c r="J42" s="520"/>
      <c r="K42" s="520"/>
      <c r="L42" s="520"/>
      <c r="M42" s="520"/>
      <c r="N42" s="520"/>
      <c r="O42" s="520"/>
      <c r="P42" s="520"/>
      <c r="Q42" s="520"/>
      <c r="R42" s="520"/>
      <c r="S42" s="520"/>
      <c r="T42" s="520"/>
      <c r="U42" s="520"/>
      <c r="V42" s="520"/>
      <c r="W42" s="520"/>
      <c r="X42" s="520"/>
      <c r="Y42" s="520"/>
      <c r="Z42" s="533" t="str">
        <f t="shared" si="5"/>
        <v/>
      </c>
      <c r="AA42" s="533" t="str">
        <f t="shared" si="17"/>
        <v/>
      </c>
      <c r="AB42" s="533" t="str">
        <f t="shared" si="6"/>
        <v/>
      </c>
      <c r="AC42" s="533" t="str">
        <f t="shared" si="16"/>
        <v/>
      </c>
      <c r="AD42" s="533" t="str">
        <f t="shared" si="7"/>
        <v/>
      </c>
      <c r="AE42" s="533" t="str">
        <f t="shared" si="8"/>
        <v/>
      </c>
      <c r="AF42" s="533" t="str">
        <f t="shared" si="9"/>
        <v/>
      </c>
      <c r="AG42" s="513"/>
      <c r="AH42" s="513"/>
      <c r="AI42" s="513"/>
      <c r="AJ42" s="513"/>
      <c r="AK42" s="513"/>
      <c r="AL42" s="513"/>
      <c r="AM42" s="514"/>
      <c r="AN42" s="514"/>
      <c r="AO42" s="513"/>
      <c r="AP42" s="302" t="e">
        <f t="shared" si="10"/>
        <v>#DIV/0!</v>
      </c>
      <c r="AQ42" s="303" t="e">
        <f>IF(AP42&gt;KKM!$G$10,"A",IF(AP42&gt;KKM!$H$10,"B",IF(AP42&gt;=KKM!$I$10,"C","D")))</f>
        <v>#DIV/0!</v>
      </c>
      <c r="AR42" s="304">
        <f t="shared" si="0"/>
        <v>0</v>
      </c>
      <c r="AS42" s="309" t="str">
        <f>IF(AR42&gt;KKM!$G$10," sangat baik ",IF(AR42&gt;KKM!$H$10," baik ",IF(AR42&gt;=KKM!$I$10," cukup baik "," perlu bimbingan ")))</f>
        <v xml:space="preserve"> perlu bimbingan </v>
      </c>
      <c r="AT42" s="305">
        <f t="shared" si="1"/>
        <v>0</v>
      </c>
      <c r="AU42" s="309" t="str">
        <f>IF(AT42&gt;KKM!$G$10," sangat baik ",IF(AT42&gt;KKM!$H$10," baik ",IF(AT42&gt;=KKM!$I$10," cukup baik "," perlu bimbingan ")))</f>
        <v xml:space="preserve"> perlu bimbingan </v>
      </c>
      <c r="AV42" s="301" t="str">
        <f t="shared" si="11"/>
        <v xml:space="preserve"> </v>
      </c>
      <c r="AW42" s="218"/>
      <c r="AX42" s="219" t="e">
        <f t="shared" si="2"/>
        <v>#N/A</v>
      </c>
      <c r="AY42" s="219" t="e">
        <f t="shared" si="3"/>
        <v>#N/A</v>
      </c>
      <c r="AZ42" s="219" t="e">
        <f t="shared" si="12"/>
        <v>#N/A</v>
      </c>
      <c r="BA42" s="219" t="e">
        <f t="shared" si="13"/>
        <v>#N/A</v>
      </c>
      <c r="BB42" s="220" t="e">
        <f t="shared" si="14"/>
        <v>#N/A</v>
      </c>
      <c r="BC42" s="214" t="e">
        <f t="shared" si="18"/>
        <v>#N/A</v>
      </c>
      <c r="BD42" s="120"/>
      <c r="BN42" s="408" t="str">
        <f t="shared" si="15"/>
        <v/>
      </c>
    </row>
    <row r="43" spans="2:66" ht="65.25" customHeight="1">
      <c r="B43" s="109">
        <v>39</v>
      </c>
      <c r="C43" s="110">
        <f>SISWA!B44</f>
        <v>0</v>
      </c>
      <c r="D43" s="111" t="str">
        <f>SISWA!E44</f>
        <v>Anak 39</v>
      </c>
      <c r="E43" s="520"/>
      <c r="F43" s="520"/>
      <c r="G43" s="520"/>
      <c r="H43" s="520"/>
      <c r="I43" s="520"/>
      <c r="J43" s="520"/>
      <c r="K43" s="520"/>
      <c r="L43" s="520"/>
      <c r="M43" s="520"/>
      <c r="N43" s="520"/>
      <c r="O43" s="520"/>
      <c r="P43" s="520"/>
      <c r="Q43" s="520"/>
      <c r="R43" s="520"/>
      <c r="S43" s="520"/>
      <c r="T43" s="520"/>
      <c r="U43" s="520"/>
      <c r="V43" s="520"/>
      <c r="W43" s="520"/>
      <c r="X43" s="520"/>
      <c r="Y43" s="520"/>
      <c r="Z43" s="533" t="str">
        <f t="shared" si="5"/>
        <v/>
      </c>
      <c r="AA43" s="533" t="str">
        <f t="shared" si="17"/>
        <v/>
      </c>
      <c r="AB43" s="533" t="str">
        <f t="shared" si="6"/>
        <v/>
      </c>
      <c r="AC43" s="533" t="str">
        <f t="shared" si="16"/>
        <v/>
      </c>
      <c r="AD43" s="533" t="str">
        <f t="shared" si="7"/>
        <v/>
      </c>
      <c r="AE43" s="533" t="str">
        <f t="shared" si="8"/>
        <v/>
      </c>
      <c r="AF43" s="533" t="str">
        <f t="shared" si="9"/>
        <v/>
      </c>
      <c r="AG43" s="513"/>
      <c r="AH43" s="513"/>
      <c r="AI43" s="513"/>
      <c r="AJ43" s="513"/>
      <c r="AK43" s="513"/>
      <c r="AL43" s="513"/>
      <c r="AM43" s="514"/>
      <c r="AN43" s="514"/>
      <c r="AO43" s="513"/>
      <c r="AP43" s="302" t="e">
        <f t="shared" si="10"/>
        <v>#DIV/0!</v>
      </c>
      <c r="AQ43" s="303" t="e">
        <f>IF(AP43&gt;KKM!$G$10,"A",IF(AP43&gt;KKM!$H$10,"B",IF(AP43&gt;=KKM!$I$10,"C","D")))</f>
        <v>#DIV/0!</v>
      </c>
      <c r="AR43" s="304">
        <f t="shared" si="0"/>
        <v>0</v>
      </c>
      <c r="AS43" s="309" t="str">
        <f>IF(AR43&gt;KKM!$G$10," sangat baik ",IF(AR43&gt;KKM!$H$10," baik ",IF(AR43&gt;=KKM!$I$10," cukup baik "," perlu bimbingan ")))</f>
        <v xml:space="preserve"> perlu bimbingan </v>
      </c>
      <c r="AT43" s="305">
        <f t="shared" si="1"/>
        <v>0</v>
      </c>
      <c r="AU43" s="309" t="str">
        <f>IF(AT43&gt;KKM!$G$10," sangat baik ",IF(AT43&gt;KKM!$H$10," baik ",IF(AT43&gt;=KKM!$I$10," cukup baik "," perlu bimbingan ")))</f>
        <v xml:space="preserve"> perlu bimbingan </v>
      </c>
      <c r="AV43" s="301" t="str">
        <f t="shared" si="11"/>
        <v xml:space="preserve"> </v>
      </c>
      <c r="AW43" s="218"/>
      <c r="AX43" s="219" t="e">
        <f t="shared" si="2"/>
        <v>#N/A</v>
      </c>
      <c r="AY43" s="219" t="e">
        <f t="shared" si="3"/>
        <v>#N/A</v>
      </c>
      <c r="AZ43" s="219" t="e">
        <f t="shared" si="12"/>
        <v>#N/A</v>
      </c>
      <c r="BA43" s="219" t="e">
        <f t="shared" si="13"/>
        <v>#N/A</v>
      </c>
      <c r="BB43" s="220" t="e">
        <f t="shared" si="14"/>
        <v>#N/A</v>
      </c>
      <c r="BC43" s="214" t="e">
        <f t="shared" si="18"/>
        <v>#N/A</v>
      </c>
      <c r="BD43" s="120"/>
      <c r="BN43" s="408" t="str">
        <f t="shared" si="15"/>
        <v/>
      </c>
    </row>
    <row r="44" spans="2:66" ht="65.25" customHeight="1">
      <c r="B44" s="109">
        <v>40</v>
      </c>
      <c r="C44" s="110">
        <f>SISWA!B45</f>
        <v>0</v>
      </c>
      <c r="D44" s="111" t="str">
        <f>SISWA!E45</f>
        <v>Anak 40</v>
      </c>
      <c r="E44" s="520"/>
      <c r="F44" s="520"/>
      <c r="G44" s="520"/>
      <c r="H44" s="520"/>
      <c r="I44" s="520"/>
      <c r="J44" s="520"/>
      <c r="K44" s="520"/>
      <c r="L44" s="520"/>
      <c r="M44" s="520"/>
      <c r="N44" s="520"/>
      <c r="O44" s="520"/>
      <c r="P44" s="520"/>
      <c r="Q44" s="520"/>
      <c r="R44" s="520"/>
      <c r="S44" s="520"/>
      <c r="T44" s="520"/>
      <c r="U44" s="520"/>
      <c r="V44" s="520"/>
      <c r="W44" s="520"/>
      <c r="X44" s="520"/>
      <c r="Y44" s="520"/>
      <c r="Z44" s="533" t="str">
        <f t="shared" si="5"/>
        <v/>
      </c>
      <c r="AA44" s="533" t="str">
        <f t="shared" si="17"/>
        <v/>
      </c>
      <c r="AB44" s="533" t="str">
        <f t="shared" si="6"/>
        <v/>
      </c>
      <c r="AC44" s="533" t="str">
        <f t="shared" si="16"/>
        <v/>
      </c>
      <c r="AD44" s="533" t="str">
        <f t="shared" si="7"/>
        <v/>
      </c>
      <c r="AE44" s="533" t="str">
        <f t="shared" si="8"/>
        <v/>
      </c>
      <c r="AF44" s="533" t="str">
        <f t="shared" si="9"/>
        <v/>
      </c>
      <c r="AG44" s="513"/>
      <c r="AH44" s="513"/>
      <c r="AI44" s="513"/>
      <c r="AJ44" s="513"/>
      <c r="AK44" s="513"/>
      <c r="AL44" s="513"/>
      <c r="AM44" s="514"/>
      <c r="AN44" s="514"/>
      <c r="AO44" s="513"/>
      <c r="AP44" s="302" t="e">
        <f t="shared" si="10"/>
        <v>#DIV/0!</v>
      </c>
      <c r="AQ44" s="303" t="e">
        <f>IF(AP44&gt;KKM!$G$10,"A",IF(AP44&gt;KKM!$H$10,"B",IF(AP44&gt;=KKM!$I$10,"C","D")))</f>
        <v>#DIV/0!</v>
      </c>
      <c r="AR44" s="304">
        <f t="shared" si="0"/>
        <v>0</v>
      </c>
      <c r="AS44" s="309" t="str">
        <f>IF(AR44&gt;KKM!$G$10," sangat baik ",IF(AR44&gt;KKM!$H$10," baik ",IF(AR44&gt;=KKM!$I$10," cukup baik "," perlu bimbingan ")))</f>
        <v xml:space="preserve"> perlu bimbingan </v>
      </c>
      <c r="AT44" s="305">
        <f t="shared" si="1"/>
        <v>0</v>
      </c>
      <c r="AU44" s="309" t="str">
        <f>IF(AT44&gt;KKM!$G$10," sangat baik ",IF(AT44&gt;KKM!$H$10," baik ",IF(AT44&gt;=KKM!$I$10," cukup baik "," perlu bimbingan ")))</f>
        <v xml:space="preserve"> perlu bimbingan </v>
      </c>
      <c r="AV44" s="301" t="str">
        <f t="shared" si="11"/>
        <v xml:space="preserve"> </v>
      </c>
      <c r="AW44" s="218"/>
      <c r="AX44" s="219" t="e">
        <f t="shared" si="2"/>
        <v>#N/A</v>
      </c>
      <c r="AY44" s="219" t="e">
        <f t="shared" si="3"/>
        <v>#N/A</v>
      </c>
      <c r="AZ44" s="219" t="e">
        <f t="shared" si="12"/>
        <v>#N/A</v>
      </c>
      <c r="BA44" s="219" t="e">
        <f t="shared" si="13"/>
        <v>#N/A</v>
      </c>
      <c r="BB44" s="220" t="e">
        <f t="shared" si="14"/>
        <v>#N/A</v>
      </c>
      <c r="BC44" s="214" t="e">
        <f t="shared" si="18"/>
        <v>#N/A</v>
      </c>
      <c r="BD44" s="120"/>
      <c r="BN44" s="408" t="str">
        <f t="shared" si="15"/>
        <v/>
      </c>
    </row>
    <row r="45" spans="2:66" ht="65.25" customHeight="1">
      <c r="B45" s="109">
        <v>41</v>
      </c>
      <c r="C45" s="110">
        <f>SISWA!B46</f>
        <v>0</v>
      </c>
      <c r="D45" s="111" t="str">
        <f>SISWA!E46</f>
        <v>Anak 41</v>
      </c>
      <c r="E45" s="520"/>
      <c r="F45" s="520"/>
      <c r="G45" s="520"/>
      <c r="H45" s="520"/>
      <c r="I45" s="520"/>
      <c r="J45" s="520"/>
      <c r="K45" s="520"/>
      <c r="L45" s="520"/>
      <c r="M45" s="520"/>
      <c r="N45" s="520"/>
      <c r="O45" s="520"/>
      <c r="P45" s="520"/>
      <c r="Q45" s="520"/>
      <c r="R45" s="520"/>
      <c r="S45" s="520"/>
      <c r="T45" s="520"/>
      <c r="U45" s="520"/>
      <c r="V45" s="520"/>
      <c r="W45" s="520"/>
      <c r="X45" s="520"/>
      <c r="Y45" s="520"/>
      <c r="Z45" s="533" t="str">
        <f t="shared" si="5"/>
        <v/>
      </c>
      <c r="AA45" s="533" t="str">
        <f t="shared" si="17"/>
        <v/>
      </c>
      <c r="AB45" s="533" t="str">
        <f t="shared" si="6"/>
        <v/>
      </c>
      <c r="AC45" s="533" t="str">
        <f t="shared" si="16"/>
        <v/>
      </c>
      <c r="AD45" s="533" t="str">
        <f t="shared" si="7"/>
        <v/>
      </c>
      <c r="AE45" s="533" t="str">
        <f t="shared" si="8"/>
        <v/>
      </c>
      <c r="AF45" s="533" t="str">
        <f t="shared" si="9"/>
        <v/>
      </c>
      <c r="AG45" s="513"/>
      <c r="AH45" s="513"/>
      <c r="AI45" s="513"/>
      <c r="AJ45" s="513"/>
      <c r="AK45" s="513"/>
      <c r="AL45" s="513"/>
      <c r="AM45" s="514"/>
      <c r="AN45" s="514"/>
      <c r="AO45" s="513"/>
      <c r="AP45" s="302" t="e">
        <f t="shared" si="10"/>
        <v>#DIV/0!</v>
      </c>
      <c r="AQ45" s="303" t="e">
        <f>IF(AP45&gt;KKM!$G$10,"A",IF(AP45&gt;KKM!$H$10,"B",IF(AP45&gt;=KKM!$I$10,"C","D")))</f>
        <v>#DIV/0!</v>
      </c>
      <c r="AR45" s="304">
        <f t="shared" si="0"/>
        <v>0</v>
      </c>
      <c r="AS45" s="309" t="str">
        <f>IF(AR45&gt;KKM!$G$10," sangat baik ",IF(AR45&gt;KKM!$H$10," baik ",IF(AR45&gt;=KKM!$I$10," cukup baik "," perlu bimbingan ")))</f>
        <v xml:space="preserve"> perlu bimbingan </v>
      </c>
      <c r="AT45" s="305">
        <f t="shared" si="1"/>
        <v>0</v>
      </c>
      <c r="AU45" s="309" t="str">
        <f>IF(AT45&gt;KKM!$G$10," sangat baik ",IF(AT45&gt;KKM!$H$10," baik ",IF(AT45&gt;=KKM!$I$10," cukup baik "," perlu bimbingan ")))</f>
        <v xml:space="preserve"> perlu bimbingan </v>
      </c>
      <c r="AV45" s="301" t="str">
        <f t="shared" si="11"/>
        <v xml:space="preserve"> </v>
      </c>
      <c r="AW45" s="218"/>
      <c r="AX45" s="219" t="e">
        <f t="shared" si="2"/>
        <v>#N/A</v>
      </c>
      <c r="AY45" s="219" t="e">
        <f t="shared" si="3"/>
        <v>#N/A</v>
      </c>
      <c r="AZ45" s="219" t="e">
        <f t="shared" si="12"/>
        <v>#N/A</v>
      </c>
      <c r="BA45" s="219" t="e">
        <f t="shared" si="13"/>
        <v>#N/A</v>
      </c>
      <c r="BB45" s="220" t="e">
        <f t="shared" si="14"/>
        <v>#N/A</v>
      </c>
      <c r="BC45" s="214" t="e">
        <f t="shared" si="18"/>
        <v>#N/A</v>
      </c>
      <c r="BD45" s="120"/>
      <c r="BN45" s="408" t="str">
        <f t="shared" si="15"/>
        <v/>
      </c>
    </row>
    <row r="46" spans="2:66" ht="65.25" customHeight="1">
      <c r="B46" s="109">
        <v>42</v>
      </c>
      <c r="C46" s="110">
        <f>SISWA!B47</f>
        <v>0</v>
      </c>
      <c r="D46" s="111" t="str">
        <f>SISWA!E47</f>
        <v>Anak 42</v>
      </c>
      <c r="E46" s="520"/>
      <c r="F46" s="520"/>
      <c r="G46" s="520"/>
      <c r="H46" s="520"/>
      <c r="I46" s="520"/>
      <c r="J46" s="520"/>
      <c r="K46" s="520"/>
      <c r="L46" s="520"/>
      <c r="M46" s="520"/>
      <c r="N46" s="520"/>
      <c r="O46" s="520"/>
      <c r="P46" s="520"/>
      <c r="Q46" s="520"/>
      <c r="R46" s="520"/>
      <c r="S46" s="520"/>
      <c r="T46" s="520"/>
      <c r="U46" s="520"/>
      <c r="V46" s="520"/>
      <c r="W46" s="520"/>
      <c r="X46" s="520"/>
      <c r="Y46" s="520"/>
      <c r="Z46" s="533" t="str">
        <f t="shared" si="5"/>
        <v/>
      </c>
      <c r="AA46" s="533" t="str">
        <f t="shared" si="17"/>
        <v/>
      </c>
      <c r="AB46" s="533" t="str">
        <f t="shared" si="6"/>
        <v/>
      </c>
      <c r="AC46" s="533" t="str">
        <f t="shared" si="16"/>
        <v/>
      </c>
      <c r="AD46" s="533" t="str">
        <f t="shared" si="7"/>
        <v/>
      </c>
      <c r="AE46" s="533" t="str">
        <f t="shared" si="8"/>
        <v/>
      </c>
      <c r="AF46" s="533" t="str">
        <f t="shared" si="9"/>
        <v/>
      </c>
      <c r="AG46" s="513"/>
      <c r="AH46" s="513"/>
      <c r="AI46" s="513"/>
      <c r="AJ46" s="513"/>
      <c r="AK46" s="513"/>
      <c r="AL46" s="513"/>
      <c r="AM46" s="514"/>
      <c r="AN46" s="514"/>
      <c r="AO46" s="513"/>
      <c r="AP46" s="302" t="e">
        <f t="shared" si="10"/>
        <v>#DIV/0!</v>
      </c>
      <c r="AQ46" s="303" t="e">
        <f>IF(AP46&gt;KKM!$G$10,"A",IF(AP46&gt;KKM!$H$10,"B",IF(AP46&gt;=KKM!$I$10,"C","D")))</f>
        <v>#DIV/0!</v>
      </c>
      <c r="AR46" s="304">
        <f t="shared" si="0"/>
        <v>0</v>
      </c>
      <c r="AS46" s="309" t="str">
        <f>IF(AR46&gt;KKM!$G$10," sangat baik ",IF(AR46&gt;KKM!$H$10," baik ",IF(AR46&gt;=KKM!$I$10," cukup baik "," perlu bimbingan ")))</f>
        <v xml:space="preserve"> perlu bimbingan </v>
      </c>
      <c r="AT46" s="305">
        <f t="shared" si="1"/>
        <v>0</v>
      </c>
      <c r="AU46" s="309" t="str">
        <f>IF(AT46&gt;KKM!$G$10," sangat baik ",IF(AT46&gt;KKM!$H$10," baik ",IF(AT46&gt;=KKM!$I$10," cukup baik "," perlu bimbingan ")))</f>
        <v xml:space="preserve"> perlu bimbingan </v>
      </c>
      <c r="AV46" s="301" t="str">
        <f t="shared" si="11"/>
        <v xml:space="preserve"> </v>
      </c>
      <c r="AW46" s="218"/>
      <c r="AX46" s="219" t="e">
        <f t="shared" si="2"/>
        <v>#N/A</v>
      </c>
      <c r="AY46" s="219" t="e">
        <f t="shared" si="3"/>
        <v>#N/A</v>
      </c>
      <c r="AZ46" s="219" t="e">
        <f t="shared" si="12"/>
        <v>#N/A</v>
      </c>
      <c r="BA46" s="219" t="e">
        <f t="shared" si="13"/>
        <v>#N/A</v>
      </c>
      <c r="BB46" s="220" t="e">
        <f t="shared" si="14"/>
        <v>#N/A</v>
      </c>
      <c r="BC46" s="214" t="e">
        <f t="shared" si="18"/>
        <v>#N/A</v>
      </c>
      <c r="BD46" s="120"/>
      <c r="BN46" s="408" t="str">
        <f t="shared" si="15"/>
        <v/>
      </c>
    </row>
    <row r="47" spans="2:66" ht="65.25" customHeight="1">
      <c r="B47" s="109">
        <v>43</v>
      </c>
      <c r="C47" s="110">
        <f>SISWA!B48</f>
        <v>0</v>
      </c>
      <c r="D47" s="111" t="str">
        <f>SISWA!E48</f>
        <v>Anak 43</v>
      </c>
      <c r="E47" s="520"/>
      <c r="F47" s="520"/>
      <c r="G47" s="520"/>
      <c r="H47" s="520"/>
      <c r="I47" s="520"/>
      <c r="J47" s="520"/>
      <c r="K47" s="520"/>
      <c r="L47" s="520"/>
      <c r="M47" s="520"/>
      <c r="N47" s="520"/>
      <c r="O47" s="520"/>
      <c r="P47" s="520"/>
      <c r="Q47" s="520"/>
      <c r="R47" s="520"/>
      <c r="S47" s="520"/>
      <c r="T47" s="520"/>
      <c r="U47" s="520"/>
      <c r="V47" s="520"/>
      <c r="W47" s="520"/>
      <c r="X47" s="520"/>
      <c r="Y47" s="520"/>
      <c r="Z47" s="533" t="str">
        <f t="shared" si="5"/>
        <v/>
      </c>
      <c r="AA47" s="533" t="str">
        <f t="shared" si="17"/>
        <v/>
      </c>
      <c r="AB47" s="533" t="str">
        <f t="shared" si="6"/>
        <v/>
      </c>
      <c r="AC47" s="533" t="str">
        <f t="shared" si="16"/>
        <v/>
      </c>
      <c r="AD47" s="533" t="str">
        <f t="shared" si="7"/>
        <v/>
      </c>
      <c r="AE47" s="533" t="str">
        <f t="shared" si="8"/>
        <v/>
      </c>
      <c r="AF47" s="533" t="str">
        <f t="shared" si="9"/>
        <v/>
      </c>
      <c r="AG47" s="513"/>
      <c r="AH47" s="513"/>
      <c r="AI47" s="513"/>
      <c r="AJ47" s="513"/>
      <c r="AK47" s="513"/>
      <c r="AL47" s="513"/>
      <c r="AM47" s="514"/>
      <c r="AN47" s="514"/>
      <c r="AO47" s="513"/>
      <c r="AP47" s="302" t="e">
        <f t="shared" si="10"/>
        <v>#DIV/0!</v>
      </c>
      <c r="AQ47" s="303" t="e">
        <f>IF(AP47&gt;KKM!$G$10,"A",IF(AP47&gt;KKM!$H$10,"B",IF(AP47&gt;=KKM!$I$10,"C","D")))</f>
        <v>#DIV/0!</v>
      </c>
      <c r="AR47" s="304">
        <f t="shared" si="0"/>
        <v>0</v>
      </c>
      <c r="AS47" s="309" t="str">
        <f>IF(AR47&gt;KKM!$G$10," sangat baik ",IF(AR47&gt;KKM!$H$10," baik ",IF(AR47&gt;=KKM!$I$10," cukup baik "," perlu bimbingan ")))</f>
        <v xml:space="preserve"> perlu bimbingan </v>
      </c>
      <c r="AT47" s="305">
        <f t="shared" si="1"/>
        <v>0</v>
      </c>
      <c r="AU47" s="309" t="str">
        <f>IF(AT47&gt;KKM!$G$10," sangat baik ",IF(AT47&gt;KKM!$H$10," baik ",IF(AT47&gt;=KKM!$I$10," cukup baik "," perlu bimbingan ")))</f>
        <v xml:space="preserve"> perlu bimbingan </v>
      </c>
      <c r="AV47" s="301" t="str">
        <f t="shared" si="11"/>
        <v xml:space="preserve"> </v>
      </c>
      <c r="AW47" s="218"/>
      <c r="AX47" s="219" t="e">
        <f t="shared" si="2"/>
        <v>#N/A</v>
      </c>
      <c r="AY47" s="219" t="e">
        <f t="shared" si="3"/>
        <v>#N/A</v>
      </c>
      <c r="AZ47" s="219" t="e">
        <f t="shared" si="12"/>
        <v>#N/A</v>
      </c>
      <c r="BA47" s="219" t="e">
        <f t="shared" si="13"/>
        <v>#N/A</v>
      </c>
      <c r="BB47" s="220" t="e">
        <f t="shared" si="14"/>
        <v>#N/A</v>
      </c>
      <c r="BC47" s="214" t="e">
        <f t="shared" si="18"/>
        <v>#N/A</v>
      </c>
      <c r="BD47" s="120"/>
      <c r="BN47" s="408" t="str">
        <f t="shared" si="15"/>
        <v/>
      </c>
    </row>
    <row r="48" spans="2:66" ht="65.25" customHeight="1">
      <c r="B48" s="109">
        <v>44</v>
      </c>
      <c r="C48" s="110">
        <f>SISWA!B49</f>
        <v>0</v>
      </c>
      <c r="D48" s="111" t="str">
        <f>SISWA!E49</f>
        <v>Anak 44</v>
      </c>
      <c r="E48" s="520"/>
      <c r="F48" s="520"/>
      <c r="G48" s="520"/>
      <c r="H48" s="520"/>
      <c r="I48" s="520"/>
      <c r="J48" s="520"/>
      <c r="K48" s="520"/>
      <c r="L48" s="520"/>
      <c r="M48" s="520"/>
      <c r="N48" s="520"/>
      <c r="O48" s="520"/>
      <c r="P48" s="520"/>
      <c r="Q48" s="520"/>
      <c r="R48" s="520"/>
      <c r="S48" s="520"/>
      <c r="T48" s="520"/>
      <c r="U48" s="520"/>
      <c r="V48" s="520"/>
      <c r="W48" s="520"/>
      <c r="X48" s="520"/>
      <c r="Y48" s="520"/>
      <c r="Z48" s="533" t="str">
        <f t="shared" si="5"/>
        <v/>
      </c>
      <c r="AA48" s="533" t="str">
        <f t="shared" si="17"/>
        <v/>
      </c>
      <c r="AB48" s="533" t="str">
        <f t="shared" si="6"/>
        <v/>
      </c>
      <c r="AC48" s="533" t="str">
        <f t="shared" si="16"/>
        <v/>
      </c>
      <c r="AD48" s="533" t="str">
        <f t="shared" si="7"/>
        <v/>
      </c>
      <c r="AE48" s="533" t="str">
        <f t="shared" si="8"/>
        <v/>
      </c>
      <c r="AF48" s="533" t="str">
        <f t="shared" si="9"/>
        <v/>
      </c>
      <c r="AG48" s="513"/>
      <c r="AH48" s="513"/>
      <c r="AI48" s="513"/>
      <c r="AJ48" s="513"/>
      <c r="AK48" s="513"/>
      <c r="AL48" s="513"/>
      <c r="AM48" s="514"/>
      <c r="AN48" s="514"/>
      <c r="AO48" s="513"/>
      <c r="AP48" s="302" t="e">
        <f t="shared" si="10"/>
        <v>#DIV/0!</v>
      </c>
      <c r="AQ48" s="303" t="e">
        <f>IF(AP48&gt;KKM!$G$10,"A",IF(AP48&gt;KKM!$H$10,"B",IF(AP48&gt;=KKM!$I$10,"C","D")))</f>
        <v>#DIV/0!</v>
      </c>
      <c r="AR48" s="304">
        <f t="shared" si="0"/>
        <v>0</v>
      </c>
      <c r="AS48" s="309" t="str">
        <f>IF(AR48&gt;KKM!$G$10," sangat baik ",IF(AR48&gt;KKM!$H$10," baik ",IF(AR48&gt;=KKM!$I$10," cukup baik "," perlu bimbingan ")))</f>
        <v xml:space="preserve"> perlu bimbingan </v>
      </c>
      <c r="AT48" s="305">
        <f t="shared" si="1"/>
        <v>0</v>
      </c>
      <c r="AU48" s="309" t="str">
        <f>IF(AT48&gt;KKM!$G$10," sangat baik ",IF(AT48&gt;KKM!$H$10," baik ",IF(AT48&gt;=KKM!$I$10," cukup baik "," perlu bimbingan ")))</f>
        <v xml:space="preserve"> perlu bimbingan </v>
      </c>
      <c r="AV48" s="301" t="str">
        <f t="shared" si="11"/>
        <v xml:space="preserve"> </v>
      </c>
      <c r="AW48" s="218"/>
      <c r="AX48" s="219" t="e">
        <f t="shared" si="2"/>
        <v>#N/A</v>
      </c>
      <c r="AY48" s="219" t="e">
        <f t="shared" si="3"/>
        <v>#N/A</v>
      </c>
      <c r="AZ48" s="219" t="e">
        <f t="shared" si="12"/>
        <v>#N/A</v>
      </c>
      <c r="BA48" s="219" t="e">
        <f t="shared" si="13"/>
        <v>#N/A</v>
      </c>
      <c r="BB48" s="220" t="e">
        <f t="shared" si="14"/>
        <v>#N/A</v>
      </c>
      <c r="BC48" s="214" t="e">
        <f t="shared" si="18"/>
        <v>#N/A</v>
      </c>
      <c r="BD48" s="120"/>
      <c r="BN48" s="408" t="str">
        <f t="shared" si="15"/>
        <v/>
      </c>
    </row>
    <row r="49" spans="2:66" ht="65.25" customHeight="1">
      <c r="B49" s="109">
        <v>45</v>
      </c>
      <c r="C49" s="110">
        <f>SISWA!B50</f>
        <v>0</v>
      </c>
      <c r="D49" s="111" t="str">
        <f>SISWA!E50</f>
        <v>Anak 45</v>
      </c>
      <c r="E49" s="520"/>
      <c r="F49" s="520"/>
      <c r="G49" s="520"/>
      <c r="H49" s="520"/>
      <c r="I49" s="520"/>
      <c r="J49" s="520"/>
      <c r="K49" s="520"/>
      <c r="L49" s="520"/>
      <c r="M49" s="520"/>
      <c r="N49" s="520"/>
      <c r="O49" s="520"/>
      <c r="P49" s="520"/>
      <c r="Q49" s="520"/>
      <c r="R49" s="520"/>
      <c r="S49" s="520"/>
      <c r="T49" s="520"/>
      <c r="U49" s="520"/>
      <c r="V49" s="520"/>
      <c r="W49" s="520"/>
      <c r="X49" s="520"/>
      <c r="Y49" s="520"/>
      <c r="Z49" s="533" t="str">
        <f t="shared" si="5"/>
        <v/>
      </c>
      <c r="AA49" s="533" t="str">
        <f t="shared" si="17"/>
        <v/>
      </c>
      <c r="AB49" s="533" t="str">
        <f t="shared" si="6"/>
        <v/>
      </c>
      <c r="AC49" s="533" t="str">
        <f t="shared" si="16"/>
        <v/>
      </c>
      <c r="AD49" s="533" t="str">
        <f t="shared" si="7"/>
        <v/>
      </c>
      <c r="AE49" s="533" t="str">
        <f t="shared" si="8"/>
        <v/>
      </c>
      <c r="AF49" s="533" t="str">
        <f t="shared" si="9"/>
        <v/>
      </c>
      <c r="AG49" s="513"/>
      <c r="AH49" s="513"/>
      <c r="AI49" s="513"/>
      <c r="AJ49" s="513"/>
      <c r="AK49" s="513"/>
      <c r="AL49" s="513"/>
      <c r="AM49" s="514"/>
      <c r="AN49" s="514"/>
      <c r="AO49" s="513"/>
      <c r="AP49" s="302" t="e">
        <f t="shared" si="10"/>
        <v>#DIV/0!</v>
      </c>
      <c r="AQ49" s="303" t="e">
        <f>IF(AP49&gt;KKM!$G$10,"A",IF(AP49&gt;KKM!$H$10,"B",IF(AP49&gt;=KKM!$I$10,"C","D")))</f>
        <v>#DIV/0!</v>
      </c>
      <c r="AR49" s="304">
        <f t="shared" si="0"/>
        <v>0</v>
      </c>
      <c r="AS49" s="309" t="str">
        <f>IF(AR49&gt;KKM!$G$10," sangat baik ",IF(AR49&gt;KKM!$H$10," baik ",IF(AR49&gt;=KKM!$I$10," cukup baik "," perlu bimbingan ")))</f>
        <v xml:space="preserve"> perlu bimbingan </v>
      </c>
      <c r="AT49" s="305">
        <f t="shared" si="1"/>
        <v>0</v>
      </c>
      <c r="AU49" s="309" t="str">
        <f>IF(AT49&gt;KKM!$G$10," sangat baik ",IF(AT49&gt;KKM!$H$10," baik ",IF(AT49&gt;=KKM!$I$10," cukup baik "," perlu bimbingan ")))</f>
        <v xml:space="preserve"> perlu bimbingan </v>
      </c>
      <c r="AV49" s="301" t="str">
        <f t="shared" si="11"/>
        <v xml:space="preserve"> </v>
      </c>
      <c r="AW49" s="218"/>
      <c r="AX49" s="219" t="e">
        <f t="shared" si="2"/>
        <v>#N/A</v>
      </c>
      <c r="AY49" s="219" t="e">
        <f t="shared" si="3"/>
        <v>#N/A</v>
      </c>
      <c r="AZ49" s="219" t="e">
        <f t="shared" si="12"/>
        <v>#N/A</v>
      </c>
      <c r="BA49" s="219" t="e">
        <f t="shared" si="13"/>
        <v>#N/A</v>
      </c>
      <c r="BB49" s="220" t="e">
        <f t="shared" si="14"/>
        <v>#N/A</v>
      </c>
      <c r="BC49" s="214" t="e">
        <f t="shared" si="18"/>
        <v>#N/A</v>
      </c>
      <c r="BD49" s="120"/>
      <c r="BN49" s="408" t="str">
        <f t="shared" si="15"/>
        <v/>
      </c>
    </row>
    <row r="50" spans="2:66" ht="65.25" customHeight="1">
      <c r="B50" s="109">
        <v>46</v>
      </c>
      <c r="C50" s="110">
        <f>SISWA!B51</f>
        <v>0</v>
      </c>
      <c r="D50" s="111" t="str">
        <f>SISWA!E51</f>
        <v>Anak 46</v>
      </c>
      <c r="E50" s="520"/>
      <c r="F50" s="520"/>
      <c r="G50" s="520"/>
      <c r="H50" s="520"/>
      <c r="I50" s="520"/>
      <c r="J50" s="520"/>
      <c r="K50" s="520"/>
      <c r="L50" s="520"/>
      <c r="M50" s="520"/>
      <c r="N50" s="520"/>
      <c r="O50" s="520"/>
      <c r="P50" s="520"/>
      <c r="Q50" s="520"/>
      <c r="R50" s="520"/>
      <c r="S50" s="520"/>
      <c r="T50" s="520"/>
      <c r="U50" s="520"/>
      <c r="V50" s="520"/>
      <c r="W50" s="520"/>
      <c r="X50" s="520"/>
      <c r="Y50" s="520"/>
      <c r="Z50" s="533" t="str">
        <f t="shared" si="5"/>
        <v/>
      </c>
      <c r="AA50" s="533" t="str">
        <f t="shared" si="17"/>
        <v/>
      </c>
      <c r="AB50" s="533" t="str">
        <f t="shared" si="6"/>
        <v/>
      </c>
      <c r="AC50" s="533" t="str">
        <f t="shared" si="16"/>
        <v/>
      </c>
      <c r="AD50" s="533" t="str">
        <f t="shared" si="7"/>
        <v/>
      </c>
      <c r="AE50" s="533" t="str">
        <f t="shared" si="8"/>
        <v/>
      </c>
      <c r="AF50" s="533" t="str">
        <f t="shared" si="9"/>
        <v/>
      </c>
      <c r="AG50" s="513"/>
      <c r="AH50" s="513"/>
      <c r="AI50" s="513"/>
      <c r="AJ50" s="513"/>
      <c r="AK50" s="513"/>
      <c r="AL50" s="513"/>
      <c r="AM50" s="514"/>
      <c r="AN50" s="514"/>
      <c r="AO50" s="513"/>
      <c r="AP50" s="302" t="e">
        <f t="shared" si="10"/>
        <v>#DIV/0!</v>
      </c>
      <c r="AQ50" s="303" t="e">
        <f>IF(AP50&gt;KKM!$G$10,"A",IF(AP50&gt;KKM!$H$10,"B",IF(AP50&gt;=KKM!$I$10,"C","D")))</f>
        <v>#DIV/0!</v>
      </c>
      <c r="AR50" s="304">
        <f t="shared" si="0"/>
        <v>0</v>
      </c>
      <c r="AS50" s="309" t="str">
        <f>IF(AR50&gt;KKM!$G$10," sangat baik ",IF(AR50&gt;KKM!$H$10," baik ",IF(AR50&gt;=KKM!$I$10," cukup baik "," perlu bimbingan ")))</f>
        <v xml:space="preserve"> perlu bimbingan </v>
      </c>
      <c r="AT50" s="305">
        <f t="shared" si="1"/>
        <v>0</v>
      </c>
      <c r="AU50" s="309" t="str">
        <f>IF(AT50&gt;KKM!$G$10," sangat baik ",IF(AT50&gt;KKM!$H$10," baik ",IF(AT50&gt;=KKM!$I$10," cukup baik "," perlu bimbingan ")))</f>
        <v xml:space="preserve"> perlu bimbingan </v>
      </c>
      <c r="AV50" s="301" t="str">
        <f t="shared" si="11"/>
        <v xml:space="preserve"> </v>
      </c>
      <c r="AW50" s="218"/>
      <c r="AX50" s="219" t="e">
        <f t="shared" si="2"/>
        <v>#N/A</v>
      </c>
      <c r="AY50" s="219" t="e">
        <f t="shared" si="3"/>
        <v>#N/A</v>
      </c>
      <c r="AZ50" s="219" t="e">
        <f t="shared" si="12"/>
        <v>#N/A</v>
      </c>
      <c r="BA50" s="219" t="e">
        <f t="shared" si="13"/>
        <v>#N/A</v>
      </c>
      <c r="BB50" s="220" t="e">
        <f t="shared" si="14"/>
        <v>#N/A</v>
      </c>
      <c r="BC50" s="214" t="e">
        <f t="shared" si="18"/>
        <v>#N/A</v>
      </c>
      <c r="BD50" s="120"/>
      <c r="BN50" s="408" t="str">
        <f t="shared" si="15"/>
        <v/>
      </c>
    </row>
    <row r="51" spans="2:66" ht="65.25" customHeight="1">
      <c r="B51" s="109">
        <v>47</v>
      </c>
      <c r="C51" s="110">
        <f>SISWA!B52</f>
        <v>0</v>
      </c>
      <c r="D51" s="111" t="str">
        <f>SISWA!E52</f>
        <v>Anak 47</v>
      </c>
      <c r="E51" s="520"/>
      <c r="F51" s="520"/>
      <c r="G51" s="520"/>
      <c r="H51" s="520"/>
      <c r="I51" s="520"/>
      <c r="J51" s="520"/>
      <c r="K51" s="520"/>
      <c r="L51" s="520"/>
      <c r="M51" s="520"/>
      <c r="N51" s="520"/>
      <c r="O51" s="520"/>
      <c r="P51" s="520"/>
      <c r="Q51" s="520"/>
      <c r="R51" s="520"/>
      <c r="S51" s="520"/>
      <c r="T51" s="520"/>
      <c r="U51" s="520"/>
      <c r="V51" s="520"/>
      <c r="W51" s="520"/>
      <c r="X51" s="520"/>
      <c r="Y51" s="520"/>
      <c r="Z51" s="533" t="str">
        <f t="shared" si="5"/>
        <v/>
      </c>
      <c r="AA51" s="533" t="str">
        <f t="shared" si="17"/>
        <v/>
      </c>
      <c r="AB51" s="533" t="str">
        <f t="shared" si="6"/>
        <v/>
      </c>
      <c r="AC51" s="533" t="str">
        <f t="shared" si="16"/>
        <v/>
      </c>
      <c r="AD51" s="533" t="str">
        <f t="shared" si="7"/>
        <v/>
      </c>
      <c r="AE51" s="533" t="str">
        <f t="shared" si="8"/>
        <v/>
      </c>
      <c r="AF51" s="533" t="str">
        <f t="shared" si="9"/>
        <v/>
      </c>
      <c r="AG51" s="513"/>
      <c r="AH51" s="513"/>
      <c r="AI51" s="513"/>
      <c r="AJ51" s="513"/>
      <c r="AK51" s="513"/>
      <c r="AL51" s="513"/>
      <c r="AM51" s="514"/>
      <c r="AN51" s="514"/>
      <c r="AO51" s="513"/>
      <c r="AP51" s="302" t="e">
        <f t="shared" si="10"/>
        <v>#DIV/0!</v>
      </c>
      <c r="AQ51" s="303" t="e">
        <f>IF(AP51&gt;KKM!$G$10,"A",IF(AP51&gt;KKM!$H$10,"B",IF(AP51&gt;=KKM!$I$10,"C","D")))</f>
        <v>#DIV/0!</v>
      </c>
      <c r="AR51" s="304">
        <f t="shared" si="0"/>
        <v>0</v>
      </c>
      <c r="AS51" s="309" t="str">
        <f>IF(AR51&gt;KKM!$G$10," sangat baik ",IF(AR51&gt;KKM!$H$10," baik ",IF(AR51&gt;=KKM!$I$10," cukup baik "," perlu bimbingan ")))</f>
        <v xml:space="preserve"> perlu bimbingan </v>
      </c>
      <c r="AT51" s="305">
        <f t="shared" si="1"/>
        <v>0</v>
      </c>
      <c r="AU51" s="309" t="str">
        <f>IF(AT51&gt;KKM!$G$10," sangat baik ",IF(AT51&gt;KKM!$H$10," baik ",IF(AT51&gt;=KKM!$I$10," cukup baik "," perlu bimbingan ")))</f>
        <v xml:space="preserve"> perlu bimbingan </v>
      </c>
      <c r="AV51" s="301" t="str">
        <f t="shared" si="11"/>
        <v xml:space="preserve"> </v>
      </c>
      <c r="AW51" s="218"/>
      <c r="AX51" s="219" t="e">
        <f t="shared" si="2"/>
        <v>#N/A</v>
      </c>
      <c r="AY51" s="219" t="e">
        <f t="shared" si="3"/>
        <v>#N/A</v>
      </c>
      <c r="AZ51" s="219" t="e">
        <f t="shared" si="12"/>
        <v>#N/A</v>
      </c>
      <c r="BA51" s="219" t="e">
        <f t="shared" si="13"/>
        <v>#N/A</v>
      </c>
      <c r="BB51" s="220" t="e">
        <f t="shared" si="14"/>
        <v>#N/A</v>
      </c>
      <c r="BC51" s="214" t="e">
        <f t="shared" si="18"/>
        <v>#N/A</v>
      </c>
      <c r="BD51" s="120"/>
      <c r="BN51" s="408" t="str">
        <f t="shared" si="15"/>
        <v/>
      </c>
    </row>
    <row r="52" spans="2:66" ht="65.25" customHeight="1">
      <c r="B52" s="109">
        <v>48</v>
      </c>
      <c r="C52" s="110">
        <f>SISWA!B53</f>
        <v>0</v>
      </c>
      <c r="D52" s="111" t="str">
        <f>SISWA!E53</f>
        <v>Anak 48</v>
      </c>
      <c r="E52" s="520"/>
      <c r="F52" s="520"/>
      <c r="G52" s="520"/>
      <c r="H52" s="520"/>
      <c r="I52" s="520"/>
      <c r="J52" s="520"/>
      <c r="K52" s="520"/>
      <c r="L52" s="520"/>
      <c r="M52" s="520"/>
      <c r="N52" s="520"/>
      <c r="O52" s="520"/>
      <c r="P52" s="520"/>
      <c r="Q52" s="520"/>
      <c r="R52" s="520"/>
      <c r="S52" s="520"/>
      <c r="T52" s="520"/>
      <c r="U52" s="520"/>
      <c r="V52" s="520"/>
      <c r="W52" s="520"/>
      <c r="X52" s="520"/>
      <c r="Y52" s="520"/>
      <c r="Z52" s="533" t="str">
        <f t="shared" si="5"/>
        <v/>
      </c>
      <c r="AA52" s="533" t="str">
        <f t="shared" si="17"/>
        <v/>
      </c>
      <c r="AB52" s="533" t="str">
        <f t="shared" si="6"/>
        <v/>
      </c>
      <c r="AC52" s="533" t="str">
        <f t="shared" si="16"/>
        <v/>
      </c>
      <c r="AD52" s="533" t="str">
        <f t="shared" si="7"/>
        <v/>
      </c>
      <c r="AE52" s="533" t="str">
        <f t="shared" si="8"/>
        <v/>
      </c>
      <c r="AF52" s="533" t="str">
        <f t="shared" si="9"/>
        <v/>
      </c>
      <c r="AG52" s="513"/>
      <c r="AH52" s="513"/>
      <c r="AI52" s="513"/>
      <c r="AJ52" s="513"/>
      <c r="AK52" s="513"/>
      <c r="AL52" s="513"/>
      <c r="AM52" s="514"/>
      <c r="AN52" s="514"/>
      <c r="AO52" s="513"/>
      <c r="AP52" s="302" t="e">
        <f t="shared" si="10"/>
        <v>#DIV/0!</v>
      </c>
      <c r="AQ52" s="303" t="e">
        <f>IF(AP52&gt;KKM!$G$10,"A",IF(AP52&gt;KKM!$H$10,"B",IF(AP52&gt;=KKM!$I$10,"C","D")))</f>
        <v>#DIV/0!</v>
      </c>
      <c r="AR52" s="304">
        <f t="shared" si="0"/>
        <v>0</v>
      </c>
      <c r="AS52" s="309" t="str">
        <f>IF(AR52&gt;KKM!$G$10," sangat baik ",IF(AR52&gt;KKM!$H$10," baik ",IF(AR52&gt;=KKM!$I$10," cukup baik "," perlu bimbingan ")))</f>
        <v xml:space="preserve"> perlu bimbingan </v>
      </c>
      <c r="AT52" s="305">
        <f t="shared" si="1"/>
        <v>0</v>
      </c>
      <c r="AU52" s="309" t="str">
        <f>IF(AT52&gt;KKM!$G$10," sangat baik ",IF(AT52&gt;KKM!$H$10," baik ",IF(AT52&gt;=KKM!$I$10," cukup baik "," perlu bimbingan ")))</f>
        <v xml:space="preserve"> perlu bimbingan </v>
      </c>
      <c r="AV52" s="301" t="str">
        <f t="shared" si="11"/>
        <v xml:space="preserve"> </v>
      </c>
      <c r="AW52" s="218"/>
      <c r="AX52" s="219" t="e">
        <f t="shared" si="2"/>
        <v>#N/A</v>
      </c>
      <c r="AY52" s="219" t="e">
        <f t="shared" si="3"/>
        <v>#N/A</v>
      </c>
      <c r="AZ52" s="219" t="e">
        <f t="shared" si="12"/>
        <v>#N/A</v>
      </c>
      <c r="BA52" s="219" t="e">
        <f t="shared" si="13"/>
        <v>#N/A</v>
      </c>
      <c r="BB52" s="220" t="e">
        <f t="shared" si="14"/>
        <v>#N/A</v>
      </c>
      <c r="BC52" s="214" t="e">
        <f t="shared" si="18"/>
        <v>#N/A</v>
      </c>
      <c r="BD52" s="120"/>
      <c r="BN52" s="408" t="str">
        <f t="shared" si="15"/>
        <v/>
      </c>
    </row>
    <row r="53" spans="2:66" ht="65.25" customHeight="1">
      <c r="B53" s="109">
        <v>49</v>
      </c>
      <c r="C53" s="110">
        <f>SISWA!B54</f>
        <v>0</v>
      </c>
      <c r="D53" s="111" t="str">
        <f>SISWA!E54</f>
        <v>Anak 49</v>
      </c>
      <c r="E53" s="520"/>
      <c r="F53" s="520"/>
      <c r="G53" s="520"/>
      <c r="H53" s="520"/>
      <c r="I53" s="520"/>
      <c r="J53" s="520"/>
      <c r="K53" s="520"/>
      <c r="L53" s="520"/>
      <c r="M53" s="520"/>
      <c r="N53" s="520"/>
      <c r="O53" s="520"/>
      <c r="P53" s="520"/>
      <c r="Q53" s="520"/>
      <c r="R53" s="520"/>
      <c r="S53" s="520"/>
      <c r="T53" s="520"/>
      <c r="U53" s="520"/>
      <c r="V53" s="520"/>
      <c r="W53" s="520"/>
      <c r="X53" s="520"/>
      <c r="Y53" s="520"/>
      <c r="Z53" s="533" t="str">
        <f t="shared" si="5"/>
        <v/>
      </c>
      <c r="AA53" s="533" t="str">
        <f t="shared" si="17"/>
        <v/>
      </c>
      <c r="AB53" s="533" t="str">
        <f t="shared" si="6"/>
        <v/>
      </c>
      <c r="AC53" s="533" t="str">
        <f t="shared" si="16"/>
        <v/>
      </c>
      <c r="AD53" s="533" t="str">
        <f t="shared" si="7"/>
        <v/>
      </c>
      <c r="AE53" s="533" t="str">
        <f t="shared" si="8"/>
        <v/>
      </c>
      <c r="AF53" s="533" t="str">
        <f t="shared" si="9"/>
        <v/>
      </c>
      <c r="AG53" s="513"/>
      <c r="AH53" s="513"/>
      <c r="AI53" s="513"/>
      <c r="AJ53" s="513"/>
      <c r="AK53" s="513"/>
      <c r="AL53" s="513"/>
      <c r="AM53" s="514"/>
      <c r="AN53" s="514"/>
      <c r="AO53" s="513"/>
      <c r="AP53" s="302" t="e">
        <f t="shared" si="10"/>
        <v>#DIV/0!</v>
      </c>
      <c r="AQ53" s="303" t="e">
        <f>IF(AP53&gt;KKM!$G$10,"A",IF(AP53&gt;KKM!$H$10,"B",IF(AP53&gt;=KKM!$I$10,"C","D")))</f>
        <v>#DIV/0!</v>
      </c>
      <c r="AR53" s="304">
        <f t="shared" si="0"/>
        <v>0</v>
      </c>
      <c r="AS53" s="309" t="str">
        <f>IF(AR53&gt;KKM!$G$10," sangat baik ",IF(AR53&gt;KKM!$H$10," baik ",IF(AR53&gt;=KKM!$I$10," cukup baik "," perlu bimbingan ")))</f>
        <v xml:space="preserve"> perlu bimbingan </v>
      </c>
      <c r="AT53" s="305">
        <f t="shared" si="1"/>
        <v>0</v>
      </c>
      <c r="AU53" s="309" t="str">
        <f>IF(AT53&gt;KKM!$G$10," sangat baik ",IF(AT53&gt;KKM!$H$10," baik ",IF(AT53&gt;=KKM!$I$10," cukup baik "," perlu bimbingan ")))</f>
        <v xml:space="preserve"> perlu bimbingan </v>
      </c>
      <c r="AV53" s="301" t="str">
        <f t="shared" si="11"/>
        <v xml:space="preserve"> </v>
      </c>
      <c r="AW53" s="218"/>
      <c r="AX53" s="219" t="e">
        <f t="shared" si="2"/>
        <v>#N/A</v>
      </c>
      <c r="AY53" s="219" t="e">
        <f t="shared" si="3"/>
        <v>#N/A</v>
      </c>
      <c r="AZ53" s="219" t="e">
        <f t="shared" si="12"/>
        <v>#N/A</v>
      </c>
      <c r="BA53" s="219" t="e">
        <f t="shared" si="13"/>
        <v>#N/A</v>
      </c>
      <c r="BB53" s="220" t="e">
        <f t="shared" si="14"/>
        <v>#N/A</v>
      </c>
      <c r="BC53" s="214" t="e">
        <f t="shared" si="18"/>
        <v>#N/A</v>
      </c>
      <c r="BD53" s="120"/>
      <c r="BN53" s="408" t="str">
        <f t="shared" si="15"/>
        <v/>
      </c>
    </row>
    <row r="54" spans="2:66" ht="65.25" customHeight="1">
      <c r="B54" s="109">
        <v>50</v>
      </c>
      <c r="C54" s="110">
        <f>SISWA!B55</f>
        <v>0</v>
      </c>
      <c r="D54" s="111" t="str">
        <f>SISWA!E55</f>
        <v>Anak 50</v>
      </c>
      <c r="E54" s="520"/>
      <c r="F54" s="520"/>
      <c r="G54" s="520"/>
      <c r="H54" s="520"/>
      <c r="I54" s="520"/>
      <c r="J54" s="520"/>
      <c r="K54" s="520"/>
      <c r="L54" s="520"/>
      <c r="M54" s="520"/>
      <c r="N54" s="520"/>
      <c r="O54" s="520"/>
      <c r="P54" s="520"/>
      <c r="Q54" s="520"/>
      <c r="R54" s="520"/>
      <c r="S54" s="520"/>
      <c r="T54" s="520"/>
      <c r="U54" s="520"/>
      <c r="V54" s="520"/>
      <c r="W54" s="520"/>
      <c r="X54" s="520"/>
      <c r="Y54" s="520"/>
      <c r="Z54" s="533" t="str">
        <f t="shared" si="5"/>
        <v/>
      </c>
      <c r="AA54" s="533" t="str">
        <f t="shared" si="17"/>
        <v/>
      </c>
      <c r="AB54" s="533" t="str">
        <f t="shared" si="6"/>
        <v/>
      </c>
      <c r="AC54" s="533" t="str">
        <f t="shared" si="16"/>
        <v/>
      </c>
      <c r="AD54" s="533" t="str">
        <f t="shared" si="7"/>
        <v/>
      </c>
      <c r="AE54" s="533" t="str">
        <f t="shared" si="8"/>
        <v/>
      </c>
      <c r="AF54" s="533" t="str">
        <f t="shared" si="9"/>
        <v/>
      </c>
      <c r="AG54" s="513"/>
      <c r="AH54" s="513"/>
      <c r="AI54" s="513"/>
      <c r="AJ54" s="513"/>
      <c r="AK54" s="513"/>
      <c r="AL54" s="513"/>
      <c r="AM54" s="514"/>
      <c r="AN54" s="514"/>
      <c r="AO54" s="513"/>
      <c r="AP54" s="302" t="e">
        <f t="shared" si="10"/>
        <v>#DIV/0!</v>
      </c>
      <c r="AQ54" s="303" t="e">
        <f>IF(AP54&gt;KKM!$G$10,"A",IF(AP54&gt;KKM!$H$10,"B",IF(AP54&gt;=KKM!$I$10,"C","D")))</f>
        <v>#DIV/0!</v>
      </c>
      <c r="AR54" s="304">
        <f t="shared" si="0"/>
        <v>0</v>
      </c>
      <c r="AS54" s="309" t="str">
        <f>IF(AR54&gt;KKM!$G$10," sangat baik ",IF(AR54&gt;KKM!$H$10," baik ",IF(AR54&gt;=KKM!$I$10," cukup baik "," perlu bimbingan ")))</f>
        <v xml:space="preserve"> perlu bimbingan </v>
      </c>
      <c r="AT54" s="305">
        <f t="shared" si="1"/>
        <v>0</v>
      </c>
      <c r="AU54" s="309" t="str">
        <f>IF(AT54&gt;KKM!$G$10," sangat baik ",IF(AT54&gt;KKM!$H$10," baik ",IF(AT54&gt;=KKM!$I$10," cukup baik "," perlu bimbingan ")))</f>
        <v xml:space="preserve"> perlu bimbingan </v>
      </c>
      <c r="AV54" s="301" t="str">
        <f t="shared" si="11"/>
        <v xml:space="preserve"> </v>
      </c>
      <c r="AW54" s="218"/>
      <c r="AX54" s="219" t="e">
        <f t="shared" si="2"/>
        <v>#N/A</v>
      </c>
      <c r="AY54" s="219" t="e">
        <f t="shared" si="3"/>
        <v>#N/A</v>
      </c>
      <c r="AZ54" s="219" t="e">
        <f t="shared" si="12"/>
        <v>#N/A</v>
      </c>
      <c r="BA54" s="219" t="e">
        <f t="shared" si="13"/>
        <v>#N/A</v>
      </c>
      <c r="BB54" s="220" t="e">
        <f t="shared" si="14"/>
        <v>#N/A</v>
      </c>
      <c r="BC54" s="214" t="e">
        <f t="shared" si="18"/>
        <v>#N/A</v>
      </c>
      <c r="BD54" s="120"/>
      <c r="BN54" s="408" t="str">
        <f t="shared" si="15"/>
        <v/>
      </c>
    </row>
    <row r="55" spans="2:66" ht="15.75">
      <c r="B55" s="121"/>
      <c r="C55" s="121"/>
      <c r="D55" s="121"/>
      <c r="E55" s="519"/>
      <c r="F55" s="519"/>
      <c r="G55" s="519"/>
      <c r="H55" s="519"/>
      <c r="I55" s="519"/>
      <c r="J55" s="519"/>
      <c r="K55" s="519"/>
      <c r="L55" s="519"/>
      <c r="M55" s="519"/>
      <c r="N55" s="519"/>
      <c r="O55" s="519"/>
      <c r="P55" s="519"/>
      <c r="Q55" s="519"/>
      <c r="R55" s="519"/>
      <c r="S55" s="519"/>
      <c r="T55" s="519"/>
      <c r="U55" s="519"/>
      <c r="V55" s="519"/>
      <c r="W55" s="519"/>
      <c r="X55" s="519"/>
      <c r="Y55" s="519"/>
      <c r="Z55" s="513"/>
      <c r="AA55" s="514"/>
      <c r="AB55" s="514"/>
      <c r="AC55" s="514"/>
      <c r="AD55" s="514"/>
      <c r="AE55" s="513"/>
      <c r="AF55" s="513"/>
      <c r="AG55" s="513"/>
      <c r="AH55" s="513"/>
      <c r="AI55" s="513"/>
      <c r="AJ55" s="513"/>
      <c r="AK55" s="513"/>
      <c r="AL55" s="513"/>
      <c r="AM55" s="514"/>
      <c r="AN55" s="514"/>
      <c r="AO55" s="513"/>
      <c r="AP55" s="114"/>
      <c r="AQ55" s="115"/>
      <c r="AR55" s="116"/>
      <c r="AS55" s="116"/>
      <c r="AT55" s="116"/>
      <c r="AU55" s="116"/>
      <c r="AV55" s="117"/>
      <c r="AW55" s="118"/>
      <c r="AX55" s="119"/>
      <c r="AY55" s="122"/>
      <c r="AZ55" s="122"/>
      <c r="BA55" s="122"/>
      <c r="BB55" s="122"/>
      <c r="BC55" s="122"/>
      <c r="BD55" s="120"/>
    </row>
  </sheetData>
  <mergeCells count="18">
    <mergeCell ref="AQ2:AQ4"/>
    <mergeCell ref="AR2:AU2"/>
    <mergeCell ref="AV2:AV4"/>
    <mergeCell ref="AR3:AS3"/>
    <mergeCell ref="AT3:AU3"/>
    <mergeCell ref="B2:B4"/>
    <mergeCell ref="C2:C4"/>
    <mergeCell ref="D2:D4"/>
    <mergeCell ref="Z2:AO2"/>
    <mergeCell ref="AP2:AP4"/>
    <mergeCell ref="E3:G3"/>
    <mergeCell ref="H3:J3"/>
    <mergeCell ref="K3:M3"/>
    <mergeCell ref="N3:P3"/>
    <mergeCell ref="Q3:S3"/>
    <mergeCell ref="T3:V3"/>
    <mergeCell ref="W3:Y3"/>
    <mergeCell ref="E2:Y2"/>
  </mergeCell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J55"/>
  <sheetViews>
    <sheetView zoomScale="70" zoomScaleNormal="7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135" customWidth="1"/>
    <col min="2" max="2" width="4.42578125" style="104" customWidth="1"/>
    <col min="3" max="3" width="6.42578125" style="104" customWidth="1"/>
    <col min="4" max="4" width="28.7109375" style="104" customWidth="1"/>
    <col min="5" max="25" width="7.5703125" style="104" customWidth="1"/>
    <col min="26" max="31" width="5.7109375" style="104" customWidth="1"/>
    <col min="32" max="40" width="5.7109375" style="104" hidden="1" customWidth="1"/>
    <col min="41" max="44" width="5.7109375" style="104" customWidth="1"/>
    <col min="45" max="45" width="11.7109375" style="104" customWidth="1"/>
    <col min="46" max="46" width="5.7109375" style="104" customWidth="1"/>
    <col min="47" max="47" width="14.85546875" style="104" customWidth="1"/>
    <col min="48" max="48" width="110.5703125" style="104" customWidth="1"/>
    <col min="49" max="49" width="35" style="104" customWidth="1"/>
    <col min="50" max="50" width="5" style="104" hidden="1" customWidth="1"/>
    <col min="51" max="51" width="4.7109375" style="104" hidden="1" customWidth="1"/>
    <col min="52" max="52" width="5.140625" style="104" hidden="1" customWidth="1"/>
    <col min="53" max="57" width="5" style="104" hidden="1" customWidth="1"/>
    <col min="58" max="58" width="4.85546875" style="104" hidden="1" customWidth="1"/>
    <col min="59" max="61" width="5" style="104" hidden="1" customWidth="1"/>
    <col min="62" max="63" width="5" style="104" customWidth="1"/>
    <col min="64" max="64" width="5" style="104" hidden="1" customWidth="1"/>
    <col min="65" max="65" width="7.140625" style="104" hidden="1" customWidth="1"/>
    <col min="66" max="67" width="5" style="104" customWidth="1"/>
    <col min="68" max="74" width="5" style="104" hidden="1" customWidth="1"/>
    <col min="75" max="75" width="84.42578125" style="104" hidden="1" customWidth="1"/>
    <col min="76" max="76" width="29.85546875" style="104" hidden="1" customWidth="1"/>
    <col min="77" max="90" width="10.7109375" style="104" hidden="1" customWidth="1"/>
    <col min="91" max="95" width="5" style="104" hidden="1" customWidth="1"/>
    <col min="96" max="96" width="4.85546875" style="104" hidden="1" customWidth="1"/>
    <col min="97" max="101" width="5" style="104" hidden="1" customWidth="1"/>
    <col min="102" max="103" width="0" style="104" hidden="1" customWidth="1"/>
    <col min="104" max="110" width="5" style="104" hidden="1" customWidth="1"/>
    <col min="111" max="111" width="84.42578125" style="104" hidden="1" customWidth="1"/>
    <col min="112" max="112" width="29.85546875" style="104" hidden="1" customWidth="1"/>
    <col min="113" max="140" width="10.7109375" style="104" hidden="1" customWidth="1"/>
    <col min="141" max="16384" width="9.140625" style="104" hidden="1"/>
  </cols>
  <sheetData>
    <row r="1" spans="1:74" s="451" customFormat="1" ht="45.75" customHeight="1">
      <c r="B1" s="452" t="s">
        <v>58</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c r="BM1" s="452"/>
      <c r="BN1" s="452"/>
      <c r="BO1" s="452"/>
      <c r="BP1" s="452"/>
      <c r="BQ1" s="452"/>
      <c r="BR1" s="452"/>
      <c r="BS1" s="452"/>
      <c r="BT1" s="452"/>
      <c r="BU1" s="452"/>
      <c r="BV1" s="452"/>
    </row>
    <row r="2" spans="1:74" ht="23.25" customHeight="1">
      <c r="B2" s="1071" t="s">
        <v>2</v>
      </c>
      <c r="C2" s="1072" t="s">
        <v>3</v>
      </c>
      <c r="D2" s="1073" t="s">
        <v>48</v>
      </c>
      <c r="E2" s="1152" t="s">
        <v>705</v>
      </c>
      <c r="F2" s="1153"/>
      <c r="G2" s="1153"/>
      <c r="H2" s="1153"/>
      <c r="I2" s="1153"/>
      <c r="J2" s="1153"/>
      <c r="K2" s="1153"/>
      <c r="L2" s="1153"/>
      <c r="M2" s="1153"/>
      <c r="N2" s="1153"/>
      <c r="O2" s="1153"/>
      <c r="P2" s="1153"/>
      <c r="Q2" s="1153"/>
      <c r="R2" s="1153"/>
      <c r="S2" s="1153"/>
      <c r="T2" s="1153"/>
      <c r="U2" s="1153"/>
      <c r="V2" s="1153"/>
      <c r="W2" s="1153"/>
      <c r="X2" s="1153"/>
      <c r="Y2" s="1154"/>
      <c r="Z2" s="1111" t="s">
        <v>694</v>
      </c>
      <c r="AA2" s="1111"/>
      <c r="AB2" s="1111"/>
      <c r="AC2" s="1111"/>
      <c r="AD2" s="1111"/>
      <c r="AE2" s="1111"/>
      <c r="AF2" s="1111"/>
      <c r="AG2" s="1111"/>
      <c r="AH2" s="1111"/>
      <c r="AI2" s="1111"/>
      <c r="AJ2" s="1111"/>
      <c r="AK2" s="1111"/>
      <c r="AL2" s="1111"/>
      <c r="AM2" s="1111"/>
      <c r="AN2" s="1111"/>
      <c r="AO2" s="1111"/>
      <c r="AP2" s="1139" t="s">
        <v>5</v>
      </c>
      <c r="AQ2" s="1123" t="s">
        <v>6</v>
      </c>
      <c r="AR2" s="1124" t="s">
        <v>314</v>
      </c>
      <c r="AS2" s="1125"/>
      <c r="AT2" s="1125"/>
      <c r="AU2" s="1125"/>
      <c r="AV2" s="1027" t="s">
        <v>1</v>
      </c>
      <c r="AW2" s="1"/>
      <c r="AX2" s="1"/>
      <c r="AY2" s="1"/>
      <c r="AZ2" s="1"/>
      <c r="BA2" s="1"/>
      <c r="BB2" s="1"/>
      <c r="BC2" s="215"/>
      <c r="BM2" s="441">
        <f>DEPAN!$E$23</f>
        <v>50</v>
      </c>
    </row>
    <row r="3" spans="1:74" ht="94.5" customHeight="1">
      <c r="B3" s="1071"/>
      <c r="C3" s="1072"/>
      <c r="D3" s="1073"/>
      <c r="E3" s="1140">
        <f>Z4</f>
        <v>4.0999999999999996</v>
      </c>
      <c r="F3" s="1141"/>
      <c r="G3" s="1142"/>
      <c r="H3" s="1143">
        <f>AA4</f>
        <v>4.2</v>
      </c>
      <c r="I3" s="1144"/>
      <c r="J3" s="1145"/>
      <c r="K3" s="1146">
        <f>AB4</f>
        <v>4.3</v>
      </c>
      <c r="L3" s="1147"/>
      <c r="M3" s="1148"/>
      <c r="N3" s="1149">
        <f>AC4</f>
        <v>4.4000000000000004</v>
      </c>
      <c r="O3" s="1150"/>
      <c r="P3" s="1151"/>
      <c r="Q3" s="1126">
        <f>AD4</f>
        <v>4.5</v>
      </c>
      <c r="R3" s="1127"/>
      <c r="S3" s="1128"/>
      <c r="T3" s="1155">
        <f>AE4</f>
        <v>4.5999999999999996</v>
      </c>
      <c r="U3" s="1156"/>
      <c r="V3" s="1157"/>
      <c r="W3" s="1129">
        <f>AO4</f>
        <v>4.7</v>
      </c>
      <c r="X3" s="1130"/>
      <c r="Y3" s="1131"/>
      <c r="Z3" s="510" t="str">
        <f>'KI-KD'!$F55</f>
        <v>mengidentifikasi pecahan-pecahan senilai dengan gambar dan model konkret</v>
      </c>
      <c r="AA3" s="510" t="str">
        <f>'KI-KD'!$F56</f>
        <v>mengidentifikasi berbagai bentuk pecahan (biasa, campuran, desimal, dan persen) dan hubungan di antaranya</v>
      </c>
      <c r="AB3" s="510" t="str">
        <f>'KI-KD'!$F57</f>
        <v>menyelesaikan masalah penaksiran dari jumlah, selisih, hasil kali, dan hasil bagi dua bilangan cacah maupun pecahan dan desimal</v>
      </c>
      <c r="AC3" s="510" t="str">
        <f>'KI-KD'!$F58</f>
        <v xml:space="preserve">mengidentifikasi  faktor dan kelipatan suatu bilangan </v>
      </c>
      <c r="AD3" s="510" t="str">
        <f>'KI-KD'!$F59</f>
        <v xml:space="preserve">mengidentifikasi bilangan prima </v>
      </c>
      <c r="AE3" s="510" t="str">
        <f>'KI-KD'!$F60</f>
        <v>menyelesaikan masalah yang berkaitan dengan faktor persekutuan, faktor persekutuan terbesar (FPB), kelipatan persekutuan, dan kelipatan persekutuan terkecil (KPK) dari dua bilangan berkaitan dengan kehidupan sehari-hari</v>
      </c>
      <c r="AF3" s="510" t="str">
        <f>'KI-KD'!$F60</f>
        <v>menyelesaikan masalah yang berkaitan dengan faktor persekutuan, faktor persekutuan terbesar (FPB), kelipatan persekutuan, dan kelipatan persekutuan terkecil (KPK) dari dua bilangan berkaitan dengan kehidupan sehari-hari</v>
      </c>
      <c r="AG3" s="510" t="str">
        <f>'KI-KD'!$F60</f>
        <v>menyelesaikan masalah yang berkaitan dengan faktor persekutuan, faktor persekutuan terbesar (FPB), kelipatan persekutuan, dan kelipatan persekutuan terkecil (KPK) dari dua bilangan berkaitan dengan kehidupan sehari-hari</v>
      </c>
      <c r="AH3" s="510" t="str">
        <f>'KI-KD'!$F60</f>
        <v>menyelesaikan masalah yang berkaitan dengan faktor persekutuan, faktor persekutuan terbesar (FPB), kelipatan persekutuan, dan kelipatan persekutuan terkecil (KPK) dari dua bilangan berkaitan dengan kehidupan sehari-hari</v>
      </c>
      <c r="AI3" s="510" t="str">
        <f>'KI-KD'!$F60</f>
        <v>menyelesaikan masalah yang berkaitan dengan faktor persekutuan, faktor persekutuan terbesar (FPB), kelipatan persekutuan, dan kelipatan persekutuan terkecil (KPK) dari dua bilangan berkaitan dengan kehidupan sehari-hari</v>
      </c>
      <c r="AJ3" s="510" t="str">
        <f>'KI-KD'!$F60</f>
        <v>menyelesaikan masalah yang berkaitan dengan faktor persekutuan, faktor persekutuan terbesar (FPB), kelipatan persekutuan, dan kelipatan persekutuan terkecil (KPK) dari dua bilangan berkaitan dengan kehidupan sehari-hari</v>
      </c>
      <c r="AK3" s="510" t="str">
        <f>'KI-KD'!$F60</f>
        <v>menyelesaikan masalah yang berkaitan dengan faktor persekutuan, faktor persekutuan terbesar (FPB), kelipatan persekutuan, dan kelipatan persekutuan terkecil (KPK) dari dua bilangan berkaitan dengan kehidupan sehari-hari</v>
      </c>
      <c r="AL3" s="510" t="str">
        <f>'KI-KD'!$F60</f>
        <v>menyelesaikan masalah yang berkaitan dengan faktor persekutuan, faktor persekutuan terbesar (FPB), kelipatan persekutuan, dan kelipatan persekutuan terkecil (KPK) dari dua bilangan berkaitan dengan kehidupan sehari-hari</v>
      </c>
      <c r="AM3" s="510" t="str">
        <f>'KI-KD'!$F60</f>
        <v>menyelesaikan masalah yang berkaitan dengan faktor persekutuan, faktor persekutuan terbesar (FPB), kelipatan persekutuan, dan kelipatan persekutuan terkecil (KPK) dari dua bilangan berkaitan dengan kehidupan sehari-hari</v>
      </c>
      <c r="AN3" s="510" t="str">
        <f>'KI-KD'!$F60</f>
        <v>menyelesaikan masalah yang berkaitan dengan faktor persekutuan, faktor persekutuan terbesar (FPB), kelipatan persekutuan, dan kelipatan persekutuan terkecil (KPK) dari dua bilangan berkaitan dengan kehidupan sehari-hari</v>
      </c>
      <c r="AO3" s="510" t="str">
        <f>'KI-KD'!$F61</f>
        <v xml:space="preserve">menyelesaikan masalah  pembulatan hasil pengukuran panjang dan berat ke satuan terdekat </v>
      </c>
      <c r="AP3" s="1139"/>
      <c r="AQ3" s="1123"/>
      <c r="AR3" s="1135" t="s">
        <v>315</v>
      </c>
      <c r="AS3" s="1136"/>
      <c r="AT3" s="1137" t="s">
        <v>316</v>
      </c>
      <c r="AU3" s="1138"/>
      <c r="AV3" s="1028"/>
      <c r="AW3" s="1"/>
      <c r="AX3" s="1"/>
      <c r="AY3" s="1"/>
      <c r="AZ3" s="1"/>
      <c r="BA3" s="1"/>
      <c r="BB3" s="1"/>
      <c r="BC3" s="215"/>
      <c r="BM3" s="408">
        <f>BM4-BM5</f>
        <v>7</v>
      </c>
    </row>
    <row r="4" spans="1:74"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31" t="s">
        <v>701</v>
      </c>
      <c r="R4" s="530" t="s">
        <v>702</v>
      </c>
      <c r="S4" s="532" t="s">
        <v>703</v>
      </c>
      <c r="T4" s="532"/>
      <c r="U4" s="532"/>
      <c r="V4" s="532"/>
      <c r="W4" s="531" t="s">
        <v>701</v>
      </c>
      <c r="X4" s="530" t="s">
        <v>702</v>
      </c>
      <c r="Y4" s="532" t="s">
        <v>703</v>
      </c>
      <c r="Z4" s="512">
        <f>'KI-KD'!$E55</f>
        <v>4.0999999999999996</v>
      </c>
      <c r="AA4" s="512">
        <f>'KI-KD'!$E56</f>
        <v>4.2</v>
      </c>
      <c r="AB4" s="512">
        <f>'KI-KD'!$E57</f>
        <v>4.3</v>
      </c>
      <c r="AC4" s="512">
        <f>'KI-KD'!$E58</f>
        <v>4.4000000000000004</v>
      </c>
      <c r="AD4" s="512">
        <f>'KI-KD'!$E59</f>
        <v>4.5</v>
      </c>
      <c r="AE4" s="512">
        <f>'KI-KD'!$E60</f>
        <v>4.5999999999999996</v>
      </c>
      <c r="AF4" s="512">
        <f>'KI-KD'!$E60</f>
        <v>4.5999999999999996</v>
      </c>
      <c r="AG4" s="512">
        <f>'KI-KD'!$E60</f>
        <v>4.5999999999999996</v>
      </c>
      <c r="AH4" s="512">
        <f>'KI-KD'!$E60</f>
        <v>4.5999999999999996</v>
      </c>
      <c r="AI4" s="512">
        <f>'KI-KD'!$E60</f>
        <v>4.5999999999999996</v>
      </c>
      <c r="AJ4" s="512">
        <f>'KI-KD'!$E60</f>
        <v>4.5999999999999996</v>
      </c>
      <c r="AK4" s="512">
        <f>'KI-KD'!$E60</f>
        <v>4.5999999999999996</v>
      </c>
      <c r="AL4" s="512">
        <f>'KI-KD'!$E60</f>
        <v>4.5999999999999996</v>
      </c>
      <c r="AM4" s="512">
        <f>'KI-KD'!$E60</f>
        <v>4.5999999999999996</v>
      </c>
      <c r="AN4" s="512">
        <f>'KI-KD'!$E60</f>
        <v>4.5999999999999996</v>
      </c>
      <c r="AO4" s="512">
        <f>'KI-KD'!$E61</f>
        <v>4.7</v>
      </c>
      <c r="AP4" s="1139"/>
      <c r="AQ4" s="1123"/>
      <c r="AR4" s="210" t="s">
        <v>317</v>
      </c>
      <c r="AS4" s="211" t="s">
        <v>1</v>
      </c>
      <c r="AT4" s="212" t="s">
        <v>317</v>
      </c>
      <c r="AU4" s="213" t="s">
        <v>1</v>
      </c>
      <c r="AV4" s="1029"/>
      <c r="AW4" s="1"/>
      <c r="AX4" s="216" t="s">
        <v>318</v>
      </c>
      <c r="AY4" s="216" t="s">
        <v>319</v>
      </c>
      <c r="AZ4" s="216" t="s">
        <v>320</v>
      </c>
      <c r="BA4" s="216" t="s">
        <v>321</v>
      </c>
      <c r="BB4" s="217" t="s">
        <v>314</v>
      </c>
      <c r="BC4" s="214"/>
      <c r="BM4" s="108">
        <v>50</v>
      </c>
    </row>
    <row r="5" spans="1:74" ht="80.25" customHeight="1">
      <c r="B5" s="109">
        <v>1</v>
      </c>
      <c r="C5" s="110">
        <f>SISWA!B6</f>
        <v>4822</v>
      </c>
      <c r="D5" s="111" t="str">
        <f>SISWA!E6</f>
        <v>Anak 1</v>
      </c>
      <c r="E5" s="605">
        <v>99</v>
      </c>
      <c r="F5" s="605"/>
      <c r="G5" s="605"/>
      <c r="H5" s="605"/>
      <c r="I5" s="605">
        <v>88</v>
      </c>
      <c r="J5" s="605"/>
      <c r="K5" s="605">
        <v>88</v>
      </c>
      <c r="L5" s="605"/>
      <c r="M5" s="605"/>
      <c r="N5" s="605">
        <v>88</v>
      </c>
      <c r="O5" s="605">
        <v>75</v>
      </c>
      <c r="P5" s="605"/>
      <c r="Q5" s="605"/>
      <c r="R5" s="605">
        <v>77</v>
      </c>
      <c r="S5" s="605"/>
      <c r="T5" s="605"/>
      <c r="U5" s="605"/>
      <c r="V5" s="605"/>
      <c r="W5" s="605"/>
      <c r="X5" s="605">
        <v>75</v>
      </c>
      <c r="Y5" s="605"/>
      <c r="Z5" s="533">
        <f>IFERROR(AVERAGE(E5:G5),"")</f>
        <v>99</v>
      </c>
      <c r="AA5" s="533">
        <f>IFERROR(AVERAGE(H5:J5),"")</f>
        <v>88</v>
      </c>
      <c r="AB5" s="533">
        <f>IFERROR(AVERAGE(K5:M5),"")</f>
        <v>88</v>
      </c>
      <c r="AC5" s="533">
        <f>IFERROR(AVERAGE(N5:P5),"")</f>
        <v>81.5</v>
      </c>
      <c r="AD5" s="533">
        <f>IFERROR(AVERAGE(Q5:S5),"")</f>
        <v>77</v>
      </c>
      <c r="AE5" s="533" t="str">
        <f>IFERROR(AVERAGE(T5:V5),"")</f>
        <v/>
      </c>
      <c r="AF5" s="533" t="str">
        <f t="shared" ref="AF5:AN5" si="0">IFERROR(AVERAGE(S5:U5),"")</f>
        <v/>
      </c>
      <c r="AG5" s="533" t="str">
        <f t="shared" si="0"/>
        <v/>
      </c>
      <c r="AH5" s="533" t="str">
        <f t="shared" si="0"/>
        <v/>
      </c>
      <c r="AI5" s="533">
        <f t="shared" si="0"/>
        <v>75</v>
      </c>
      <c r="AJ5" s="533">
        <f t="shared" si="0"/>
        <v>75</v>
      </c>
      <c r="AK5" s="533">
        <f t="shared" si="0"/>
        <v>87</v>
      </c>
      <c r="AL5" s="533">
        <f t="shared" si="0"/>
        <v>93.5</v>
      </c>
      <c r="AM5" s="533">
        <f t="shared" si="0"/>
        <v>91.666666666666671</v>
      </c>
      <c r="AN5" s="533">
        <f t="shared" si="0"/>
        <v>85.833333333333329</v>
      </c>
      <c r="AO5" s="533">
        <f>IFERROR(AVERAGE(W5:Y5),"")</f>
        <v>75</v>
      </c>
      <c r="AP5" s="302">
        <f>ROUND((AVERAGE(Z5:AO5)),0)</f>
        <v>85</v>
      </c>
      <c r="AQ5" s="303" t="str">
        <f>IF(AP5&gt;KKM!$G$10,"A",IF(AP5&gt;KKM!$H$10,"B",IF(AP5&gt;=KKM!$I$10,"C","D")))</f>
        <v>B</v>
      </c>
      <c r="AR5" s="304">
        <f t="shared" ref="AR5:AR54" si="1">MAX(Z5:AO5)</f>
        <v>99</v>
      </c>
      <c r="AS5" s="309" t="str">
        <f>IF(AR5&gt;KKM!$G$10," sangat baik ",IF(AR5&gt;KKM!$H$10," baik ",IF(AR5&gt;=KKM!$I$10," cukup baik "," perlu bimbingan ")))</f>
        <v xml:space="preserve"> sangat baik </v>
      </c>
      <c r="AT5" s="305">
        <f t="shared" ref="AT5:AT54" si="2">MIN(Z5:AO5)</f>
        <v>75</v>
      </c>
      <c r="AU5" s="309" t="str">
        <f>IF(AT5&gt;KKM!$G$10," sangat baik ",IF(AT5&gt;KKM!$H$10," baik ",IF(AT5&gt;=KKM!$I$10," cukup baik "," perlu bimbingan ")))</f>
        <v xml:space="preserve"> cukup baik </v>
      </c>
      <c r="AV5" s="301" t="str">
        <f>IFERROR(BC5," ")</f>
        <v>Anak 1 sangat baik  dalam mengidentifikasi pecahan-pecahan senilai dengan gambar dan model konkret, dan  cukup baik  dalam menyelesaikan masalah yang berkaitan dengan faktor persekutuan, faktor persekutuan terbesar (FPB), kelipatan persekutuan, dan kelipatan persekutuan terkecil (KPK) dari dua bilangan berkaitan dengan kehidupan sehari-hari</v>
      </c>
      <c r="AW5" s="218"/>
      <c r="AX5" s="219" t="str">
        <f t="shared" ref="AX5:AX54" si="3">AS5&amp;" dalam "&amp;INDEX($Z$3:$AO$3,MATCH(AR5,$Z5:$AO5,0))</f>
        <v xml:space="preserve"> sangat baik  dalam mengidentifikasi pecahan-pecahan senilai dengan gambar dan model konkret</v>
      </c>
      <c r="AY5" s="219" t="str">
        <f t="shared" ref="AY5:AY54" si="4">AU5&amp;" dalam "&amp;INDEX($Z$3:$AO$3,MATCH(AT5,$Z5:$AO5,0))</f>
        <v xml:space="preserve"> cukup baik  dalam menyelesaikan masalah yang berkaitan dengan faktor persekutuan, faktor persekutuan terbesar (FPB), kelipatan persekutuan, dan kelipatan persekutuan terkecil (KPK) dari dua bilangan berkaitan dengan kehidupan sehari-hari</v>
      </c>
      <c r="AZ5" s="219" t="str">
        <f>AX5&amp;", dan "&amp;AY5</f>
        <v xml:space="preserve"> sangat baik  dalam mengidentifikasi pecahan-pecahan senilai dengan gambar dan model konkret, dan  cukup baik  dalam menyelesaikan masalah yang berkaitan dengan faktor persekutuan, faktor persekutuan terbesar (FPB), kelipatan persekutuan, dan kelipatan persekutuan terkecil (KPK) dari dua bilangan berkaitan dengan kehidupan sehari-hari</v>
      </c>
      <c r="BA5" s="219" t="str">
        <f>IF(AX5=AY5,AX5," ")</f>
        <v xml:space="preserve"> </v>
      </c>
      <c r="BB5" s="220" t="str">
        <f>IF(BA5=" ",AZ5,BA5)</f>
        <v xml:space="preserve"> sangat baik  dalam mengidentifikasi pecahan-pecahan senilai dengan gambar dan model konkret, dan  cukup baik  dalam menyelesaikan masalah yang berkaitan dengan faktor persekutuan, faktor persekutuan terbesar (FPB), kelipatan persekutuan, dan kelipatan persekutuan terkecil (KPK) dari dua bilangan berkaitan dengan kehidupan sehari-hari</v>
      </c>
      <c r="BC5" s="214" t="str">
        <f t="shared" ref="BC5:BC36" si="5">CONCATENATE(D5,BB5)</f>
        <v>Anak 1 sangat baik  dalam mengidentifikasi pecahan-pecahan senilai dengan gambar dan model konkret, dan  cukup baik  dalam menyelesaikan masalah yang berkaitan dengan faktor persekutuan, faktor persekutuan terbesar (FPB), kelipatan persekutuan, dan kelipatan persekutuan terkecil (KPK) dari dua bilangan berkaitan dengan kehidupan sehari-hari</v>
      </c>
      <c r="BL5" s="408">
        <f>IFERROR(AP5,"")</f>
        <v>85</v>
      </c>
      <c r="BM5" s="408">
        <f>COUNTBLANK(BL5:BL54)</f>
        <v>43</v>
      </c>
    </row>
    <row r="6" spans="1:74" ht="80.25" customHeight="1">
      <c r="B6" s="109">
        <v>2</v>
      </c>
      <c r="C6" s="110">
        <f>SISWA!B7</f>
        <v>0</v>
      </c>
      <c r="D6" s="111" t="str">
        <f>SISWA!E7</f>
        <v>Anak 2</v>
      </c>
      <c r="E6" s="605">
        <v>87</v>
      </c>
      <c r="F6" s="605"/>
      <c r="G6" s="605"/>
      <c r="H6" s="605"/>
      <c r="I6" s="605"/>
      <c r="J6" s="605"/>
      <c r="K6" s="605"/>
      <c r="L6" s="605"/>
      <c r="M6" s="605"/>
      <c r="N6" s="605"/>
      <c r="O6" s="605"/>
      <c r="P6" s="605"/>
      <c r="Q6" s="605"/>
      <c r="R6" s="605"/>
      <c r="S6" s="605"/>
      <c r="T6" s="605"/>
      <c r="U6" s="605">
        <v>67</v>
      </c>
      <c r="V6" s="605"/>
      <c r="W6" s="605"/>
      <c r="X6" s="605"/>
      <c r="Y6" s="605"/>
      <c r="Z6" s="533">
        <f t="shared" ref="Z6:Z54" si="6">IFERROR(AVERAGE(E6:G6),"")</f>
        <v>87</v>
      </c>
      <c r="AA6" s="533" t="str">
        <f t="shared" ref="AA6:AA54" si="7">IFERROR(AVERAGE(H6:J6),"")</f>
        <v/>
      </c>
      <c r="AB6" s="533" t="str">
        <f t="shared" ref="AB6:AB54" si="8">IFERROR(AVERAGE(K6:M6),"")</f>
        <v/>
      </c>
      <c r="AC6" s="533" t="str">
        <f t="shared" ref="AC6:AC54" si="9">IFERROR(AVERAGE(N6:P6),"")</f>
        <v/>
      </c>
      <c r="AD6" s="533" t="str">
        <f t="shared" ref="AD6:AD54" si="10">IFERROR(AVERAGE(Q6:S6),"")</f>
        <v/>
      </c>
      <c r="AE6" s="533">
        <f t="shared" ref="AE6:AE54" si="11">IFERROR(AVERAGE(T6:V6),"")</f>
        <v>67</v>
      </c>
      <c r="AF6" s="533">
        <f t="shared" ref="AF6:AF54" si="12">IFERROR(AVERAGE(S6:U6),"")</f>
        <v>67</v>
      </c>
      <c r="AG6" s="533">
        <f t="shared" ref="AG6:AG54" si="13">IFERROR(AVERAGE(T6:V6),"")</f>
        <v>67</v>
      </c>
      <c r="AH6" s="533">
        <f t="shared" ref="AH6:AH54" si="14">IFERROR(AVERAGE(U6:W6),"")</f>
        <v>67</v>
      </c>
      <c r="AI6" s="533" t="str">
        <f t="shared" ref="AI6:AI54" si="15">IFERROR(AVERAGE(V6:X6),"")</f>
        <v/>
      </c>
      <c r="AJ6" s="533" t="str">
        <f t="shared" ref="AJ6:AJ54" si="16">IFERROR(AVERAGE(W6:Y6),"")</f>
        <v/>
      </c>
      <c r="AK6" s="533">
        <f t="shared" ref="AK6:AK54" si="17">IFERROR(AVERAGE(X6:Z6),"")</f>
        <v>87</v>
      </c>
      <c r="AL6" s="533">
        <f t="shared" ref="AL6:AL54" si="18">IFERROR(AVERAGE(Y6:AA6),"")</f>
        <v>87</v>
      </c>
      <c r="AM6" s="533">
        <f t="shared" ref="AM6:AM54" si="19">IFERROR(AVERAGE(Z6:AB6),"")</f>
        <v>87</v>
      </c>
      <c r="AN6" s="533" t="str">
        <f t="shared" ref="AN6:AN54" si="20">IFERROR(AVERAGE(AA6:AC6),"")</f>
        <v/>
      </c>
      <c r="AO6" s="533" t="str">
        <f t="shared" ref="AO6:AO54" si="21">IFERROR(AVERAGE(W6:Y6),"")</f>
        <v/>
      </c>
      <c r="AP6" s="302">
        <f t="shared" ref="AP6:AP54" si="22">ROUND((AVERAGE(Z6:AO6)),0)</f>
        <v>77</v>
      </c>
      <c r="AQ6" s="303" t="str">
        <f>IF(AP6&gt;KKM!$G$10,"A",IF(AP6&gt;KKM!$H$10,"B",IF(AP6&gt;=KKM!$I$10,"C","D")))</f>
        <v>C</v>
      </c>
      <c r="AR6" s="304">
        <f t="shared" si="1"/>
        <v>87</v>
      </c>
      <c r="AS6" s="309" t="str">
        <f>IF(AR6&gt;KKM!$G$10," sangat baik ",IF(AR6&gt;KKM!$H$10," baik ",IF(AR6&gt;=KKM!$I$10," cukup baik "," perlu bimbingan ")))</f>
        <v xml:space="preserve"> baik </v>
      </c>
      <c r="AT6" s="305">
        <f t="shared" si="2"/>
        <v>67</v>
      </c>
      <c r="AU6" s="309" t="str">
        <f>IF(AT6&gt;KKM!$G$10," sangat baik ",IF(AT6&gt;KKM!$H$10," baik ",IF(AT6&gt;=KKM!$I$10," cukup baik "," perlu bimbingan ")))</f>
        <v xml:space="preserve"> perlu bimbingan </v>
      </c>
      <c r="AV6" s="301" t="str">
        <f t="shared" ref="AV6:AV54" si="23">IFERROR(BC6," ")</f>
        <v>Anak 2 baik  dalam mengidentifikasi pecahan-pecahan senilai dengan gambar dan model konkret, dan  perlu bimbingan  dalam menyelesaikan masalah yang berkaitan dengan faktor persekutuan, faktor persekutuan terbesar (FPB), kelipatan persekutuan, dan kelipatan persekutuan terkecil (KPK) dari dua bilangan berkaitan dengan kehidupan sehari-hari</v>
      </c>
      <c r="AW6" s="218"/>
      <c r="AX6" s="219" t="str">
        <f t="shared" si="3"/>
        <v xml:space="preserve"> baik  dalam mengidentifikasi pecahan-pecahan senilai dengan gambar dan model konkret</v>
      </c>
      <c r="AY6" s="219" t="str">
        <f t="shared" si="4"/>
        <v xml:space="preserve"> perlu bimbingan  dalam menyelesaikan masalah yang berkaitan dengan faktor persekutuan, faktor persekutuan terbesar (FPB), kelipatan persekutuan, dan kelipatan persekutuan terkecil (KPK) dari dua bilangan berkaitan dengan kehidupan sehari-hari</v>
      </c>
      <c r="AZ6" s="219" t="str">
        <f t="shared" ref="AZ6:AZ54" si="24">AX6&amp;", dan "&amp;AY6</f>
        <v xml:space="preserve"> baik  dalam mengidentifikasi pecahan-pecahan senilai dengan gambar dan model konkret, dan  perlu bimbingan  dalam menyelesaikan masalah yang berkaitan dengan faktor persekutuan, faktor persekutuan terbesar (FPB), kelipatan persekutuan, dan kelipatan persekutuan terkecil (KPK) dari dua bilangan berkaitan dengan kehidupan sehari-hari</v>
      </c>
      <c r="BA6" s="219" t="str">
        <f t="shared" ref="BA6:BA54" si="25">IF(AX6=AY6,AX6," ")</f>
        <v xml:space="preserve"> </v>
      </c>
      <c r="BB6" s="220" t="str">
        <f t="shared" ref="BB6:BB54" si="26">IF(BA6=" ",AZ6,BA6)</f>
        <v xml:space="preserve"> baik  dalam mengidentifikasi pecahan-pecahan senilai dengan gambar dan model konkret, dan  perlu bimbingan  dalam menyelesaikan masalah yang berkaitan dengan faktor persekutuan, faktor persekutuan terbesar (FPB), kelipatan persekutuan, dan kelipatan persekutuan terkecil (KPK) dari dua bilangan berkaitan dengan kehidupan sehari-hari</v>
      </c>
      <c r="BC6" s="214" t="str">
        <f t="shared" si="5"/>
        <v>Anak 2 baik  dalam mengidentifikasi pecahan-pecahan senilai dengan gambar dan model konkret, dan  perlu bimbingan  dalam menyelesaikan masalah yang berkaitan dengan faktor persekutuan, faktor persekutuan terbesar (FPB), kelipatan persekutuan, dan kelipatan persekutuan terkecil (KPK) dari dua bilangan berkaitan dengan kehidupan sehari-hari</v>
      </c>
      <c r="BL6" s="408">
        <f t="shared" ref="BL6:BL54" si="27">IFERROR(AP6,"")</f>
        <v>77</v>
      </c>
      <c r="BM6" s="442">
        <f>IFERROR(BM3/BM2,"0%")</f>
        <v>0.14000000000000001</v>
      </c>
    </row>
    <row r="7" spans="1:74" ht="80.25" customHeight="1">
      <c r="B7" s="109">
        <v>3</v>
      </c>
      <c r="C7" s="110">
        <f>SISWA!B8</f>
        <v>0</v>
      </c>
      <c r="D7" s="111" t="str">
        <f>SISWA!E8</f>
        <v>Anak 3</v>
      </c>
      <c r="E7" s="605"/>
      <c r="F7" s="605"/>
      <c r="G7" s="605"/>
      <c r="H7" s="605"/>
      <c r="I7" s="605">
        <v>88</v>
      </c>
      <c r="J7" s="605"/>
      <c r="K7" s="605"/>
      <c r="L7" s="605"/>
      <c r="M7" s="605"/>
      <c r="N7" s="605"/>
      <c r="O7" s="605"/>
      <c r="P7" s="605"/>
      <c r="Q7" s="605"/>
      <c r="R7" s="605">
        <v>88</v>
      </c>
      <c r="S7" s="605"/>
      <c r="T7" s="605"/>
      <c r="U7" s="605"/>
      <c r="V7" s="605"/>
      <c r="W7" s="605"/>
      <c r="X7" s="605"/>
      <c r="Y7" s="605"/>
      <c r="Z7" s="533" t="str">
        <f t="shared" si="6"/>
        <v/>
      </c>
      <c r="AA7" s="533">
        <f t="shared" si="7"/>
        <v>88</v>
      </c>
      <c r="AB7" s="533" t="str">
        <f t="shared" si="8"/>
        <v/>
      </c>
      <c r="AC7" s="533" t="str">
        <f t="shared" si="9"/>
        <v/>
      </c>
      <c r="AD7" s="533">
        <f t="shared" si="10"/>
        <v>88</v>
      </c>
      <c r="AE7" s="533" t="str">
        <f t="shared" si="11"/>
        <v/>
      </c>
      <c r="AF7" s="533" t="str">
        <f t="shared" si="12"/>
        <v/>
      </c>
      <c r="AG7" s="533" t="str">
        <f t="shared" si="13"/>
        <v/>
      </c>
      <c r="AH7" s="533" t="str">
        <f t="shared" si="14"/>
        <v/>
      </c>
      <c r="AI7" s="533" t="str">
        <f t="shared" si="15"/>
        <v/>
      </c>
      <c r="AJ7" s="533" t="str">
        <f t="shared" si="16"/>
        <v/>
      </c>
      <c r="AK7" s="533" t="str">
        <f t="shared" si="17"/>
        <v/>
      </c>
      <c r="AL7" s="533">
        <f t="shared" si="18"/>
        <v>88</v>
      </c>
      <c r="AM7" s="533">
        <f t="shared" si="19"/>
        <v>88</v>
      </c>
      <c r="AN7" s="533">
        <f t="shared" si="20"/>
        <v>88</v>
      </c>
      <c r="AO7" s="533" t="str">
        <f t="shared" si="21"/>
        <v/>
      </c>
      <c r="AP7" s="302">
        <f t="shared" si="22"/>
        <v>88</v>
      </c>
      <c r="AQ7" s="303" t="str">
        <f>IF(AP7&gt;KKM!$G$10,"A",IF(AP7&gt;KKM!$H$10,"B",IF(AP7&gt;=KKM!$I$10,"C","D")))</f>
        <v>B</v>
      </c>
      <c r="AR7" s="304">
        <f t="shared" si="1"/>
        <v>88</v>
      </c>
      <c r="AS7" s="309" t="str">
        <f>IF(AR7&gt;KKM!$G$10," sangat baik ",IF(AR7&gt;KKM!$H$10," baik ",IF(AR7&gt;=KKM!$I$10," cukup baik "," perlu bimbingan ")))</f>
        <v xml:space="preserve"> baik </v>
      </c>
      <c r="AT7" s="305">
        <f t="shared" si="2"/>
        <v>88</v>
      </c>
      <c r="AU7" s="309" t="str">
        <f>IF(AT7&gt;KKM!$G$10," sangat baik ",IF(AT7&gt;KKM!$H$10," baik ",IF(AT7&gt;=KKM!$I$10," cukup baik "," perlu bimbingan ")))</f>
        <v xml:space="preserve"> baik </v>
      </c>
      <c r="AV7" s="301" t="str">
        <f t="shared" si="23"/>
        <v>Anak 3 baik  dalam mengidentifikasi berbagai bentuk pecahan (biasa, campuran, desimal, dan persen) dan hubungan di antaranya</v>
      </c>
      <c r="AW7" s="218"/>
      <c r="AX7" s="219" t="str">
        <f t="shared" si="3"/>
        <v xml:space="preserve"> baik  dalam mengidentifikasi berbagai bentuk pecahan (biasa, campuran, desimal, dan persen) dan hubungan di antaranya</v>
      </c>
      <c r="AY7" s="219" t="str">
        <f t="shared" si="4"/>
        <v xml:space="preserve"> baik  dalam mengidentifikasi berbagai bentuk pecahan (biasa, campuran, desimal, dan persen) dan hubungan di antaranya</v>
      </c>
      <c r="AZ7" s="219" t="str">
        <f t="shared" si="24"/>
        <v xml:space="preserve"> baik  dalam mengidentifikasi berbagai bentuk pecahan (biasa, campuran, desimal, dan persen) dan hubungan di antaranya, dan  baik  dalam mengidentifikasi berbagai bentuk pecahan (biasa, campuran, desimal, dan persen) dan hubungan di antaranya</v>
      </c>
      <c r="BA7" s="219" t="str">
        <f t="shared" si="25"/>
        <v xml:space="preserve"> baik  dalam mengidentifikasi berbagai bentuk pecahan (biasa, campuran, desimal, dan persen) dan hubungan di antaranya</v>
      </c>
      <c r="BB7" s="220" t="str">
        <f t="shared" si="26"/>
        <v xml:space="preserve"> baik  dalam mengidentifikasi berbagai bentuk pecahan (biasa, campuran, desimal, dan persen) dan hubungan di antaranya</v>
      </c>
      <c r="BC7" s="214" t="str">
        <f t="shared" si="5"/>
        <v>Anak 3 baik  dalam mengidentifikasi berbagai bentuk pecahan (biasa, campuran, desimal, dan persen) dan hubungan di antaranya</v>
      </c>
      <c r="BL7" s="408">
        <f t="shared" si="27"/>
        <v>88</v>
      </c>
    </row>
    <row r="8" spans="1:74" ht="80.25" customHeight="1">
      <c r="B8" s="109">
        <v>4</v>
      </c>
      <c r="C8" s="110">
        <f>SISWA!B9</f>
        <v>0</v>
      </c>
      <c r="D8" s="111" t="str">
        <f>SISWA!E9</f>
        <v>Anak 4</v>
      </c>
      <c r="E8" s="605"/>
      <c r="F8" s="605"/>
      <c r="G8" s="605"/>
      <c r="H8" s="605"/>
      <c r="I8" s="605"/>
      <c r="J8" s="605"/>
      <c r="K8" s="605"/>
      <c r="L8" s="605">
        <v>87</v>
      </c>
      <c r="M8" s="605"/>
      <c r="N8" s="605"/>
      <c r="O8" s="605"/>
      <c r="P8" s="605"/>
      <c r="Q8" s="605"/>
      <c r="R8" s="605"/>
      <c r="S8" s="605"/>
      <c r="T8" s="605">
        <v>87</v>
      </c>
      <c r="U8" s="605"/>
      <c r="V8" s="605"/>
      <c r="W8" s="605"/>
      <c r="X8" s="605"/>
      <c r="Y8" s="605"/>
      <c r="Z8" s="533" t="str">
        <f t="shared" si="6"/>
        <v/>
      </c>
      <c r="AA8" s="533" t="str">
        <f t="shared" si="7"/>
        <v/>
      </c>
      <c r="AB8" s="533">
        <f t="shared" si="8"/>
        <v>87</v>
      </c>
      <c r="AC8" s="533" t="str">
        <f t="shared" si="9"/>
        <v/>
      </c>
      <c r="AD8" s="533" t="str">
        <f t="shared" si="10"/>
        <v/>
      </c>
      <c r="AE8" s="533">
        <f t="shared" si="11"/>
        <v>87</v>
      </c>
      <c r="AF8" s="533">
        <f t="shared" si="12"/>
        <v>87</v>
      </c>
      <c r="AG8" s="533">
        <f t="shared" si="13"/>
        <v>87</v>
      </c>
      <c r="AH8" s="533" t="str">
        <f t="shared" si="14"/>
        <v/>
      </c>
      <c r="AI8" s="533" t="str">
        <f t="shared" si="15"/>
        <v/>
      </c>
      <c r="AJ8" s="533" t="str">
        <f t="shared" si="16"/>
        <v/>
      </c>
      <c r="AK8" s="533" t="str">
        <f t="shared" si="17"/>
        <v/>
      </c>
      <c r="AL8" s="533" t="str">
        <f t="shared" si="18"/>
        <v/>
      </c>
      <c r="AM8" s="533">
        <f t="shared" si="19"/>
        <v>87</v>
      </c>
      <c r="AN8" s="533">
        <f t="shared" si="20"/>
        <v>87</v>
      </c>
      <c r="AO8" s="533" t="str">
        <f t="shared" si="21"/>
        <v/>
      </c>
      <c r="AP8" s="302">
        <f t="shared" si="22"/>
        <v>87</v>
      </c>
      <c r="AQ8" s="303" t="str">
        <f>IF(AP8&gt;KKM!$G$10,"A",IF(AP8&gt;KKM!$H$10,"B",IF(AP8&gt;=KKM!$I$10,"C","D")))</f>
        <v>B</v>
      </c>
      <c r="AR8" s="304">
        <f t="shared" si="1"/>
        <v>87</v>
      </c>
      <c r="AS8" s="309" t="str">
        <f>IF(AR8&gt;KKM!$G$10," sangat baik ",IF(AR8&gt;KKM!$H$10," baik ",IF(AR8&gt;=KKM!$I$10," cukup baik "," perlu bimbingan ")))</f>
        <v xml:space="preserve"> baik </v>
      </c>
      <c r="AT8" s="305">
        <f t="shared" si="2"/>
        <v>87</v>
      </c>
      <c r="AU8" s="309" t="str">
        <f>IF(AT8&gt;KKM!$G$10," sangat baik ",IF(AT8&gt;KKM!$H$10," baik ",IF(AT8&gt;=KKM!$I$10," cukup baik "," perlu bimbingan ")))</f>
        <v xml:space="preserve"> baik </v>
      </c>
      <c r="AV8" s="301" t="str">
        <f t="shared" si="23"/>
        <v>Anak 4 baik  dalam menyelesaikan masalah penaksiran dari jumlah, selisih, hasil kali, dan hasil bagi dua bilangan cacah maupun pecahan dan desimal</v>
      </c>
      <c r="AW8" s="218"/>
      <c r="AX8" s="219" t="str">
        <f t="shared" si="3"/>
        <v xml:space="preserve"> baik  dalam menyelesaikan masalah penaksiran dari jumlah, selisih, hasil kali, dan hasil bagi dua bilangan cacah maupun pecahan dan desimal</v>
      </c>
      <c r="AY8" s="219" t="str">
        <f t="shared" si="4"/>
        <v xml:space="preserve"> baik  dalam menyelesaikan masalah penaksiran dari jumlah, selisih, hasil kali, dan hasil bagi dua bilangan cacah maupun pecahan dan desimal</v>
      </c>
      <c r="AZ8" s="219" t="str">
        <f t="shared" si="24"/>
        <v xml:space="preserve"> baik  dalam menyelesaikan masalah penaksiran dari jumlah, selisih, hasil kali, dan hasil bagi dua bilangan cacah maupun pecahan dan desimal, dan  baik  dalam menyelesaikan masalah penaksiran dari jumlah, selisih, hasil kali, dan hasil bagi dua bilangan cacah maupun pecahan dan desimal</v>
      </c>
      <c r="BA8" s="219" t="str">
        <f t="shared" si="25"/>
        <v xml:space="preserve"> baik  dalam menyelesaikan masalah penaksiran dari jumlah, selisih, hasil kali, dan hasil bagi dua bilangan cacah maupun pecahan dan desimal</v>
      </c>
      <c r="BB8" s="220" t="str">
        <f t="shared" si="26"/>
        <v xml:space="preserve"> baik  dalam menyelesaikan masalah penaksiran dari jumlah, selisih, hasil kali, dan hasil bagi dua bilangan cacah maupun pecahan dan desimal</v>
      </c>
      <c r="BC8" s="214" t="str">
        <f t="shared" si="5"/>
        <v>Anak 4 baik  dalam menyelesaikan masalah penaksiran dari jumlah, selisih, hasil kali, dan hasil bagi dua bilangan cacah maupun pecahan dan desimal</v>
      </c>
      <c r="BL8" s="408">
        <f t="shared" si="27"/>
        <v>87</v>
      </c>
    </row>
    <row r="9" spans="1:74" ht="80.25" customHeight="1">
      <c r="B9" s="109">
        <v>5</v>
      </c>
      <c r="C9" s="110">
        <f>SISWA!B10</f>
        <v>0</v>
      </c>
      <c r="D9" s="111" t="str">
        <f>SISWA!E10</f>
        <v>Anak 5</v>
      </c>
      <c r="E9" s="605"/>
      <c r="F9" s="605"/>
      <c r="G9" s="605"/>
      <c r="H9" s="605"/>
      <c r="I9" s="605"/>
      <c r="J9" s="605"/>
      <c r="K9" s="605"/>
      <c r="L9" s="605"/>
      <c r="M9" s="605"/>
      <c r="N9" s="605"/>
      <c r="O9" s="605">
        <v>88</v>
      </c>
      <c r="P9" s="605"/>
      <c r="Q9" s="605"/>
      <c r="R9" s="605"/>
      <c r="S9" s="605"/>
      <c r="T9" s="605"/>
      <c r="U9" s="605"/>
      <c r="V9" s="605"/>
      <c r="W9" s="605"/>
      <c r="X9" s="605"/>
      <c r="Y9" s="605"/>
      <c r="Z9" s="533" t="str">
        <f t="shared" si="6"/>
        <v/>
      </c>
      <c r="AA9" s="533" t="str">
        <f t="shared" si="7"/>
        <v/>
      </c>
      <c r="AB9" s="533" t="str">
        <f t="shared" si="8"/>
        <v/>
      </c>
      <c r="AC9" s="533">
        <f t="shared" si="9"/>
        <v>88</v>
      </c>
      <c r="AD9" s="533" t="str">
        <f t="shared" si="10"/>
        <v/>
      </c>
      <c r="AE9" s="533" t="str">
        <f t="shared" si="11"/>
        <v/>
      </c>
      <c r="AF9" s="533" t="str">
        <f t="shared" si="12"/>
        <v/>
      </c>
      <c r="AG9" s="533" t="str">
        <f t="shared" si="13"/>
        <v/>
      </c>
      <c r="AH9" s="533" t="str">
        <f t="shared" si="14"/>
        <v/>
      </c>
      <c r="AI9" s="533" t="str">
        <f t="shared" si="15"/>
        <v/>
      </c>
      <c r="AJ9" s="533" t="str">
        <f t="shared" si="16"/>
        <v/>
      </c>
      <c r="AK9" s="533" t="str">
        <f t="shared" si="17"/>
        <v/>
      </c>
      <c r="AL9" s="533" t="str">
        <f t="shared" si="18"/>
        <v/>
      </c>
      <c r="AM9" s="533" t="str">
        <f t="shared" si="19"/>
        <v/>
      </c>
      <c r="AN9" s="533">
        <f t="shared" si="20"/>
        <v>88</v>
      </c>
      <c r="AO9" s="533" t="str">
        <f t="shared" si="21"/>
        <v/>
      </c>
      <c r="AP9" s="302">
        <f t="shared" si="22"/>
        <v>88</v>
      </c>
      <c r="AQ9" s="303" t="str">
        <f>IF(AP9&gt;KKM!$G$10,"A",IF(AP9&gt;KKM!$H$10,"B",IF(AP9&gt;=KKM!$I$10,"C","D")))</f>
        <v>B</v>
      </c>
      <c r="AR9" s="304">
        <f t="shared" si="1"/>
        <v>88</v>
      </c>
      <c r="AS9" s="309" t="str">
        <f>IF(AR9&gt;KKM!$G$10," sangat baik ",IF(AR9&gt;KKM!$H$10," baik ",IF(AR9&gt;=KKM!$I$10," cukup baik "," perlu bimbingan ")))</f>
        <v xml:space="preserve"> baik </v>
      </c>
      <c r="AT9" s="305">
        <f t="shared" si="2"/>
        <v>88</v>
      </c>
      <c r="AU9" s="309" t="str">
        <f>IF(AT9&gt;KKM!$G$10," sangat baik ",IF(AT9&gt;KKM!$H$10," baik ",IF(AT9&gt;=KKM!$I$10," cukup baik "," perlu bimbingan ")))</f>
        <v xml:space="preserve"> baik </v>
      </c>
      <c r="AV9" s="301" t="str">
        <f t="shared" si="23"/>
        <v xml:space="preserve">Anak 5 baik  dalam mengidentifikasi  faktor dan kelipatan suatu bilangan </v>
      </c>
      <c r="AW9" s="218"/>
      <c r="AX9" s="219" t="str">
        <f t="shared" si="3"/>
        <v xml:space="preserve"> baik  dalam mengidentifikasi  faktor dan kelipatan suatu bilangan </v>
      </c>
      <c r="AY9" s="219" t="str">
        <f t="shared" si="4"/>
        <v xml:space="preserve"> baik  dalam mengidentifikasi  faktor dan kelipatan suatu bilangan </v>
      </c>
      <c r="AZ9" s="219" t="str">
        <f t="shared" si="24"/>
        <v xml:space="preserve"> baik  dalam mengidentifikasi  faktor dan kelipatan suatu bilangan , dan  baik  dalam mengidentifikasi  faktor dan kelipatan suatu bilangan </v>
      </c>
      <c r="BA9" s="219" t="str">
        <f t="shared" si="25"/>
        <v xml:space="preserve"> baik  dalam mengidentifikasi  faktor dan kelipatan suatu bilangan </v>
      </c>
      <c r="BB9" s="220" t="str">
        <f t="shared" si="26"/>
        <v xml:space="preserve"> baik  dalam mengidentifikasi  faktor dan kelipatan suatu bilangan </v>
      </c>
      <c r="BC9" s="214" t="str">
        <f t="shared" si="5"/>
        <v xml:space="preserve">Anak 5 baik  dalam mengidentifikasi  faktor dan kelipatan suatu bilangan </v>
      </c>
      <c r="BL9" s="408">
        <f t="shared" si="27"/>
        <v>88</v>
      </c>
    </row>
    <row r="10" spans="1:74" ht="80.25" customHeight="1">
      <c r="B10" s="109">
        <v>6</v>
      </c>
      <c r="C10" s="110">
        <f>SISWA!B11</f>
        <v>0</v>
      </c>
      <c r="D10" s="111" t="str">
        <f>SISWA!E11</f>
        <v>Anak 6</v>
      </c>
      <c r="E10" s="605"/>
      <c r="F10" s="605"/>
      <c r="G10" s="605"/>
      <c r="H10" s="605"/>
      <c r="I10" s="605"/>
      <c r="J10" s="605"/>
      <c r="K10" s="605"/>
      <c r="L10" s="605"/>
      <c r="M10" s="605"/>
      <c r="N10" s="605"/>
      <c r="O10" s="605"/>
      <c r="P10" s="605"/>
      <c r="Q10" s="605"/>
      <c r="R10" s="605">
        <v>77</v>
      </c>
      <c r="S10" s="605"/>
      <c r="T10" s="605"/>
      <c r="U10" s="605"/>
      <c r="V10" s="605"/>
      <c r="W10" s="605"/>
      <c r="X10" s="605"/>
      <c r="Y10" s="605"/>
      <c r="Z10" s="533" t="str">
        <f t="shared" si="6"/>
        <v/>
      </c>
      <c r="AA10" s="533" t="str">
        <f t="shared" si="7"/>
        <v/>
      </c>
      <c r="AB10" s="533" t="str">
        <f t="shared" si="8"/>
        <v/>
      </c>
      <c r="AC10" s="533" t="str">
        <f t="shared" si="9"/>
        <v/>
      </c>
      <c r="AD10" s="533">
        <f t="shared" si="10"/>
        <v>77</v>
      </c>
      <c r="AE10" s="533" t="str">
        <f t="shared" si="11"/>
        <v/>
      </c>
      <c r="AF10" s="533" t="str">
        <f t="shared" si="12"/>
        <v/>
      </c>
      <c r="AG10" s="533" t="str">
        <f t="shared" si="13"/>
        <v/>
      </c>
      <c r="AH10" s="533" t="str">
        <f t="shared" si="14"/>
        <v/>
      </c>
      <c r="AI10" s="533" t="str">
        <f t="shared" si="15"/>
        <v/>
      </c>
      <c r="AJ10" s="533" t="str">
        <f t="shared" si="16"/>
        <v/>
      </c>
      <c r="AK10" s="533" t="str">
        <f t="shared" si="17"/>
        <v/>
      </c>
      <c r="AL10" s="533" t="str">
        <f t="shared" si="18"/>
        <v/>
      </c>
      <c r="AM10" s="533" t="str">
        <f t="shared" si="19"/>
        <v/>
      </c>
      <c r="AN10" s="533" t="str">
        <f t="shared" si="20"/>
        <v/>
      </c>
      <c r="AO10" s="533" t="str">
        <f t="shared" si="21"/>
        <v/>
      </c>
      <c r="AP10" s="302">
        <f t="shared" si="22"/>
        <v>77</v>
      </c>
      <c r="AQ10" s="303" t="str">
        <f>IF(AP10&gt;KKM!$G$10,"A",IF(AP10&gt;KKM!$H$10,"B",IF(AP10&gt;=KKM!$I$10,"C","D")))</f>
        <v>C</v>
      </c>
      <c r="AR10" s="304">
        <f t="shared" si="1"/>
        <v>77</v>
      </c>
      <c r="AS10" s="309" t="str">
        <f>IF(AR10&gt;KKM!$G$10," sangat baik ",IF(AR10&gt;KKM!$H$10," baik ",IF(AR10&gt;=KKM!$I$10," cukup baik "," perlu bimbingan ")))</f>
        <v xml:space="preserve"> cukup baik </v>
      </c>
      <c r="AT10" s="305">
        <f t="shared" si="2"/>
        <v>77</v>
      </c>
      <c r="AU10" s="309" t="str">
        <f>IF(AT10&gt;KKM!$G$10," sangat baik ",IF(AT10&gt;KKM!$H$10," baik ",IF(AT10&gt;=KKM!$I$10," cukup baik "," perlu bimbingan ")))</f>
        <v xml:space="preserve"> cukup baik </v>
      </c>
      <c r="AV10" s="301" t="str">
        <f t="shared" si="23"/>
        <v xml:space="preserve">Anak 6 cukup baik  dalam mengidentifikasi bilangan prima </v>
      </c>
      <c r="AW10" s="218"/>
      <c r="AX10" s="219" t="str">
        <f t="shared" si="3"/>
        <v xml:space="preserve"> cukup baik  dalam mengidentifikasi bilangan prima </v>
      </c>
      <c r="AY10" s="219" t="str">
        <f t="shared" si="4"/>
        <v xml:space="preserve"> cukup baik  dalam mengidentifikasi bilangan prima </v>
      </c>
      <c r="AZ10" s="219" t="str">
        <f t="shared" si="24"/>
        <v xml:space="preserve"> cukup baik  dalam mengidentifikasi bilangan prima , dan  cukup baik  dalam mengidentifikasi bilangan prima </v>
      </c>
      <c r="BA10" s="219" t="str">
        <f t="shared" si="25"/>
        <v xml:space="preserve"> cukup baik  dalam mengidentifikasi bilangan prima </v>
      </c>
      <c r="BB10" s="220" t="str">
        <f t="shared" si="26"/>
        <v xml:space="preserve"> cukup baik  dalam mengidentifikasi bilangan prima </v>
      </c>
      <c r="BC10" s="214" t="str">
        <f t="shared" si="5"/>
        <v xml:space="preserve">Anak 6 cukup baik  dalam mengidentifikasi bilangan prima </v>
      </c>
      <c r="BL10" s="408">
        <f t="shared" si="27"/>
        <v>77</v>
      </c>
    </row>
    <row r="11" spans="1:74" ht="80.25" customHeight="1">
      <c r="B11" s="109">
        <v>7</v>
      </c>
      <c r="C11" s="110">
        <f>SISWA!B12</f>
        <v>0</v>
      </c>
      <c r="D11" s="111" t="str">
        <f>SISWA!E12</f>
        <v>Anak 7</v>
      </c>
      <c r="E11" s="605"/>
      <c r="F11" s="605"/>
      <c r="G11" s="605"/>
      <c r="H11" s="605"/>
      <c r="I11" s="605"/>
      <c r="J11" s="605"/>
      <c r="K11" s="605"/>
      <c r="L11" s="605"/>
      <c r="M11" s="605"/>
      <c r="N11" s="605"/>
      <c r="O11" s="605"/>
      <c r="P11" s="605"/>
      <c r="Q11" s="605"/>
      <c r="R11" s="605"/>
      <c r="S11" s="605"/>
      <c r="T11" s="605"/>
      <c r="U11" s="605"/>
      <c r="V11" s="605"/>
      <c r="W11" s="605">
        <v>77</v>
      </c>
      <c r="X11" s="605"/>
      <c r="Y11" s="605"/>
      <c r="Z11" s="533" t="str">
        <f t="shared" si="6"/>
        <v/>
      </c>
      <c r="AA11" s="533" t="str">
        <f t="shared" si="7"/>
        <v/>
      </c>
      <c r="AB11" s="533" t="str">
        <f t="shared" si="8"/>
        <v/>
      </c>
      <c r="AC11" s="533" t="str">
        <f t="shared" si="9"/>
        <v/>
      </c>
      <c r="AD11" s="533" t="str">
        <f t="shared" si="10"/>
        <v/>
      </c>
      <c r="AE11" s="533" t="str">
        <f t="shared" si="11"/>
        <v/>
      </c>
      <c r="AF11" s="533" t="str">
        <f t="shared" si="12"/>
        <v/>
      </c>
      <c r="AG11" s="533" t="str">
        <f t="shared" si="13"/>
        <v/>
      </c>
      <c r="AH11" s="533">
        <f t="shared" si="14"/>
        <v>77</v>
      </c>
      <c r="AI11" s="533">
        <f t="shared" si="15"/>
        <v>77</v>
      </c>
      <c r="AJ11" s="533">
        <f t="shared" si="16"/>
        <v>77</v>
      </c>
      <c r="AK11" s="533" t="str">
        <f t="shared" si="17"/>
        <v/>
      </c>
      <c r="AL11" s="533" t="str">
        <f t="shared" si="18"/>
        <v/>
      </c>
      <c r="AM11" s="533" t="str">
        <f t="shared" si="19"/>
        <v/>
      </c>
      <c r="AN11" s="533" t="str">
        <f t="shared" si="20"/>
        <v/>
      </c>
      <c r="AO11" s="533">
        <f t="shared" si="21"/>
        <v>77</v>
      </c>
      <c r="AP11" s="302">
        <f t="shared" si="22"/>
        <v>77</v>
      </c>
      <c r="AQ11" s="303" t="str">
        <f>IF(AP11&gt;KKM!$G$10,"A",IF(AP11&gt;KKM!$H$10,"B",IF(AP11&gt;=KKM!$I$10,"C","D")))</f>
        <v>C</v>
      </c>
      <c r="AR11" s="304">
        <f t="shared" si="1"/>
        <v>77</v>
      </c>
      <c r="AS11" s="309" t="str">
        <f>IF(AR11&gt;KKM!$G$10," sangat baik ",IF(AR11&gt;KKM!$H$10," baik ",IF(AR11&gt;=KKM!$I$10," cukup baik "," perlu bimbingan ")))</f>
        <v xml:space="preserve"> cukup baik </v>
      </c>
      <c r="AT11" s="305">
        <f t="shared" si="2"/>
        <v>77</v>
      </c>
      <c r="AU11" s="309" t="str">
        <f>IF(AT11&gt;KKM!$G$10," sangat baik ",IF(AT11&gt;KKM!$H$10," baik ",IF(AT11&gt;=KKM!$I$10," cukup baik "," perlu bimbingan ")))</f>
        <v xml:space="preserve"> cukup baik </v>
      </c>
      <c r="AV11" s="301" t="str">
        <f t="shared" si="23"/>
        <v>Anak 7 cukup baik  dalam menyelesaikan masalah yang berkaitan dengan faktor persekutuan, faktor persekutuan terbesar (FPB), kelipatan persekutuan, dan kelipatan persekutuan terkecil (KPK) dari dua bilangan berkaitan dengan kehidupan sehari-hari</v>
      </c>
      <c r="AW11" s="218"/>
      <c r="AX11" s="219" t="str">
        <f t="shared" si="3"/>
        <v xml:space="preserve"> cukup baik  dalam menyelesaikan masalah yang berkaitan dengan faktor persekutuan, faktor persekutuan terbesar (FPB), kelipatan persekutuan, dan kelipatan persekutuan terkecil (KPK) dari dua bilangan berkaitan dengan kehidupan sehari-hari</v>
      </c>
      <c r="AY11" s="219" t="str">
        <f t="shared" si="4"/>
        <v xml:space="preserve"> cukup baik  dalam menyelesaikan masalah yang berkaitan dengan faktor persekutuan, faktor persekutuan terbesar (FPB), kelipatan persekutuan, dan kelipatan persekutuan terkecil (KPK) dari dua bilangan berkaitan dengan kehidupan sehari-hari</v>
      </c>
      <c r="AZ11" s="219" t="str">
        <f t="shared" si="24"/>
        <v xml:space="preserve"> cukup baik  dalam menyelesaikan masalah yang berkaitan dengan faktor persekutuan, faktor persekutuan terbesar (FPB), kelipatan persekutuan, dan kelipatan persekutuan terkecil (KPK) dari dua bilangan berkaitan dengan kehidupan sehari-hari, dan  cukup baik  dalam menyelesaikan masalah yang berkaitan dengan faktor persekutuan, faktor persekutuan terbesar (FPB), kelipatan persekutuan, dan kelipatan persekutuan terkecil (KPK) dari dua bilangan berkaitan dengan kehidupan sehari-hari</v>
      </c>
      <c r="BA11" s="219" t="str">
        <f t="shared" si="25"/>
        <v xml:space="preserve"> cukup baik  dalam menyelesaikan masalah yang berkaitan dengan faktor persekutuan, faktor persekutuan terbesar (FPB), kelipatan persekutuan, dan kelipatan persekutuan terkecil (KPK) dari dua bilangan berkaitan dengan kehidupan sehari-hari</v>
      </c>
      <c r="BB11" s="220" t="str">
        <f t="shared" si="26"/>
        <v xml:space="preserve"> cukup baik  dalam menyelesaikan masalah yang berkaitan dengan faktor persekutuan, faktor persekutuan terbesar (FPB), kelipatan persekutuan, dan kelipatan persekutuan terkecil (KPK) dari dua bilangan berkaitan dengan kehidupan sehari-hari</v>
      </c>
      <c r="BC11" s="214" t="str">
        <f t="shared" si="5"/>
        <v>Anak 7 cukup baik  dalam menyelesaikan masalah yang berkaitan dengan faktor persekutuan, faktor persekutuan terbesar (FPB), kelipatan persekutuan, dan kelipatan persekutuan terkecil (KPK) dari dua bilangan berkaitan dengan kehidupan sehari-hari</v>
      </c>
      <c r="BL11" s="408">
        <f t="shared" si="27"/>
        <v>77</v>
      </c>
    </row>
    <row r="12" spans="1:74" ht="80.25" customHeight="1">
      <c r="B12" s="109">
        <v>8</v>
      </c>
      <c r="C12" s="110">
        <f>SISWA!B13</f>
        <v>0</v>
      </c>
      <c r="D12" s="111" t="str">
        <f>SISWA!E13</f>
        <v>Anak 8</v>
      </c>
      <c r="E12" s="605"/>
      <c r="F12" s="605"/>
      <c r="G12" s="605"/>
      <c r="H12" s="605"/>
      <c r="I12" s="605"/>
      <c r="J12" s="605"/>
      <c r="K12" s="605"/>
      <c r="L12" s="605"/>
      <c r="M12" s="605"/>
      <c r="N12" s="605"/>
      <c r="O12" s="605"/>
      <c r="P12" s="605"/>
      <c r="Q12" s="605"/>
      <c r="R12" s="605"/>
      <c r="S12" s="605"/>
      <c r="T12" s="605"/>
      <c r="U12" s="605"/>
      <c r="V12" s="605"/>
      <c r="W12" s="605"/>
      <c r="X12" s="605"/>
      <c r="Y12" s="605"/>
      <c r="Z12" s="533" t="str">
        <f t="shared" si="6"/>
        <v/>
      </c>
      <c r="AA12" s="533" t="str">
        <f t="shared" si="7"/>
        <v/>
      </c>
      <c r="AB12" s="533" t="str">
        <f t="shared" si="8"/>
        <v/>
      </c>
      <c r="AC12" s="533" t="str">
        <f t="shared" si="9"/>
        <v/>
      </c>
      <c r="AD12" s="533" t="str">
        <f t="shared" si="10"/>
        <v/>
      </c>
      <c r="AE12" s="533" t="str">
        <f t="shared" si="11"/>
        <v/>
      </c>
      <c r="AF12" s="533" t="str">
        <f t="shared" si="12"/>
        <v/>
      </c>
      <c r="AG12" s="533" t="str">
        <f t="shared" si="13"/>
        <v/>
      </c>
      <c r="AH12" s="533" t="str">
        <f t="shared" si="14"/>
        <v/>
      </c>
      <c r="AI12" s="533" t="str">
        <f t="shared" si="15"/>
        <v/>
      </c>
      <c r="AJ12" s="533" t="str">
        <f t="shared" si="16"/>
        <v/>
      </c>
      <c r="AK12" s="533" t="str">
        <f t="shared" si="17"/>
        <v/>
      </c>
      <c r="AL12" s="533" t="str">
        <f t="shared" si="18"/>
        <v/>
      </c>
      <c r="AM12" s="533" t="str">
        <f t="shared" si="19"/>
        <v/>
      </c>
      <c r="AN12" s="533" t="str">
        <f t="shared" si="20"/>
        <v/>
      </c>
      <c r="AO12" s="533" t="str">
        <f t="shared" si="21"/>
        <v/>
      </c>
      <c r="AP12" s="302" t="e">
        <f t="shared" si="22"/>
        <v>#DIV/0!</v>
      </c>
      <c r="AQ12" s="303" t="e">
        <f>IF(AP12&gt;KKM!$G$10,"A",IF(AP12&gt;KKM!$H$10,"B",IF(AP12&gt;=KKM!$I$10,"C","D")))</f>
        <v>#DIV/0!</v>
      </c>
      <c r="AR12" s="304">
        <f t="shared" si="1"/>
        <v>0</v>
      </c>
      <c r="AS12" s="309" t="str">
        <f>IF(AR12&gt;KKM!$G$10," sangat baik ",IF(AR12&gt;KKM!$H$10," baik ",IF(AR12&gt;=KKM!$I$10," cukup baik "," perlu bimbingan ")))</f>
        <v xml:space="preserve"> perlu bimbingan </v>
      </c>
      <c r="AT12" s="305">
        <f t="shared" si="2"/>
        <v>0</v>
      </c>
      <c r="AU12" s="309" t="str">
        <f>IF(AT12&gt;KKM!$G$10," sangat baik ",IF(AT12&gt;KKM!$H$10," baik ",IF(AT12&gt;=KKM!$I$10," cukup baik "," perlu bimbingan ")))</f>
        <v xml:space="preserve"> perlu bimbingan </v>
      </c>
      <c r="AV12" s="301" t="str">
        <f t="shared" si="23"/>
        <v xml:space="preserve"> </v>
      </c>
      <c r="AW12" s="218"/>
      <c r="AX12" s="219" t="e">
        <f t="shared" si="3"/>
        <v>#N/A</v>
      </c>
      <c r="AY12" s="219" t="e">
        <f t="shared" si="4"/>
        <v>#N/A</v>
      </c>
      <c r="AZ12" s="219" t="e">
        <f t="shared" si="24"/>
        <v>#N/A</v>
      </c>
      <c r="BA12" s="219" t="e">
        <f t="shared" si="25"/>
        <v>#N/A</v>
      </c>
      <c r="BB12" s="220" t="e">
        <f t="shared" si="26"/>
        <v>#N/A</v>
      </c>
      <c r="BC12" s="214" t="e">
        <f t="shared" si="5"/>
        <v>#N/A</v>
      </c>
      <c r="BL12" s="408" t="str">
        <f t="shared" si="27"/>
        <v/>
      </c>
    </row>
    <row r="13" spans="1:74" ht="80.25" customHeight="1">
      <c r="B13" s="109">
        <v>9</v>
      </c>
      <c r="C13" s="110">
        <f>SISWA!B14</f>
        <v>0</v>
      </c>
      <c r="D13" s="111" t="str">
        <f>SISWA!E14</f>
        <v>Anak 9</v>
      </c>
      <c r="E13" s="605"/>
      <c r="F13" s="605"/>
      <c r="G13" s="605"/>
      <c r="H13" s="605"/>
      <c r="I13" s="605"/>
      <c r="J13" s="605"/>
      <c r="K13" s="605"/>
      <c r="L13" s="605"/>
      <c r="M13" s="605"/>
      <c r="N13" s="605"/>
      <c r="O13" s="605"/>
      <c r="P13" s="605"/>
      <c r="Q13" s="605"/>
      <c r="R13" s="605"/>
      <c r="S13" s="605"/>
      <c r="T13" s="605"/>
      <c r="U13" s="605"/>
      <c r="V13" s="605"/>
      <c r="W13" s="605"/>
      <c r="X13" s="605"/>
      <c r="Y13" s="605"/>
      <c r="Z13" s="533" t="str">
        <f t="shared" si="6"/>
        <v/>
      </c>
      <c r="AA13" s="533" t="str">
        <f t="shared" si="7"/>
        <v/>
      </c>
      <c r="AB13" s="533" t="str">
        <f t="shared" si="8"/>
        <v/>
      </c>
      <c r="AC13" s="533" t="str">
        <f t="shared" si="9"/>
        <v/>
      </c>
      <c r="AD13" s="533" t="str">
        <f t="shared" si="10"/>
        <v/>
      </c>
      <c r="AE13" s="533" t="str">
        <f t="shared" si="11"/>
        <v/>
      </c>
      <c r="AF13" s="533" t="str">
        <f t="shared" si="12"/>
        <v/>
      </c>
      <c r="AG13" s="533" t="str">
        <f t="shared" si="13"/>
        <v/>
      </c>
      <c r="AH13" s="533" t="str">
        <f t="shared" si="14"/>
        <v/>
      </c>
      <c r="AI13" s="533" t="str">
        <f t="shared" si="15"/>
        <v/>
      </c>
      <c r="AJ13" s="533" t="str">
        <f t="shared" si="16"/>
        <v/>
      </c>
      <c r="AK13" s="533" t="str">
        <f t="shared" si="17"/>
        <v/>
      </c>
      <c r="AL13" s="533" t="str">
        <f t="shared" si="18"/>
        <v/>
      </c>
      <c r="AM13" s="533" t="str">
        <f t="shared" si="19"/>
        <v/>
      </c>
      <c r="AN13" s="533" t="str">
        <f t="shared" si="20"/>
        <v/>
      </c>
      <c r="AO13" s="533" t="str">
        <f t="shared" si="21"/>
        <v/>
      </c>
      <c r="AP13" s="302" t="e">
        <f t="shared" si="22"/>
        <v>#DIV/0!</v>
      </c>
      <c r="AQ13" s="303" t="e">
        <f>IF(AP13&gt;KKM!$G$10,"A",IF(AP13&gt;KKM!$H$10,"B",IF(AP13&gt;=KKM!$I$10,"C","D")))</f>
        <v>#DIV/0!</v>
      </c>
      <c r="AR13" s="304">
        <f t="shared" si="1"/>
        <v>0</v>
      </c>
      <c r="AS13" s="309" t="str">
        <f>IF(AR13&gt;KKM!$G$10," sangat baik ",IF(AR13&gt;KKM!$H$10," baik ",IF(AR13&gt;=KKM!$I$10," cukup baik "," perlu bimbingan ")))</f>
        <v xml:space="preserve"> perlu bimbingan </v>
      </c>
      <c r="AT13" s="305">
        <f t="shared" si="2"/>
        <v>0</v>
      </c>
      <c r="AU13" s="309" t="str">
        <f>IF(AT13&gt;KKM!$G$10," sangat baik ",IF(AT13&gt;KKM!$H$10," baik ",IF(AT13&gt;=KKM!$I$10," cukup baik "," perlu bimbingan ")))</f>
        <v xml:space="preserve"> perlu bimbingan </v>
      </c>
      <c r="AV13" s="301" t="str">
        <f t="shared" si="23"/>
        <v xml:space="preserve"> </v>
      </c>
      <c r="AW13" s="218"/>
      <c r="AX13" s="219" t="e">
        <f t="shared" si="3"/>
        <v>#N/A</v>
      </c>
      <c r="AY13" s="219" t="e">
        <f t="shared" si="4"/>
        <v>#N/A</v>
      </c>
      <c r="AZ13" s="219" t="e">
        <f t="shared" si="24"/>
        <v>#N/A</v>
      </c>
      <c r="BA13" s="219" t="e">
        <f t="shared" si="25"/>
        <v>#N/A</v>
      </c>
      <c r="BB13" s="220" t="e">
        <f t="shared" si="26"/>
        <v>#N/A</v>
      </c>
      <c r="BC13" s="214" t="e">
        <f t="shared" si="5"/>
        <v>#N/A</v>
      </c>
      <c r="BL13" s="408" t="str">
        <f t="shared" si="27"/>
        <v/>
      </c>
    </row>
    <row r="14" spans="1:74" ht="80.25" customHeight="1">
      <c r="B14" s="109">
        <v>10</v>
      </c>
      <c r="C14" s="110">
        <f>SISWA!B15</f>
        <v>0</v>
      </c>
      <c r="D14" s="111" t="str">
        <f>SISWA!E15</f>
        <v>Anak 10</v>
      </c>
      <c r="E14" s="605"/>
      <c r="F14" s="605"/>
      <c r="G14" s="605"/>
      <c r="H14" s="605"/>
      <c r="I14" s="605"/>
      <c r="J14" s="605"/>
      <c r="K14" s="605"/>
      <c r="L14" s="605"/>
      <c r="M14" s="605"/>
      <c r="N14" s="605"/>
      <c r="O14" s="605"/>
      <c r="P14" s="605"/>
      <c r="Q14" s="605"/>
      <c r="R14" s="605"/>
      <c r="S14" s="605"/>
      <c r="T14" s="605"/>
      <c r="U14" s="605"/>
      <c r="V14" s="605"/>
      <c r="W14" s="605"/>
      <c r="X14" s="605"/>
      <c r="Y14" s="605"/>
      <c r="Z14" s="533" t="str">
        <f t="shared" si="6"/>
        <v/>
      </c>
      <c r="AA14" s="533" t="str">
        <f t="shared" si="7"/>
        <v/>
      </c>
      <c r="AB14" s="533" t="str">
        <f t="shared" si="8"/>
        <v/>
      </c>
      <c r="AC14" s="533" t="str">
        <f t="shared" si="9"/>
        <v/>
      </c>
      <c r="AD14" s="533" t="str">
        <f t="shared" si="10"/>
        <v/>
      </c>
      <c r="AE14" s="533" t="str">
        <f t="shared" si="11"/>
        <v/>
      </c>
      <c r="AF14" s="533" t="str">
        <f t="shared" si="12"/>
        <v/>
      </c>
      <c r="AG14" s="533" t="str">
        <f t="shared" si="13"/>
        <v/>
      </c>
      <c r="AH14" s="533" t="str">
        <f t="shared" si="14"/>
        <v/>
      </c>
      <c r="AI14" s="533" t="str">
        <f t="shared" si="15"/>
        <v/>
      </c>
      <c r="AJ14" s="533" t="str">
        <f t="shared" si="16"/>
        <v/>
      </c>
      <c r="AK14" s="533" t="str">
        <f t="shared" si="17"/>
        <v/>
      </c>
      <c r="AL14" s="533" t="str">
        <f t="shared" si="18"/>
        <v/>
      </c>
      <c r="AM14" s="533" t="str">
        <f t="shared" si="19"/>
        <v/>
      </c>
      <c r="AN14" s="533" t="str">
        <f t="shared" si="20"/>
        <v/>
      </c>
      <c r="AO14" s="533" t="str">
        <f t="shared" si="21"/>
        <v/>
      </c>
      <c r="AP14" s="302" t="e">
        <f t="shared" si="22"/>
        <v>#DIV/0!</v>
      </c>
      <c r="AQ14" s="303" t="e">
        <f>IF(AP14&gt;KKM!$G$10,"A",IF(AP14&gt;KKM!$H$10,"B",IF(AP14&gt;=KKM!$I$10,"C","D")))</f>
        <v>#DIV/0!</v>
      </c>
      <c r="AR14" s="304">
        <f t="shared" si="1"/>
        <v>0</v>
      </c>
      <c r="AS14" s="309" t="str">
        <f>IF(AR14&gt;KKM!$G$10," sangat baik ",IF(AR14&gt;KKM!$H$10," baik ",IF(AR14&gt;=KKM!$I$10," cukup baik "," perlu bimbingan ")))</f>
        <v xml:space="preserve"> perlu bimbingan </v>
      </c>
      <c r="AT14" s="305">
        <f t="shared" si="2"/>
        <v>0</v>
      </c>
      <c r="AU14" s="309" t="str">
        <f>IF(AT14&gt;KKM!$G$10," sangat baik ",IF(AT14&gt;KKM!$H$10," baik ",IF(AT14&gt;=KKM!$I$10," cukup baik "," perlu bimbingan ")))</f>
        <v xml:space="preserve"> perlu bimbingan </v>
      </c>
      <c r="AV14" s="301" t="str">
        <f t="shared" si="23"/>
        <v xml:space="preserve"> </v>
      </c>
      <c r="AW14" s="218"/>
      <c r="AX14" s="219" t="e">
        <f t="shared" si="3"/>
        <v>#N/A</v>
      </c>
      <c r="AY14" s="219" t="e">
        <f t="shared" si="4"/>
        <v>#N/A</v>
      </c>
      <c r="AZ14" s="219" t="e">
        <f t="shared" si="24"/>
        <v>#N/A</v>
      </c>
      <c r="BA14" s="219" t="e">
        <f t="shared" si="25"/>
        <v>#N/A</v>
      </c>
      <c r="BB14" s="220" t="e">
        <f t="shared" si="26"/>
        <v>#N/A</v>
      </c>
      <c r="BC14" s="214" t="e">
        <f t="shared" si="5"/>
        <v>#N/A</v>
      </c>
      <c r="BL14" s="408" t="str">
        <f t="shared" si="27"/>
        <v/>
      </c>
    </row>
    <row r="15" spans="1:74" ht="80.25" customHeight="1">
      <c r="B15" s="109">
        <v>11</v>
      </c>
      <c r="C15" s="110">
        <f>SISWA!B16</f>
        <v>0</v>
      </c>
      <c r="D15" s="111" t="str">
        <f>SISWA!E16</f>
        <v>Anak 11</v>
      </c>
      <c r="E15" s="605"/>
      <c r="F15" s="605"/>
      <c r="G15" s="605"/>
      <c r="H15" s="605"/>
      <c r="I15" s="605"/>
      <c r="J15" s="605"/>
      <c r="K15" s="605"/>
      <c r="L15" s="605"/>
      <c r="M15" s="605"/>
      <c r="N15" s="605"/>
      <c r="O15" s="605"/>
      <c r="P15" s="605"/>
      <c r="Q15" s="605"/>
      <c r="R15" s="605"/>
      <c r="S15" s="605"/>
      <c r="T15" s="605"/>
      <c r="U15" s="605"/>
      <c r="V15" s="605"/>
      <c r="W15" s="605"/>
      <c r="X15" s="605"/>
      <c r="Y15" s="605"/>
      <c r="Z15" s="533" t="str">
        <f t="shared" si="6"/>
        <v/>
      </c>
      <c r="AA15" s="533" t="str">
        <f t="shared" si="7"/>
        <v/>
      </c>
      <c r="AB15" s="533" t="str">
        <f t="shared" si="8"/>
        <v/>
      </c>
      <c r="AC15" s="533" t="str">
        <f t="shared" si="9"/>
        <v/>
      </c>
      <c r="AD15" s="533" t="str">
        <f t="shared" si="10"/>
        <v/>
      </c>
      <c r="AE15" s="533" t="str">
        <f t="shared" si="11"/>
        <v/>
      </c>
      <c r="AF15" s="533" t="str">
        <f t="shared" si="12"/>
        <v/>
      </c>
      <c r="AG15" s="533" t="str">
        <f t="shared" si="13"/>
        <v/>
      </c>
      <c r="AH15" s="533" t="str">
        <f t="shared" si="14"/>
        <v/>
      </c>
      <c r="AI15" s="533" t="str">
        <f t="shared" si="15"/>
        <v/>
      </c>
      <c r="AJ15" s="533" t="str">
        <f t="shared" si="16"/>
        <v/>
      </c>
      <c r="AK15" s="533" t="str">
        <f t="shared" si="17"/>
        <v/>
      </c>
      <c r="AL15" s="533" t="str">
        <f t="shared" si="18"/>
        <v/>
      </c>
      <c r="AM15" s="533" t="str">
        <f t="shared" si="19"/>
        <v/>
      </c>
      <c r="AN15" s="533" t="str">
        <f t="shared" si="20"/>
        <v/>
      </c>
      <c r="AO15" s="533" t="str">
        <f t="shared" si="21"/>
        <v/>
      </c>
      <c r="AP15" s="302" t="e">
        <f t="shared" si="22"/>
        <v>#DIV/0!</v>
      </c>
      <c r="AQ15" s="303" t="e">
        <f>IF(AP15&gt;KKM!$G$10,"A",IF(AP15&gt;KKM!$H$10,"B",IF(AP15&gt;=KKM!$I$10,"C","D")))</f>
        <v>#DIV/0!</v>
      </c>
      <c r="AR15" s="304">
        <f t="shared" si="1"/>
        <v>0</v>
      </c>
      <c r="AS15" s="309" t="str">
        <f>IF(AR15&gt;KKM!$G$10," sangat baik ",IF(AR15&gt;KKM!$H$10," baik ",IF(AR15&gt;=KKM!$I$10," cukup baik "," perlu bimbingan ")))</f>
        <v xml:space="preserve"> perlu bimbingan </v>
      </c>
      <c r="AT15" s="305">
        <f t="shared" si="2"/>
        <v>0</v>
      </c>
      <c r="AU15" s="309" t="str">
        <f>IF(AT15&gt;KKM!$G$10," sangat baik ",IF(AT15&gt;KKM!$H$10," baik ",IF(AT15&gt;=KKM!$I$10," cukup baik "," perlu bimbingan ")))</f>
        <v xml:space="preserve"> perlu bimbingan </v>
      </c>
      <c r="AV15" s="301" t="str">
        <f t="shared" si="23"/>
        <v xml:space="preserve"> </v>
      </c>
      <c r="AW15" s="218"/>
      <c r="AX15" s="219" t="e">
        <f t="shared" si="3"/>
        <v>#N/A</v>
      </c>
      <c r="AY15" s="219" t="e">
        <f t="shared" si="4"/>
        <v>#N/A</v>
      </c>
      <c r="AZ15" s="219" t="e">
        <f t="shared" si="24"/>
        <v>#N/A</v>
      </c>
      <c r="BA15" s="219" t="e">
        <f t="shared" si="25"/>
        <v>#N/A</v>
      </c>
      <c r="BB15" s="220" t="e">
        <f t="shared" si="26"/>
        <v>#N/A</v>
      </c>
      <c r="BC15" s="214" t="e">
        <f t="shared" si="5"/>
        <v>#N/A</v>
      </c>
      <c r="BL15" s="408" t="str">
        <f t="shared" si="27"/>
        <v/>
      </c>
    </row>
    <row r="16" spans="1:74" ht="80.25" customHeight="1">
      <c r="B16" s="109">
        <v>12</v>
      </c>
      <c r="C16" s="110">
        <f>SISWA!B17</f>
        <v>0</v>
      </c>
      <c r="D16" s="111" t="str">
        <f>SISWA!E17</f>
        <v>Anak 12</v>
      </c>
      <c r="E16" s="605"/>
      <c r="F16" s="605"/>
      <c r="G16" s="605"/>
      <c r="H16" s="605"/>
      <c r="I16" s="605"/>
      <c r="J16" s="605"/>
      <c r="K16" s="605"/>
      <c r="L16" s="605"/>
      <c r="M16" s="605"/>
      <c r="N16" s="605"/>
      <c r="O16" s="605"/>
      <c r="P16" s="605"/>
      <c r="Q16" s="605"/>
      <c r="R16" s="605"/>
      <c r="S16" s="605"/>
      <c r="T16" s="605"/>
      <c r="U16" s="605"/>
      <c r="V16" s="605"/>
      <c r="W16" s="605"/>
      <c r="X16" s="605"/>
      <c r="Y16" s="605"/>
      <c r="Z16" s="533" t="str">
        <f t="shared" si="6"/>
        <v/>
      </c>
      <c r="AA16" s="533" t="str">
        <f t="shared" si="7"/>
        <v/>
      </c>
      <c r="AB16" s="533" t="str">
        <f t="shared" si="8"/>
        <v/>
      </c>
      <c r="AC16" s="533" t="str">
        <f t="shared" si="9"/>
        <v/>
      </c>
      <c r="AD16" s="533" t="str">
        <f t="shared" si="10"/>
        <v/>
      </c>
      <c r="AE16" s="533" t="str">
        <f t="shared" si="11"/>
        <v/>
      </c>
      <c r="AF16" s="533" t="str">
        <f t="shared" si="12"/>
        <v/>
      </c>
      <c r="AG16" s="533" t="str">
        <f t="shared" si="13"/>
        <v/>
      </c>
      <c r="AH16" s="533" t="str">
        <f t="shared" si="14"/>
        <v/>
      </c>
      <c r="AI16" s="533" t="str">
        <f t="shared" si="15"/>
        <v/>
      </c>
      <c r="AJ16" s="533" t="str">
        <f t="shared" si="16"/>
        <v/>
      </c>
      <c r="AK16" s="533" t="str">
        <f t="shared" si="17"/>
        <v/>
      </c>
      <c r="AL16" s="533" t="str">
        <f t="shared" si="18"/>
        <v/>
      </c>
      <c r="AM16" s="533" t="str">
        <f t="shared" si="19"/>
        <v/>
      </c>
      <c r="AN16" s="533" t="str">
        <f t="shared" si="20"/>
        <v/>
      </c>
      <c r="AO16" s="533" t="str">
        <f t="shared" si="21"/>
        <v/>
      </c>
      <c r="AP16" s="302" t="e">
        <f t="shared" si="22"/>
        <v>#DIV/0!</v>
      </c>
      <c r="AQ16" s="303" t="e">
        <f>IF(AP16&gt;KKM!$G$10,"A",IF(AP16&gt;KKM!$H$10,"B",IF(AP16&gt;=KKM!$I$10,"C","D")))</f>
        <v>#DIV/0!</v>
      </c>
      <c r="AR16" s="304">
        <f t="shared" si="1"/>
        <v>0</v>
      </c>
      <c r="AS16" s="309" t="str">
        <f>IF(AR16&gt;KKM!$G$10," sangat baik ",IF(AR16&gt;KKM!$H$10," baik ",IF(AR16&gt;=KKM!$I$10," cukup baik "," perlu bimbingan ")))</f>
        <v xml:space="preserve"> perlu bimbingan </v>
      </c>
      <c r="AT16" s="305">
        <f t="shared" si="2"/>
        <v>0</v>
      </c>
      <c r="AU16" s="309" t="str">
        <f>IF(AT16&gt;KKM!$G$10," sangat baik ",IF(AT16&gt;KKM!$H$10," baik ",IF(AT16&gt;=KKM!$I$10," cukup baik "," perlu bimbingan ")))</f>
        <v xml:space="preserve"> perlu bimbingan </v>
      </c>
      <c r="AV16" s="301" t="str">
        <f t="shared" si="23"/>
        <v xml:space="preserve"> </v>
      </c>
      <c r="AW16" s="218"/>
      <c r="AX16" s="219" t="e">
        <f t="shared" si="3"/>
        <v>#N/A</v>
      </c>
      <c r="AY16" s="219" t="e">
        <f t="shared" si="4"/>
        <v>#N/A</v>
      </c>
      <c r="AZ16" s="219" t="e">
        <f t="shared" si="24"/>
        <v>#N/A</v>
      </c>
      <c r="BA16" s="219" t="e">
        <f t="shared" si="25"/>
        <v>#N/A</v>
      </c>
      <c r="BB16" s="220" t="e">
        <f t="shared" si="26"/>
        <v>#N/A</v>
      </c>
      <c r="BC16" s="214" t="e">
        <f t="shared" si="5"/>
        <v>#N/A</v>
      </c>
      <c r="BL16" s="408" t="str">
        <f t="shared" si="27"/>
        <v/>
      </c>
    </row>
    <row r="17" spans="2:64" ht="80.25" customHeight="1">
      <c r="B17" s="109">
        <v>13</v>
      </c>
      <c r="C17" s="110">
        <f>SISWA!B18</f>
        <v>0</v>
      </c>
      <c r="D17" s="111" t="str">
        <f>SISWA!E18</f>
        <v>Anak 13</v>
      </c>
      <c r="E17" s="605"/>
      <c r="F17" s="605"/>
      <c r="G17" s="605"/>
      <c r="H17" s="605"/>
      <c r="I17" s="605"/>
      <c r="J17" s="605"/>
      <c r="K17" s="605"/>
      <c r="L17" s="605"/>
      <c r="M17" s="605"/>
      <c r="N17" s="605"/>
      <c r="O17" s="605"/>
      <c r="P17" s="605"/>
      <c r="Q17" s="605"/>
      <c r="R17" s="605"/>
      <c r="S17" s="605"/>
      <c r="T17" s="605"/>
      <c r="U17" s="605"/>
      <c r="V17" s="605"/>
      <c r="W17" s="605"/>
      <c r="X17" s="605"/>
      <c r="Y17" s="605"/>
      <c r="Z17" s="533" t="str">
        <f t="shared" si="6"/>
        <v/>
      </c>
      <c r="AA17" s="533" t="str">
        <f t="shared" si="7"/>
        <v/>
      </c>
      <c r="AB17" s="533" t="str">
        <f t="shared" si="8"/>
        <v/>
      </c>
      <c r="AC17" s="533" t="str">
        <f t="shared" si="9"/>
        <v/>
      </c>
      <c r="AD17" s="533" t="str">
        <f t="shared" si="10"/>
        <v/>
      </c>
      <c r="AE17" s="533" t="str">
        <f t="shared" si="11"/>
        <v/>
      </c>
      <c r="AF17" s="533" t="str">
        <f t="shared" si="12"/>
        <v/>
      </c>
      <c r="AG17" s="533" t="str">
        <f t="shared" si="13"/>
        <v/>
      </c>
      <c r="AH17" s="533" t="str">
        <f t="shared" si="14"/>
        <v/>
      </c>
      <c r="AI17" s="533" t="str">
        <f t="shared" si="15"/>
        <v/>
      </c>
      <c r="AJ17" s="533" t="str">
        <f t="shared" si="16"/>
        <v/>
      </c>
      <c r="AK17" s="533" t="str">
        <f t="shared" si="17"/>
        <v/>
      </c>
      <c r="AL17" s="533" t="str">
        <f t="shared" si="18"/>
        <v/>
      </c>
      <c r="AM17" s="533" t="str">
        <f t="shared" si="19"/>
        <v/>
      </c>
      <c r="AN17" s="533" t="str">
        <f t="shared" si="20"/>
        <v/>
      </c>
      <c r="AO17" s="533" t="str">
        <f t="shared" si="21"/>
        <v/>
      </c>
      <c r="AP17" s="302" t="e">
        <f t="shared" si="22"/>
        <v>#DIV/0!</v>
      </c>
      <c r="AQ17" s="303" t="e">
        <f>IF(AP17&gt;KKM!$G$10,"A",IF(AP17&gt;KKM!$H$10,"B",IF(AP17&gt;=KKM!$I$10,"C","D")))</f>
        <v>#DIV/0!</v>
      </c>
      <c r="AR17" s="304">
        <f t="shared" si="1"/>
        <v>0</v>
      </c>
      <c r="AS17" s="309" t="str">
        <f>IF(AR17&gt;KKM!$G$10," sangat baik ",IF(AR17&gt;KKM!$H$10," baik ",IF(AR17&gt;=KKM!$I$10," cukup baik "," perlu bimbingan ")))</f>
        <v xml:space="preserve"> perlu bimbingan </v>
      </c>
      <c r="AT17" s="305">
        <f t="shared" si="2"/>
        <v>0</v>
      </c>
      <c r="AU17" s="309" t="str">
        <f>IF(AT17&gt;KKM!$G$10," sangat baik ",IF(AT17&gt;KKM!$H$10," baik ",IF(AT17&gt;=KKM!$I$10," cukup baik "," perlu bimbingan ")))</f>
        <v xml:space="preserve"> perlu bimbingan </v>
      </c>
      <c r="AV17" s="301" t="str">
        <f t="shared" si="23"/>
        <v xml:space="preserve"> </v>
      </c>
      <c r="AW17" s="218"/>
      <c r="AX17" s="219" t="e">
        <f t="shared" si="3"/>
        <v>#N/A</v>
      </c>
      <c r="AY17" s="219" t="e">
        <f t="shared" si="4"/>
        <v>#N/A</v>
      </c>
      <c r="AZ17" s="219" t="e">
        <f t="shared" si="24"/>
        <v>#N/A</v>
      </c>
      <c r="BA17" s="219" t="e">
        <f t="shared" si="25"/>
        <v>#N/A</v>
      </c>
      <c r="BB17" s="220" t="e">
        <f t="shared" si="26"/>
        <v>#N/A</v>
      </c>
      <c r="BC17" s="214" t="e">
        <f t="shared" si="5"/>
        <v>#N/A</v>
      </c>
      <c r="BL17" s="408" t="str">
        <f t="shared" si="27"/>
        <v/>
      </c>
    </row>
    <row r="18" spans="2:64" ht="80.25" customHeight="1">
      <c r="B18" s="109">
        <v>14</v>
      </c>
      <c r="C18" s="110">
        <f>SISWA!B19</f>
        <v>0</v>
      </c>
      <c r="D18" s="111" t="str">
        <f>SISWA!E19</f>
        <v>Anak 14</v>
      </c>
      <c r="E18" s="605"/>
      <c r="F18" s="605"/>
      <c r="G18" s="605"/>
      <c r="H18" s="605"/>
      <c r="I18" s="605"/>
      <c r="J18" s="605"/>
      <c r="K18" s="605"/>
      <c r="L18" s="605"/>
      <c r="M18" s="605"/>
      <c r="N18" s="605"/>
      <c r="O18" s="605"/>
      <c r="P18" s="605"/>
      <c r="Q18" s="605"/>
      <c r="R18" s="605"/>
      <c r="S18" s="605"/>
      <c r="T18" s="605"/>
      <c r="U18" s="605"/>
      <c r="V18" s="605"/>
      <c r="W18" s="605"/>
      <c r="X18" s="605"/>
      <c r="Y18" s="605"/>
      <c r="Z18" s="533" t="str">
        <f t="shared" si="6"/>
        <v/>
      </c>
      <c r="AA18" s="533" t="str">
        <f t="shared" si="7"/>
        <v/>
      </c>
      <c r="AB18" s="533" t="str">
        <f t="shared" si="8"/>
        <v/>
      </c>
      <c r="AC18" s="533" t="str">
        <f t="shared" si="9"/>
        <v/>
      </c>
      <c r="AD18" s="533" t="str">
        <f t="shared" si="10"/>
        <v/>
      </c>
      <c r="AE18" s="533" t="str">
        <f t="shared" si="11"/>
        <v/>
      </c>
      <c r="AF18" s="533" t="str">
        <f t="shared" si="12"/>
        <v/>
      </c>
      <c r="AG18" s="533" t="str">
        <f t="shared" si="13"/>
        <v/>
      </c>
      <c r="AH18" s="533" t="str">
        <f t="shared" si="14"/>
        <v/>
      </c>
      <c r="AI18" s="533" t="str">
        <f t="shared" si="15"/>
        <v/>
      </c>
      <c r="AJ18" s="533" t="str">
        <f t="shared" si="16"/>
        <v/>
      </c>
      <c r="AK18" s="533" t="str">
        <f t="shared" si="17"/>
        <v/>
      </c>
      <c r="AL18" s="533" t="str">
        <f t="shared" si="18"/>
        <v/>
      </c>
      <c r="AM18" s="533" t="str">
        <f t="shared" si="19"/>
        <v/>
      </c>
      <c r="AN18" s="533" t="str">
        <f t="shared" si="20"/>
        <v/>
      </c>
      <c r="AO18" s="533" t="str">
        <f t="shared" si="21"/>
        <v/>
      </c>
      <c r="AP18" s="302" t="e">
        <f t="shared" si="22"/>
        <v>#DIV/0!</v>
      </c>
      <c r="AQ18" s="303" t="e">
        <f>IF(AP18&gt;KKM!$G$10,"A",IF(AP18&gt;KKM!$H$10,"B",IF(AP18&gt;=KKM!$I$10,"C","D")))</f>
        <v>#DIV/0!</v>
      </c>
      <c r="AR18" s="304">
        <f t="shared" si="1"/>
        <v>0</v>
      </c>
      <c r="AS18" s="309" t="str">
        <f>IF(AR18&gt;KKM!$G$10," sangat baik ",IF(AR18&gt;KKM!$H$10," baik ",IF(AR18&gt;=KKM!$I$10," cukup baik "," perlu bimbingan ")))</f>
        <v xml:space="preserve"> perlu bimbingan </v>
      </c>
      <c r="AT18" s="305">
        <f t="shared" si="2"/>
        <v>0</v>
      </c>
      <c r="AU18" s="309" t="str">
        <f>IF(AT18&gt;KKM!$G$10," sangat baik ",IF(AT18&gt;KKM!$H$10," baik ",IF(AT18&gt;=KKM!$I$10," cukup baik "," perlu bimbingan ")))</f>
        <v xml:space="preserve"> perlu bimbingan </v>
      </c>
      <c r="AV18" s="301" t="str">
        <f t="shared" si="23"/>
        <v xml:space="preserve"> </v>
      </c>
      <c r="AW18" s="218"/>
      <c r="AX18" s="219" t="e">
        <f t="shared" si="3"/>
        <v>#N/A</v>
      </c>
      <c r="AY18" s="219" t="e">
        <f t="shared" si="4"/>
        <v>#N/A</v>
      </c>
      <c r="AZ18" s="219" t="e">
        <f t="shared" si="24"/>
        <v>#N/A</v>
      </c>
      <c r="BA18" s="219" t="e">
        <f t="shared" si="25"/>
        <v>#N/A</v>
      </c>
      <c r="BB18" s="220" t="e">
        <f t="shared" si="26"/>
        <v>#N/A</v>
      </c>
      <c r="BC18" s="214" t="e">
        <f t="shared" si="5"/>
        <v>#N/A</v>
      </c>
      <c r="BL18" s="408" t="str">
        <f t="shared" si="27"/>
        <v/>
      </c>
    </row>
    <row r="19" spans="2:64" ht="80.25" customHeight="1">
      <c r="B19" s="109">
        <v>15</v>
      </c>
      <c r="C19" s="110">
        <f>SISWA!B20</f>
        <v>0</v>
      </c>
      <c r="D19" s="111" t="str">
        <f>SISWA!E20</f>
        <v>Anak 15</v>
      </c>
      <c r="E19" s="605"/>
      <c r="F19" s="605"/>
      <c r="G19" s="605"/>
      <c r="H19" s="605"/>
      <c r="I19" s="605"/>
      <c r="J19" s="605"/>
      <c r="K19" s="605"/>
      <c r="L19" s="605"/>
      <c r="M19" s="605"/>
      <c r="N19" s="605"/>
      <c r="O19" s="605"/>
      <c r="P19" s="605"/>
      <c r="Q19" s="605"/>
      <c r="R19" s="605"/>
      <c r="S19" s="605"/>
      <c r="T19" s="605"/>
      <c r="U19" s="605"/>
      <c r="V19" s="605"/>
      <c r="W19" s="605"/>
      <c r="X19" s="605"/>
      <c r="Y19" s="605"/>
      <c r="Z19" s="533" t="str">
        <f t="shared" si="6"/>
        <v/>
      </c>
      <c r="AA19" s="533" t="str">
        <f t="shared" si="7"/>
        <v/>
      </c>
      <c r="AB19" s="533" t="str">
        <f t="shared" si="8"/>
        <v/>
      </c>
      <c r="AC19" s="533" t="str">
        <f t="shared" si="9"/>
        <v/>
      </c>
      <c r="AD19" s="533" t="str">
        <f t="shared" si="10"/>
        <v/>
      </c>
      <c r="AE19" s="533" t="str">
        <f t="shared" si="11"/>
        <v/>
      </c>
      <c r="AF19" s="533" t="str">
        <f t="shared" si="12"/>
        <v/>
      </c>
      <c r="AG19" s="533" t="str">
        <f t="shared" si="13"/>
        <v/>
      </c>
      <c r="AH19" s="533" t="str">
        <f t="shared" si="14"/>
        <v/>
      </c>
      <c r="AI19" s="533" t="str">
        <f t="shared" si="15"/>
        <v/>
      </c>
      <c r="AJ19" s="533" t="str">
        <f t="shared" si="16"/>
        <v/>
      </c>
      <c r="AK19" s="533" t="str">
        <f t="shared" si="17"/>
        <v/>
      </c>
      <c r="AL19" s="533" t="str">
        <f t="shared" si="18"/>
        <v/>
      </c>
      <c r="AM19" s="533" t="str">
        <f t="shared" si="19"/>
        <v/>
      </c>
      <c r="AN19" s="533" t="str">
        <f t="shared" si="20"/>
        <v/>
      </c>
      <c r="AO19" s="533" t="str">
        <f t="shared" si="21"/>
        <v/>
      </c>
      <c r="AP19" s="302" t="e">
        <f t="shared" si="22"/>
        <v>#DIV/0!</v>
      </c>
      <c r="AQ19" s="303" t="e">
        <f>IF(AP19&gt;KKM!$G$10,"A",IF(AP19&gt;KKM!$H$10,"B",IF(AP19&gt;=KKM!$I$10,"C","D")))</f>
        <v>#DIV/0!</v>
      </c>
      <c r="AR19" s="304">
        <f t="shared" si="1"/>
        <v>0</v>
      </c>
      <c r="AS19" s="309" t="str">
        <f>IF(AR19&gt;KKM!$G$10," sangat baik ",IF(AR19&gt;KKM!$H$10," baik ",IF(AR19&gt;=KKM!$I$10," cukup baik "," perlu bimbingan ")))</f>
        <v xml:space="preserve"> perlu bimbingan </v>
      </c>
      <c r="AT19" s="305">
        <f t="shared" si="2"/>
        <v>0</v>
      </c>
      <c r="AU19" s="309" t="str">
        <f>IF(AT19&gt;KKM!$G$10," sangat baik ",IF(AT19&gt;KKM!$H$10," baik ",IF(AT19&gt;=KKM!$I$10," cukup baik "," perlu bimbingan ")))</f>
        <v xml:space="preserve"> perlu bimbingan </v>
      </c>
      <c r="AV19" s="301" t="str">
        <f t="shared" si="23"/>
        <v xml:space="preserve"> </v>
      </c>
      <c r="AW19" s="218"/>
      <c r="AX19" s="219" t="e">
        <f t="shared" si="3"/>
        <v>#N/A</v>
      </c>
      <c r="AY19" s="219" t="e">
        <f t="shared" si="4"/>
        <v>#N/A</v>
      </c>
      <c r="AZ19" s="219" t="e">
        <f t="shared" si="24"/>
        <v>#N/A</v>
      </c>
      <c r="BA19" s="219" t="e">
        <f t="shared" si="25"/>
        <v>#N/A</v>
      </c>
      <c r="BB19" s="220" t="e">
        <f t="shared" si="26"/>
        <v>#N/A</v>
      </c>
      <c r="BC19" s="214" t="e">
        <f t="shared" si="5"/>
        <v>#N/A</v>
      </c>
      <c r="BL19" s="408" t="str">
        <f t="shared" si="27"/>
        <v/>
      </c>
    </row>
    <row r="20" spans="2:64" ht="80.25" customHeight="1">
      <c r="B20" s="109">
        <v>16</v>
      </c>
      <c r="C20" s="110">
        <f>SISWA!B21</f>
        <v>0</v>
      </c>
      <c r="D20" s="111" t="str">
        <f>SISWA!E21</f>
        <v>Anak 16</v>
      </c>
      <c r="E20" s="605"/>
      <c r="F20" s="605"/>
      <c r="G20" s="605"/>
      <c r="H20" s="605"/>
      <c r="I20" s="605"/>
      <c r="J20" s="605"/>
      <c r="K20" s="605"/>
      <c r="L20" s="605"/>
      <c r="M20" s="605"/>
      <c r="N20" s="605"/>
      <c r="O20" s="605"/>
      <c r="P20" s="605"/>
      <c r="Q20" s="605"/>
      <c r="R20" s="605"/>
      <c r="S20" s="605"/>
      <c r="T20" s="605"/>
      <c r="U20" s="605"/>
      <c r="V20" s="605"/>
      <c r="W20" s="605"/>
      <c r="X20" s="605"/>
      <c r="Y20" s="605"/>
      <c r="Z20" s="533" t="str">
        <f t="shared" si="6"/>
        <v/>
      </c>
      <c r="AA20" s="533" t="str">
        <f t="shared" si="7"/>
        <v/>
      </c>
      <c r="AB20" s="533" t="str">
        <f t="shared" si="8"/>
        <v/>
      </c>
      <c r="AC20" s="533" t="str">
        <f t="shared" si="9"/>
        <v/>
      </c>
      <c r="AD20" s="533" t="str">
        <f t="shared" si="10"/>
        <v/>
      </c>
      <c r="AE20" s="533" t="str">
        <f t="shared" si="11"/>
        <v/>
      </c>
      <c r="AF20" s="533" t="str">
        <f t="shared" si="12"/>
        <v/>
      </c>
      <c r="AG20" s="533" t="str">
        <f t="shared" si="13"/>
        <v/>
      </c>
      <c r="AH20" s="533" t="str">
        <f t="shared" si="14"/>
        <v/>
      </c>
      <c r="AI20" s="533" t="str">
        <f t="shared" si="15"/>
        <v/>
      </c>
      <c r="AJ20" s="533" t="str">
        <f t="shared" si="16"/>
        <v/>
      </c>
      <c r="AK20" s="533" t="str">
        <f t="shared" si="17"/>
        <v/>
      </c>
      <c r="AL20" s="533" t="str">
        <f t="shared" si="18"/>
        <v/>
      </c>
      <c r="AM20" s="533" t="str">
        <f t="shared" si="19"/>
        <v/>
      </c>
      <c r="AN20" s="533" t="str">
        <f t="shared" si="20"/>
        <v/>
      </c>
      <c r="AO20" s="533" t="str">
        <f t="shared" si="21"/>
        <v/>
      </c>
      <c r="AP20" s="302" t="e">
        <f t="shared" si="22"/>
        <v>#DIV/0!</v>
      </c>
      <c r="AQ20" s="303" t="e">
        <f>IF(AP20&gt;KKM!$G$10,"A",IF(AP20&gt;KKM!$H$10,"B",IF(AP20&gt;=KKM!$I$10,"C","D")))</f>
        <v>#DIV/0!</v>
      </c>
      <c r="AR20" s="304">
        <f t="shared" si="1"/>
        <v>0</v>
      </c>
      <c r="AS20" s="309" t="str">
        <f>IF(AR20&gt;KKM!$G$10," sangat baik ",IF(AR20&gt;KKM!$H$10," baik ",IF(AR20&gt;=KKM!$I$10," cukup baik "," perlu bimbingan ")))</f>
        <v xml:space="preserve"> perlu bimbingan </v>
      </c>
      <c r="AT20" s="305">
        <f t="shared" si="2"/>
        <v>0</v>
      </c>
      <c r="AU20" s="309" t="str">
        <f>IF(AT20&gt;KKM!$G$10," sangat baik ",IF(AT20&gt;KKM!$H$10," baik ",IF(AT20&gt;=KKM!$I$10," cukup baik "," perlu bimbingan ")))</f>
        <v xml:space="preserve"> perlu bimbingan </v>
      </c>
      <c r="AV20" s="301" t="str">
        <f t="shared" si="23"/>
        <v xml:space="preserve"> </v>
      </c>
      <c r="AW20" s="218"/>
      <c r="AX20" s="219" t="e">
        <f t="shared" si="3"/>
        <v>#N/A</v>
      </c>
      <c r="AY20" s="219" t="e">
        <f t="shared" si="4"/>
        <v>#N/A</v>
      </c>
      <c r="AZ20" s="219" t="e">
        <f t="shared" si="24"/>
        <v>#N/A</v>
      </c>
      <c r="BA20" s="219" t="e">
        <f t="shared" si="25"/>
        <v>#N/A</v>
      </c>
      <c r="BB20" s="220" t="e">
        <f t="shared" si="26"/>
        <v>#N/A</v>
      </c>
      <c r="BC20" s="214" t="e">
        <f t="shared" si="5"/>
        <v>#N/A</v>
      </c>
      <c r="BL20" s="408" t="str">
        <f t="shared" si="27"/>
        <v/>
      </c>
    </row>
    <row r="21" spans="2:64" ht="80.25" customHeight="1">
      <c r="B21" s="109">
        <v>17</v>
      </c>
      <c r="C21" s="110">
        <f>SISWA!B22</f>
        <v>0</v>
      </c>
      <c r="D21" s="111" t="str">
        <f>SISWA!E22</f>
        <v>Anak 17</v>
      </c>
      <c r="E21" s="605"/>
      <c r="F21" s="605"/>
      <c r="G21" s="605"/>
      <c r="H21" s="605"/>
      <c r="I21" s="605"/>
      <c r="J21" s="605"/>
      <c r="K21" s="605"/>
      <c r="L21" s="605"/>
      <c r="M21" s="605"/>
      <c r="N21" s="605"/>
      <c r="O21" s="605"/>
      <c r="P21" s="605"/>
      <c r="Q21" s="605"/>
      <c r="R21" s="605"/>
      <c r="S21" s="605"/>
      <c r="T21" s="605"/>
      <c r="U21" s="605"/>
      <c r="V21" s="605"/>
      <c r="W21" s="605"/>
      <c r="X21" s="605"/>
      <c r="Y21" s="605"/>
      <c r="Z21" s="533" t="str">
        <f t="shared" si="6"/>
        <v/>
      </c>
      <c r="AA21" s="533" t="str">
        <f t="shared" si="7"/>
        <v/>
      </c>
      <c r="AB21" s="533" t="str">
        <f t="shared" si="8"/>
        <v/>
      </c>
      <c r="AC21" s="533" t="str">
        <f t="shared" si="9"/>
        <v/>
      </c>
      <c r="AD21" s="533" t="str">
        <f t="shared" si="10"/>
        <v/>
      </c>
      <c r="AE21" s="533" t="str">
        <f t="shared" si="11"/>
        <v/>
      </c>
      <c r="AF21" s="533" t="str">
        <f t="shared" si="12"/>
        <v/>
      </c>
      <c r="AG21" s="533" t="str">
        <f t="shared" si="13"/>
        <v/>
      </c>
      <c r="AH21" s="533" t="str">
        <f t="shared" si="14"/>
        <v/>
      </c>
      <c r="AI21" s="533" t="str">
        <f t="shared" si="15"/>
        <v/>
      </c>
      <c r="AJ21" s="533" t="str">
        <f t="shared" si="16"/>
        <v/>
      </c>
      <c r="AK21" s="533" t="str">
        <f t="shared" si="17"/>
        <v/>
      </c>
      <c r="AL21" s="533" t="str">
        <f t="shared" si="18"/>
        <v/>
      </c>
      <c r="AM21" s="533" t="str">
        <f t="shared" si="19"/>
        <v/>
      </c>
      <c r="AN21" s="533" t="str">
        <f t="shared" si="20"/>
        <v/>
      </c>
      <c r="AO21" s="533" t="str">
        <f t="shared" si="21"/>
        <v/>
      </c>
      <c r="AP21" s="302" t="e">
        <f t="shared" si="22"/>
        <v>#DIV/0!</v>
      </c>
      <c r="AQ21" s="303" t="e">
        <f>IF(AP21&gt;KKM!$G$10,"A",IF(AP21&gt;KKM!$H$10,"B",IF(AP21&gt;=KKM!$I$10,"C","D")))</f>
        <v>#DIV/0!</v>
      </c>
      <c r="AR21" s="304">
        <f t="shared" si="1"/>
        <v>0</v>
      </c>
      <c r="AS21" s="309" t="str">
        <f>IF(AR21&gt;KKM!$G$10," sangat baik ",IF(AR21&gt;KKM!$H$10," baik ",IF(AR21&gt;=KKM!$I$10," cukup baik "," perlu bimbingan ")))</f>
        <v xml:space="preserve"> perlu bimbingan </v>
      </c>
      <c r="AT21" s="305">
        <f t="shared" si="2"/>
        <v>0</v>
      </c>
      <c r="AU21" s="309" t="str">
        <f>IF(AT21&gt;KKM!$G$10," sangat baik ",IF(AT21&gt;KKM!$H$10," baik ",IF(AT21&gt;=KKM!$I$10," cukup baik "," perlu bimbingan ")))</f>
        <v xml:space="preserve"> perlu bimbingan </v>
      </c>
      <c r="AV21" s="301" t="str">
        <f t="shared" si="23"/>
        <v xml:space="preserve"> </v>
      </c>
      <c r="AW21" s="218"/>
      <c r="AX21" s="219" t="e">
        <f t="shared" si="3"/>
        <v>#N/A</v>
      </c>
      <c r="AY21" s="219" t="e">
        <f t="shared" si="4"/>
        <v>#N/A</v>
      </c>
      <c r="AZ21" s="219" t="e">
        <f t="shared" si="24"/>
        <v>#N/A</v>
      </c>
      <c r="BA21" s="219" t="e">
        <f t="shared" si="25"/>
        <v>#N/A</v>
      </c>
      <c r="BB21" s="220" t="e">
        <f t="shared" si="26"/>
        <v>#N/A</v>
      </c>
      <c r="BC21" s="214" t="e">
        <f t="shared" si="5"/>
        <v>#N/A</v>
      </c>
      <c r="BL21" s="408" t="str">
        <f t="shared" si="27"/>
        <v/>
      </c>
    </row>
    <row r="22" spans="2:64" ht="80.25" customHeight="1">
      <c r="B22" s="109">
        <v>18</v>
      </c>
      <c r="C22" s="110">
        <f>SISWA!B23</f>
        <v>0</v>
      </c>
      <c r="D22" s="111" t="str">
        <f>SISWA!E23</f>
        <v>Anak 18</v>
      </c>
      <c r="E22" s="605"/>
      <c r="F22" s="605"/>
      <c r="G22" s="605"/>
      <c r="H22" s="605"/>
      <c r="I22" s="605"/>
      <c r="J22" s="605"/>
      <c r="K22" s="605"/>
      <c r="L22" s="605"/>
      <c r="M22" s="605"/>
      <c r="N22" s="605"/>
      <c r="O22" s="605"/>
      <c r="P22" s="605"/>
      <c r="Q22" s="605"/>
      <c r="R22" s="605"/>
      <c r="S22" s="605"/>
      <c r="T22" s="605"/>
      <c r="U22" s="605"/>
      <c r="V22" s="605"/>
      <c r="W22" s="605"/>
      <c r="X22" s="605"/>
      <c r="Y22" s="605"/>
      <c r="Z22" s="533" t="str">
        <f t="shared" si="6"/>
        <v/>
      </c>
      <c r="AA22" s="533" t="str">
        <f t="shared" si="7"/>
        <v/>
      </c>
      <c r="AB22" s="533" t="str">
        <f t="shared" si="8"/>
        <v/>
      </c>
      <c r="AC22" s="533" t="str">
        <f t="shared" si="9"/>
        <v/>
      </c>
      <c r="AD22" s="533" t="str">
        <f t="shared" si="10"/>
        <v/>
      </c>
      <c r="AE22" s="533" t="str">
        <f t="shared" si="11"/>
        <v/>
      </c>
      <c r="AF22" s="533" t="str">
        <f t="shared" si="12"/>
        <v/>
      </c>
      <c r="AG22" s="533" t="str">
        <f t="shared" si="13"/>
        <v/>
      </c>
      <c r="AH22" s="533" t="str">
        <f t="shared" si="14"/>
        <v/>
      </c>
      <c r="AI22" s="533" t="str">
        <f t="shared" si="15"/>
        <v/>
      </c>
      <c r="AJ22" s="533" t="str">
        <f t="shared" si="16"/>
        <v/>
      </c>
      <c r="AK22" s="533" t="str">
        <f t="shared" si="17"/>
        <v/>
      </c>
      <c r="AL22" s="533" t="str">
        <f t="shared" si="18"/>
        <v/>
      </c>
      <c r="AM22" s="533" t="str">
        <f t="shared" si="19"/>
        <v/>
      </c>
      <c r="AN22" s="533" t="str">
        <f t="shared" si="20"/>
        <v/>
      </c>
      <c r="AO22" s="533" t="str">
        <f t="shared" si="21"/>
        <v/>
      </c>
      <c r="AP22" s="302" t="e">
        <f t="shared" si="22"/>
        <v>#DIV/0!</v>
      </c>
      <c r="AQ22" s="303" t="e">
        <f>IF(AP22&gt;KKM!$G$10,"A",IF(AP22&gt;KKM!$H$10,"B",IF(AP22&gt;=KKM!$I$10,"C","D")))</f>
        <v>#DIV/0!</v>
      </c>
      <c r="AR22" s="304">
        <f t="shared" si="1"/>
        <v>0</v>
      </c>
      <c r="AS22" s="309" t="str">
        <f>IF(AR22&gt;KKM!$G$10," sangat baik ",IF(AR22&gt;KKM!$H$10," baik ",IF(AR22&gt;=KKM!$I$10," cukup baik "," perlu bimbingan ")))</f>
        <v xml:space="preserve"> perlu bimbingan </v>
      </c>
      <c r="AT22" s="305">
        <f t="shared" si="2"/>
        <v>0</v>
      </c>
      <c r="AU22" s="309" t="str">
        <f>IF(AT22&gt;KKM!$G$10," sangat baik ",IF(AT22&gt;KKM!$H$10," baik ",IF(AT22&gt;=KKM!$I$10," cukup baik "," perlu bimbingan ")))</f>
        <v xml:space="preserve"> perlu bimbingan </v>
      </c>
      <c r="AV22" s="301" t="str">
        <f t="shared" si="23"/>
        <v xml:space="preserve"> </v>
      </c>
      <c r="AW22" s="218"/>
      <c r="AX22" s="219" t="e">
        <f t="shared" si="3"/>
        <v>#N/A</v>
      </c>
      <c r="AY22" s="219" t="e">
        <f t="shared" si="4"/>
        <v>#N/A</v>
      </c>
      <c r="AZ22" s="219" t="e">
        <f t="shared" si="24"/>
        <v>#N/A</v>
      </c>
      <c r="BA22" s="219" t="e">
        <f t="shared" si="25"/>
        <v>#N/A</v>
      </c>
      <c r="BB22" s="220" t="e">
        <f t="shared" si="26"/>
        <v>#N/A</v>
      </c>
      <c r="BC22" s="214" t="e">
        <f t="shared" si="5"/>
        <v>#N/A</v>
      </c>
      <c r="BL22" s="408" t="str">
        <f t="shared" si="27"/>
        <v/>
      </c>
    </row>
    <row r="23" spans="2:64" ht="80.25" customHeight="1">
      <c r="B23" s="109">
        <v>19</v>
      </c>
      <c r="C23" s="110">
        <f>SISWA!B24</f>
        <v>0</v>
      </c>
      <c r="D23" s="111" t="str">
        <f>SISWA!E24</f>
        <v>Anak 19</v>
      </c>
      <c r="E23" s="605"/>
      <c r="F23" s="605"/>
      <c r="G23" s="605"/>
      <c r="H23" s="605"/>
      <c r="I23" s="605"/>
      <c r="J23" s="605"/>
      <c r="K23" s="605"/>
      <c r="L23" s="605"/>
      <c r="M23" s="605"/>
      <c r="N23" s="605"/>
      <c r="O23" s="605"/>
      <c r="P23" s="605"/>
      <c r="Q23" s="605"/>
      <c r="R23" s="605"/>
      <c r="S23" s="605"/>
      <c r="T23" s="605"/>
      <c r="U23" s="605"/>
      <c r="V23" s="605"/>
      <c r="W23" s="605"/>
      <c r="X23" s="605"/>
      <c r="Y23" s="605"/>
      <c r="Z23" s="533" t="str">
        <f t="shared" si="6"/>
        <v/>
      </c>
      <c r="AA23" s="533" t="str">
        <f t="shared" si="7"/>
        <v/>
      </c>
      <c r="AB23" s="533" t="str">
        <f t="shared" si="8"/>
        <v/>
      </c>
      <c r="AC23" s="533" t="str">
        <f t="shared" si="9"/>
        <v/>
      </c>
      <c r="AD23" s="533" t="str">
        <f t="shared" si="10"/>
        <v/>
      </c>
      <c r="AE23" s="533" t="str">
        <f t="shared" si="11"/>
        <v/>
      </c>
      <c r="AF23" s="533" t="str">
        <f t="shared" si="12"/>
        <v/>
      </c>
      <c r="AG23" s="533" t="str">
        <f t="shared" si="13"/>
        <v/>
      </c>
      <c r="AH23" s="533" t="str">
        <f t="shared" si="14"/>
        <v/>
      </c>
      <c r="AI23" s="533" t="str">
        <f t="shared" si="15"/>
        <v/>
      </c>
      <c r="AJ23" s="533" t="str">
        <f t="shared" si="16"/>
        <v/>
      </c>
      <c r="AK23" s="533" t="str">
        <f t="shared" si="17"/>
        <v/>
      </c>
      <c r="AL23" s="533" t="str">
        <f t="shared" si="18"/>
        <v/>
      </c>
      <c r="AM23" s="533" t="str">
        <f t="shared" si="19"/>
        <v/>
      </c>
      <c r="AN23" s="533" t="str">
        <f t="shared" si="20"/>
        <v/>
      </c>
      <c r="AO23" s="533" t="str">
        <f t="shared" si="21"/>
        <v/>
      </c>
      <c r="AP23" s="302" t="e">
        <f t="shared" si="22"/>
        <v>#DIV/0!</v>
      </c>
      <c r="AQ23" s="303" t="e">
        <f>IF(AP23&gt;KKM!$G$10,"A",IF(AP23&gt;KKM!$H$10,"B",IF(AP23&gt;=KKM!$I$10,"C","D")))</f>
        <v>#DIV/0!</v>
      </c>
      <c r="AR23" s="304">
        <f t="shared" si="1"/>
        <v>0</v>
      </c>
      <c r="AS23" s="309" t="str">
        <f>IF(AR23&gt;KKM!$G$10," sangat baik ",IF(AR23&gt;KKM!$H$10," baik ",IF(AR23&gt;=KKM!$I$10," cukup baik "," perlu bimbingan ")))</f>
        <v xml:space="preserve"> perlu bimbingan </v>
      </c>
      <c r="AT23" s="305">
        <f t="shared" si="2"/>
        <v>0</v>
      </c>
      <c r="AU23" s="309" t="str">
        <f>IF(AT23&gt;KKM!$G$10," sangat baik ",IF(AT23&gt;KKM!$H$10," baik ",IF(AT23&gt;=KKM!$I$10," cukup baik "," perlu bimbingan ")))</f>
        <v xml:space="preserve"> perlu bimbingan </v>
      </c>
      <c r="AV23" s="301" t="str">
        <f t="shared" si="23"/>
        <v xml:space="preserve"> </v>
      </c>
      <c r="AW23" s="218"/>
      <c r="AX23" s="219" t="e">
        <f t="shared" si="3"/>
        <v>#N/A</v>
      </c>
      <c r="AY23" s="219" t="e">
        <f t="shared" si="4"/>
        <v>#N/A</v>
      </c>
      <c r="AZ23" s="219" t="e">
        <f t="shared" si="24"/>
        <v>#N/A</v>
      </c>
      <c r="BA23" s="219" t="e">
        <f t="shared" si="25"/>
        <v>#N/A</v>
      </c>
      <c r="BB23" s="220" t="e">
        <f t="shared" si="26"/>
        <v>#N/A</v>
      </c>
      <c r="BC23" s="214" t="e">
        <f t="shared" si="5"/>
        <v>#N/A</v>
      </c>
      <c r="BL23" s="408" t="str">
        <f t="shared" si="27"/>
        <v/>
      </c>
    </row>
    <row r="24" spans="2:64" ht="80.25" customHeight="1">
      <c r="B24" s="109">
        <v>20</v>
      </c>
      <c r="C24" s="110">
        <f>SISWA!B25</f>
        <v>0</v>
      </c>
      <c r="D24" s="111" t="str">
        <f>SISWA!E25</f>
        <v>Anak 20</v>
      </c>
      <c r="E24" s="605"/>
      <c r="F24" s="605"/>
      <c r="G24" s="605"/>
      <c r="H24" s="605"/>
      <c r="I24" s="605"/>
      <c r="J24" s="605"/>
      <c r="K24" s="605"/>
      <c r="L24" s="605"/>
      <c r="M24" s="605"/>
      <c r="N24" s="605"/>
      <c r="O24" s="605"/>
      <c r="P24" s="605"/>
      <c r="Q24" s="605"/>
      <c r="R24" s="605"/>
      <c r="S24" s="605"/>
      <c r="T24" s="605"/>
      <c r="U24" s="605"/>
      <c r="V24" s="605"/>
      <c r="W24" s="605"/>
      <c r="X24" s="605"/>
      <c r="Y24" s="605"/>
      <c r="Z24" s="533" t="str">
        <f t="shared" si="6"/>
        <v/>
      </c>
      <c r="AA24" s="533" t="str">
        <f t="shared" si="7"/>
        <v/>
      </c>
      <c r="AB24" s="533" t="str">
        <f t="shared" si="8"/>
        <v/>
      </c>
      <c r="AC24" s="533" t="str">
        <f t="shared" si="9"/>
        <v/>
      </c>
      <c r="AD24" s="533" t="str">
        <f t="shared" si="10"/>
        <v/>
      </c>
      <c r="AE24" s="533" t="str">
        <f t="shared" si="11"/>
        <v/>
      </c>
      <c r="AF24" s="533" t="str">
        <f t="shared" si="12"/>
        <v/>
      </c>
      <c r="AG24" s="533" t="str">
        <f t="shared" si="13"/>
        <v/>
      </c>
      <c r="AH24" s="533" t="str">
        <f t="shared" si="14"/>
        <v/>
      </c>
      <c r="AI24" s="533" t="str">
        <f t="shared" si="15"/>
        <v/>
      </c>
      <c r="AJ24" s="533" t="str">
        <f t="shared" si="16"/>
        <v/>
      </c>
      <c r="AK24" s="533" t="str">
        <f t="shared" si="17"/>
        <v/>
      </c>
      <c r="AL24" s="533" t="str">
        <f t="shared" si="18"/>
        <v/>
      </c>
      <c r="AM24" s="533" t="str">
        <f t="shared" si="19"/>
        <v/>
      </c>
      <c r="AN24" s="533" t="str">
        <f t="shared" si="20"/>
        <v/>
      </c>
      <c r="AO24" s="533" t="str">
        <f t="shared" si="21"/>
        <v/>
      </c>
      <c r="AP24" s="302" t="e">
        <f t="shared" si="22"/>
        <v>#DIV/0!</v>
      </c>
      <c r="AQ24" s="303" t="e">
        <f>IF(AP24&gt;KKM!$G$10,"A",IF(AP24&gt;KKM!$H$10,"B",IF(AP24&gt;=KKM!$I$10,"C","D")))</f>
        <v>#DIV/0!</v>
      </c>
      <c r="AR24" s="304">
        <f t="shared" si="1"/>
        <v>0</v>
      </c>
      <c r="AS24" s="309" t="str">
        <f>IF(AR24&gt;KKM!$G$10," sangat baik ",IF(AR24&gt;KKM!$H$10," baik ",IF(AR24&gt;=KKM!$I$10," cukup baik "," perlu bimbingan ")))</f>
        <v xml:space="preserve"> perlu bimbingan </v>
      </c>
      <c r="AT24" s="305">
        <f t="shared" si="2"/>
        <v>0</v>
      </c>
      <c r="AU24" s="309" t="str">
        <f>IF(AT24&gt;KKM!$G$10," sangat baik ",IF(AT24&gt;KKM!$H$10," baik ",IF(AT24&gt;=KKM!$I$10," cukup baik "," perlu bimbingan ")))</f>
        <v xml:space="preserve"> perlu bimbingan </v>
      </c>
      <c r="AV24" s="301" t="str">
        <f t="shared" si="23"/>
        <v xml:space="preserve"> </v>
      </c>
      <c r="AW24" s="218"/>
      <c r="AX24" s="219" t="e">
        <f t="shared" si="3"/>
        <v>#N/A</v>
      </c>
      <c r="AY24" s="219" t="e">
        <f t="shared" si="4"/>
        <v>#N/A</v>
      </c>
      <c r="AZ24" s="219" t="e">
        <f t="shared" si="24"/>
        <v>#N/A</v>
      </c>
      <c r="BA24" s="219" t="e">
        <f t="shared" si="25"/>
        <v>#N/A</v>
      </c>
      <c r="BB24" s="220" t="e">
        <f t="shared" si="26"/>
        <v>#N/A</v>
      </c>
      <c r="BC24" s="214" t="e">
        <f t="shared" si="5"/>
        <v>#N/A</v>
      </c>
      <c r="BL24" s="408" t="str">
        <f t="shared" si="27"/>
        <v/>
      </c>
    </row>
    <row r="25" spans="2:64" ht="80.25" customHeight="1">
      <c r="B25" s="109">
        <v>21</v>
      </c>
      <c r="C25" s="110">
        <f>SISWA!B26</f>
        <v>0</v>
      </c>
      <c r="D25" s="111" t="str">
        <f>SISWA!E26</f>
        <v>Anak 21</v>
      </c>
      <c r="E25" s="605"/>
      <c r="F25" s="605"/>
      <c r="G25" s="605"/>
      <c r="H25" s="605"/>
      <c r="I25" s="605"/>
      <c r="J25" s="605"/>
      <c r="K25" s="605"/>
      <c r="L25" s="605"/>
      <c r="M25" s="605"/>
      <c r="N25" s="605"/>
      <c r="O25" s="605"/>
      <c r="P25" s="605"/>
      <c r="Q25" s="605"/>
      <c r="R25" s="605"/>
      <c r="S25" s="605"/>
      <c r="T25" s="605"/>
      <c r="U25" s="605"/>
      <c r="V25" s="605"/>
      <c r="W25" s="605"/>
      <c r="X25" s="605"/>
      <c r="Y25" s="605"/>
      <c r="Z25" s="533" t="str">
        <f t="shared" si="6"/>
        <v/>
      </c>
      <c r="AA25" s="533" t="str">
        <f t="shared" si="7"/>
        <v/>
      </c>
      <c r="AB25" s="533" t="str">
        <f t="shared" si="8"/>
        <v/>
      </c>
      <c r="AC25" s="533" t="str">
        <f t="shared" si="9"/>
        <v/>
      </c>
      <c r="AD25" s="533" t="str">
        <f t="shared" si="10"/>
        <v/>
      </c>
      <c r="AE25" s="533" t="str">
        <f t="shared" si="11"/>
        <v/>
      </c>
      <c r="AF25" s="533" t="str">
        <f t="shared" si="12"/>
        <v/>
      </c>
      <c r="AG25" s="533" t="str">
        <f t="shared" si="13"/>
        <v/>
      </c>
      <c r="AH25" s="533" t="str">
        <f t="shared" si="14"/>
        <v/>
      </c>
      <c r="AI25" s="533" t="str">
        <f t="shared" si="15"/>
        <v/>
      </c>
      <c r="AJ25" s="533" t="str">
        <f t="shared" si="16"/>
        <v/>
      </c>
      <c r="AK25" s="533" t="str">
        <f t="shared" si="17"/>
        <v/>
      </c>
      <c r="AL25" s="533" t="str">
        <f t="shared" si="18"/>
        <v/>
      </c>
      <c r="AM25" s="533" t="str">
        <f t="shared" si="19"/>
        <v/>
      </c>
      <c r="AN25" s="533" t="str">
        <f t="shared" si="20"/>
        <v/>
      </c>
      <c r="AO25" s="533" t="str">
        <f t="shared" si="21"/>
        <v/>
      </c>
      <c r="AP25" s="302" t="e">
        <f t="shared" si="22"/>
        <v>#DIV/0!</v>
      </c>
      <c r="AQ25" s="303" t="e">
        <f>IF(AP25&gt;KKM!$G$10,"A",IF(AP25&gt;KKM!$H$10,"B",IF(AP25&gt;=KKM!$I$10,"C","D")))</f>
        <v>#DIV/0!</v>
      </c>
      <c r="AR25" s="304">
        <f t="shared" si="1"/>
        <v>0</v>
      </c>
      <c r="AS25" s="309" t="str">
        <f>IF(AR25&gt;KKM!$G$10," sangat baik ",IF(AR25&gt;KKM!$H$10," baik ",IF(AR25&gt;=KKM!$I$10," cukup baik "," perlu bimbingan ")))</f>
        <v xml:space="preserve"> perlu bimbingan </v>
      </c>
      <c r="AT25" s="305">
        <f t="shared" si="2"/>
        <v>0</v>
      </c>
      <c r="AU25" s="309" t="str">
        <f>IF(AT25&gt;KKM!$G$10," sangat baik ",IF(AT25&gt;KKM!$H$10," baik ",IF(AT25&gt;=KKM!$I$10," cukup baik "," perlu bimbingan ")))</f>
        <v xml:space="preserve"> perlu bimbingan </v>
      </c>
      <c r="AV25" s="301" t="str">
        <f t="shared" si="23"/>
        <v xml:space="preserve"> </v>
      </c>
      <c r="AW25" s="218"/>
      <c r="AX25" s="219" t="e">
        <f t="shared" si="3"/>
        <v>#N/A</v>
      </c>
      <c r="AY25" s="219" t="e">
        <f t="shared" si="4"/>
        <v>#N/A</v>
      </c>
      <c r="AZ25" s="219" t="e">
        <f t="shared" si="24"/>
        <v>#N/A</v>
      </c>
      <c r="BA25" s="219" t="e">
        <f t="shared" si="25"/>
        <v>#N/A</v>
      </c>
      <c r="BB25" s="220" t="e">
        <f t="shared" si="26"/>
        <v>#N/A</v>
      </c>
      <c r="BC25" s="214" t="e">
        <f t="shared" si="5"/>
        <v>#N/A</v>
      </c>
      <c r="BL25" s="408" t="str">
        <f t="shared" si="27"/>
        <v/>
      </c>
    </row>
    <row r="26" spans="2:64" ht="80.25" customHeight="1">
      <c r="B26" s="109">
        <v>22</v>
      </c>
      <c r="C26" s="110">
        <f>SISWA!B27</f>
        <v>0</v>
      </c>
      <c r="D26" s="111" t="str">
        <f>SISWA!E27</f>
        <v>Anak 22</v>
      </c>
      <c r="E26" s="605"/>
      <c r="F26" s="605"/>
      <c r="G26" s="605"/>
      <c r="H26" s="605"/>
      <c r="I26" s="605"/>
      <c r="J26" s="605"/>
      <c r="K26" s="605"/>
      <c r="L26" s="605"/>
      <c r="M26" s="605"/>
      <c r="N26" s="605"/>
      <c r="O26" s="605"/>
      <c r="P26" s="605"/>
      <c r="Q26" s="605"/>
      <c r="R26" s="605"/>
      <c r="S26" s="605"/>
      <c r="T26" s="605"/>
      <c r="U26" s="605"/>
      <c r="V26" s="605"/>
      <c r="W26" s="605"/>
      <c r="X26" s="605"/>
      <c r="Y26" s="605"/>
      <c r="Z26" s="533" t="str">
        <f t="shared" si="6"/>
        <v/>
      </c>
      <c r="AA26" s="533" t="str">
        <f t="shared" si="7"/>
        <v/>
      </c>
      <c r="AB26" s="533" t="str">
        <f t="shared" si="8"/>
        <v/>
      </c>
      <c r="AC26" s="533" t="str">
        <f t="shared" si="9"/>
        <v/>
      </c>
      <c r="AD26" s="533" t="str">
        <f t="shared" si="10"/>
        <v/>
      </c>
      <c r="AE26" s="533" t="str">
        <f t="shared" si="11"/>
        <v/>
      </c>
      <c r="AF26" s="533" t="str">
        <f t="shared" si="12"/>
        <v/>
      </c>
      <c r="AG26" s="533" t="str">
        <f t="shared" si="13"/>
        <v/>
      </c>
      <c r="AH26" s="533" t="str">
        <f t="shared" si="14"/>
        <v/>
      </c>
      <c r="AI26" s="533" t="str">
        <f t="shared" si="15"/>
        <v/>
      </c>
      <c r="AJ26" s="533" t="str">
        <f t="shared" si="16"/>
        <v/>
      </c>
      <c r="AK26" s="533" t="str">
        <f t="shared" si="17"/>
        <v/>
      </c>
      <c r="AL26" s="533" t="str">
        <f t="shared" si="18"/>
        <v/>
      </c>
      <c r="AM26" s="533" t="str">
        <f t="shared" si="19"/>
        <v/>
      </c>
      <c r="AN26" s="533" t="str">
        <f t="shared" si="20"/>
        <v/>
      </c>
      <c r="AO26" s="533" t="str">
        <f t="shared" si="21"/>
        <v/>
      </c>
      <c r="AP26" s="302" t="e">
        <f t="shared" si="22"/>
        <v>#DIV/0!</v>
      </c>
      <c r="AQ26" s="303" t="e">
        <f>IF(AP26&gt;KKM!$G$10,"A",IF(AP26&gt;KKM!$H$10,"B",IF(AP26&gt;=KKM!$I$10,"C","D")))</f>
        <v>#DIV/0!</v>
      </c>
      <c r="AR26" s="304">
        <f t="shared" si="1"/>
        <v>0</v>
      </c>
      <c r="AS26" s="309" t="str">
        <f>IF(AR26&gt;KKM!$G$10," sangat baik ",IF(AR26&gt;KKM!$H$10," baik ",IF(AR26&gt;=KKM!$I$10," cukup baik "," perlu bimbingan ")))</f>
        <v xml:space="preserve"> perlu bimbingan </v>
      </c>
      <c r="AT26" s="305">
        <f t="shared" si="2"/>
        <v>0</v>
      </c>
      <c r="AU26" s="309" t="str">
        <f>IF(AT26&gt;KKM!$G$10," sangat baik ",IF(AT26&gt;KKM!$H$10," baik ",IF(AT26&gt;=KKM!$I$10," cukup baik "," perlu bimbingan ")))</f>
        <v xml:space="preserve"> perlu bimbingan </v>
      </c>
      <c r="AV26" s="301" t="str">
        <f t="shared" si="23"/>
        <v xml:space="preserve"> </v>
      </c>
      <c r="AW26" s="218"/>
      <c r="AX26" s="219" t="e">
        <f t="shared" si="3"/>
        <v>#N/A</v>
      </c>
      <c r="AY26" s="219" t="e">
        <f t="shared" si="4"/>
        <v>#N/A</v>
      </c>
      <c r="AZ26" s="219" t="e">
        <f t="shared" si="24"/>
        <v>#N/A</v>
      </c>
      <c r="BA26" s="219" t="e">
        <f t="shared" si="25"/>
        <v>#N/A</v>
      </c>
      <c r="BB26" s="220" t="e">
        <f t="shared" si="26"/>
        <v>#N/A</v>
      </c>
      <c r="BC26" s="214" t="e">
        <f t="shared" si="5"/>
        <v>#N/A</v>
      </c>
      <c r="BL26" s="408" t="str">
        <f t="shared" si="27"/>
        <v/>
      </c>
    </row>
    <row r="27" spans="2:64" ht="80.25" customHeight="1">
      <c r="B27" s="109">
        <v>23</v>
      </c>
      <c r="C27" s="110">
        <f>SISWA!B28</f>
        <v>0</v>
      </c>
      <c r="D27" s="111" t="str">
        <f>SISWA!E28</f>
        <v>Anak 23</v>
      </c>
      <c r="E27" s="605"/>
      <c r="F27" s="605"/>
      <c r="G27" s="605"/>
      <c r="H27" s="605"/>
      <c r="I27" s="605"/>
      <c r="J27" s="605"/>
      <c r="K27" s="605"/>
      <c r="L27" s="605"/>
      <c r="M27" s="605"/>
      <c r="N27" s="605"/>
      <c r="O27" s="605"/>
      <c r="P27" s="605"/>
      <c r="Q27" s="605"/>
      <c r="R27" s="605"/>
      <c r="S27" s="605"/>
      <c r="T27" s="605"/>
      <c r="U27" s="605"/>
      <c r="V27" s="605"/>
      <c r="W27" s="605"/>
      <c r="X27" s="605"/>
      <c r="Y27" s="605"/>
      <c r="Z27" s="533" t="str">
        <f t="shared" si="6"/>
        <v/>
      </c>
      <c r="AA27" s="533" t="str">
        <f t="shared" si="7"/>
        <v/>
      </c>
      <c r="AB27" s="533" t="str">
        <f t="shared" si="8"/>
        <v/>
      </c>
      <c r="AC27" s="533" t="str">
        <f t="shared" si="9"/>
        <v/>
      </c>
      <c r="AD27" s="533" t="str">
        <f t="shared" si="10"/>
        <v/>
      </c>
      <c r="AE27" s="533" t="str">
        <f t="shared" si="11"/>
        <v/>
      </c>
      <c r="AF27" s="533" t="str">
        <f t="shared" si="12"/>
        <v/>
      </c>
      <c r="AG27" s="533" t="str">
        <f t="shared" si="13"/>
        <v/>
      </c>
      <c r="AH27" s="533" t="str">
        <f t="shared" si="14"/>
        <v/>
      </c>
      <c r="AI27" s="533" t="str">
        <f t="shared" si="15"/>
        <v/>
      </c>
      <c r="AJ27" s="533" t="str">
        <f t="shared" si="16"/>
        <v/>
      </c>
      <c r="AK27" s="533" t="str">
        <f t="shared" si="17"/>
        <v/>
      </c>
      <c r="AL27" s="533" t="str">
        <f t="shared" si="18"/>
        <v/>
      </c>
      <c r="AM27" s="533" t="str">
        <f t="shared" si="19"/>
        <v/>
      </c>
      <c r="AN27" s="533" t="str">
        <f t="shared" si="20"/>
        <v/>
      </c>
      <c r="AO27" s="533" t="str">
        <f t="shared" si="21"/>
        <v/>
      </c>
      <c r="AP27" s="302" t="e">
        <f t="shared" si="22"/>
        <v>#DIV/0!</v>
      </c>
      <c r="AQ27" s="303" t="e">
        <f>IF(AP27&gt;KKM!$G$10,"A",IF(AP27&gt;KKM!$H$10,"B",IF(AP27&gt;=KKM!$I$10,"C","D")))</f>
        <v>#DIV/0!</v>
      </c>
      <c r="AR27" s="304">
        <f t="shared" si="1"/>
        <v>0</v>
      </c>
      <c r="AS27" s="309" t="str">
        <f>IF(AR27&gt;KKM!$G$10," sangat baik ",IF(AR27&gt;KKM!$H$10," baik ",IF(AR27&gt;=KKM!$I$10," cukup baik "," perlu bimbingan ")))</f>
        <v xml:space="preserve"> perlu bimbingan </v>
      </c>
      <c r="AT27" s="305">
        <f t="shared" si="2"/>
        <v>0</v>
      </c>
      <c r="AU27" s="309" t="str">
        <f>IF(AT27&gt;KKM!$G$10," sangat baik ",IF(AT27&gt;KKM!$H$10," baik ",IF(AT27&gt;=KKM!$I$10," cukup baik "," perlu bimbingan ")))</f>
        <v xml:space="preserve"> perlu bimbingan </v>
      </c>
      <c r="AV27" s="301" t="str">
        <f t="shared" si="23"/>
        <v xml:space="preserve"> </v>
      </c>
      <c r="AW27" s="218"/>
      <c r="AX27" s="219" t="e">
        <f t="shared" si="3"/>
        <v>#N/A</v>
      </c>
      <c r="AY27" s="219" t="e">
        <f t="shared" si="4"/>
        <v>#N/A</v>
      </c>
      <c r="AZ27" s="219" t="e">
        <f t="shared" si="24"/>
        <v>#N/A</v>
      </c>
      <c r="BA27" s="219" t="e">
        <f t="shared" si="25"/>
        <v>#N/A</v>
      </c>
      <c r="BB27" s="220" t="e">
        <f t="shared" si="26"/>
        <v>#N/A</v>
      </c>
      <c r="BC27" s="214" t="e">
        <f t="shared" si="5"/>
        <v>#N/A</v>
      </c>
      <c r="BL27" s="408" t="str">
        <f t="shared" si="27"/>
        <v/>
      </c>
    </row>
    <row r="28" spans="2:64" ht="80.25" customHeight="1">
      <c r="B28" s="109">
        <v>24</v>
      </c>
      <c r="C28" s="110">
        <f>SISWA!B29</f>
        <v>0</v>
      </c>
      <c r="D28" s="111" t="str">
        <f>SISWA!E29</f>
        <v>Anak 24</v>
      </c>
      <c r="E28" s="605"/>
      <c r="F28" s="605"/>
      <c r="G28" s="605"/>
      <c r="H28" s="605"/>
      <c r="I28" s="605"/>
      <c r="J28" s="605"/>
      <c r="K28" s="605"/>
      <c r="L28" s="605"/>
      <c r="M28" s="605"/>
      <c r="N28" s="605"/>
      <c r="O28" s="605"/>
      <c r="P28" s="605"/>
      <c r="Q28" s="605"/>
      <c r="R28" s="605"/>
      <c r="S28" s="605"/>
      <c r="T28" s="605"/>
      <c r="U28" s="605"/>
      <c r="V28" s="605"/>
      <c r="W28" s="605"/>
      <c r="X28" s="605"/>
      <c r="Y28" s="605"/>
      <c r="Z28" s="533" t="str">
        <f t="shared" si="6"/>
        <v/>
      </c>
      <c r="AA28" s="533" t="str">
        <f t="shared" si="7"/>
        <v/>
      </c>
      <c r="AB28" s="533" t="str">
        <f t="shared" si="8"/>
        <v/>
      </c>
      <c r="AC28" s="533" t="str">
        <f t="shared" si="9"/>
        <v/>
      </c>
      <c r="AD28" s="533" t="str">
        <f t="shared" si="10"/>
        <v/>
      </c>
      <c r="AE28" s="533" t="str">
        <f t="shared" si="11"/>
        <v/>
      </c>
      <c r="AF28" s="533" t="str">
        <f t="shared" si="12"/>
        <v/>
      </c>
      <c r="AG28" s="533" t="str">
        <f t="shared" si="13"/>
        <v/>
      </c>
      <c r="AH28" s="533" t="str">
        <f t="shared" si="14"/>
        <v/>
      </c>
      <c r="AI28" s="533" t="str">
        <f t="shared" si="15"/>
        <v/>
      </c>
      <c r="AJ28" s="533" t="str">
        <f t="shared" si="16"/>
        <v/>
      </c>
      <c r="AK28" s="533" t="str">
        <f t="shared" si="17"/>
        <v/>
      </c>
      <c r="AL28" s="533" t="str">
        <f t="shared" si="18"/>
        <v/>
      </c>
      <c r="AM28" s="533" t="str">
        <f t="shared" si="19"/>
        <v/>
      </c>
      <c r="AN28" s="533" t="str">
        <f t="shared" si="20"/>
        <v/>
      </c>
      <c r="AO28" s="533" t="str">
        <f t="shared" si="21"/>
        <v/>
      </c>
      <c r="AP28" s="302" t="e">
        <f t="shared" si="22"/>
        <v>#DIV/0!</v>
      </c>
      <c r="AQ28" s="303" t="e">
        <f>IF(AP28&gt;KKM!$G$10,"A",IF(AP28&gt;KKM!$H$10,"B",IF(AP28&gt;=KKM!$I$10,"C","D")))</f>
        <v>#DIV/0!</v>
      </c>
      <c r="AR28" s="304">
        <f t="shared" si="1"/>
        <v>0</v>
      </c>
      <c r="AS28" s="309" t="str">
        <f>IF(AR28&gt;KKM!$G$10," sangat baik ",IF(AR28&gt;KKM!$H$10," baik ",IF(AR28&gt;=KKM!$I$10," cukup baik "," perlu bimbingan ")))</f>
        <v xml:space="preserve"> perlu bimbingan </v>
      </c>
      <c r="AT28" s="305">
        <f t="shared" si="2"/>
        <v>0</v>
      </c>
      <c r="AU28" s="309" t="str">
        <f>IF(AT28&gt;KKM!$G$10," sangat baik ",IF(AT28&gt;KKM!$H$10," baik ",IF(AT28&gt;=KKM!$I$10," cukup baik "," perlu bimbingan ")))</f>
        <v xml:space="preserve"> perlu bimbingan </v>
      </c>
      <c r="AV28" s="301" t="str">
        <f t="shared" si="23"/>
        <v xml:space="preserve"> </v>
      </c>
      <c r="AW28" s="218"/>
      <c r="AX28" s="219" t="e">
        <f t="shared" si="3"/>
        <v>#N/A</v>
      </c>
      <c r="AY28" s="219" t="e">
        <f t="shared" si="4"/>
        <v>#N/A</v>
      </c>
      <c r="AZ28" s="219" t="e">
        <f t="shared" si="24"/>
        <v>#N/A</v>
      </c>
      <c r="BA28" s="219" t="e">
        <f t="shared" si="25"/>
        <v>#N/A</v>
      </c>
      <c r="BB28" s="220" t="e">
        <f t="shared" si="26"/>
        <v>#N/A</v>
      </c>
      <c r="BC28" s="214" t="e">
        <f t="shared" si="5"/>
        <v>#N/A</v>
      </c>
      <c r="BL28" s="408" t="str">
        <f t="shared" si="27"/>
        <v/>
      </c>
    </row>
    <row r="29" spans="2:64" ht="80.25" customHeight="1">
      <c r="B29" s="109">
        <v>25</v>
      </c>
      <c r="C29" s="110">
        <f>SISWA!B30</f>
        <v>0</v>
      </c>
      <c r="D29" s="111" t="str">
        <f>SISWA!E30</f>
        <v>Anak 25</v>
      </c>
      <c r="E29" s="605"/>
      <c r="F29" s="605"/>
      <c r="G29" s="605"/>
      <c r="H29" s="605"/>
      <c r="I29" s="605"/>
      <c r="J29" s="605"/>
      <c r="K29" s="605"/>
      <c r="L29" s="605"/>
      <c r="M29" s="605"/>
      <c r="N29" s="605"/>
      <c r="O29" s="605"/>
      <c r="P29" s="605"/>
      <c r="Q29" s="605"/>
      <c r="R29" s="605"/>
      <c r="S29" s="605"/>
      <c r="T29" s="605"/>
      <c r="U29" s="605"/>
      <c r="V29" s="605"/>
      <c r="W29" s="605"/>
      <c r="X29" s="605"/>
      <c r="Y29" s="605"/>
      <c r="Z29" s="533" t="str">
        <f t="shared" si="6"/>
        <v/>
      </c>
      <c r="AA29" s="533" t="str">
        <f t="shared" si="7"/>
        <v/>
      </c>
      <c r="AB29" s="533" t="str">
        <f t="shared" si="8"/>
        <v/>
      </c>
      <c r="AC29" s="533" t="str">
        <f t="shared" si="9"/>
        <v/>
      </c>
      <c r="AD29" s="533" t="str">
        <f t="shared" si="10"/>
        <v/>
      </c>
      <c r="AE29" s="533" t="str">
        <f t="shared" si="11"/>
        <v/>
      </c>
      <c r="AF29" s="533" t="str">
        <f t="shared" si="12"/>
        <v/>
      </c>
      <c r="AG29" s="533" t="str">
        <f t="shared" si="13"/>
        <v/>
      </c>
      <c r="AH29" s="533" t="str">
        <f t="shared" si="14"/>
        <v/>
      </c>
      <c r="AI29" s="533" t="str">
        <f t="shared" si="15"/>
        <v/>
      </c>
      <c r="AJ29" s="533" t="str">
        <f t="shared" si="16"/>
        <v/>
      </c>
      <c r="AK29" s="533" t="str">
        <f t="shared" si="17"/>
        <v/>
      </c>
      <c r="AL29" s="533" t="str">
        <f t="shared" si="18"/>
        <v/>
      </c>
      <c r="AM29" s="533" t="str">
        <f t="shared" si="19"/>
        <v/>
      </c>
      <c r="AN29" s="533" t="str">
        <f t="shared" si="20"/>
        <v/>
      </c>
      <c r="AO29" s="533" t="str">
        <f t="shared" si="21"/>
        <v/>
      </c>
      <c r="AP29" s="302" t="e">
        <f t="shared" si="22"/>
        <v>#DIV/0!</v>
      </c>
      <c r="AQ29" s="303" t="e">
        <f>IF(AP29&gt;KKM!$G$10,"A",IF(AP29&gt;KKM!$H$10,"B",IF(AP29&gt;=KKM!$I$10,"C","D")))</f>
        <v>#DIV/0!</v>
      </c>
      <c r="AR29" s="304">
        <f t="shared" si="1"/>
        <v>0</v>
      </c>
      <c r="AS29" s="309" t="str">
        <f>IF(AR29&gt;KKM!$G$10," sangat baik ",IF(AR29&gt;KKM!$H$10," baik ",IF(AR29&gt;=KKM!$I$10," cukup baik "," perlu bimbingan ")))</f>
        <v xml:space="preserve"> perlu bimbingan </v>
      </c>
      <c r="AT29" s="305">
        <f t="shared" si="2"/>
        <v>0</v>
      </c>
      <c r="AU29" s="309" t="str">
        <f>IF(AT29&gt;KKM!$G$10," sangat baik ",IF(AT29&gt;KKM!$H$10," baik ",IF(AT29&gt;=KKM!$I$10," cukup baik "," perlu bimbingan ")))</f>
        <v xml:space="preserve"> perlu bimbingan </v>
      </c>
      <c r="AV29" s="301" t="str">
        <f t="shared" si="23"/>
        <v xml:space="preserve"> </v>
      </c>
      <c r="AW29" s="218"/>
      <c r="AX29" s="219" t="e">
        <f t="shared" si="3"/>
        <v>#N/A</v>
      </c>
      <c r="AY29" s="219" t="e">
        <f t="shared" si="4"/>
        <v>#N/A</v>
      </c>
      <c r="AZ29" s="219" t="e">
        <f t="shared" si="24"/>
        <v>#N/A</v>
      </c>
      <c r="BA29" s="219" t="e">
        <f t="shared" si="25"/>
        <v>#N/A</v>
      </c>
      <c r="BB29" s="220" t="e">
        <f t="shared" si="26"/>
        <v>#N/A</v>
      </c>
      <c r="BC29" s="214" t="e">
        <f t="shared" si="5"/>
        <v>#N/A</v>
      </c>
      <c r="BL29" s="408" t="str">
        <f t="shared" si="27"/>
        <v/>
      </c>
    </row>
    <row r="30" spans="2:64" ht="80.25" customHeight="1">
      <c r="B30" s="109">
        <v>26</v>
      </c>
      <c r="C30" s="110">
        <f>SISWA!B31</f>
        <v>0</v>
      </c>
      <c r="D30" s="111" t="str">
        <f>SISWA!E31</f>
        <v>Anak 26</v>
      </c>
      <c r="E30" s="605"/>
      <c r="F30" s="605"/>
      <c r="G30" s="605"/>
      <c r="H30" s="605"/>
      <c r="I30" s="605"/>
      <c r="J30" s="605"/>
      <c r="K30" s="605"/>
      <c r="L30" s="605"/>
      <c r="M30" s="605"/>
      <c r="N30" s="605"/>
      <c r="O30" s="605"/>
      <c r="P30" s="605"/>
      <c r="Q30" s="605"/>
      <c r="R30" s="605"/>
      <c r="S30" s="605"/>
      <c r="T30" s="605"/>
      <c r="U30" s="605"/>
      <c r="V30" s="605"/>
      <c r="W30" s="605"/>
      <c r="X30" s="605"/>
      <c r="Y30" s="605"/>
      <c r="Z30" s="533" t="str">
        <f t="shared" si="6"/>
        <v/>
      </c>
      <c r="AA30" s="533" t="str">
        <f t="shared" si="7"/>
        <v/>
      </c>
      <c r="AB30" s="533" t="str">
        <f t="shared" si="8"/>
        <v/>
      </c>
      <c r="AC30" s="533" t="str">
        <f t="shared" si="9"/>
        <v/>
      </c>
      <c r="AD30" s="533" t="str">
        <f t="shared" si="10"/>
        <v/>
      </c>
      <c r="AE30" s="533" t="str">
        <f t="shared" si="11"/>
        <v/>
      </c>
      <c r="AF30" s="533" t="str">
        <f t="shared" si="12"/>
        <v/>
      </c>
      <c r="AG30" s="533" t="str">
        <f t="shared" si="13"/>
        <v/>
      </c>
      <c r="AH30" s="533" t="str">
        <f t="shared" si="14"/>
        <v/>
      </c>
      <c r="AI30" s="533" t="str">
        <f t="shared" si="15"/>
        <v/>
      </c>
      <c r="AJ30" s="533" t="str">
        <f t="shared" si="16"/>
        <v/>
      </c>
      <c r="AK30" s="533" t="str">
        <f t="shared" si="17"/>
        <v/>
      </c>
      <c r="AL30" s="533" t="str">
        <f t="shared" si="18"/>
        <v/>
      </c>
      <c r="AM30" s="533" t="str">
        <f t="shared" si="19"/>
        <v/>
      </c>
      <c r="AN30" s="533" t="str">
        <f t="shared" si="20"/>
        <v/>
      </c>
      <c r="AO30" s="533" t="str">
        <f t="shared" si="21"/>
        <v/>
      </c>
      <c r="AP30" s="302" t="e">
        <f t="shared" si="22"/>
        <v>#DIV/0!</v>
      </c>
      <c r="AQ30" s="303" t="e">
        <f>IF(AP30&gt;KKM!$G$10,"A",IF(AP30&gt;KKM!$H$10,"B",IF(AP30&gt;=KKM!$I$10,"C","D")))</f>
        <v>#DIV/0!</v>
      </c>
      <c r="AR30" s="304">
        <f t="shared" si="1"/>
        <v>0</v>
      </c>
      <c r="AS30" s="309" t="str">
        <f>IF(AR30&gt;KKM!$G$10," sangat baik ",IF(AR30&gt;KKM!$H$10," baik ",IF(AR30&gt;=KKM!$I$10," cukup baik "," perlu bimbingan ")))</f>
        <v xml:space="preserve"> perlu bimbingan </v>
      </c>
      <c r="AT30" s="305">
        <f t="shared" si="2"/>
        <v>0</v>
      </c>
      <c r="AU30" s="309" t="str">
        <f>IF(AT30&gt;KKM!$G$10," sangat baik ",IF(AT30&gt;KKM!$H$10," baik ",IF(AT30&gt;=KKM!$I$10," cukup baik "," perlu bimbingan ")))</f>
        <v xml:space="preserve"> perlu bimbingan </v>
      </c>
      <c r="AV30" s="301" t="str">
        <f t="shared" si="23"/>
        <v xml:space="preserve"> </v>
      </c>
      <c r="AW30" s="218"/>
      <c r="AX30" s="219" t="e">
        <f t="shared" si="3"/>
        <v>#N/A</v>
      </c>
      <c r="AY30" s="219" t="e">
        <f t="shared" si="4"/>
        <v>#N/A</v>
      </c>
      <c r="AZ30" s="219" t="e">
        <f t="shared" si="24"/>
        <v>#N/A</v>
      </c>
      <c r="BA30" s="219" t="e">
        <f t="shared" si="25"/>
        <v>#N/A</v>
      </c>
      <c r="BB30" s="220" t="e">
        <f t="shared" si="26"/>
        <v>#N/A</v>
      </c>
      <c r="BC30" s="214" t="e">
        <f t="shared" si="5"/>
        <v>#N/A</v>
      </c>
      <c r="BL30" s="408" t="str">
        <f t="shared" si="27"/>
        <v/>
      </c>
    </row>
    <row r="31" spans="2:64" ht="80.25" customHeight="1">
      <c r="B31" s="109">
        <v>27</v>
      </c>
      <c r="C31" s="110">
        <f>SISWA!B32</f>
        <v>0</v>
      </c>
      <c r="D31" s="111" t="str">
        <f>SISWA!E32</f>
        <v>Anak 27</v>
      </c>
      <c r="E31" s="605"/>
      <c r="F31" s="605"/>
      <c r="G31" s="605"/>
      <c r="H31" s="605"/>
      <c r="I31" s="605"/>
      <c r="J31" s="605"/>
      <c r="K31" s="605"/>
      <c r="L31" s="605"/>
      <c r="M31" s="605"/>
      <c r="N31" s="605"/>
      <c r="O31" s="605"/>
      <c r="P31" s="605"/>
      <c r="Q31" s="605"/>
      <c r="R31" s="605"/>
      <c r="S31" s="605"/>
      <c r="T31" s="605"/>
      <c r="U31" s="605"/>
      <c r="V31" s="605"/>
      <c r="W31" s="605"/>
      <c r="X31" s="605"/>
      <c r="Y31" s="605"/>
      <c r="Z31" s="533" t="str">
        <f t="shared" si="6"/>
        <v/>
      </c>
      <c r="AA31" s="533" t="str">
        <f t="shared" si="7"/>
        <v/>
      </c>
      <c r="AB31" s="533" t="str">
        <f t="shared" si="8"/>
        <v/>
      </c>
      <c r="AC31" s="533" t="str">
        <f t="shared" si="9"/>
        <v/>
      </c>
      <c r="AD31" s="533" t="str">
        <f t="shared" si="10"/>
        <v/>
      </c>
      <c r="AE31" s="533" t="str">
        <f t="shared" si="11"/>
        <v/>
      </c>
      <c r="AF31" s="533" t="str">
        <f t="shared" si="12"/>
        <v/>
      </c>
      <c r="AG31" s="533" t="str">
        <f t="shared" si="13"/>
        <v/>
      </c>
      <c r="AH31" s="533" t="str">
        <f t="shared" si="14"/>
        <v/>
      </c>
      <c r="AI31" s="533" t="str">
        <f t="shared" si="15"/>
        <v/>
      </c>
      <c r="AJ31" s="533" t="str">
        <f t="shared" si="16"/>
        <v/>
      </c>
      <c r="AK31" s="533" t="str">
        <f t="shared" si="17"/>
        <v/>
      </c>
      <c r="AL31" s="533" t="str">
        <f t="shared" si="18"/>
        <v/>
      </c>
      <c r="AM31" s="533" t="str">
        <f t="shared" si="19"/>
        <v/>
      </c>
      <c r="AN31" s="533" t="str">
        <f t="shared" si="20"/>
        <v/>
      </c>
      <c r="AO31" s="533" t="str">
        <f t="shared" si="21"/>
        <v/>
      </c>
      <c r="AP31" s="302" t="e">
        <f t="shared" si="22"/>
        <v>#DIV/0!</v>
      </c>
      <c r="AQ31" s="303" t="e">
        <f>IF(AP31&gt;KKM!$G$10,"A",IF(AP31&gt;KKM!$H$10,"B",IF(AP31&gt;=KKM!$I$10,"C","D")))</f>
        <v>#DIV/0!</v>
      </c>
      <c r="AR31" s="304">
        <f t="shared" si="1"/>
        <v>0</v>
      </c>
      <c r="AS31" s="309" t="str">
        <f>IF(AR31&gt;KKM!$G$10," sangat baik ",IF(AR31&gt;KKM!$H$10," baik ",IF(AR31&gt;=KKM!$I$10," cukup baik "," perlu bimbingan ")))</f>
        <v xml:space="preserve"> perlu bimbingan </v>
      </c>
      <c r="AT31" s="305">
        <f t="shared" si="2"/>
        <v>0</v>
      </c>
      <c r="AU31" s="309" t="str">
        <f>IF(AT31&gt;KKM!$G$10," sangat baik ",IF(AT31&gt;KKM!$H$10," baik ",IF(AT31&gt;=KKM!$I$10," cukup baik "," perlu bimbingan ")))</f>
        <v xml:space="preserve"> perlu bimbingan </v>
      </c>
      <c r="AV31" s="301" t="str">
        <f t="shared" si="23"/>
        <v xml:space="preserve"> </v>
      </c>
      <c r="AW31" s="218"/>
      <c r="AX31" s="219" t="e">
        <f t="shared" si="3"/>
        <v>#N/A</v>
      </c>
      <c r="AY31" s="219" t="e">
        <f t="shared" si="4"/>
        <v>#N/A</v>
      </c>
      <c r="AZ31" s="219" t="e">
        <f t="shared" si="24"/>
        <v>#N/A</v>
      </c>
      <c r="BA31" s="219" t="e">
        <f t="shared" si="25"/>
        <v>#N/A</v>
      </c>
      <c r="BB31" s="220" t="e">
        <f t="shared" si="26"/>
        <v>#N/A</v>
      </c>
      <c r="BC31" s="214" t="e">
        <f t="shared" si="5"/>
        <v>#N/A</v>
      </c>
      <c r="BL31" s="408" t="str">
        <f t="shared" si="27"/>
        <v/>
      </c>
    </row>
    <row r="32" spans="2:64" ht="80.25" customHeight="1">
      <c r="B32" s="109">
        <v>28</v>
      </c>
      <c r="C32" s="110">
        <f>SISWA!B33</f>
        <v>0</v>
      </c>
      <c r="D32" s="111" t="str">
        <f>SISWA!E33</f>
        <v>Anak 28</v>
      </c>
      <c r="E32" s="605"/>
      <c r="F32" s="605"/>
      <c r="G32" s="605"/>
      <c r="H32" s="605"/>
      <c r="I32" s="605"/>
      <c r="J32" s="605"/>
      <c r="K32" s="605"/>
      <c r="L32" s="605"/>
      <c r="M32" s="605"/>
      <c r="N32" s="605"/>
      <c r="O32" s="605"/>
      <c r="P32" s="605"/>
      <c r="Q32" s="605"/>
      <c r="R32" s="605"/>
      <c r="S32" s="605"/>
      <c r="T32" s="605"/>
      <c r="U32" s="605"/>
      <c r="V32" s="605"/>
      <c r="W32" s="605"/>
      <c r="X32" s="605"/>
      <c r="Y32" s="605"/>
      <c r="Z32" s="533" t="str">
        <f t="shared" si="6"/>
        <v/>
      </c>
      <c r="AA32" s="533" t="str">
        <f t="shared" si="7"/>
        <v/>
      </c>
      <c r="AB32" s="533" t="str">
        <f t="shared" si="8"/>
        <v/>
      </c>
      <c r="AC32" s="533" t="str">
        <f t="shared" si="9"/>
        <v/>
      </c>
      <c r="AD32" s="533" t="str">
        <f t="shared" si="10"/>
        <v/>
      </c>
      <c r="AE32" s="533" t="str">
        <f t="shared" si="11"/>
        <v/>
      </c>
      <c r="AF32" s="533" t="str">
        <f t="shared" si="12"/>
        <v/>
      </c>
      <c r="AG32" s="533" t="str">
        <f t="shared" si="13"/>
        <v/>
      </c>
      <c r="AH32" s="533" t="str">
        <f t="shared" si="14"/>
        <v/>
      </c>
      <c r="AI32" s="533" t="str">
        <f t="shared" si="15"/>
        <v/>
      </c>
      <c r="AJ32" s="533" t="str">
        <f t="shared" si="16"/>
        <v/>
      </c>
      <c r="AK32" s="533" t="str">
        <f t="shared" si="17"/>
        <v/>
      </c>
      <c r="AL32" s="533" t="str">
        <f t="shared" si="18"/>
        <v/>
      </c>
      <c r="AM32" s="533" t="str">
        <f t="shared" si="19"/>
        <v/>
      </c>
      <c r="AN32" s="533" t="str">
        <f t="shared" si="20"/>
        <v/>
      </c>
      <c r="AO32" s="533" t="str">
        <f t="shared" si="21"/>
        <v/>
      </c>
      <c r="AP32" s="302" t="e">
        <f t="shared" si="22"/>
        <v>#DIV/0!</v>
      </c>
      <c r="AQ32" s="303" t="e">
        <f>IF(AP32&gt;KKM!$G$10,"A",IF(AP32&gt;KKM!$H$10,"B",IF(AP32&gt;=KKM!$I$10,"C","D")))</f>
        <v>#DIV/0!</v>
      </c>
      <c r="AR32" s="304">
        <f t="shared" si="1"/>
        <v>0</v>
      </c>
      <c r="AS32" s="309" t="str">
        <f>IF(AR32&gt;KKM!$G$10," sangat baik ",IF(AR32&gt;KKM!$H$10," baik ",IF(AR32&gt;=KKM!$I$10," cukup baik "," perlu bimbingan ")))</f>
        <v xml:space="preserve"> perlu bimbingan </v>
      </c>
      <c r="AT32" s="305">
        <f t="shared" si="2"/>
        <v>0</v>
      </c>
      <c r="AU32" s="309" t="str">
        <f>IF(AT32&gt;KKM!$G$10," sangat baik ",IF(AT32&gt;KKM!$H$10," baik ",IF(AT32&gt;=KKM!$I$10," cukup baik "," perlu bimbingan ")))</f>
        <v xml:space="preserve"> perlu bimbingan </v>
      </c>
      <c r="AV32" s="301" t="str">
        <f t="shared" si="23"/>
        <v xml:space="preserve"> </v>
      </c>
      <c r="AW32" s="218"/>
      <c r="AX32" s="219" t="e">
        <f t="shared" si="3"/>
        <v>#N/A</v>
      </c>
      <c r="AY32" s="219" t="e">
        <f t="shared" si="4"/>
        <v>#N/A</v>
      </c>
      <c r="AZ32" s="219" t="e">
        <f t="shared" si="24"/>
        <v>#N/A</v>
      </c>
      <c r="BA32" s="219" t="e">
        <f t="shared" si="25"/>
        <v>#N/A</v>
      </c>
      <c r="BB32" s="220" t="e">
        <f t="shared" si="26"/>
        <v>#N/A</v>
      </c>
      <c r="BC32" s="214" t="e">
        <f t="shared" si="5"/>
        <v>#N/A</v>
      </c>
      <c r="BL32" s="408" t="str">
        <f t="shared" si="27"/>
        <v/>
      </c>
    </row>
    <row r="33" spans="2:64" ht="80.25" customHeight="1">
      <c r="B33" s="109">
        <v>29</v>
      </c>
      <c r="C33" s="110">
        <f>SISWA!B34</f>
        <v>0</v>
      </c>
      <c r="D33" s="111" t="str">
        <f>SISWA!E34</f>
        <v>Anak 29</v>
      </c>
      <c r="E33" s="605"/>
      <c r="F33" s="605"/>
      <c r="G33" s="605"/>
      <c r="H33" s="605"/>
      <c r="I33" s="605"/>
      <c r="J33" s="605"/>
      <c r="K33" s="605"/>
      <c r="L33" s="605"/>
      <c r="M33" s="605"/>
      <c r="N33" s="605"/>
      <c r="O33" s="605"/>
      <c r="P33" s="605"/>
      <c r="Q33" s="605"/>
      <c r="R33" s="605"/>
      <c r="S33" s="605"/>
      <c r="T33" s="605"/>
      <c r="U33" s="605"/>
      <c r="V33" s="605"/>
      <c r="W33" s="605"/>
      <c r="X33" s="605"/>
      <c r="Y33" s="605"/>
      <c r="Z33" s="533" t="str">
        <f t="shared" si="6"/>
        <v/>
      </c>
      <c r="AA33" s="533" t="str">
        <f t="shared" si="7"/>
        <v/>
      </c>
      <c r="AB33" s="533" t="str">
        <f t="shared" si="8"/>
        <v/>
      </c>
      <c r="AC33" s="533" t="str">
        <f t="shared" si="9"/>
        <v/>
      </c>
      <c r="AD33" s="533" t="str">
        <f t="shared" si="10"/>
        <v/>
      </c>
      <c r="AE33" s="533" t="str">
        <f t="shared" si="11"/>
        <v/>
      </c>
      <c r="AF33" s="533" t="str">
        <f t="shared" si="12"/>
        <v/>
      </c>
      <c r="AG33" s="533" t="str">
        <f t="shared" si="13"/>
        <v/>
      </c>
      <c r="AH33" s="533" t="str">
        <f t="shared" si="14"/>
        <v/>
      </c>
      <c r="AI33" s="533" t="str">
        <f t="shared" si="15"/>
        <v/>
      </c>
      <c r="AJ33" s="533" t="str">
        <f t="shared" si="16"/>
        <v/>
      </c>
      <c r="AK33" s="533" t="str">
        <f t="shared" si="17"/>
        <v/>
      </c>
      <c r="AL33" s="533" t="str">
        <f t="shared" si="18"/>
        <v/>
      </c>
      <c r="AM33" s="533" t="str">
        <f t="shared" si="19"/>
        <v/>
      </c>
      <c r="AN33" s="533" t="str">
        <f t="shared" si="20"/>
        <v/>
      </c>
      <c r="AO33" s="533" t="str">
        <f t="shared" si="21"/>
        <v/>
      </c>
      <c r="AP33" s="302" t="e">
        <f t="shared" si="22"/>
        <v>#DIV/0!</v>
      </c>
      <c r="AQ33" s="303" t="e">
        <f>IF(AP33&gt;KKM!$G$10,"A",IF(AP33&gt;KKM!$H$10,"B",IF(AP33&gt;=KKM!$I$10,"C","D")))</f>
        <v>#DIV/0!</v>
      </c>
      <c r="AR33" s="304">
        <f t="shared" si="1"/>
        <v>0</v>
      </c>
      <c r="AS33" s="309" t="str">
        <f>IF(AR33&gt;KKM!$G$10," sangat baik ",IF(AR33&gt;KKM!$H$10," baik ",IF(AR33&gt;=KKM!$I$10," cukup baik "," perlu bimbingan ")))</f>
        <v xml:space="preserve"> perlu bimbingan </v>
      </c>
      <c r="AT33" s="305">
        <f t="shared" si="2"/>
        <v>0</v>
      </c>
      <c r="AU33" s="309" t="str">
        <f>IF(AT33&gt;KKM!$G$10," sangat baik ",IF(AT33&gt;KKM!$H$10," baik ",IF(AT33&gt;=KKM!$I$10," cukup baik "," perlu bimbingan ")))</f>
        <v xml:space="preserve"> perlu bimbingan </v>
      </c>
      <c r="AV33" s="301" t="str">
        <f t="shared" si="23"/>
        <v xml:space="preserve"> </v>
      </c>
      <c r="AW33" s="218"/>
      <c r="AX33" s="219" t="e">
        <f t="shared" si="3"/>
        <v>#N/A</v>
      </c>
      <c r="AY33" s="219" t="e">
        <f t="shared" si="4"/>
        <v>#N/A</v>
      </c>
      <c r="AZ33" s="219" t="e">
        <f t="shared" si="24"/>
        <v>#N/A</v>
      </c>
      <c r="BA33" s="219" t="e">
        <f t="shared" si="25"/>
        <v>#N/A</v>
      </c>
      <c r="BB33" s="220" t="e">
        <f t="shared" si="26"/>
        <v>#N/A</v>
      </c>
      <c r="BC33" s="214" t="e">
        <f t="shared" si="5"/>
        <v>#N/A</v>
      </c>
      <c r="BL33" s="408" t="str">
        <f t="shared" si="27"/>
        <v/>
      </c>
    </row>
    <row r="34" spans="2:64" ht="80.25" customHeight="1">
      <c r="B34" s="109">
        <v>30</v>
      </c>
      <c r="C34" s="110">
        <f>SISWA!B35</f>
        <v>0</v>
      </c>
      <c r="D34" s="111" t="str">
        <f>SISWA!E35</f>
        <v>Anak 30</v>
      </c>
      <c r="E34" s="605"/>
      <c r="F34" s="605"/>
      <c r="G34" s="605"/>
      <c r="H34" s="605"/>
      <c r="I34" s="605"/>
      <c r="J34" s="605"/>
      <c r="K34" s="605"/>
      <c r="L34" s="605"/>
      <c r="M34" s="605"/>
      <c r="N34" s="605"/>
      <c r="O34" s="605"/>
      <c r="P34" s="605"/>
      <c r="Q34" s="605"/>
      <c r="R34" s="605"/>
      <c r="S34" s="605"/>
      <c r="T34" s="605"/>
      <c r="U34" s="605"/>
      <c r="V34" s="605"/>
      <c r="W34" s="605"/>
      <c r="X34" s="605"/>
      <c r="Y34" s="605"/>
      <c r="Z34" s="533" t="str">
        <f t="shared" si="6"/>
        <v/>
      </c>
      <c r="AA34" s="533" t="str">
        <f t="shared" si="7"/>
        <v/>
      </c>
      <c r="AB34" s="533" t="str">
        <f t="shared" si="8"/>
        <v/>
      </c>
      <c r="AC34" s="533" t="str">
        <f t="shared" si="9"/>
        <v/>
      </c>
      <c r="AD34" s="533" t="str">
        <f t="shared" si="10"/>
        <v/>
      </c>
      <c r="AE34" s="533" t="str">
        <f t="shared" si="11"/>
        <v/>
      </c>
      <c r="AF34" s="533" t="str">
        <f t="shared" si="12"/>
        <v/>
      </c>
      <c r="AG34" s="533" t="str">
        <f t="shared" si="13"/>
        <v/>
      </c>
      <c r="AH34" s="533" t="str">
        <f t="shared" si="14"/>
        <v/>
      </c>
      <c r="AI34" s="533" t="str">
        <f t="shared" si="15"/>
        <v/>
      </c>
      <c r="AJ34" s="533" t="str">
        <f t="shared" si="16"/>
        <v/>
      </c>
      <c r="AK34" s="533" t="str">
        <f t="shared" si="17"/>
        <v/>
      </c>
      <c r="AL34" s="533" t="str">
        <f t="shared" si="18"/>
        <v/>
      </c>
      <c r="AM34" s="533" t="str">
        <f t="shared" si="19"/>
        <v/>
      </c>
      <c r="AN34" s="533" t="str">
        <f t="shared" si="20"/>
        <v/>
      </c>
      <c r="AO34" s="533" t="str">
        <f t="shared" si="21"/>
        <v/>
      </c>
      <c r="AP34" s="302" t="e">
        <f t="shared" si="22"/>
        <v>#DIV/0!</v>
      </c>
      <c r="AQ34" s="303" t="e">
        <f>IF(AP34&gt;KKM!$G$10,"A",IF(AP34&gt;KKM!$H$10,"B",IF(AP34&gt;=KKM!$I$10,"C","D")))</f>
        <v>#DIV/0!</v>
      </c>
      <c r="AR34" s="304">
        <f t="shared" si="1"/>
        <v>0</v>
      </c>
      <c r="AS34" s="309" t="str">
        <f>IF(AR34&gt;KKM!$G$10," sangat baik ",IF(AR34&gt;KKM!$H$10," baik ",IF(AR34&gt;=KKM!$I$10," cukup baik "," perlu bimbingan ")))</f>
        <v xml:space="preserve"> perlu bimbingan </v>
      </c>
      <c r="AT34" s="305">
        <f t="shared" si="2"/>
        <v>0</v>
      </c>
      <c r="AU34" s="309" t="str">
        <f>IF(AT34&gt;KKM!$G$10," sangat baik ",IF(AT34&gt;KKM!$H$10," baik ",IF(AT34&gt;=KKM!$I$10," cukup baik "," perlu bimbingan ")))</f>
        <v xml:space="preserve"> perlu bimbingan </v>
      </c>
      <c r="AV34" s="301" t="str">
        <f t="shared" si="23"/>
        <v xml:space="preserve"> </v>
      </c>
      <c r="AW34" s="218"/>
      <c r="AX34" s="219" t="e">
        <f t="shared" si="3"/>
        <v>#N/A</v>
      </c>
      <c r="AY34" s="219" t="e">
        <f t="shared" si="4"/>
        <v>#N/A</v>
      </c>
      <c r="AZ34" s="219" t="e">
        <f t="shared" si="24"/>
        <v>#N/A</v>
      </c>
      <c r="BA34" s="219" t="e">
        <f t="shared" si="25"/>
        <v>#N/A</v>
      </c>
      <c r="BB34" s="220" t="e">
        <f t="shared" si="26"/>
        <v>#N/A</v>
      </c>
      <c r="BC34" s="214" t="e">
        <f t="shared" si="5"/>
        <v>#N/A</v>
      </c>
      <c r="BL34" s="408" t="str">
        <f t="shared" si="27"/>
        <v/>
      </c>
    </row>
    <row r="35" spans="2:64" ht="80.25" customHeight="1">
      <c r="B35" s="109">
        <v>31</v>
      </c>
      <c r="C35" s="110">
        <f>SISWA!B36</f>
        <v>0</v>
      </c>
      <c r="D35" s="111" t="str">
        <f>SISWA!E36</f>
        <v>Anak 31</v>
      </c>
      <c r="E35" s="605"/>
      <c r="F35" s="605"/>
      <c r="G35" s="605"/>
      <c r="H35" s="605"/>
      <c r="I35" s="605"/>
      <c r="J35" s="605"/>
      <c r="K35" s="605"/>
      <c r="L35" s="605"/>
      <c r="M35" s="605"/>
      <c r="N35" s="605"/>
      <c r="O35" s="605"/>
      <c r="P35" s="605"/>
      <c r="Q35" s="605"/>
      <c r="R35" s="605"/>
      <c r="S35" s="605"/>
      <c r="T35" s="605"/>
      <c r="U35" s="605"/>
      <c r="V35" s="605"/>
      <c r="W35" s="605"/>
      <c r="X35" s="605"/>
      <c r="Y35" s="605"/>
      <c r="Z35" s="533" t="str">
        <f t="shared" si="6"/>
        <v/>
      </c>
      <c r="AA35" s="533" t="str">
        <f t="shared" si="7"/>
        <v/>
      </c>
      <c r="AB35" s="533" t="str">
        <f t="shared" si="8"/>
        <v/>
      </c>
      <c r="AC35" s="533" t="str">
        <f t="shared" si="9"/>
        <v/>
      </c>
      <c r="AD35" s="533" t="str">
        <f t="shared" si="10"/>
        <v/>
      </c>
      <c r="AE35" s="533" t="str">
        <f t="shared" si="11"/>
        <v/>
      </c>
      <c r="AF35" s="533" t="str">
        <f t="shared" si="12"/>
        <v/>
      </c>
      <c r="AG35" s="533" t="str">
        <f t="shared" si="13"/>
        <v/>
      </c>
      <c r="AH35" s="533" t="str">
        <f t="shared" si="14"/>
        <v/>
      </c>
      <c r="AI35" s="533" t="str">
        <f t="shared" si="15"/>
        <v/>
      </c>
      <c r="AJ35" s="533" t="str">
        <f t="shared" si="16"/>
        <v/>
      </c>
      <c r="AK35" s="533" t="str">
        <f t="shared" si="17"/>
        <v/>
      </c>
      <c r="AL35" s="533" t="str">
        <f t="shared" si="18"/>
        <v/>
      </c>
      <c r="AM35" s="533" t="str">
        <f t="shared" si="19"/>
        <v/>
      </c>
      <c r="AN35" s="533" t="str">
        <f t="shared" si="20"/>
        <v/>
      </c>
      <c r="AO35" s="533" t="str">
        <f t="shared" si="21"/>
        <v/>
      </c>
      <c r="AP35" s="302" t="e">
        <f t="shared" si="22"/>
        <v>#DIV/0!</v>
      </c>
      <c r="AQ35" s="303" t="e">
        <f>IF(AP35&gt;KKM!$G$10,"A",IF(AP35&gt;KKM!$H$10,"B",IF(AP35&gt;=KKM!$I$10,"C","D")))</f>
        <v>#DIV/0!</v>
      </c>
      <c r="AR35" s="304">
        <f t="shared" si="1"/>
        <v>0</v>
      </c>
      <c r="AS35" s="309" t="str">
        <f>IF(AR35&gt;KKM!$G$10," sangat baik ",IF(AR35&gt;KKM!$H$10," baik ",IF(AR35&gt;=KKM!$I$10," cukup baik "," perlu bimbingan ")))</f>
        <v xml:space="preserve"> perlu bimbingan </v>
      </c>
      <c r="AT35" s="305">
        <f t="shared" si="2"/>
        <v>0</v>
      </c>
      <c r="AU35" s="309" t="str">
        <f>IF(AT35&gt;KKM!$G$10," sangat baik ",IF(AT35&gt;KKM!$H$10," baik ",IF(AT35&gt;=KKM!$I$10," cukup baik "," perlu bimbingan ")))</f>
        <v xml:space="preserve"> perlu bimbingan </v>
      </c>
      <c r="AV35" s="301" t="str">
        <f t="shared" si="23"/>
        <v xml:space="preserve"> </v>
      </c>
      <c r="AW35" s="218"/>
      <c r="AX35" s="219" t="e">
        <f t="shared" si="3"/>
        <v>#N/A</v>
      </c>
      <c r="AY35" s="219" t="e">
        <f t="shared" si="4"/>
        <v>#N/A</v>
      </c>
      <c r="AZ35" s="219" t="e">
        <f t="shared" si="24"/>
        <v>#N/A</v>
      </c>
      <c r="BA35" s="219" t="e">
        <f t="shared" si="25"/>
        <v>#N/A</v>
      </c>
      <c r="BB35" s="220" t="e">
        <f t="shared" si="26"/>
        <v>#N/A</v>
      </c>
      <c r="BC35" s="214" t="e">
        <f t="shared" si="5"/>
        <v>#N/A</v>
      </c>
      <c r="BL35" s="408" t="str">
        <f t="shared" si="27"/>
        <v/>
      </c>
    </row>
    <row r="36" spans="2:64" ht="80.25" customHeight="1">
      <c r="B36" s="109">
        <v>32</v>
      </c>
      <c r="C36" s="110">
        <f>SISWA!B37</f>
        <v>0</v>
      </c>
      <c r="D36" s="111" t="str">
        <f>SISWA!E37</f>
        <v>Anak 32</v>
      </c>
      <c r="E36" s="605"/>
      <c r="F36" s="605"/>
      <c r="G36" s="605"/>
      <c r="H36" s="605"/>
      <c r="I36" s="605"/>
      <c r="J36" s="605"/>
      <c r="K36" s="605"/>
      <c r="L36" s="605"/>
      <c r="M36" s="605"/>
      <c r="N36" s="605"/>
      <c r="O36" s="605"/>
      <c r="P36" s="605"/>
      <c r="Q36" s="605"/>
      <c r="R36" s="605"/>
      <c r="S36" s="605"/>
      <c r="T36" s="605"/>
      <c r="U36" s="605"/>
      <c r="V36" s="605"/>
      <c r="W36" s="605"/>
      <c r="X36" s="605"/>
      <c r="Y36" s="605"/>
      <c r="Z36" s="533" t="str">
        <f t="shared" si="6"/>
        <v/>
      </c>
      <c r="AA36" s="533" t="str">
        <f t="shared" si="7"/>
        <v/>
      </c>
      <c r="AB36" s="533" t="str">
        <f t="shared" si="8"/>
        <v/>
      </c>
      <c r="AC36" s="533" t="str">
        <f t="shared" si="9"/>
        <v/>
      </c>
      <c r="AD36" s="533" t="str">
        <f t="shared" si="10"/>
        <v/>
      </c>
      <c r="AE36" s="533" t="str">
        <f t="shared" si="11"/>
        <v/>
      </c>
      <c r="AF36" s="533" t="str">
        <f t="shared" si="12"/>
        <v/>
      </c>
      <c r="AG36" s="533" t="str">
        <f t="shared" si="13"/>
        <v/>
      </c>
      <c r="AH36" s="533" t="str">
        <f t="shared" si="14"/>
        <v/>
      </c>
      <c r="AI36" s="533" t="str">
        <f t="shared" si="15"/>
        <v/>
      </c>
      <c r="AJ36" s="533" t="str">
        <f t="shared" si="16"/>
        <v/>
      </c>
      <c r="AK36" s="533" t="str">
        <f t="shared" si="17"/>
        <v/>
      </c>
      <c r="AL36" s="533" t="str">
        <f t="shared" si="18"/>
        <v/>
      </c>
      <c r="AM36" s="533" t="str">
        <f t="shared" si="19"/>
        <v/>
      </c>
      <c r="AN36" s="533" t="str">
        <f t="shared" si="20"/>
        <v/>
      </c>
      <c r="AO36" s="533" t="str">
        <f t="shared" si="21"/>
        <v/>
      </c>
      <c r="AP36" s="302" t="e">
        <f t="shared" si="22"/>
        <v>#DIV/0!</v>
      </c>
      <c r="AQ36" s="303" t="e">
        <f>IF(AP36&gt;KKM!$G$10,"A",IF(AP36&gt;KKM!$H$10,"B",IF(AP36&gt;=KKM!$I$10,"C","D")))</f>
        <v>#DIV/0!</v>
      </c>
      <c r="AR36" s="304">
        <f t="shared" si="1"/>
        <v>0</v>
      </c>
      <c r="AS36" s="309" t="str">
        <f>IF(AR36&gt;KKM!$G$10," sangat baik ",IF(AR36&gt;KKM!$H$10," baik ",IF(AR36&gt;=KKM!$I$10," cukup baik "," perlu bimbingan ")))</f>
        <v xml:space="preserve"> perlu bimbingan </v>
      </c>
      <c r="AT36" s="305">
        <f t="shared" si="2"/>
        <v>0</v>
      </c>
      <c r="AU36" s="309" t="str">
        <f>IF(AT36&gt;KKM!$G$10," sangat baik ",IF(AT36&gt;KKM!$H$10," baik ",IF(AT36&gt;=KKM!$I$10," cukup baik "," perlu bimbingan ")))</f>
        <v xml:space="preserve"> perlu bimbingan </v>
      </c>
      <c r="AV36" s="301" t="str">
        <f t="shared" si="23"/>
        <v xml:space="preserve"> </v>
      </c>
      <c r="AW36" s="218"/>
      <c r="AX36" s="219" t="e">
        <f t="shared" si="3"/>
        <v>#N/A</v>
      </c>
      <c r="AY36" s="219" t="e">
        <f t="shared" si="4"/>
        <v>#N/A</v>
      </c>
      <c r="AZ36" s="219" t="e">
        <f t="shared" si="24"/>
        <v>#N/A</v>
      </c>
      <c r="BA36" s="219" t="e">
        <f t="shared" si="25"/>
        <v>#N/A</v>
      </c>
      <c r="BB36" s="220" t="e">
        <f t="shared" si="26"/>
        <v>#N/A</v>
      </c>
      <c r="BC36" s="214" t="e">
        <f t="shared" si="5"/>
        <v>#N/A</v>
      </c>
      <c r="BL36" s="408" t="str">
        <f t="shared" si="27"/>
        <v/>
      </c>
    </row>
    <row r="37" spans="2:64" ht="80.25" customHeight="1">
      <c r="B37" s="109">
        <v>33</v>
      </c>
      <c r="C37" s="110">
        <f>SISWA!B38</f>
        <v>0</v>
      </c>
      <c r="D37" s="111" t="str">
        <f>SISWA!E38</f>
        <v>Anak 33</v>
      </c>
      <c r="E37" s="605"/>
      <c r="F37" s="605"/>
      <c r="G37" s="605"/>
      <c r="H37" s="605"/>
      <c r="I37" s="605"/>
      <c r="J37" s="605"/>
      <c r="K37" s="605"/>
      <c r="L37" s="605"/>
      <c r="M37" s="605"/>
      <c r="N37" s="605"/>
      <c r="O37" s="605"/>
      <c r="P37" s="605"/>
      <c r="Q37" s="605"/>
      <c r="R37" s="605"/>
      <c r="S37" s="605"/>
      <c r="T37" s="605"/>
      <c r="U37" s="605"/>
      <c r="V37" s="605"/>
      <c r="W37" s="605"/>
      <c r="X37" s="605"/>
      <c r="Y37" s="605"/>
      <c r="Z37" s="533" t="str">
        <f t="shared" si="6"/>
        <v/>
      </c>
      <c r="AA37" s="533" t="str">
        <f t="shared" si="7"/>
        <v/>
      </c>
      <c r="AB37" s="533" t="str">
        <f t="shared" si="8"/>
        <v/>
      </c>
      <c r="AC37" s="533" t="str">
        <f t="shared" si="9"/>
        <v/>
      </c>
      <c r="AD37" s="533" t="str">
        <f t="shared" si="10"/>
        <v/>
      </c>
      <c r="AE37" s="533" t="str">
        <f t="shared" si="11"/>
        <v/>
      </c>
      <c r="AF37" s="533" t="str">
        <f t="shared" si="12"/>
        <v/>
      </c>
      <c r="AG37" s="533" t="str">
        <f t="shared" si="13"/>
        <v/>
      </c>
      <c r="AH37" s="533" t="str">
        <f t="shared" si="14"/>
        <v/>
      </c>
      <c r="AI37" s="533" t="str">
        <f t="shared" si="15"/>
        <v/>
      </c>
      <c r="AJ37" s="533" t="str">
        <f t="shared" si="16"/>
        <v/>
      </c>
      <c r="AK37" s="533" t="str">
        <f t="shared" si="17"/>
        <v/>
      </c>
      <c r="AL37" s="533" t="str">
        <f t="shared" si="18"/>
        <v/>
      </c>
      <c r="AM37" s="533" t="str">
        <f t="shared" si="19"/>
        <v/>
      </c>
      <c r="AN37" s="533" t="str">
        <f t="shared" si="20"/>
        <v/>
      </c>
      <c r="AO37" s="533" t="str">
        <f t="shared" si="21"/>
        <v/>
      </c>
      <c r="AP37" s="302" t="e">
        <f t="shared" si="22"/>
        <v>#DIV/0!</v>
      </c>
      <c r="AQ37" s="303" t="e">
        <f>IF(AP37&gt;KKM!$G$10,"A",IF(AP37&gt;KKM!$H$10,"B",IF(AP37&gt;=KKM!$I$10,"C","D")))</f>
        <v>#DIV/0!</v>
      </c>
      <c r="AR37" s="304">
        <f t="shared" si="1"/>
        <v>0</v>
      </c>
      <c r="AS37" s="309" t="str">
        <f>IF(AR37&gt;KKM!$G$10," sangat baik ",IF(AR37&gt;KKM!$H$10," baik ",IF(AR37&gt;=KKM!$I$10," cukup baik "," perlu bimbingan ")))</f>
        <v xml:space="preserve"> perlu bimbingan </v>
      </c>
      <c r="AT37" s="305">
        <f t="shared" si="2"/>
        <v>0</v>
      </c>
      <c r="AU37" s="309" t="str">
        <f>IF(AT37&gt;KKM!$G$10," sangat baik ",IF(AT37&gt;KKM!$H$10," baik ",IF(AT37&gt;=KKM!$I$10," cukup baik "," perlu bimbingan ")))</f>
        <v xml:space="preserve"> perlu bimbingan </v>
      </c>
      <c r="AV37" s="301" t="str">
        <f t="shared" si="23"/>
        <v xml:space="preserve"> </v>
      </c>
      <c r="AW37" s="218"/>
      <c r="AX37" s="219" t="e">
        <f t="shared" si="3"/>
        <v>#N/A</v>
      </c>
      <c r="AY37" s="219" t="e">
        <f t="shared" si="4"/>
        <v>#N/A</v>
      </c>
      <c r="AZ37" s="219" t="e">
        <f t="shared" si="24"/>
        <v>#N/A</v>
      </c>
      <c r="BA37" s="219" t="e">
        <f t="shared" si="25"/>
        <v>#N/A</v>
      </c>
      <c r="BB37" s="220" t="e">
        <f t="shared" si="26"/>
        <v>#N/A</v>
      </c>
      <c r="BC37" s="214" t="e">
        <f t="shared" ref="BC37:BC54" si="28">CONCATENATE(D37,BB37)</f>
        <v>#N/A</v>
      </c>
      <c r="BL37" s="408" t="str">
        <f t="shared" si="27"/>
        <v/>
      </c>
    </row>
    <row r="38" spans="2:64" ht="80.25" customHeight="1">
      <c r="B38" s="109">
        <v>34</v>
      </c>
      <c r="C38" s="110">
        <f>SISWA!B39</f>
        <v>0</v>
      </c>
      <c r="D38" s="111" t="str">
        <f>SISWA!E39</f>
        <v>Anak 34</v>
      </c>
      <c r="E38" s="605"/>
      <c r="F38" s="605"/>
      <c r="G38" s="605"/>
      <c r="H38" s="605"/>
      <c r="I38" s="605"/>
      <c r="J38" s="605"/>
      <c r="K38" s="605"/>
      <c r="L38" s="605"/>
      <c r="M38" s="605"/>
      <c r="N38" s="605"/>
      <c r="O38" s="605"/>
      <c r="P38" s="605"/>
      <c r="Q38" s="605"/>
      <c r="R38" s="605"/>
      <c r="S38" s="605"/>
      <c r="T38" s="605"/>
      <c r="U38" s="605"/>
      <c r="V38" s="605"/>
      <c r="W38" s="605"/>
      <c r="X38" s="605"/>
      <c r="Y38" s="605"/>
      <c r="Z38" s="533" t="str">
        <f t="shared" si="6"/>
        <v/>
      </c>
      <c r="AA38" s="533" t="str">
        <f t="shared" si="7"/>
        <v/>
      </c>
      <c r="AB38" s="533" t="str">
        <f t="shared" si="8"/>
        <v/>
      </c>
      <c r="AC38" s="533" t="str">
        <f t="shared" si="9"/>
        <v/>
      </c>
      <c r="AD38" s="533" t="str">
        <f t="shared" si="10"/>
        <v/>
      </c>
      <c r="AE38" s="533" t="str">
        <f t="shared" si="11"/>
        <v/>
      </c>
      <c r="AF38" s="533" t="str">
        <f t="shared" si="12"/>
        <v/>
      </c>
      <c r="AG38" s="533" t="str">
        <f t="shared" si="13"/>
        <v/>
      </c>
      <c r="AH38" s="533" t="str">
        <f t="shared" si="14"/>
        <v/>
      </c>
      <c r="AI38" s="533" t="str">
        <f t="shared" si="15"/>
        <v/>
      </c>
      <c r="AJ38" s="533" t="str">
        <f t="shared" si="16"/>
        <v/>
      </c>
      <c r="AK38" s="533" t="str">
        <f t="shared" si="17"/>
        <v/>
      </c>
      <c r="AL38" s="533" t="str">
        <f t="shared" si="18"/>
        <v/>
      </c>
      <c r="AM38" s="533" t="str">
        <f t="shared" si="19"/>
        <v/>
      </c>
      <c r="AN38" s="533" t="str">
        <f t="shared" si="20"/>
        <v/>
      </c>
      <c r="AO38" s="533" t="str">
        <f t="shared" si="21"/>
        <v/>
      </c>
      <c r="AP38" s="302" t="e">
        <f t="shared" si="22"/>
        <v>#DIV/0!</v>
      </c>
      <c r="AQ38" s="303" t="e">
        <f>IF(AP38&gt;KKM!$G$10,"A",IF(AP38&gt;KKM!$H$10,"B",IF(AP38&gt;=KKM!$I$10,"C","D")))</f>
        <v>#DIV/0!</v>
      </c>
      <c r="AR38" s="304">
        <f t="shared" si="1"/>
        <v>0</v>
      </c>
      <c r="AS38" s="309" t="str">
        <f>IF(AR38&gt;KKM!$G$10," sangat baik ",IF(AR38&gt;KKM!$H$10," baik ",IF(AR38&gt;=KKM!$I$10," cukup baik "," perlu bimbingan ")))</f>
        <v xml:space="preserve"> perlu bimbingan </v>
      </c>
      <c r="AT38" s="305">
        <f t="shared" si="2"/>
        <v>0</v>
      </c>
      <c r="AU38" s="309" t="str">
        <f>IF(AT38&gt;KKM!$G$10," sangat baik ",IF(AT38&gt;KKM!$H$10," baik ",IF(AT38&gt;=KKM!$I$10," cukup baik "," perlu bimbingan ")))</f>
        <v xml:space="preserve"> perlu bimbingan </v>
      </c>
      <c r="AV38" s="301" t="str">
        <f t="shared" si="23"/>
        <v xml:space="preserve"> </v>
      </c>
      <c r="AW38" s="218"/>
      <c r="AX38" s="219" t="e">
        <f t="shared" si="3"/>
        <v>#N/A</v>
      </c>
      <c r="AY38" s="219" t="e">
        <f t="shared" si="4"/>
        <v>#N/A</v>
      </c>
      <c r="AZ38" s="219" t="e">
        <f t="shared" si="24"/>
        <v>#N/A</v>
      </c>
      <c r="BA38" s="219" t="e">
        <f t="shared" si="25"/>
        <v>#N/A</v>
      </c>
      <c r="BB38" s="220" t="e">
        <f t="shared" si="26"/>
        <v>#N/A</v>
      </c>
      <c r="BC38" s="214" t="e">
        <f t="shared" si="28"/>
        <v>#N/A</v>
      </c>
      <c r="BL38" s="408" t="str">
        <f t="shared" si="27"/>
        <v/>
      </c>
    </row>
    <row r="39" spans="2:64" ht="80.25" customHeight="1">
      <c r="B39" s="109">
        <v>35</v>
      </c>
      <c r="C39" s="110">
        <f>SISWA!B40</f>
        <v>0</v>
      </c>
      <c r="D39" s="111" t="str">
        <f>SISWA!E40</f>
        <v>Anak 35</v>
      </c>
      <c r="E39" s="605"/>
      <c r="F39" s="605"/>
      <c r="G39" s="605"/>
      <c r="H39" s="605"/>
      <c r="I39" s="605"/>
      <c r="J39" s="605"/>
      <c r="K39" s="605"/>
      <c r="L39" s="605"/>
      <c r="M39" s="605"/>
      <c r="N39" s="605"/>
      <c r="O39" s="605"/>
      <c r="P39" s="605"/>
      <c r="Q39" s="605"/>
      <c r="R39" s="605"/>
      <c r="S39" s="605"/>
      <c r="T39" s="605"/>
      <c r="U39" s="605"/>
      <c r="V39" s="605"/>
      <c r="W39" s="605"/>
      <c r="X39" s="605"/>
      <c r="Y39" s="605"/>
      <c r="Z39" s="533" t="str">
        <f t="shared" si="6"/>
        <v/>
      </c>
      <c r="AA39" s="533" t="str">
        <f t="shared" si="7"/>
        <v/>
      </c>
      <c r="AB39" s="533" t="str">
        <f t="shared" si="8"/>
        <v/>
      </c>
      <c r="AC39" s="533" t="str">
        <f t="shared" si="9"/>
        <v/>
      </c>
      <c r="AD39" s="533" t="str">
        <f t="shared" si="10"/>
        <v/>
      </c>
      <c r="AE39" s="533" t="str">
        <f t="shared" si="11"/>
        <v/>
      </c>
      <c r="AF39" s="533" t="str">
        <f t="shared" si="12"/>
        <v/>
      </c>
      <c r="AG39" s="533" t="str">
        <f t="shared" si="13"/>
        <v/>
      </c>
      <c r="AH39" s="533" t="str">
        <f t="shared" si="14"/>
        <v/>
      </c>
      <c r="AI39" s="533" t="str">
        <f t="shared" si="15"/>
        <v/>
      </c>
      <c r="AJ39" s="533" t="str">
        <f t="shared" si="16"/>
        <v/>
      </c>
      <c r="AK39" s="533" t="str">
        <f t="shared" si="17"/>
        <v/>
      </c>
      <c r="AL39" s="533" t="str">
        <f t="shared" si="18"/>
        <v/>
      </c>
      <c r="AM39" s="533" t="str">
        <f t="shared" si="19"/>
        <v/>
      </c>
      <c r="AN39" s="533" t="str">
        <f t="shared" si="20"/>
        <v/>
      </c>
      <c r="AO39" s="533" t="str">
        <f t="shared" si="21"/>
        <v/>
      </c>
      <c r="AP39" s="302" t="e">
        <f t="shared" si="22"/>
        <v>#DIV/0!</v>
      </c>
      <c r="AQ39" s="303" t="e">
        <f>IF(AP39&gt;KKM!$G$10,"A",IF(AP39&gt;KKM!$H$10,"B",IF(AP39&gt;=KKM!$I$10,"C","D")))</f>
        <v>#DIV/0!</v>
      </c>
      <c r="AR39" s="304">
        <f t="shared" si="1"/>
        <v>0</v>
      </c>
      <c r="AS39" s="309" t="str">
        <f>IF(AR39&gt;KKM!$G$10," sangat baik ",IF(AR39&gt;KKM!$H$10," baik ",IF(AR39&gt;=KKM!$I$10," cukup baik "," perlu bimbingan ")))</f>
        <v xml:space="preserve"> perlu bimbingan </v>
      </c>
      <c r="AT39" s="305">
        <f t="shared" si="2"/>
        <v>0</v>
      </c>
      <c r="AU39" s="309" t="str">
        <f>IF(AT39&gt;KKM!$G$10," sangat baik ",IF(AT39&gt;KKM!$H$10," baik ",IF(AT39&gt;=KKM!$I$10," cukup baik "," perlu bimbingan ")))</f>
        <v xml:space="preserve"> perlu bimbingan </v>
      </c>
      <c r="AV39" s="301" t="str">
        <f t="shared" si="23"/>
        <v xml:space="preserve"> </v>
      </c>
      <c r="AW39" s="218"/>
      <c r="AX39" s="219" t="e">
        <f t="shared" si="3"/>
        <v>#N/A</v>
      </c>
      <c r="AY39" s="219" t="e">
        <f t="shared" si="4"/>
        <v>#N/A</v>
      </c>
      <c r="AZ39" s="219" t="e">
        <f t="shared" si="24"/>
        <v>#N/A</v>
      </c>
      <c r="BA39" s="219" t="e">
        <f t="shared" si="25"/>
        <v>#N/A</v>
      </c>
      <c r="BB39" s="220" t="e">
        <f t="shared" si="26"/>
        <v>#N/A</v>
      </c>
      <c r="BC39" s="214" t="e">
        <f t="shared" si="28"/>
        <v>#N/A</v>
      </c>
      <c r="BL39" s="408" t="str">
        <f t="shared" si="27"/>
        <v/>
      </c>
    </row>
    <row r="40" spans="2:64" ht="80.25" customHeight="1">
      <c r="B40" s="109">
        <v>36</v>
      </c>
      <c r="C40" s="110">
        <f>SISWA!B41</f>
        <v>0</v>
      </c>
      <c r="D40" s="111" t="str">
        <f>SISWA!E41</f>
        <v>Anak 36</v>
      </c>
      <c r="E40" s="605"/>
      <c r="F40" s="605"/>
      <c r="G40" s="605"/>
      <c r="H40" s="605"/>
      <c r="I40" s="605"/>
      <c r="J40" s="605"/>
      <c r="K40" s="605"/>
      <c r="L40" s="605"/>
      <c r="M40" s="605"/>
      <c r="N40" s="605"/>
      <c r="O40" s="605"/>
      <c r="P40" s="605"/>
      <c r="Q40" s="605"/>
      <c r="R40" s="605"/>
      <c r="S40" s="605"/>
      <c r="T40" s="605"/>
      <c r="U40" s="605"/>
      <c r="V40" s="605"/>
      <c r="W40" s="605"/>
      <c r="X40" s="605"/>
      <c r="Y40" s="605"/>
      <c r="Z40" s="533" t="str">
        <f t="shared" si="6"/>
        <v/>
      </c>
      <c r="AA40" s="533" t="str">
        <f t="shared" si="7"/>
        <v/>
      </c>
      <c r="AB40" s="533" t="str">
        <f t="shared" si="8"/>
        <v/>
      </c>
      <c r="AC40" s="533" t="str">
        <f t="shared" si="9"/>
        <v/>
      </c>
      <c r="AD40" s="533" t="str">
        <f t="shared" si="10"/>
        <v/>
      </c>
      <c r="AE40" s="533" t="str">
        <f t="shared" si="11"/>
        <v/>
      </c>
      <c r="AF40" s="533" t="str">
        <f t="shared" si="12"/>
        <v/>
      </c>
      <c r="AG40" s="533" t="str">
        <f t="shared" si="13"/>
        <v/>
      </c>
      <c r="AH40" s="533" t="str">
        <f t="shared" si="14"/>
        <v/>
      </c>
      <c r="AI40" s="533" t="str">
        <f t="shared" si="15"/>
        <v/>
      </c>
      <c r="AJ40" s="533" t="str">
        <f t="shared" si="16"/>
        <v/>
      </c>
      <c r="AK40" s="533" t="str">
        <f t="shared" si="17"/>
        <v/>
      </c>
      <c r="AL40" s="533" t="str">
        <f t="shared" si="18"/>
        <v/>
      </c>
      <c r="AM40" s="533" t="str">
        <f t="shared" si="19"/>
        <v/>
      </c>
      <c r="AN40" s="533" t="str">
        <f t="shared" si="20"/>
        <v/>
      </c>
      <c r="AO40" s="533" t="str">
        <f t="shared" si="21"/>
        <v/>
      </c>
      <c r="AP40" s="302" t="e">
        <f t="shared" si="22"/>
        <v>#DIV/0!</v>
      </c>
      <c r="AQ40" s="303" t="e">
        <f>IF(AP40&gt;KKM!$G$10,"A",IF(AP40&gt;KKM!$H$10,"B",IF(AP40&gt;=KKM!$I$10,"C","D")))</f>
        <v>#DIV/0!</v>
      </c>
      <c r="AR40" s="304">
        <f t="shared" si="1"/>
        <v>0</v>
      </c>
      <c r="AS40" s="309" t="str">
        <f>IF(AR40&gt;KKM!$G$10," sangat baik ",IF(AR40&gt;KKM!$H$10," baik ",IF(AR40&gt;=KKM!$I$10," cukup baik "," perlu bimbingan ")))</f>
        <v xml:space="preserve"> perlu bimbingan </v>
      </c>
      <c r="AT40" s="305">
        <f t="shared" si="2"/>
        <v>0</v>
      </c>
      <c r="AU40" s="309" t="str">
        <f>IF(AT40&gt;KKM!$G$10," sangat baik ",IF(AT40&gt;KKM!$H$10," baik ",IF(AT40&gt;=KKM!$I$10," cukup baik "," perlu bimbingan ")))</f>
        <v xml:space="preserve"> perlu bimbingan </v>
      </c>
      <c r="AV40" s="301" t="str">
        <f t="shared" si="23"/>
        <v xml:space="preserve"> </v>
      </c>
      <c r="AW40" s="218"/>
      <c r="AX40" s="219" t="e">
        <f t="shared" si="3"/>
        <v>#N/A</v>
      </c>
      <c r="AY40" s="219" t="e">
        <f t="shared" si="4"/>
        <v>#N/A</v>
      </c>
      <c r="AZ40" s="219" t="e">
        <f t="shared" si="24"/>
        <v>#N/A</v>
      </c>
      <c r="BA40" s="219" t="e">
        <f t="shared" si="25"/>
        <v>#N/A</v>
      </c>
      <c r="BB40" s="220" t="e">
        <f t="shared" si="26"/>
        <v>#N/A</v>
      </c>
      <c r="BC40" s="214" t="e">
        <f t="shared" si="28"/>
        <v>#N/A</v>
      </c>
      <c r="BL40" s="408" t="str">
        <f t="shared" si="27"/>
        <v/>
      </c>
    </row>
    <row r="41" spans="2:64" ht="80.25" customHeight="1">
      <c r="B41" s="109">
        <v>37</v>
      </c>
      <c r="C41" s="110">
        <f>SISWA!B42</f>
        <v>0</v>
      </c>
      <c r="D41" s="111" t="str">
        <f>SISWA!E42</f>
        <v>Anak 37</v>
      </c>
      <c r="E41" s="605"/>
      <c r="F41" s="605"/>
      <c r="G41" s="605"/>
      <c r="H41" s="605"/>
      <c r="I41" s="605"/>
      <c r="J41" s="605"/>
      <c r="K41" s="605"/>
      <c r="L41" s="605"/>
      <c r="M41" s="605"/>
      <c r="N41" s="605"/>
      <c r="O41" s="605"/>
      <c r="P41" s="605"/>
      <c r="Q41" s="605"/>
      <c r="R41" s="605"/>
      <c r="S41" s="605"/>
      <c r="T41" s="605"/>
      <c r="U41" s="605"/>
      <c r="V41" s="605"/>
      <c r="W41" s="605"/>
      <c r="X41" s="605"/>
      <c r="Y41" s="605"/>
      <c r="Z41" s="533" t="str">
        <f t="shared" si="6"/>
        <v/>
      </c>
      <c r="AA41" s="533" t="str">
        <f t="shared" si="7"/>
        <v/>
      </c>
      <c r="AB41" s="533" t="str">
        <f t="shared" si="8"/>
        <v/>
      </c>
      <c r="AC41" s="533" t="str">
        <f t="shared" si="9"/>
        <v/>
      </c>
      <c r="AD41" s="533" t="str">
        <f t="shared" si="10"/>
        <v/>
      </c>
      <c r="AE41" s="533" t="str">
        <f t="shared" si="11"/>
        <v/>
      </c>
      <c r="AF41" s="533" t="str">
        <f t="shared" si="12"/>
        <v/>
      </c>
      <c r="AG41" s="533" t="str">
        <f t="shared" si="13"/>
        <v/>
      </c>
      <c r="AH41" s="533" t="str">
        <f t="shared" si="14"/>
        <v/>
      </c>
      <c r="AI41" s="533" t="str">
        <f t="shared" si="15"/>
        <v/>
      </c>
      <c r="AJ41" s="533" t="str">
        <f t="shared" si="16"/>
        <v/>
      </c>
      <c r="AK41" s="533" t="str">
        <f t="shared" si="17"/>
        <v/>
      </c>
      <c r="AL41" s="533" t="str">
        <f t="shared" si="18"/>
        <v/>
      </c>
      <c r="AM41" s="533" t="str">
        <f t="shared" si="19"/>
        <v/>
      </c>
      <c r="AN41" s="533" t="str">
        <f t="shared" si="20"/>
        <v/>
      </c>
      <c r="AO41" s="533" t="str">
        <f t="shared" si="21"/>
        <v/>
      </c>
      <c r="AP41" s="302" t="e">
        <f t="shared" si="22"/>
        <v>#DIV/0!</v>
      </c>
      <c r="AQ41" s="303" t="e">
        <f>IF(AP41&gt;KKM!$G$10,"A",IF(AP41&gt;KKM!$H$10,"B",IF(AP41&gt;=KKM!$I$10,"C","D")))</f>
        <v>#DIV/0!</v>
      </c>
      <c r="AR41" s="304">
        <f t="shared" si="1"/>
        <v>0</v>
      </c>
      <c r="AS41" s="309" t="str">
        <f>IF(AR41&gt;KKM!$G$10," sangat baik ",IF(AR41&gt;KKM!$H$10," baik ",IF(AR41&gt;=KKM!$I$10," cukup baik "," perlu bimbingan ")))</f>
        <v xml:space="preserve"> perlu bimbingan </v>
      </c>
      <c r="AT41" s="305">
        <f t="shared" si="2"/>
        <v>0</v>
      </c>
      <c r="AU41" s="309" t="str">
        <f>IF(AT41&gt;KKM!$G$10," sangat baik ",IF(AT41&gt;KKM!$H$10," baik ",IF(AT41&gt;=KKM!$I$10," cukup baik "," perlu bimbingan ")))</f>
        <v xml:space="preserve"> perlu bimbingan </v>
      </c>
      <c r="AV41" s="301" t="str">
        <f t="shared" si="23"/>
        <v xml:space="preserve"> </v>
      </c>
      <c r="AW41" s="218"/>
      <c r="AX41" s="219" t="e">
        <f t="shared" si="3"/>
        <v>#N/A</v>
      </c>
      <c r="AY41" s="219" t="e">
        <f t="shared" si="4"/>
        <v>#N/A</v>
      </c>
      <c r="AZ41" s="219" t="e">
        <f t="shared" si="24"/>
        <v>#N/A</v>
      </c>
      <c r="BA41" s="219" t="e">
        <f t="shared" si="25"/>
        <v>#N/A</v>
      </c>
      <c r="BB41" s="220" t="e">
        <f t="shared" si="26"/>
        <v>#N/A</v>
      </c>
      <c r="BC41" s="214" t="e">
        <f t="shared" si="28"/>
        <v>#N/A</v>
      </c>
      <c r="BL41" s="408" t="str">
        <f t="shared" si="27"/>
        <v/>
      </c>
    </row>
    <row r="42" spans="2:64" ht="80.25" customHeight="1">
      <c r="B42" s="109">
        <v>38</v>
      </c>
      <c r="C42" s="110">
        <f>SISWA!B43</f>
        <v>0</v>
      </c>
      <c r="D42" s="111" t="str">
        <f>SISWA!E43</f>
        <v>Anak 38</v>
      </c>
      <c r="E42" s="605"/>
      <c r="F42" s="605"/>
      <c r="G42" s="605"/>
      <c r="H42" s="605"/>
      <c r="I42" s="605"/>
      <c r="J42" s="605"/>
      <c r="K42" s="605"/>
      <c r="L42" s="605"/>
      <c r="M42" s="605"/>
      <c r="N42" s="605"/>
      <c r="O42" s="605"/>
      <c r="P42" s="605"/>
      <c r="Q42" s="605"/>
      <c r="R42" s="605"/>
      <c r="S42" s="605"/>
      <c r="T42" s="605"/>
      <c r="U42" s="605"/>
      <c r="V42" s="605"/>
      <c r="W42" s="605"/>
      <c r="X42" s="605"/>
      <c r="Y42" s="605"/>
      <c r="Z42" s="533" t="str">
        <f t="shared" si="6"/>
        <v/>
      </c>
      <c r="AA42" s="533" t="str">
        <f t="shared" si="7"/>
        <v/>
      </c>
      <c r="AB42" s="533" t="str">
        <f t="shared" si="8"/>
        <v/>
      </c>
      <c r="AC42" s="533" t="str">
        <f t="shared" si="9"/>
        <v/>
      </c>
      <c r="AD42" s="533" t="str">
        <f t="shared" si="10"/>
        <v/>
      </c>
      <c r="AE42" s="533" t="str">
        <f t="shared" si="11"/>
        <v/>
      </c>
      <c r="AF42" s="533" t="str">
        <f t="shared" si="12"/>
        <v/>
      </c>
      <c r="AG42" s="533" t="str">
        <f t="shared" si="13"/>
        <v/>
      </c>
      <c r="AH42" s="533" t="str">
        <f t="shared" si="14"/>
        <v/>
      </c>
      <c r="AI42" s="533" t="str">
        <f t="shared" si="15"/>
        <v/>
      </c>
      <c r="AJ42" s="533" t="str">
        <f t="shared" si="16"/>
        <v/>
      </c>
      <c r="AK42" s="533" t="str">
        <f t="shared" si="17"/>
        <v/>
      </c>
      <c r="AL42" s="533" t="str">
        <f t="shared" si="18"/>
        <v/>
      </c>
      <c r="AM42" s="533" t="str">
        <f t="shared" si="19"/>
        <v/>
      </c>
      <c r="AN42" s="533" t="str">
        <f t="shared" si="20"/>
        <v/>
      </c>
      <c r="AO42" s="533" t="str">
        <f t="shared" si="21"/>
        <v/>
      </c>
      <c r="AP42" s="302" t="e">
        <f t="shared" si="22"/>
        <v>#DIV/0!</v>
      </c>
      <c r="AQ42" s="303" t="e">
        <f>IF(AP42&gt;KKM!$G$10,"A",IF(AP42&gt;KKM!$H$10,"B",IF(AP42&gt;=KKM!$I$10,"C","D")))</f>
        <v>#DIV/0!</v>
      </c>
      <c r="AR42" s="304">
        <f t="shared" si="1"/>
        <v>0</v>
      </c>
      <c r="AS42" s="309" t="str">
        <f>IF(AR42&gt;KKM!$G$10," sangat baik ",IF(AR42&gt;KKM!$H$10," baik ",IF(AR42&gt;=KKM!$I$10," cukup baik "," perlu bimbingan ")))</f>
        <v xml:space="preserve"> perlu bimbingan </v>
      </c>
      <c r="AT42" s="305">
        <f t="shared" si="2"/>
        <v>0</v>
      </c>
      <c r="AU42" s="309" t="str">
        <f>IF(AT42&gt;KKM!$G$10," sangat baik ",IF(AT42&gt;KKM!$H$10," baik ",IF(AT42&gt;=KKM!$I$10," cukup baik "," perlu bimbingan ")))</f>
        <v xml:space="preserve"> perlu bimbingan </v>
      </c>
      <c r="AV42" s="301" t="str">
        <f t="shared" si="23"/>
        <v xml:space="preserve"> </v>
      </c>
      <c r="AW42" s="218"/>
      <c r="AX42" s="219" t="e">
        <f t="shared" si="3"/>
        <v>#N/A</v>
      </c>
      <c r="AY42" s="219" t="e">
        <f t="shared" si="4"/>
        <v>#N/A</v>
      </c>
      <c r="AZ42" s="219" t="e">
        <f t="shared" si="24"/>
        <v>#N/A</v>
      </c>
      <c r="BA42" s="219" t="e">
        <f t="shared" si="25"/>
        <v>#N/A</v>
      </c>
      <c r="BB42" s="220" t="e">
        <f t="shared" si="26"/>
        <v>#N/A</v>
      </c>
      <c r="BC42" s="214" t="e">
        <f t="shared" si="28"/>
        <v>#N/A</v>
      </c>
      <c r="BL42" s="408" t="str">
        <f t="shared" si="27"/>
        <v/>
      </c>
    </row>
    <row r="43" spans="2:64" ht="80.25" customHeight="1">
      <c r="B43" s="109">
        <v>39</v>
      </c>
      <c r="C43" s="110">
        <f>SISWA!B44</f>
        <v>0</v>
      </c>
      <c r="D43" s="111" t="str">
        <f>SISWA!E44</f>
        <v>Anak 39</v>
      </c>
      <c r="E43" s="605"/>
      <c r="F43" s="605"/>
      <c r="G43" s="605"/>
      <c r="H43" s="605"/>
      <c r="I43" s="605"/>
      <c r="J43" s="605"/>
      <c r="K43" s="605"/>
      <c r="L43" s="605"/>
      <c r="M43" s="605"/>
      <c r="N43" s="605"/>
      <c r="O43" s="605"/>
      <c r="P43" s="605"/>
      <c r="Q43" s="605"/>
      <c r="R43" s="605"/>
      <c r="S43" s="605"/>
      <c r="T43" s="605"/>
      <c r="U43" s="605"/>
      <c r="V43" s="605"/>
      <c r="W43" s="605"/>
      <c r="X43" s="605"/>
      <c r="Y43" s="605"/>
      <c r="Z43" s="533" t="str">
        <f t="shared" si="6"/>
        <v/>
      </c>
      <c r="AA43" s="533" t="str">
        <f t="shared" si="7"/>
        <v/>
      </c>
      <c r="AB43" s="533" t="str">
        <f t="shared" si="8"/>
        <v/>
      </c>
      <c r="AC43" s="533" t="str">
        <f t="shared" si="9"/>
        <v/>
      </c>
      <c r="AD43" s="533" t="str">
        <f t="shared" si="10"/>
        <v/>
      </c>
      <c r="AE43" s="533" t="str">
        <f t="shared" si="11"/>
        <v/>
      </c>
      <c r="AF43" s="533" t="str">
        <f t="shared" si="12"/>
        <v/>
      </c>
      <c r="AG43" s="533" t="str">
        <f t="shared" si="13"/>
        <v/>
      </c>
      <c r="AH43" s="533" t="str">
        <f t="shared" si="14"/>
        <v/>
      </c>
      <c r="AI43" s="533" t="str">
        <f t="shared" si="15"/>
        <v/>
      </c>
      <c r="AJ43" s="533" t="str">
        <f t="shared" si="16"/>
        <v/>
      </c>
      <c r="AK43" s="533" t="str">
        <f t="shared" si="17"/>
        <v/>
      </c>
      <c r="AL43" s="533" t="str">
        <f t="shared" si="18"/>
        <v/>
      </c>
      <c r="AM43" s="533" t="str">
        <f t="shared" si="19"/>
        <v/>
      </c>
      <c r="AN43" s="533" t="str">
        <f t="shared" si="20"/>
        <v/>
      </c>
      <c r="AO43" s="533" t="str">
        <f t="shared" si="21"/>
        <v/>
      </c>
      <c r="AP43" s="302" t="e">
        <f t="shared" si="22"/>
        <v>#DIV/0!</v>
      </c>
      <c r="AQ43" s="303" t="e">
        <f>IF(AP43&gt;KKM!$G$10,"A",IF(AP43&gt;KKM!$H$10,"B",IF(AP43&gt;=KKM!$I$10,"C","D")))</f>
        <v>#DIV/0!</v>
      </c>
      <c r="AR43" s="304">
        <f t="shared" si="1"/>
        <v>0</v>
      </c>
      <c r="AS43" s="309" t="str">
        <f>IF(AR43&gt;KKM!$G$10," sangat baik ",IF(AR43&gt;KKM!$H$10," baik ",IF(AR43&gt;=KKM!$I$10," cukup baik "," perlu bimbingan ")))</f>
        <v xml:space="preserve"> perlu bimbingan </v>
      </c>
      <c r="AT43" s="305">
        <f t="shared" si="2"/>
        <v>0</v>
      </c>
      <c r="AU43" s="309" t="str">
        <f>IF(AT43&gt;KKM!$G$10," sangat baik ",IF(AT43&gt;KKM!$H$10," baik ",IF(AT43&gt;=KKM!$I$10," cukup baik "," perlu bimbingan ")))</f>
        <v xml:space="preserve"> perlu bimbingan </v>
      </c>
      <c r="AV43" s="301" t="str">
        <f t="shared" si="23"/>
        <v xml:space="preserve"> </v>
      </c>
      <c r="AW43" s="218"/>
      <c r="AX43" s="219" t="e">
        <f t="shared" si="3"/>
        <v>#N/A</v>
      </c>
      <c r="AY43" s="219" t="e">
        <f t="shared" si="4"/>
        <v>#N/A</v>
      </c>
      <c r="AZ43" s="219" t="e">
        <f t="shared" si="24"/>
        <v>#N/A</v>
      </c>
      <c r="BA43" s="219" t="e">
        <f t="shared" si="25"/>
        <v>#N/A</v>
      </c>
      <c r="BB43" s="220" t="e">
        <f t="shared" si="26"/>
        <v>#N/A</v>
      </c>
      <c r="BC43" s="214" t="e">
        <f t="shared" si="28"/>
        <v>#N/A</v>
      </c>
      <c r="BL43" s="408" t="str">
        <f t="shared" si="27"/>
        <v/>
      </c>
    </row>
    <row r="44" spans="2:64" ht="80.25" customHeight="1">
      <c r="B44" s="109">
        <v>40</v>
      </c>
      <c r="C44" s="110">
        <f>SISWA!B45</f>
        <v>0</v>
      </c>
      <c r="D44" s="111" t="str">
        <f>SISWA!E45</f>
        <v>Anak 40</v>
      </c>
      <c r="E44" s="605"/>
      <c r="F44" s="605"/>
      <c r="G44" s="605"/>
      <c r="H44" s="605"/>
      <c r="I44" s="605"/>
      <c r="J44" s="605"/>
      <c r="K44" s="605"/>
      <c r="L44" s="605"/>
      <c r="M44" s="605"/>
      <c r="N44" s="605"/>
      <c r="O44" s="605"/>
      <c r="P44" s="605"/>
      <c r="Q44" s="605"/>
      <c r="R44" s="605"/>
      <c r="S44" s="605"/>
      <c r="T44" s="605"/>
      <c r="U44" s="605"/>
      <c r="V44" s="605"/>
      <c r="W44" s="605"/>
      <c r="X44" s="605"/>
      <c r="Y44" s="605"/>
      <c r="Z44" s="533" t="str">
        <f t="shared" si="6"/>
        <v/>
      </c>
      <c r="AA44" s="533" t="str">
        <f t="shared" si="7"/>
        <v/>
      </c>
      <c r="AB44" s="533" t="str">
        <f t="shared" si="8"/>
        <v/>
      </c>
      <c r="AC44" s="533" t="str">
        <f t="shared" si="9"/>
        <v/>
      </c>
      <c r="AD44" s="533" t="str">
        <f t="shared" si="10"/>
        <v/>
      </c>
      <c r="AE44" s="533" t="str">
        <f t="shared" si="11"/>
        <v/>
      </c>
      <c r="AF44" s="533" t="str">
        <f t="shared" si="12"/>
        <v/>
      </c>
      <c r="AG44" s="533" t="str">
        <f t="shared" si="13"/>
        <v/>
      </c>
      <c r="AH44" s="533" t="str">
        <f t="shared" si="14"/>
        <v/>
      </c>
      <c r="AI44" s="533" t="str">
        <f t="shared" si="15"/>
        <v/>
      </c>
      <c r="AJ44" s="533" t="str">
        <f t="shared" si="16"/>
        <v/>
      </c>
      <c r="AK44" s="533" t="str">
        <f t="shared" si="17"/>
        <v/>
      </c>
      <c r="AL44" s="533" t="str">
        <f t="shared" si="18"/>
        <v/>
      </c>
      <c r="AM44" s="533" t="str">
        <f t="shared" si="19"/>
        <v/>
      </c>
      <c r="AN44" s="533" t="str">
        <f t="shared" si="20"/>
        <v/>
      </c>
      <c r="AO44" s="533" t="str">
        <f t="shared" si="21"/>
        <v/>
      </c>
      <c r="AP44" s="302" t="e">
        <f t="shared" si="22"/>
        <v>#DIV/0!</v>
      </c>
      <c r="AQ44" s="303" t="e">
        <f>IF(AP44&gt;KKM!$G$10,"A",IF(AP44&gt;KKM!$H$10,"B",IF(AP44&gt;=KKM!$I$10,"C","D")))</f>
        <v>#DIV/0!</v>
      </c>
      <c r="AR44" s="304">
        <f t="shared" si="1"/>
        <v>0</v>
      </c>
      <c r="AS44" s="309" t="str">
        <f>IF(AR44&gt;KKM!$G$10," sangat baik ",IF(AR44&gt;KKM!$H$10," baik ",IF(AR44&gt;=KKM!$I$10," cukup baik "," perlu bimbingan ")))</f>
        <v xml:space="preserve"> perlu bimbingan </v>
      </c>
      <c r="AT44" s="305">
        <f t="shared" si="2"/>
        <v>0</v>
      </c>
      <c r="AU44" s="309" t="str">
        <f>IF(AT44&gt;KKM!$G$10," sangat baik ",IF(AT44&gt;KKM!$H$10," baik ",IF(AT44&gt;=KKM!$I$10," cukup baik "," perlu bimbingan ")))</f>
        <v xml:space="preserve"> perlu bimbingan </v>
      </c>
      <c r="AV44" s="301" t="str">
        <f t="shared" si="23"/>
        <v xml:space="preserve"> </v>
      </c>
      <c r="AW44" s="218"/>
      <c r="AX44" s="219" t="e">
        <f t="shared" si="3"/>
        <v>#N/A</v>
      </c>
      <c r="AY44" s="219" t="e">
        <f t="shared" si="4"/>
        <v>#N/A</v>
      </c>
      <c r="AZ44" s="219" t="e">
        <f t="shared" si="24"/>
        <v>#N/A</v>
      </c>
      <c r="BA44" s="219" t="e">
        <f t="shared" si="25"/>
        <v>#N/A</v>
      </c>
      <c r="BB44" s="220" t="e">
        <f t="shared" si="26"/>
        <v>#N/A</v>
      </c>
      <c r="BC44" s="214" t="e">
        <f t="shared" si="28"/>
        <v>#N/A</v>
      </c>
      <c r="BL44" s="408" t="str">
        <f t="shared" si="27"/>
        <v/>
      </c>
    </row>
    <row r="45" spans="2:64" ht="80.25" customHeight="1">
      <c r="B45" s="109">
        <v>41</v>
      </c>
      <c r="C45" s="110">
        <f>SISWA!B46</f>
        <v>0</v>
      </c>
      <c r="D45" s="111" t="str">
        <f>SISWA!E46</f>
        <v>Anak 41</v>
      </c>
      <c r="E45" s="605"/>
      <c r="F45" s="605"/>
      <c r="G45" s="605"/>
      <c r="H45" s="605"/>
      <c r="I45" s="605"/>
      <c r="J45" s="605"/>
      <c r="K45" s="605"/>
      <c r="L45" s="605"/>
      <c r="M45" s="605"/>
      <c r="N45" s="605"/>
      <c r="O45" s="605"/>
      <c r="P45" s="605"/>
      <c r="Q45" s="605"/>
      <c r="R45" s="605"/>
      <c r="S45" s="605"/>
      <c r="T45" s="605"/>
      <c r="U45" s="605"/>
      <c r="V45" s="605"/>
      <c r="W45" s="605"/>
      <c r="X45" s="605"/>
      <c r="Y45" s="605"/>
      <c r="Z45" s="533" t="str">
        <f t="shared" si="6"/>
        <v/>
      </c>
      <c r="AA45" s="533" t="str">
        <f t="shared" si="7"/>
        <v/>
      </c>
      <c r="AB45" s="533" t="str">
        <f t="shared" si="8"/>
        <v/>
      </c>
      <c r="AC45" s="533" t="str">
        <f t="shared" si="9"/>
        <v/>
      </c>
      <c r="AD45" s="533" t="str">
        <f t="shared" si="10"/>
        <v/>
      </c>
      <c r="AE45" s="533" t="str">
        <f t="shared" si="11"/>
        <v/>
      </c>
      <c r="AF45" s="533" t="str">
        <f t="shared" si="12"/>
        <v/>
      </c>
      <c r="AG45" s="533" t="str">
        <f t="shared" si="13"/>
        <v/>
      </c>
      <c r="AH45" s="533" t="str">
        <f t="shared" si="14"/>
        <v/>
      </c>
      <c r="AI45" s="533" t="str">
        <f t="shared" si="15"/>
        <v/>
      </c>
      <c r="AJ45" s="533" t="str">
        <f t="shared" si="16"/>
        <v/>
      </c>
      <c r="AK45" s="533" t="str">
        <f t="shared" si="17"/>
        <v/>
      </c>
      <c r="AL45" s="533" t="str">
        <f t="shared" si="18"/>
        <v/>
      </c>
      <c r="AM45" s="533" t="str">
        <f t="shared" si="19"/>
        <v/>
      </c>
      <c r="AN45" s="533" t="str">
        <f t="shared" si="20"/>
        <v/>
      </c>
      <c r="AO45" s="533" t="str">
        <f t="shared" si="21"/>
        <v/>
      </c>
      <c r="AP45" s="302" t="e">
        <f t="shared" si="22"/>
        <v>#DIV/0!</v>
      </c>
      <c r="AQ45" s="303" t="e">
        <f>IF(AP45&gt;KKM!$G$10,"A",IF(AP45&gt;KKM!$H$10,"B",IF(AP45&gt;=KKM!$I$10,"C","D")))</f>
        <v>#DIV/0!</v>
      </c>
      <c r="AR45" s="304">
        <f t="shared" si="1"/>
        <v>0</v>
      </c>
      <c r="AS45" s="309" t="str">
        <f>IF(AR45&gt;KKM!$G$10," sangat baik ",IF(AR45&gt;KKM!$H$10," baik ",IF(AR45&gt;=KKM!$I$10," cukup baik "," perlu bimbingan ")))</f>
        <v xml:space="preserve"> perlu bimbingan </v>
      </c>
      <c r="AT45" s="305">
        <f t="shared" si="2"/>
        <v>0</v>
      </c>
      <c r="AU45" s="309" t="str">
        <f>IF(AT45&gt;KKM!$G$10," sangat baik ",IF(AT45&gt;KKM!$H$10," baik ",IF(AT45&gt;=KKM!$I$10," cukup baik "," perlu bimbingan ")))</f>
        <v xml:space="preserve"> perlu bimbingan </v>
      </c>
      <c r="AV45" s="301" t="str">
        <f t="shared" si="23"/>
        <v xml:space="preserve"> </v>
      </c>
      <c r="AW45" s="218"/>
      <c r="AX45" s="219" t="e">
        <f t="shared" si="3"/>
        <v>#N/A</v>
      </c>
      <c r="AY45" s="219" t="e">
        <f t="shared" si="4"/>
        <v>#N/A</v>
      </c>
      <c r="AZ45" s="219" t="e">
        <f t="shared" si="24"/>
        <v>#N/A</v>
      </c>
      <c r="BA45" s="219" t="e">
        <f t="shared" si="25"/>
        <v>#N/A</v>
      </c>
      <c r="BB45" s="220" t="e">
        <f t="shared" si="26"/>
        <v>#N/A</v>
      </c>
      <c r="BC45" s="214" t="e">
        <f t="shared" si="28"/>
        <v>#N/A</v>
      </c>
      <c r="BL45" s="408" t="str">
        <f t="shared" si="27"/>
        <v/>
      </c>
    </row>
    <row r="46" spans="2:64" ht="80.25" customHeight="1">
      <c r="B46" s="109">
        <v>42</v>
      </c>
      <c r="C46" s="110">
        <f>SISWA!B47</f>
        <v>0</v>
      </c>
      <c r="D46" s="111" t="str">
        <f>SISWA!E47</f>
        <v>Anak 42</v>
      </c>
      <c r="E46" s="605"/>
      <c r="F46" s="605"/>
      <c r="G46" s="605"/>
      <c r="H46" s="605"/>
      <c r="I46" s="605"/>
      <c r="J46" s="605"/>
      <c r="K46" s="605"/>
      <c r="L46" s="605"/>
      <c r="M46" s="605"/>
      <c r="N46" s="605"/>
      <c r="O46" s="605"/>
      <c r="P46" s="605"/>
      <c r="Q46" s="605"/>
      <c r="R46" s="605"/>
      <c r="S46" s="605"/>
      <c r="T46" s="605"/>
      <c r="U46" s="605"/>
      <c r="V46" s="605"/>
      <c r="W46" s="605"/>
      <c r="X46" s="605"/>
      <c r="Y46" s="605"/>
      <c r="Z46" s="533" t="str">
        <f t="shared" si="6"/>
        <v/>
      </c>
      <c r="AA46" s="533" t="str">
        <f t="shared" si="7"/>
        <v/>
      </c>
      <c r="AB46" s="533" t="str">
        <f t="shared" si="8"/>
        <v/>
      </c>
      <c r="AC46" s="533" t="str">
        <f t="shared" si="9"/>
        <v/>
      </c>
      <c r="AD46" s="533" t="str">
        <f t="shared" si="10"/>
        <v/>
      </c>
      <c r="AE46" s="533" t="str">
        <f t="shared" si="11"/>
        <v/>
      </c>
      <c r="AF46" s="533" t="str">
        <f t="shared" si="12"/>
        <v/>
      </c>
      <c r="AG46" s="533" t="str">
        <f t="shared" si="13"/>
        <v/>
      </c>
      <c r="AH46" s="533" t="str">
        <f t="shared" si="14"/>
        <v/>
      </c>
      <c r="AI46" s="533" t="str">
        <f t="shared" si="15"/>
        <v/>
      </c>
      <c r="AJ46" s="533" t="str">
        <f t="shared" si="16"/>
        <v/>
      </c>
      <c r="AK46" s="533" t="str">
        <f t="shared" si="17"/>
        <v/>
      </c>
      <c r="AL46" s="533" t="str">
        <f t="shared" si="18"/>
        <v/>
      </c>
      <c r="AM46" s="533" t="str">
        <f t="shared" si="19"/>
        <v/>
      </c>
      <c r="AN46" s="533" t="str">
        <f t="shared" si="20"/>
        <v/>
      </c>
      <c r="AO46" s="533" t="str">
        <f t="shared" si="21"/>
        <v/>
      </c>
      <c r="AP46" s="302" t="e">
        <f t="shared" si="22"/>
        <v>#DIV/0!</v>
      </c>
      <c r="AQ46" s="303" t="e">
        <f>IF(AP46&gt;KKM!$G$10,"A",IF(AP46&gt;KKM!$H$10,"B",IF(AP46&gt;=KKM!$I$10,"C","D")))</f>
        <v>#DIV/0!</v>
      </c>
      <c r="AR46" s="304">
        <f t="shared" si="1"/>
        <v>0</v>
      </c>
      <c r="AS46" s="309" t="str">
        <f>IF(AR46&gt;KKM!$G$10," sangat baik ",IF(AR46&gt;KKM!$H$10," baik ",IF(AR46&gt;=KKM!$I$10," cukup baik "," perlu bimbingan ")))</f>
        <v xml:space="preserve"> perlu bimbingan </v>
      </c>
      <c r="AT46" s="305">
        <f t="shared" si="2"/>
        <v>0</v>
      </c>
      <c r="AU46" s="309" t="str">
        <f>IF(AT46&gt;KKM!$G$10," sangat baik ",IF(AT46&gt;KKM!$H$10," baik ",IF(AT46&gt;=KKM!$I$10," cukup baik "," perlu bimbingan ")))</f>
        <v xml:space="preserve"> perlu bimbingan </v>
      </c>
      <c r="AV46" s="301" t="str">
        <f t="shared" si="23"/>
        <v xml:space="preserve"> </v>
      </c>
      <c r="AW46" s="218"/>
      <c r="AX46" s="219" t="e">
        <f t="shared" si="3"/>
        <v>#N/A</v>
      </c>
      <c r="AY46" s="219" t="e">
        <f t="shared" si="4"/>
        <v>#N/A</v>
      </c>
      <c r="AZ46" s="219" t="e">
        <f t="shared" si="24"/>
        <v>#N/A</v>
      </c>
      <c r="BA46" s="219" t="e">
        <f t="shared" si="25"/>
        <v>#N/A</v>
      </c>
      <c r="BB46" s="220" t="e">
        <f t="shared" si="26"/>
        <v>#N/A</v>
      </c>
      <c r="BC46" s="214" t="e">
        <f t="shared" si="28"/>
        <v>#N/A</v>
      </c>
      <c r="BL46" s="408" t="str">
        <f t="shared" si="27"/>
        <v/>
      </c>
    </row>
    <row r="47" spans="2:64" ht="80.25" customHeight="1">
      <c r="B47" s="109">
        <v>43</v>
      </c>
      <c r="C47" s="110">
        <f>SISWA!B48</f>
        <v>0</v>
      </c>
      <c r="D47" s="111" t="str">
        <f>SISWA!E48</f>
        <v>Anak 43</v>
      </c>
      <c r="E47" s="605"/>
      <c r="F47" s="605"/>
      <c r="G47" s="605"/>
      <c r="H47" s="605"/>
      <c r="I47" s="605"/>
      <c r="J47" s="605"/>
      <c r="K47" s="605"/>
      <c r="L47" s="605"/>
      <c r="M47" s="605"/>
      <c r="N47" s="605"/>
      <c r="O47" s="605"/>
      <c r="P47" s="605"/>
      <c r="Q47" s="605"/>
      <c r="R47" s="605"/>
      <c r="S47" s="605"/>
      <c r="T47" s="605"/>
      <c r="U47" s="605"/>
      <c r="V47" s="605"/>
      <c r="W47" s="605"/>
      <c r="X47" s="605"/>
      <c r="Y47" s="605"/>
      <c r="Z47" s="533" t="str">
        <f t="shared" si="6"/>
        <v/>
      </c>
      <c r="AA47" s="533" t="str">
        <f t="shared" si="7"/>
        <v/>
      </c>
      <c r="AB47" s="533" t="str">
        <f t="shared" si="8"/>
        <v/>
      </c>
      <c r="AC47" s="533" t="str">
        <f t="shared" si="9"/>
        <v/>
      </c>
      <c r="AD47" s="533" t="str">
        <f t="shared" si="10"/>
        <v/>
      </c>
      <c r="AE47" s="533" t="str">
        <f t="shared" si="11"/>
        <v/>
      </c>
      <c r="AF47" s="533" t="str">
        <f t="shared" si="12"/>
        <v/>
      </c>
      <c r="AG47" s="533" t="str">
        <f t="shared" si="13"/>
        <v/>
      </c>
      <c r="AH47" s="533" t="str">
        <f t="shared" si="14"/>
        <v/>
      </c>
      <c r="AI47" s="533" t="str">
        <f t="shared" si="15"/>
        <v/>
      </c>
      <c r="AJ47" s="533" t="str">
        <f t="shared" si="16"/>
        <v/>
      </c>
      <c r="AK47" s="533" t="str">
        <f t="shared" si="17"/>
        <v/>
      </c>
      <c r="AL47" s="533" t="str">
        <f t="shared" si="18"/>
        <v/>
      </c>
      <c r="AM47" s="533" t="str">
        <f t="shared" si="19"/>
        <v/>
      </c>
      <c r="AN47" s="533" t="str">
        <f t="shared" si="20"/>
        <v/>
      </c>
      <c r="AO47" s="533" t="str">
        <f t="shared" si="21"/>
        <v/>
      </c>
      <c r="AP47" s="302" t="e">
        <f t="shared" si="22"/>
        <v>#DIV/0!</v>
      </c>
      <c r="AQ47" s="303" t="e">
        <f>IF(AP47&gt;KKM!$G$10,"A",IF(AP47&gt;KKM!$H$10,"B",IF(AP47&gt;=KKM!$I$10,"C","D")))</f>
        <v>#DIV/0!</v>
      </c>
      <c r="AR47" s="304">
        <f t="shared" si="1"/>
        <v>0</v>
      </c>
      <c r="AS47" s="309" t="str">
        <f>IF(AR47&gt;KKM!$G$10," sangat baik ",IF(AR47&gt;KKM!$H$10," baik ",IF(AR47&gt;=KKM!$I$10," cukup baik "," perlu bimbingan ")))</f>
        <v xml:space="preserve"> perlu bimbingan </v>
      </c>
      <c r="AT47" s="305">
        <f t="shared" si="2"/>
        <v>0</v>
      </c>
      <c r="AU47" s="309" t="str">
        <f>IF(AT47&gt;KKM!$G$10," sangat baik ",IF(AT47&gt;KKM!$H$10," baik ",IF(AT47&gt;=KKM!$I$10," cukup baik "," perlu bimbingan ")))</f>
        <v xml:space="preserve"> perlu bimbingan </v>
      </c>
      <c r="AV47" s="301" t="str">
        <f t="shared" si="23"/>
        <v xml:space="preserve"> </v>
      </c>
      <c r="AW47" s="218"/>
      <c r="AX47" s="219" t="e">
        <f t="shared" si="3"/>
        <v>#N/A</v>
      </c>
      <c r="AY47" s="219" t="e">
        <f t="shared" si="4"/>
        <v>#N/A</v>
      </c>
      <c r="AZ47" s="219" t="e">
        <f t="shared" si="24"/>
        <v>#N/A</v>
      </c>
      <c r="BA47" s="219" t="e">
        <f t="shared" si="25"/>
        <v>#N/A</v>
      </c>
      <c r="BB47" s="220" t="e">
        <f t="shared" si="26"/>
        <v>#N/A</v>
      </c>
      <c r="BC47" s="214" t="e">
        <f t="shared" si="28"/>
        <v>#N/A</v>
      </c>
      <c r="BL47" s="408" t="str">
        <f t="shared" si="27"/>
        <v/>
      </c>
    </row>
    <row r="48" spans="2:64" ht="80.25" customHeight="1">
      <c r="B48" s="109">
        <v>44</v>
      </c>
      <c r="C48" s="110">
        <f>SISWA!B49</f>
        <v>0</v>
      </c>
      <c r="D48" s="111" t="str">
        <f>SISWA!E49</f>
        <v>Anak 44</v>
      </c>
      <c r="E48" s="605"/>
      <c r="F48" s="605"/>
      <c r="G48" s="605"/>
      <c r="H48" s="605"/>
      <c r="I48" s="605"/>
      <c r="J48" s="605"/>
      <c r="K48" s="605"/>
      <c r="L48" s="605"/>
      <c r="M48" s="605"/>
      <c r="N48" s="605"/>
      <c r="O48" s="605"/>
      <c r="P48" s="605"/>
      <c r="Q48" s="605"/>
      <c r="R48" s="605"/>
      <c r="S48" s="605"/>
      <c r="T48" s="605"/>
      <c r="U48" s="605"/>
      <c r="V48" s="605"/>
      <c r="W48" s="605"/>
      <c r="X48" s="605"/>
      <c r="Y48" s="605"/>
      <c r="Z48" s="533" t="str">
        <f t="shared" si="6"/>
        <v/>
      </c>
      <c r="AA48" s="533" t="str">
        <f t="shared" si="7"/>
        <v/>
      </c>
      <c r="AB48" s="533" t="str">
        <f t="shared" si="8"/>
        <v/>
      </c>
      <c r="AC48" s="533" t="str">
        <f t="shared" si="9"/>
        <v/>
      </c>
      <c r="AD48" s="533" t="str">
        <f t="shared" si="10"/>
        <v/>
      </c>
      <c r="AE48" s="533" t="str">
        <f t="shared" si="11"/>
        <v/>
      </c>
      <c r="AF48" s="533" t="str">
        <f t="shared" si="12"/>
        <v/>
      </c>
      <c r="AG48" s="533" t="str">
        <f t="shared" si="13"/>
        <v/>
      </c>
      <c r="AH48" s="533" t="str">
        <f t="shared" si="14"/>
        <v/>
      </c>
      <c r="AI48" s="533" t="str">
        <f t="shared" si="15"/>
        <v/>
      </c>
      <c r="AJ48" s="533" t="str">
        <f t="shared" si="16"/>
        <v/>
      </c>
      <c r="AK48" s="533" t="str">
        <f t="shared" si="17"/>
        <v/>
      </c>
      <c r="AL48" s="533" t="str">
        <f t="shared" si="18"/>
        <v/>
      </c>
      <c r="AM48" s="533" t="str">
        <f t="shared" si="19"/>
        <v/>
      </c>
      <c r="AN48" s="533" t="str">
        <f t="shared" si="20"/>
        <v/>
      </c>
      <c r="AO48" s="533" t="str">
        <f t="shared" si="21"/>
        <v/>
      </c>
      <c r="AP48" s="302" t="e">
        <f t="shared" si="22"/>
        <v>#DIV/0!</v>
      </c>
      <c r="AQ48" s="303" t="e">
        <f>IF(AP48&gt;KKM!$G$10,"A",IF(AP48&gt;KKM!$H$10,"B",IF(AP48&gt;=KKM!$I$10,"C","D")))</f>
        <v>#DIV/0!</v>
      </c>
      <c r="AR48" s="304">
        <f t="shared" si="1"/>
        <v>0</v>
      </c>
      <c r="AS48" s="309" t="str">
        <f>IF(AR48&gt;KKM!$G$10," sangat baik ",IF(AR48&gt;KKM!$H$10," baik ",IF(AR48&gt;=KKM!$I$10," cukup baik "," perlu bimbingan ")))</f>
        <v xml:space="preserve"> perlu bimbingan </v>
      </c>
      <c r="AT48" s="305">
        <f t="shared" si="2"/>
        <v>0</v>
      </c>
      <c r="AU48" s="309" t="str">
        <f>IF(AT48&gt;KKM!$G$10," sangat baik ",IF(AT48&gt;KKM!$H$10," baik ",IF(AT48&gt;=KKM!$I$10," cukup baik "," perlu bimbingan ")))</f>
        <v xml:space="preserve"> perlu bimbingan </v>
      </c>
      <c r="AV48" s="301" t="str">
        <f t="shared" si="23"/>
        <v xml:space="preserve"> </v>
      </c>
      <c r="AW48" s="218"/>
      <c r="AX48" s="219" t="e">
        <f t="shared" si="3"/>
        <v>#N/A</v>
      </c>
      <c r="AY48" s="219" t="e">
        <f t="shared" si="4"/>
        <v>#N/A</v>
      </c>
      <c r="AZ48" s="219" t="e">
        <f t="shared" si="24"/>
        <v>#N/A</v>
      </c>
      <c r="BA48" s="219" t="e">
        <f t="shared" si="25"/>
        <v>#N/A</v>
      </c>
      <c r="BB48" s="220" t="e">
        <f t="shared" si="26"/>
        <v>#N/A</v>
      </c>
      <c r="BC48" s="214" t="e">
        <f t="shared" si="28"/>
        <v>#N/A</v>
      </c>
      <c r="BL48" s="408" t="str">
        <f t="shared" si="27"/>
        <v/>
      </c>
    </row>
    <row r="49" spans="2:64" ht="80.25" customHeight="1">
      <c r="B49" s="109">
        <v>45</v>
      </c>
      <c r="C49" s="110">
        <f>SISWA!B50</f>
        <v>0</v>
      </c>
      <c r="D49" s="111" t="str">
        <f>SISWA!E50</f>
        <v>Anak 45</v>
      </c>
      <c r="E49" s="605"/>
      <c r="F49" s="605"/>
      <c r="G49" s="605"/>
      <c r="H49" s="605"/>
      <c r="I49" s="605"/>
      <c r="J49" s="605"/>
      <c r="K49" s="605"/>
      <c r="L49" s="605"/>
      <c r="M49" s="605"/>
      <c r="N49" s="605"/>
      <c r="O49" s="605"/>
      <c r="P49" s="605"/>
      <c r="Q49" s="605"/>
      <c r="R49" s="605"/>
      <c r="S49" s="605"/>
      <c r="T49" s="605"/>
      <c r="U49" s="605"/>
      <c r="V49" s="605"/>
      <c r="W49" s="605"/>
      <c r="X49" s="605"/>
      <c r="Y49" s="605"/>
      <c r="Z49" s="533" t="str">
        <f t="shared" si="6"/>
        <v/>
      </c>
      <c r="AA49" s="533" t="str">
        <f t="shared" si="7"/>
        <v/>
      </c>
      <c r="AB49" s="533" t="str">
        <f t="shared" si="8"/>
        <v/>
      </c>
      <c r="AC49" s="533" t="str">
        <f t="shared" si="9"/>
        <v/>
      </c>
      <c r="AD49" s="533" t="str">
        <f t="shared" si="10"/>
        <v/>
      </c>
      <c r="AE49" s="533" t="str">
        <f t="shared" si="11"/>
        <v/>
      </c>
      <c r="AF49" s="533" t="str">
        <f t="shared" si="12"/>
        <v/>
      </c>
      <c r="AG49" s="533" t="str">
        <f t="shared" si="13"/>
        <v/>
      </c>
      <c r="AH49" s="533" t="str">
        <f t="shared" si="14"/>
        <v/>
      </c>
      <c r="AI49" s="533" t="str">
        <f t="shared" si="15"/>
        <v/>
      </c>
      <c r="AJ49" s="533" t="str">
        <f t="shared" si="16"/>
        <v/>
      </c>
      <c r="AK49" s="533" t="str">
        <f t="shared" si="17"/>
        <v/>
      </c>
      <c r="AL49" s="533" t="str">
        <f t="shared" si="18"/>
        <v/>
      </c>
      <c r="AM49" s="533" t="str">
        <f t="shared" si="19"/>
        <v/>
      </c>
      <c r="AN49" s="533" t="str">
        <f t="shared" si="20"/>
        <v/>
      </c>
      <c r="AO49" s="533" t="str">
        <f t="shared" si="21"/>
        <v/>
      </c>
      <c r="AP49" s="302" t="e">
        <f t="shared" si="22"/>
        <v>#DIV/0!</v>
      </c>
      <c r="AQ49" s="303" t="e">
        <f>IF(AP49&gt;KKM!$G$10,"A",IF(AP49&gt;KKM!$H$10,"B",IF(AP49&gt;=KKM!$I$10,"C","D")))</f>
        <v>#DIV/0!</v>
      </c>
      <c r="AR49" s="304">
        <f t="shared" si="1"/>
        <v>0</v>
      </c>
      <c r="AS49" s="309" t="str">
        <f>IF(AR49&gt;KKM!$G$10," sangat baik ",IF(AR49&gt;KKM!$H$10," baik ",IF(AR49&gt;=KKM!$I$10," cukup baik "," perlu bimbingan ")))</f>
        <v xml:space="preserve"> perlu bimbingan </v>
      </c>
      <c r="AT49" s="305">
        <f t="shared" si="2"/>
        <v>0</v>
      </c>
      <c r="AU49" s="309" t="str">
        <f>IF(AT49&gt;KKM!$G$10," sangat baik ",IF(AT49&gt;KKM!$H$10," baik ",IF(AT49&gt;=KKM!$I$10," cukup baik "," perlu bimbingan ")))</f>
        <v xml:space="preserve"> perlu bimbingan </v>
      </c>
      <c r="AV49" s="301" t="str">
        <f t="shared" si="23"/>
        <v xml:space="preserve"> </v>
      </c>
      <c r="AW49" s="218"/>
      <c r="AX49" s="219" t="e">
        <f t="shared" si="3"/>
        <v>#N/A</v>
      </c>
      <c r="AY49" s="219" t="e">
        <f t="shared" si="4"/>
        <v>#N/A</v>
      </c>
      <c r="AZ49" s="219" t="e">
        <f t="shared" si="24"/>
        <v>#N/A</v>
      </c>
      <c r="BA49" s="219" t="e">
        <f t="shared" si="25"/>
        <v>#N/A</v>
      </c>
      <c r="BB49" s="220" t="e">
        <f t="shared" si="26"/>
        <v>#N/A</v>
      </c>
      <c r="BC49" s="214" t="e">
        <f t="shared" si="28"/>
        <v>#N/A</v>
      </c>
      <c r="BL49" s="408" t="str">
        <f t="shared" si="27"/>
        <v/>
      </c>
    </row>
    <row r="50" spans="2:64" ht="80.25" customHeight="1">
      <c r="B50" s="109">
        <v>46</v>
      </c>
      <c r="C50" s="110">
        <f>SISWA!B51</f>
        <v>0</v>
      </c>
      <c r="D50" s="111" t="str">
        <f>SISWA!E51</f>
        <v>Anak 46</v>
      </c>
      <c r="E50" s="605"/>
      <c r="F50" s="605"/>
      <c r="G50" s="605"/>
      <c r="H50" s="605"/>
      <c r="I50" s="605"/>
      <c r="J50" s="605"/>
      <c r="K50" s="605"/>
      <c r="L50" s="605"/>
      <c r="M50" s="605"/>
      <c r="N50" s="605"/>
      <c r="O50" s="605"/>
      <c r="P50" s="605"/>
      <c r="Q50" s="605"/>
      <c r="R50" s="605"/>
      <c r="S50" s="605"/>
      <c r="T50" s="605"/>
      <c r="U50" s="605"/>
      <c r="V50" s="605"/>
      <c r="W50" s="605"/>
      <c r="X50" s="605"/>
      <c r="Y50" s="605"/>
      <c r="Z50" s="533" t="str">
        <f t="shared" si="6"/>
        <v/>
      </c>
      <c r="AA50" s="533" t="str">
        <f t="shared" si="7"/>
        <v/>
      </c>
      <c r="AB50" s="533" t="str">
        <f t="shared" si="8"/>
        <v/>
      </c>
      <c r="AC50" s="533" t="str">
        <f t="shared" si="9"/>
        <v/>
      </c>
      <c r="AD50" s="533" t="str">
        <f t="shared" si="10"/>
        <v/>
      </c>
      <c r="AE50" s="533" t="str">
        <f t="shared" si="11"/>
        <v/>
      </c>
      <c r="AF50" s="533" t="str">
        <f t="shared" si="12"/>
        <v/>
      </c>
      <c r="AG50" s="533" t="str">
        <f t="shared" si="13"/>
        <v/>
      </c>
      <c r="AH50" s="533" t="str">
        <f t="shared" si="14"/>
        <v/>
      </c>
      <c r="AI50" s="533" t="str">
        <f t="shared" si="15"/>
        <v/>
      </c>
      <c r="AJ50" s="533" t="str">
        <f t="shared" si="16"/>
        <v/>
      </c>
      <c r="AK50" s="533" t="str">
        <f t="shared" si="17"/>
        <v/>
      </c>
      <c r="AL50" s="533" t="str">
        <f t="shared" si="18"/>
        <v/>
      </c>
      <c r="AM50" s="533" t="str">
        <f t="shared" si="19"/>
        <v/>
      </c>
      <c r="AN50" s="533" t="str">
        <f t="shared" si="20"/>
        <v/>
      </c>
      <c r="AO50" s="533" t="str">
        <f t="shared" si="21"/>
        <v/>
      </c>
      <c r="AP50" s="302" t="e">
        <f t="shared" si="22"/>
        <v>#DIV/0!</v>
      </c>
      <c r="AQ50" s="303" t="e">
        <f>IF(AP50&gt;KKM!$G$10,"A",IF(AP50&gt;KKM!$H$10,"B",IF(AP50&gt;=KKM!$I$10,"C","D")))</f>
        <v>#DIV/0!</v>
      </c>
      <c r="AR50" s="304">
        <f t="shared" si="1"/>
        <v>0</v>
      </c>
      <c r="AS50" s="309" t="str">
        <f>IF(AR50&gt;KKM!$G$10," sangat baik ",IF(AR50&gt;KKM!$H$10," baik ",IF(AR50&gt;=KKM!$I$10," cukup baik "," perlu bimbingan ")))</f>
        <v xml:space="preserve"> perlu bimbingan </v>
      </c>
      <c r="AT50" s="305">
        <f t="shared" si="2"/>
        <v>0</v>
      </c>
      <c r="AU50" s="309" t="str">
        <f>IF(AT50&gt;KKM!$G$10," sangat baik ",IF(AT50&gt;KKM!$H$10," baik ",IF(AT50&gt;=KKM!$I$10," cukup baik "," perlu bimbingan ")))</f>
        <v xml:space="preserve"> perlu bimbingan </v>
      </c>
      <c r="AV50" s="301" t="str">
        <f t="shared" si="23"/>
        <v xml:space="preserve"> </v>
      </c>
      <c r="AW50" s="218"/>
      <c r="AX50" s="219" t="e">
        <f t="shared" si="3"/>
        <v>#N/A</v>
      </c>
      <c r="AY50" s="219" t="e">
        <f t="shared" si="4"/>
        <v>#N/A</v>
      </c>
      <c r="AZ50" s="219" t="e">
        <f t="shared" si="24"/>
        <v>#N/A</v>
      </c>
      <c r="BA50" s="219" t="e">
        <f t="shared" si="25"/>
        <v>#N/A</v>
      </c>
      <c r="BB50" s="220" t="e">
        <f t="shared" si="26"/>
        <v>#N/A</v>
      </c>
      <c r="BC50" s="214" t="e">
        <f t="shared" si="28"/>
        <v>#N/A</v>
      </c>
      <c r="BL50" s="408" t="str">
        <f t="shared" si="27"/>
        <v/>
      </c>
    </row>
    <row r="51" spans="2:64" ht="80.25" customHeight="1">
      <c r="B51" s="109">
        <v>47</v>
      </c>
      <c r="C51" s="110">
        <f>SISWA!B52</f>
        <v>0</v>
      </c>
      <c r="D51" s="111" t="str">
        <f>SISWA!E52</f>
        <v>Anak 47</v>
      </c>
      <c r="E51" s="605"/>
      <c r="F51" s="605"/>
      <c r="G51" s="605"/>
      <c r="H51" s="605"/>
      <c r="I51" s="605"/>
      <c r="J51" s="605"/>
      <c r="K51" s="605"/>
      <c r="L51" s="605"/>
      <c r="M51" s="605"/>
      <c r="N51" s="605"/>
      <c r="O51" s="605"/>
      <c r="P51" s="605"/>
      <c r="Q51" s="605"/>
      <c r="R51" s="605"/>
      <c r="S51" s="605"/>
      <c r="T51" s="605"/>
      <c r="U51" s="605"/>
      <c r="V51" s="605"/>
      <c r="W51" s="605"/>
      <c r="X51" s="605"/>
      <c r="Y51" s="605"/>
      <c r="Z51" s="533" t="str">
        <f t="shared" si="6"/>
        <v/>
      </c>
      <c r="AA51" s="533" t="str">
        <f t="shared" si="7"/>
        <v/>
      </c>
      <c r="AB51" s="533" t="str">
        <f t="shared" si="8"/>
        <v/>
      </c>
      <c r="AC51" s="533" t="str">
        <f t="shared" si="9"/>
        <v/>
      </c>
      <c r="AD51" s="533" t="str">
        <f t="shared" si="10"/>
        <v/>
      </c>
      <c r="AE51" s="533" t="str">
        <f t="shared" si="11"/>
        <v/>
      </c>
      <c r="AF51" s="533" t="str">
        <f t="shared" si="12"/>
        <v/>
      </c>
      <c r="AG51" s="533" t="str">
        <f t="shared" si="13"/>
        <v/>
      </c>
      <c r="AH51" s="533" t="str">
        <f t="shared" si="14"/>
        <v/>
      </c>
      <c r="AI51" s="533" t="str">
        <f t="shared" si="15"/>
        <v/>
      </c>
      <c r="AJ51" s="533" t="str">
        <f t="shared" si="16"/>
        <v/>
      </c>
      <c r="AK51" s="533" t="str">
        <f t="shared" si="17"/>
        <v/>
      </c>
      <c r="AL51" s="533" t="str">
        <f t="shared" si="18"/>
        <v/>
      </c>
      <c r="AM51" s="533" t="str">
        <f t="shared" si="19"/>
        <v/>
      </c>
      <c r="AN51" s="533" t="str">
        <f t="shared" si="20"/>
        <v/>
      </c>
      <c r="AO51" s="533" t="str">
        <f t="shared" si="21"/>
        <v/>
      </c>
      <c r="AP51" s="302" t="e">
        <f t="shared" si="22"/>
        <v>#DIV/0!</v>
      </c>
      <c r="AQ51" s="303" t="e">
        <f>IF(AP51&gt;KKM!$G$10,"A",IF(AP51&gt;KKM!$H$10,"B",IF(AP51&gt;=KKM!$I$10,"C","D")))</f>
        <v>#DIV/0!</v>
      </c>
      <c r="AR51" s="304">
        <f t="shared" si="1"/>
        <v>0</v>
      </c>
      <c r="AS51" s="309" t="str">
        <f>IF(AR51&gt;KKM!$G$10," sangat baik ",IF(AR51&gt;KKM!$H$10," baik ",IF(AR51&gt;=KKM!$I$10," cukup baik "," perlu bimbingan ")))</f>
        <v xml:space="preserve"> perlu bimbingan </v>
      </c>
      <c r="AT51" s="305">
        <f t="shared" si="2"/>
        <v>0</v>
      </c>
      <c r="AU51" s="309" t="str">
        <f>IF(AT51&gt;KKM!$G$10," sangat baik ",IF(AT51&gt;KKM!$H$10," baik ",IF(AT51&gt;=KKM!$I$10," cukup baik "," perlu bimbingan ")))</f>
        <v xml:space="preserve"> perlu bimbingan </v>
      </c>
      <c r="AV51" s="301" t="str">
        <f t="shared" si="23"/>
        <v xml:space="preserve"> </v>
      </c>
      <c r="AW51" s="218"/>
      <c r="AX51" s="219" t="e">
        <f t="shared" si="3"/>
        <v>#N/A</v>
      </c>
      <c r="AY51" s="219" t="e">
        <f t="shared" si="4"/>
        <v>#N/A</v>
      </c>
      <c r="AZ51" s="219" t="e">
        <f t="shared" si="24"/>
        <v>#N/A</v>
      </c>
      <c r="BA51" s="219" t="e">
        <f t="shared" si="25"/>
        <v>#N/A</v>
      </c>
      <c r="BB51" s="220" t="e">
        <f t="shared" si="26"/>
        <v>#N/A</v>
      </c>
      <c r="BC51" s="214" t="e">
        <f t="shared" si="28"/>
        <v>#N/A</v>
      </c>
      <c r="BL51" s="408" t="str">
        <f t="shared" si="27"/>
        <v/>
      </c>
    </row>
    <row r="52" spans="2:64" ht="80.25" customHeight="1">
      <c r="B52" s="109">
        <v>48</v>
      </c>
      <c r="C52" s="110">
        <f>SISWA!B53</f>
        <v>0</v>
      </c>
      <c r="D52" s="111" t="str">
        <f>SISWA!E53</f>
        <v>Anak 48</v>
      </c>
      <c r="E52" s="605"/>
      <c r="F52" s="605"/>
      <c r="G52" s="605"/>
      <c r="H52" s="605"/>
      <c r="I52" s="605"/>
      <c r="J52" s="605"/>
      <c r="K52" s="605"/>
      <c r="L52" s="605"/>
      <c r="M52" s="605"/>
      <c r="N52" s="605"/>
      <c r="O52" s="605"/>
      <c r="P52" s="605"/>
      <c r="Q52" s="605"/>
      <c r="R52" s="605"/>
      <c r="S52" s="605"/>
      <c r="T52" s="605"/>
      <c r="U52" s="605"/>
      <c r="V52" s="605"/>
      <c r="W52" s="605"/>
      <c r="X52" s="605"/>
      <c r="Y52" s="605"/>
      <c r="Z52" s="533" t="str">
        <f t="shared" si="6"/>
        <v/>
      </c>
      <c r="AA52" s="533" t="str">
        <f t="shared" si="7"/>
        <v/>
      </c>
      <c r="AB52" s="533" t="str">
        <f t="shared" si="8"/>
        <v/>
      </c>
      <c r="AC52" s="533" t="str">
        <f t="shared" si="9"/>
        <v/>
      </c>
      <c r="AD52" s="533" t="str">
        <f t="shared" si="10"/>
        <v/>
      </c>
      <c r="AE52" s="533" t="str">
        <f t="shared" si="11"/>
        <v/>
      </c>
      <c r="AF52" s="533" t="str">
        <f t="shared" si="12"/>
        <v/>
      </c>
      <c r="AG52" s="533" t="str">
        <f t="shared" si="13"/>
        <v/>
      </c>
      <c r="AH52" s="533" t="str">
        <f t="shared" si="14"/>
        <v/>
      </c>
      <c r="AI52" s="533" t="str">
        <f t="shared" si="15"/>
        <v/>
      </c>
      <c r="AJ52" s="533" t="str">
        <f t="shared" si="16"/>
        <v/>
      </c>
      <c r="AK52" s="533" t="str">
        <f t="shared" si="17"/>
        <v/>
      </c>
      <c r="AL52" s="533" t="str">
        <f t="shared" si="18"/>
        <v/>
      </c>
      <c r="AM52" s="533" t="str">
        <f t="shared" si="19"/>
        <v/>
      </c>
      <c r="AN52" s="533" t="str">
        <f t="shared" si="20"/>
        <v/>
      </c>
      <c r="AO52" s="533" t="str">
        <f t="shared" si="21"/>
        <v/>
      </c>
      <c r="AP52" s="302" t="e">
        <f t="shared" si="22"/>
        <v>#DIV/0!</v>
      </c>
      <c r="AQ52" s="303" t="e">
        <f>IF(AP52&gt;KKM!$G$10,"A",IF(AP52&gt;KKM!$H$10,"B",IF(AP52&gt;=KKM!$I$10,"C","D")))</f>
        <v>#DIV/0!</v>
      </c>
      <c r="AR52" s="304">
        <f t="shared" si="1"/>
        <v>0</v>
      </c>
      <c r="AS52" s="309" t="str">
        <f>IF(AR52&gt;KKM!$G$10," sangat baik ",IF(AR52&gt;KKM!$H$10," baik ",IF(AR52&gt;=KKM!$I$10," cukup baik "," perlu bimbingan ")))</f>
        <v xml:space="preserve"> perlu bimbingan </v>
      </c>
      <c r="AT52" s="305">
        <f t="shared" si="2"/>
        <v>0</v>
      </c>
      <c r="AU52" s="309" t="str">
        <f>IF(AT52&gt;KKM!$G$10," sangat baik ",IF(AT52&gt;KKM!$H$10," baik ",IF(AT52&gt;=KKM!$I$10," cukup baik "," perlu bimbingan ")))</f>
        <v xml:space="preserve"> perlu bimbingan </v>
      </c>
      <c r="AV52" s="301" t="str">
        <f t="shared" si="23"/>
        <v xml:space="preserve"> </v>
      </c>
      <c r="AW52" s="218"/>
      <c r="AX52" s="219" t="e">
        <f t="shared" si="3"/>
        <v>#N/A</v>
      </c>
      <c r="AY52" s="219" t="e">
        <f t="shared" si="4"/>
        <v>#N/A</v>
      </c>
      <c r="AZ52" s="219" t="e">
        <f t="shared" si="24"/>
        <v>#N/A</v>
      </c>
      <c r="BA52" s="219" t="e">
        <f t="shared" si="25"/>
        <v>#N/A</v>
      </c>
      <c r="BB52" s="220" t="e">
        <f t="shared" si="26"/>
        <v>#N/A</v>
      </c>
      <c r="BC52" s="214" t="e">
        <f t="shared" si="28"/>
        <v>#N/A</v>
      </c>
      <c r="BL52" s="408" t="str">
        <f t="shared" si="27"/>
        <v/>
      </c>
    </row>
    <row r="53" spans="2:64" ht="80.25" customHeight="1">
      <c r="B53" s="109">
        <v>49</v>
      </c>
      <c r="C53" s="110">
        <f>SISWA!B54</f>
        <v>0</v>
      </c>
      <c r="D53" s="111" t="str">
        <f>SISWA!E54</f>
        <v>Anak 49</v>
      </c>
      <c r="E53" s="605"/>
      <c r="F53" s="605"/>
      <c r="G53" s="605"/>
      <c r="H53" s="605"/>
      <c r="I53" s="605"/>
      <c r="J53" s="605"/>
      <c r="K53" s="605"/>
      <c r="L53" s="605"/>
      <c r="M53" s="605"/>
      <c r="N53" s="605"/>
      <c r="O53" s="605"/>
      <c r="P53" s="605"/>
      <c r="Q53" s="605"/>
      <c r="R53" s="605"/>
      <c r="S53" s="605"/>
      <c r="T53" s="605"/>
      <c r="U53" s="605"/>
      <c r="V53" s="605"/>
      <c r="W53" s="605"/>
      <c r="X53" s="605"/>
      <c r="Y53" s="605"/>
      <c r="Z53" s="533" t="str">
        <f t="shared" si="6"/>
        <v/>
      </c>
      <c r="AA53" s="533" t="str">
        <f t="shared" si="7"/>
        <v/>
      </c>
      <c r="AB53" s="533" t="str">
        <f t="shared" si="8"/>
        <v/>
      </c>
      <c r="AC53" s="533" t="str">
        <f t="shared" si="9"/>
        <v/>
      </c>
      <c r="AD53" s="533" t="str">
        <f t="shared" si="10"/>
        <v/>
      </c>
      <c r="AE53" s="533" t="str">
        <f t="shared" si="11"/>
        <v/>
      </c>
      <c r="AF53" s="533" t="str">
        <f t="shared" si="12"/>
        <v/>
      </c>
      <c r="AG53" s="533" t="str">
        <f t="shared" si="13"/>
        <v/>
      </c>
      <c r="AH53" s="533" t="str">
        <f t="shared" si="14"/>
        <v/>
      </c>
      <c r="AI53" s="533" t="str">
        <f t="shared" si="15"/>
        <v/>
      </c>
      <c r="AJ53" s="533" t="str">
        <f t="shared" si="16"/>
        <v/>
      </c>
      <c r="AK53" s="533" t="str">
        <f t="shared" si="17"/>
        <v/>
      </c>
      <c r="AL53" s="533" t="str">
        <f t="shared" si="18"/>
        <v/>
      </c>
      <c r="AM53" s="533" t="str">
        <f t="shared" si="19"/>
        <v/>
      </c>
      <c r="AN53" s="533" t="str">
        <f t="shared" si="20"/>
        <v/>
      </c>
      <c r="AO53" s="533" t="str">
        <f t="shared" si="21"/>
        <v/>
      </c>
      <c r="AP53" s="302" t="e">
        <f t="shared" si="22"/>
        <v>#DIV/0!</v>
      </c>
      <c r="AQ53" s="303" t="e">
        <f>IF(AP53&gt;KKM!$G$10,"A",IF(AP53&gt;KKM!$H$10,"B",IF(AP53&gt;=KKM!$I$10,"C","D")))</f>
        <v>#DIV/0!</v>
      </c>
      <c r="AR53" s="304">
        <f t="shared" si="1"/>
        <v>0</v>
      </c>
      <c r="AS53" s="309" t="str">
        <f>IF(AR53&gt;KKM!$G$10," sangat baik ",IF(AR53&gt;KKM!$H$10," baik ",IF(AR53&gt;=KKM!$I$10," cukup baik "," perlu bimbingan ")))</f>
        <v xml:space="preserve"> perlu bimbingan </v>
      </c>
      <c r="AT53" s="305">
        <f t="shared" si="2"/>
        <v>0</v>
      </c>
      <c r="AU53" s="309" t="str">
        <f>IF(AT53&gt;KKM!$G$10," sangat baik ",IF(AT53&gt;KKM!$H$10," baik ",IF(AT53&gt;=KKM!$I$10," cukup baik "," perlu bimbingan ")))</f>
        <v xml:space="preserve"> perlu bimbingan </v>
      </c>
      <c r="AV53" s="301" t="str">
        <f t="shared" si="23"/>
        <v xml:space="preserve"> </v>
      </c>
      <c r="AW53" s="218"/>
      <c r="AX53" s="219" t="e">
        <f t="shared" si="3"/>
        <v>#N/A</v>
      </c>
      <c r="AY53" s="219" t="e">
        <f t="shared" si="4"/>
        <v>#N/A</v>
      </c>
      <c r="AZ53" s="219" t="e">
        <f t="shared" si="24"/>
        <v>#N/A</v>
      </c>
      <c r="BA53" s="219" t="e">
        <f t="shared" si="25"/>
        <v>#N/A</v>
      </c>
      <c r="BB53" s="220" t="e">
        <f t="shared" si="26"/>
        <v>#N/A</v>
      </c>
      <c r="BC53" s="214" t="e">
        <f t="shared" si="28"/>
        <v>#N/A</v>
      </c>
      <c r="BL53" s="408" t="str">
        <f t="shared" si="27"/>
        <v/>
      </c>
    </row>
    <row r="54" spans="2:64" ht="80.25" customHeight="1">
      <c r="B54" s="109">
        <v>50</v>
      </c>
      <c r="C54" s="110">
        <f>SISWA!B55</f>
        <v>0</v>
      </c>
      <c r="D54" s="111" t="str">
        <f>SISWA!E55</f>
        <v>Anak 50</v>
      </c>
      <c r="E54" s="605"/>
      <c r="F54" s="605"/>
      <c r="G54" s="605"/>
      <c r="H54" s="605"/>
      <c r="I54" s="605"/>
      <c r="J54" s="605"/>
      <c r="K54" s="605"/>
      <c r="L54" s="605"/>
      <c r="M54" s="605"/>
      <c r="N54" s="605"/>
      <c r="O54" s="605"/>
      <c r="P54" s="605"/>
      <c r="Q54" s="605"/>
      <c r="R54" s="605"/>
      <c r="S54" s="605"/>
      <c r="T54" s="605"/>
      <c r="U54" s="605"/>
      <c r="V54" s="605"/>
      <c r="W54" s="605"/>
      <c r="X54" s="605"/>
      <c r="Y54" s="605"/>
      <c r="Z54" s="533" t="str">
        <f t="shared" si="6"/>
        <v/>
      </c>
      <c r="AA54" s="533" t="str">
        <f t="shared" si="7"/>
        <v/>
      </c>
      <c r="AB54" s="533" t="str">
        <f t="shared" si="8"/>
        <v/>
      </c>
      <c r="AC54" s="533" t="str">
        <f t="shared" si="9"/>
        <v/>
      </c>
      <c r="AD54" s="533" t="str">
        <f t="shared" si="10"/>
        <v/>
      </c>
      <c r="AE54" s="533" t="str">
        <f t="shared" si="11"/>
        <v/>
      </c>
      <c r="AF54" s="533" t="str">
        <f t="shared" si="12"/>
        <v/>
      </c>
      <c r="AG54" s="533" t="str">
        <f t="shared" si="13"/>
        <v/>
      </c>
      <c r="AH54" s="533" t="str">
        <f t="shared" si="14"/>
        <v/>
      </c>
      <c r="AI54" s="533" t="str">
        <f t="shared" si="15"/>
        <v/>
      </c>
      <c r="AJ54" s="533" t="str">
        <f t="shared" si="16"/>
        <v/>
      </c>
      <c r="AK54" s="533" t="str">
        <f t="shared" si="17"/>
        <v/>
      </c>
      <c r="AL54" s="533" t="str">
        <f t="shared" si="18"/>
        <v/>
      </c>
      <c r="AM54" s="533" t="str">
        <f t="shared" si="19"/>
        <v/>
      </c>
      <c r="AN54" s="533" t="str">
        <f t="shared" si="20"/>
        <v/>
      </c>
      <c r="AO54" s="533" t="str">
        <f t="shared" si="21"/>
        <v/>
      </c>
      <c r="AP54" s="302" t="e">
        <f t="shared" si="22"/>
        <v>#DIV/0!</v>
      </c>
      <c r="AQ54" s="303" t="e">
        <f>IF(AP54&gt;KKM!$G$10,"A",IF(AP54&gt;KKM!$H$10,"B",IF(AP54&gt;=KKM!$I$10,"C","D")))</f>
        <v>#DIV/0!</v>
      </c>
      <c r="AR54" s="304">
        <f t="shared" si="1"/>
        <v>0</v>
      </c>
      <c r="AS54" s="309" t="str">
        <f>IF(AR54&gt;KKM!$G$10," sangat baik ",IF(AR54&gt;KKM!$H$10," baik ",IF(AR54&gt;=KKM!$I$10," cukup baik "," perlu bimbingan ")))</f>
        <v xml:space="preserve"> perlu bimbingan </v>
      </c>
      <c r="AT54" s="305">
        <f t="shared" si="2"/>
        <v>0</v>
      </c>
      <c r="AU54" s="309" t="str">
        <f>IF(AT54&gt;KKM!$G$10," sangat baik ",IF(AT54&gt;KKM!$H$10," baik ",IF(AT54&gt;=KKM!$I$10," cukup baik "," perlu bimbingan ")))</f>
        <v xml:space="preserve"> perlu bimbingan </v>
      </c>
      <c r="AV54" s="301" t="str">
        <f t="shared" si="23"/>
        <v xml:space="preserve"> </v>
      </c>
      <c r="AW54" s="218"/>
      <c r="AX54" s="219" t="e">
        <f t="shared" si="3"/>
        <v>#N/A</v>
      </c>
      <c r="AY54" s="219" t="e">
        <f t="shared" si="4"/>
        <v>#N/A</v>
      </c>
      <c r="AZ54" s="219" t="e">
        <f t="shared" si="24"/>
        <v>#N/A</v>
      </c>
      <c r="BA54" s="219" t="e">
        <f t="shared" si="25"/>
        <v>#N/A</v>
      </c>
      <c r="BB54" s="220" t="e">
        <f t="shared" si="26"/>
        <v>#N/A</v>
      </c>
      <c r="BC54" s="214" t="e">
        <f t="shared" si="28"/>
        <v>#N/A</v>
      </c>
      <c r="BL54" s="408" t="str">
        <f t="shared" si="27"/>
        <v/>
      </c>
    </row>
    <row r="55" spans="2:64" ht="15.75">
      <c r="B55" s="121"/>
      <c r="C55" s="121"/>
      <c r="D55" s="121"/>
      <c r="E55" s="519"/>
      <c r="F55" s="519"/>
      <c r="G55" s="519"/>
      <c r="H55" s="519"/>
      <c r="I55" s="519"/>
      <c r="J55" s="519"/>
      <c r="K55" s="519"/>
      <c r="L55" s="519"/>
      <c r="M55" s="519"/>
      <c r="N55" s="519"/>
      <c r="O55" s="519"/>
      <c r="P55" s="519"/>
      <c r="Q55" s="519"/>
      <c r="R55" s="519"/>
      <c r="S55" s="519"/>
      <c r="T55" s="519"/>
      <c r="U55" s="519"/>
      <c r="V55" s="519"/>
      <c r="W55" s="519"/>
      <c r="X55" s="519"/>
      <c r="Y55" s="519"/>
      <c r="Z55" s="124"/>
      <c r="AA55" s="125"/>
      <c r="AB55" s="125"/>
      <c r="AC55" s="125"/>
      <c r="AD55" s="125"/>
      <c r="AE55" s="124"/>
      <c r="AF55" s="124"/>
      <c r="AG55" s="124"/>
      <c r="AH55" s="124"/>
      <c r="AI55" s="124"/>
      <c r="AJ55" s="124"/>
      <c r="AK55" s="124"/>
      <c r="AL55" s="124"/>
      <c r="AM55" s="125"/>
      <c r="AN55" s="125"/>
      <c r="AO55" s="124"/>
      <c r="AP55" s="114"/>
      <c r="AQ55" s="115"/>
      <c r="AR55" s="116"/>
      <c r="AS55" s="116"/>
      <c r="AT55" s="116"/>
      <c r="AU55" s="116"/>
      <c r="AV55" s="117"/>
      <c r="AW55" s="118"/>
      <c r="AX55" s="119"/>
      <c r="AY55" s="122"/>
      <c r="AZ55" s="122"/>
      <c r="BA55" s="122"/>
      <c r="BB55" s="122"/>
      <c r="BC55" s="122"/>
    </row>
  </sheetData>
  <mergeCells count="18">
    <mergeCell ref="AQ2:AQ4"/>
    <mergeCell ref="AR2:AU2"/>
    <mergeCell ref="AV2:AV4"/>
    <mergeCell ref="AR3:AS3"/>
    <mergeCell ref="AT3:AU3"/>
    <mergeCell ref="B2:B4"/>
    <mergeCell ref="C2:C4"/>
    <mergeCell ref="D2:D4"/>
    <mergeCell ref="Z2:AO2"/>
    <mergeCell ref="AP2:AP4"/>
    <mergeCell ref="E2:Y2"/>
    <mergeCell ref="E3:G3"/>
    <mergeCell ref="H3:J3"/>
    <mergeCell ref="K3:M3"/>
    <mergeCell ref="N3:P3"/>
    <mergeCell ref="Q3:S3"/>
    <mergeCell ref="W3:Y3"/>
    <mergeCell ref="T3:V3"/>
  </mergeCell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D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135" customWidth="1"/>
    <col min="2" max="2" width="4.42578125" style="104" customWidth="1"/>
    <col min="3" max="3" width="6.42578125" style="104" customWidth="1"/>
    <col min="4" max="4" width="28.7109375" style="104" customWidth="1"/>
    <col min="5" max="19" width="7.5703125" style="104" customWidth="1"/>
    <col min="20" max="24" width="5.7109375" style="104" customWidth="1"/>
    <col min="25" max="34" width="5.7109375" style="104" hidden="1" customWidth="1"/>
    <col min="35" max="38" width="5.7109375" style="104" customWidth="1"/>
    <col min="39" max="39" width="12.42578125" style="104" customWidth="1"/>
    <col min="40" max="40" width="5.7109375" style="104" customWidth="1"/>
    <col min="41" max="41" width="13.5703125" style="104" customWidth="1"/>
    <col min="42" max="42" width="103" style="104" customWidth="1"/>
    <col min="43" max="43" width="33.140625" style="104" customWidth="1"/>
    <col min="44" max="44" width="5" style="104" hidden="1" customWidth="1"/>
    <col min="45" max="45" width="4.7109375" style="104" hidden="1" customWidth="1"/>
    <col min="46" max="46" width="5.140625" style="104" hidden="1" customWidth="1"/>
    <col min="47" max="52" width="5" style="104" hidden="1" customWidth="1"/>
    <col min="53" max="53" width="4.85546875" style="104" hidden="1" customWidth="1"/>
    <col min="54" max="56" width="5" style="104" hidden="1" customWidth="1"/>
    <col min="57" max="59" width="5" style="104" customWidth="1"/>
    <col min="60" max="60" width="5" style="104" hidden="1" customWidth="1"/>
    <col min="61" max="61" width="6.42578125" style="104" hidden="1" customWidth="1"/>
    <col min="62" max="62" width="5" style="104" customWidth="1"/>
    <col min="63" max="69" width="5" style="104" hidden="1" customWidth="1"/>
    <col min="70" max="70" width="84.42578125" style="104" hidden="1" customWidth="1"/>
    <col min="71" max="71" width="29.85546875" style="104" hidden="1" customWidth="1"/>
    <col min="72" max="85" width="10.7109375" style="104" hidden="1" customWidth="1"/>
    <col min="86" max="90" width="5" style="104" hidden="1" customWidth="1"/>
    <col min="91" max="91" width="4.85546875" style="104" hidden="1" customWidth="1"/>
    <col min="92" max="96" width="5" style="104" hidden="1" customWidth="1"/>
    <col min="97" max="98" width="0" style="104" hidden="1" customWidth="1"/>
    <col min="99" max="105" width="5" style="104" hidden="1" customWidth="1"/>
    <col min="106" max="106" width="84.42578125" style="104" hidden="1" customWidth="1"/>
    <col min="107" max="107" width="29.85546875" style="104" hidden="1" customWidth="1"/>
    <col min="108" max="134" width="10.7109375" style="104" hidden="1" customWidth="1"/>
    <col min="135" max="16384" width="9.140625" style="104" hidden="1"/>
  </cols>
  <sheetData>
    <row r="1" spans="1:69" s="451" customFormat="1" ht="45.75" customHeight="1">
      <c r="B1" s="452" t="s">
        <v>258</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c r="BM1" s="452"/>
      <c r="BN1" s="452"/>
      <c r="BO1" s="452"/>
      <c r="BP1" s="452"/>
      <c r="BQ1" s="452"/>
    </row>
    <row r="2" spans="1:69" ht="23.25" customHeight="1">
      <c r="B2" s="1071" t="s">
        <v>2</v>
      </c>
      <c r="C2" s="1072" t="s">
        <v>3</v>
      </c>
      <c r="D2" s="1073" t="s">
        <v>48</v>
      </c>
      <c r="E2" s="1152" t="s">
        <v>706</v>
      </c>
      <c r="F2" s="1153"/>
      <c r="G2" s="1153"/>
      <c r="H2" s="1153"/>
      <c r="I2" s="1153"/>
      <c r="J2" s="1153"/>
      <c r="K2" s="1153"/>
      <c r="L2" s="1153"/>
      <c r="M2" s="1153"/>
      <c r="N2" s="1153"/>
      <c r="O2" s="1153"/>
      <c r="P2" s="1153"/>
      <c r="Q2" s="1153"/>
      <c r="R2" s="1153"/>
      <c r="S2" s="1153"/>
      <c r="T2" s="1111" t="s">
        <v>694</v>
      </c>
      <c r="U2" s="1111"/>
      <c r="V2" s="1111"/>
      <c r="W2" s="1111"/>
      <c r="X2" s="1111"/>
      <c r="Y2" s="1111"/>
      <c r="Z2" s="1111"/>
      <c r="AA2" s="1111"/>
      <c r="AB2" s="1111"/>
      <c r="AC2" s="1111"/>
      <c r="AD2" s="1111"/>
      <c r="AE2" s="1111"/>
      <c r="AF2" s="1111"/>
      <c r="AG2" s="1111"/>
      <c r="AH2" s="1111"/>
      <c r="AI2" s="1111"/>
      <c r="AJ2" s="1139" t="s">
        <v>5</v>
      </c>
      <c r="AK2" s="1123" t="s">
        <v>6</v>
      </c>
      <c r="AL2" s="1124" t="s">
        <v>314</v>
      </c>
      <c r="AM2" s="1125"/>
      <c r="AN2" s="1125"/>
      <c r="AO2" s="1125"/>
      <c r="AP2" s="1027" t="s">
        <v>1</v>
      </c>
      <c r="AQ2" s="1"/>
      <c r="AR2" s="1"/>
      <c r="AS2" s="1"/>
      <c r="AT2" s="1"/>
      <c r="AU2" s="1"/>
      <c r="AV2" s="1"/>
      <c r="AW2" s="215"/>
      <c r="BI2" s="441">
        <f>DEPAN!$E$23</f>
        <v>50</v>
      </c>
    </row>
    <row r="3" spans="1:69" ht="94.5" customHeight="1">
      <c r="B3" s="1071"/>
      <c r="C3" s="1072"/>
      <c r="D3" s="1073"/>
      <c r="E3" s="1140" t="str">
        <f>T4</f>
        <v>4.2</v>
      </c>
      <c r="F3" s="1141"/>
      <c r="G3" s="1142"/>
      <c r="H3" s="1143" t="str">
        <f>U4</f>
        <v>4.3</v>
      </c>
      <c r="I3" s="1144"/>
      <c r="J3" s="1145"/>
      <c r="K3" s="1146" t="str">
        <f>V4</f>
        <v>4.4</v>
      </c>
      <c r="L3" s="1147"/>
      <c r="M3" s="1148"/>
      <c r="N3" s="1149" t="str">
        <f>W4</f>
        <v>4.5</v>
      </c>
      <c r="O3" s="1150"/>
      <c r="P3" s="1151"/>
      <c r="Q3" s="1126">
        <f>X4</f>
        <v>0</v>
      </c>
      <c r="R3" s="1127"/>
      <c r="S3" s="1128"/>
      <c r="T3" s="510" t="str">
        <f>'KI-KD'!$F70</f>
        <v>membuat skema siklus hidup beberapa jenis makhluk hidup yang ada di lingkungan sekitarnya, dan slogan upaya pelestariannya.</v>
      </c>
      <c r="U3" s="510" t="str">
        <f>'KI-KD'!$F71</f>
        <v>mendemonstrasikan manfaat gaya dalam kehidupan sehari-hari, misalnya gaya otot, gaya listrik, gaya magnet, gaya gravitasi, dan gaya gesekan.</v>
      </c>
      <c r="V3" s="510" t="str">
        <f>'KI-KD'!$F72</f>
        <v>menyajikan hasil percobaan tentang hubungan antara gaya dan gerak.</v>
      </c>
      <c r="W3" s="510" t="str">
        <f>'KI-KD'!$F73</f>
        <v>menyajikan laporan hasil pengamatan dan penelusuran informasi tentang berbagai perubahan bentuk energi.</v>
      </c>
      <c r="X3" s="510">
        <f>'KI-KD'!$F74</f>
        <v>0</v>
      </c>
      <c r="Y3" s="510">
        <f>'KI-KD'!$F75</f>
        <v>0</v>
      </c>
      <c r="Z3" s="510">
        <f>'KI-KD'!$F76</f>
        <v>0</v>
      </c>
      <c r="AA3" s="510">
        <f>'KI-KD'!$F77</f>
        <v>0</v>
      </c>
      <c r="AB3" s="510">
        <f>'KI-KD'!$F78</f>
        <v>0</v>
      </c>
      <c r="AC3" s="510">
        <f>'KI-KD'!$F79</f>
        <v>0</v>
      </c>
      <c r="AD3" s="510">
        <f>'KI-KD'!$F80</f>
        <v>0</v>
      </c>
      <c r="AE3" s="511"/>
      <c r="AF3" s="511"/>
      <c r="AG3" s="511"/>
      <c r="AH3" s="511"/>
      <c r="AI3" s="511"/>
      <c r="AJ3" s="1139"/>
      <c r="AK3" s="1123"/>
      <c r="AL3" s="1135" t="s">
        <v>315</v>
      </c>
      <c r="AM3" s="1136"/>
      <c r="AN3" s="1137" t="s">
        <v>316</v>
      </c>
      <c r="AO3" s="1138"/>
      <c r="AP3" s="1028"/>
      <c r="AQ3" s="1"/>
      <c r="AR3" s="1"/>
      <c r="AS3" s="1"/>
      <c r="AT3" s="1"/>
      <c r="AU3" s="1"/>
      <c r="AV3" s="1"/>
      <c r="AW3" s="215"/>
      <c r="BI3" s="408">
        <f>BI4-BI5</f>
        <v>5</v>
      </c>
    </row>
    <row r="4" spans="1:69"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31" t="s">
        <v>701</v>
      </c>
      <c r="R4" s="530" t="s">
        <v>702</v>
      </c>
      <c r="S4" s="532" t="s">
        <v>703</v>
      </c>
      <c r="T4" s="512" t="str">
        <f>'KI-KD'!$E70</f>
        <v>4.2</v>
      </c>
      <c r="U4" s="512" t="str">
        <f>'KI-KD'!$E71</f>
        <v>4.3</v>
      </c>
      <c r="V4" s="512" t="str">
        <f>'KI-KD'!$E72</f>
        <v>4.4</v>
      </c>
      <c r="W4" s="512" t="str">
        <f>'KI-KD'!$E73</f>
        <v>4.5</v>
      </c>
      <c r="X4" s="512">
        <f>'KI-KD'!$E74</f>
        <v>0</v>
      </c>
      <c r="Y4" s="512">
        <f>'KI-KD'!$E75</f>
        <v>0</v>
      </c>
      <c r="Z4" s="512">
        <f>'KI-KD'!$E76</f>
        <v>0</v>
      </c>
      <c r="AA4" s="512">
        <f>'KI-KD'!$E77</f>
        <v>0</v>
      </c>
      <c r="AB4" s="512">
        <f>'KI-KD'!$E78</f>
        <v>0</v>
      </c>
      <c r="AC4" s="512">
        <f>'KI-KD'!$E79</f>
        <v>0</v>
      </c>
      <c r="AD4" s="512">
        <f>'KI-KD'!$E80</f>
        <v>0</v>
      </c>
      <c r="AE4" s="512"/>
      <c r="AF4" s="512"/>
      <c r="AG4" s="512"/>
      <c r="AH4" s="512"/>
      <c r="AI4" s="512"/>
      <c r="AJ4" s="1139"/>
      <c r="AK4" s="1123"/>
      <c r="AL4" s="210" t="s">
        <v>317</v>
      </c>
      <c r="AM4" s="211" t="s">
        <v>1</v>
      </c>
      <c r="AN4" s="212" t="s">
        <v>317</v>
      </c>
      <c r="AO4" s="213" t="s">
        <v>1</v>
      </c>
      <c r="AP4" s="1029"/>
      <c r="AQ4" s="1"/>
      <c r="AR4" s="216" t="s">
        <v>318</v>
      </c>
      <c r="AS4" s="216" t="s">
        <v>319</v>
      </c>
      <c r="AT4" s="216" t="s">
        <v>320</v>
      </c>
      <c r="AU4" s="216" t="s">
        <v>321</v>
      </c>
      <c r="AV4" s="217" t="s">
        <v>314</v>
      </c>
      <c r="AW4" s="214"/>
      <c r="BI4" s="108">
        <v>50</v>
      </c>
    </row>
    <row r="5" spans="1:69" ht="63.75" customHeight="1">
      <c r="B5" s="109">
        <v>1</v>
      </c>
      <c r="C5" s="110">
        <f>SISWA!B6</f>
        <v>4822</v>
      </c>
      <c r="D5" s="111" t="str">
        <f>SISWA!E6</f>
        <v>Anak 1</v>
      </c>
      <c r="E5" s="520">
        <v>99</v>
      </c>
      <c r="F5" s="520"/>
      <c r="G5" s="520"/>
      <c r="H5" s="520"/>
      <c r="I5" s="520">
        <v>88</v>
      </c>
      <c r="J5" s="520"/>
      <c r="K5" s="520">
        <v>88</v>
      </c>
      <c r="L5" s="520"/>
      <c r="M5" s="520"/>
      <c r="N5" s="520">
        <v>88</v>
      </c>
      <c r="O5" s="520">
        <v>75</v>
      </c>
      <c r="P5" s="520"/>
      <c r="Q5" s="520"/>
      <c r="R5" s="520">
        <v>77</v>
      </c>
      <c r="S5" s="520"/>
      <c r="T5" s="533">
        <f>IFERROR(AVERAGE(E5:G5),"")</f>
        <v>99</v>
      </c>
      <c r="U5" s="533">
        <f>IFERROR(AVERAGE(H5:J5),"")</f>
        <v>88</v>
      </c>
      <c r="V5" s="533">
        <f>IFERROR(AVERAGE(K5:M5),"")</f>
        <v>88</v>
      </c>
      <c r="W5" s="533">
        <f>IFERROR(AVERAGE(N5:P5),"")</f>
        <v>81.5</v>
      </c>
      <c r="X5" s="533">
        <f>IFERROR(AVERAGE(Q5:S5),"")</f>
        <v>77</v>
      </c>
      <c r="Y5" s="533"/>
      <c r="Z5" s="513"/>
      <c r="AA5" s="513"/>
      <c r="AB5" s="513"/>
      <c r="AC5" s="513"/>
      <c r="AD5" s="513"/>
      <c r="AE5" s="513"/>
      <c r="AF5" s="513"/>
      <c r="AG5" s="514"/>
      <c r="AH5" s="514"/>
      <c r="AI5" s="513"/>
      <c r="AJ5" s="302">
        <f>ROUND((AVERAGE(T5:AI5)),0)</f>
        <v>87</v>
      </c>
      <c r="AK5" s="303" t="str">
        <f>IF(AJ5&gt;KKM!$G$10,"A",IF(AJ5&gt;KKM!$H$10,"B",IF(AJ5&gt;=KKM!$I$10,"C","D")))</f>
        <v>B</v>
      </c>
      <c r="AL5" s="304">
        <f t="shared" ref="AL5:AL54" si="0">MAX(T5:AI5)</f>
        <v>99</v>
      </c>
      <c r="AM5" s="309" t="str">
        <f>IF(AL5&gt;KKM!$G$10," sangat baik ",IF(AL5&gt;KKM!$H$10," baik ",IF(AL5&gt;=KKM!$I$10," cukup baik "," perlu bimbingan ")))</f>
        <v xml:space="preserve"> sangat baik </v>
      </c>
      <c r="AN5" s="305">
        <f t="shared" ref="AN5:AN54" si="1">MIN(T5:AI5)</f>
        <v>77</v>
      </c>
      <c r="AO5" s="309" t="str">
        <f>IF(AN5&gt;KKM!$G$10," sangat baik ",IF(AN5&gt;KKM!$H$10," baik ",IF(AN5&gt;=KKM!$I$10," cukup baik "," perlu bimbingan ")))</f>
        <v xml:space="preserve"> cukup baik </v>
      </c>
      <c r="AP5" s="301" t="str">
        <f>IFERROR(AW5," ")</f>
        <v>Anak 1 sangat baik  dalam membuat skema siklus hidup beberapa jenis makhluk hidup yang ada di lingkungan sekitarnya, dan slogan upaya pelestariannya., dan  cukup baik  dalam 0</v>
      </c>
      <c r="AQ5" s="218"/>
      <c r="AR5" s="219" t="str">
        <f t="shared" ref="AR5:AR54" si="2">AM5&amp;" dalam "&amp;INDEX($T$3:$AI$3,MATCH(AL5,$T5:$AI5,0))</f>
        <v xml:space="preserve"> sangat baik  dalam membuat skema siklus hidup beberapa jenis makhluk hidup yang ada di lingkungan sekitarnya, dan slogan upaya pelestariannya.</v>
      </c>
      <c r="AS5" s="219" t="str">
        <f t="shared" ref="AS5:AS54" si="3">AO5&amp;" dalam "&amp;INDEX($T$3:$AI$3,MATCH(AN5,$T5:$AI5,0))</f>
        <v xml:space="preserve"> cukup baik  dalam 0</v>
      </c>
      <c r="AT5" s="219" t="str">
        <f>AR5&amp;", dan "&amp;AS5</f>
        <v xml:space="preserve"> sangat baik  dalam membuat skema siklus hidup beberapa jenis makhluk hidup yang ada di lingkungan sekitarnya, dan slogan upaya pelestariannya., dan  cukup baik  dalam 0</v>
      </c>
      <c r="AU5" s="219" t="str">
        <f>IF(AR5=AS5,AR5," ")</f>
        <v xml:space="preserve"> </v>
      </c>
      <c r="AV5" s="220" t="str">
        <f>IF(AU5=" ",AT5,AU5)</f>
        <v xml:space="preserve"> sangat baik  dalam membuat skema siklus hidup beberapa jenis makhluk hidup yang ada di lingkungan sekitarnya, dan slogan upaya pelestariannya., dan  cukup baik  dalam 0</v>
      </c>
      <c r="AW5" s="214" t="str">
        <f t="shared" ref="AW5:AW36" si="4">CONCATENATE(D5,AV5)</f>
        <v>Anak 1 sangat baik  dalam membuat skema siklus hidup beberapa jenis makhluk hidup yang ada di lingkungan sekitarnya, dan slogan upaya pelestariannya., dan  cukup baik  dalam 0</v>
      </c>
      <c r="AX5" s="120"/>
      <c r="BH5" s="408">
        <f>IFERROR(AJ5,"")</f>
        <v>87</v>
      </c>
      <c r="BI5" s="408">
        <f>COUNTBLANK(BH5:BH54)</f>
        <v>45</v>
      </c>
    </row>
    <row r="6" spans="1:69" ht="63.75" customHeight="1">
      <c r="B6" s="109">
        <v>2</v>
      </c>
      <c r="C6" s="110">
        <f>SISWA!B7</f>
        <v>0</v>
      </c>
      <c r="D6" s="111" t="str">
        <f>SISWA!E7</f>
        <v>Anak 2</v>
      </c>
      <c r="E6" s="520">
        <v>87</v>
      </c>
      <c r="F6" s="520"/>
      <c r="G6" s="520"/>
      <c r="H6" s="520"/>
      <c r="I6" s="520"/>
      <c r="J6" s="520"/>
      <c r="K6" s="520"/>
      <c r="L6" s="520"/>
      <c r="M6" s="520"/>
      <c r="N6" s="520"/>
      <c r="O6" s="520"/>
      <c r="P6" s="520"/>
      <c r="Q6" s="520"/>
      <c r="R6" s="520"/>
      <c r="S6" s="520"/>
      <c r="T6" s="533">
        <f t="shared" ref="T6:T54" si="5">IFERROR(AVERAGE(E6:G6),"")</f>
        <v>87</v>
      </c>
      <c r="U6" s="533" t="str">
        <f t="shared" ref="U6:U54" si="6">IFERROR(AVERAGE(H6:J6),"")</f>
        <v/>
      </c>
      <c r="V6" s="533" t="str">
        <f>IFERROR(AVERAGE(K6:M6),"")</f>
        <v/>
      </c>
      <c r="W6" s="533" t="str">
        <f t="shared" ref="W6:W54" si="7">IFERROR(AVERAGE(N6:P6),"")</f>
        <v/>
      </c>
      <c r="X6" s="533" t="str">
        <f t="shared" ref="X6:X54" si="8">IFERROR(AVERAGE(Q6:S6),"")</f>
        <v/>
      </c>
      <c r="Y6" s="124"/>
      <c r="Z6" s="124"/>
      <c r="AA6" s="124"/>
      <c r="AB6" s="124"/>
      <c r="AC6" s="124"/>
      <c r="AD6" s="124"/>
      <c r="AE6" s="124"/>
      <c r="AF6" s="124"/>
      <c r="AG6" s="125"/>
      <c r="AH6" s="125"/>
      <c r="AI6" s="513"/>
      <c r="AJ6" s="302">
        <f t="shared" ref="AJ6:AJ54" si="9">ROUND((AVERAGE(T6:AI6)),0)</f>
        <v>87</v>
      </c>
      <c r="AK6" s="303" t="str">
        <f>IF(AJ6&gt;KKM!$G$10,"A",IF(AJ6&gt;KKM!$H$10,"B",IF(AJ6&gt;=KKM!$I$10,"C","D")))</f>
        <v>B</v>
      </c>
      <c r="AL6" s="304">
        <f t="shared" si="0"/>
        <v>87</v>
      </c>
      <c r="AM6" s="309" t="str">
        <f>IF(AL6&gt;KKM!$G$10," sangat baik ",IF(AL6&gt;KKM!$H$10," baik ",IF(AL6&gt;=KKM!$I$10," cukup baik "," perlu bimbingan ")))</f>
        <v xml:space="preserve"> baik </v>
      </c>
      <c r="AN6" s="305">
        <f t="shared" si="1"/>
        <v>87</v>
      </c>
      <c r="AO6" s="309" t="str">
        <f>IF(AN6&gt;KKM!$G$10," sangat baik ",IF(AN6&gt;KKM!$H$10," baik ",IF(AN6&gt;=KKM!$I$10," cukup baik "," perlu bimbingan ")))</f>
        <v xml:space="preserve"> baik </v>
      </c>
      <c r="AP6" s="301" t="str">
        <f t="shared" ref="AP6:AP54" si="10">IFERROR(AW6," ")</f>
        <v>Anak 2 baik  dalam membuat skema siklus hidup beberapa jenis makhluk hidup yang ada di lingkungan sekitarnya, dan slogan upaya pelestariannya.</v>
      </c>
      <c r="AQ6" s="218"/>
      <c r="AR6" s="219" t="str">
        <f t="shared" si="2"/>
        <v xml:space="preserve"> baik  dalam membuat skema siklus hidup beberapa jenis makhluk hidup yang ada di lingkungan sekitarnya, dan slogan upaya pelestariannya.</v>
      </c>
      <c r="AS6" s="219" t="str">
        <f t="shared" si="3"/>
        <v xml:space="preserve"> baik  dalam membuat skema siklus hidup beberapa jenis makhluk hidup yang ada di lingkungan sekitarnya, dan slogan upaya pelestariannya.</v>
      </c>
      <c r="AT6" s="219" t="str">
        <f t="shared" ref="AT6:AT54" si="11">AR6&amp;", dan "&amp;AS6</f>
        <v xml:space="preserve"> baik  dalam membuat skema siklus hidup beberapa jenis makhluk hidup yang ada di lingkungan sekitarnya, dan slogan upaya pelestariannya., dan  baik  dalam membuat skema siklus hidup beberapa jenis makhluk hidup yang ada di lingkungan sekitarnya, dan slogan upaya pelestariannya.</v>
      </c>
      <c r="AU6" s="219" t="str">
        <f t="shared" ref="AU6:AU54" si="12">IF(AR6=AS6,AR6," ")</f>
        <v xml:space="preserve"> baik  dalam membuat skema siklus hidup beberapa jenis makhluk hidup yang ada di lingkungan sekitarnya, dan slogan upaya pelestariannya.</v>
      </c>
      <c r="AV6" s="220" t="str">
        <f t="shared" ref="AV6:AV54" si="13">IF(AU6=" ",AT6,AU6)</f>
        <v xml:space="preserve"> baik  dalam membuat skema siklus hidup beberapa jenis makhluk hidup yang ada di lingkungan sekitarnya, dan slogan upaya pelestariannya.</v>
      </c>
      <c r="AW6" s="214" t="str">
        <f t="shared" si="4"/>
        <v>Anak 2 baik  dalam membuat skema siklus hidup beberapa jenis makhluk hidup yang ada di lingkungan sekitarnya, dan slogan upaya pelestariannya.</v>
      </c>
      <c r="AX6" s="120"/>
      <c r="BH6" s="408">
        <f t="shared" ref="BH6:BH54" si="14">IFERROR(AJ6,"")</f>
        <v>87</v>
      </c>
      <c r="BI6" s="442">
        <f>IFERROR(BI3/BI2,"0%")</f>
        <v>0.1</v>
      </c>
    </row>
    <row r="7" spans="1:69" ht="63.75" customHeight="1">
      <c r="B7" s="109">
        <v>3</v>
      </c>
      <c r="C7" s="110">
        <f>SISWA!B8</f>
        <v>0</v>
      </c>
      <c r="D7" s="111" t="str">
        <f>SISWA!E8</f>
        <v>Anak 3</v>
      </c>
      <c r="E7" s="520"/>
      <c r="F7" s="520"/>
      <c r="G7" s="520"/>
      <c r="H7" s="520"/>
      <c r="I7" s="520"/>
      <c r="J7" s="520"/>
      <c r="K7" s="520"/>
      <c r="L7" s="520"/>
      <c r="M7" s="520"/>
      <c r="N7" s="520"/>
      <c r="O7" s="520"/>
      <c r="P7" s="520"/>
      <c r="Q7" s="520"/>
      <c r="R7" s="520"/>
      <c r="S7" s="520"/>
      <c r="T7" s="533" t="str">
        <f t="shared" si="5"/>
        <v/>
      </c>
      <c r="U7" s="533" t="str">
        <f t="shared" si="6"/>
        <v/>
      </c>
      <c r="V7" s="533" t="str">
        <f>IFERROR(AVERAGE(K7:M7),"")</f>
        <v/>
      </c>
      <c r="W7" s="533" t="str">
        <f t="shared" si="7"/>
        <v/>
      </c>
      <c r="X7" s="533" t="str">
        <f t="shared" si="8"/>
        <v/>
      </c>
      <c r="Y7" s="124"/>
      <c r="Z7" s="124"/>
      <c r="AA7" s="124"/>
      <c r="AB7" s="124"/>
      <c r="AC7" s="124"/>
      <c r="AD7" s="124"/>
      <c r="AE7" s="124"/>
      <c r="AF7" s="124"/>
      <c r="AG7" s="125"/>
      <c r="AH7" s="125"/>
      <c r="AI7" s="513"/>
      <c r="AJ7" s="302" t="e">
        <f t="shared" si="9"/>
        <v>#DIV/0!</v>
      </c>
      <c r="AK7" s="303" t="e">
        <f>IF(AJ7&gt;KKM!$G$10,"A",IF(AJ7&gt;KKM!$H$10,"B",IF(AJ7&gt;=KKM!$I$10,"C","D")))</f>
        <v>#DIV/0!</v>
      </c>
      <c r="AL7" s="304">
        <f t="shared" si="0"/>
        <v>0</v>
      </c>
      <c r="AM7" s="309" t="str">
        <f>IF(AL7&gt;KKM!$G$10," sangat baik ",IF(AL7&gt;KKM!$H$10," baik ",IF(AL7&gt;=KKM!$I$10," cukup baik "," perlu bimbingan ")))</f>
        <v xml:space="preserve"> perlu bimbingan </v>
      </c>
      <c r="AN7" s="305">
        <f t="shared" si="1"/>
        <v>0</v>
      </c>
      <c r="AO7" s="309" t="str">
        <f>IF(AN7&gt;KKM!$G$10," sangat baik ",IF(AN7&gt;KKM!$H$10," baik ",IF(AN7&gt;=KKM!$I$10," cukup baik "," perlu bimbingan ")))</f>
        <v xml:space="preserve"> perlu bimbingan </v>
      </c>
      <c r="AP7" s="301" t="str">
        <f t="shared" si="10"/>
        <v xml:space="preserve"> </v>
      </c>
      <c r="AQ7" s="218"/>
      <c r="AR7" s="219" t="e">
        <f t="shared" si="2"/>
        <v>#N/A</v>
      </c>
      <c r="AS7" s="219" t="e">
        <f t="shared" si="3"/>
        <v>#N/A</v>
      </c>
      <c r="AT7" s="219" t="e">
        <f t="shared" si="11"/>
        <v>#N/A</v>
      </c>
      <c r="AU7" s="219" t="e">
        <f t="shared" si="12"/>
        <v>#N/A</v>
      </c>
      <c r="AV7" s="220" t="e">
        <f t="shared" si="13"/>
        <v>#N/A</v>
      </c>
      <c r="AW7" s="214" t="e">
        <f t="shared" si="4"/>
        <v>#N/A</v>
      </c>
      <c r="AX7" s="120"/>
      <c r="BH7" s="408" t="str">
        <f t="shared" si="14"/>
        <v/>
      </c>
    </row>
    <row r="8" spans="1:69" ht="63.75" customHeight="1">
      <c r="B8" s="109">
        <v>4</v>
      </c>
      <c r="C8" s="110">
        <f>SISWA!B9</f>
        <v>0</v>
      </c>
      <c r="D8" s="111" t="str">
        <f>SISWA!E9</f>
        <v>Anak 4</v>
      </c>
      <c r="E8" s="520"/>
      <c r="F8" s="520"/>
      <c r="G8" s="520"/>
      <c r="H8" s="520"/>
      <c r="I8" s="520"/>
      <c r="J8" s="520"/>
      <c r="K8" s="520"/>
      <c r="L8" s="520">
        <v>87</v>
      </c>
      <c r="M8" s="520"/>
      <c r="N8" s="520"/>
      <c r="O8" s="520"/>
      <c r="P8" s="520"/>
      <c r="Q8" s="520"/>
      <c r="R8" s="520"/>
      <c r="S8" s="520"/>
      <c r="T8" s="533" t="str">
        <f t="shared" si="5"/>
        <v/>
      </c>
      <c r="U8" s="533" t="str">
        <f t="shared" si="6"/>
        <v/>
      </c>
      <c r="V8" s="533">
        <f>IFERROR(AVERAGE(K8:M8),"")</f>
        <v>87</v>
      </c>
      <c r="W8" s="533" t="str">
        <f t="shared" si="7"/>
        <v/>
      </c>
      <c r="X8" s="533" t="str">
        <f t="shared" si="8"/>
        <v/>
      </c>
      <c r="Y8" s="124"/>
      <c r="Z8" s="124"/>
      <c r="AA8" s="124"/>
      <c r="AB8" s="124"/>
      <c r="AC8" s="124"/>
      <c r="AD8" s="124"/>
      <c r="AE8" s="124"/>
      <c r="AF8" s="124"/>
      <c r="AG8" s="125"/>
      <c r="AH8" s="125"/>
      <c r="AI8" s="513"/>
      <c r="AJ8" s="302">
        <f t="shared" si="9"/>
        <v>87</v>
      </c>
      <c r="AK8" s="303" t="str">
        <f>IF(AJ8&gt;KKM!$G$10,"A",IF(AJ8&gt;KKM!$H$10,"B",IF(AJ8&gt;=KKM!$I$10,"C","D")))</f>
        <v>B</v>
      </c>
      <c r="AL8" s="304">
        <f t="shared" si="0"/>
        <v>87</v>
      </c>
      <c r="AM8" s="309" t="str">
        <f>IF(AL8&gt;KKM!$G$10," sangat baik ",IF(AL8&gt;KKM!$H$10," baik ",IF(AL8&gt;=KKM!$I$10," cukup baik "," perlu bimbingan ")))</f>
        <v xml:space="preserve"> baik </v>
      </c>
      <c r="AN8" s="305">
        <f t="shared" si="1"/>
        <v>87</v>
      </c>
      <c r="AO8" s="309" t="str">
        <f>IF(AN8&gt;KKM!$G$10," sangat baik ",IF(AN8&gt;KKM!$H$10," baik ",IF(AN8&gt;=KKM!$I$10," cukup baik "," perlu bimbingan ")))</f>
        <v xml:space="preserve"> baik </v>
      </c>
      <c r="AP8" s="301" t="str">
        <f t="shared" si="10"/>
        <v>Anak 4 baik  dalam menyajikan hasil percobaan tentang hubungan antara gaya dan gerak.</v>
      </c>
      <c r="AQ8" s="218"/>
      <c r="AR8" s="219" t="str">
        <f t="shared" si="2"/>
        <v xml:space="preserve"> baik  dalam menyajikan hasil percobaan tentang hubungan antara gaya dan gerak.</v>
      </c>
      <c r="AS8" s="219" t="str">
        <f t="shared" si="3"/>
        <v xml:space="preserve"> baik  dalam menyajikan hasil percobaan tentang hubungan antara gaya dan gerak.</v>
      </c>
      <c r="AT8" s="219" t="str">
        <f t="shared" si="11"/>
        <v xml:space="preserve"> baik  dalam menyajikan hasil percobaan tentang hubungan antara gaya dan gerak., dan  baik  dalam menyajikan hasil percobaan tentang hubungan antara gaya dan gerak.</v>
      </c>
      <c r="AU8" s="219" t="str">
        <f t="shared" si="12"/>
        <v xml:space="preserve"> baik  dalam menyajikan hasil percobaan tentang hubungan antara gaya dan gerak.</v>
      </c>
      <c r="AV8" s="220" t="str">
        <f t="shared" si="13"/>
        <v xml:space="preserve"> baik  dalam menyajikan hasil percobaan tentang hubungan antara gaya dan gerak.</v>
      </c>
      <c r="AW8" s="214" t="str">
        <f t="shared" si="4"/>
        <v>Anak 4 baik  dalam menyajikan hasil percobaan tentang hubungan antara gaya dan gerak.</v>
      </c>
      <c r="AX8" s="120"/>
      <c r="BH8" s="408">
        <f t="shared" si="14"/>
        <v>87</v>
      </c>
    </row>
    <row r="9" spans="1:69" ht="63.75" customHeight="1">
      <c r="B9" s="109">
        <v>5</v>
      </c>
      <c r="C9" s="110">
        <f>SISWA!B10</f>
        <v>0</v>
      </c>
      <c r="D9" s="111" t="str">
        <f>SISWA!E10</f>
        <v>Anak 5</v>
      </c>
      <c r="E9" s="520"/>
      <c r="F9" s="520"/>
      <c r="G9" s="520"/>
      <c r="H9" s="520"/>
      <c r="I9" s="520"/>
      <c r="J9" s="520"/>
      <c r="K9" s="520"/>
      <c r="L9" s="520"/>
      <c r="M9" s="520"/>
      <c r="N9" s="520"/>
      <c r="O9" s="520">
        <v>88</v>
      </c>
      <c r="P9" s="520"/>
      <c r="Q9" s="520"/>
      <c r="R9" s="520"/>
      <c r="S9" s="520"/>
      <c r="T9" s="533" t="str">
        <f t="shared" si="5"/>
        <v/>
      </c>
      <c r="U9" s="533" t="str">
        <f t="shared" si="6"/>
        <v/>
      </c>
      <c r="V9" s="533" t="str">
        <f t="shared" ref="V9:V54" si="15">IFERROR(AVERAGE(K9:M9),"")</f>
        <v/>
      </c>
      <c r="W9" s="533">
        <f t="shared" si="7"/>
        <v>88</v>
      </c>
      <c r="X9" s="533" t="str">
        <f t="shared" si="8"/>
        <v/>
      </c>
      <c r="Y9" s="124"/>
      <c r="Z9" s="124"/>
      <c r="AA9" s="124"/>
      <c r="AB9" s="124"/>
      <c r="AC9" s="124"/>
      <c r="AD9" s="124"/>
      <c r="AE9" s="124"/>
      <c r="AF9" s="124"/>
      <c r="AG9" s="125"/>
      <c r="AH9" s="125"/>
      <c r="AI9" s="513"/>
      <c r="AJ9" s="302">
        <f t="shared" si="9"/>
        <v>88</v>
      </c>
      <c r="AK9" s="303" t="str">
        <f>IF(AJ9&gt;KKM!$G$10,"A",IF(AJ9&gt;KKM!$H$10,"B",IF(AJ9&gt;=KKM!$I$10,"C","D")))</f>
        <v>B</v>
      </c>
      <c r="AL9" s="304">
        <f t="shared" si="0"/>
        <v>88</v>
      </c>
      <c r="AM9" s="309" t="str">
        <f>IF(AL9&gt;KKM!$G$10," sangat baik ",IF(AL9&gt;KKM!$H$10," baik ",IF(AL9&gt;=KKM!$I$10," cukup baik "," perlu bimbingan ")))</f>
        <v xml:space="preserve"> baik </v>
      </c>
      <c r="AN9" s="305">
        <f t="shared" si="1"/>
        <v>88</v>
      </c>
      <c r="AO9" s="309" t="str">
        <f>IF(AN9&gt;KKM!$G$10," sangat baik ",IF(AN9&gt;KKM!$H$10," baik ",IF(AN9&gt;=KKM!$I$10," cukup baik "," perlu bimbingan ")))</f>
        <v xml:space="preserve"> baik </v>
      </c>
      <c r="AP9" s="301" t="str">
        <f t="shared" si="10"/>
        <v>Anak 5 baik  dalam menyajikan laporan hasil pengamatan dan penelusuran informasi tentang berbagai perubahan bentuk energi.</v>
      </c>
      <c r="AQ9" s="218"/>
      <c r="AR9" s="219" t="str">
        <f t="shared" si="2"/>
        <v xml:space="preserve"> baik  dalam menyajikan laporan hasil pengamatan dan penelusuran informasi tentang berbagai perubahan bentuk energi.</v>
      </c>
      <c r="AS9" s="219" t="str">
        <f t="shared" si="3"/>
        <v xml:space="preserve"> baik  dalam menyajikan laporan hasil pengamatan dan penelusuran informasi tentang berbagai perubahan bentuk energi.</v>
      </c>
      <c r="AT9" s="219" t="str">
        <f t="shared" si="11"/>
        <v xml:space="preserve"> baik  dalam menyajikan laporan hasil pengamatan dan penelusuran informasi tentang berbagai perubahan bentuk energi., dan  baik  dalam menyajikan laporan hasil pengamatan dan penelusuran informasi tentang berbagai perubahan bentuk energi.</v>
      </c>
      <c r="AU9" s="219" t="str">
        <f t="shared" si="12"/>
        <v xml:space="preserve"> baik  dalam menyajikan laporan hasil pengamatan dan penelusuran informasi tentang berbagai perubahan bentuk energi.</v>
      </c>
      <c r="AV9" s="220" t="str">
        <f t="shared" si="13"/>
        <v xml:space="preserve"> baik  dalam menyajikan laporan hasil pengamatan dan penelusuran informasi tentang berbagai perubahan bentuk energi.</v>
      </c>
      <c r="AW9" s="214" t="str">
        <f t="shared" si="4"/>
        <v>Anak 5 baik  dalam menyajikan laporan hasil pengamatan dan penelusuran informasi tentang berbagai perubahan bentuk energi.</v>
      </c>
      <c r="AX9" s="120"/>
      <c r="BH9" s="408">
        <f t="shared" si="14"/>
        <v>88</v>
      </c>
    </row>
    <row r="10" spans="1:69" ht="63.75" customHeight="1">
      <c r="B10" s="109">
        <v>6</v>
      </c>
      <c r="C10" s="110">
        <f>SISWA!B11</f>
        <v>0</v>
      </c>
      <c r="D10" s="111" t="str">
        <f>SISWA!E11</f>
        <v>Anak 6</v>
      </c>
      <c r="E10" s="520"/>
      <c r="F10" s="520"/>
      <c r="G10" s="520"/>
      <c r="H10" s="520"/>
      <c r="I10" s="520"/>
      <c r="J10" s="520"/>
      <c r="K10" s="520"/>
      <c r="L10" s="520"/>
      <c r="M10" s="520"/>
      <c r="N10" s="520"/>
      <c r="O10" s="520"/>
      <c r="P10" s="520"/>
      <c r="Q10" s="520"/>
      <c r="R10" s="520">
        <v>77</v>
      </c>
      <c r="S10" s="520"/>
      <c r="T10" s="533" t="str">
        <f t="shared" si="5"/>
        <v/>
      </c>
      <c r="U10" s="533" t="str">
        <f t="shared" si="6"/>
        <v/>
      </c>
      <c r="V10" s="533" t="str">
        <f t="shared" si="15"/>
        <v/>
      </c>
      <c r="W10" s="533" t="str">
        <f t="shared" si="7"/>
        <v/>
      </c>
      <c r="X10" s="533">
        <f t="shared" si="8"/>
        <v>77</v>
      </c>
      <c r="Y10" s="124"/>
      <c r="Z10" s="124"/>
      <c r="AA10" s="124"/>
      <c r="AB10" s="124"/>
      <c r="AC10" s="124"/>
      <c r="AD10" s="124"/>
      <c r="AE10" s="124"/>
      <c r="AF10" s="124"/>
      <c r="AG10" s="125"/>
      <c r="AH10" s="125"/>
      <c r="AI10" s="513"/>
      <c r="AJ10" s="302">
        <f t="shared" si="9"/>
        <v>77</v>
      </c>
      <c r="AK10" s="303" t="str">
        <f>IF(AJ10&gt;KKM!$G$10,"A",IF(AJ10&gt;KKM!$H$10,"B",IF(AJ10&gt;=KKM!$I$10,"C","D")))</f>
        <v>C</v>
      </c>
      <c r="AL10" s="304">
        <f t="shared" si="0"/>
        <v>77</v>
      </c>
      <c r="AM10" s="309" t="str">
        <f>IF(AL10&gt;KKM!$G$10," sangat baik ",IF(AL10&gt;KKM!$H$10," baik ",IF(AL10&gt;=KKM!$I$10," cukup baik "," perlu bimbingan ")))</f>
        <v xml:space="preserve"> cukup baik </v>
      </c>
      <c r="AN10" s="305">
        <f t="shared" si="1"/>
        <v>77</v>
      </c>
      <c r="AO10" s="309" t="str">
        <f>IF(AN10&gt;KKM!$G$10," sangat baik ",IF(AN10&gt;KKM!$H$10," baik ",IF(AN10&gt;=KKM!$I$10," cukup baik "," perlu bimbingan ")))</f>
        <v xml:space="preserve"> cukup baik </v>
      </c>
      <c r="AP10" s="301" t="str">
        <f t="shared" si="10"/>
        <v>Anak 6 cukup baik  dalam 0</v>
      </c>
      <c r="AQ10" s="218"/>
      <c r="AR10" s="219" t="str">
        <f t="shared" si="2"/>
        <v xml:space="preserve"> cukup baik  dalam 0</v>
      </c>
      <c r="AS10" s="219" t="str">
        <f t="shared" si="3"/>
        <v xml:space="preserve"> cukup baik  dalam 0</v>
      </c>
      <c r="AT10" s="219" t="str">
        <f t="shared" si="11"/>
        <v xml:space="preserve"> cukup baik  dalam 0, dan  cukup baik  dalam 0</v>
      </c>
      <c r="AU10" s="219" t="str">
        <f t="shared" si="12"/>
        <v xml:space="preserve"> cukup baik  dalam 0</v>
      </c>
      <c r="AV10" s="220" t="str">
        <f t="shared" si="13"/>
        <v xml:space="preserve"> cukup baik  dalam 0</v>
      </c>
      <c r="AW10" s="214" t="str">
        <f t="shared" si="4"/>
        <v>Anak 6 cukup baik  dalam 0</v>
      </c>
      <c r="AX10" s="120"/>
      <c r="BH10" s="408">
        <f t="shared" si="14"/>
        <v>77</v>
      </c>
    </row>
    <row r="11" spans="1:69" ht="63.75" customHeight="1">
      <c r="B11" s="109">
        <v>7</v>
      </c>
      <c r="C11" s="110">
        <f>SISWA!B12</f>
        <v>0</v>
      </c>
      <c r="D11" s="111" t="str">
        <f>SISWA!E12</f>
        <v>Anak 7</v>
      </c>
      <c r="E11" s="520"/>
      <c r="F11" s="520"/>
      <c r="G11" s="520"/>
      <c r="H11" s="520"/>
      <c r="I11" s="520"/>
      <c r="J11" s="520"/>
      <c r="K11" s="520"/>
      <c r="L11" s="520"/>
      <c r="M11" s="520"/>
      <c r="N11" s="520"/>
      <c r="O11" s="520"/>
      <c r="P11" s="520"/>
      <c r="Q11" s="520"/>
      <c r="R11" s="520"/>
      <c r="S11" s="520"/>
      <c r="T11" s="533" t="str">
        <f t="shared" si="5"/>
        <v/>
      </c>
      <c r="U11" s="533" t="str">
        <f t="shared" si="6"/>
        <v/>
      </c>
      <c r="V11" s="533" t="str">
        <f t="shared" si="15"/>
        <v/>
      </c>
      <c r="W11" s="533" t="str">
        <f t="shared" si="7"/>
        <v/>
      </c>
      <c r="X11" s="533" t="str">
        <f t="shared" si="8"/>
        <v/>
      </c>
      <c r="Y11" s="124"/>
      <c r="Z11" s="124"/>
      <c r="AA11" s="124"/>
      <c r="AB11" s="124"/>
      <c r="AC11" s="124"/>
      <c r="AD11" s="124"/>
      <c r="AE11" s="124"/>
      <c r="AF11" s="124"/>
      <c r="AG11" s="125"/>
      <c r="AH11" s="125"/>
      <c r="AI11" s="513"/>
      <c r="AJ11" s="302" t="e">
        <f t="shared" si="9"/>
        <v>#DIV/0!</v>
      </c>
      <c r="AK11" s="303" t="e">
        <f>IF(AJ11&gt;KKM!$G$10,"A",IF(AJ11&gt;KKM!$H$10,"B",IF(AJ11&gt;=KKM!$I$10,"C","D")))</f>
        <v>#DIV/0!</v>
      </c>
      <c r="AL11" s="304">
        <f t="shared" si="0"/>
        <v>0</v>
      </c>
      <c r="AM11" s="309" t="str">
        <f>IF(AL11&gt;KKM!$G$10," sangat baik ",IF(AL11&gt;KKM!$H$10," baik ",IF(AL11&gt;=KKM!$I$10," cukup baik "," perlu bimbingan ")))</f>
        <v xml:space="preserve"> perlu bimbingan </v>
      </c>
      <c r="AN11" s="305">
        <f t="shared" si="1"/>
        <v>0</v>
      </c>
      <c r="AO11" s="309" t="str">
        <f>IF(AN11&gt;KKM!$G$10," sangat baik ",IF(AN11&gt;KKM!$H$10," baik ",IF(AN11&gt;=KKM!$I$10," cukup baik "," perlu bimbingan ")))</f>
        <v xml:space="preserve"> perlu bimbingan </v>
      </c>
      <c r="AP11" s="301" t="str">
        <f t="shared" si="10"/>
        <v xml:space="preserve"> </v>
      </c>
      <c r="AQ11" s="218"/>
      <c r="AR11" s="219" t="e">
        <f t="shared" si="2"/>
        <v>#N/A</v>
      </c>
      <c r="AS11" s="219" t="e">
        <f t="shared" si="3"/>
        <v>#N/A</v>
      </c>
      <c r="AT11" s="219" t="e">
        <f t="shared" si="11"/>
        <v>#N/A</v>
      </c>
      <c r="AU11" s="219" t="e">
        <f t="shared" si="12"/>
        <v>#N/A</v>
      </c>
      <c r="AV11" s="220" t="e">
        <f t="shared" si="13"/>
        <v>#N/A</v>
      </c>
      <c r="AW11" s="214" t="e">
        <f t="shared" si="4"/>
        <v>#N/A</v>
      </c>
      <c r="AX11" s="120"/>
      <c r="BH11" s="408" t="str">
        <f t="shared" si="14"/>
        <v/>
      </c>
    </row>
    <row r="12" spans="1:69" ht="63.75" customHeight="1">
      <c r="B12" s="109">
        <v>8</v>
      </c>
      <c r="C12" s="110">
        <f>SISWA!B13</f>
        <v>0</v>
      </c>
      <c r="D12" s="111" t="str">
        <f>SISWA!E13</f>
        <v>Anak 8</v>
      </c>
      <c r="E12" s="520"/>
      <c r="F12" s="520"/>
      <c r="G12" s="520"/>
      <c r="H12" s="520"/>
      <c r="I12" s="520"/>
      <c r="J12" s="520"/>
      <c r="K12" s="520"/>
      <c r="L12" s="520"/>
      <c r="M12" s="520"/>
      <c r="N12" s="520"/>
      <c r="O12" s="520"/>
      <c r="P12" s="520"/>
      <c r="Q12" s="520"/>
      <c r="R12" s="520"/>
      <c r="S12" s="520"/>
      <c r="T12" s="533" t="str">
        <f t="shared" si="5"/>
        <v/>
      </c>
      <c r="U12" s="533" t="str">
        <f t="shared" si="6"/>
        <v/>
      </c>
      <c r="V12" s="533" t="str">
        <f t="shared" si="15"/>
        <v/>
      </c>
      <c r="W12" s="533" t="str">
        <f t="shared" si="7"/>
        <v/>
      </c>
      <c r="X12" s="533" t="str">
        <f t="shared" si="8"/>
        <v/>
      </c>
      <c r="Y12" s="124"/>
      <c r="Z12" s="124"/>
      <c r="AA12" s="124"/>
      <c r="AB12" s="124"/>
      <c r="AC12" s="124"/>
      <c r="AD12" s="124"/>
      <c r="AE12" s="124"/>
      <c r="AF12" s="124"/>
      <c r="AG12" s="125"/>
      <c r="AH12" s="125"/>
      <c r="AI12" s="513"/>
      <c r="AJ12" s="302" t="e">
        <f t="shared" si="9"/>
        <v>#DIV/0!</v>
      </c>
      <c r="AK12" s="303" t="e">
        <f>IF(AJ12&gt;KKM!$G$10,"A",IF(AJ12&gt;KKM!$H$10,"B",IF(AJ12&gt;=KKM!$I$10,"C","D")))</f>
        <v>#DIV/0!</v>
      </c>
      <c r="AL12" s="304">
        <f t="shared" si="0"/>
        <v>0</v>
      </c>
      <c r="AM12" s="309" t="str">
        <f>IF(AL12&gt;KKM!$G$10," sangat baik ",IF(AL12&gt;KKM!$H$10," baik ",IF(AL12&gt;=KKM!$I$10," cukup baik "," perlu bimbingan ")))</f>
        <v xml:space="preserve"> perlu bimbingan </v>
      </c>
      <c r="AN12" s="305">
        <f t="shared" si="1"/>
        <v>0</v>
      </c>
      <c r="AO12" s="309" t="str">
        <f>IF(AN12&gt;KKM!$G$10," sangat baik ",IF(AN12&gt;KKM!$H$10," baik ",IF(AN12&gt;=KKM!$I$10," cukup baik "," perlu bimbingan ")))</f>
        <v xml:space="preserve"> perlu bimbingan </v>
      </c>
      <c r="AP12" s="301" t="str">
        <f t="shared" si="10"/>
        <v xml:space="preserve"> </v>
      </c>
      <c r="AQ12" s="218"/>
      <c r="AR12" s="219" t="e">
        <f t="shared" si="2"/>
        <v>#N/A</v>
      </c>
      <c r="AS12" s="219" t="e">
        <f t="shared" si="3"/>
        <v>#N/A</v>
      </c>
      <c r="AT12" s="219" t="e">
        <f t="shared" si="11"/>
        <v>#N/A</v>
      </c>
      <c r="AU12" s="219" t="e">
        <f t="shared" si="12"/>
        <v>#N/A</v>
      </c>
      <c r="AV12" s="220" t="e">
        <f t="shared" si="13"/>
        <v>#N/A</v>
      </c>
      <c r="AW12" s="214" t="e">
        <f t="shared" si="4"/>
        <v>#N/A</v>
      </c>
      <c r="AX12" s="120"/>
      <c r="BH12" s="408" t="str">
        <f t="shared" si="14"/>
        <v/>
      </c>
    </row>
    <row r="13" spans="1:69" ht="63.75" customHeight="1">
      <c r="B13" s="109">
        <v>9</v>
      </c>
      <c r="C13" s="110">
        <f>SISWA!B14</f>
        <v>0</v>
      </c>
      <c r="D13" s="111" t="str">
        <f>SISWA!E14</f>
        <v>Anak 9</v>
      </c>
      <c r="E13" s="520"/>
      <c r="F13" s="520"/>
      <c r="G13" s="520"/>
      <c r="H13" s="520"/>
      <c r="I13" s="520"/>
      <c r="J13" s="520"/>
      <c r="K13" s="520"/>
      <c r="L13" s="520"/>
      <c r="M13" s="520"/>
      <c r="N13" s="520"/>
      <c r="O13" s="520"/>
      <c r="P13" s="520"/>
      <c r="Q13" s="520"/>
      <c r="R13" s="520"/>
      <c r="S13" s="520"/>
      <c r="T13" s="533" t="str">
        <f t="shared" si="5"/>
        <v/>
      </c>
      <c r="U13" s="533" t="str">
        <f t="shared" si="6"/>
        <v/>
      </c>
      <c r="V13" s="533" t="str">
        <f t="shared" si="15"/>
        <v/>
      </c>
      <c r="W13" s="533" t="str">
        <f t="shared" si="7"/>
        <v/>
      </c>
      <c r="X13" s="533" t="str">
        <f t="shared" si="8"/>
        <v/>
      </c>
      <c r="Y13" s="124"/>
      <c r="Z13" s="124"/>
      <c r="AA13" s="124"/>
      <c r="AB13" s="124"/>
      <c r="AC13" s="124"/>
      <c r="AD13" s="124"/>
      <c r="AE13" s="124"/>
      <c r="AF13" s="124"/>
      <c r="AG13" s="125"/>
      <c r="AH13" s="125"/>
      <c r="AI13" s="513"/>
      <c r="AJ13" s="302" t="e">
        <f t="shared" si="9"/>
        <v>#DIV/0!</v>
      </c>
      <c r="AK13" s="303" t="e">
        <f>IF(AJ13&gt;KKM!$G$10,"A",IF(AJ13&gt;KKM!$H$10,"B",IF(AJ13&gt;=KKM!$I$10,"C","D")))</f>
        <v>#DIV/0!</v>
      </c>
      <c r="AL13" s="304">
        <f t="shared" si="0"/>
        <v>0</v>
      </c>
      <c r="AM13" s="309" t="str">
        <f>IF(AL13&gt;KKM!$G$10," sangat baik ",IF(AL13&gt;KKM!$H$10," baik ",IF(AL13&gt;=KKM!$I$10," cukup baik "," perlu bimbingan ")))</f>
        <v xml:space="preserve"> perlu bimbingan </v>
      </c>
      <c r="AN13" s="305">
        <f t="shared" si="1"/>
        <v>0</v>
      </c>
      <c r="AO13" s="309" t="str">
        <f>IF(AN13&gt;KKM!$G$10," sangat baik ",IF(AN13&gt;KKM!$H$10," baik ",IF(AN13&gt;=KKM!$I$10," cukup baik "," perlu bimbingan ")))</f>
        <v xml:space="preserve"> perlu bimbingan </v>
      </c>
      <c r="AP13" s="301" t="str">
        <f t="shared" si="10"/>
        <v xml:space="preserve"> </v>
      </c>
      <c r="AQ13" s="218"/>
      <c r="AR13" s="219" t="e">
        <f t="shared" si="2"/>
        <v>#N/A</v>
      </c>
      <c r="AS13" s="219" t="e">
        <f t="shared" si="3"/>
        <v>#N/A</v>
      </c>
      <c r="AT13" s="219" t="e">
        <f t="shared" si="11"/>
        <v>#N/A</v>
      </c>
      <c r="AU13" s="219" t="e">
        <f t="shared" si="12"/>
        <v>#N/A</v>
      </c>
      <c r="AV13" s="220" t="e">
        <f t="shared" si="13"/>
        <v>#N/A</v>
      </c>
      <c r="AW13" s="214" t="e">
        <f t="shared" si="4"/>
        <v>#N/A</v>
      </c>
      <c r="AX13" s="120"/>
      <c r="BH13" s="408" t="str">
        <f t="shared" si="14"/>
        <v/>
      </c>
    </row>
    <row r="14" spans="1:69" ht="63.75" customHeight="1">
      <c r="B14" s="109">
        <v>10</v>
      </c>
      <c r="C14" s="110">
        <f>SISWA!B15</f>
        <v>0</v>
      </c>
      <c r="D14" s="111" t="str">
        <f>SISWA!E15</f>
        <v>Anak 10</v>
      </c>
      <c r="E14" s="520"/>
      <c r="F14" s="520"/>
      <c r="G14" s="520"/>
      <c r="H14" s="520"/>
      <c r="I14" s="520"/>
      <c r="J14" s="520"/>
      <c r="K14" s="520"/>
      <c r="L14" s="520"/>
      <c r="M14" s="520"/>
      <c r="N14" s="520"/>
      <c r="O14" s="520"/>
      <c r="P14" s="520"/>
      <c r="Q14" s="520"/>
      <c r="R14" s="520"/>
      <c r="S14" s="520"/>
      <c r="T14" s="533" t="str">
        <f t="shared" si="5"/>
        <v/>
      </c>
      <c r="U14" s="533" t="str">
        <f t="shared" si="6"/>
        <v/>
      </c>
      <c r="V14" s="533" t="str">
        <f t="shared" si="15"/>
        <v/>
      </c>
      <c r="W14" s="533" t="str">
        <f t="shared" si="7"/>
        <v/>
      </c>
      <c r="X14" s="533" t="str">
        <f t="shared" si="8"/>
        <v/>
      </c>
      <c r="Y14" s="124"/>
      <c r="Z14" s="124"/>
      <c r="AA14" s="124"/>
      <c r="AB14" s="124"/>
      <c r="AC14" s="124"/>
      <c r="AD14" s="124"/>
      <c r="AE14" s="124"/>
      <c r="AF14" s="124"/>
      <c r="AG14" s="125"/>
      <c r="AH14" s="125"/>
      <c r="AI14" s="513"/>
      <c r="AJ14" s="302" t="e">
        <f t="shared" si="9"/>
        <v>#DIV/0!</v>
      </c>
      <c r="AK14" s="303" t="e">
        <f>IF(AJ14&gt;KKM!$G$10,"A",IF(AJ14&gt;KKM!$H$10,"B",IF(AJ14&gt;=KKM!$I$10,"C","D")))</f>
        <v>#DIV/0!</v>
      </c>
      <c r="AL14" s="304">
        <f t="shared" si="0"/>
        <v>0</v>
      </c>
      <c r="AM14" s="309" t="str">
        <f>IF(AL14&gt;KKM!$G$10," sangat baik ",IF(AL14&gt;KKM!$H$10," baik ",IF(AL14&gt;=KKM!$I$10," cukup baik "," perlu bimbingan ")))</f>
        <v xml:space="preserve"> perlu bimbingan </v>
      </c>
      <c r="AN14" s="305">
        <f t="shared" si="1"/>
        <v>0</v>
      </c>
      <c r="AO14" s="309" t="str">
        <f>IF(AN14&gt;KKM!$G$10," sangat baik ",IF(AN14&gt;KKM!$H$10," baik ",IF(AN14&gt;=KKM!$I$10," cukup baik "," perlu bimbingan ")))</f>
        <v xml:space="preserve"> perlu bimbingan </v>
      </c>
      <c r="AP14" s="301" t="str">
        <f t="shared" si="10"/>
        <v xml:space="preserve"> </v>
      </c>
      <c r="AQ14" s="218"/>
      <c r="AR14" s="219" t="e">
        <f t="shared" si="2"/>
        <v>#N/A</v>
      </c>
      <c r="AS14" s="219" t="e">
        <f t="shared" si="3"/>
        <v>#N/A</v>
      </c>
      <c r="AT14" s="219" t="e">
        <f t="shared" si="11"/>
        <v>#N/A</v>
      </c>
      <c r="AU14" s="219" t="e">
        <f t="shared" si="12"/>
        <v>#N/A</v>
      </c>
      <c r="AV14" s="220" t="e">
        <f t="shared" si="13"/>
        <v>#N/A</v>
      </c>
      <c r="AW14" s="214" t="e">
        <f t="shared" si="4"/>
        <v>#N/A</v>
      </c>
      <c r="AX14" s="120"/>
      <c r="BH14" s="408" t="str">
        <f t="shared" si="14"/>
        <v/>
      </c>
    </row>
    <row r="15" spans="1:69" ht="63.75" customHeight="1">
      <c r="B15" s="109">
        <v>11</v>
      </c>
      <c r="C15" s="110">
        <f>SISWA!B16</f>
        <v>0</v>
      </c>
      <c r="D15" s="111" t="str">
        <f>SISWA!E16</f>
        <v>Anak 11</v>
      </c>
      <c r="E15" s="520"/>
      <c r="F15" s="520"/>
      <c r="G15" s="520"/>
      <c r="H15" s="520"/>
      <c r="I15" s="520"/>
      <c r="J15" s="520"/>
      <c r="K15" s="520"/>
      <c r="L15" s="520"/>
      <c r="M15" s="520"/>
      <c r="N15" s="520"/>
      <c r="O15" s="520"/>
      <c r="P15" s="520"/>
      <c r="Q15" s="520"/>
      <c r="R15" s="520"/>
      <c r="S15" s="520"/>
      <c r="T15" s="533" t="str">
        <f t="shared" si="5"/>
        <v/>
      </c>
      <c r="U15" s="533" t="str">
        <f t="shared" si="6"/>
        <v/>
      </c>
      <c r="V15" s="533" t="str">
        <f t="shared" si="15"/>
        <v/>
      </c>
      <c r="W15" s="533" t="str">
        <f t="shared" si="7"/>
        <v/>
      </c>
      <c r="X15" s="533" t="str">
        <f t="shared" si="8"/>
        <v/>
      </c>
      <c r="Y15" s="124"/>
      <c r="Z15" s="124"/>
      <c r="AA15" s="124"/>
      <c r="AB15" s="124"/>
      <c r="AC15" s="124"/>
      <c r="AD15" s="124"/>
      <c r="AE15" s="124"/>
      <c r="AF15" s="124"/>
      <c r="AG15" s="125"/>
      <c r="AH15" s="125"/>
      <c r="AI15" s="513"/>
      <c r="AJ15" s="302" t="e">
        <f t="shared" si="9"/>
        <v>#DIV/0!</v>
      </c>
      <c r="AK15" s="303" t="e">
        <f>IF(AJ15&gt;KKM!$G$10,"A",IF(AJ15&gt;KKM!$H$10,"B",IF(AJ15&gt;=KKM!$I$10,"C","D")))</f>
        <v>#DIV/0!</v>
      </c>
      <c r="AL15" s="304">
        <f t="shared" si="0"/>
        <v>0</v>
      </c>
      <c r="AM15" s="309" t="str">
        <f>IF(AL15&gt;KKM!$G$10," sangat baik ",IF(AL15&gt;KKM!$H$10," baik ",IF(AL15&gt;=KKM!$I$10," cukup baik "," perlu bimbingan ")))</f>
        <v xml:space="preserve"> perlu bimbingan </v>
      </c>
      <c r="AN15" s="305">
        <f t="shared" si="1"/>
        <v>0</v>
      </c>
      <c r="AO15" s="309" t="str">
        <f>IF(AN15&gt;KKM!$G$10," sangat baik ",IF(AN15&gt;KKM!$H$10," baik ",IF(AN15&gt;=KKM!$I$10," cukup baik "," perlu bimbingan ")))</f>
        <v xml:space="preserve"> perlu bimbingan </v>
      </c>
      <c r="AP15" s="301" t="str">
        <f t="shared" si="10"/>
        <v xml:space="preserve"> </v>
      </c>
      <c r="AQ15" s="218"/>
      <c r="AR15" s="219" t="e">
        <f t="shared" si="2"/>
        <v>#N/A</v>
      </c>
      <c r="AS15" s="219" t="e">
        <f t="shared" si="3"/>
        <v>#N/A</v>
      </c>
      <c r="AT15" s="219" t="e">
        <f t="shared" si="11"/>
        <v>#N/A</v>
      </c>
      <c r="AU15" s="219" t="e">
        <f t="shared" si="12"/>
        <v>#N/A</v>
      </c>
      <c r="AV15" s="220" t="e">
        <f t="shared" si="13"/>
        <v>#N/A</v>
      </c>
      <c r="AW15" s="214" t="e">
        <f t="shared" si="4"/>
        <v>#N/A</v>
      </c>
      <c r="AX15" s="120"/>
      <c r="BH15" s="408" t="str">
        <f t="shared" si="14"/>
        <v/>
      </c>
    </row>
    <row r="16" spans="1:69" ht="63.75" customHeight="1">
      <c r="B16" s="109">
        <v>12</v>
      </c>
      <c r="C16" s="110">
        <f>SISWA!B17</f>
        <v>0</v>
      </c>
      <c r="D16" s="111" t="str">
        <f>SISWA!E17</f>
        <v>Anak 12</v>
      </c>
      <c r="E16" s="520"/>
      <c r="F16" s="520"/>
      <c r="G16" s="520"/>
      <c r="H16" s="520"/>
      <c r="I16" s="520"/>
      <c r="J16" s="520"/>
      <c r="K16" s="520"/>
      <c r="L16" s="520"/>
      <c r="M16" s="520"/>
      <c r="N16" s="520"/>
      <c r="O16" s="520"/>
      <c r="P16" s="520"/>
      <c r="Q16" s="520"/>
      <c r="R16" s="520"/>
      <c r="S16" s="520"/>
      <c r="T16" s="533" t="str">
        <f t="shared" si="5"/>
        <v/>
      </c>
      <c r="U16" s="533" t="str">
        <f t="shared" si="6"/>
        <v/>
      </c>
      <c r="V16" s="533" t="str">
        <f t="shared" si="15"/>
        <v/>
      </c>
      <c r="W16" s="533" t="str">
        <f t="shared" si="7"/>
        <v/>
      </c>
      <c r="X16" s="533" t="str">
        <f t="shared" si="8"/>
        <v/>
      </c>
      <c r="Y16" s="124"/>
      <c r="Z16" s="124"/>
      <c r="AA16" s="124"/>
      <c r="AB16" s="124"/>
      <c r="AC16" s="124"/>
      <c r="AD16" s="124"/>
      <c r="AE16" s="124"/>
      <c r="AF16" s="124"/>
      <c r="AG16" s="125"/>
      <c r="AH16" s="125"/>
      <c r="AI16" s="513"/>
      <c r="AJ16" s="302" t="e">
        <f t="shared" si="9"/>
        <v>#DIV/0!</v>
      </c>
      <c r="AK16" s="303" t="e">
        <f>IF(AJ16&gt;KKM!$G$10,"A",IF(AJ16&gt;KKM!$H$10,"B",IF(AJ16&gt;=KKM!$I$10,"C","D")))</f>
        <v>#DIV/0!</v>
      </c>
      <c r="AL16" s="304">
        <f t="shared" si="0"/>
        <v>0</v>
      </c>
      <c r="AM16" s="309" t="str">
        <f>IF(AL16&gt;KKM!$G$10," sangat baik ",IF(AL16&gt;KKM!$H$10," baik ",IF(AL16&gt;=KKM!$I$10," cukup baik "," perlu bimbingan ")))</f>
        <v xml:space="preserve"> perlu bimbingan </v>
      </c>
      <c r="AN16" s="305">
        <f t="shared" si="1"/>
        <v>0</v>
      </c>
      <c r="AO16" s="309" t="str">
        <f>IF(AN16&gt;KKM!$G$10," sangat baik ",IF(AN16&gt;KKM!$H$10," baik ",IF(AN16&gt;=KKM!$I$10," cukup baik "," perlu bimbingan ")))</f>
        <v xml:space="preserve"> perlu bimbingan </v>
      </c>
      <c r="AP16" s="301" t="str">
        <f t="shared" si="10"/>
        <v xml:space="preserve"> </v>
      </c>
      <c r="AQ16" s="218"/>
      <c r="AR16" s="219" t="e">
        <f t="shared" si="2"/>
        <v>#N/A</v>
      </c>
      <c r="AS16" s="219" t="e">
        <f t="shared" si="3"/>
        <v>#N/A</v>
      </c>
      <c r="AT16" s="219" t="e">
        <f t="shared" si="11"/>
        <v>#N/A</v>
      </c>
      <c r="AU16" s="219" t="e">
        <f t="shared" si="12"/>
        <v>#N/A</v>
      </c>
      <c r="AV16" s="220" t="e">
        <f t="shared" si="13"/>
        <v>#N/A</v>
      </c>
      <c r="AW16" s="214" t="e">
        <f t="shared" si="4"/>
        <v>#N/A</v>
      </c>
      <c r="AX16" s="120"/>
      <c r="BH16" s="408" t="str">
        <f t="shared" si="14"/>
        <v/>
      </c>
    </row>
    <row r="17" spans="2:60" ht="63.75" customHeight="1">
      <c r="B17" s="109">
        <v>13</v>
      </c>
      <c r="C17" s="110">
        <f>SISWA!B18</f>
        <v>0</v>
      </c>
      <c r="D17" s="111" t="str">
        <f>SISWA!E18</f>
        <v>Anak 13</v>
      </c>
      <c r="E17" s="520"/>
      <c r="F17" s="520"/>
      <c r="G17" s="520"/>
      <c r="H17" s="520"/>
      <c r="I17" s="520"/>
      <c r="J17" s="520"/>
      <c r="K17" s="520"/>
      <c r="L17" s="520"/>
      <c r="M17" s="520"/>
      <c r="N17" s="520"/>
      <c r="O17" s="520"/>
      <c r="P17" s="520"/>
      <c r="Q17" s="520"/>
      <c r="R17" s="520"/>
      <c r="S17" s="520"/>
      <c r="T17" s="533" t="str">
        <f t="shared" si="5"/>
        <v/>
      </c>
      <c r="U17" s="533" t="str">
        <f t="shared" si="6"/>
        <v/>
      </c>
      <c r="V17" s="533" t="str">
        <f t="shared" si="15"/>
        <v/>
      </c>
      <c r="W17" s="533" t="str">
        <f t="shared" si="7"/>
        <v/>
      </c>
      <c r="X17" s="533" t="str">
        <f t="shared" si="8"/>
        <v/>
      </c>
      <c r="Y17" s="124"/>
      <c r="Z17" s="124"/>
      <c r="AA17" s="124"/>
      <c r="AB17" s="124"/>
      <c r="AC17" s="124"/>
      <c r="AD17" s="124"/>
      <c r="AE17" s="124"/>
      <c r="AF17" s="124"/>
      <c r="AG17" s="125"/>
      <c r="AH17" s="125"/>
      <c r="AI17" s="513"/>
      <c r="AJ17" s="302" t="e">
        <f t="shared" si="9"/>
        <v>#DIV/0!</v>
      </c>
      <c r="AK17" s="303" t="e">
        <f>IF(AJ17&gt;KKM!$G$10,"A",IF(AJ17&gt;KKM!$H$10,"B",IF(AJ17&gt;=KKM!$I$10,"C","D")))</f>
        <v>#DIV/0!</v>
      </c>
      <c r="AL17" s="304">
        <f t="shared" si="0"/>
        <v>0</v>
      </c>
      <c r="AM17" s="309" t="str">
        <f>IF(AL17&gt;KKM!$G$10," sangat baik ",IF(AL17&gt;KKM!$H$10," baik ",IF(AL17&gt;=KKM!$I$10," cukup baik "," perlu bimbingan ")))</f>
        <v xml:space="preserve"> perlu bimbingan </v>
      </c>
      <c r="AN17" s="305">
        <f t="shared" si="1"/>
        <v>0</v>
      </c>
      <c r="AO17" s="309" t="str">
        <f>IF(AN17&gt;KKM!$G$10," sangat baik ",IF(AN17&gt;KKM!$H$10," baik ",IF(AN17&gt;=KKM!$I$10," cukup baik "," perlu bimbingan ")))</f>
        <v xml:space="preserve"> perlu bimbingan </v>
      </c>
      <c r="AP17" s="301" t="str">
        <f t="shared" si="10"/>
        <v xml:space="preserve"> </v>
      </c>
      <c r="AQ17" s="218"/>
      <c r="AR17" s="219" t="e">
        <f t="shared" si="2"/>
        <v>#N/A</v>
      </c>
      <c r="AS17" s="219" t="e">
        <f t="shared" si="3"/>
        <v>#N/A</v>
      </c>
      <c r="AT17" s="219" t="e">
        <f t="shared" si="11"/>
        <v>#N/A</v>
      </c>
      <c r="AU17" s="219" t="e">
        <f t="shared" si="12"/>
        <v>#N/A</v>
      </c>
      <c r="AV17" s="220" t="e">
        <f t="shared" si="13"/>
        <v>#N/A</v>
      </c>
      <c r="AW17" s="214" t="e">
        <f t="shared" si="4"/>
        <v>#N/A</v>
      </c>
      <c r="AX17" s="120"/>
      <c r="BH17" s="408" t="str">
        <f t="shared" si="14"/>
        <v/>
      </c>
    </row>
    <row r="18" spans="2:60" ht="63.75" customHeight="1">
      <c r="B18" s="109">
        <v>14</v>
      </c>
      <c r="C18" s="110">
        <f>SISWA!B19</f>
        <v>0</v>
      </c>
      <c r="D18" s="111" t="str">
        <f>SISWA!E19</f>
        <v>Anak 14</v>
      </c>
      <c r="E18" s="520"/>
      <c r="F18" s="520"/>
      <c r="G18" s="520"/>
      <c r="H18" s="520"/>
      <c r="I18" s="520"/>
      <c r="J18" s="520"/>
      <c r="K18" s="520"/>
      <c r="L18" s="520"/>
      <c r="M18" s="520"/>
      <c r="N18" s="520"/>
      <c r="O18" s="520"/>
      <c r="P18" s="520"/>
      <c r="Q18" s="520"/>
      <c r="R18" s="520"/>
      <c r="S18" s="520"/>
      <c r="T18" s="533" t="str">
        <f t="shared" si="5"/>
        <v/>
      </c>
      <c r="U18" s="533" t="str">
        <f t="shared" si="6"/>
        <v/>
      </c>
      <c r="V18" s="533" t="str">
        <f t="shared" si="15"/>
        <v/>
      </c>
      <c r="W18" s="533" t="str">
        <f t="shared" si="7"/>
        <v/>
      </c>
      <c r="X18" s="533" t="str">
        <f t="shared" si="8"/>
        <v/>
      </c>
      <c r="Y18" s="124"/>
      <c r="Z18" s="124"/>
      <c r="AA18" s="124"/>
      <c r="AB18" s="124"/>
      <c r="AC18" s="124"/>
      <c r="AD18" s="124"/>
      <c r="AE18" s="124"/>
      <c r="AF18" s="124"/>
      <c r="AG18" s="125"/>
      <c r="AH18" s="125"/>
      <c r="AI18" s="513"/>
      <c r="AJ18" s="302" t="e">
        <f t="shared" si="9"/>
        <v>#DIV/0!</v>
      </c>
      <c r="AK18" s="303" t="e">
        <f>IF(AJ18&gt;KKM!$G$10,"A",IF(AJ18&gt;KKM!$H$10,"B",IF(AJ18&gt;=KKM!$I$10,"C","D")))</f>
        <v>#DIV/0!</v>
      </c>
      <c r="AL18" s="304">
        <f t="shared" si="0"/>
        <v>0</v>
      </c>
      <c r="AM18" s="309" t="str">
        <f>IF(AL18&gt;KKM!$G$10," sangat baik ",IF(AL18&gt;KKM!$H$10," baik ",IF(AL18&gt;=KKM!$I$10," cukup baik "," perlu bimbingan ")))</f>
        <v xml:space="preserve"> perlu bimbingan </v>
      </c>
      <c r="AN18" s="305">
        <f t="shared" si="1"/>
        <v>0</v>
      </c>
      <c r="AO18" s="309" t="str">
        <f>IF(AN18&gt;KKM!$G$10," sangat baik ",IF(AN18&gt;KKM!$H$10," baik ",IF(AN18&gt;=KKM!$I$10," cukup baik "," perlu bimbingan ")))</f>
        <v xml:space="preserve"> perlu bimbingan </v>
      </c>
      <c r="AP18" s="301" t="str">
        <f t="shared" si="10"/>
        <v xml:space="preserve"> </v>
      </c>
      <c r="AQ18" s="218"/>
      <c r="AR18" s="219" t="e">
        <f t="shared" si="2"/>
        <v>#N/A</v>
      </c>
      <c r="AS18" s="219" t="e">
        <f t="shared" si="3"/>
        <v>#N/A</v>
      </c>
      <c r="AT18" s="219" t="e">
        <f t="shared" si="11"/>
        <v>#N/A</v>
      </c>
      <c r="AU18" s="219" t="e">
        <f t="shared" si="12"/>
        <v>#N/A</v>
      </c>
      <c r="AV18" s="220" t="e">
        <f t="shared" si="13"/>
        <v>#N/A</v>
      </c>
      <c r="AW18" s="214" t="e">
        <f t="shared" si="4"/>
        <v>#N/A</v>
      </c>
      <c r="AX18" s="120"/>
      <c r="BH18" s="408" t="str">
        <f t="shared" si="14"/>
        <v/>
      </c>
    </row>
    <row r="19" spans="2:60" ht="63.75" customHeight="1">
      <c r="B19" s="109">
        <v>15</v>
      </c>
      <c r="C19" s="110">
        <f>SISWA!B20</f>
        <v>0</v>
      </c>
      <c r="D19" s="111" t="str">
        <f>SISWA!E20</f>
        <v>Anak 15</v>
      </c>
      <c r="E19" s="520"/>
      <c r="F19" s="520"/>
      <c r="G19" s="520"/>
      <c r="H19" s="520"/>
      <c r="I19" s="520"/>
      <c r="J19" s="520"/>
      <c r="K19" s="520"/>
      <c r="L19" s="520"/>
      <c r="M19" s="520"/>
      <c r="N19" s="520"/>
      <c r="O19" s="520"/>
      <c r="P19" s="520"/>
      <c r="Q19" s="520"/>
      <c r="R19" s="520"/>
      <c r="S19" s="520"/>
      <c r="T19" s="533" t="str">
        <f t="shared" si="5"/>
        <v/>
      </c>
      <c r="U19" s="533" t="str">
        <f t="shared" si="6"/>
        <v/>
      </c>
      <c r="V19" s="533" t="str">
        <f t="shared" si="15"/>
        <v/>
      </c>
      <c r="W19" s="533" t="str">
        <f t="shared" si="7"/>
        <v/>
      </c>
      <c r="X19" s="533" t="str">
        <f t="shared" si="8"/>
        <v/>
      </c>
      <c r="Y19" s="124"/>
      <c r="Z19" s="124"/>
      <c r="AA19" s="124"/>
      <c r="AB19" s="124"/>
      <c r="AC19" s="124"/>
      <c r="AD19" s="124"/>
      <c r="AE19" s="124"/>
      <c r="AF19" s="124"/>
      <c r="AG19" s="125"/>
      <c r="AH19" s="125"/>
      <c r="AI19" s="513"/>
      <c r="AJ19" s="302" t="e">
        <f t="shared" si="9"/>
        <v>#DIV/0!</v>
      </c>
      <c r="AK19" s="303" t="e">
        <f>IF(AJ19&gt;KKM!$G$10,"A",IF(AJ19&gt;KKM!$H$10,"B",IF(AJ19&gt;=KKM!$I$10,"C","D")))</f>
        <v>#DIV/0!</v>
      </c>
      <c r="AL19" s="304">
        <f t="shared" si="0"/>
        <v>0</v>
      </c>
      <c r="AM19" s="309" t="str">
        <f>IF(AL19&gt;KKM!$G$10," sangat baik ",IF(AL19&gt;KKM!$H$10," baik ",IF(AL19&gt;=KKM!$I$10," cukup baik "," perlu bimbingan ")))</f>
        <v xml:space="preserve"> perlu bimbingan </v>
      </c>
      <c r="AN19" s="305">
        <f t="shared" si="1"/>
        <v>0</v>
      </c>
      <c r="AO19" s="309" t="str">
        <f>IF(AN19&gt;KKM!$G$10," sangat baik ",IF(AN19&gt;KKM!$H$10," baik ",IF(AN19&gt;=KKM!$I$10," cukup baik "," perlu bimbingan ")))</f>
        <v xml:space="preserve"> perlu bimbingan </v>
      </c>
      <c r="AP19" s="301" t="str">
        <f t="shared" si="10"/>
        <v xml:space="preserve"> </v>
      </c>
      <c r="AQ19" s="218"/>
      <c r="AR19" s="219" t="e">
        <f t="shared" si="2"/>
        <v>#N/A</v>
      </c>
      <c r="AS19" s="219" t="e">
        <f t="shared" si="3"/>
        <v>#N/A</v>
      </c>
      <c r="AT19" s="219" t="e">
        <f t="shared" si="11"/>
        <v>#N/A</v>
      </c>
      <c r="AU19" s="219" t="e">
        <f t="shared" si="12"/>
        <v>#N/A</v>
      </c>
      <c r="AV19" s="220" t="e">
        <f t="shared" si="13"/>
        <v>#N/A</v>
      </c>
      <c r="AW19" s="214" t="e">
        <f t="shared" si="4"/>
        <v>#N/A</v>
      </c>
      <c r="AX19" s="120"/>
      <c r="BH19" s="408" t="str">
        <f t="shared" si="14"/>
        <v/>
      </c>
    </row>
    <row r="20" spans="2:60" ht="63.75" customHeight="1">
      <c r="B20" s="109">
        <v>16</v>
      </c>
      <c r="C20" s="110">
        <f>SISWA!B21</f>
        <v>0</v>
      </c>
      <c r="D20" s="111" t="str">
        <f>SISWA!E21</f>
        <v>Anak 16</v>
      </c>
      <c r="E20" s="520"/>
      <c r="F20" s="520"/>
      <c r="G20" s="520"/>
      <c r="H20" s="520"/>
      <c r="I20" s="520"/>
      <c r="J20" s="520"/>
      <c r="K20" s="520"/>
      <c r="L20" s="520"/>
      <c r="M20" s="520"/>
      <c r="N20" s="520"/>
      <c r="O20" s="520"/>
      <c r="P20" s="520"/>
      <c r="Q20" s="520"/>
      <c r="R20" s="520"/>
      <c r="S20" s="520"/>
      <c r="T20" s="533" t="str">
        <f t="shared" si="5"/>
        <v/>
      </c>
      <c r="U20" s="533" t="str">
        <f t="shared" si="6"/>
        <v/>
      </c>
      <c r="V20" s="533" t="str">
        <f t="shared" si="15"/>
        <v/>
      </c>
      <c r="W20" s="533" t="str">
        <f t="shared" si="7"/>
        <v/>
      </c>
      <c r="X20" s="533" t="str">
        <f t="shared" si="8"/>
        <v/>
      </c>
      <c r="Y20" s="124"/>
      <c r="Z20" s="124"/>
      <c r="AA20" s="124"/>
      <c r="AB20" s="124"/>
      <c r="AC20" s="124"/>
      <c r="AD20" s="124"/>
      <c r="AE20" s="124"/>
      <c r="AF20" s="124"/>
      <c r="AG20" s="125"/>
      <c r="AH20" s="125"/>
      <c r="AI20" s="513"/>
      <c r="AJ20" s="302" t="e">
        <f t="shared" si="9"/>
        <v>#DIV/0!</v>
      </c>
      <c r="AK20" s="303" t="e">
        <f>IF(AJ20&gt;KKM!$G$10,"A",IF(AJ20&gt;KKM!$H$10,"B",IF(AJ20&gt;=KKM!$I$10,"C","D")))</f>
        <v>#DIV/0!</v>
      </c>
      <c r="AL20" s="304">
        <f t="shared" si="0"/>
        <v>0</v>
      </c>
      <c r="AM20" s="309" t="str">
        <f>IF(AL20&gt;KKM!$G$10," sangat baik ",IF(AL20&gt;KKM!$H$10," baik ",IF(AL20&gt;=KKM!$I$10," cukup baik "," perlu bimbingan ")))</f>
        <v xml:space="preserve"> perlu bimbingan </v>
      </c>
      <c r="AN20" s="305">
        <f t="shared" si="1"/>
        <v>0</v>
      </c>
      <c r="AO20" s="309" t="str">
        <f>IF(AN20&gt;KKM!$G$10," sangat baik ",IF(AN20&gt;KKM!$H$10," baik ",IF(AN20&gt;=KKM!$I$10," cukup baik "," perlu bimbingan ")))</f>
        <v xml:space="preserve"> perlu bimbingan </v>
      </c>
      <c r="AP20" s="301" t="str">
        <f t="shared" si="10"/>
        <v xml:space="preserve"> </v>
      </c>
      <c r="AQ20" s="218"/>
      <c r="AR20" s="219" t="e">
        <f t="shared" si="2"/>
        <v>#N/A</v>
      </c>
      <c r="AS20" s="219" t="e">
        <f t="shared" si="3"/>
        <v>#N/A</v>
      </c>
      <c r="AT20" s="219" t="e">
        <f t="shared" si="11"/>
        <v>#N/A</v>
      </c>
      <c r="AU20" s="219" t="e">
        <f t="shared" si="12"/>
        <v>#N/A</v>
      </c>
      <c r="AV20" s="220" t="e">
        <f t="shared" si="13"/>
        <v>#N/A</v>
      </c>
      <c r="AW20" s="214" t="e">
        <f t="shared" si="4"/>
        <v>#N/A</v>
      </c>
      <c r="AX20" s="120"/>
      <c r="BH20" s="408" t="str">
        <f t="shared" si="14"/>
        <v/>
      </c>
    </row>
    <row r="21" spans="2:60" ht="63.75" customHeight="1">
      <c r="B21" s="109">
        <v>17</v>
      </c>
      <c r="C21" s="110">
        <f>SISWA!B22</f>
        <v>0</v>
      </c>
      <c r="D21" s="111" t="str">
        <f>SISWA!E22</f>
        <v>Anak 17</v>
      </c>
      <c r="E21" s="520"/>
      <c r="F21" s="520"/>
      <c r="G21" s="520"/>
      <c r="H21" s="520"/>
      <c r="I21" s="520"/>
      <c r="J21" s="520"/>
      <c r="K21" s="520"/>
      <c r="L21" s="520"/>
      <c r="M21" s="520"/>
      <c r="N21" s="520"/>
      <c r="O21" s="520"/>
      <c r="P21" s="520"/>
      <c r="Q21" s="520"/>
      <c r="R21" s="520"/>
      <c r="S21" s="520"/>
      <c r="T21" s="533" t="str">
        <f t="shared" si="5"/>
        <v/>
      </c>
      <c r="U21" s="533" t="str">
        <f t="shared" si="6"/>
        <v/>
      </c>
      <c r="V21" s="533" t="str">
        <f t="shared" si="15"/>
        <v/>
      </c>
      <c r="W21" s="533" t="str">
        <f t="shared" si="7"/>
        <v/>
      </c>
      <c r="X21" s="533" t="str">
        <f t="shared" si="8"/>
        <v/>
      </c>
      <c r="Y21" s="124"/>
      <c r="Z21" s="124"/>
      <c r="AA21" s="124"/>
      <c r="AB21" s="124"/>
      <c r="AC21" s="124"/>
      <c r="AD21" s="124"/>
      <c r="AE21" s="124"/>
      <c r="AF21" s="124"/>
      <c r="AG21" s="125"/>
      <c r="AH21" s="125"/>
      <c r="AI21" s="513"/>
      <c r="AJ21" s="302" t="e">
        <f t="shared" si="9"/>
        <v>#DIV/0!</v>
      </c>
      <c r="AK21" s="303" t="e">
        <f>IF(AJ21&gt;KKM!$G$10,"A",IF(AJ21&gt;KKM!$H$10,"B",IF(AJ21&gt;=KKM!$I$10,"C","D")))</f>
        <v>#DIV/0!</v>
      </c>
      <c r="AL21" s="304">
        <f t="shared" si="0"/>
        <v>0</v>
      </c>
      <c r="AM21" s="309" t="str">
        <f>IF(AL21&gt;KKM!$G$10," sangat baik ",IF(AL21&gt;KKM!$H$10," baik ",IF(AL21&gt;=KKM!$I$10," cukup baik "," perlu bimbingan ")))</f>
        <v xml:space="preserve"> perlu bimbingan </v>
      </c>
      <c r="AN21" s="305">
        <f t="shared" si="1"/>
        <v>0</v>
      </c>
      <c r="AO21" s="309" t="str">
        <f>IF(AN21&gt;KKM!$G$10," sangat baik ",IF(AN21&gt;KKM!$H$10," baik ",IF(AN21&gt;=KKM!$I$10," cukup baik "," perlu bimbingan ")))</f>
        <v xml:space="preserve"> perlu bimbingan </v>
      </c>
      <c r="AP21" s="301" t="str">
        <f t="shared" si="10"/>
        <v xml:space="preserve"> </v>
      </c>
      <c r="AQ21" s="218"/>
      <c r="AR21" s="219" t="e">
        <f t="shared" si="2"/>
        <v>#N/A</v>
      </c>
      <c r="AS21" s="219" t="e">
        <f t="shared" si="3"/>
        <v>#N/A</v>
      </c>
      <c r="AT21" s="219" t="e">
        <f t="shared" si="11"/>
        <v>#N/A</v>
      </c>
      <c r="AU21" s="219" t="e">
        <f t="shared" si="12"/>
        <v>#N/A</v>
      </c>
      <c r="AV21" s="220" t="e">
        <f t="shared" si="13"/>
        <v>#N/A</v>
      </c>
      <c r="AW21" s="214" t="e">
        <f t="shared" si="4"/>
        <v>#N/A</v>
      </c>
      <c r="AX21" s="120"/>
      <c r="BH21" s="408" t="str">
        <f t="shared" si="14"/>
        <v/>
      </c>
    </row>
    <row r="22" spans="2:60" ht="63.75" customHeight="1">
      <c r="B22" s="109">
        <v>18</v>
      </c>
      <c r="C22" s="110">
        <f>SISWA!B23</f>
        <v>0</v>
      </c>
      <c r="D22" s="111" t="str">
        <f>SISWA!E23</f>
        <v>Anak 18</v>
      </c>
      <c r="E22" s="520"/>
      <c r="F22" s="520"/>
      <c r="G22" s="520"/>
      <c r="H22" s="520"/>
      <c r="I22" s="520"/>
      <c r="J22" s="520"/>
      <c r="K22" s="520"/>
      <c r="L22" s="520"/>
      <c r="M22" s="520"/>
      <c r="N22" s="520"/>
      <c r="O22" s="520"/>
      <c r="P22" s="520"/>
      <c r="Q22" s="520"/>
      <c r="R22" s="520"/>
      <c r="S22" s="520"/>
      <c r="T22" s="533" t="str">
        <f t="shared" si="5"/>
        <v/>
      </c>
      <c r="U22" s="533" t="str">
        <f t="shared" si="6"/>
        <v/>
      </c>
      <c r="V22" s="533" t="str">
        <f t="shared" si="15"/>
        <v/>
      </c>
      <c r="W22" s="533" t="str">
        <f t="shared" si="7"/>
        <v/>
      </c>
      <c r="X22" s="533" t="str">
        <f t="shared" si="8"/>
        <v/>
      </c>
      <c r="Y22" s="124"/>
      <c r="Z22" s="124"/>
      <c r="AA22" s="124"/>
      <c r="AB22" s="124"/>
      <c r="AC22" s="124"/>
      <c r="AD22" s="124"/>
      <c r="AE22" s="124"/>
      <c r="AF22" s="124"/>
      <c r="AG22" s="125"/>
      <c r="AH22" s="125"/>
      <c r="AI22" s="513"/>
      <c r="AJ22" s="302" t="e">
        <f t="shared" si="9"/>
        <v>#DIV/0!</v>
      </c>
      <c r="AK22" s="303" t="e">
        <f>IF(AJ22&gt;KKM!$G$10,"A",IF(AJ22&gt;KKM!$H$10,"B",IF(AJ22&gt;=KKM!$I$10,"C","D")))</f>
        <v>#DIV/0!</v>
      </c>
      <c r="AL22" s="304">
        <f t="shared" si="0"/>
        <v>0</v>
      </c>
      <c r="AM22" s="309" t="str">
        <f>IF(AL22&gt;KKM!$G$10," sangat baik ",IF(AL22&gt;KKM!$H$10," baik ",IF(AL22&gt;=KKM!$I$10," cukup baik "," perlu bimbingan ")))</f>
        <v xml:space="preserve"> perlu bimbingan </v>
      </c>
      <c r="AN22" s="305">
        <f t="shared" si="1"/>
        <v>0</v>
      </c>
      <c r="AO22" s="309" t="str">
        <f>IF(AN22&gt;KKM!$G$10," sangat baik ",IF(AN22&gt;KKM!$H$10," baik ",IF(AN22&gt;=KKM!$I$10," cukup baik "," perlu bimbingan ")))</f>
        <v xml:space="preserve"> perlu bimbingan </v>
      </c>
      <c r="AP22" s="301" t="str">
        <f t="shared" si="10"/>
        <v xml:space="preserve"> </v>
      </c>
      <c r="AQ22" s="218"/>
      <c r="AR22" s="219" t="e">
        <f t="shared" si="2"/>
        <v>#N/A</v>
      </c>
      <c r="AS22" s="219" t="e">
        <f t="shared" si="3"/>
        <v>#N/A</v>
      </c>
      <c r="AT22" s="219" t="e">
        <f t="shared" si="11"/>
        <v>#N/A</v>
      </c>
      <c r="AU22" s="219" t="e">
        <f t="shared" si="12"/>
        <v>#N/A</v>
      </c>
      <c r="AV22" s="220" t="e">
        <f t="shared" si="13"/>
        <v>#N/A</v>
      </c>
      <c r="AW22" s="214" t="e">
        <f t="shared" si="4"/>
        <v>#N/A</v>
      </c>
      <c r="AX22" s="120"/>
      <c r="BH22" s="408" t="str">
        <f t="shared" si="14"/>
        <v/>
      </c>
    </row>
    <row r="23" spans="2:60" ht="63.75" customHeight="1">
      <c r="B23" s="109">
        <v>19</v>
      </c>
      <c r="C23" s="110">
        <f>SISWA!B24</f>
        <v>0</v>
      </c>
      <c r="D23" s="111" t="str">
        <f>SISWA!E24</f>
        <v>Anak 19</v>
      </c>
      <c r="E23" s="520"/>
      <c r="F23" s="520"/>
      <c r="G23" s="520"/>
      <c r="H23" s="520"/>
      <c r="I23" s="520"/>
      <c r="J23" s="520"/>
      <c r="K23" s="520"/>
      <c r="L23" s="520"/>
      <c r="M23" s="520"/>
      <c r="N23" s="520"/>
      <c r="O23" s="520"/>
      <c r="P23" s="520"/>
      <c r="Q23" s="520"/>
      <c r="R23" s="520"/>
      <c r="S23" s="520"/>
      <c r="T23" s="533" t="str">
        <f t="shared" si="5"/>
        <v/>
      </c>
      <c r="U23" s="533" t="str">
        <f t="shared" si="6"/>
        <v/>
      </c>
      <c r="V23" s="533" t="str">
        <f t="shared" si="15"/>
        <v/>
      </c>
      <c r="W23" s="533" t="str">
        <f t="shared" si="7"/>
        <v/>
      </c>
      <c r="X23" s="533" t="str">
        <f t="shared" si="8"/>
        <v/>
      </c>
      <c r="Y23" s="124"/>
      <c r="Z23" s="124"/>
      <c r="AA23" s="124"/>
      <c r="AB23" s="124"/>
      <c r="AC23" s="124"/>
      <c r="AD23" s="124"/>
      <c r="AE23" s="124"/>
      <c r="AF23" s="124"/>
      <c r="AG23" s="125"/>
      <c r="AH23" s="125"/>
      <c r="AI23" s="513"/>
      <c r="AJ23" s="302" t="e">
        <f t="shared" si="9"/>
        <v>#DIV/0!</v>
      </c>
      <c r="AK23" s="303" t="e">
        <f>IF(AJ23&gt;KKM!$G$10,"A",IF(AJ23&gt;KKM!$H$10,"B",IF(AJ23&gt;=KKM!$I$10,"C","D")))</f>
        <v>#DIV/0!</v>
      </c>
      <c r="AL23" s="304">
        <f t="shared" si="0"/>
        <v>0</v>
      </c>
      <c r="AM23" s="309" t="str">
        <f>IF(AL23&gt;KKM!$G$10," sangat baik ",IF(AL23&gt;KKM!$H$10," baik ",IF(AL23&gt;=KKM!$I$10," cukup baik "," perlu bimbingan ")))</f>
        <v xml:space="preserve"> perlu bimbingan </v>
      </c>
      <c r="AN23" s="305">
        <f t="shared" si="1"/>
        <v>0</v>
      </c>
      <c r="AO23" s="309" t="str">
        <f>IF(AN23&gt;KKM!$G$10," sangat baik ",IF(AN23&gt;KKM!$H$10," baik ",IF(AN23&gt;=KKM!$I$10," cukup baik "," perlu bimbingan ")))</f>
        <v xml:space="preserve"> perlu bimbingan </v>
      </c>
      <c r="AP23" s="301" t="str">
        <f t="shared" si="10"/>
        <v xml:space="preserve"> </v>
      </c>
      <c r="AQ23" s="218"/>
      <c r="AR23" s="219" t="e">
        <f t="shared" si="2"/>
        <v>#N/A</v>
      </c>
      <c r="AS23" s="219" t="e">
        <f t="shared" si="3"/>
        <v>#N/A</v>
      </c>
      <c r="AT23" s="219" t="e">
        <f t="shared" si="11"/>
        <v>#N/A</v>
      </c>
      <c r="AU23" s="219" t="e">
        <f t="shared" si="12"/>
        <v>#N/A</v>
      </c>
      <c r="AV23" s="220" t="e">
        <f t="shared" si="13"/>
        <v>#N/A</v>
      </c>
      <c r="AW23" s="214" t="e">
        <f t="shared" si="4"/>
        <v>#N/A</v>
      </c>
      <c r="AX23" s="120"/>
      <c r="BH23" s="408" t="str">
        <f t="shared" si="14"/>
        <v/>
      </c>
    </row>
    <row r="24" spans="2:60" ht="63.75" customHeight="1">
      <c r="B24" s="109">
        <v>20</v>
      </c>
      <c r="C24" s="110">
        <f>SISWA!B25</f>
        <v>0</v>
      </c>
      <c r="D24" s="111" t="str">
        <f>SISWA!E25</f>
        <v>Anak 20</v>
      </c>
      <c r="E24" s="520"/>
      <c r="F24" s="520"/>
      <c r="G24" s="520"/>
      <c r="H24" s="520"/>
      <c r="I24" s="520"/>
      <c r="J24" s="520"/>
      <c r="K24" s="520"/>
      <c r="L24" s="520"/>
      <c r="M24" s="520"/>
      <c r="N24" s="520"/>
      <c r="O24" s="520"/>
      <c r="P24" s="520"/>
      <c r="Q24" s="520"/>
      <c r="R24" s="520"/>
      <c r="S24" s="520"/>
      <c r="T24" s="533" t="str">
        <f t="shared" si="5"/>
        <v/>
      </c>
      <c r="U24" s="533" t="str">
        <f t="shared" si="6"/>
        <v/>
      </c>
      <c r="V24" s="533" t="str">
        <f t="shared" si="15"/>
        <v/>
      </c>
      <c r="W24" s="533" t="str">
        <f t="shared" si="7"/>
        <v/>
      </c>
      <c r="X24" s="533" t="str">
        <f t="shared" si="8"/>
        <v/>
      </c>
      <c r="Y24" s="124"/>
      <c r="Z24" s="124"/>
      <c r="AA24" s="124"/>
      <c r="AB24" s="124"/>
      <c r="AC24" s="124"/>
      <c r="AD24" s="124"/>
      <c r="AE24" s="124"/>
      <c r="AF24" s="124"/>
      <c r="AG24" s="125"/>
      <c r="AH24" s="125"/>
      <c r="AI24" s="513"/>
      <c r="AJ24" s="302" t="e">
        <f t="shared" si="9"/>
        <v>#DIV/0!</v>
      </c>
      <c r="AK24" s="303" t="e">
        <f>IF(AJ24&gt;KKM!$G$10,"A",IF(AJ24&gt;KKM!$H$10,"B",IF(AJ24&gt;=KKM!$I$10,"C","D")))</f>
        <v>#DIV/0!</v>
      </c>
      <c r="AL24" s="304">
        <f t="shared" si="0"/>
        <v>0</v>
      </c>
      <c r="AM24" s="309" t="str">
        <f>IF(AL24&gt;KKM!$G$10," sangat baik ",IF(AL24&gt;KKM!$H$10," baik ",IF(AL24&gt;=KKM!$I$10," cukup baik "," perlu bimbingan ")))</f>
        <v xml:space="preserve"> perlu bimbingan </v>
      </c>
      <c r="AN24" s="305">
        <f t="shared" si="1"/>
        <v>0</v>
      </c>
      <c r="AO24" s="309" t="str">
        <f>IF(AN24&gt;KKM!$G$10," sangat baik ",IF(AN24&gt;KKM!$H$10," baik ",IF(AN24&gt;=KKM!$I$10," cukup baik "," perlu bimbingan ")))</f>
        <v xml:space="preserve"> perlu bimbingan </v>
      </c>
      <c r="AP24" s="301" t="str">
        <f t="shared" si="10"/>
        <v xml:space="preserve"> </v>
      </c>
      <c r="AQ24" s="218"/>
      <c r="AR24" s="219" t="e">
        <f t="shared" si="2"/>
        <v>#N/A</v>
      </c>
      <c r="AS24" s="219" t="e">
        <f t="shared" si="3"/>
        <v>#N/A</v>
      </c>
      <c r="AT24" s="219" t="e">
        <f t="shared" si="11"/>
        <v>#N/A</v>
      </c>
      <c r="AU24" s="219" t="e">
        <f t="shared" si="12"/>
        <v>#N/A</v>
      </c>
      <c r="AV24" s="220" t="e">
        <f t="shared" si="13"/>
        <v>#N/A</v>
      </c>
      <c r="AW24" s="214" t="e">
        <f t="shared" si="4"/>
        <v>#N/A</v>
      </c>
      <c r="AX24" s="120"/>
      <c r="BH24" s="408" t="str">
        <f t="shared" si="14"/>
        <v/>
      </c>
    </row>
    <row r="25" spans="2:60" ht="63.75" customHeight="1">
      <c r="B25" s="109">
        <v>21</v>
      </c>
      <c r="C25" s="110">
        <f>SISWA!B26</f>
        <v>0</v>
      </c>
      <c r="D25" s="111" t="str">
        <f>SISWA!E26</f>
        <v>Anak 21</v>
      </c>
      <c r="E25" s="520"/>
      <c r="F25" s="520"/>
      <c r="G25" s="520"/>
      <c r="H25" s="520"/>
      <c r="I25" s="520"/>
      <c r="J25" s="520"/>
      <c r="K25" s="520"/>
      <c r="L25" s="520"/>
      <c r="M25" s="520"/>
      <c r="N25" s="520"/>
      <c r="O25" s="520"/>
      <c r="P25" s="520"/>
      <c r="Q25" s="520"/>
      <c r="R25" s="520"/>
      <c r="S25" s="520"/>
      <c r="T25" s="533" t="str">
        <f t="shared" si="5"/>
        <v/>
      </c>
      <c r="U25" s="533" t="str">
        <f t="shared" si="6"/>
        <v/>
      </c>
      <c r="V25" s="533" t="str">
        <f t="shared" si="15"/>
        <v/>
      </c>
      <c r="W25" s="533" t="str">
        <f t="shared" si="7"/>
        <v/>
      </c>
      <c r="X25" s="533" t="str">
        <f t="shared" si="8"/>
        <v/>
      </c>
      <c r="Y25" s="124"/>
      <c r="Z25" s="124"/>
      <c r="AA25" s="124"/>
      <c r="AB25" s="124"/>
      <c r="AC25" s="124"/>
      <c r="AD25" s="124"/>
      <c r="AE25" s="124"/>
      <c r="AF25" s="124"/>
      <c r="AG25" s="125"/>
      <c r="AH25" s="125"/>
      <c r="AI25" s="513"/>
      <c r="AJ25" s="302" t="e">
        <f t="shared" si="9"/>
        <v>#DIV/0!</v>
      </c>
      <c r="AK25" s="303" t="e">
        <f>IF(AJ25&gt;KKM!$G$10,"A",IF(AJ25&gt;KKM!$H$10,"B",IF(AJ25&gt;=KKM!$I$10,"C","D")))</f>
        <v>#DIV/0!</v>
      </c>
      <c r="AL25" s="304">
        <f t="shared" si="0"/>
        <v>0</v>
      </c>
      <c r="AM25" s="309" t="str">
        <f>IF(AL25&gt;KKM!$G$10," sangat baik ",IF(AL25&gt;KKM!$H$10," baik ",IF(AL25&gt;=KKM!$I$10," cukup baik "," perlu bimbingan ")))</f>
        <v xml:space="preserve"> perlu bimbingan </v>
      </c>
      <c r="AN25" s="305">
        <f t="shared" si="1"/>
        <v>0</v>
      </c>
      <c r="AO25" s="309" t="str">
        <f>IF(AN25&gt;KKM!$G$10," sangat baik ",IF(AN25&gt;KKM!$H$10," baik ",IF(AN25&gt;=KKM!$I$10," cukup baik "," perlu bimbingan ")))</f>
        <v xml:space="preserve"> perlu bimbingan </v>
      </c>
      <c r="AP25" s="301" t="str">
        <f t="shared" si="10"/>
        <v xml:space="preserve"> </v>
      </c>
      <c r="AQ25" s="218"/>
      <c r="AR25" s="219" t="e">
        <f t="shared" si="2"/>
        <v>#N/A</v>
      </c>
      <c r="AS25" s="219" t="e">
        <f t="shared" si="3"/>
        <v>#N/A</v>
      </c>
      <c r="AT25" s="219" t="e">
        <f t="shared" si="11"/>
        <v>#N/A</v>
      </c>
      <c r="AU25" s="219" t="e">
        <f t="shared" si="12"/>
        <v>#N/A</v>
      </c>
      <c r="AV25" s="220" t="e">
        <f t="shared" si="13"/>
        <v>#N/A</v>
      </c>
      <c r="AW25" s="214" t="e">
        <f t="shared" si="4"/>
        <v>#N/A</v>
      </c>
      <c r="AX25" s="120"/>
      <c r="BH25" s="408" t="str">
        <f t="shared" si="14"/>
        <v/>
      </c>
    </row>
    <row r="26" spans="2:60" ht="63.75" customHeight="1">
      <c r="B26" s="109">
        <v>22</v>
      </c>
      <c r="C26" s="110">
        <f>SISWA!B27</f>
        <v>0</v>
      </c>
      <c r="D26" s="111" t="str">
        <f>SISWA!E27</f>
        <v>Anak 22</v>
      </c>
      <c r="E26" s="520"/>
      <c r="F26" s="520"/>
      <c r="G26" s="520"/>
      <c r="H26" s="520"/>
      <c r="I26" s="520"/>
      <c r="J26" s="520"/>
      <c r="K26" s="520"/>
      <c r="L26" s="520"/>
      <c r="M26" s="520"/>
      <c r="N26" s="520"/>
      <c r="O26" s="520"/>
      <c r="P26" s="520"/>
      <c r="Q26" s="520"/>
      <c r="R26" s="520"/>
      <c r="S26" s="520"/>
      <c r="T26" s="533" t="str">
        <f t="shared" si="5"/>
        <v/>
      </c>
      <c r="U26" s="533" t="str">
        <f t="shared" si="6"/>
        <v/>
      </c>
      <c r="V26" s="533" t="str">
        <f t="shared" si="15"/>
        <v/>
      </c>
      <c r="W26" s="533" t="str">
        <f t="shared" si="7"/>
        <v/>
      </c>
      <c r="X26" s="533" t="str">
        <f t="shared" si="8"/>
        <v/>
      </c>
      <c r="Y26" s="124"/>
      <c r="Z26" s="124"/>
      <c r="AA26" s="124"/>
      <c r="AB26" s="124"/>
      <c r="AC26" s="124"/>
      <c r="AD26" s="124"/>
      <c r="AE26" s="124"/>
      <c r="AF26" s="124"/>
      <c r="AG26" s="125"/>
      <c r="AH26" s="125"/>
      <c r="AI26" s="513"/>
      <c r="AJ26" s="302" t="e">
        <f t="shared" si="9"/>
        <v>#DIV/0!</v>
      </c>
      <c r="AK26" s="303" t="e">
        <f>IF(AJ26&gt;KKM!$G$10,"A",IF(AJ26&gt;KKM!$H$10,"B",IF(AJ26&gt;=KKM!$I$10,"C","D")))</f>
        <v>#DIV/0!</v>
      </c>
      <c r="AL26" s="304">
        <f t="shared" si="0"/>
        <v>0</v>
      </c>
      <c r="AM26" s="309" t="str">
        <f>IF(AL26&gt;KKM!$G$10," sangat baik ",IF(AL26&gt;KKM!$H$10," baik ",IF(AL26&gt;=KKM!$I$10," cukup baik "," perlu bimbingan ")))</f>
        <v xml:space="preserve"> perlu bimbingan </v>
      </c>
      <c r="AN26" s="305">
        <f t="shared" si="1"/>
        <v>0</v>
      </c>
      <c r="AO26" s="309" t="str">
        <f>IF(AN26&gt;KKM!$G$10," sangat baik ",IF(AN26&gt;KKM!$H$10," baik ",IF(AN26&gt;=KKM!$I$10," cukup baik "," perlu bimbingan ")))</f>
        <v xml:space="preserve"> perlu bimbingan </v>
      </c>
      <c r="AP26" s="301" t="str">
        <f t="shared" si="10"/>
        <v xml:space="preserve"> </v>
      </c>
      <c r="AQ26" s="218"/>
      <c r="AR26" s="219" t="e">
        <f t="shared" si="2"/>
        <v>#N/A</v>
      </c>
      <c r="AS26" s="219" t="e">
        <f t="shared" si="3"/>
        <v>#N/A</v>
      </c>
      <c r="AT26" s="219" t="e">
        <f t="shared" si="11"/>
        <v>#N/A</v>
      </c>
      <c r="AU26" s="219" t="e">
        <f t="shared" si="12"/>
        <v>#N/A</v>
      </c>
      <c r="AV26" s="220" t="e">
        <f t="shared" si="13"/>
        <v>#N/A</v>
      </c>
      <c r="AW26" s="214" t="e">
        <f t="shared" si="4"/>
        <v>#N/A</v>
      </c>
      <c r="AX26" s="120"/>
      <c r="BH26" s="408" t="str">
        <f t="shared" si="14"/>
        <v/>
      </c>
    </row>
    <row r="27" spans="2:60" ht="63.75" customHeight="1">
      <c r="B27" s="109">
        <v>23</v>
      </c>
      <c r="C27" s="110">
        <f>SISWA!B28</f>
        <v>0</v>
      </c>
      <c r="D27" s="111" t="str">
        <f>SISWA!E28</f>
        <v>Anak 23</v>
      </c>
      <c r="E27" s="520"/>
      <c r="F27" s="520"/>
      <c r="G27" s="520"/>
      <c r="H27" s="520"/>
      <c r="I27" s="520"/>
      <c r="J27" s="520"/>
      <c r="K27" s="520"/>
      <c r="L27" s="520"/>
      <c r="M27" s="520"/>
      <c r="N27" s="520"/>
      <c r="O27" s="520"/>
      <c r="P27" s="520"/>
      <c r="Q27" s="520"/>
      <c r="R27" s="520"/>
      <c r="S27" s="520"/>
      <c r="T27" s="533" t="str">
        <f t="shared" si="5"/>
        <v/>
      </c>
      <c r="U27" s="533" t="str">
        <f t="shared" si="6"/>
        <v/>
      </c>
      <c r="V27" s="533" t="str">
        <f t="shared" si="15"/>
        <v/>
      </c>
      <c r="W27" s="533" t="str">
        <f t="shared" si="7"/>
        <v/>
      </c>
      <c r="X27" s="533" t="str">
        <f t="shared" si="8"/>
        <v/>
      </c>
      <c r="Y27" s="124"/>
      <c r="Z27" s="124"/>
      <c r="AA27" s="124"/>
      <c r="AB27" s="124"/>
      <c r="AC27" s="124"/>
      <c r="AD27" s="124"/>
      <c r="AE27" s="124"/>
      <c r="AF27" s="124"/>
      <c r="AG27" s="125"/>
      <c r="AH27" s="125"/>
      <c r="AI27" s="513"/>
      <c r="AJ27" s="302" t="e">
        <f t="shared" si="9"/>
        <v>#DIV/0!</v>
      </c>
      <c r="AK27" s="303" t="e">
        <f>IF(AJ27&gt;KKM!$G$10,"A",IF(AJ27&gt;KKM!$H$10,"B",IF(AJ27&gt;=KKM!$I$10,"C","D")))</f>
        <v>#DIV/0!</v>
      </c>
      <c r="AL27" s="304">
        <f t="shared" si="0"/>
        <v>0</v>
      </c>
      <c r="AM27" s="309" t="str">
        <f>IF(AL27&gt;KKM!$G$10," sangat baik ",IF(AL27&gt;KKM!$H$10," baik ",IF(AL27&gt;=KKM!$I$10," cukup baik "," perlu bimbingan ")))</f>
        <v xml:space="preserve"> perlu bimbingan </v>
      </c>
      <c r="AN27" s="305">
        <f t="shared" si="1"/>
        <v>0</v>
      </c>
      <c r="AO27" s="309" t="str">
        <f>IF(AN27&gt;KKM!$G$10," sangat baik ",IF(AN27&gt;KKM!$H$10," baik ",IF(AN27&gt;=KKM!$I$10," cukup baik "," perlu bimbingan ")))</f>
        <v xml:space="preserve"> perlu bimbingan </v>
      </c>
      <c r="AP27" s="301" t="str">
        <f t="shared" si="10"/>
        <v xml:space="preserve"> </v>
      </c>
      <c r="AQ27" s="218"/>
      <c r="AR27" s="219" t="e">
        <f t="shared" si="2"/>
        <v>#N/A</v>
      </c>
      <c r="AS27" s="219" t="e">
        <f t="shared" si="3"/>
        <v>#N/A</v>
      </c>
      <c r="AT27" s="219" t="e">
        <f t="shared" si="11"/>
        <v>#N/A</v>
      </c>
      <c r="AU27" s="219" t="e">
        <f t="shared" si="12"/>
        <v>#N/A</v>
      </c>
      <c r="AV27" s="220" t="e">
        <f t="shared" si="13"/>
        <v>#N/A</v>
      </c>
      <c r="AW27" s="214" t="e">
        <f t="shared" si="4"/>
        <v>#N/A</v>
      </c>
      <c r="AX27" s="120"/>
      <c r="BH27" s="408" t="str">
        <f t="shared" si="14"/>
        <v/>
      </c>
    </row>
    <row r="28" spans="2:60" ht="63.75" customHeight="1">
      <c r="B28" s="109">
        <v>24</v>
      </c>
      <c r="C28" s="110">
        <f>SISWA!B29</f>
        <v>0</v>
      </c>
      <c r="D28" s="111" t="str">
        <f>SISWA!E29</f>
        <v>Anak 24</v>
      </c>
      <c r="E28" s="520"/>
      <c r="F28" s="520"/>
      <c r="G28" s="520"/>
      <c r="H28" s="520"/>
      <c r="I28" s="520"/>
      <c r="J28" s="520"/>
      <c r="K28" s="520"/>
      <c r="L28" s="520"/>
      <c r="M28" s="520"/>
      <c r="N28" s="520"/>
      <c r="O28" s="520"/>
      <c r="P28" s="520"/>
      <c r="Q28" s="520"/>
      <c r="R28" s="520"/>
      <c r="S28" s="520"/>
      <c r="T28" s="533" t="str">
        <f t="shared" si="5"/>
        <v/>
      </c>
      <c r="U28" s="533" t="str">
        <f t="shared" si="6"/>
        <v/>
      </c>
      <c r="V28" s="533" t="str">
        <f t="shared" si="15"/>
        <v/>
      </c>
      <c r="W28" s="533" t="str">
        <f t="shared" si="7"/>
        <v/>
      </c>
      <c r="X28" s="533" t="str">
        <f t="shared" si="8"/>
        <v/>
      </c>
      <c r="Y28" s="124"/>
      <c r="Z28" s="124"/>
      <c r="AA28" s="124"/>
      <c r="AB28" s="124"/>
      <c r="AC28" s="124"/>
      <c r="AD28" s="124"/>
      <c r="AE28" s="124"/>
      <c r="AF28" s="124"/>
      <c r="AG28" s="125"/>
      <c r="AH28" s="125"/>
      <c r="AI28" s="513"/>
      <c r="AJ28" s="302" t="e">
        <f t="shared" si="9"/>
        <v>#DIV/0!</v>
      </c>
      <c r="AK28" s="303" t="e">
        <f>IF(AJ28&gt;KKM!$G$10,"A",IF(AJ28&gt;KKM!$H$10,"B",IF(AJ28&gt;=KKM!$I$10,"C","D")))</f>
        <v>#DIV/0!</v>
      </c>
      <c r="AL28" s="304">
        <f t="shared" si="0"/>
        <v>0</v>
      </c>
      <c r="AM28" s="309" t="str">
        <f>IF(AL28&gt;KKM!$G$10," sangat baik ",IF(AL28&gt;KKM!$H$10," baik ",IF(AL28&gt;=KKM!$I$10," cukup baik "," perlu bimbingan ")))</f>
        <v xml:space="preserve"> perlu bimbingan </v>
      </c>
      <c r="AN28" s="305">
        <f t="shared" si="1"/>
        <v>0</v>
      </c>
      <c r="AO28" s="309" t="str">
        <f>IF(AN28&gt;KKM!$G$10," sangat baik ",IF(AN28&gt;KKM!$H$10," baik ",IF(AN28&gt;=KKM!$I$10," cukup baik "," perlu bimbingan ")))</f>
        <v xml:space="preserve"> perlu bimbingan </v>
      </c>
      <c r="AP28" s="301" t="str">
        <f t="shared" si="10"/>
        <v xml:space="preserve"> </v>
      </c>
      <c r="AQ28" s="218"/>
      <c r="AR28" s="219" t="e">
        <f t="shared" si="2"/>
        <v>#N/A</v>
      </c>
      <c r="AS28" s="219" t="e">
        <f t="shared" si="3"/>
        <v>#N/A</v>
      </c>
      <c r="AT28" s="219" t="e">
        <f t="shared" si="11"/>
        <v>#N/A</v>
      </c>
      <c r="AU28" s="219" t="e">
        <f t="shared" si="12"/>
        <v>#N/A</v>
      </c>
      <c r="AV28" s="220" t="e">
        <f t="shared" si="13"/>
        <v>#N/A</v>
      </c>
      <c r="AW28" s="214" t="e">
        <f t="shared" si="4"/>
        <v>#N/A</v>
      </c>
      <c r="AX28" s="120"/>
      <c r="BH28" s="408" t="str">
        <f t="shared" si="14"/>
        <v/>
      </c>
    </row>
    <row r="29" spans="2:60" ht="63.75" customHeight="1">
      <c r="B29" s="109">
        <v>25</v>
      </c>
      <c r="C29" s="110">
        <f>SISWA!B30</f>
        <v>0</v>
      </c>
      <c r="D29" s="111" t="str">
        <f>SISWA!E30</f>
        <v>Anak 25</v>
      </c>
      <c r="E29" s="520"/>
      <c r="F29" s="520"/>
      <c r="G29" s="520"/>
      <c r="H29" s="520"/>
      <c r="I29" s="520"/>
      <c r="J29" s="520"/>
      <c r="K29" s="520"/>
      <c r="L29" s="520"/>
      <c r="M29" s="520"/>
      <c r="N29" s="520"/>
      <c r="O29" s="520"/>
      <c r="P29" s="520"/>
      <c r="Q29" s="520"/>
      <c r="R29" s="520"/>
      <c r="S29" s="520"/>
      <c r="T29" s="533" t="str">
        <f t="shared" si="5"/>
        <v/>
      </c>
      <c r="U29" s="533" t="str">
        <f t="shared" si="6"/>
        <v/>
      </c>
      <c r="V29" s="533" t="str">
        <f t="shared" si="15"/>
        <v/>
      </c>
      <c r="W29" s="533" t="str">
        <f t="shared" si="7"/>
        <v/>
      </c>
      <c r="X29" s="533" t="str">
        <f t="shared" si="8"/>
        <v/>
      </c>
      <c r="Y29" s="124"/>
      <c r="Z29" s="124"/>
      <c r="AA29" s="124"/>
      <c r="AB29" s="124"/>
      <c r="AC29" s="124"/>
      <c r="AD29" s="124"/>
      <c r="AE29" s="124"/>
      <c r="AF29" s="124"/>
      <c r="AG29" s="125"/>
      <c r="AH29" s="125"/>
      <c r="AI29" s="513"/>
      <c r="AJ29" s="302" t="e">
        <f t="shared" si="9"/>
        <v>#DIV/0!</v>
      </c>
      <c r="AK29" s="303" t="e">
        <f>IF(AJ29&gt;KKM!$G$10,"A",IF(AJ29&gt;KKM!$H$10,"B",IF(AJ29&gt;=KKM!$I$10,"C","D")))</f>
        <v>#DIV/0!</v>
      </c>
      <c r="AL29" s="304">
        <f t="shared" si="0"/>
        <v>0</v>
      </c>
      <c r="AM29" s="309" t="str">
        <f>IF(AL29&gt;KKM!$G$10," sangat baik ",IF(AL29&gt;KKM!$H$10," baik ",IF(AL29&gt;=KKM!$I$10," cukup baik "," perlu bimbingan ")))</f>
        <v xml:space="preserve"> perlu bimbingan </v>
      </c>
      <c r="AN29" s="305">
        <f t="shared" si="1"/>
        <v>0</v>
      </c>
      <c r="AO29" s="309" t="str">
        <f>IF(AN29&gt;KKM!$G$10," sangat baik ",IF(AN29&gt;KKM!$H$10," baik ",IF(AN29&gt;=KKM!$I$10," cukup baik "," perlu bimbingan ")))</f>
        <v xml:space="preserve"> perlu bimbingan </v>
      </c>
      <c r="AP29" s="301" t="str">
        <f t="shared" si="10"/>
        <v xml:space="preserve"> </v>
      </c>
      <c r="AQ29" s="218"/>
      <c r="AR29" s="219" t="e">
        <f t="shared" si="2"/>
        <v>#N/A</v>
      </c>
      <c r="AS29" s="219" t="e">
        <f t="shared" si="3"/>
        <v>#N/A</v>
      </c>
      <c r="AT29" s="219" t="e">
        <f t="shared" si="11"/>
        <v>#N/A</v>
      </c>
      <c r="AU29" s="219" t="e">
        <f t="shared" si="12"/>
        <v>#N/A</v>
      </c>
      <c r="AV29" s="220" t="e">
        <f t="shared" si="13"/>
        <v>#N/A</v>
      </c>
      <c r="AW29" s="214" t="e">
        <f t="shared" si="4"/>
        <v>#N/A</v>
      </c>
      <c r="AX29" s="120"/>
      <c r="BH29" s="408" t="str">
        <f t="shared" si="14"/>
        <v/>
      </c>
    </row>
    <row r="30" spans="2:60" ht="63.75" customHeight="1">
      <c r="B30" s="109">
        <v>26</v>
      </c>
      <c r="C30" s="110">
        <f>SISWA!B31</f>
        <v>0</v>
      </c>
      <c r="D30" s="111" t="str">
        <f>SISWA!E31</f>
        <v>Anak 26</v>
      </c>
      <c r="E30" s="520"/>
      <c r="F30" s="520"/>
      <c r="G30" s="520"/>
      <c r="H30" s="520"/>
      <c r="I30" s="520"/>
      <c r="J30" s="520"/>
      <c r="K30" s="520"/>
      <c r="L30" s="520"/>
      <c r="M30" s="520"/>
      <c r="N30" s="520"/>
      <c r="O30" s="520"/>
      <c r="P30" s="520"/>
      <c r="Q30" s="520"/>
      <c r="R30" s="520"/>
      <c r="S30" s="520"/>
      <c r="T30" s="533" t="str">
        <f t="shared" si="5"/>
        <v/>
      </c>
      <c r="U30" s="533" t="str">
        <f t="shared" si="6"/>
        <v/>
      </c>
      <c r="V30" s="533" t="str">
        <f t="shared" si="15"/>
        <v/>
      </c>
      <c r="W30" s="533" t="str">
        <f t="shared" si="7"/>
        <v/>
      </c>
      <c r="X30" s="533" t="str">
        <f t="shared" si="8"/>
        <v/>
      </c>
      <c r="Y30" s="124"/>
      <c r="Z30" s="124"/>
      <c r="AA30" s="124"/>
      <c r="AB30" s="124"/>
      <c r="AC30" s="124"/>
      <c r="AD30" s="124"/>
      <c r="AE30" s="124"/>
      <c r="AF30" s="124"/>
      <c r="AG30" s="125"/>
      <c r="AH30" s="125"/>
      <c r="AI30" s="513"/>
      <c r="AJ30" s="302" t="e">
        <f t="shared" si="9"/>
        <v>#DIV/0!</v>
      </c>
      <c r="AK30" s="303" t="e">
        <f>IF(AJ30&gt;KKM!$G$10,"A",IF(AJ30&gt;KKM!$H$10,"B",IF(AJ30&gt;=KKM!$I$10,"C","D")))</f>
        <v>#DIV/0!</v>
      </c>
      <c r="AL30" s="304">
        <f t="shared" si="0"/>
        <v>0</v>
      </c>
      <c r="AM30" s="309" t="str">
        <f>IF(AL30&gt;KKM!$G$10," sangat baik ",IF(AL30&gt;KKM!$H$10," baik ",IF(AL30&gt;=KKM!$I$10," cukup baik "," perlu bimbingan ")))</f>
        <v xml:space="preserve"> perlu bimbingan </v>
      </c>
      <c r="AN30" s="305">
        <f t="shared" si="1"/>
        <v>0</v>
      </c>
      <c r="AO30" s="309" t="str">
        <f>IF(AN30&gt;KKM!$G$10," sangat baik ",IF(AN30&gt;KKM!$H$10," baik ",IF(AN30&gt;=KKM!$I$10," cukup baik "," perlu bimbingan ")))</f>
        <v xml:space="preserve"> perlu bimbingan </v>
      </c>
      <c r="AP30" s="301" t="str">
        <f t="shared" si="10"/>
        <v xml:space="preserve"> </v>
      </c>
      <c r="AQ30" s="218"/>
      <c r="AR30" s="219" t="e">
        <f t="shared" si="2"/>
        <v>#N/A</v>
      </c>
      <c r="AS30" s="219" t="e">
        <f t="shared" si="3"/>
        <v>#N/A</v>
      </c>
      <c r="AT30" s="219" t="e">
        <f t="shared" si="11"/>
        <v>#N/A</v>
      </c>
      <c r="AU30" s="219" t="e">
        <f t="shared" si="12"/>
        <v>#N/A</v>
      </c>
      <c r="AV30" s="220" t="e">
        <f t="shared" si="13"/>
        <v>#N/A</v>
      </c>
      <c r="AW30" s="214" t="e">
        <f t="shared" si="4"/>
        <v>#N/A</v>
      </c>
      <c r="AX30" s="120"/>
      <c r="BH30" s="408" t="str">
        <f t="shared" si="14"/>
        <v/>
      </c>
    </row>
    <row r="31" spans="2:60" ht="63.75" customHeight="1">
      <c r="B31" s="109">
        <v>27</v>
      </c>
      <c r="C31" s="110">
        <f>SISWA!B32</f>
        <v>0</v>
      </c>
      <c r="D31" s="111" t="str">
        <f>SISWA!E32</f>
        <v>Anak 27</v>
      </c>
      <c r="E31" s="520"/>
      <c r="F31" s="520"/>
      <c r="G31" s="520"/>
      <c r="H31" s="520"/>
      <c r="I31" s="520"/>
      <c r="J31" s="520"/>
      <c r="K31" s="520"/>
      <c r="L31" s="520"/>
      <c r="M31" s="520"/>
      <c r="N31" s="520"/>
      <c r="O31" s="520"/>
      <c r="P31" s="520"/>
      <c r="Q31" s="520"/>
      <c r="R31" s="520"/>
      <c r="S31" s="520"/>
      <c r="T31" s="533" t="str">
        <f t="shared" si="5"/>
        <v/>
      </c>
      <c r="U31" s="533" t="str">
        <f t="shared" si="6"/>
        <v/>
      </c>
      <c r="V31" s="533" t="str">
        <f t="shared" si="15"/>
        <v/>
      </c>
      <c r="W31" s="533" t="str">
        <f t="shared" si="7"/>
        <v/>
      </c>
      <c r="X31" s="533" t="str">
        <f t="shared" si="8"/>
        <v/>
      </c>
      <c r="Y31" s="124"/>
      <c r="Z31" s="124"/>
      <c r="AA31" s="124"/>
      <c r="AB31" s="124"/>
      <c r="AC31" s="124"/>
      <c r="AD31" s="124"/>
      <c r="AE31" s="124"/>
      <c r="AF31" s="124"/>
      <c r="AG31" s="125"/>
      <c r="AH31" s="125"/>
      <c r="AI31" s="513"/>
      <c r="AJ31" s="302" t="e">
        <f t="shared" si="9"/>
        <v>#DIV/0!</v>
      </c>
      <c r="AK31" s="303" t="e">
        <f>IF(AJ31&gt;KKM!$G$10,"A",IF(AJ31&gt;KKM!$H$10,"B",IF(AJ31&gt;=KKM!$I$10,"C","D")))</f>
        <v>#DIV/0!</v>
      </c>
      <c r="AL31" s="304">
        <f t="shared" si="0"/>
        <v>0</v>
      </c>
      <c r="AM31" s="309" t="str">
        <f>IF(AL31&gt;KKM!$G$10," sangat baik ",IF(AL31&gt;KKM!$H$10," baik ",IF(AL31&gt;=KKM!$I$10," cukup baik "," perlu bimbingan ")))</f>
        <v xml:space="preserve"> perlu bimbingan </v>
      </c>
      <c r="AN31" s="305">
        <f t="shared" si="1"/>
        <v>0</v>
      </c>
      <c r="AO31" s="309" t="str">
        <f>IF(AN31&gt;KKM!$G$10," sangat baik ",IF(AN31&gt;KKM!$H$10," baik ",IF(AN31&gt;=KKM!$I$10," cukup baik "," perlu bimbingan ")))</f>
        <v xml:space="preserve"> perlu bimbingan </v>
      </c>
      <c r="AP31" s="301" t="str">
        <f t="shared" si="10"/>
        <v xml:space="preserve"> </v>
      </c>
      <c r="AQ31" s="218"/>
      <c r="AR31" s="219" t="e">
        <f t="shared" si="2"/>
        <v>#N/A</v>
      </c>
      <c r="AS31" s="219" t="e">
        <f t="shared" si="3"/>
        <v>#N/A</v>
      </c>
      <c r="AT31" s="219" t="e">
        <f t="shared" si="11"/>
        <v>#N/A</v>
      </c>
      <c r="AU31" s="219" t="e">
        <f t="shared" si="12"/>
        <v>#N/A</v>
      </c>
      <c r="AV31" s="220" t="e">
        <f t="shared" si="13"/>
        <v>#N/A</v>
      </c>
      <c r="AW31" s="214" t="e">
        <f t="shared" si="4"/>
        <v>#N/A</v>
      </c>
      <c r="AX31" s="120"/>
      <c r="BH31" s="408" t="str">
        <f t="shared" si="14"/>
        <v/>
      </c>
    </row>
    <row r="32" spans="2:60" ht="63.75" customHeight="1">
      <c r="B32" s="109">
        <v>28</v>
      </c>
      <c r="C32" s="110">
        <f>SISWA!B33</f>
        <v>0</v>
      </c>
      <c r="D32" s="111" t="str">
        <f>SISWA!E33</f>
        <v>Anak 28</v>
      </c>
      <c r="E32" s="520"/>
      <c r="F32" s="520"/>
      <c r="G32" s="520"/>
      <c r="H32" s="520"/>
      <c r="I32" s="520"/>
      <c r="J32" s="520"/>
      <c r="K32" s="520"/>
      <c r="L32" s="520"/>
      <c r="M32" s="520"/>
      <c r="N32" s="520"/>
      <c r="O32" s="520"/>
      <c r="P32" s="520"/>
      <c r="Q32" s="520"/>
      <c r="R32" s="520"/>
      <c r="S32" s="520"/>
      <c r="T32" s="533" t="str">
        <f t="shared" si="5"/>
        <v/>
      </c>
      <c r="U32" s="533" t="str">
        <f t="shared" si="6"/>
        <v/>
      </c>
      <c r="V32" s="533" t="str">
        <f t="shared" si="15"/>
        <v/>
      </c>
      <c r="W32" s="533" t="str">
        <f t="shared" si="7"/>
        <v/>
      </c>
      <c r="X32" s="533" t="str">
        <f t="shared" si="8"/>
        <v/>
      </c>
      <c r="Y32" s="124"/>
      <c r="Z32" s="124"/>
      <c r="AA32" s="124"/>
      <c r="AB32" s="124"/>
      <c r="AC32" s="124"/>
      <c r="AD32" s="124"/>
      <c r="AE32" s="124"/>
      <c r="AF32" s="124"/>
      <c r="AG32" s="125"/>
      <c r="AH32" s="125"/>
      <c r="AI32" s="513"/>
      <c r="AJ32" s="302" t="e">
        <f t="shared" si="9"/>
        <v>#DIV/0!</v>
      </c>
      <c r="AK32" s="303" t="e">
        <f>IF(AJ32&gt;KKM!$G$10,"A",IF(AJ32&gt;KKM!$H$10,"B",IF(AJ32&gt;=KKM!$I$10,"C","D")))</f>
        <v>#DIV/0!</v>
      </c>
      <c r="AL32" s="304">
        <f t="shared" si="0"/>
        <v>0</v>
      </c>
      <c r="AM32" s="309" t="str">
        <f>IF(AL32&gt;KKM!$G$10," sangat baik ",IF(AL32&gt;KKM!$H$10," baik ",IF(AL32&gt;=KKM!$I$10," cukup baik "," perlu bimbingan ")))</f>
        <v xml:space="preserve"> perlu bimbingan </v>
      </c>
      <c r="AN32" s="305">
        <f t="shared" si="1"/>
        <v>0</v>
      </c>
      <c r="AO32" s="309" t="str">
        <f>IF(AN32&gt;KKM!$G$10," sangat baik ",IF(AN32&gt;KKM!$H$10," baik ",IF(AN32&gt;=KKM!$I$10," cukup baik "," perlu bimbingan ")))</f>
        <v xml:space="preserve"> perlu bimbingan </v>
      </c>
      <c r="AP32" s="301" t="str">
        <f t="shared" si="10"/>
        <v xml:space="preserve"> </v>
      </c>
      <c r="AQ32" s="218"/>
      <c r="AR32" s="219" t="e">
        <f t="shared" si="2"/>
        <v>#N/A</v>
      </c>
      <c r="AS32" s="219" t="e">
        <f t="shared" si="3"/>
        <v>#N/A</v>
      </c>
      <c r="AT32" s="219" t="e">
        <f t="shared" si="11"/>
        <v>#N/A</v>
      </c>
      <c r="AU32" s="219" t="e">
        <f t="shared" si="12"/>
        <v>#N/A</v>
      </c>
      <c r="AV32" s="220" t="e">
        <f t="shared" si="13"/>
        <v>#N/A</v>
      </c>
      <c r="AW32" s="214" t="e">
        <f t="shared" si="4"/>
        <v>#N/A</v>
      </c>
      <c r="AX32" s="120"/>
      <c r="BH32" s="408" t="str">
        <f t="shared" si="14"/>
        <v/>
      </c>
    </row>
    <row r="33" spans="2:60" ht="63.75" customHeight="1">
      <c r="B33" s="109">
        <v>29</v>
      </c>
      <c r="C33" s="110">
        <f>SISWA!B34</f>
        <v>0</v>
      </c>
      <c r="D33" s="111" t="str">
        <f>SISWA!E34</f>
        <v>Anak 29</v>
      </c>
      <c r="E33" s="520"/>
      <c r="F33" s="520"/>
      <c r="G33" s="520"/>
      <c r="H33" s="520"/>
      <c r="I33" s="520"/>
      <c r="J33" s="520"/>
      <c r="K33" s="520"/>
      <c r="L33" s="520"/>
      <c r="M33" s="520"/>
      <c r="N33" s="520"/>
      <c r="O33" s="520"/>
      <c r="P33" s="520"/>
      <c r="Q33" s="520"/>
      <c r="R33" s="520"/>
      <c r="S33" s="520"/>
      <c r="T33" s="533" t="str">
        <f t="shared" si="5"/>
        <v/>
      </c>
      <c r="U33" s="533" t="str">
        <f t="shared" si="6"/>
        <v/>
      </c>
      <c r="V33" s="533" t="str">
        <f t="shared" si="15"/>
        <v/>
      </c>
      <c r="W33" s="533" t="str">
        <f t="shared" si="7"/>
        <v/>
      </c>
      <c r="X33" s="533" t="str">
        <f t="shared" si="8"/>
        <v/>
      </c>
      <c r="Y33" s="124"/>
      <c r="Z33" s="124"/>
      <c r="AA33" s="124"/>
      <c r="AB33" s="124"/>
      <c r="AC33" s="124"/>
      <c r="AD33" s="124"/>
      <c r="AE33" s="124"/>
      <c r="AF33" s="124"/>
      <c r="AG33" s="125"/>
      <c r="AH33" s="125"/>
      <c r="AI33" s="513"/>
      <c r="AJ33" s="302" t="e">
        <f t="shared" si="9"/>
        <v>#DIV/0!</v>
      </c>
      <c r="AK33" s="303" t="e">
        <f>IF(AJ33&gt;KKM!$G$10,"A",IF(AJ33&gt;KKM!$H$10,"B",IF(AJ33&gt;=KKM!$I$10,"C","D")))</f>
        <v>#DIV/0!</v>
      </c>
      <c r="AL33" s="304">
        <f t="shared" si="0"/>
        <v>0</v>
      </c>
      <c r="AM33" s="309" t="str">
        <f>IF(AL33&gt;KKM!$G$10," sangat baik ",IF(AL33&gt;KKM!$H$10," baik ",IF(AL33&gt;=KKM!$I$10," cukup baik "," perlu bimbingan ")))</f>
        <v xml:space="preserve"> perlu bimbingan </v>
      </c>
      <c r="AN33" s="305">
        <f t="shared" si="1"/>
        <v>0</v>
      </c>
      <c r="AO33" s="309" t="str">
        <f>IF(AN33&gt;KKM!$G$10," sangat baik ",IF(AN33&gt;KKM!$H$10," baik ",IF(AN33&gt;=KKM!$I$10," cukup baik "," perlu bimbingan ")))</f>
        <v xml:space="preserve"> perlu bimbingan </v>
      </c>
      <c r="AP33" s="301" t="str">
        <f t="shared" si="10"/>
        <v xml:space="preserve"> </v>
      </c>
      <c r="AQ33" s="218"/>
      <c r="AR33" s="219" t="e">
        <f t="shared" si="2"/>
        <v>#N/A</v>
      </c>
      <c r="AS33" s="219" t="e">
        <f t="shared" si="3"/>
        <v>#N/A</v>
      </c>
      <c r="AT33" s="219" t="e">
        <f t="shared" si="11"/>
        <v>#N/A</v>
      </c>
      <c r="AU33" s="219" t="e">
        <f t="shared" si="12"/>
        <v>#N/A</v>
      </c>
      <c r="AV33" s="220" t="e">
        <f t="shared" si="13"/>
        <v>#N/A</v>
      </c>
      <c r="AW33" s="214" t="e">
        <f t="shared" si="4"/>
        <v>#N/A</v>
      </c>
      <c r="AX33" s="120"/>
      <c r="BH33" s="408" t="str">
        <f t="shared" si="14"/>
        <v/>
      </c>
    </row>
    <row r="34" spans="2:60" ht="63.75" customHeight="1">
      <c r="B34" s="109">
        <v>30</v>
      </c>
      <c r="C34" s="110">
        <f>SISWA!B35</f>
        <v>0</v>
      </c>
      <c r="D34" s="111" t="str">
        <f>SISWA!E35</f>
        <v>Anak 30</v>
      </c>
      <c r="E34" s="520"/>
      <c r="F34" s="520"/>
      <c r="G34" s="520"/>
      <c r="H34" s="520"/>
      <c r="I34" s="520"/>
      <c r="J34" s="520"/>
      <c r="K34" s="520"/>
      <c r="L34" s="520"/>
      <c r="M34" s="520"/>
      <c r="N34" s="520"/>
      <c r="O34" s="520"/>
      <c r="P34" s="520"/>
      <c r="Q34" s="520"/>
      <c r="R34" s="520"/>
      <c r="S34" s="520"/>
      <c r="T34" s="533" t="str">
        <f t="shared" si="5"/>
        <v/>
      </c>
      <c r="U34" s="533" t="str">
        <f t="shared" si="6"/>
        <v/>
      </c>
      <c r="V34" s="533" t="str">
        <f t="shared" si="15"/>
        <v/>
      </c>
      <c r="W34" s="533" t="str">
        <f t="shared" si="7"/>
        <v/>
      </c>
      <c r="X34" s="533" t="str">
        <f t="shared" si="8"/>
        <v/>
      </c>
      <c r="Y34" s="124"/>
      <c r="Z34" s="124"/>
      <c r="AA34" s="124"/>
      <c r="AB34" s="124"/>
      <c r="AC34" s="124"/>
      <c r="AD34" s="124"/>
      <c r="AE34" s="124"/>
      <c r="AF34" s="124"/>
      <c r="AG34" s="125"/>
      <c r="AH34" s="125"/>
      <c r="AI34" s="513"/>
      <c r="AJ34" s="302" t="e">
        <f t="shared" si="9"/>
        <v>#DIV/0!</v>
      </c>
      <c r="AK34" s="303" t="e">
        <f>IF(AJ34&gt;KKM!$G$10,"A",IF(AJ34&gt;KKM!$H$10,"B",IF(AJ34&gt;=KKM!$I$10,"C","D")))</f>
        <v>#DIV/0!</v>
      </c>
      <c r="AL34" s="304">
        <f t="shared" si="0"/>
        <v>0</v>
      </c>
      <c r="AM34" s="309" t="str">
        <f>IF(AL34&gt;KKM!$G$10," sangat baik ",IF(AL34&gt;KKM!$H$10," baik ",IF(AL34&gt;=KKM!$I$10," cukup baik "," perlu bimbingan ")))</f>
        <v xml:space="preserve"> perlu bimbingan </v>
      </c>
      <c r="AN34" s="305">
        <f t="shared" si="1"/>
        <v>0</v>
      </c>
      <c r="AO34" s="309" t="str">
        <f>IF(AN34&gt;KKM!$G$10," sangat baik ",IF(AN34&gt;KKM!$H$10," baik ",IF(AN34&gt;=KKM!$I$10," cukup baik "," perlu bimbingan ")))</f>
        <v xml:space="preserve"> perlu bimbingan </v>
      </c>
      <c r="AP34" s="301" t="str">
        <f t="shared" si="10"/>
        <v xml:space="preserve"> </v>
      </c>
      <c r="AQ34" s="218"/>
      <c r="AR34" s="219" t="e">
        <f t="shared" si="2"/>
        <v>#N/A</v>
      </c>
      <c r="AS34" s="219" t="e">
        <f t="shared" si="3"/>
        <v>#N/A</v>
      </c>
      <c r="AT34" s="219" t="e">
        <f t="shared" si="11"/>
        <v>#N/A</v>
      </c>
      <c r="AU34" s="219" t="e">
        <f t="shared" si="12"/>
        <v>#N/A</v>
      </c>
      <c r="AV34" s="220" t="e">
        <f t="shared" si="13"/>
        <v>#N/A</v>
      </c>
      <c r="AW34" s="214" t="e">
        <f t="shared" si="4"/>
        <v>#N/A</v>
      </c>
      <c r="AX34" s="120"/>
      <c r="BH34" s="408" t="str">
        <f t="shared" si="14"/>
        <v/>
      </c>
    </row>
    <row r="35" spans="2:60" ht="63.75" customHeight="1">
      <c r="B35" s="109">
        <v>31</v>
      </c>
      <c r="C35" s="110">
        <f>SISWA!B36</f>
        <v>0</v>
      </c>
      <c r="D35" s="111" t="str">
        <f>SISWA!E36</f>
        <v>Anak 31</v>
      </c>
      <c r="E35" s="520"/>
      <c r="F35" s="520"/>
      <c r="G35" s="520"/>
      <c r="H35" s="520"/>
      <c r="I35" s="520"/>
      <c r="J35" s="520"/>
      <c r="K35" s="520"/>
      <c r="L35" s="520"/>
      <c r="M35" s="520"/>
      <c r="N35" s="520"/>
      <c r="O35" s="520"/>
      <c r="P35" s="520"/>
      <c r="Q35" s="520"/>
      <c r="R35" s="520"/>
      <c r="S35" s="520"/>
      <c r="T35" s="533" t="str">
        <f t="shared" si="5"/>
        <v/>
      </c>
      <c r="U35" s="533" t="str">
        <f t="shared" si="6"/>
        <v/>
      </c>
      <c r="V35" s="533" t="str">
        <f t="shared" si="15"/>
        <v/>
      </c>
      <c r="W35" s="533" t="str">
        <f t="shared" si="7"/>
        <v/>
      </c>
      <c r="X35" s="533" t="str">
        <f t="shared" si="8"/>
        <v/>
      </c>
      <c r="Y35" s="124"/>
      <c r="Z35" s="124"/>
      <c r="AA35" s="124"/>
      <c r="AB35" s="124"/>
      <c r="AC35" s="124"/>
      <c r="AD35" s="124"/>
      <c r="AE35" s="124"/>
      <c r="AF35" s="124"/>
      <c r="AG35" s="125"/>
      <c r="AH35" s="125"/>
      <c r="AI35" s="513"/>
      <c r="AJ35" s="302" t="e">
        <f t="shared" si="9"/>
        <v>#DIV/0!</v>
      </c>
      <c r="AK35" s="303" t="e">
        <f>IF(AJ35&gt;KKM!$G$10,"A",IF(AJ35&gt;KKM!$H$10,"B",IF(AJ35&gt;=KKM!$I$10,"C","D")))</f>
        <v>#DIV/0!</v>
      </c>
      <c r="AL35" s="304">
        <f t="shared" si="0"/>
        <v>0</v>
      </c>
      <c r="AM35" s="309" t="str">
        <f>IF(AL35&gt;KKM!$G$10," sangat baik ",IF(AL35&gt;KKM!$H$10," baik ",IF(AL35&gt;=KKM!$I$10," cukup baik "," perlu bimbingan ")))</f>
        <v xml:space="preserve"> perlu bimbingan </v>
      </c>
      <c r="AN35" s="305">
        <f t="shared" si="1"/>
        <v>0</v>
      </c>
      <c r="AO35" s="309" t="str">
        <f>IF(AN35&gt;KKM!$G$10," sangat baik ",IF(AN35&gt;KKM!$H$10," baik ",IF(AN35&gt;=KKM!$I$10," cukup baik "," perlu bimbingan ")))</f>
        <v xml:space="preserve"> perlu bimbingan </v>
      </c>
      <c r="AP35" s="301" t="str">
        <f t="shared" si="10"/>
        <v xml:space="preserve"> </v>
      </c>
      <c r="AQ35" s="218"/>
      <c r="AR35" s="219" t="e">
        <f t="shared" si="2"/>
        <v>#N/A</v>
      </c>
      <c r="AS35" s="219" t="e">
        <f t="shared" si="3"/>
        <v>#N/A</v>
      </c>
      <c r="AT35" s="219" t="e">
        <f t="shared" si="11"/>
        <v>#N/A</v>
      </c>
      <c r="AU35" s="219" t="e">
        <f t="shared" si="12"/>
        <v>#N/A</v>
      </c>
      <c r="AV35" s="220" t="e">
        <f t="shared" si="13"/>
        <v>#N/A</v>
      </c>
      <c r="AW35" s="214" t="e">
        <f t="shared" si="4"/>
        <v>#N/A</v>
      </c>
      <c r="AX35" s="120"/>
      <c r="BH35" s="408" t="str">
        <f t="shared" si="14"/>
        <v/>
      </c>
    </row>
    <row r="36" spans="2:60" ht="63.75" customHeight="1">
      <c r="B36" s="109">
        <v>32</v>
      </c>
      <c r="C36" s="110">
        <f>SISWA!B37</f>
        <v>0</v>
      </c>
      <c r="D36" s="111" t="str">
        <f>SISWA!E37</f>
        <v>Anak 32</v>
      </c>
      <c r="E36" s="520"/>
      <c r="F36" s="520"/>
      <c r="G36" s="520"/>
      <c r="H36" s="520"/>
      <c r="I36" s="520"/>
      <c r="J36" s="520"/>
      <c r="K36" s="520"/>
      <c r="L36" s="520"/>
      <c r="M36" s="520"/>
      <c r="N36" s="520"/>
      <c r="O36" s="520"/>
      <c r="P36" s="520"/>
      <c r="Q36" s="520"/>
      <c r="R36" s="520"/>
      <c r="S36" s="520"/>
      <c r="T36" s="533" t="str">
        <f t="shared" si="5"/>
        <v/>
      </c>
      <c r="U36" s="533" t="str">
        <f t="shared" si="6"/>
        <v/>
      </c>
      <c r="V36" s="533" t="str">
        <f t="shared" si="15"/>
        <v/>
      </c>
      <c r="W36" s="533" t="str">
        <f t="shared" si="7"/>
        <v/>
      </c>
      <c r="X36" s="533" t="str">
        <f t="shared" si="8"/>
        <v/>
      </c>
      <c r="Y36" s="124"/>
      <c r="Z36" s="124"/>
      <c r="AA36" s="124"/>
      <c r="AB36" s="124"/>
      <c r="AC36" s="124"/>
      <c r="AD36" s="124"/>
      <c r="AE36" s="124"/>
      <c r="AF36" s="124"/>
      <c r="AG36" s="125"/>
      <c r="AH36" s="125"/>
      <c r="AI36" s="513"/>
      <c r="AJ36" s="302" t="e">
        <f t="shared" si="9"/>
        <v>#DIV/0!</v>
      </c>
      <c r="AK36" s="303" t="e">
        <f>IF(AJ36&gt;KKM!$G$10,"A",IF(AJ36&gt;KKM!$H$10,"B",IF(AJ36&gt;=KKM!$I$10,"C","D")))</f>
        <v>#DIV/0!</v>
      </c>
      <c r="AL36" s="304">
        <f t="shared" si="0"/>
        <v>0</v>
      </c>
      <c r="AM36" s="309" t="str">
        <f>IF(AL36&gt;KKM!$G$10," sangat baik ",IF(AL36&gt;KKM!$H$10," baik ",IF(AL36&gt;=KKM!$I$10," cukup baik "," perlu bimbingan ")))</f>
        <v xml:space="preserve"> perlu bimbingan </v>
      </c>
      <c r="AN36" s="305">
        <f t="shared" si="1"/>
        <v>0</v>
      </c>
      <c r="AO36" s="309" t="str">
        <f>IF(AN36&gt;KKM!$G$10," sangat baik ",IF(AN36&gt;KKM!$H$10," baik ",IF(AN36&gt;=KKM!$I$10," cukup baik "," perlu bimbingan ")))</f>
        <v xml:space="preserve"> perlu bimbingan </v>
      </c>
      <c r="AP36" s="301" t="str">
        <f t="shared" si="10"/>
        <v xml:space="preserve"> </v>
      </c>
      <c r="AQ36" s="218"/>
      <c r="AR36" s="219" t="e">
        <f t="shared" si="2"/>
        <v>#N/A</v>
      </c>
      <c r="AS36" s="219" t="e">
        <f t="shared" si="3"/>
        <v>#N/A</v>
      </c>
      <c r="AT36" s="219" t="e">
        <f t="shared" si="11"/>
        <v>#N/A</v>
      </c>
      <c r="AU36" s="219" t="e">
        <f t="shared" si="12"/>
        <v>#N/A</v>
      </c>
      <c r="AV36" s="220" t="e">
        <f t="shared" si="13"/>
        <v>#N/A</v>
      </c>
      <c r="AW36" s="214" t="e">
        <f t="shared" si="4"/>
        <v>#N/A</v>
      </c>
      <c r="AX36" s="120"/>
      <c r="BH36" s="408" t="str">
        <f t="shared" si="14"/>
        <v/>
      </c>
    </row>
    <row r="37" spans="2:60" ht="63.75" customHeight="1">
      <c r="B37" s="109">
        <v>33</v>
      </c>
      <c r="C37" s="110">
        <f>SISWA!B38</f>
        <v>0</v>
      </c>
      <c r="D37" s="111" t="str">
        <f>SISWA!E38</f>
        <v>Anak 33</v>
      </c>
      <c r="E37" s="520"/>
      <c r="F37" s="520"/>
      <c r="G37" s="520"/>
      <c r="H37" s="520"/>
      <c r="I37" s="520"/>
      <c r="J37" s="520"/>
      <c r="K37" s="520"/>
      <c r="L37" s="520"/>
      <c r="M37" s="520"/>
      <c r="N37" s="520"/>
      <c r="O37" s="520"/>
      <c r="P37" s="520"/>
      <c r="Q37" s="520"/>
      <c r="R37" s="520"/>
      <c r="S37" s="520"/>
      <c r="T37" s="533" t="str">
        <f t="shared" si="5"/>
        <v/>
      </c>
      <c r="U37" s="533" t="str">
        <f t="shared" si="6"/>
        <v/>
      </c>
      <c r="V37" s="533" t="str">
        <f t="shared" si="15"/>
        <v/>
      </c>
      <c r="W37" s="533" t="str">
        <f t="shared" si="7"/>
        <v/>
      </c>
      <c r="X37" s="533" t="str">
        <f t="shared" si="8"/>
        <v/>
      </c>
      <c r="Y37" s="124"/>
      <c r="Z37" s="124"/>
      <c r="AA37" s="124"/>
      <c r="AB37" s="124"/>
      <c r="AC37" s="124"/>
      <c r="AD37" s="124"/>
      <c r="AE37" s="124"/>
      <c r="AF37" s="124"/>
      <c r="AG37" s="125"/>
      <c r="AH37" s="125"/>
      <c r="AI37" s="513"/>
      <c r="AJ37" s="302" t="e">
        <f t="shared" si="9"/>
        <v>#DIV/0!</v>
      </c>
      <c r="AK37" s="303" t="e">
        <f>IF(AJ37&gt;KKM!$G$10,"A",IF(AJ37&gt;KKM!$H$10,"B",IF(AJ37&gt;=KKM!$I$10,"C","D")))</f>
        <v>#DIV/0!</v>
      </c>
      <c r="AL37" s="304">
        <f t="shared" si="0"/>
        <v>0</v>
      </c>
      <c r="AM37" s="309" t="str">
        <f>IF(AL37&gt;KKM!$G$10," sangat baik ",IF(AL37&gt;KKM!$H$10," baik ",IF(AL37&gt;=KKM!$I$10," cukup baik "," perlu bimbingan ")))</f>
        <v xml:space="preserve"> perlu bimbingan </v>
      </c>
      <c r="AN37" s="305">
        <f t="shared" si="1"/>
        <v>0</v>
      </c>
      <c r="AO37" s="309" t="str">
        <f>IF(AN37&gt;KKM!$G$10," sangat baik ",IF(AN37&gt;KKM!$H$10," baik ",IF(AN37&gt;=KKM!$I$10," cukup baik "," perlu bimbingan ")))</f>
        <v xml:space="preserve"> perlu bimbingan </v>
      </c>
      <c r="AP37" s="301" t="str">
        <f t="shared" si="10"/>
        <v xml:space="preserve"> </v>
      </c>
      <c r="AQ37" s="218"/>
      <c r="AR37" s="219" t="e">
        <f t="shared" si="2"/>
        <v>#N/A</v>
      </c>
      <c r="AS37" s="219" t="e">
        <f t="shared" si="3"/>
        <v>#N/A</v>
      </c>
      <c r="AT37" s="219" t="e">
        <f t="shared" si="11"/>
        <v>#N/A</v>
      </c>
      <c r="AU37" s="219" t="e">
        <f t="shared" si="12"/>
        <v>#N/A</v>
      </c>
      <c r="AV37" s="220" t="e">
        <f t="shared" si="13"/>
        <v>#N/A</v>
      </c>
      <c r="AW37" s="214" t="e">
        <f t="shared" ref="AW37:AW54" si="16">CONCATENATE(D37,AV37)</f>
        <v>#N/A</v>
      </c>
      <c r="AX37" s="120"/>
      <c r="BH37" s="408" t="str">
        <f t="shared" si="14"/>
        <v/>
      </c>
    </row>
    <row r="38" spans="2:60" ht="63.75" customHeight="1">
      <c r="B38" s="109">
        <v>34</v>
      </c>
      <c r="C38" s="110">
        <f>SISWA!B39</f>
        <v>0</v>
      </c>
      <c r="D38" s="111" t="str">
        <f>SISWA!E39</f>
        <v>Anak 34</v>
      </c>
      <c r="E38" s="520"/>
      <c r="F38" s="520"/>
      <c r="G38" s="520"/>
      <c r="H38" s="520"/>
      <c r="I38" s="520"/>
      <c r="J38" s="520"/>
      <c r="K38" s="520"/>
      <c r="L38" s="520"/>
      <c r="M38" s="520"/>
      <c r="N38" s="520"/>
      <c r="O38" s="520"/>
      <c r="P38" s="520"/>
      <c r="Q38" s="520"/>
      <c r="R38" s="520"/>
      <c r="S38" s="520"/>
      <c r="T38" s="533" t="str">
        <f t="shared" si="5"/>
        <v/>
      </c>
      <c r="U38" s="533" t="str">
        <f t="shared" si="6"/>
        <v/>
      </c>
      <c r="V38" s="533" t="str">
        <f t="shared" si="15"/>
        <v/>
      </c>
      <c r="W38" s="533" t="str">
        <f t="shared" si="7"/>
        <v/>
      </c>
      <c r="X38" s="533" t="str">
        <f t="shared" si="8"/>
        <v/>
      </c>
      <c r="Y38" s="124"/>
      <c r="Z38" s="124"/>
      <c r="AA38" s="124"/>
      <c r="AB38" s="124"/>
      <c r="AC38" s="124"/>
      <c r="AD38" s="124"/>
      <c r="AE38" s="124"/>
      <c r="AF38" s="124"/>
      <c r="AG38" s="125"/>
      <c r="AH38" s="125"/>
      <c r="AI38" s="513"/>
      <c r="AJ38" s="302" t="e">
        <f t="shared" si="9"/>
        <v>#DIV/0!</v>
      </c>
      <c r="AK38" s="303" t="e">
        <f>IF(AJ38&gt;KKM!$G$10,"A",IF(AJ38&gt;KKM!$H$10,"B",IF(AJ38&gt;=KKM!$I$10,"C","D")))</f>
        <v>#DIV/0!</v>
      </c>
      <c r="AL38" s="304">
        <f t="shared" si="0"/>
        <v>0</v>
      </c>
      <c r="AM38" s="309" t="str">
        <f>IF(AL38&gt;KKM!$G$10," sangat baik ",IF(AL38&gt;KKM!$H$10," baik ",IF(AL38&gt;=KKM!$I$10," cukup baik "," perlu bimbingan ")))</f>
        <v xml:space="preserve"> perlu bimbingan </v>
      </c>
      <c r="AN38" s="305">
        <f t="shared" si="1"/>
        <v>0</v>
      </c>
      <c r="AO38" s="309" t="str">
        <f>IF(AN38&gt;KKM!$G$10," sangat baik ",IF(AN38&gt;KKM!$H$10," baik ",IF(AN38&gt;=KKM!$I$10," cukup baik "," perlu bimbingan ")))</f>
        <v xml:space="preserve"> perlu bimbingan </v>
      </c>
      <c r="AP38" s="301" t="str">
        <f t="shared" si="10"/>
        <v xml:space="preserve"> </v>
      </c>
      <c r="AQ38" s="218"/>
      <c r="AR38" s="219" t="e">
        <f t="shared" si="2"/>
        <v>#N/A</v>
      </c>
      <c r="AS38" s="219" t="e">
        <f t="shared" si="3"/>
        <v>#N/A</v>
      </c>
      <c r="AT38" s="219" t="e">
        <f t="shared" si="11"/>
        <v>#N/A</v>
      </c>
      <c r="AU38" s="219" t="e">
        <f t="shared" si="12"/>
        <v>#N/A</v>
      </c>
      <c r="AV38" s="220" t="e">
        <f t="shared" si="13"/>
        <v>#N/A</v>
      </c>
      <c r="AW38" s="214" t="e">
        <f t="shared" si="16"/>
        <v>#N/A</v>
      </c>
      <c r="AX38" s="120"/>
      <c r="BH38" s="408" t="str">
        <f t="shared" si="14"/>
        <v/>
      </c>
    </row>
    <row r="39" spans="2:60" ht="63.75" customHeight="1">
      <c r="B39" s="109">
        <v>35</v>
      </c>
      <c r="C39" s="110">
        <f>SISWA!B40</f>
        <v>0</v>
      </c>
      <c r="D39" s="111" t="str">
        <f>SISWA!E40</f>
        <v>Anak 35</v>
      </c>
      <c r="E39" s="520"/>
      <c r="F39" s="520"/>
      <c r="G39" s="520"/>
      <c r="H39" s="520"/>
      <c r="I39" s="520"/>
      <c r="J39" s="520"/>
      <c r="K39" s="520"/>
      <c r="L39" s="520"/>
      <c r="M39" s="520"/>
      <c r="N39" s="520"/>
      <c r="O39" s="520"/>
      <c r="P39" s="520"/>
      <c r="Q39" s="520"/>
      <c r="R39" s="520"/>
      <c r="S39" s="520"/>
      <c r="T39" s="533" t="str">
        <f t="shared" si="5"/>
        <v/>
      </c>
      <c r="U39" s="533" t="str">
        <f t="shared" si="6"/>
        <v/>
      </c>
      <c r="V39" s="533" t="str">
        <f t="shared" si="15"/>
        <v/>
      </c>
      <c r="W39" s="533" t="str">
        <f t="shared" si="7"/>
        <v/>
      </c>
      <c r="X39" s="533" t="str">
        <f t="shared" si="8"/>
        <v/>
      </c>
      <c r="Y39" s="124"/>
      <c r="Z39" s="124"/>
      <c r="AA39" s="124"/>
      <c r="AB39" s="124"/>
      <c r="AC39" s="124"/>
      <c r="AD39" s="124"/>
      <c r="AE39" s="124"/>
      <c r="AF39" s="124"/>
      <c r="AG39" s="125"/>
      <c r="AH39" s="125"/>
      <c r="AI39" s="513"/>
      <c r="AJ39" s="302" t="e">
        <f t="shared" si="9"/>
        <v>#DIV/0!</v>
      </c>
      <c r="AK39" s="303" t="e">
        <f>IF(AJ39&gt;KKM!$G$10,"A",IF(AJ39&gt;KKM!$H$10,"B",IF(AJ39&gt;=KKM!$I$10,"C","D")))</f>
        <v>#DIV/0!</v>
      </c>
      <c r="AL39" s="304">
        <f t="shared" si="0"/>
        <v>0</v>
      </c>
      <c r="AM39" s="309" t="str">
        <f>IF(AL39&gt;KKM!$G$10," sangat baik ",IF(AL39&gt;KKM!$H$10," baik ",IF(AL39&gt;=KKM!$I$10," cukup baik "," perlu bimbingan ")))</f>
        <v xml:space="preserve"> perlu bimbingan </v>
      </c>
      <c r="AN39" s="305">
        <f t="shared" si="1"/>
        <v>0</v>
      </c>
      <c r="AO39" s="309" t="str">
        <f>IF(AN39&gt;KKM!$G$10," sangat baik ",IF(AN39&gt;KKM!$H$10," baik ",IF(AN39&gt;=KKM!$I$10," cukup baik "," perlu bimbingan ")))</f>
        <v xml:space="preserve"> perlu bimbingan </v>
      </c>
      <c r="AP39" s="301" t="str">
        <f t="shared" si="10"/>
        <v xml:space="preserve"> </v>
      </c>
      <c r="AQ39" s="218"/>
      <c r="AR39" s="219" t="e">
        <f t="shared" si="2"/>
        <v>#N/A</v>
      </c>
      <c r="AS39" s="219" t="e">
        <f t="shared" si="3"/>
        <v>#N/A</v>
      </c>
      <c r="AT39" s="219" t="e">
        <f t="shared" si="11"/>
        <v>#N/A</v>
      </c>
      <c r="AU39" s="219" t="e">
        <f t="shared" si="12"/>
        <v>#N/A</v>
      </c>
      <c r="AV39" s="220" t="e">
        <f t="shared" si="13"/>
        <v>#N/A</v>
      </c>
      <c r="AW39" s="214" t="e">
        <f t="shared" si="16"/>
        <v>#N/A</v>
      </c>
      <c r="AX39" s="120"/>
      <c r="BH39" s="408" t="str">
        <f t="shared" si="14"/>
        <v/>
      </c>
    </row>
    <row r="40" spans="2:60" ht="63.75" customHeight="1">
      <c r="B40" s="109">
        <v>36</v>
      </c>
      <c r="C40" s="110">
        <f>SISWA!B41</f>
        <v>0</v>
      </c>
      <c r="D40" s="111" t="str">
        <f>SISWA!E41</f>
        <v>Anak 36</v>
      </c>
      <c r="E40" s="520"/>
      <c r="F40" s="520"/>
      <c r="G40" s="520"/>
      <c r="H40" s="520"/>
      <c r="I40" s="520"/>
      <c r="J40" s="520"/>
      <c r="K40" s="520"/>
      <c r="L40" s="520"/>
      <c r="M40" s="520"/>
      <c r="N40" s="520"/>
      <c r="O40" s="520"/>
      <c r="P40" s="520"/>
      <c r="Q40" s="520"/>
      <c r="R40" s="520"/>
      <c r="S40" s="520"/>
      <c r="T40" s="533" t="str">
        <f t="shared" si="5"/>
        <v/>
      </c>
      <c r="U40" s="533" t="str">
        <f t="shared" si="6"/>
        <v/>
      </c>
      <c r="V40" s="533" t="str">
        <f t="shared" si="15"/>
        <v/>
      </c>
      <c r="W40" s="533" t="str">
        <f t="shared" si="7"/>
        <v/>
      </c>
      <c r="X40" s="533" t="str">
        <f t="shared" si="8"/>
        <v/>
      </c>
      <c r="Y40" s="124"/>
      <c r="Z40" s="124"/>
      <c r="AA40" s="124"/>
      <c r="AB40" s="124"/>
      <c r="AC40" s="124"/>
      <c r="AD40" s="124"/>
      <c r="AE40" s="124"/>
      <c r="AF40" s="124"/>
      <c r="AG40" s="125"/>
      <c r="AH40" s="125"/>
      <c r="AI40" s="513"/>
      <c r="AJ40" s="302" t="e">
        <f t="shared" si="9"/>
        <v>#DIV/0!</v>
      </c>
      <c r="AK40" s="303" t="e">
        <f>IF(AJ40&gt;KKM!$G$10,"A",IF(AJ40&gt;KKM!$H$10,"B",IF(AJ40&gt;=KKM!$I$10,"C","D")))</f>
        <v>#DIV/0!</v>
      </c>
      <c r="AL40" s="304">
        <f t="shared" si="0"/>
        <v>0</v>
      </c>
      <c r="AM40" s="309" t="str">
        <f>IF(AL40&gt;KKM!$G$10," sangat baik ",IF(AL40&gt;KKM!$H$10," baik ",IF(AL40&gt;=KKM!$I$10," cukup baik "," perlu bimbingan ")))</f>
        <v xml:space="preserve"> perlu bimbingan </v>
      </c>
      <c r="AN40" s="305">
        <f t="shared" si="1"/>
        <v>0</v>
      </c>
      <c r="AO40" s="309" t="str">
        <f>IF(AN40&gt;KKM!$G$10," sangat baik ",IF(AN40&gt;KKM!$H$10," baik ",IF(AN40&gt;=KKM!$I$10," cukup baik "," perlu bimbingan ")))</f>
        <v xml:space="preserve"> perlu bimbingan </v>
      </c>
      <c r="AP40" s="301" t="str">
        <f t="shared" si="10"/>
        <v xml:space="preserve"> </v>
      </c>
      <c r="AQ40" s="218"/>
      <c r="AR40" s="219" t="e">
        <f t="shared" si="2"/>
        <v>#N/A</v>
      </c>
      <c r="AS40" s="219" t="e">
        <f t="shared" si="3"/>
        <v>#N/A</v>
      </c>
      <c r="AT40" s="219" t="e">
        <f t="shared" si="11"/>
        <v>#N/A</v>
      </c>
      <c r="AU40" s="219" t="e">
        <f t="shared" si="12"/>
        <v>#N/A</v>
      </c>
      <c r="AV40" s="220" t="e">
        <f t="shared" si="13"/>
        <v>#N/A</v>
      </c>
      <c r="AW40" s="214" t="e">
        <f t="shared" si="16"/>
        <v>#N/A</v>
      </c>
      <c r="AX40" s="120"/>
      <c r="BH40" s="408" t="str">
        <f t="shared" si="14"/>
        <v/>
      </c>
    </row>
    <row r="41" spans="2:60" ht="63.75" customHeight="1">
      <c r="B41" s="109">
        <v>37</v>
      </c>
      <c r="C41" s="110">
        <f>SISWA!B42</f>
        <v>0</v>
      </c>
      <c r="D41" s="111" t="str">
        <f>SISWA!E42</f>
        <v>Anak 37</v>
      </c>
      <c r="E41" s="520"/>
      <c r="F41" s="520"/>
      <c r="G41" s="520"/>
      <c r="H41" s="520"/>
      <c r="I41" s="520"/>
      <c r="J41" s="520"/>
      <c r="K41" s="520"/>
      <c r="L41" s="520"/>
      <c r="M41" s="520"/>
      <c r="N41" s="520"/>
      <c r="O41" s="520"/>
      <c r="P41" s="520"/>
      <c r="Q41" s="520"/>
      <c r="R41" s="520"/>
      <c r="S41" s="520"/>
      <c r="T41" s="533" t="str">
        <f t="shared" si="5"/>
        <v/>
      </c>
      <c r="U41" s="533" t="str">
        <f t="shared" si="6"/>
        <v/>
      </c>
      <c r="V41" s="533" t="str">
        <f t="shared" si="15"/>
        <v/>
      </c>
      <c r="W41" s="533" t="str">
        <f t="shared" si="7"/>
        <v/>
      </c>
      <c r="X41" s="533" t="str">
        <f t="shared" si="8"/>
        <v/>
      </c>
      <c r="Y41" s="124"/>
      <c r="Z41" s="124"/>
      <c r="AA41" s="124"/>
      <c r="AB41" s="124"/>
      <c r="AC41" s="124"/>
      <c r="AD41" s="124"/>
      <c r="AE41" s="124"/>
      <c r="AF41" s="124"/>
      <c r="AG41" s="125"/>
      <c r="AH41" s="125"/>
      <c r="AI41" s="513"/>
      <c r="AJ41" s="302" t="e">
        <f t="shared" si="9"/>
        <v>#DIV/0!</v>
      </c>
      <c r="AK41" s="303" t="e">
        <f>IF(AJ41&gt;KKM!$G$10,"A",IF(AJ41&gt;KKM!$H$10,"B",IF(AJ41&gt;=KKM!$I$10,"C","D")))</f>
        <v>#DIV/0!</v>
      </c>
      <c r="AL41" s="304">
        <f t="shared" si="0"/>
        <v>0</v>
      </c>
      <c r="AM41" s="309" t="str">
        <f>IF(AL41&gt;KKM!$G$10," sangat baik ",IF(AL41&gt;KKM!$H$10," baik ",IF(AL41&gt;=KKM!$I$10," cukup baik "," perlu bimbingan ")))</f>
        <v xml:space="preserve"> perlu bimbingan </v>
      </c>
      <c r="AN41" s="305">
        <f t="shared" si="1"/>
        <v>0</v>
      </c>
      <c r="AO41" s="309" t="str">
        <f>IF(AN41&gt;KKM!$G$10," sangat baik ",IF(AN41&gt;KKM!$H$10," baik ",IF(AN41&gt;=KKM!$I$10," cukup baik "," perlu bimbingan ")))</f>
        <v xml:space="preserve"> perlu bimbingan </v>
      </c>
      <c r="AP41" s="301" t="str">
        <f t="shared" si="10"/>
        <v xml:space="preserve"> </v>
      </c>
      <c r="AQ41" s="218"/>
      <c r="AR41" s="219" t="e">
        <f t="shared" si="2"/>
        <v>#N/A</v>
      </c>
      <c r="AS41" s="219" t="e">
        <f t="shared" si="3"/>
        <v>#N/A</v>
      </c>
      <c r="AT41" s="219" t="e">
        <f t="shared" si="11"/>
        <v>#N/A</v>
      </c>
      <c r="AU41" s="219" t="e">
        <f t="shared" si="12"/>
        <v>#N/A</v>
      </c>
      <c r="AV41" s="220" t="e">
        <f t="shared" si="13"/>
        <v>#N/A</v>
      </c>
      <c r="AW41" s="214" t="e">
        <f t="shared" si="16"/>
        <v>#N/A</v>
      </c>
      <c r="AX41" s="120"/>
      <c r="BH41" s="408" t="str">
        <f t="shared" si="14"/>
        <v/>
      </c>
    </row>
    <row r="42" spans="2:60" ht="63.75" customHeight="1">
      <c r="B42" s="109">
        <v>38</v>
      </c>
      <c r="C42" s="110">
        <f>SISWA!B43</f>
        <v>0</v>
      </c>
      <c r="D42" s="111" t="str">
        <f>SISWA!E43</f>
        <v>Anak 38</v>
      </c>
      <c r="E42" s="520"/>
      <c r="F42" s="520"/>
      <c r="G42" s="520"/>
      <c r="H42" s="520"/>
      <c r="I42" s="520"/>
      <c r="J42" s="520"/>
      <c r="K42" s="520"/>
      <c r="L42" s="520"/>
      <c r="M42" s="520"/>
      <c r="N42" s="520"/>
      <c r="O42" s="520"/>
      <c r="P42" s="520"/>
      <c r="Q42" s="520"/>
      <c r="R42" s="520"/>
      <c r="S42" s="520"/>
      <c r="T42" s="533" t="str">
        <f t="shared" si="5"/>
        <v/>
      </c>
      <c r="U42" s="533" t="str">
        <f t="shared" si="6"/>
        <v/>
      </c>
      <c r="V42" s="533" t="str">
        <f t="shared" si="15"/>
        <v/>
      </c>
      <c r="W42" s="533" t="str">
        <f t="shared" si="7"/>
        <v/>
      </c>
      <c r="X42" s="533" t="str">
        <f t="shared" si="8"/>
        <v/>
      </c>
      <c r="Y42" s="124"/>
      <c r="Z42" s="124"/>
      <c r="AA42" s="124"/>
      <c r="AB42" s="124"/>
      <c r="AC42" s="124"/>
      <c r="AD42" s="124"/>
      <c r="AE42" s="124"/>
      <c r="AF42" s="124"/>
      <c r="AG42" s="125"/>
      <c r="AH42" s="125"/>
      <c r="AI42" s="513"/>
      <c r="AJ42" s="302" t="e">
        <f t="shared" si="9"/>
        <v>#DIV/0!</v>
      </c>
      <c r="AK42" s="303" t="e">
        <f>IF(AJ42&gt;KKM!$G$10,"A",IF(AJ42&gt;KKM!$H$10,"B",IF(AJ42&gt;=KKM!$I$10,"C","D")))</f>
        <v>#DIV/0!</v>
      </c>
      <c r="AL42" s="304">
        <f t="shared" si="0"/>
        <v>0</v>
      </c>
      <c r="AM42" s="309" t="str">
        <f>IF(AL42&gt;KKM!$G$10," sangat baik ",IF(AL42&gt;KKM!$H$10," baik ",IF(AL42&gt;=KKM!$I$10," cukup baik "," perlu bimbingan ")))</f>
        <v xml:space="preserve"> perlu bimbingan </v>
      </c>
      <c r="AN42" s="305">
        <f t="shared" si="1"/>
        <v>0</v>
      </c>
      <c r="AO42" s="309" t="str">
        <f>IF(AN42&gt;KKM!$G$10," sangat baik ",IF(AN42&gt;KKM!$H$10," baik ",IF(AN42&gt;=KKM!$I$10," cukup baik "," perlu bimbingan ")))</f>
        <v xml:space="preserve"> perlu bimbingan </v>
      </c>
      <c r="AP42" s="301" t="str">
        <f t="shared" si="10"/>
        <v xml:space="preserve"> </v>
      </c>
      <c r="AQ42" s="218"/>
      <c r="AR42" s="219" t="e">
        <f t="shared" si="2"/>
        <v>#N/A</v>
      </c>
      <c r="AS42" s="219" t="e">
        <f t="shared" si="3"/>
        <v>#N/A</v>
      </c>
      <c r="AT42" s="219" t="e">
        <f t="shared" si="11"/>
        <v>#N/A</v>
      </c>
      <c r="AU42" s="219" t="e">
        <f t="shared" si="12"/>
        <v>#N/A</v>
      </c>
      <c r="AV42" s="220" t="e">
        <f t="shared" si="13"/>
        <v>#N/A</v>
      </c>
      <c r="AW42" s="214" t="e">
        <f t="shared" si="16"/>
        <v>#N/A</v>
      </c>
      <c r="AX42" s="120"/>
      <c r="BH42" s="408" t="str">
        <f t="shared" si="14"/>
        <v/>
      </c>
    </row>
    <row r="43" spans="2:60" ht="63.75" customHeight="1">
      <c r="B43" s="109">
        <v>39</v>
      </c>
      <c r="C43" s="110">
        <f>SISWA!B44</f>
        <v>0</v>
      </c>
      <c r="D43" s="111" t="str">
        <f>SISWA!E44</f>
        <v>Anak 39</v>
      </c>
      <c r="E43" s="520"/>
      <c r="F43" s="520"/>
      <c r="G43" s="520"/>
      <c r="H43" s="520"/>
      <c r="I43" s="520"/>
      <c r="J43" s="520"/>
      <c r="K43" s="520"/>
      <c r="L43" s="520"/>
      <c r="M43" s="520"/>
      <c r="N43" s="520"/>
      <c r="O43" s="520"/>
      <c r="P43" s="520"/>
      <c r="Q43" s="520"/>
      <c r="R43" s="520"/>
      <c r="S43" s="520"/>
      <c r="T43" s="533" t="str">
        <f t="shared" si="5"/>
        <v/>
      </c>
      <c r="U43" s="533" t="str">
        <f t="shared" si="6"/>
        <v/>
      </c>
      <c r="V43" s="533" t="str">
        <f t="shared" si="15"/>
        <v/>
      </c>
      <c r="W43" s="533" t="str">
        <f t="shared" si="7"/>
        <v/>
      </c>
      <c r="X43" s="533" t="str">
        <f t="shared" si="8"/>
        <v/>
      </c>
      <c r="Y43" s="124"/>
      <c r="Z43" s="124"/>
      <c r="AA43" s="124"/>
      <c r="AB43" s="124"/>
      <c r="AC43" s="124"/>
      <c r="AD43" s="124"/>
      <c r="AE43" s="124"/>
      <c r="AF43" s="124"/>
      <c r="AG43" s="125"/>
      <c r="AH43" s="125"/>
      <c r="AI43" s="513"/>
      <c r="AJ43" s="302" t="e">
        <f t="shared" si="9"/>
        <v>#DIV/0!</v>
      </c>
      <c r="AK43" s="303" t="e">
        <f>IF(AJ43&gt;KKM!$G$10,"A",IF(AJ43&gt;KKM!$H$10,"B",IF(AJ43&gt;=KKM!$I$10,"C","D")))</f>
        <v>#DIV/0!</v>
      </c>
      <c r="AL43" s="304">
        <f t="shared" si="0"/>
        <v>0</v>
      </c>
      <c r="AM43" s="309" t="str">
        <f>IF(AL43&gt;KKM!$G$10," sangat baik ",IF(AL43&gt;KKM!$H$10," baik ",IF(AL43&gt;=KKM!$I$10," cukup baik "," perlu bimbingan ")))</f>
        <v xml:space="preserve"> perlu bimbingan </v>
      </c>
      <c r="AN43" s="305">
        <f t="shared" si="1"/>
        <v>0</v>
      </c>
      <c r="AO43" s="309" t="str">
        <f>IF(AN43&gt;KKM!$G$10," sangat baik ",IF(AN43&gt;KKM!$H$10," baik ",IF(AN43&gt;=KKM!$I$10," cukup baik "," perlu bimbingan ")))</f>
        <v xml:space="preserve"> perlu bimbingan </v>
      </c>
      <c r="AP43" s="301" t="str">
        <f t="shared" si="10"/>
        <v xml:space="preserve"> </v>
      </c>
      <c r="AQ43" s="218"/>
      <c r="AR43" s="219" t="e">
        <f t="shared" si="2"/>
        <v>#N/A</v>
      </c>
      <c r="AS43" s="219" t="e">
        <f t="shared" si="3"/>
        <v>#N/A</v>
      </c>
      <c r="AT43" s="219" t="e">
        <f t="shared" si="11"/>
        <v>#N/A</v>
      </c>
      <c r="AU43" s="219" t="e">
        <f t="shared" si="12"/>
        <v>#N/A</v>
      </c>
      <c r="AV43" s="220" t="e">
        <f t="shared" si="13"/>
        <v>#N/A</v>
      </c>
      <c r="AW43" s="214" t="e">
        <f t="shared" si="16"/>
        <v>#N/A</v>
      </c>
      <c r="AX43" s="120"/>
      <c r="BH43" s="408" t="str">
        <f t="shared" si="14"/>
        <v/>
      </c>
    </row>
    <row r="44" spans="2:60" ht="63.75" customHeight="1">
      <c r="B44" s="109">
        <v>40</v>
      </c>
      <c r="C44" s="110">
        <f>SISWA!B45</f>
        <v>0</v>
      </c>
      <c r="D44" s="111" t="str">
        <f>SISWA!E45</f>
        <v>Anak 40</v>
      </c>
      <c r="E44" s="520"/>
      <c r="F44" s="520"/>
      <c r="G44" s="520"/>
      <c r="H44" s="520"/>
      <c r="I44" s="520"/>
      <c r="J44" s="520"/>
      <c r="K44" s="520"/>
      <c r="L44" s="520"/>
      <c r="M44" s="520"/>
      <c r="N44" s="520"/>
      <c r="O44" s="520"/>
      <c r="P44" s="520"/>
      <c r="Q44" s="520"/>
      <c r="R44" s="520"/>
      <c r="S44" s="520"/>
      <c r="T44" s="533" t="str">
        <f t="shared" si="5"/>
        <v/>
      </c>
      <c r="U44" s="533" t="str">
        <f t="shared" si="6"/>
        <v/>
      </c>
      <c r="V44" s="533" t="str">
        <f t="shared" si="15"/>
        <v/>
      </c>
      <c r="W44" s="533" t="str">
        <f t="shared" si="7"/>
        <v/>
      </c>
      <c r="X44" s="533" t="str">
        <f t="shared" si="8"/>
        <v/>
      </c>
      <c r="Y44" s="124"/>
      <c r="Z44" s="124"/>
      <c r="AA44" s="124"/>
      <c r="AB44" s="124"/>
      <c r="AC44" s="124"/>
      <c r="AD44" s="124"/>
      <c r="AE44" s="124"/>
      <c r="AF44" s="124"/>
      <c r="AG44" s="125"/>
      <c r="AH44" s="125"/>
      <c r="AI44" s="513"/>
      <c r="AJ44" s="302" t="e">
        <f t="shared" si="9"/>
        <v>#DIV/0!</v>
      </c>
      <c r="AK44" s="303" t="e">
        <f>IF(AJ44&gt;KKM!$G$10,"A",IF(AJ44&gt;KKM!$H$10,"B",IF(AJ44&gt;=KKM!$I$10,"C","D")))</f>
        <v>#DIV/0!</v>
      </c>
      <c r="AL44" s="304">
        <f t="shared" si="0"/>
        <v>0</v>
      </c>
      <c r="AM44" s="309" t="str">
        <f>IF(AL44&gt;KKM!$G$10," sangat baik ",IF(AL44&gt;KKM!$H$10," baik ",IF(AL44&gt;=KKM!$I$10," cukup baik "," perlu bimbingan ")))</f>
        <v xml:space="preserve"> perlu bimbingan </v>
      </c>
      <c r="AN44" s="305">
        <f t="shared" si="1"/>
        <v>0</v>
      </c>
      <c r="AO44" s="309" t="str">
        <f>IF(AN44&gt;KKM!$G$10," sangat baik ",IF(AN44&gt;KKM!$H$10," baik ",IF(AN44&gt;=KKM!$I$10," cukup baik "," perlu bimbingan ")))</f>
        <v xml:space="preserve"> perlu bimbingan </v>
      </c>
      <c r="AP44" s="301" t="str">
        <f t="shared" si="10"/>
        <v xml:space="preserve"> </v>
      </c>
      <c r="AQ44" s="218"/>
      <c r="AR44" s="219" t="e">
        <f t="shared" si="2"/>
        <v>#N/A</v>
      </c>
      <c r="AS44" s="219" t="e">
        <f t="shared" si="3"/>
        <v>#N/A</v>
      </c>
      <c r="AT44" s="219" t="e">
        <f t="shared" si="11"/>
        <v>#N/A</v>
      </c>
      <c r="AU44" s="219" t="e">
        <f t="shared" si="12"/>
        <v>#N/A</v>
      </c>
      <c r="AV44" s="220" t="e">
        <f t="shared" si="13"/>
        <v>#N/A</v>
      </c>
      <c r="AW44" s="214" t="e">
        <f t="shared" si="16"/>
        <v>#N/A</v>
      </c>
      <c r="AX44" s="120"/>
      <c r="BH44" s="408" t="str">
        <f t="shared" si="14"/>
        <v/>
      </c>
    </row>
    <row r="45" spans="2:60" ht="63.75" customHeight="1">
      <c r="B45" s="109">
        <v>41</v>
      </c>
      <c r="C45" s="110">
        <f>SISWA!B46</f>
        <v>0</v>
      </c>
      <c r="D45" s="111" t="str">
        <f>SISWA!E46</f>
        <v>Anak 41</v>
      </c>
      <c r="E45" s="520"/>
      <c r="F45" s="520"/>
      <c r="G45" s="520"/>
      <c r="H45" s="520"/>
      <c r="I45" s="520"/>
      <c r="J45" s="520"/>
      <c r="K45" s="520"/>
      <c r="L45" s="520"/>
      <c r="M45" s="520"/>
      <c r="N45" s="520"/>
      <c r="O45" s="520"/>
      <c r="P45" s="520"/>
      <c r="Q45" s="520"/>
      <c r="R45" s="520"/>
      <c r="S45" s="520"/>
      <c r="T45" s="533" t="str">
        <f t="shared" si="5"/>
        <v/>
      </c>
      <c r="U45" s="533" t="str">
        <f t="shared" si="6"/>
        <v/>
      </c>
      <c r="V45" s="533" t="str">
        <f t="shared" si="15"/>
        <v/>
      </c>
      <c r="W45" s="533" t="str">
        <f t="shared" si="7"/>
        <v/>
      </c>
      <c r="X45" s="533" t="str">
        <f t="shared" si="8"/>
        <v/>
      </c>
      <c r="Y45" s="124"/>
      <c r="Z45" s="124"/>
      <c r="AA45" s="124"/>
      <c r="AB45" s="124"/>
      <c r="AC45" s="124"/>
      <c r="AD45" s="124"/>
      <c r="AE45" s="124"/>
      <c r="AF45" s="124"/>
      <c r="AG45" s="125"/>
      <c r="AH45" s="125"/>
      <c r="AI45" s="513"/>
      <c r="AJ45" s="302" t="e">
        <f t="shared" si="9"/>
        <v>#DIV/0!</v>
      </c>
      <c r="AK45" s="303" t="e">
        <f>IF(AJ45&gt;KKM!$G$10,"A",IF(AJ45&gt;KKM!$H$10,"B",IF(AJ45&gt;=KKM!$I$10,"C","D")))</f>
        <v>#DIV/0!</v>
      </c>
      <c r="AL45" s="304">
        <f t="shared" si="0"/>
        <v>0</v>
      </c>
      <c r="AM45" s="309" t="str">
        <f>IF(AL45&gt;KKM!$G$10," sangat baik ",IF(AL45&gt;KKM!$H$10," baik ",IF(AL45&gt;=KKM!$I$10," cukup baik "," perlu bimbingan ")))</f>
        <v xml:space="preserve"> perlu bimbingan </v>
      </c>
      <c r="AN45" s="305">
        <f t="shared" si="1"/>
        <v>0</v>
      </c>
      <c r="AO45" s="309" t="str">
        <f>IF(AN45&gt;KKM!$G$10," sangat baik ",IF(AN45&gt;KKM!$H$10," baik ",IF(AN45&gt;=KKM!$I$10," cukup baik "," perlu bimbingan ")))</f>
        <v xml:space="preserve"> perlu bimbingan </v>
      </c>
      <c r="AP45" s="301" t="str">
        <f t="shared" si="10"/>
        <v xml:space="preserve"> </v>
      </c>
      <c r="AQ45" s="218"/>
      <c r="AR45" s="219" t="e">
        <f t="shared" si="2"/>
        <v>#N/A</v>
      </c>
      <c r="AS45" s="219" t="e">
        <f t="shared" si="3"/>
        <v>#N/A</v>
      </c>
      <c r="AT45" s="219" t="e">
        <f t="shared" si="11"/>
        <v>#N/A</v>
      </c>
      <c r="AU45" s="219" t="e">
        <f t="shared" si="12"/>
        <v>#N/A</v>
      </c>
      <c r="AV45" s="220" t="e">
        <f t="shared" si="13"/>
        <v>#N/A</v>
      </c>
      <c r="AW45" s="214" t="e">
        <f t="shared" si="16"/>
        <v>#N/A</v>
      </c>
      <c r="AX45" s="120"/>
      <c r="BH45" s="408" t="str">
        <f t="shared" si="14"/>
        <v/>
      </c>
    </row>
    <row r="46" spans="2:60" ht="63.75" customHeight="1">
      <c r="B46" s="109">
        <v>42</v>
      </c>
      <c r="C46" s="110">
        <f>SISWA!B47</f>
        <v>0</v>
      </c>
      <c r="D46" s="111" t="str">
        <f>SISWA!E47</f>
        <v>Anak 42</v>
      </c>
      <c r="E46" s="520"/>
      <c r="F46" s="520"/>
      <c r="G46" s="520"/>
      <c r="H46" s="520"/>
      <c r="I46" s="520"/>
      <c r="J46" s="520"/>
      <c r="K46" s="520"/>
      <c r="L46" s="520"/>
      <c r="M46" s="520"/>
      <c r="N46" s="520"/>
      <c r="O46" s="520"/>
      <c r="P46" s="520"/>
      <c r="Q46" s="520"/>
      <c r="R46" s="520"/>
      <c r="S46" s="520"/>
      <c r="T46" s="533" t="str">
        <f t="shared" si="5"/>
        <v/>
      </c>
      <c r="U46" s="533" t="str">
        <f t="shared" si="6"/>
        <v/>
      </c>
      <c r="V46" s="533" t="str">
        <f t="shared" si="15"/>
        <v/>
      </c>
      <c r="W46" s="533" t="str">
        <f t="shared" si="7"/>
        <v/>
      </c>
      <c r="X46" s="533" t="str">
        <f t="shared" si="8"/>
        <v/>
      </c>
      <c r="Y46" s="124"/>
      <c r="Z46" s="124"/>
      <c r="AA46" s="124"/>
      <c r="AB46" s="124"/>
      <c r="AC46" s="124"/>
      <c r="AD46" s="124"/>
      <c r="AE46" s="124"/>
      <c r="AF46" s="124"/>
      <c r="AG46" s="125"/>
      <c r="AH46" s="125"/>
      <c r="AI46" s="513"/>
      <c r="AJ46" s="302" t="e">
        <f t="shared" si="9"/>
        <v>#DIV/0!</v>
      </c>
      <c r="AK46" s="303" t="e">
        <f>IF(AJ46&gt;KKM!$G$10,"A",IF(AJ46&gt;KKM!$H$10,"B",IF(AJ46&gt;=KKM!$I$10,"C","D")))</f>
        <v>#DIV/0!</v>
      </c>
      <c r="AL46" s="304">
        <f t="shared" si="0"/>
        <v>0</v>
      </c>
      <c r="AM46" s="309" t="str">
        <f>IF(AL46&gt;KKM!$G$10," sangat baik ",IF(AL46&gt;KKM!$H$10," baik ",IF(AL46&gt;=KKM!$I$10," cukup baik "," perlu bimbingan ")))</f>
        <v xml:space="preserve"> perlu bimbingan </v>
      </c>
      <c r="AN46" s="305">
        <f t="shared" si="1"/>
        <v>0</v>
      </c>
      <c r="AO46" s="309" t="str">
        <f>IF(AN46&gt;KKM!$G$10," sangat baik ",IF(AN46&gt;KKM!$H$10," baik ",IF(AN46&gt;=KKM!$I$10," cukup baik "," perlu bimbingan ")))</f>
        <v xml:space="preserve"> perlu bimbingan </v>
      </c>
      <c r="AP46" s="301" t="str">
        <f t="shared" si="10"/>
        <v xml:space="preserve"> </v>
      </c>
      <c r="AQ46" s="218"/>
      <c r="AR46" s="219" t="e">
        <f t="shared" si="2"/>
        <v>#N/A</v>
      </c>
      <c r="AS46" s="219" t="e">
        <f t="shared" si="3"/>
        <v>#N/A</v>
      </c>
      <c r="AT46" s="219" t="e">
        <f t="shared" si="11"/>
        <v>#N/A</v>
      </c>
      <c r="AU46" s="219" t="e">
        <f t="shared" si="12"/>
        <v>#N/A</v>
      </c>
      <c r="AV46" s="220" t="e">
        <f t="shared" si="13"/>
        <v>#N/A</v>
      </c>
      <c r="AW46" s="214" t="e">
        <f t="shared" si="16"/>
        <v>#N/A</v>
      </c>
      <c r="AX46" s="120"/>
      <c r="BH46" s="408" t="str">
        <f t="shared" si="14"/>
        <v/>
      </c>
    </row>
    <row r="47" spans="2:60" ht="63.75" customHeight="1">
      <c r="B47" s="109">
        <v>43</v>
      </c>
      <c r="C47" s="110">
        <f>SISWA!B48</f>
        <v>0</v>
      </c>
      <c r="D47" s="111" t="str">
        <f>SISWA!E48</f>
        <v>Anak 43</v>
      </c>
      <c r="E47" s="520"/>
      <c r="F47" s="520"/>
      <c r="G47" s="520"/>
      <c r="H47" s="520"/>
      <c r="I47" s="520"/>
      <c r="J47" s="520"/>
      <c r="K47" s="520"/>
      <c r="L47" s="520"/>
      <c r="M47" s="520"/>
      <c r="N47" s="520"/>
      <c r="O47" s="520"/>
      <c r="P47" s="520"/>
      <c r="Q47" s="520"/>
      <c r="R47" s="520"/>
      <c r="S47" s="520"/>
      <c r="T47" s="533" t="str">
        <f t="shared" si="5"/>
        <v/>
      </c>
      <c r="U47" s="533" t="str">
        <f t="shared" si="6"/>
        <v/>
      </c>
      <c r="V47" s="533" t="str">
        <f t="shared" si="15"/>
        <v/>
      </c>
      <c r="W47" s="533" t="str">
        <f t="shared" si="7"/>
        <v/>
      </c>
      <c r="X47" s="533" t="str">
        <f t="shared" si="8"/>
        <v/>
      </c>
      <c r="Y47" s="124"/>
      <c r="Z47" s="124"/>
      <c r="AA47" s="124"/>
      <c r="AB47" s="124"/>
      <c r="AC47" s="124"/>
      <c r="AD47" s="124"/>
      <c r="AE47" s="124"/>
      <c r="AF47" s="124"/>
      <c r="AG47" s="125"/>
      <c r="AH47" s="125"/>
      <c r="AI47" s="513"/>
      <c r="AJ47" s="302" t="e">
        <f t="shared" si="9"/>
        <v>#DIV/0!</v>
      </c>
      <c r="AK47" s="303" t="e">
        <f>IF(AJ47&gt;KKM!$G$10,"A",IF(AJ47&gt;KKM!$H$10,"B",IF(AJ47&gt;=KKM!$I$10,"C","D")))</f>
        <v>#DIV/0!</v>
      </c>
      <c r="AL47" s="304">
        <f t="shared" si="0"/>
        <v>0</v>
      </c>
      <c r="AM47" s="309" t="str">
        <f>IF(AL47&gt;KKM!$G$10," sangat baik ",IF(AL47&gt;KKM!$H$10," baik ",IF(AL47&gt;=KKM!$I$10," cukup baik "," perlu bimbingan ")))</f>
        <v xml:space="preserve"> perlu bimbingan </v>
      </c>
      <c r="AN47" s="305">
        <f t="shared" si="1"/>
        <v>0</v>
      </c>
      <c r="AO47" s="309" t="str">
        <f>IF(AN47&gt;KKM!$G$10," sangat baik ",IF(AN47&gt;KKM!$H$10," baik ",IF(AN47&gt;=KKM!$I$10," cukup baik "," perlu bimbingan ")))</f>
        <v xml:space="preserve"> perlu bimbingan </v>
      </c>
      <c r="AP47" s="301" t="str">
        <f t="shared" si="10"/>
        <v xml:space="preserve"> </v>
      </c>
      <c r="AQ47" s="218"/>
      <c r="AR47" s="219" t="e">
        <f t="shared" si="2"/>
        <v>#N/A</v>
      </c>
      <c r="AS47" s="219" t="e">
        <f t="shared" si="3"/>
        <v>#N/A</v>
      </c>
      <c r="AT47" s="219" t="e">
        <f t="shared" si="11"/>
        <v>#N/A</v>
      </c>
      <c r="AU47" s="219" t="e">
        <f t="shared" si="12"/>
        <v>#N/A</v>
      </c>
      <c r="AV47" s="220" t="e">
        <f t="shared" si="13"/>
        <v>#N/A</v>
      </c>
      <c r="AW47" s="214" t="e">
        <f t="shared" si="16"/>
        <v>#N/A</v>
      </c>
      <c r="AX47" s="120"/>
      <c r="BH47" s="408" t="str">
        <f t="shared" si="14"/>
        <v/>
      </c>
    </row>
    <row r="48" spans="2:60" ht="63.75" customHeight="1">
      <c r="B48" s="109">
        <v>44</v>
      </c>
      <c r="C48" s="110">
        <f>SISWA!B49</f>
        <v>0</v>
      </c>
      <c r="D48" s="111" t="str">
        <f>SISWA!E49</f>
        <v>Anak 44</v>
      </c>
      <c r="E48" s="520"/>
      <c r="F48" s="520"/>
      <c r="G48" s="520"/>
      <c r="H48" s="520"/>
      <c r="I48" s="520"/>
      <c r="J48" s="520"/>
      <c r="K48" s="520"/>
      <c r="L48" s="520"/>
      <c r="M48" s="520"/>
      <c r="N48" s="520"/>
      <c r="O48" s="520"/>
      <c r="P48" s="520"/>
      <c r="Q48" s="520"/>
      <c r="R48" s="520"/>
      <c r="S48" s="520"/>
      <c r="T48" s="533" t="str">
        <f t="shared" si="5"/>
        <v/>
      </c>
      <c r="U48" s="533" t="str">
        <f t="shared" si="6"/>
        <v/>
      </c>
      <c r="V48" s="533" t="str">
        <f t="shared" si="15"/>
        <v/>
      </c>
      <c r="W48" s="533" t="str">
        <f t="shared" si="7"/>
        <v/>
      </c>
      <c r="X48" s="533" t="str">
        <f t="shared" si="8"/>
        <v/>
      </c>
      <c r="Y48" s="124"/>
      <c r="Z48" s="124"/>
      <c r="AA48" s="124"/>
      <c r="AB48" s="124"/>
      <c r="AC48" s="124"/>
      <c r="AD48" s="124"/>
      <c r="AE48" s="124"/>
      <c r="AF48" s="124"/>
      <c r="AG48" s="125"/>
      <c r="AH48" s="125"/>
      <c r="AI48" s="513"/>
      <c r="AJ48" s="302" t="e">
        <f t="shared" si="9"/>
        <v>#DIV/0!</v>
      </c>
      <c r="AK48" s="303" t="e">
        <f>IF(AJ48&gt;KKM!$G$10,"A",IF(AJ48&gt;KKM!$H$10,"B",IF(AJ48&gt;=KKM!$I$10,"C","D")))</f>
        <v>#DIV/0!</v>
      </c>
      <c r="AL48" s="304">
        <f t="shared" si="0"/>
        <v>0</v>
      </c>
      <c r="AM48" s="309" t="str">
        <f>IF(AL48&gt;KKM!$G$10," sangat baik ",IF(AL48&gt;KKM!$H$10," baik ",IF(AL48&gt;=KKM!$I$10," cukup baik "," perlu bimbingan ")))</f>
        <v xml:space="preserve"> perlu bimbingan </v>
      </c>
      <c r="AN48" s="305">
        <f t="shared" si="1"/>
        <v>0</v>
      </c>
      <c r="AO48" s="309" t="str">
        <f>IF(AN48&gt;KKM!$G$10," sangat baik ",IF(AN48&gt;KKM!$H$10," baik ",IF(AN48&gt;=KKM!$I$10," cukup baik "," perlu bimbingan ")))</f>
        <v xml:space="preserve"> perlu bimbingan </v>
      </c>
      <c r="AP48" s="301" t="str">
        <f t="shared" si="10"/>
        <v xml:space="preserve"> </v>
      </c>
      <c r="AQ48" s="218"/>
      <c r="AR48" s="219" t="e">
        <f t="shared" si="2"/>
        <v>#N/A</v>
      </c>
      <c r="AS48" s="219" t="e">
        <f t="shared" si="3"/>
        <v>#N/A</v>
      </c>
      <c r="AT48" s="219" t="e">
        <f t="shared" si="11"/>
        <v>#N/A</v>
      </c>
      <c r="AU48" s="219" t="e">
        <f t="shared" si="12"/>
        <v>#N/A</v>
      </c>
      <c r="AV48" s="220" t="e">
        <f t="shared" si="13"/>
        <v>#N/A</v>
      </c>
      <c r="AW48" s="214" t="e">
        <f t="shared" si="16"/>
        <v>#N/A</v>
      </c>
      <c r="AX48" s="120"/>
      <c r="BH48" s="408" t="str">
        <f t="shared" si="14"/>
        <v/>
      </c>
    </row>
    <row r="49" spans="2:60" ht="63.75" customHeight="1">
      <c r="B49" s="109">
        <v>45</v>
      </c>
      <c r="C49" s="110">
        <f>SISWA!B50</f>
        <v>0</v>
      </c>
      <c r="D49" s="111" t="str">
        <f>SISWA!E50</f>
        <v>Anak 45</v>
      </c>
      <c r="E49" s="520"/>
      <c r="F49" s="520"/>
      <c r="G49" s="520"/>
      <c r="H49" s="520"/>
      <c r="I49" s="520"/>
      <c r="J49" s="520"/>
      <c r="K49" s="520"/>
      <c r="L49" s="520"/>
      <c r="M49" s="520"/>
      <c r="N49" s="520"/>
      <c r="O49" s="520"/>
      <c r="P49" s="520"/>
      <c r="Q49" s="520"/>
      <c r="R49" s="520"/>
      <c r="S49" s="520"/>
      <c r="T49" s="533" t="str">
        <f t="shared" si="5"/>
        <v/>
      </c>
      <c r="U49" s="533" t="str">
        <f t="shared" si="6"/>
        <v/>
      </c>
      <c r="V49" s="533" t="str">
        <f t="shared" si="15"/>
        <v/>
      </c>
      <c r="W49" s="533" t="str">
        <f t="shared" si="7"/>
        <v/>
      </c>
      <c r="X49" s="533" t="str">
        <f t="shared" si="8"/>
        <v/>
      </c>
      <c r="Y49" s="124"/>
      <c r="Z49" s="124"/>
      <c r="AA49" s="124"/>
      <c r="AB49" s="124"/>
      <c r="AC49" s="124"/>
      <c r="AD49" s="124"/>
      <c r="AE49" s="124"/>
      <c r="AF49" s="124"/>
      <c r="AG49" s="125"/>
      <c r="AH49" s="125"/>
      <c r="AI49" s="513"/>
      <c r="AJ49" s="302" t="e">
        <f t="shared" si="9"/>
        <v>#DIV/0!</v>
      </c>
      <c r="AK49" s="303" t="e">
        <f>IF(AJ49&gt;KKM!$G$10,"A",IF(AJ49&gt;KKM!$H$10,"B",IF(AJ49&gt;=KKM!$I$10,"C","D")))</f>
        <v>#DIV/0!</v>
      </c>
      <c r="AL49" s="304">
        <f t="shared" si="0"/>
        <v>0</v>
      </c>
      <c r="AM49" s="309" t="str">
        <f>IF(AL49&gt;KKM!$G$10," sangat baik ",IF(AL49&gt;KKM!$H$10," baik ",IF(AL49&gt;=KKM!$I$10," cukup baik "," perlu bimbingan ")))</f>
        <v xml:space="preserve"> perlu bimbingan </v>
      </c>
      <c r="AN49" s="305">
        <f t="shared" si="1"/>
        <v>0</v>
      </c>
      <c r="AO49" s="309" t="str">
        <f>IF(AN49&gt;KKM!$G$10," sangat baik ",IF(AN49&gt;KKM!$H$10," baik ",IF(AN49&gt;=KKM!$I$10," cukup baik "," perlu bimbingan ")))</f>
        <v xml:space="preserve"> perlu bimbingan </v>
      </c>
      <c r="AP49" s="301" t="str">
        <f t="shared" si="10"/>
        <v xml:space="preserve"> </v>
      </c>
      <c r="AQ49" s="218"/>
      <c r="AR49" s="219" t="e">
        <f t="shared" si="2"/>
        <v>#N/A</v>
      </c>
      <c r="AS49" s="219" t="e">
        <f t="shared" si="3"/>
        <v>#N/A</v>
      </c>
      <c r="AT49" s="219" t="e">
        <f t="shared" si="11"/>
        <v>#N/A</v>
      </c>
      <c r="AU49" s="219" t="e">
        <f t="shared" si="12"/>
        <v>#N/A</v>
      </c>
      <c r="AV49" s="220" t="e">
        <f t="shared" si="13"/>
        <v>#N/A</v>
      </c>
      <c r="AW49" s="214" t="e">
        <f t="shared" si="16"/>
        <v>#N/A</v>
      </c>
      <c r="AX49" s="120"/>
      <c r="BH49" s="408" t="str">
        <f t="shared" si="14"/>
        <v/>
      </c>
    </row>
    <row r="50" spans="2:60" ht="63.75" customHeight="1">
      <c r="B50" s="109">
        <v>46</v>
      </c>
      <c r="C50" s="110">
        <f>SISWA!B51</f>
        <v>0</v>
      </c>
      <c r="D50" s="111" t="str">
        <f>SISWA!E51</f>
        <v>Anak 46</v>
      </c>
      <c r="E50" s="520"/>
      <c r="F50" s="520"/>
      <c r="G50" s="520"/>
      <c r="H50" s="520"/>
      <c r="I50" s="520"/>
      <c r="J50" s="520"/>
      <c r="K50" s="520"/>
      <c r="L50" s="520"/>
      <c r="M50" s="520"/>
      <c r="N50" s="520"/>
      <c r="O50" s="520"/>
      <c r="P50" s="520"/>
      <c r="Q50" s="520"/>
      <c r="R50" s="520"/>
      <c r="S50" s="520"/>
      <c r="T50" s="533" t="str">
        <f t="shared" si="5"/>
        <v/>
      </c>
      <c r="U50" s="533" t="str">
        <f t="shared" si="6"/>
        <v/>
      </c>
      <c r="V50" s="533" t="str">
        <f t="shared" si="15"/>
        <v/>
      </c>
      <c r="W50" s="533" t="str">
        <f t="shared" si="7"/>
        <v/>
      </c>
      <c r="X50" s="533" t="str">
        <f t="shared" si="8"/>
        <v/>
      </c>
      <c r="Y50" s="124"/>
      <c r="Z50" s="124"/>
      <c r="AA50" s="124"/>
      <c r="AB50" s="124"/>
      <c r="AC50" s="124"/>
      <c r="AD50" s="124"/>
      <c r="AE50" s="124"/>
      <c r="AF50" s="124"/>
      <c r="AG50" s="125"/>
      <c r="AH50" s="125"/>
      <c r="AI50" s="513"/>
      <c r="AJ50" s="302" t="e">
        <f t="shared" si="9"/>
        <v>#DIV/0!</v>
      </c>
      <c r="AK50" s="303" t="e">
        <f>IF(AJ50&gt;KKM!$G$10,"A",IF(AJ50&gt;KKM!$H$10,"B",IF(AJ50&gt;=KKM!$I$10,"C","D")))</f>
        <v>#DIV/0!</v>
      </c>
      <c r="AL50" s="304">
        <f t="shared" si="0"/>
        <v>0</v>
      </c>
      <c r="AM50" s="309" t="str">
        <f>IF(AL50&gt;KKM!$G$10," sangat baik ",IF(AL50&gt;KKM!$H$10," baik ",IF(AL50&gt;=KKM!$I$10," cukup baik "," perlu bimbingan ")))</f>
        <v xml:space="preserve"> perlu bimbingan </v>
      </c>
      <c r="AN50" s="305">
        <f t="shared" si="1"/>
        <v>0</v>
      </c>
      <c r="AO50" s="309" t="str">
        <f>IF(AN50&gt;KKM!$G$10," sangat baik ",IF(AN50&gt;KKM!$H$10," baik ",IF(AN50&gt;=KKM!$I$10," cukup baik "," perlu bimbingan ")))</f>
        <v xml:space="preserve"> perlu bimbingan </v>
      </c>
      <c r="AP50" s="301" t="str">
        <f t="shared" si="10"/>
        <v xml:space="preserve"> </v>
      </c>
      <c r="AQ50" s="218"/>
      <c r="AR50" s="219" t="e">
        <f t="shared" si="2"/>
        <v>#N/A</v>
      </c>
      <c r="AS50" s="219" t="e">
        <f t="shared" si="3"/>
        <v>#N/A</v>
      </c>
      <c r="AT50" s="219" t="e">
        <f t="shared" si="11"/>
        <v>#N/A</v>
      </c>
      <c r="AU50" s="219" t="e">
        <f t="shared" si="12"/>
        <v>#N/A</v>
      </c>
      <c r="AV50" s="220" t="e">
        <f t="shared" si="13"/>
        <v>#N/A</v>
      </c>
      <c r="AW50" s="214" t="e">
        <f t="shared" si="16"/>
        <v>#N/A</v>
      </c>
      <c r="AX50" s="120"/>
      <c r="BH50" s="408" t="str">
        <f t="shared" si="14"/>
        <v/>
      </c>
    </row>
    <row r="51" spans="2:60" ht="63.75" customHeight="1">
      <c r="B51" s="109">
        <v>47</v>
      </c>
      <c r="C51" s="110">
        <f>SISWA!B52</f>
        <v>0</v>
      </c>
      <c r="D51" s="111" t="str">
        <f>SISWA!E52</f>
        <v>Anak 47</v>
      </c>
      <c r="E51" s="520"/>
      <c r="F51" s="520"/>
      <c r="G51" s="520"/>
      <c r="H51" s="520"/>
      <c r="I51" s="520"/>
      <c r="J51" s="520"/>
      <c r="K51" s="520"/>
      <c r="L51" s="520"/>
      <c r="M51" s="520"/>
      <c r="N51" s="520"/>
      <c r="O51" s="520"/>
      <c r="P51" s="520"/>
      <c r="Q51" s="520"/>
      <c r="R51" s="520"/>
      <c r="S51" s="520"/>
      <c r="T51" s="533" t="str">
        <f t="shared" si="5"/>
        <v/>
      </c>
      <c r="U51" s="533" t="str">
        <f t="shared" si="6"/>
        <v/>
      </c>
      <c r="V51" s="533" t="str">
        <f t="shared" si="15"/>
        <v/>
      </c>
      <c r="W51" s="533" t="str">
        <f t="shared" si="7"/>
        <v/>
      </c>
      <c r="X51" s="533" t="str">
        <f t="shared" si="8"/>
        <v/>
      </c>
      <c r="Y51" s="124"/>
      <c r="Z51" s="124"/>
      <c r="AA51" s="124"/>
      <c r="AB51" s="124"/>
      <c r="AC51" s="124"/>
      <c r="AD51" s="124"/>
      <c r="AE51" s="124"/>
      <c r="AF51" s="124"/>
      <c r="AG51" s="125"/>
      <c r="AH51" s="125"/>
      <c r="AI51" s="513"/>
      <c r="AJ51" s="302" t="e">
        <f t="shared" si="9"/>
        <v>#DIV/0!</v>
      </c>
      <c r="AK51" s="303" t="e">
        <f>IF(AJ51&gt;KKM!$G$10,"A",IF(AJ51&gt;KKM!$H$10,"B",IF(AJ51&gt;=KKM!$I$10,"C","D")))</f>
        <v>#DIV/0!</v>
      </c>
      <c r="AL51" s="304">
        <f t="shared" si="0"/>
        <v>0</v>
      </c>
      <c r="AM51" s="309" t="str">
        <f>IF(AL51&gt;KKM!$G$10," sangat baik ",IF(AL51&gt;KKM!$H$10," baik ",IF(AL51&gt;=KKM!$I$10," cukup baik "," perlu bimbingan ")))</f>
        <v xml:space="preserve"> perlu bimbingan </v>
      </c>
      <c r="AN51" s="305">
        <f t="shared" si="1"/>
        <v>0</v>
      </c>
      <c r="AO51" s="309" t="str">
        <f>IF(AN51&gt;KKM!$G$10," sangat baik ",IF(AN51&gt;KKM!$H$10," baik ",IF(AN51&gt;=KKM!$I$10," cukup baik "," perlu bimbingan ")))</f>
        <v xml:space="preserve"> perlu bimbingan </v>
      </c>
      <c r="AP51" s="301" t="str">
        <f t="shared" si="10"/>
        <v xml:space="preserve"> </v>
      </c>
      <c r="AQ51" s="218"/>
      <c r="AR51" s="219" t="e">
        <f t="shared" si="2"/>
        <v>#N/A</v>
      </c>
      <c r="AS51" s="219" t="e">
        <f t="shared" si="3"/>
        <v>#N/A</v>
      </c>
      <c r="AT51" s="219" t="e">
        <f t="shared" si="11"/>
        <v>#N/A</v>
      </c>
      <c r="AU51" s="219" t="e">
        <f t="shared" si="12"/>
        <v>#N/A</v>
      </c>
      <c r="AV51" s="220" t="e">
        <f t="shared" si="13"/>
        <v>#N/A</v>
      </c>
      <c r="AW51" s="214" t="e">
        <f t="shared" si="16"/>
        <v>#N/A</v>
      </c>
      <c r="AX51" s="120"/>
      <c r="BH51" s="408" t="str">
        <f t="shared" si="14"/>
        <v/>
      </c>
    </row>
    <row r="52" spans="2:60" ht="63.75" customHeight="1">
      <c r="B52" s="109">
        <v>48</v>
      </c>
      <c r="C52" s="110">
        <f>SISWA!B53</f>
        <v>0</v>
      </c>
      <c r="D52" s="111" t="str">
        <f>SISWA!E53</f>
        <v>Anak 48</v>
      </c>
      <c r="E52" s="520"/>
      <c r="F52" s="520"/>
      <c r="G52" s="520"/>
      <c r="H52" s="520"/>
      <c r="I52" s="520"/>
      <c r="J52" s="520"/>
      <c r="K52" s="520"/>
      <c r="L52" s="520"/>
      <c r="M52" s="520"/>
      <c r="N52" s="520"/>
      <c r="O52" s="520"/>
      <c r="P52" s="520"/>
      <c r="Q52" s="520"/>
      <c r="R52" s="520"/>
      <c r="S52" s="520"/>
      <c r="T52" s="533" t="str">
        <f t="shared" si="5"/>
        <v/>
      </c>
      <c r="U52" s="533" t="str">
        <f t="shared" si="6"/>
        <v/>
      </c>
      <c r="V52" s="533" t="str">
        <f t="shared" si="15"/>
        <v/>
      </c>
      <c r="W52" s="533" t="str">
        <f t="shared" si="7"/>
        <v/>
      </c>
      <c r="X52" s="533" t="str">
        <f t="shared" si="8"/>
        <v/>
      </c>
      <c r="Y52" s="124"/>
      <c r="Z52" s="124"/>
      <c r="AA52" s="124"/>
      <c r="AB52" s="124"/>
      <c r="AC52" s="124"/>
      <c r="AD52" s="124"/>
      <c r="AE52" s="124"/>
      <c r="AF52" s="124"/>
      <c r="AG52" s="125"/>
      <c r="AH52" s="125"/>
      <c r="AI52" s="513"/>
      <c r="AJ52" s="302" t="e">
        <f t="shared" si="9"/>
        <v>#DIV/0!</v>
      </c>
      <c r="AK52" s="303" t="e">
        <f>IF(AJ52&gt;KKM!$G$10,"A",IF(AJ52&gt;KKM!$H$10,"B",IF(AJ52&gt;=KKM!$I$10,"C","D")))</f>
        <v>#DIV/0!</v>
      </c>
      <c r="AL52" s="304">
        <f t="shared" si="0"/>
        <v>0</v>
      </c>
      <c r="AM52" s="309" t="str">
        <f>IF(AL52&gt;KKM!$G$10," sangat baik ",IF(AL52&gt;KKM!$H$10," baik ",IF(AL52&gt;=KKM!$I$10," cukup baik "," perlu bimbingan ")))</f>
        <v xml:space="preserve"> perlu bimbingan </v>
      </c>
      <c r="AN52" s="305">
        <f t="shared" si="1"/>
        <v>0</v>
      </c>
      <c r="AO52" s="309" t="str">
        <f>IF(AN52&gt;KKM!$G$10," sangat baik ",IF(AN52&gt;KKM!$H$10," baik ",IF(AN52&gt;=KKM!$I$10," cukup baik "," perlu bimbingan ")))</f>
        <v xml:space="preserve"> perlu bimbingan </v>
      </c>
      <c r="AP52" s="301" t="str">
        <f t="shared" si="10"/>
        <v xml:space="preserve"> </v>
      </c>
      <c r="AQ52" s="218"/>
      <c r="AR52" s="219" t="e">
        <f t="shared" si="2"/>
        <v>#N/A</v>
      </c>
      <c r="AS52" s="219" t="e">
        <f t="shared" si="3"/>
        <v>#N/A</v>
      </c>
      <c r="AT52" s="219" t="e">
        <f t="shared" si="11"/>
        <v>#N/A</v>
      </c>
      <c r="AU52" s="219" t="e">
        <f t="shared" si="12"/>
        <v>#N/A</v>
      </c>
      <c r="AV52" s="220" t="e">
        <f t="shared" si="13"/>
        <v>#N/A</v>
      </c>
      <c r="AW52" s="214" t="e">
        <f t="shared" si="16"/>
        <v>#N/A</v>
      </c>
      <c r="AX52" s="120"/>
      <c r="BH52" s="408" t="str">
        <f t="shared" si="14"/>
        <v/>
      </c>
    </row>
    <row r="53" spans="2:60" ht="63.75" customHeight="1">
      <c r="B53" s="109">
        <v>49</v>
      </c>
      <c r="C53" s="110">
        <f>SISWA!B54</f>
        <v>0</v>
      </c>
      <c r="D53" s="111" t="str">
        <f>SISWA!E54</f>
        <v>Anak 49</v>
      </c>
      <c r="E53" s="520"/>
      <c r="F53" s="520"/>
      <c r="G53" s="520"/>
      <c r="H53" s="520"/>
      <c r="I53" s="520"/>
      <c r="J53" s="520"/>
      <c r="K53" s="520"/>
      <c r="L53" s="520"/>
      <c r="M53" s="520"/>
      <c r="N53" s="520"/>
      <c r="O53" s="520"/>
      <c r="P53" s="520"/>
      <c r="Q53" s="520"/>
      <c r="R53" s="520"/>
      <c r="S53" s="520"/>
      <c r="T53" s="533" t="str">
        <f t="shared" si="5"/>
        <v/>
      </c>
      <c r="U53" s="533" t="str">
        <f t="shared" si="6"/>
        <v/>
      </c>
      <c r="V53" s="533" t="str">
        <f t="shared" si="15"/>
        <v/>
      </c>
      <c r="W53" s="533" t="str">
        <f t="shared" si="7"/>
        <v/>
      </c>
      <c r="X53" s="533" t="str">
        <f t="shared" si="8"/>
        <v/>
      </c>
      <c r="Y53" s="124"/>
      <c r="Z53" s="124"/>
      <c r="AA53" s="124"/>
      <c r="AB53" s="124"/>
      <c r="AC53" s="124"/>
      <c r="AD53" s="124"/>
      <c r="AE53" s="124"/>
      <c r="AF53" s="124"/>
      <c r="AG53" s="125"/>
      <c r="AH53" s="125"/>
      <c r="AI53" s="513"/>
      <c r="AJ53" s="302" t="e">
        <f t="shared" si="9"/>
        <v>#DIV/0!</v>
      </c>
      <c r="AK53" s="303" t="e">
        <f>IF(AJ53&gt;KKM!$G$10,"A",IF(AJ53&gt;KKM!$H$10,"B",IF(AJ53&gt;=KKM!$I$10,"C","D")))</f>
        <v>#DIV/0!</v>
      </c>
      <c r="AL53" s="304">
        <f t="shared" si="0"/>
        <v>0</v>
      </c>
      <c r="AM53" s="309" t="str">
        <f>IF(AL53&gt;KKM!$G$10," sangat baik ",IF(AL53&gt;KKM!$H$10," baik ",IF(AL53&gt;=KKM!$I$10," cukup baik "," perlu bimbingan ")))</f>
        <v xml:space="preserve"> perlu bimbingan </v>
      </c>
      <c r="AN53" s="305">
        <f t="shared" si="1"/>
        <v>0</v>
      </c>
      <c r="AO53" s="309" t="str">
        <f>IF(AN53&gt;KKM!$G$10," sangat baik ",IF(AN53&gt;KKM!$H$10," baik ",IF(AN53&gt;=KKM!$I$10," cukup baik "," perlu bimbingan ")))</f>
        <v xml:space="preserve"> perlu bimbingan </v>
      </c>
      <c r="AP53" s="301" t="str">
        <f t="shared" si="10"/>
        <v xml:space="preserve"> </v>
      </c>
      <c r="AQ53" s="218"/>
      <c r="AR53" s="219" t="e">
        <f t="shared" si="2"/>
        <v>#N/A</v>
      </c>
      <c r="AS53" s="219" t="e">
        <f t="shared" si="3"/>
        <v>#N/A</v>
      </c>
      <c r="AT53" s="219" t="e">
        <f t="shared" si="11"/>
        <v>#N/A</v>
      </c>
      <c r="AU53" s="219" t="e">
        <f t="shared" si="12"/>
        <v>#N/A</v>
      </c>
      <c r="AV53" s="220" t="e">
        <f t="shared" si="13"/>
        <v>#N/A</v>
      </c>
      <c r="AW53" s="214" t="e">
        <f t="shared" si="16"/>
        <v>#N/A</v>
      </c>
      <c r="AX53" s="120"/>
      <c r="BH53" s="408" t="str">
        <f t="shared" si="14"/>
        <v/>
      </c>
    </row>
    <row r="54" spans="2:60" ht="63.75" customHeight="1">
      <c r="B54" s="109">
        <v>50</v>
      </c>
      <c r="C54" s="110">
        <f>SISWA!B55</f>
        <v>0</v>
      </c>
      <c r="D54" s="111" t="str">
        <f>SISWA!E55</f>
        <v>Anak 50</v>
      </c>
      <c r="E54" s="520"/>
      <c r="F54" s="520"/>
      <c r="G54" s="520"/>
      <c r="H54" s="520"/>
      <c r="I54" s="520"/>
      <c r="J54" s="520"/>
      <c r="K54" s="520"/>
      <c r="L54" s="520"/>
      <c r="M54" s="520"/>
      <c r="N54" s="520"/>
      <c r="O54" s="520"/>
      <c r="P54" s="520"/>
      <c r="Q54" s="520"/>
      <c r="R54" s="520"/>
      <c r="S54" s="520"/>
      <c r="T54" s="533" t="str">
        <f t="shared" si="5"/>
        <v/>
      </c>
      <c r="U54" s="533" t="str">
        <f t="shared" si="6"/>
        <v/>
      </c>
      <c r="V54" s="533" t="str">
        <f t="shared" si="15"/>
        <v/>
      </c>
      <c r="W54" s="533" t="str">
        <f t="shared" si="7"/>
        <v/>
      </c>
      <c r="X54" s="533" t="str">
        <f t="shared" si="8"/>
        <v/>
      </c>
      <c r="Y54" s="124"/>
      <c r="Z54" s="124"/>
      <c r="AA54" s="124"/>
      <c r="AB54" s="124"/>
      <c r="AC54" s="124"/>
      <c r="AD54" s="124"/>
      <c r="AE54" s="124"/>
      <c r="AF54" s="124"/>
      <c r="AG54" s="125"/>
      <c r="AH54" s="125"/>
      <c r="AI54" s="513"/>
      <c r="AJ54" s="302" t="e">
        <f t="shared" si="9"/>
        <v>#DIV/0!</v>
      </c>
      <c r="AK54" s="303" t="e">
        <f>IF(AJ54&gt;KKM!$G$10,"A",IF(AJ54&gt;KKM!$H$10,"B",IF(AJ54&gt;=KKM!$I$10,"C","D")))</f>
        <v>#DIV/0!</v>
      </c>
      <c r="AL54" s="304">
        <f t="shared" si="0"/>
        <v>0</v>
      </c>
      <c r="AM54" s="309" t="str">
        <f>IF(AL54&gt;KKM!$G$10," sangat baik ",IF(AL54&gt;KKM!$H$10," baik ",IF(AL54&gt;=KKM!$I$10," cukup baik "," perlu bimbingan ")))</f>
        <v xml:space="preserve"> perlu bimbingan </v>
      </c>
      <c r="AN54" s="305">
        <f t="shared" si="1"/>
        <v>0</v>
      </c>
      <c r="AO54" s="309" t="str">
        <f>IF(AN54&gt;KKM!$G$10," sangat baik ",IF(AN54&gt;KKM!$H$10," baik ",IF(AN54&gt;=KKM!$I$10," cukup baik "," perlu bimbingan ")))</f>
        <v xml:space="preserve"> perlu bimbingan </v>
      </c>
      <c r="AP54" s="301" t="str">
        <f t="shared" si="10"/>
        <v xml:space="preserve"> </v>
      </c>
      <c r="AQ54" s="218"/>
      <c r="AR54" s="219" t="e">
        <f t="shared" si="2"/>
        <v>#N/A</v>
      </c>
      <c r="AS54" s="219" t="e">
        <f t="shared" si="3"/>
        <v>#N/A</v>
      </c>
      <c r="AT54" s="219" t="e">
        <f t="shared" si="11"/>
        <v>#N/A</v>
      </c>
      <c r="AU54" s="219" t="e">
        <f t="shared" si="12"/>
        <v>#N/A</v>
      </c>
      <c r="AV54" s="220" t="e">
        <f t="shared" si="13"/>
        <v>#N/A</v>
      </c>
      <c r="AW54" s="214" t="e">
        <f t="shared" si="16"/>
        <v>#N/A</v>
      </c>
      <c r="AX54" s="120"/>
      <c r="BH54" s="408" t="str">
        <f t="shared" si="14"/>
        <v/>
      </c>
    </row>
    <row r="55" spans="2:60" ht="15.75">
      <c r="B55" s="121"/>
      <c r="C55" s="121"/>
      <c r="D55" s="121"/>
      <c r="E55" s="519"/>
      <c r="F55" s="519"/>
      <c r="G55" s="519"/>
      <c r="H55" s="519"/>
      <c r="I55" s="519"/>
      <c r="J55" s="519"/>
      <c r="K55" s="519"/>
      <c r="L55" s="519"/>
      <c r="M55" s="519"/>
      <c r="N55" s="519"/>
      <c r="O55" s="519"/>
      <c r="P55" s="519"/>
      <c r="Q55" s="519"/>
      <c r="R55" s="519"/>
      <c r="S55" s="519"/>
      <c r="T55" s="124"/>
      <c r="U55" s="125"/>
      <c r="V55" s="125"/>
      <c r="W55" s="125"/>
      <c r="X55" s="125"/>
      <c r="Y55" s="124"/>
      <c r="Z55" s="124"/>
      <c r="AA55" s="124"/>
      <c r="AB55" s="124"/>
      <c r="AC55" s="124"/>
      <c r="AD55" s="124"/>
      <c r="AE55" s="124"/>
      <c r="AF55" s="124"/>
      <c r="AG55" s="125"/>
      <c r="AH55" s="125"/>
      <c r="AI55" s="124"/>
      <c r="AJ55" s="114"/>
      <c r="AK55" s="115"/>
      <c r="AL55" s="116"/>
      <c r="AM55" s="116"/>
      <c r="AN55" s="116"/>
      <c r="AO55" s="116"/>
      <c r="AP55" s="117"/>
      <c r="AQ55" s="118"/>
      <c r="AR55" s="119"/>
      <c r="AS55" s="122"/>
      <c r="AT55" s="122"/>
      <c r="AU55" s="122"/>
      <c r="AV55" s="122"/>
      <c r="AW55" s="122"/>
      <c r="AX55" s="120"/>
    </row>
  </sheetData>
  <mergeCells count="16">
    <mergeCell ref="AK2:AK4"/>
    <mergeCell ref="AL2:AO2"/>
    <mergeCell ref="AP2:AP4"/>
    <mergeCell ref="AL3:AM3"/>
    <mergeCell ref="AN3:AO3"/>
    <mergeCell ref="B2:B4"/>
    <mergeCell ref="C2:C4"/>
    <mergeCell ref="D2:D4"/>
    <mergeCell ref="T2:AI2"/>
    <mergeCell ref="AJ2:AJ4"/>
    <mergeCell ref="E2:S2"/>
    <mergeCell ref="E3:G3"/>
    <mergeCell ref="H3:J3"/>
    <mergeCell ref="K3:M3"/>
    <mergeCell ref="N3:P3"/>
    <mergeCell ref="Q3:S3"/>
  </mergeCell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F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5703125" style="135" customWidth="1"/>
    <col min="2" max="2" width="4.42578125" style="104" customWidth="1"/>
    <col min="3" max="3" width="6.42578125" style="104" customWidth="1"/>
    <col min="4" max="4" width="28.7109375" style="104" customWidth="1"/>
    <col min="5" max="16" width="7.5703125" style="104" customWidth="1"/>
    <col min="17" max="20" width="5.5703125" style="104" customWidth="1"/>
    <col min="21" max="26" width="5.5703125" style="104" hidden="1" customWidth="1"/>
    <col min="27" max="27" width="6.28515625" style="104" hidden="1" customWidth="1"/>
    <col min="28" max="31" width="5.5703125" style="104" hidden="1" customWidth="1"/>
    <col min="32" max="35" width="5.5703125" style="104" customWidth="1"/>
    <col min="36" max="36" width="11.42578125" style="104" customWidth="1"/>
    <col min="37" max="37" width="5.5703125" style="104" customWidth="1"/>
    <col min="38" max="38" width="11.7109375" style="104" customWidth="1"/>
    <col min="39" max="39" width="102.140625" style="104" customWidth="1"/>
    <col min="40" max="40" width="37.5703125" style="104" customWidth="1"/>
    <col min="41" max="41" width="5" style="104" hidden="1" customWidth="1"/>
    <col min="42" max="42" width="4.7109375" style="104" hidden="1" customWidth="1"/>
    <col min="43" max="43" width="5.140625" style="104" hidden="1" customWidth="1"/>
    <col min="44" max="49" width="5" style="104" hidden="1" customWidth="1"/>
    <col min="50" max="50" width="4.85546875" style="104" hidden="1" customWidth="1"/>
    <col min="51" max="56" width="5" style="104" hidden="1" customWidth="1"/>
    <col min="57" max="58" width="5" style="104" customWidth="1"/>
    <col min="59" max="59" width="5" style="104" hidden="1" customWidth="1"/>
    <col min="60" max="60" width="7.5703125" style="104" hidden="1" customWidth="1"/>
    <col min="61" max="61" width="5" style="104" customWidth="1"/>
    <col min="62" max="65" width="5" style="104" hidden="1" customWidth="1"/>
    <col min="66" max="66" width="84.42578125" style="104" hidden="1" customWidth="1"/>
    <col min="67" max="67" width="29.85546875" style="104" hidden="1" customWidth="1"/>
    <col min="68" max="84" width="10.7109375" style="104" hidden="1" customWidth="1"/>
    <col min="85" max="16384" width="9.140625" style="104" hidden="1"/>
  </cols>
  <sheetData>
    <row r="1" spans="1:65" s="451" customFormat="1" ht="45.75" customHeight="1">
      <c r="B1" s="452" t="s">
        <v>259</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c r="BM1" s="452"/>
    </row>
    <row r="2" spans="1:65" ht="23.25" customHeight="1">
      <c r="B2" s="1071" t="s">
        <v>2</v>
      </c>
      <c r="C2" s="1072" t="s">
        <v>3</v>
      </c>
      <c r="D2" s="1073" t="s">
        <v>48</v>
      </c>
      <c r="E2" s="1152" t="s">
        <v>707</v>
      </c>
      <c r="F2" s="1153"/>
      <c r="G2" s="1153"/>
      <c r="H2" s="1153"/>
      <c r="I2" s="1153"/>
      <c r="J2" s="1153"/>
      <c r="K2" s="1153"/>
      <c r="L2" s="1153"/>
      <c r="M2" s="1153"/>
      <c r="N2" s="1153"/>
      <c r="O2" s="1153"/>
      <c r="P2" s="1153"/>
      <c r="Q2" s="1111" t="s">
        <v>694</v>
      </c>
      <c r="R2" s="1111"/>
      <c r="S2" s="1111"/>
      <c r="T2" s="1111"/>
      <c r="U2" s="1111"/>
      <c r="V2" s="1111"/>
      <c r="W2" s="1111"/>
      <c r="X2" s="1111"/>
      <c r="Y2" s="1111"/>
      <c r="Z2" s="1111"/>
      <c r="AA2" s="1111"/>
      <c r="AB2" s="1111"/>
      <c r="AC2" s="1111"/>
      <c r="AD2" s="1111"/>
      <c r="AE2" s="1111"/>
      <c r="AF2" s="1111"/>
      <c r="AG2" s="1139" t="s">
        <v>5</v>
      </c>
      <c r="AH2" s="1123" t="s">
        <v>6</v>
      </c>
      <c r="AI2" s="1124" t="s">
        <v>314</v>
      </c>
      <c r="AJ2" s="1125"/>
      <c r="AK2" s="1125"/>
      <c r="AL2" s="1125"/>
      <c r="AM2" s="1027" t="s">
        <v>1</v>
      </c>
      <c r="AN2" s="1"/>
      <c r="AO2" s="1"/>
      <c r="AP2" s="1"/>
      <c r="AQ2" s="1"/>
      <c r="AR2" s="1"/>
      <c r="AS2" s="1"/>
      <c r="AT2" s="215"/>
      <c r="BH2" s="441">
        <f>DEPAN!$E$23</f>
        <v>50</v>
      </c>
    </row>
    <row r="3" spans="1:65" ht="94.5" customHeight="1">
      <c r="B3" s="1071"/>
      <c r="C3" s="1072"/>
      <c r="D3" s="1073"/>
      <c r="E3" s="1140" t="str">
        <f>Q4</f>
        <v>4.1</v>
      </c>
      <c r="F3" s="1141"/>
      <c r="G3" s="1142"/>
      <c r="H3" s="1143" t="str">
        <f>R4</f>
        <v>4.2</v>
      </c>
      <c r="I3" s="1144"/>
      <c r="J3" s="1145"/>
      <c r="K3" s="1146" t="str">
        <f>S4</f>
        <v>4.3</v>
      </c>
      <c r="L3" s="1147"/>
      <c r="M3" s="1148"/>
      <c r="N3" s="1149">
        <f>T4</f>
        <v>0</v>
      </c>
      <c r="O3" s="1150"/>
      <c r="P3" s="1151"/>
      <c r="Q3" s="510" t="str">
        <f>'KI-KD'!$F84</f>
        <v>menyajikan hasil identifikasi karakteristik ruang dan pemanfaatan sumber daya alam untuk kesejahteraan masyarakat dari tingkat kota/kabupaten sampai tingkat provinsi.</v>
      </c>
      <c r="R3" s="510" t="str">
        <f>'KI-KD'!$F85</f>
        <v>menyajikan hasil identifikasi mengenai keragaman sosial, ekonomi, budaya, etnis, dan agama di provinsi setempat sebagai identitas bangsa Indonesia; serta hubungannya dengan karakteristik ruang.</v>
      </c>
      <c r="S3" s="510" t="str">
        <f>'KI-KD'!$F86</f>
        <v>menyajikan hasil identifikasi kegiatan ekonomi dan hubungannya dengan berbagai bidang pekerjaan, serta kehidupan sosial dan budaya di lingkungan sekitar sampai provinsi.</v>
      </c>
      <c r="T3" s="510">
        <f>'KI-KD'!$F87</f>
        <v>0</v>
      </c>
      <c r="U3" s="510">
        <f>'KI-KD'!$F88</f>
        <v>0</v>
      </c>
      <c r="V3" s="510">
        <f>'KI-KD'!$F89</f>
        <v>0</v>
      </c>
      <c r="W3" s="510">
        <f>'KI-KD'!$F90</f>
        <v>0</v>
      </c>
      <c r="X3" s="510"/>
      <c r="Y3" s="534"/>
      <c r="Z3" s="534"/>
      <c r="AA3" s="534"/>
      <c r="AB3" s="526"/>
      <c r="AC3" s="526"/>
      <c r="AD3" s="526"/>
      <c r="AE3" s="526"/>
      <c r="AF3" s="526"/>
      <c r="AG3" s="1139"/>
      <c r="AH3" s="1123"/>
      <c r="AI3" s="1135" t="s">
        <v>315</v>
      </c>
      <c r="AJ3" s="1136"/>
      <c r="AK3" s="1137" t="s">
        <v>316</v>
      </c>
      <c r="AL3" s="1138"/>
      <c r="AM3" s="1028"/>
      <c r="AN3" s="1"/>
      <c r="AO3" s="1"/>
      <c r="AP3" s="1"/>
      <c r="AQ3" s="1"/>
      <c r="AR3" s="1"/>
      <c r="AS3" s="1"/>
      <c r="AT3" s="215"/>
      <c r="BH3" s="408">
        <f>BH4-BH5</f>
        <v>5</v>
      </c>
    </row>
    <row r="4" spans="1:65"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12" t="str">
        <f>'KI-KD'!$E84</f>
        <v>4.1</v>
      </c>
      <c r="R4" s="512" t="str">
        <f>'KI-KD'!$E85</f>
        <v>4.2</v>
      </c>
      <c r="S4" s="512" t="str">
        <f>'KI-KD'!$E86</f>
        <v>4.3</v>
      </c>
      <c r="T4" s="512">
        <f>'KI-KD'!$E87</f>
        <v>0</v>
      </c>
      <c r="U4" s="512">
        <f>'KI-KD'!$E88</f>
        <v>0</v>
      </c>
      <c r="V4" s="512">
        <f>'KI-KD'!$E89</f>
        <v>0</v>
      </c>
      <c r="W4" s="512">
        <f>'KI-KD'!$E90</f>
        <v>0</v>
      </c>
      <c r="X4" s="512"/>
      <c r="Y4" s="527"/>
      <c r="Z4" s="527"/>
      <c r="AA4" s="527"/>
      <c r="AB4" s="527"/>
      <c r="AC4" s="527"/>
      <c r="AD4" s="527"/>
      <c r="AE4" s="527"/>
      <c r="AF4" s="527"/>
      <c r="AG4" s="1139"/>
      <c r="AH4" s="1123"/>
      <c r="AI4" s="210" t="s">
        <v>317</v>
      </c>
      <c r="AJ4" s="211" t="s">
        <v>1</v>
      </c>
      <c r="AK4" s="212" t="s">
        <v>317</v>
      </c>
      <c r="AL4" s="213" t="s">
        <v>1</v>
      </c>
      <c r="AM4" s="1029"/>
      <c r="AN4" s="1"/>
      <c r="AO4" s="216" t="s">
        <v>318</v>
      </c>
      <c r="AP4" s="216" t="s">
        <v>319</v>
      </c>
      <c r="AQ4" s="216" t="s">
        <v>320</v>
      </c>
      <c r="AR4" s="216" t="s">
        <v>321</v>
      </c>
      <c r="AS4" s="217" t="s">
        <v>314</v>
      </c>
      <c r="AT4" s="214"/>
      <c r="BH4" s="108">
        <v>50</v>
      </c>
    </row>
    <row r="5" spans="1:65" ht="55.5" customHeight="1">
      <c r="B5" s="109">
        <v>1</v>
      </c>
      <c r="C5" s="110">
        <f>SISWA!B6</f>
        <v>4822</v>
      </c>
      <c r="D5" s="111" t="str">
        <f>SISWA!E6</f>
        <v>Anak 1</v>
      </c>
      <c r="E5" s="520">
        <v>99</v>
      </c>
      <c r="F5" s="520"/>
      <c r="G5" s="520"/>
      <c r="H5" s="520"/>
      <c r="I5" s="520">
        <v>88</v>
      </c>
      <c r="J5" s="520"/>
      <c r="K5" s="520">
        <v>88</v>
      </c>
      <c r="L5" s="520"/>
      <c r="M5" s="520"/>
      <c r="N5" s="520">
        <v>88</v>
      </c>
      <c r="O5" s="520">
        <v>75</v>
      </c>
      <c r="P5" s="520"/>
      <c r="Q5" s="533">
        <f>IFERROR(AVERAGE(E5:G5),"")</f>
        <v>99</v>
      </c>
      <c r="R5" s="533">
        <f>IFERROR(AVERAGE(H5:J5),"")</f>
        <v>88</v>
      </c>
      <c r="S5" s="533">
        <f>IFERROR(AVERAGE(K5:M5),"")</f>
        <v>88</v>
      </c>
      <c r="T5" s="533">
        <f>IFERROR(AVERAGE(N5:P5),"")</f>
        <v>81.5</v>
      </c>
      <c r="U5" s="533"/>
      <c r="V5" s="513"/>
      <c r="W5" s="513"/>
      <c r="X5" s="513"/>
      <c r="Y5" s="513"/>
      <c r="Z5" s="513"/>
      <c r="AA5" s="513"/>
      <c r="AB5" s="513"/>
      <c r="AC5" s="513"/>
      <c r="AD5" s="514"/>
      <c r="AE5" s="514"/>
      <c r="AF5" s="513"/>
      <c r="AG5" s="302">
        <f>ROUND((AVERAGE(Q5:AF5)),0)</f>
        <v>89</v>
      </c>
      <c r="AH5" s="303" t="str">
        <f>IF(AG5&gt;KKM!$G$10,"A",IF(AG5&gt;KKM!$H$10,"B",IF(AG5&gt;=KKM!$I$10,"C","D")))</f>
        <v>B</v>
      </c>
      <c r="AI5" s="304">
        <f t="shared" ref="AI5:AI54" si="0">MAX(Q5:AF5)</f>
        <v>99</v>
      </c>
      <c r="AJ5" s="309" t="str">
        <f>IF(AI5&gt;KKM!$G$10," sangat baik ",IF(AI5&gt;KKM!$H$10," baik ",IF(AI5&gt;=KKM!$I$10," cukup baik "," perlu bimbingan ")))</f>
        <v xml:space="preserve"> sangat baik </v>
      </c>
      <c r="AK5" s="305">
        <f t="shared" ref="AK5:AK54" si="1">MIN(Q5:AF5)</f>
        <v>81.5</v>
      </c>
      <c r="AL5" s="309" t="str">
        <f>IF(AK5&gt;KKM!$G$10," sangat baik ",IF(AK5&gt;KKM!$H$10," baik ",IF(AK5&gt;=KKM!$I$10," cukup baik "," perlu bimbingan ")))</f>
        <v xml:space="preserve"> baik </v>
      </c>
      <c r="AM5" s="301" t="str">
        <f>IFERROR(AT5," ")</f>
        <v>Anak 1 sangat baik  dalam menyajikan hasil identifikasi karakteristik ruang dan pemanfaatan sumber daya alam untuk kesejahteraan masyarakat dari tingkat kota/kabupaten sampai tingkat provinsi., dan  baik  dalam 0</v>
      </c>
      <c r="AN5" s="218"/>
      <c r="AO5" s="219" t="str">
        <f t="shared" ref="AO5:AO54" si="2">AJ5&amp;" dalam "&amp;INDEX($Q$3:$AF$3,MATCH(AI5,$Q5:$AF5,0))</f>
        <v xml:space="preserve"> sangat baik  dalam menyajikan hasil identifikasi karakteristik ruang dan pemanfaatan sumber daya alam untuk kesejahteraan masyarakat dari tingkat kota/kabupaten sampai tingkat provinsi.</v>
      </c>
      <c r="AP5" s="219" t="str">
        <f t="shared" ref="AP5:AP54" si="3">AL5&amp;" dalam "&amp;INDEX($Q$3:$AF$3,MATCH(AK5,$Q5:$AF5,0))</f>
        <v xml:space="preserve"> baik  dalam 0</v>
      </c>
      <c r="AQ5" s="219" t="str">
        <f>AO5&amp;", dan "&amp;AP5</f>
        <v xml:space="preserve"> sangat baik  dalam menyajikan hasil identifikasi karakteristik ruang dan pemanfaatan sumber daya alam untuk kesejahteraan masyarakat dari tingkat kota/kabupaten sampai tingkat provinsi., dan  baik  dalam 0</v>
      </c>
      <c r="AR5" s="219" t="str">
        <f>IF(AO5=AP5,AO5," ")</f>
        <v xml:space="preserve"> </v>
      </c>
      <c r="AS5" s="220" t="str">
        <f>IF(AR5=" ",AQ5,AR5)</f>
        <v xml:space="preserve"> sangat baik  dalam menyajikan hasil identifikasi karakteristik ruang dan pemanfaatan sumber daya alam untuk kesejahteraan masyarakat dari tingkat kota/kabupaten sampai tingkat provinsi., dan  baik  dalam 0</v>
      </c>
      <c r="AT5" s="214" t="str">
        <f t="shared" ref="AT5:AT36" si="4">CONCATENATE(D5,AS5)</f>
        <v>Anak 1 sangat baik  dalam menyajikan hasil identifikasi karakteristik ruang dan pemanfaatan sumber daya alam untuk kesejahteraan masyarakat dari tingkat kota/kabupaten sampai tingkat provinsi., dan  baik  dalam 0</v>
      </c>
      <c r="AU5" s="120"/>
      <c r="BG5" s="408">
        <f>IFERROR(AG5,"")</f>
        <v>89</v>
      </c>
      <c r="BH5" s="408">
        <f>COUNTBLANK(BG5:BG54)</f>
        <v>45</v>
      </c>
    </row>
    <row r="6" spans="1:65" ht="55.5" customHeight="1">
      <c r="B6" s="109">
        <v>2</v>
      </c>
      <c r="C6" s="110">
        <f>SISWA!B7</f>
        <v>0</v>
      </c>
      <c r="D6" s="111" t="str">
        <f>SISWA!E7</f>
        <v>Anak 2</v>
      </c>
      <c r="E6" s="520">
        <v>87</v>
      </c>
      <c r="F6" s="520"/>
      <c r="G6" s="520"/>
      <c r="H6" s="520"/>
      <c r="I6" s="520"/>
      <c r="J6" s="520"/>
      <c r="K6" s="520"/>
      <c r="L6" s="520"/>
      <c r="M6" s="520"/>
      <c r="N6" s="520"/>
      <c r="O6" s="520"/>
      <c r="P6" s="520"/>
      <c r="Q6" s="533">
        <f t="shared" ref="Q6:Q54" si="5">IFERROR(AVERAGE(E6:G6),"")</f>
        <v>87</v>
      </c>
      <c r="R6" s="533" t="str">
        <f t="shared" ref="R6:R54" si="6">IFERROR(AVERAGE(H6:J6),"")</f>
        <v/>
      </c>
      <c r="S6" s="533" t="str">
        <f t="shared" ref="S6:S54" si="7">IFERROR(AVERAGE(K6:M6),"")</f>
        <v/>
      </c>
      <c r="T6" s="533" t="str">
        <f t="shared" ref="T6:T54" si="8">IFERROR(AVERAGE(N6:P6),"")</f>
        <v/>
      </c>
      <c r="U6" s="533"/>
      <c r="V6" s="513"/>
      <c r="W6" s="513"/>
      <c r="X6" s="513"/>
      <c r="Y6" s="513"/>
      <c r="Z6" s="513"/>
      <c r="AA6" s="513"/>
      <c r="AB6" s="513"/>
      <c r="AC6" s="513"/>
      <c r="AD6" s="514"/>
      <c r="AE6" s="514"/>
      <c r="AF6" s="513"/>
      <c r="AG6" s="302">
        <f t="shared" ref="AG6:AG54" si="9">ROUND((AVERAGE(Q6:AF6)),0)</f>
        <v>87</v>
      </c>
      <c r="AH6" s="303" t="str">
        <f>IF(AG6&gt;KKM!$G$10,"A",IF(AG6&gt;KKM!$H$10,"B",IF(AG6&gt;=KKM!$I$10,"C","D")))</f>
        <v>B</v>
      </c>
      <c r="AI6" s="304">
        <f t="shared" si="0"/>
        <v>87</v>
      </c>
      <c r="AJ6" s="309" t="str">
        <f>IF(AI6&gt;KKM!$G$10," sangat baik ",IF(AI6&gt;KKM!$H$10," baik ",IF(AI6&gt;=KKM!$I$10," cukup baik "," perlu bimbingan ")))</f>
        <v xml:space="preserve"> baik </v>
      </c>
      <c r="AK6" s="305">
        <f t="shared" si="1"/>
        <v>87</v>
      </c>
      <c r="AL6" s="309" t="str">
        <f>IF(AK6&gt;KKM!$G$10," sangat baik ",IF(AK6&gt;KKM!$H$10," baik ",IF(AK6&gt;=KKM!$I$10," cukup baik "," perlu bimbingan ")))</f>
        <v xml:space="preserve"> baik </v>
      </c>
      <c r="AM6" s="301" t="str">
        <f t="shared" ref="AM6:AM54" si="10">IFERROR(AT6," ")</f>
        <v>Anak 2 baik  dalam menyajikan hasil identifikasi karakteristik ruang dan pemanfaatan sumber daya alam untuk kesejahteraan masyarakat dari tingkat kota/kabupaten sampai tingkat provinsi.</v>
      </c>
      <c r="AN6" s="218"/>
      <c r="AO6" s="219" t="str">
        <f t="shared" si="2"/>
        <v xml:space="preserve"> baik  dalam menyajikan hasil identifikasi karakteristik ruang dan pemanfaatan sumber daya alam untuk kesejahteraan masyarakat dari tingkat kota/kabupaten sampai tingkat provinsi.</v>
      </c>
      <c r="AP6" s="219" t="str">
        <f t="shared" si="3"/>
        <v xml:space="preserve"> baik  dalam menyajikan hasil identifikasi karakteristik ruang dan pemanfaatan sumber daya alam untuk kesejahteraan masyarakat dari tingkat kota/kabupaten sampai tingkat provinsi.</v>
      </c>
      <c r="AQ6" s="219" t="str">
        <f t="shared" ref="AQ6:AQ54" si="11">AO6&amp;", dan "&amp;AP6</f>
        <v xml:space="preserve"> baik  dalam menyajikan hasil identifikasi karakteristik ruang dan pemanfaatan sumber daya alam untuk kesejahteraan masyarakat dari tingkat kota/kabupaten sampai tingkat provinsi., dan  baik  dalam menyajikan hasil identifikasi karakteristik ruang dan pemanfaatan sumber daya alam untuk kesejahteraan masyarakat dari tingkat kota/kabupaten sampai tingkat provinsi.</v>
      </c>
      <c r="AR6" s="219" t="str">
        <f t="shared" ref="AR6:AR54" si="12">IF(AO6=AP6,AO6," ")</f>
        <v xml:space="preserve"> baik  dalam menyajikan hasil identifikasi karakteristik ruang dan pemanfaatan sumber daya alam untuk kesejahteraan masyarakat dari tingkat kota/kabupaten sampai tingkat provinsi.</v>
      </c>
      <c r="AS6" s="220" t="str">
        <f t="shared" ref="AS6:AS54" si="13">IF(AR6=" ",AQ6,AR6)</f>
        <v xml:space="preserve"> baik  dalam menyajikan hasil identifikasi karakteristik ruang dan pemanfaatan sumber daya alam untuk kesejahteraan masyarakat dari tingkat kota/kabupaten sampai tingkat provinsi.</v>
      </c>
      <c r="AT6" s="214" t="str">
        <f t="shared" si="4"/>
        <v>Anak 2 baik  dalam menyajikan hasil identifikasi karakteristik ruang dan pemanfaatan sumber daya alam untuk kesejahteraan masyarakat dari tingkat kota/kabupaten sampai tingkat provinsi.</v>
      </c>
      <c r="AU6" s="120"/>
      <c r="BG6" s="408">
        <f t="shared" ref="BG6:BG54" si="14">IFERROR(AG6,"")</f>
        <v>87</v>
      </c>
      <c r="BH6" s="442">
        <f>IFERROR(BH3/BH2,"0%")</f>
        <v>0.1</v>
      </c>
    </row>
    <row r="7" spans="1:65" ht="55.5" customHeight="1">
      <c r="B7" s="109">
        <v>3</v>
      </c>
      <c r="C7" s="110">
        <f>SISWA!B8</f>
        <v>0</v>
      </c>
      <c r="D7" s="111" t="str">
        <f>SISWA!E8</f>
        <v>Anak 3</v>
      </c>
      <c r="E7" s="520"/>
      <c r="F7" s="520"/>
      <c r="G7" s="520"/>
      <c r="H7" s="520"/>
      <c r="I7" s="520"/>
      <c r="J7" s="520"/>
      <c r="K7" s="520">
        <v>77</v>
      </c>
      <c r="L7" s="520">
        <v>99</v>
      </c>
      <c r="M7" s="520"/>
      <c r="N7" s="520"/>
      <c r="O7" s="520"/>
      <c r="P7" s="520">
        <v>88</v>
      </c>
      <c r="Q7" s="533" t="str">
        <f t="shared" si="5"/>
        <v/>
      </c>
      <c r="R7" s="533" t="str">
        <f t="shared" si="6"/>
        <v/>
      </c>
      <c r="S7" s="533">
        <f t="shared" si="7"/>
        <v>88</v>
      </c>
      <c r="T7" s="533">
        <f t="shared" si="8"/>
        <v>88</v>
      </c>
      <c r="U7" s="533"/>
      <c r="V7" s="513"/>
      <c r="W7" s="513"/>
      <c r="X7" s="513"/>
      <c r="Y7" s="513"/>
      <c r="Z7" s="513"/>
      <c r="AA7" s="513"/>
      <c r="AB7" s="513"/>
      <c r="AC7" s="513"/>
      <c r="AD7" s="514"/>
      <c r="AE7" s="514"/>
      <c r="AF7" s="513"/>
      <c r="AG7" s="302">
        <f t="shared" si="9"/>
        <v>88</v>
      </c>
      <c r="AH7" s="303" t="str">
        <f>IF(AG7&gt;KKM!$G$10,"A",IF(AG7&gt;KKM!$H$10,"B",IF(AG7&gt;=KKM!$I$10,"C","D")))</f>
        <v>B</v>
      </c>
      <c r="AI7" s="304">
        <f t="shared" si="0"/>
        <v>88</v>
      </c>
      <c r="AJ7" s="309" t="str">
        <f>IF(AI7&gt;KKM!$G$10," sangat baik ",IF(AI7&gt;KKM!$H$10," baik ",IF(AI7&gt;=KKM!$I$10," cukup baik "," perlu bimbingan ")))</f>
        <v xml:space="preserve"> baik </v>
      </c>
      <c r="AK7" s="305">
        <f t="shared" si="1"/>
        <v>88</v>
      </c>
      <c r="AL7" s="309" t="str">
        <f>IF(AK7&gt;KKM!$G$10," sangat baik ",IF(AK7&gt;KKM!$H$10," baik ",IF(AK7&gt;=KKM!$I$10," cukup baik "," perlu bimbingan ")))</f>
        <v xml:space="preserve"> baik </v>
      </c>
      <c r="AM7" s="301" t="str">
        <f t="shared" si="10"/>
        <v>Anak 3 baik  dalam menyajikan hasil identifikasi kegiatan ekonomi dan hubungannya dengan berbagai bidang pekerjaan, serta kehidupan sosial dan budaya di lingkungan sekitar sampai provinsi.</v>
      </c>
      <c r="AN7" s="218"/>
      <c r="AO7" s="219" t="str">
        <f t="shared" si="2"/>
        <v xml:space="preserve"> baik  dalam menyajikan hasil identifikasi kegiatan ekonomi dan hubungannya dengan berbagai bidang pekerjaan, serta kehidupan sosial dan budaya di lingkungan sekitar sampai provinsi.</v>
      </c>
      <c r="AP7" s="219" t="str">
        <f t="shared" si="3"/>
        <v xml:space="preserve"> baik  dalam menyajikan hasil identifikasi kegiatan ekonomi dan hubungannya dengan berbagai bidang pekerjaan, serta kehidupan sosial dan budaya di lingkungan sekitar sampai provinsi.</v>
      </c>
      <c r="AQ7" s="219" t="str">
        <f t="shared" si="11"/>
        <v xml:space="preserve"> baik  dalam menyajikan hasil identifikasi kegiatan ekonomi dan hubungannya dengan berbagai bidang pekerjaan, serta kehidupan sosial dan budaya di lingkungan sekitar sampai provinsi., dan  baik  dalam menyajikan hasil identifikasi kegiatan ekonomi dan hubungannya dengan berbagai bidang pekerjaan, serta kehidupan sosial dan budaya di lingkungan sekitar sampai provinsi.</v>
      </c>
      <c r="AR7" s="219" t="str">
        <f t="shared" si="12"/>
        <v xml:space="preserve"> baik  dalam menyajikan hasil identifikasi kegiatan ekonomi dan hubungannya dengan berbagai bidang pekerjaan, serta kehidupan sosial dan budaya di lingkungan sekitar sampai provinsi.</v>
      </c>
      <c r="AS7" s="220" t="str">
        <f t="shared" si="13"/>
        <v xml:space="preserve"> baik  dalam menyajikan hasil identifikasi kegiatan ekonomi dan hubungannya dengan berbagai bidang pekerjaan, serta kehidupan sosial dan budaya di lingkungan sekitar sampai provinsi.</v>
      </c>
      <c r="AT7" s="214" t="str">
        <f t="shared" si="4"/>
        <v>Anak 3 baik  dalam menyajikan hasil identifikasi kegiatan ekonomi dan hubungannya dengan berbagai bidang pekerjaan, serta kehidupan sosial dan budaya di lingkungan sekitar sampai provinsi.</v>
      </c>
      <c r="AU7" s="120"/>
      <c r="BG7" s="408">
        <f t="shared" si="14"/>
        <v>88</v>
      </c>
    </row>
    <row r="8" spans="1:65" ht="55.5" customHeight="1">
      <c r="B8" s="109">
        <v>4</v>
      </c>
      <c r="C8" s="110">
        <f>SISWA!B9</f>
        <v>0</v>
      </c>
      <c r="D8" s="111" t="str">
        <f>SISWA!E9</f>
        <v>Anak 4</v>
      </c>
      <c r="E8" s="520"/>
      <c r="F8" s="520"/>
      <c r="G8" s="520"/>
      <c r="H8" s="520"/>
      <c r="I8" s="520"/>
      <c r="J8" s="520"/>
      <c r="K8" s="520"/>
      <c r="L8" s="520">
        <v>87</v>
      </c>
      <c r="M8" s="520"/>
      <c r="N8" s="520"/>
      <c r="O8" s="520"/>
      <c r="P8" s="520"/>
      <c r="Q8" s="533" t="str">
        <f t="shared" si="5"/>
        <v/>
      </c>
      <c r="R8" s="533" t="str">
        <f t="shared" si="6"/>
        <v/>
      </c>
      <c r="S8" s="533">
        <f t="shared" si="7"/>
        <v>87</v>
      </c>
      <c r="T8" s="533" t="str">
        <f t="shared" si="8"/>
        <v/>
      </c>
      <c r="U8" s="533"/>
      <c r="V8" s="513"/>
      <c r="W8" s="513"/>
      <c r="X8" s="513"/>
      <c r="Y8" s="513"/>
      <c r="Z8" s="513"/>
      <c r="AA8" s="513"/>
      <c r="AB8" s="513"/>
      <c r="AC8" s="513"/>
      <c r="AD8" s="514"/>
      <c r="AE8" s="514"/>
      <c r="AF8" s="513"/>
      <c r="AG8" s="302">
        <f t="shared" si="9"/>
        <v>87</v>
      </c>
      <c r="AH8" s="303" t="str">
        <f>IF(AG8&gt;KKM!$G$10,"A",IF(AG8&gt;KKM!$H$10,"B",IF(AG8&gt;=KKM!$I$10,"C","D")))</f>
        <v>B</v>
      </c>
      <c r="AI8" s="304">
        <f t="shared" si="0"/>
        <v>87</v>
      </c>
      <c r="AJ8" s="309" t="str">
        <f>IF(AI8&gt;KKM!$G$10," sangat baik ",IF(AI8&gt;KKM!$H$10," baik ",IF(AI8&gt;=KKM!$I$10," cukup baik "," perlu bimbingan ")))</f>
        <v xml:space="preserve"> baik </v>
      </c>
      <c r="AK8" s="305">
        <f t="shared" si="1"/>
        <v>87</v>
      </c>
      <c r="AL8" s="309" t="str">
        <f>IF(AK8&gt;KKM!$G$10," sangat baik ",IF(AK8&gt;KKM!$H$10," baik ",IF(AK8&gt;=KKM!$I$10," cukup baik "," perlu bimbingan ")))</f>
        <v xml:space="preserve"> baik </v>
      </c>
      <c r="AM8" s="301" t="str">
        <f t="shared" si="10"/>
        <v>Anak 4 baik  dalam menyajikan hasil identifikasi kegiatan ekonomi dan hubungannya dengan berbagai bidang pekerjaan, serta kehidupan sosial dan budaya di lingkungan sekitar sampai provinsi.</v>
      </c>
      <c r="AN8" s="218"/>
      <c r="AO8" s="219" t="str">
        <f t="shared" si="2"/>
        <v xml:space="preserve"> baik  dalam menyajikan hasil identifikasi kegiatan ekonomi dan hubungannya dengan berbagai bidang pekerjaan, serta kehidupan sosial dan budaya di lingkungan sekitar sampai provinsi.</v>
      </c>
      <c r="AP8" s="219" t="str">
        <f t="shared" si="3"/>
        <v xml:space="preserve"> baik  dalam menyajikan hasil identifikasi kegiatan ekonomi dan hubungannya dengan berbagai bidang pekerjaan, serta kehidupan sosial dan budaya di lingkungan sekitar sampai provinsi.</v>
      </c>
      <c r="AQ8" s="219" t="str">
        <f t="shared" si="11"/>
        <v xml:space="preserve"> baik  dalam menyajikan hasil identifikasi kegiatan ekonomi dan hubungannya dengan berbagai bidang pekerjaan, serta kehidupan sosial dan budaya di lingkungan sekitar sampai provinsi., dan  baik  dalam menyajikan hasil identifikasi kegiatan ekonomi dan hubungannya dengan berbagai bidang pekerjaan, serta kehidupan sosial dan budaya di lingkungan sekitar sampai provinsi.</v>
      </c>
      <c r="AR8" s="219" t="str">
        <f t="shared" si="12"/>
        <v xml:space="preserve"> baik  dalam menyajikan hasil identifikasi kegiatan ekonomi dan hubungannya dengan berbagai bidang pekerjaan, serta kehidupan sosial dan budaya di lingkungan sekitar sampai provinsi.</v>
      </c>
      <c r="AS8" s="220" t="str">
        <f t="shared" si="13"/>
        <v xml:space="preserve"> baik  dalam menyajikan hasil identifikasi kegiatan ekonomi dan hubungannya dengan berbagai bidang pekerjaan, serta kehidupan sosial dan budaya di lingkungan sekitar sampai provinsi.</v>
      </c>
      <c r="AT8" s="214" t="str">
        <f t="shared" si="4"/>
        <v>Anak 4 baik  dalam menyajikan hasil identifikasi kegiatan ekonomi dan hubungannya dengan berbagai bidang pekerjaan, serta kehidupan sosial dan budaya di lingkungan sekitar sampai provinsi.</v>
      </c>
      <c r="AU8" s="120"/>
      <c r="BG8" s="408">
        <f t="shared" si="14"/>
        <v>87</v>
      </c>
    </row>
    <row r="9" spans="1:65" ht="55.5" customHeight="1">
      <c r="B9" s="109">
        <v>5</v>
      </c>
      <c r="C9" s="110">
        <f>SISWA!B10</f>
        <v>0</v>
      </c>
      <c r="D9" s="111" t="str">
        <f>SISWA!E10</f>
        <v>Anak 5</v>
      </c>
      <c r="E9" s="520"/>
      <c r="F9" s="520"/>
      <c r="G9" s="520"/>
      <c r="H9" s="520"/>
      <c r="I9" s="520"/>
      <c r="J9" s="520"/>
      <c r="K9" s="520"/>
      <c r="L9" s="520"/>
      <c r="M9" s="520"/>
      <c r="N9" s="520"/>
      <c r="O9" s="520">
        <v>88</v>
      </c>
      <c r="P9" s="520"/>
      <c r="Q9" s="533" t="str">
        <f t="shared" si="5"/>
        <v/>
      </c>
      <c r="R9" s="533" t="str">
        <f t="shared" si="6"/>
        <v/>
      </c>
      <c r="S9" s="533" t="str">
        <f t="shared" si="7"/>
        <v/>
      </c>
      <c r="T9" s="533">
        <f t="shared" si="8"/>
        <v>88</v>
      </c>
      <c r="U9" s="533"/>
      <c r="V9" s="513"/>
      <c r="W9" s="513"/>
      <c r="X9" s="513"/>
      <c r="Y9" s="513"/>
      <c r="Z9" s="513"/>
      <c r="AA9" s="513"/>
      <c r="AB9" s="513"/>
      <c r="AC9" s="513"/>
      <c r="AD9" s="514"/>
      <c r="AE9" s="514"/>
      <c r="AF9" s="513"/>
      <c r="AG9" s="302">
        <f t="shared" si="9"/>
        <v>88</v>
      </c>
      <c r="AH9" s="303" t="str">
        <f>IF(AG9&gt;KKM!$G$10,"A",IF(AG9&gt;KKM!$H$10,"B",IF(AG9&gt;=KKM!$I$10,"C","D")))</f>
        <v>B</v>
      </c>
      <c r="AI9" s="304">
        <f t="shared" si="0"/>
        <v>88</v>
      </c>
      <c r="AJ9" s="309" t="str">
        <f>IF(AI9&gt;KKM!$G$10," sangat baik ",IF(AI9&gt;KKM!$H$10," baik ",IF(AI9&gt;=KKM!$I$10," cukup baik "," perlu bimbingan ")))</f>
        <v xml:space="preserve"> baik </v>
      </c>
      <c r="AK9" s="305">
        <f t="shared" si="1"/>
        <v>88</v>
      </c>
      <c r="AL9" s="309" t="str">
        <f>IF(AK9&gt;KKM!$G$10," sangat baik ",IF(AK9&gt;KKM!$H$10," baik ",IF(AK9&gt;=KKM!$I$10," cukup baik "," perlu bimbingan ")))</f>
        <v xml:space="preserve"> baik </v>
      </c>
      <c r="AM9" s="301" t="str">
        <f t="shared" si="10"/>
        <v>Anak 5 baik  dalam 0</v>
      </c>
      <c r="AN9" s="218"/>
      <c r="AO9" s="219" t="str">
        <f t="shared" si="2"/>
        <v xml:space="preserve"> baik  dalam 0</v>
      </c>
      <c r="AP9" s="219" t="str">
        <f t="shared" si="3"/>
        <v xml:space="preserve"> baik  dalam 0</v>
      </c>
      <c r="AQ9" s="219" t="str">
        <f t="shared" si="11"/>
        <v xml:space="preserve"> baik  dalam 0, dan  baik  dalam 0</v>
      </c>
      <c r="AR9" s="219" t="str">
        <f t="shared" si="12"/>
        <v xml:space="preserve"> baik  dalam 0</v>
      </c>
      <c r="AS9" s="220" t="str">
        <f t="shared" si="13"/>
        <v xml:space="preserve"> baik  dalam 0</v>
      </c>
      <c r="AT9" s="214" t="str">
        <f t="shared" si="4"/>
        <v>Anak 5 baik  dalam 0</v>
      </c>
      <c r="AU9" s="120"/>
      <c r="BG9" s="408">
        <f t="shared" si="14"/>
        <v>88</v>
      </c>
    </row>
    <row r="10" spans="1:65" ht="55.5" customHeight="1">
      <c r="B10" s="109">
        <v>6</v>
      </c>
      <c r="C10" s="110">
        <f>SISWA!B11</f>
        <v>0</v>
      </c>
      <c r="D10" s="111" t="str">
        <f>SISWA!E11</f>
        <v>Anak 6</v>
      </c>
      <c r="E10" s="520"/>
      <c r="F10" s="520"/>
      <c r="G10" s="520"/>
      <c r="H10" s="520"/>
      <c r="I10" s="520"/>
      <c r="J10" s="520"/>
      <c r="K10" s="520"/>
      <c r="L10" s="520"/>
      <c r="M10" s="520"/>
      <c r="N10" s="520"/>
      <c r="O10" s="520"/>
      <c r="P10" s="520"/>
      <c r="Q10" s="533" t="str">
        <f t="shared" si="5"/>
        <v/>
      </c>
      <c r="R10" s="533" t="str">
        <f t="shared" si="6"/>
        <v/>
      </c>
      <c r="S10" s="533" t="str">
        <f t="shared" si="7"/>
        <v/>
      </c>
      <c r="T10" s="533" t="str">
        <f t="shared" si="8"/>
        <v/>
      </c>
      <c r="U10" s="533"/>
      <c r="V10" s="513"/>
      <c r="W10" s="513"/>
      <c r="X10" s="513"/>
      <c r="Y10" s="513"/>
      <c r="Z10" s="513"/>
      <c r="AA10" s="513"/>
      <c r="AB10" s="513"/>
      <c r="AC10" s="513"/>
      <c r="AD10" s="514"/>
      <c r="AE10" s="514"/>
      <c r="AF10" s="513"/>
      <c r="AG10" s="302" t="e">
        <f t="shared" si="9"/>
        <v>#DIV/0!</v>
      </c>
      <c r="AH10" s="303" t="e">
        <f>IF(AG10&gt;KKM!$G$10,"A",IF(AG10&gt;KKM!$H$10,"B",IF(AG10&gt;=KKM!$I$10,"C","D")))</f>
        <v>#DIV/0!</v>
      </c>
      <c r="AI10" s="304">
        <f t="shared" si="0"/>
        <v>0</v>
      </c>
      <c r="AJ10" s="309" t="str">
        <f>IF(AI10&gt;KKM!$G$10," sangat baik ",IF(AI10&gt;KKM!$H$10," baik ",IF(AI10&gt;=KKM!$I$10," cukup baik "," perlu bimbingan ")))</f>
        <v xml:space="preserve"> perlu bimbingan </v>
      </c>
      <c r="AK10" s="305">
        <f t="shared" si="1"/>
        <v>0</v>
      </c>
      <c r="AL10" s="309" t="str">
        <f>IF(AK10&gt;KKM!$G$10," sangat baik ",IF(AK10&gt;KKM!$H$10," baik ",IF(AK10&gt;=KKM!$I$10," cukup baik "," perlu bimbingan ")))</f>
        <v xml:space="preserve"> perlu bimbingan </v>
      </c>
      <c r="AM10" s="301" t="str">
        <f t="shared" si="10"/>
        <v xml:space="preserve"> </v>
      </c>
      <c r="AN10" s="218"/>
      <c r="AO10" s="219" t="e">
        <f t="shared" si="2"/>
        <v>#N/A</v>
      </c>
      <c r="AP10" s="219" t="e">
        <f t="shared" si="3"/>
        <v>#N/A</v>
      </c>
      <c r="AQ10" s="219" t="e">
        <f t="shared" si="11"/>
        <v>#N/A</v>
      </c>
      <c r="AR10" s="219" t="e">
        <f t="shared" si="12"/>
        <v>#N/A</v>
      </c>
      <c r="AS10" s="220" t="e">
        <f t="shared" si="13"/>
        <v>#N/A</v>
      </c>
      <c r="AT10" s="214" t="e">
        <f t="shared" si="4"/>
        <v>#N/A</v>
      </c>
      <c r="AU10" s="120"/>
      <c r="BG10" s="408" t="str">
        <f t="shared" si="14"/>
        <v/>
      </c>
    </row>
    <row r="11" spans="1:65" ht="55.5" customHeight="1">
      <c r="B11" s="109">
        <v>7</v>
      </c>
      <c r="C11" s="110">
        <f>SISWA!B12</f>
        <v>0</v>
      </c>
      <c r="D11" s="111" t="str">
        <f>SISWA!E12</f>
        <v>Anak 7</v>
      </c>
      <c r="E11" s="520"/>
      <c r="F11" s="520"/>
      <c r="G11" s="520"/>
      <c r="H11" s="520"/>
      <c r="I11" s="520"/>
      <c r="J11" s="520"/>
      <c r="K11" s="520"/>
      <c r="L11" s="520"/>
      <c r="M11" s="520"/>
      <c r="N11" s="520"/>
      <c r="O11" s="520"/>
      <c r="P11" s="520"/>
      <c r="Q11" s="533" t="str">
        <f t="shared" si="5"/>
        <v/>
      </c>
      <c r="R11" s="533" t="str">
        <f t="shared" si="6"/>
        <v/>
      </c>
      <c r="S11" s="533" t="str">
        <f t="shared" si="7"/>
        <v/>
      </c>
      <c r="T11" s="533" t="str">
        <f t="shared" si="8"/>
        <v/>
      </c>
      <c r="U11" s="533"/>
      <c r="V11" s="513"/>
      <c r="W11" s="513"/>
      <c r="X11" s="513"/>
      <c r="Y11" s="513"/>
      <c r="Z11" s="513"/>
      <c r="AA11" s="513"/>
      <c r="AB11" s="513"/>
      <c r="AC11" s="513"/>
      <c r="AD11" s="514"/>
      <c r="AE11" s="514"/>
      <c r="AF11" s="513"/>
      <c r="AG11" s="302" t="e">
        <f t="shared" si="9"/>
        <v>#DIV/0!</v>
      </c>
      <c r="AH11" s="303" t="e">
        <f>IF(AG11&gt;KKM!$G$10,"A",IF(AG11&gt;KKM!$H$10,"B",IF(AG11&gt;=KKM!$I$10,"C","D")))</f>
        <v>#DIV/0!</v>
      </c>
      <c r="AI11" s="304">
        <f t="shared" si="0"/>
        <v>0</v>
      </c>
      <c r="AJ11" s="309" t="str">
        <f>IF(AI11&gt;KKM!$G$10," sangat baik ",IF(AI11&gt;KKM!$H$10," baik ",IF(AI11&gt;=KKM!$I$10," cukup baik "," perlu bimbingan ")))</f>
        <v xml:space="preserve"> perlu bimbingan </v>
      </c>
      <c r="AK11" s="305">
        <f t="shared" si="1"/>
        <v>0</v>
      </c>
      <c r="AL11" s="309" t="str">
        <f>IF(AK11&gt;KKM!$G$10," sangat baik ",IF(AK11&gt;KKM!$H$10," baik ",IF(AK11&gt;=KKM!$I$10," cukup baik "," perlu bimbingan ")))</f>
        <v xml:space="preserve"> perlu bimbingan </v>
      </c>
      <c r="AM11" s="301" t="str">
        <f t="shared" si="10"/>
        <v xml:space="preserve"> </v>
      </c>
      <c r="AN11" s="218"/>
      <c r="AO11" s="219" t="e">
        <f t="shared" si="2"/>
        <v>#N/A</v>
      </c>
      <c r="AP11" s="219" t="e">
        <f t="shared" si="3"/>
        <v>#N/A</v>
      </c>
      <c r="AQ11" s="219" t="e">
        <f t="shared" si="11"/>
        <v>#N/A</v>
      </c>
      <c r="AR11" s="219" t="e">
        <f t="shared" si="12"/>
        <v>#N/A</v>
      </c>
      <c r="AS11" s="220" t="e">
        <f t="shared" si="13"/>
        <v>#N/A</v>
      </c>
      <c r="AT11" s="214" t="e">
        <f t="shared" si="4"/>
        <v>#N/A</v>
      </c>
      <c r="AU11" s="120"/>
      <c r="BG11" s="408" t="str">
        <f t="shared" si="14"/>
        <v/>
      </c>
    </row>
    <row r="12" spans="1:65" ht="55.5" customHeight="1">
      <c r="B12" s="109">
        <v>8</v>
      </c>
      <c r="C12" s="110">
        <f>SISWA!B13</f>
        <v>0</v>
      </c>
      <c r="D12" s="111" t="str">
        <f>SISWA!E13</f>
        <v>Anak 8</v>
      </c>
      <c r="E12" s="520"/>
      <c r="F12" s="520"/>
      <c r="G12" s="520"/>
      <c r="H12" s="520"/>
      <c r="I12" s="520"/>
      <c r="J12" s="520"/>
      <c r="K12" s="520"/>
      <c r="L12" s="520"/>
      <c r="M12" s="520"/>
      <c r="N12" s="520"/>
      <c r="O12" s="520"/>
      <c r="P12" s="520"/>
      <c r="Q12" s="533" t="str">
        <f t="shared" si="5"/>
        <v/>
      </c>
      <c r="R12" s="533" t="str">
        <f t="shared" si="6"/>
        <v/>
      </c>
      <c r="S12" s="533" t="str">
        <f t="shared" si="7"/>
        <v/>
      </c>
      <c r="T12" s="533" t="str">
        <f t="shared" si="8"/>
        <v/>
      </c>
      <c r="U12" s="533"/>
      <c r="V12" s="513"/>
      <c r="W12" s="513"/>
      <c r="X12" s="513"/>
      <c r="Y12" s="513"/>
      <c r="Z12" s="513"/>
      <c r="AA12" s="513"/>
      <c r="AB12" s="513"/>
      <c r="AC12" s="513"/>
      <c r="AD12" s="514"/>
      <c r="AE12" s="514"/>
      <c r="AF12" s="513"/>
      <c r="AG12" s="302" t="e">
        <f t="shared" si="9"/>
        <v>#DIV/0!</v>
      </c>
      <c r="AH12" s="303" t="e">
        <f>IF(AG12&gt;KKM!$G$10,"A",IF(AG12&gt;KKM!$H$10,"B",IF(AG12&gt;=KKM!$I$10,"C","D")))</f>
        <v>#DIV/0!</v>
      </c>
      <c r="AI12" s="304">
        <f t="shared" si="0"/>
        <v>0</v>
      </c>
      <c r="AJ12" s="309" t="str">
        <f>IF(AI12&gt;KKM!$G$10," sangat baik ",IF(AI12&gt;KKM!$H$10," baik ",IF(AI12&gt;=KKM!$I$10," cukup baik "," perlu bimbingan ")))</f>
        <v xml:space="preserve"> perlu bimbingan </v>
      </c>
      <c r="AK12" s="305">
        <f t="shared" si="1"/>
        <v>0</v>
      </c>
      <c r="AL12" s="309" t="str">
        <f>IF(AK12&gt;KKM!$G$10," sangat baik ",IF(AK12&gt;KKM!$H$10," baik ",IF(AK12&gt;=KKM!$I$10," cukup baik "," perlu bimbingan ")))</f>
        <v xml:space="preserve"> perlu bimbingan </v>
      </c>
      <c r="AM12" s="301" t="str">
        <f t="shared" si="10"/>
        <v xml:space="preserve"> </v>
      </c>
      <c r="AN12" s="218"/>
      <c r="AO12" s="219" t="e">
        <f t="shared" si="2"/>
        <v>#N/A</v>
      </c>
      <c r="AP12" s="219" t="e">
        <f t="shared" si="3"/>
        <v>#N/A</v>
      </c>
      <c r="AQ12" s="219" t="e">
        <f t="shared" si="11"/>
        <v>#N/A</v>
      </c>
      <c r="AR12" s="219" t="e">
        <f t="shared" si="12"/>
        <v>#N/A</v>
      </c>
      <c r="AS12" s="220" t="e">
        <f t="shared" si="13"/>
        <v>#N/A</v>
      </c>
      <c r="AT12" s="214" t="e">
        <f t="shared" si="4"/>
        <v>#N/A</v>
      </c>
      <c r="AU12" s="120"/>
      <c r="BG12" s="408" t="str">
        <f t="shared" si="14"/>
        <v/>
      </c>
    </row>
    <row r="13" spans="1:65" ht="55.5" customHeight="1">
      <c r="B13" s="109">
        <v>9</v>
      </c>
      <c r="C13" s="110">
        <f>SISWA!B14</f>
        <v>0</v>
      </c>
      <c r="D13" s="111" t="str">
        <f>SISWA!E14</f>
        <v>Anak 9</v>
      </c>
      <c r="E13" s="520"/>
      <c r="F13" s="520"/>
      <c r="G13" s="520"/>
      <c r="H13" s="520"/>
      <c r="I13" s="520"/>
      <c r="J13" s="520"/>
      <c r="K13" s="520"/>
      <c r="L13" s="520"/>
      <c r="M13" s="520"/>
      <c r="N13" s="520"/>
      <c r="O13" s="520"/>
      <c r="P13" s="520"/>
      <c r="Q13" s="533" t="str">
        <f t="shared" si="5"/>
        <v/>
      </c>
      <c r="R13" s="533" t="str">
        <f t="shared" si="6"/>
        <v/>
      </c>
      <c r="S13" s="533" t="str">
        <f t="shared" si="7"/>
        <v/>
      </c>
      <c r="T13" s="533" t="str">
        <f t="shared" si="8"/>
        <v/>
      </c>
      <c r="U13" s="533"/>
      <c r="V13" s="513"/>
      <c r="W13" s="513"/>
      <c r="X13" s="513"/>
      <c r="Y13" s="513"/>
      <c r="Z13" s="513"/>
      <c r="AA13" s="513"/>
      <c r="AB13" s="513"/>
      <c r="AC13" s="513"/>
      <c r="AD13" s="514"/>
      <c r="AE13" s="514"/>
      <c r="AF13" s="513"/>
      <c r="AG13" s="302" t="e">
        <f t="shared" si="9"/>
        <v>#DIV/0!</v>
      </c>
      <c r="AH13" s="303" t="e">
        <f>IF(AG13&gt;KKM!$G$10,"A",IF(AG13&gt;KKM!$H$10,"B",IF(AG13&gt;=KKM!$I$10,"C","D")))</f>
        <v>#DIV/0!</v>
      </c>
      <c r="AI13" s="304">
        <f t="shared" si="0"/>
        <v>0</v>
      </c>
      <c r="AJ13" s="309" t="str">
        <f>IF(AI13&gt;KKM!$G$10," sangat baik ",IF(AI13&gt;KKM!$H$10," baik ",IF(AI13&gt;=KKM!$I$10," cukup baik "," perlu bimbingan ")))</f>
        <v xml:space="preserve"> perlu bimbingan </v>
      </c>
      <c r="AK13" s="305">
        <f t="shared" si="1"/>
        <v>0</v>
      </c>
      <c r="AL13" s="309" t="str">
        <f>IF(AK13&gt;KKM!$G$10," sangat baik ",IF(AK13&gt;KKM!$H$10," baik ",IF(AK13&gt;=KKM!$I$10," cukup baik "," perlu bimbingan ")))</f>
        <v xml:space="preserve"> perlu bimbingan </v>
      </c>
      <c r="AM13" s="301" t="str">
        <f t="shared" si="10"/>
        <v xml:space="preserve"> </v>
      </c>
      <c r="AN13" s="218"/>
      <c r="AO13" s="219" t="e">
        <f t="shared" si="2"/>
        <v>#N/A</v>
      </c>
      <c r="AP13" s="219" t="e">
        <f t="shared" si="3"/>
        <v>#N/A</v>
      </c>
      <c r="AQ13" s="219" t="e">
        <f t="shared" si="11"/>
        <v>#N/A</v>
      </c>
      <c r="AR13" s="219" t="e">
        <f t="shared" si="12"/>
        <v>#N/A</v>
      </c>
      <c r="AS13" s="220" t="e">
        <f t="shared" si="13"/>
        <v>#N/A</v>
      </c>
      <c r="AT13" s="214" t="e">
        <f t="shared" si="4"/>
        <v>#N/A</v>
      </c>
      <c r="AU13" s="120"/>
      <c r="BG13" s="408" t="str">
        <f t="shared" si="14"/>
        <v/>
      </c>
    </row>
    <row r="14" spans="1:65" ht="55.5" customHeight="1">
      <c r="B14" s="109">
        <v>10</v>
      </c>
      <c r="C14" s="110">
        <f>SISWA!B15</f>
        <v>0</v>
      </c>
      <c r="D14" s="111" t="str">
        <f>SISWA!E15</f>
        <v>Anak 10</v>
      </c>
      <c r="E14" s="520"/>
      <c r="F14" s="520"/>
      <c r="G14" s="520"/>
      <c r="H14" s="520"/>
      <c r="I14" s="520"/>
      <c r="J14" s="520"/>
      <c r="K14" s="520"/>
      <c r="L14" s="520"/>
      <c r="M14" s="520"/>
      <c r="N14" s="520"/>
      <c r="O14" s="520"/>
      <c r="P14" s="520"/>
      <c r="Q14" s="533" t="str">
        <f t="shared" si="5"/>
        <v/>
      </c>
      <c r="R14" s="533" t="str">
        <f t="shared" si="6"/>
        <v/>
      </c>
      <c r="S14" s="533" t="str">
        <f t="shared" si="7"/>
        <v/>
      </c>
      <c r="T14" s="533" t="str">
        <f t="shared" si="8"/>
        <v/>
      </c>
      <c r="U14" s="533"/>
      <c r="V14" s="513"/>
      <c r="W14" s="513"/>
      <c r="X14" s="513"/>
      <c r="Y14" s="513"/>
      <c r="Z14" s="513"/>
      <c r="AA14" s="513"/>
      <c r="AB14" s="513"/>
      <c r="AC14" s="513"/>
      <c r="AD14" s="514"/>
      <c r="AE14" s="514"/>
      <c r="AF14" s="513"/>
      <c r="AG14" s="302" t="e">
        <f t="shared" si="9"/>
        <v>#DIV/0!</v>
      </c>
      <c r="AH14" s="303" t="e">
        <f>IF(AG14&gt;KKM!$G$10,"A",IF(AG14&gt;KKM!$H$10,"B",IF(AG14&gt;=KKM!$I$10,"C","D")))</f>
        <v>#DIV/0!</v>
      </c>
      <c r="AI14" s="304">
        <f t="shared" si="0"/>
        <v>0</v>
      </c>
      <c r="AJ14" s="309" t="str">
        <f>IF(AI14&gt;KKM!$G$10," sangat baik ",IF(AI14&gt;KKM!$H$10," baik ",IF(AI14&gt;=KKM!$I$10," cukup baik "," perlu bimbingan ")))</f>
        <v xml:space="preserve"> perlu bimbingan </v>
      </c>
      <c r="AK14" s="305">
        <f t="shared" si="1"/>
        <v>0</v>
      </c>
      <c r="AL14" s="309" t="str">
        <f>IF(AK14&gt;KKM!$G$10," sangat baik ",IF(AK14&gt;KKM!$H$10," baik ",IF(AK14&gt;=KKM!$I$10," cukup baik "," perlu bimbingan ")))</f>
        <v xml:space="preserve"> perlu bimbingan </v>
      </c>
      <c r="AM14" s="301" t="str">
        <f t="shared" si="10"/>
        <v xml:space="preserve"> </v>
      </c>
      <c r="AN14" s="218"/>
      <c r="AO14" s="219" t="e">
        <f t="shared" si="2"/>
        <v>#N/A</v>
      </c>
      <c r="AP14" s="219" t="e">
        <f t="shared" si="3"/>
        <v>#N/A</v>
      </c>
      <c r="AQ14" s="219" t="e">
        <f t="shared" si="11"/>
        <v>#N/A</v>
      </c>
      <c r="AR14" s="219" t="e">
        <f t="shared" si="12"/>
        <v>#N/A</v>
      </c>
      <c r="AS14" s="220" t="e">
        <f t="shared" si="13"/>
        <v>#N/A</v>
      </c>
      <c r="AT14" s="214" t="e">
        <f t="shared" si="4"/>
        <v>#N/A</v>
      </c>
      <c r="AU14" s="120"/>
      <c r="BG14" s="408" t="str">
        <f t="shared" si="14"/>
        <v/>
      </c>
    </row>
    <row r="15" spans="1:65" ht="55.5" customHeight="1">
      <c r="B15" s="109">
        <v>11</v>
      </c>
      <c r="C15" s="110">
        <f>SISWA!B16</f>
        <v>0</v>
      </c>
      <c r="D15" s="111" t="str">
        <f>SISWA!E16</f>
        <v>Anak 11</v>
      </c>
      <c r="E15" s="520"/>
      <c r="F15" s="520"/>
      <c r="G15" s="520"/>
      <c r="H15" s="520"/>
      <c r="I15" s="520"/>
      <c r="J15" s="520"/>
      <c r="K15" s="520"/>
      <c r="L15" s="520"/>
      <c r="M15" s="520"/>
      <c r="N15" s="520"/>
      <c r="O15" s="520"/>
      <c r="P15" s="520"/>
      <c r="Q15" s="533" t="str">
        <f t="shared" si="5"/>
        <v/>
      </c>
      <c r="R15" s="533" t="str">
        <f t="shared" si="6"/>
        <v/>
      </c>
      <c r="S15" s="533" t="str">
        <f t="shared" si="7"/>
        <v/>
      </c>
      <c r="T15" s="533" t="str">
        <f t="shared" si="8"/>
        <v/>
      </c>
      <c r="U15" s="533"/>
      <c r="V15" s="513"/>
      <c r="W15" s="513"/>
      <c r="X15" s="513"/>
      <c r="Y15" s="513"/>
      <c r="Z15" s="513"/>
      <c r="AA15" s="513"/>
      <c r="AB15" s="513"/>
      <c r="AC15" s="513"/>
      <c r="AD15" s="514"/>
      <c r="AE15" s="514"/>
      <c r="AF15" s="513"/>
      <c r="AG15" s="302" t="e">
        <f t="shared" si="9"/>
        <v>#DIV/0!</v>
      </c>
      <c r="AH15" s="303" t="e">
        <f>IF(AG15&gt;KKM!$G$10,"A",IF(AG15&gt;KKM!$H$10,"B",IF(AG15&gt;=KKM!$I$10,"C","D")))</f>
        <v>#DIV/0!</v>
      </c>
      <c r="AI15" s="304">
        <f t="shared" si="0"/>
        <v>0</v>
      </c>
      <c r="AJ15" s="309" t="str">
        <f>IF(AI15&gt;KKM!$G$10," sangat baik ",IF(AI15&gt;KKM!$H$10," baik ",IF(AI15&gt;=KKM!$I$10," cukup baik "," perlu bimbingan ")))</f>
        <v xml:space="preserve"> perlu bimbingan </v>
      </c>
      <c r="AK15" s="305">
        <f t="shared" si="1"/>
        <v>0</v>
      </c>
      <c r="AL15" s="309" t="str">
        <f>IF(AK15&gt;KKM!$G$10," sangat baik ",IF(AK15&gt;KKM!$H$10," baik ",IF(AK15&gt;=KKM!$I$10," cukup baik "," perlu bimbingan ")))</f>
        <v xml:space="preserve"> perlu bimbingan </v>
      </c>
      <c r="AM15" s="301" t="str">
        <f t="shared" si="10"/>
        <v xml:space="preserve"> </v>
      </c>
      <c r="AN15" s="218"/>
      <c r="AO15" s="219" t="e">
        <f t="shared" si="2"/>
        <v>#N/A</v>
      </c>
      <c r="AP15" s="219" t="e">
        <f t="shared" si="3"/>
        <v>#N/A</v>
      </c>
      <c r="AQ15" s="219" t="e">
        <f t="shared" si="11"/>
        <v>#N/A</v>
      </c>
      <c r="AR15" s="219" t="e">
        <f t="shared" si="12"/>
        <v>#N/A</v>
      </c>
      <c r="AS15" s="220" t="e">
        <f t="shared" si="13"/>
        <v>#N/A</v>
      </c>
      <c r="AT15" s="214" t="e">
        <f t="shared" si="4"/>
        <v>#N/A</v>
      </c>
      <c r="AU15" s="120"/>
      <c r="BG15" s="408" t="str">
        <f t="shared" si="14"/>
        <v/>
      </c>
    </row>
    <row r="16" spans="1:65" ht="55.5" customHeight="1">
      <c r="B16" s="109">
        <v>12</v>
      </c>
      <c r="C16" s="110">
        <f>SISWA!B17</f>
        <v>0</v>
      </c>
      <c r="D16" s="111" t="str">
        <f>SISWA!E17</f>
        <v>Anak 12</v>
      </c>
      <c r="E16" s="520"/>
      <c r="F16" s="520"/>
      <c r="G16" s="520"/>
      <c r="H16" s="520"/>
      <c r="I16" s="520"/>
      <c r="J16" s="520"/>
      <c r="K16" s="520"/>
      <c r="L16" s="520"/>
      <c r="M16" s="520"/>
      <c r="N16" s="520"/>
      <c r="O16" s="520"/>
      <c r="P16" s="520"/>
      <c r="Q16" s="533" t="str">
        <f t="shared" si="5"/>
        <v/>
      </c>
      <c r="R16" s="533" t="str">
        <f t="shared" si="6"/>
        <v/>
      </c>
      <c r="S16" s="533" t="str">
        <f t="shared" si="7"/>
        <v/>
      </c>
      <c r="T16" s="533" t="str">
        <f t="shared" si="8"/>
        <v/>
      </c>
      <c r="U16" s="533"/>
      <c r="V16" s="513"/>
      <c r="W16" s="513"/>
      <c r="X16" s="513"/>
      <c r="Y16" s="513"/>
      <c r="Z16" s="513"/>
      <c r="AA16" s="513"/>
      <c r="AB16" s="513"/>
      <c r="AC16" s="513"/>
      <c r="AD16" s="514"/>
      <c r="AE16" s="514"/>
      <c r="AF16" s="513"/>
      <c r="AG16" s="302" t="e">
        <f t="shared" si="9"/>
        <v>#DIV/0!</v>
      </c>
      <c r="AH16" s="303" t="e">
        <f>IF(AG16&gt;KKM!$G$10,"A",IF(AG16&gt;KKM!$H$10,"B",IF(AG16&gt;=KKM!$I$10,"C","D")))</f>
        <v>#DIV/0!</v>
      </c>
      <c r="AI16" s="304">
        <f t="shared" si="0"/>
        <v>0</v>
      </c>
      <c r="AJ16" s="309" t="str">
        <f>IF(AI16&gt;KKM!$G$10," sangat baik ",IF(AI16&gt;KKM!$H$10," baik ",IF(AI16&gt;=KKM!$I$10," cukup baik "," perlu bimbingan ")))</f>
        <v xml:space="preserve"> perlu bimbingan </v>
      </c>
      <c r="AK16" s="305">
        <f t="shared" si="1"/>
        <v>0</v>
      </c>
      <c r="AL16" s="309" t="str">
        <f>IF(AK16&gt;KKM!$G$10," sangat baik ",IF(AK16&gt;KKM!$H$10," baik ",IF(AK16&gt;=KKM!$I$10," cukup baik "," perlu bimbingan ")))</f>
        <v xml:space="preserve"> perlu bimbingan </v>
      </c>
      <c r="AM16" s="301" t="str">
        <f t="shared" si="10"/>
        <v xml:space="preserve"> </v>
      </c>
      <c r="AN16" s="218"/>
      <c r="AO16" s="219" t="e">
        <f t="shared" si="2"/>
        <v>#N/A</v>
      </c>
      <c r="AP16" s="219" t="e">
        <f t="shared" si="3"/>
        <v>#N/A</v>
      </c>
      <c r="AQ16" s="219" t="e">
        <f t="shared" si="11"/>
        <v>#N/A</v>
      </c>
      <c r="AR16" s="219" t="e">
        <f t="shared" si="12"/>
        <v>#N/A</v>
      </c>
      <c r="AS16" s="220" t="e">
        <f t="shared" si="13"/>
        <v>#N/A</v>
      </c>
      <c r="AT16" s="214" t="e">
        <f t="shared" si="4"/>
        <v>#N/A</v>
      </c>
      <c r="AU16" s="120"/>
      <c r="BG16" s="408" t="str">
        <f t="shared" si="14"/>
        <v/>
      </c>
    </row>
    <row r="17" spans="2:59" ht="55.5" customHeight="1">
      <c r="B17" s="109">
        <v>13</v>
      </c>
      <c r="C17" s="110">
        <f>SISWA!B18</f>
        <v>0</v>
      </c>
      <c r="D17" s="111" t="str">
        <f>SISWA!E18</f>
        <v>Anak 13</v>
      </c>
      <c r="E17" s="520"/>
      <c r="F17" s="520"/>
      <c r="G17" s="520"/>
      <c r="H17" s="520"/>
      <c r="I17" s="520"/>
      <c r="J17" s="520"/>
      <c r="K17" s="520"/>
      <c r="L17" s="520"/>
      <c r="M17" s="520"/>
      <c r="N17" s="520"/>
      <c r="O17" s="520"/>
      <c r="P17" s="520"/>
      <c r="Q17" s="533" t="str">
        <f t="shared" si="5"/>
        <v/>
      </c>
      <c r="R17" s="533" t="str">
        <f t="shared" si="6"/>
        <v/>
      </c>
      <c r="S17" s="533" t="str">
        <f t="shared" si="7"/>
        <v/>
      </c>
      <c r="T17" s="533" t="str">
        <f t="shared" si="8"/>
        <v/>
      </c>
      <c r="U17" s="533"/>
      <c r="V17" s="513"/>
      <c r="W17" s="513"/>
      <c r="X17" s="513"/>
      <c r="Y17" s="513"/>
      <c r="Z17" s="513"/>
      <c r="AA17" s="513"/>
      <c r="AB17" s="513"/>
      <c r="AC17" s="513"/>
      <c r="AD17" s="514"/>
      <c r="AE17" s="514"/>
      <c r="AF17" s="513"/>
      <c r="AG17" s="302" t="e">
        <f t="shared" si="9"/>
        <v>#DIV/0!</v>
      </c>
      <c r="AH17" s="303" t="e">
        <f>IF(AG17&gt;KKM!$G$10,"A",IF(AG17&gt;KKM!$H$10,"B",IF(AG17&gt;=KKM!$I$10,"C","D")))</f>
        <v>#DIV/0!</v>
      </c>
      <c r="AI17" s="304">
        <f t="shared" si="0"/>
        <v>0</v>
      </c>
      <c r="AJ17" s="309" t="str">
        <f>IF(AI17&gt;KKM!$G$10," sangat baik ",IF(AI17&gt;KKM!$H$10," baik ",IF(AI17&gt;=KKM!$I$10," cukup baik "," perlu bimbingan ")))</f>
        <v xml:space="preserve"> perlu bimbingan </v>
      </c>
      <c r="AK17" s="305">
        <f t="shared" si="1"/>
        <v>0</v>
      </c>
      <c r="AL17" s="309" t="str">
        <f>IF(AK17&gt;KKM!$G$10," sangat baik ",IF(AK17&gt;KKM!$H$10," baik ",IF(AK17&gt;=KKM!$I$10," cukup baik "," perlu bimbingan ")))</f>
        <v xml:space="preserve"> perlu bimbingan </v>
      </c>
      <c r="AM17" s="301" t="str">
        <f t="shared" si="10"/>
        <v xml:space="preserve"> </v>
      </c>
      <c r="AN17" s="218"/>
      <c r="AO17" s="219" t="e">
        <f t="shared" si="2"/>
        <v>#N/A</v>
      </c>
      <c r="AP17" s="219" t="e">
        <f t="shared" si="3"/>
        <v>#N/A</v>
      </c>
      <c r="AQ17" s="219" t="e">
        <f t="shared" si="11"/>
        <v>#N/A</v>
      </c>
      <c r="AR17" s="219" t="e">
        <f t="shared" si="12"/>
        <v>#N/A</v>
      </c>
      <c r="AS17" s="220" t="e">
        <f t="shared" si="13"/>
        <v>#N/A</v>
      </c>
      <c r="AT17" s="214" t="e">
        <f t="shared" si="4"/>
        <v>#N/A</v>
      </c>
      <c r="AU17" s="120"/>
      <c r="BG17" s="408" t="str">
        <f t="shared" si="14"/>
        <v/>
      </c>
    </row>
    <row r="18" spans="2:59" ht="55.5" customHeight="1">
      <c r="B18" s="109">
        <v>14</v>
      </c>
      <c r="C18" s="110">
        <f>SISWA!B19</f>
        <v>0</v>
      </c>
      <c r="D18" s="111" t="str">
        <f>SISWA!E19</f>
        <v>Anak 14</v>
      </c>
      <c r="E18" s="520"/>
      <c r="F18" s="520"/>
      <c r="G18" s="520"/>
      <c r="H18" s="520"/>
      <c r="I18" s="520"/>
      <c r="J18" s="520"/>
      <c r="K18" s="520"/>
      <c r="L18" s="520"/>
      <c r="M18" s="520"/>
      <c r="N18" s="520"/>
      <c r="O18" s="520"/>
      <c r="P18" s="520"/>
      <c r="Q18" s="533" t="str">
        <f t="shared" si="5"/>
        <v/>
      </c>
      <c r="R18" s="533" t="str">
        <f t="shared" si="6"/>
        <v/>
      </c>
      <c r="S18" s="533" t="str">
        <f t="shared" si="7"/>
        <v/>
      </c>
      <c r="T18" s="533" t="str">
        <f t="shared" si="8"/>
        <v/>
      </c>
      <c r="U18" s="533"/>
      <c r="V18" s="513"/>
      <c r="W18" s="513"/>
      <c r="X18" s="513"/>
      <c r="Y18" s="513"/>
      <c r="Z18" s="513"/>
      <c r="AA18" s="513"/>
      <c r="AB18" s="513"/>
      <c r="AC18" s="513"/>
      <c r="AD18" s="514"/>
      <c r="AE18" s="514"/>
      <c r="AF18" s="513"/>
      <c r="AG18" s="302" t="e">
        <f t="shared" si="9"/>
        <v>#DIV/0!</v>
      </c>
      <c r="AH18" s="303" t="e">
        <f>IF(AG18&gt;KKM!$G$10,"A",IF(AG18&gt;KKM!$H$10,"B",IF(AG18&gt;=KKM!$I$10,"C","D")))</f>
        <v>#DIV/0!</v>
      </c>
      <c r="AI18" s="304">
        <f t="shared" si="0"/>
        <v>0</v>
      </c>
      <c r="AJ18" s="309" t="str">
        <f>IF(AI18&gt;KKM!$G$10," sangat baik ",IF(AI18&gt;KKM!$H$10," baik ",IF(AI18&gt;=KKM!$I$10," cukup baik "," perlu bimbingan ")))</f>
        <v xml:space="preserve"> perlu bimbingan </v>
      </c>
      <c r="AK18" s="305">
        <f t="shared" si="1"/>
        <v>0</v>
      </c>
      <c r="AL18" s="309" t="str">
        <f>IF(AK18&gt;KKM!$G$10," sangat baik ",IF(AK18&gt;KKM!$H$10," baik ",IF(AK18&gt;=KKM!$I$10," cukup baik "," perlu bimbingan ")))</f>
        <v xml:space="preserve"> perlu bimbingan </v>
      </c>
      <c r="AM18" s="301" t="str">
        <f t="shared" si="10"/>
        <v xml:space="preserve"> </v>
      </c>
      <c r="AN18" s="218"/>
      <c r="AO18" s="219" t="e">
        <f t="shared" si="2"/>
        <v>#N/A</v>
      </c>
      <c r="AP18" s="219" t="e">
        <f t="shared" si="3"/>
        <v>#N/A</v>
      </c>
      <c r="AQ18" s="219" t="e">
        <f t="shared" si="11"/>
        <v>#N/A</v>
      </c>
      <c r="AR18" s="219" t="e">
        <f t="shared" si="12"/>
        <v>#N/A</v>
      </c>
      <c r="AS18" s="220" t="e">
        <f t="shared" si="13"/>
        <v>#N/A</v>
      </c>
      <c r="AT18" s="214" t="e">
        <f t="shared" si="4"/>
        <v>#N/A</v>
      </c>
      <c r="AU18" s="120"/>
      <c r="BG18" s="408" t="str">
        <f t="shared" si="14"/>
        <v/>
      </c>
    </row>
    <row r="19" spans="2:59" ht="55.5" customHeight="1">
      <c r="B19" s="109">
        <v>15</v>
      </c>
      <c r="C19" s="110">
        <f>SISWA!B20</f>
        <v>0</v>
      </c>
      <c r="D19" s="111" t="str">
        <f>SISWA!E20</f>
        <v>Anak 15</v>
      </c>
      <c r="E19" s="520"/>
      <c r="F19" s="520"/>
      <c r="G19" s="520"/>
      <c r="H19" s="520"/>
      <c r="I19" s="520"/>
      <c r="J19" s="520"/>
      <c r="K19" s="520"/>
      <c r="L19" s="520"/>
      <c r="M19" s="520"/>
      <c r="N19" s="520"/>
      <c r="O19" s="520"/>
      <c r="P19" s="520"/>
      <c r="Q19" s="533" t="str">
        <f t="shared" si="5"/>
        <v/>
      </c>
      <c r="R19" s="533" t="str">
        <f t="shared" si="6"/>
        <v/>
      </c>
      <c r="S19" s="533" t="str">
        <f t="shared" si="7"/>
        <v/>
      </c>
      <c r="T19" s="533" t="str">
        <f t="shared" si="8"/>
        <v/>
      </c>
      <c r="U19" s="533"/>
      <c r="V19" s="513"/>
      <c r="W19" s="513"/>
      <c r="X19" s="513"/>
      <c r="Y19" s="513"/>
      <c r="Z19" s="513"/>
      <c r="AA19" s="513"/>
      <c r="AB19" s="513"/>
      <c r="AC19" s="513"/>
      <c r="AD19" s="514"/>
      <c r="AE19" s="514"/>
      <c r="AF19" s="513"/>
      <c r="AG19" s="302" t="e">
        <f t="shared" si="9"/>
        <v>#DIV/0!</v>
      </c>
      <c r="AH19" s="303" t="e">
        <f>IF(AG19&gt;KKM!$G$10,"A",IF(AG19&gt;KKM!$H$10,"B",IF(AG19&gt;=KKM!$I$10,"C","D")))</f>
        <v>#DIV/0!</v>
      </c>
      <c r="AI19" s="304">
        <f t="shared" si="0"/>
        <v>0</v>
      </c>
      <c r="AJ19" s="309" t="str">
        <f>IF(AI19&gt;KKM!$G$10," sangat baik ",IF(AI19&gt;KKM!$H$10," baik ",IF(AI19&gt;=KKM!$I$10," cukup baik "," perlu bimbingan ")))</f>
        <v xml:space="preserve"> perlu bimbingan </v>
      </c>
      <c r="AK19" s="305">
        <f t="shared" si="1"/>
        <v>0</v>
      </c>
      <c r="AL19" s="309" t="str">
        <f>IF(AK19&gt;KKM!$G$10," sangat baik ",IF(AK19&gt;KKM!$H$10," baik ",IF(AK19&gt;=KKM!$I$10," cukup baik "," perlu bimbingan ")))</f>
        <v xml:space="preserve"> perlu bimbingan </v>
      </c>
      <c r="AM19" s="301" t="str">
        <f t="shared" si="10"/>
        <v xml:space="preserve"> </v>
      </c>
      <c r="AN19" s="218"/>
      <c r="AO19" s="219" t="e">
        <f t="shared" si="2"/>
        <v>#N/A</v>
      </c>
      <c r="AP19" s="219" t="e">
        <f t="shared" si="3"/>
        <v>#N/A</v>
      </c>
      <c r="AQ19" s="219" t="e">
        <f t="shared" si="11"/>
        <v>#N/A</v>
      </c>
      <c r="AR19" s="219" t="e">
        <f t="shared" si="12"/>
        <v>#N/A</v>
      </c>
      <c r="AS19" s="220" t="e">
        <f t="shared" si="13"/>
        <v>#N/A</v>
      </c>
      <c r="AT19" s="214" t="e">
        <f t="shared" si="4"/>
        <v>#N/A</v>
      </c>
      <c r="AU19" s="120"/>
      <c r="BG19" s="408" t="str">
        <f t="shared" si="14"/>
        <v/>
      </c>
    </row>
    <row r="20" spans="2:59" ht="55.5" customHeight="1">
      <c r="B20" s="109">
        <v>16</v>
      </c>
      <c r="C20" s="110">
        <f>SISWA!B21</f>
        <v>0</v>
      </c>
      <c r="D20" s="111" t="str">
        <f>SISWA!E21</f>
        <v>Anak 16</v>
      </c>
      <c r="E20" s="520"/>
      <c r="F20" s="520"/>
      <c r="G20" s="520"/>
      <c r="H20" s="520"/>
      <c r="I20" s="520"/>
      <c r="J20" s="520"/>
      <c r="K20" s="520"/>
      <c r="L20" s="520"/>
      <c r="M20" s="520"/>
      <c r="N20" s="520"/>
      <c r="O20" s="520"/>
      <c r="P20" s="520"/>
      <c r="Q20" s="533" t="str">
        <f t="shared" si="5"/>
        <v/>
      </c>
      <c r="R20" s="533" t="str">
        <f t="shared" si="6"/>
        <v/>
      </c>
      <c r="S20" s="533" t="str">
        <f t="shared" si="7"/>
        <v/>
      </c>
      <c r="T20" s="533" t="str">
        <f t="shared" si="8"/>
        <v/>
      </c>
      <c r="U20" s="533"/>
      <c r="V20" s="513"/>
      <c r="W20" s="513"/>
      <c r="X20" s="513"/>
      <c r="Y20" s="513"/>
      <c r="Z20" s="513"/>
      <c r="AA20" s="513"/>
      <c r="AB20" s="513"/>
      <c r="AC20" s="513"/>
      <c r="AD20" s="514"/>
      <c r="AE20" s="514"/>
      <c r="AF20" s="513"/>
      <c r="AG20" s="302" t="e">
        <f t="shared" si="9"/>
        <v>#DIV/0!</v>
      </c>
      <c r="AH20" s="303" t="e">
        <f>IF(AG20&gt;KKM!$G$10,"A",IF(AG20&gt;KKM!$H$10,"B",IF(AG20&gt;=KKM!$I$10,"C","D")))</f>
        <v>#DIV/0!</v>
      </c>
      <c r="AI20" s="304">
        <f t="shared" si="0"/>
        <v>0</v>
      </c>
      <c r="AJ20" s="309" t="str">
        <f>IF(AI20&gt;KKM!$G$10," sangat baik ",IF(AI20&gt;KKM!$H$10," baik ",IF(AI20&gt;=KKM!$I$10," cukup baik "," perlu bimbingan ")))</f>
        <v xml:space="preserve"> perlu bimbingan </v>
      </c>
      <c r="AK20" s="305">
        <f t="shared" si="1"/>
        <v>0</v>
      </c>
      <c r="AL20" s="309" t="str">
        <f>IF(AK20&gt;KKM!$G$10," sangat baik ",IF(AK20&gt;KKM!$H$10," baik ",IF(AK20&gt;=KKM!$I$10," cukup baik "," perlu bimbingan ")))</f>
        <v xml:space="preserve"> perlu bimbingan </v>
      </c>
      <c r="AM20" s="301" t="str">
        <f t="shared" si="10"/>
        <v xml:space="preserve"> </v>
      </c>
      <c r="AN20" s="218"/>
      <c r="AO20" s="219" t="e">
        <f t="shared" si="2"/>
        <v>#N/A</v>
      </c>
      <c r="AP20" s="219" t="e">
        <f t="shared" si="3"/>
        <v>#N/A</v>
      </c>
      <c r="AQ20" s="219" t="e">
        <f t="shared" si="11"/>
        <v>#N/A</v>
      </c>
      <c r="AR20" s="219" t="e">
        <f t="shared" si="12"/>
        <v>#N/A</v>
      </c>
      <c r="AS20" s="220" t="e">
        <f t="shared" si="13"/>
        <v>#N/A</v>
      </c>
      <c r="AT20" s="214" t="e">
        <f t="shared" si="4"/>
        <v>#N/A</v>
      </c>
      <c r="AU20" s="120"/>
      <c r="BG20" s="408" t="str">
        <f t="shared" si="14"/>
        <v/>
      </c>
    </row>
    <row r="21" spans="2:59" ht="55.5" customHeight="1">
      <c r="B21" s="109">
        <v>17</v>
      </c>
      <c r="C21" s="110">
        <f>SISWA!B22</f>
        <v>0</v>
      </c>
      <c r="D21" s="111" t="str">
        <f>SISWA!E22</f>
        <v>Anak 17</v>
      </c>
      <c r="E21" s="520"/>
      <c r="F21" s="520"/>
      <c r="G21" s="520"/>
      <c r="H21" s="520"/>
      <c r="I21" s="520"/>
      <c r="J21" s="520"/>
      <c r="K21" s="520"/>
      <c r="L21" s="520"/>
      <c r="M21" s="520"/>
      <c r="N21" s="520"/>
      <c r="O21" s="520"/>
      <c r="P21" s="520"/>
      <c r="Q21" s="533" t="str">
        <f t="shared" si="5"/>
        <v/>
      </c>
      <c r="R21" s="533" t="str">
        <f t="shared" si="6"/>
        <v/>
      </c>
      <c r="S21" s="533" t="str">
        <f t="shared" si="7"/>
        <v/>
      </c>
      <c r="T21" s="533" t="str">
        <f t="shared" si="8"/>
        <v/>
      </c>
      <c r="U21" s="533"/>
      <c r="V21" s="513"/>
      <c r="W21" s="513"/>
      <c r="X21" s="513"/>
      <c r="Y21" s="513"/>
      <c r="Z21" s="513"/>
      <c r="AA21" s="513"/>
      <c r="AB21" s="513"/>
      <c r="AC21" s="513"/>
      <c r="AD21" s="514"/>
      <c r="AE21" s="514"/>
      <c r="AF21" s="513"/>
      <c r="AG21" s="302" t="e">
        <f t="shared" si="9"/>
        <v>#DIV/0!</v>
      </c>
      <c r="AH21" s="303" t="e">
        <f>IF(AG21&gt;KKM!$G$10,"A",IF(AG21&gt;KKM!$H$10,"B",IF(AG21&gt;=KKM!$I$10,"C","D")))</f>
        <v>#DIV/0!</v>
      </c>
      <c r="AI21" s="304">
        <f t="shared" si="0"/>
        <v>0</v>
      </c>
      <c r="AJ21" s="309" t="str">
        <f>IF(AI21&gt;KKM!$G$10," sangat baik ",IF(AI21&gt;KKM!$H$10," baik ",IF(AI21&gt;=KKM!$I$10," cukup baik "," perlu bimbingan ")))</f>
        <v xml:space="preserve"> perlu bimbingan </v>
      </c>
      <c r="AK21" s="305">
        <f t="shared" si="1"/>
        <v>0</v>
      </c>
      <c r="AL21" s="309" t="str">
        <f>IF(AK21&gt;KKM!$G$10," sangat baik ",IF(AK21&gt;KKM!$H$10," baik ",IF(AK21&gt;=KKM!$I$10," cukup baik "," perlu bimbingan ")))</f>
        <v xml:space="preserve"> perlu bimbingan </v>
      </c>
      <c r="AM21" s="301" t="str">
        <f t="shared" si="10"/>
        <v xml:space="preserve"> </v>
      </c>
      <c r="AN21" s="218"/>
      <c r="AO21" s="219" t="e">
        <f t="shared" si="2"/>
        <v>#N/A</v>
      </c>
      <c r="AP21" s="219" t="e">
        <f t="shared" si="3"/>
        <v>#N/A</v>
      </c>
      <c r="AQ21" s="219" t="e">
        <f t="shared" si="11"/>
        <v>#N/A</v>
      </c>
      <c r="AR21" s="219" t="e">
        <f t="shared" si="12"/>
        <v>#N/A</v>
      </c>
      <c r="AS21" s="220" t="e">
        <f t="shared" si="13"/>
        <v>#N/A</v>
      </c>
      <c r="AT21" s="214" t="e">
        <f t="shared" si="4"/>
        <v>#N/A</v>
      </c>
      <c r="AU21" s="120"/>
      <c r="BG21" s="408" t="str">
        <f t="shared" si="14"/>
        <v/>
      </c>
    </row>
    <row r="22" spans="2:59" ht="55.5" customHeight="1">
      <c r="B22" s="109">
        <v>18</v>
      </c>
      <c r="C22" s="110">
        <f>SISWA!B23</f>
        <v>0</v>
      </c>
      <c r="D22" s="111" t="str">
        <f>SISWA!E23</f>
        <v>Anak 18</v>
      </c>
      <c r="E22" s="520"/>
      <c r="F22" s="520"/>
      <c r="G22" s="520"/>
      <c r="H22" s="520"/>
      <c r="I22" s="520"/>
      <c r="J22" s="520"/>
      <c r="K22" s="520"/>
      <c r="L22" s="520"/>
      <c r="M22" s="520"/>
      <c r="N22" s="520"/>
      <c r="O22" s="520"/>
      <c r="P22" s="520"/>
      <c r="Q22" s="533" t="str">
        <f t="shared" si="5"/>
        <v/>
      </c>
      <c r="R22" s="533" t="str">
        <f t="shared" si="6"/>
        <v/>
      </c>
      <c r="S22" s="533" t="str">
        <f t="shared" si="7"/>
        <v/>
      </c>
      <c r="T22" s="533" t="str">
        <f t="shared" si="8"/>
        <v/>
      </c>
      <c r="U22" s="533"/>
      <c r="V22" s="513"/>
      <c r="W22" s="513"/>
      <c r="X22" s="513"/>
      <c r="Y22" s="513"/>
      <c r="Z22" s="513"/>
      <c r="AA22" s="513"/>
      <c r="AB22" s="513"/>
      <c r="AC22" s="513"/>
      <c r="AD22" s="514"/>
      <c r="AE22" s="514"/>
      <c r="AF22" s="513"/>
      <c r="AG22" s="302" t="e">
        <f t="shared" si="9"/>
        <v>#DIV/0!</v>
      </c>
      <c r="AH22" s="303" t="e">
        <f>IF(AG22&gt;KKM!$G$10,"A",IF(AG22&gt;KKM!$H$10,"B",IF(AG22&gt;=KKM!$I$10,"C","D")))</f>
        <v>#DIV/0!</v>
      </c>
      <c r="AI22" s="304">
        <f t="shared" si="0"/>
        <v>0</v>
      </c>
      <c r="AJ22" s="309" t="str">
        <f>IF(AI22&gt;KKM!$G$10," sangat baik ",IF(AI22&gt;KKM!$H$10," baik ",IF(AI22&gt;=KKM!$I$10," cukup baik "," perlu bimbingan ")))</f>
        <v xml:space="preserve"> perlu bimbingan </v>
      </c>
      <c r="AK22" s="305">
        <f t="shared" si="1"/>
        <v>0</v>
      </c>
      <c r="AL22" s="309" t="str">
        <f>IF(AK22&gt;KKM!$G$10," sangat baik ",IF(AK22&gt;KKM!$H$10," baik ",IF(AK22&gt;=KKM!$I$10," cukup baik "," perlu bimbingan ")))</f>
        <v xml:space="preserve"> perlu bimbingan </v>
      </c>
      <c r="AM22" s="301" t="str">
        <f t="shared" si="10"/>
        <v xml:space="preserve"> </v>
      </c>
      <c r="AN22" s="218"/>
      <c r="AO22" s="219" t="e">
        <f t="shared" si="2"/>
        <v>#N/A</v>
      </c>
      <c r="AP22" s="219" t="e">
        <f t="shared" si="3"/>
        <v>#N/A</v>
      </c>
      <c r="AQ22" s="219" t="e">
        <f t="shared" si="11"/>
        <v>#N/A</v>
      </c>
      <c r="AR22" s="219" t="e">
        <f t="shared" si="12"/>
        <v>#N/A</v>
      </c>
      <c r="AS22" s="220" t="e">
        <f t="shared" si="13"/>
        <v>#N/A</v>
      </c>
      <c r="AT22" s="214" t="e">
        <f t="shared" si="4"/>
        <v>#N/A</v>
      </c>
      <c r="AU22" s="120"/>
      <c r="BG22" s="408" t="str">
        <f t="shared" si="14"/>
        <v/>
      </c>
    </row>
    <row r="23" spans="2:59" ht="55.5" customHeight="1">
      <c r="B23" s="109">
        <v>19</v>
      </c>
      <c r="C23" s="110">
        <f>SISWA!B24</f>
        <v>0</v>
      </c>
      <c r="D23" s="111" t="str">
        <f>SISWA!E24</f>
        <v>Anak 19</v>
      </c>
      <c r="E23" s="520"/>
      <c r="F23" s="520"/>
      <c r="G23" s="520"/>
      <c r="H23" s="520"/>
      <c r="I23" s="520"/>
      <c r="J23" s="520"/>
      <c r="K23" s="520"/>
      <c r="L23" s="520"/>
      <c r="M23" s="520"/>
      <c r="N23" s="520"/>
      <c r="O23" s="520"/>
      <c r="P23" s="520"/>
      <c r="Q23" s="533" t="str">
        <f t="shared" si="5"/>
        <v/>
      </c>
      <c r="R23" s="533" t="str">
        <f t="shared" si="6"/>
        <v/>
      </c>
      <c r="S23" s="533" t="str">
        <f t="shared" si="7"/>
        <v/>
      </c>
      <c r="T23" s="533" t="str">
        <f t="shared" si="8"/>
        <v/>
      </c>
      <c r="U23" s="533"/>
      <c r="V23" s="513"/>
      <c r="W23" s="513"/>
      <c r="X23" s="513"/>
      <c r="Y23" s="513"/>
      <c r="Z23" s="513"/>
      <c r="AA23" s="513"/>
      <c r="AB23" s="513"/>
      <c r="AC23" s="513"/>
      <c r="AD23" s="514"/>
      <c r="AE23" s="514"/>
      <c r="AF23" s="513"/>
      <c r="AG23" s="302" t="e">
        <f t="shared" si="9"/>
        <v>#DIV/0!</v>
      </c>
      <c r="AH23" s="303" t="e">
        <f>IF(AG23&gt;KKM!$G$10,"A",IF(AG23&gt;KKM!$H$10,"B",IF(AG23&gt;=KKM!$I$10,"C","D")))</f>
        <v>#DIV/0!</v>
      </c>
      <c r="AI23" s="304">
        <f t="shared" si="0"/>
        <v>0</v>
      </c>
      <c r="AJ23" s="309" t="str">
        <f>IF(AI23&gt;KKM!$G$10," sangat baik ",IF(AI23&gt;KKM!$H$10," baik ",IF(AI23&gt;=KKM!$I$10," cukup baik "," perlu bimbingan ")))</f>
        <v xml:space="preserve"> perlu bimbingan </v>
      </c>
      <c r="AK23" s="305">
        <f t="shared" si="1"/>
        <v>0</v>
      </c>
      <c r="AL23" s="309" t="str">
        <f>IF(AK23&gt;KKM!$G$10," sangat baik ",IF(AK23&gt;KKM!$H$10," baik ",IF(AK23&gt;=KKM!$I$10," cukup baik "," perlu bimbingan ")))</f>
        <v xml:space="preserve"> perlu bimbingan </v>
      </c>
      <c r="AM23" s="301" t="str">
        <f t="shared" si="10"/>
        <v xml:space="preserve"> </v>
      </c>
      <c r="AN23" s="218"/>
      <c r="AO23" s="219" t="e">
        <f t="shared" si="2"/>
        <v>#N/A</v>
      </c>
      <c r="AP23" s="219" t="e">
        <f t="shared" si="3"/>
        <v>#N/A</v>
      </c>
      <c r="AQ23" s="219" t="e">
        <f t="shared" si="11"/>
        <v>#N/A</v>
      </c>
      <c r="AR23" s="219" t="e">
        <f t="shared" si="12"/>
        <v>#N/A</v>
      </c>
      <c r="AS23" s="220" t="e">
        <f t="shared" si="13"/>
        <v>#N/A</v>
      </c>
      <c r="AT23" s="214" t="e">
        <f t="shared" si="4"/>
        <v>#N/A</v>
      </c>
      <c r="AU23" s="120"/>
      <c r="BG23" s="408" t="str">
        <f t="shared" si="14"/>
        <v/>
      </c>
    </row>
    <row r="24" spans="2:59" ht="55.5" customHeight="1">
      <c r="B24" s="109">
        <v>20</v>
      </c>
      <c r="C24" s="110">
        <f>SISWA!B25</f>
        <v>0</v>
      </c>
      <c r="D24" s="111" t="str">
        <f>SISWA!E25</f>
        <v>Anak 20</v>
      </c>
      <c r="E24" s="520"/>
      <c r="F24" s="520"/>
      <c r="G24" s="520"/>
      <c r="H24" s="520"/>
      <c r="I24" s="520"/>
      <c r="J24" s="520"/>
      <c r="K24" s="520"/>
      <c r="L24" s="520"/>
      <c r="M24" s="520"/>
      <c r="N24" s="520"/>
      <c r="O24" s="520"/>
      <c r="P24" s="520"/>
      <c r="Q24" s="533" t="str">
        <f t="shared" si="5"/>
        <v/>
      </c>
      <c r="R24" s="533" t="str">
        <f t="shared" si="6"/>
        <v/>
      </c>
      <c r="S24" s="533" t="str">
        <f t="shared" si="7"/>
        <v/>
      </c>
      <c r="T24" s="533" t="str">
        <f t="shared" si="8"/>
        <v/>
      </c>
      <c r="U24" s="533"/>
      <c r="V24" s="513"/>
      <c r="W24" s="513"/>
      <c r="X24" s="513"/>
      <c r="Y24" s="513"/>
      <c r="Z24" s="513"/>
      <c r="AA24" s="513"/>
      <c r="AB24" s="513"/>
      <c r="AC24" s="513"/>
      <c r="AD24" s="514"/>
      <c r="AE24" s="514"/>
      <c r="AF24" s="513"/>
      <c r="AG24" s="302" t="e">
        <f t="shared" si="9"/>
        <v>#DIV/0!</v>
      </c>
      <c r="AH24" s="303" t="e">
        <f>IF(AG24&gt;KKM!$G$10,"A",IF(AG24&gt;KKM!$H$10,"B",IF(AG24&gt;=KKM!$I$10,"C","D")))</f>
        <v>#DIV/0!</v>
      </c>
      <c r="AI24" s="304">
        <f t="shared" si="0"/>
        <v>0</v>
      </c>
      <c r="AJ24" s="309" t="str">
        <f>IF(AI24&gt;KKM!$G$10," sangat baik ",IF(AI24&gt;KKM!$H$10," baik ",IF(AI24&gt;=KKM!$I$10," cukup baik "," perlu bimbingan ")))</f>
        <v xml:space="preserve"> perlu bimbingan </v>
      </c>
      <c r="AK24" s="305">
        <f t="shared" si="1"/>
        <v>0</v>
      </c>
      <c r="AL24" s="309" t="str">
        <f>IF(AK24&gt;KKM!$G$10," sangat baik ",IF(AK24&gt;KKM!$H$10," baik ",IF(AK24&gt;=KKM!$I$10," cukup baik "," perlu bimbingan ")))</f>
        <v xml:space="preserve"> perlu bimbingan </v>
      </c>
      <c r="AM24" s="301" t="str">
        <f t="shared" si="10"/>
        <v xml:space="preserve"> </v>
      </c>
      <c r="AN24" s="218"/>
      <c r="AO24" s="219" t="e">
        <f t="shared" si="2"/>
        <v>#N/A</v>
      </c>
      <c r="AP24" s="219" t="e">
        <f t="shared" si="3"/>
        <v>#N/A</v>
      </c>
      <c r="AQ24" s="219" t="e">
        <f t="shared" si="11"/>
        <v>#N/A</v>
      </c>
      <c r="AR24" s="219" t="e">
        <f t="shared" si="12"/>
        <v>#N/A</v>
      </c>
      <c r="AS24" s="220" t="e">
        <f t="shared" si="13"/>
        <v>#N/A</v>
      </c>
      <c r="AT24" s="214" t="e">
        <f t="shared" si="4"/>
        <v>#N/A</v>
      </c>
      <c r="AU24" s="120"/>
      <c r="BG24" s="408" t="str">
        <f t="shared" si="14"/>
        <v/>
      </c>
    </row>
    <row r="25" spans="2:59" ht="55.5" customHeight="1">
      <c r="B25" s="109">
        <v>21</v>
      </c>
      <c r="C25" s="110">
        <f>SISWA!B26</f>
        <v>0</v>
      </c>
      <c r="D25" s="111" t="str">
        <f>SISWA!E26</f>
        <v>Anak 21</v>
      </c>
      <c r="E25" s="520"/>
      <c r="F25" s="520"/>
      <c r="G25" s="520"/>
      <c r="H25" s="520"/>
      <c r="I25" s="520"/>
      <c r="J25" s="520"/>
      <c r="K25" s="520"/>
      <c r="L25" s="520"/>
      <c r="M25" s="520"/>
      <c r="N25" s="520"/>
      <c r="O25" s="520"/>
      <c r="P25" s="520"/>
      <c r="Q25" s="533" t="str">
        <f t="shared" si="5"/>
        <v/>
      </c>
      <c r="R25" s="533" t="str">
        <f t="shared" si="6"/>
        <v/>
      </c>
      <c r="S25" s="533" t="str">
        <f t="shared" si="7"/>
        <v/>
      </c>
      <c r="T25" s="533" t="str">
        <f t="shared" si="8"/>
        <v/>
      </c>
      <c r="U25" s="533"/>
      <c r="V25" s="513"/>
      <c r="W25" s="513"/>
      <c r="X25" s="513"/>
      <c r="Y25" s="513"/>
      <c r="Z25" s="513"/>
      <c r="AA25" s="513"/>
      <c r="AB25" s="513"/>
      <c r="AC25" s="513"/>
      <c r="AD25" s="514"/>
      <c r="AE25" s="514"/>
      <c r="AF25" s="513"/>
      <c r="AG25" s="302" t="e">
        <f t="shared" si="9"/>
        <v>#DIV/0!</v>
      </c>
      <c r="AH25" s="303" t="e">
        <f>IF(AG25&gt;KKM!$G$10,"A",IF(AG25&gt;KKM!$H$10,"B",IF(AG25&gt;=KKM!$I$10,"C","D")))</f>
        <v>#DIV/0!</v>
      </c>
      <c r="AI25" s="304">
        <f t="shared" si="0"/>
        <v>0</v>
      </c>
      <c r="AJ25" s="309" t="str">
        <f>IF(AI25&gt;KKM!$G$10," sangat baik ",IF(AI25&gt;KKM!$H$10," baik ",IF(AI25&gt;=KKM!$I$10," cukup baik "," perlu bimbingan ")))</f>
        <v xml:space="preserve"> perlu bimbingan </v>
      </c>
      <c r="AK25" s="305">
        <f t="shared" si="1"/>
        <v>0</v>
      </c>
      <c r="AL25" s="309" t="str">
        <f>IF(AK25&gt;KKM!$G$10," sangat baik ",IF(AK25&gt;KKM!$H$10," baik ",IF(AK25&gt;=KKM!$I$10," cukup baik "," perlu bimbingan ")))</f>
        <v xml:space="preserve"> perlu bimbingan </v>
      </c>
      <c r="AM25" s="301" t="str">
        <f t="shared" si="10"/>
        <v xml:space="preserve"> </v>
      </c>
      <c r="AN25" s="218"/>
      <c r="AO25" s="219" t="e">
        <f t="shared" si="2"/>
        <v>#N/A</v>
      </c>
      <c r="AP25" s="219" t="e">
        <f t="shared" si="3"/>
        <v>#N/A</v>
      </c>
      <c r="AQ25" s="219" t="e">
        <f t="shared" si="11"/>
        <v>#N/A</v>
      </c>
      <c r="AR25" s="219" t="e">
        <f t="shared" si="12"/>
        <v>#N/A</v>
      </c>
      <c r="AS25" s="220" t="e">
        <f t="shared" si="13"/>
        <v>#N/A</v>
      </c>
      <c r="AT25" s="214" t="e">
        <f t="shared" si="4"/>
        <v>#N/A</v>
      </c>
      <c r="AU25" s="120"/>
      <c r="BG25" s="408" t="str">
        <f t="shared" si="14"/>
        <v/>
      </c>
    </row>
    <row r="26" spans="2:59" ht="55.5" customHeight="1">
      <c r="B26" s="109">
        <v>22</v>
      </c>
      <c r="C26" s="110">
        <f>SISWA!B27</f>
        <v>0</v>
      </c>
      <c r="D26" s="111" t="str">
        <f>SISWA!E27</f>
        <v>Anak 22</v>
      </c>
      <c r="E26" s="520"/>
      <c r="F26" s="520"/>
      <c r="G26" s="520"/>
      <c r="H26" s="520"/>
      <c r="I26" s="520"/>
      <c r="J26" s="520"/>
      <c r="K26" s="520"/>
      <c r="L26" s="520"/>
      <c r="M26" s="520"/>
      <c r="N26" s="520"/>
      <c r="O26" s="520"/>
      <c r="P26" s="520"/>
      <c r="Q26" s="533" t="str">
        <f t="shared" si="5"/>
        <v/>
      </c>
      <c r="R26" s="533" t="str">
        <f t="shared" si="6"/>
        <v/>
      </c>
      <c r="S26" s="533" t="str">
        <f t="shared" si="7"/>
        <v/>
      </c>
      <c r="T26" s="533" t="str">
        <f t="shared" si="8"/>
        <v/>
      </c>
      <c r="U26" s="533"/>
      <c r="V26" s="513"/>
      <c r="W26" s="513"/>
      <c r="X26" s="513"/>
      <c r="Y26" s="513"/>
      <c r="Z26" s="513"/>
      <c r="AA26" s="513"/>
      <c r="AB26" s="513"/>
      <c r="AC26" s="513"/>
      <c r="AD26" s="514"/>
      <c r="AE26" s="514"/>
      <c r="AF26" s="513"/>
      <c r="AG26" s="302" t="e">
        <f t="shared" si="9"/>
        <v>#DIV/0!</v>
      </c>
      <c r="AH26" s="303" t="e">
        <f>IF(AG26&gt;KKM!$G$10,"A",IF(AG26&gt;KKM!$H$10,"B",IF(AG26&gt;=KKM!$I$10,"C","D")))</f>
        <v>#DIV/0!</v>
      </c>
      <c r="AI26" s="304">
        <f t="shared" si="0"/>
        <v>0</v>
      </c>
      <c r="AJ26" s="309" t="str">
        <f>IF(AI26&gt;KKM!$G$10," sangat baik ",IF(AI26&gt;KKM!$H$10," baik ",IF(AI26&gt;=KKM!$I$10," cukup baik "," perlu bimbingan ")))</f>
        <v xml:space="preserve"> perlu bimbingan </v>
      </c>
      <c r="AK26" s="305">
        <f t="shared" si="1"/>
        <v>0</v>
      </c>
      <c r="AL26" s="309" t="str">
        <f>IF(AK26&gt;KKM!$G$10," sangat baik ",IF(AK26&gt;KKM!$H$10," baik ",IF(AK26&gt;=KKM!$I$10," cukup baik "," perlu bimbingan ")))</f>
        <v xml:space="preserve"> perlu bimbingan </v>
      </c>
      <c r="AM26" s="301" t="str">
        <f t="shared" si="10"/>
        <v xml:space="preserve"> </v>
      </c>
      <c r="AN26" s="218"/>
      <c r="AO26" s="219" t="e">
        <f t="shared" si="2"/>
        <v>#N/A</v>
      </c>
      <c r="AP26" s="219" t="e">
        <f t="shared" si="3"/>
        <v>#N/A</v>
      </c>
      <c r="AQ26" s="219" t="e">
        <f t="shared" si="11"/>
        <v>#N/A</v>
      </c>
      <c r="AR26" s="219" t="e">
        <f t="shared" si="12"/>
        <v>#N/A</v>
      </c>
      <c r="AS26" s="220" t="e">
        <f t="shared" si="13"/>
        <v>#N/A</v>
      </c>
      <c r="AT26" s="214" t="e">
        <f t="shared" si="4"/>
        <v>#N/A</v>
      </c>
      <c r="AU26" s="120"/>
      <c r="BG26" s="408" t="str">
        <f t="shared" si="14"/>
        <v/>
      </c>
    </row>
    <row r="27" spans="2:59" ht="55.5" customHeight="1">
      <c r="B27" s="109">
        <v>23</v>
      </c>
      <c r="C27" s="110">
        <f>SISWA!B28</f>
        <v>0</v>
      </c>
      <c r="D27" s="111" t="str">
        <f>SISWA!E28</f>
        <v>Anak 23</v>
      </c>
      <c r="E27" s="520"/>
      <c r="F27" s="520"/>
      <c r="G27" s="520"/>
      <c r="H27" s="520"/>
      <c r="I27" s="520"/>
      <c r="J27" s="520"/>
      <c r="K27" s="520"/>
      <c r="L27" s="520"/>
      <c r="M27" s="520"/>
      <c r="N27" s="520"/>
      <c r="O27" s="520"/>
      <c r="P27" s="520"/>
      <c r="Q27" s="533" t="str">
        <f t="shared" si="5"/>
        <v/>
      </c>
      <c r="R27" s="533" t="str">
        <f t="shared" si="6"/>
        <v/>
      </c>
      <c r="S27" s="533" t="str">
        <f t="shared" si="7"/>
        <v/>
      </c>
      <c r="T27" s="533" t="str">
        <f t="shared" si="8"/>
        <v/>
      </c>
      <c r="U27" s="533"/>
      <c r="V27" s="513"/>
      <c r="W27" s="513"/>
      <c r="X27" s="513"/>
      <c r="Y27" s="513"/>
      <c r="Z27" s="513"/>
      <c r="AA27" s="513"/>
      <c r="AB27" s="513"/>
      <c r="AC27" s="513"/>
      <c r="AD27" s="514"/>
      <c r="AE27" s="514"/>
      <c r="AF27" s="513"/>
      <c r="AG27" s="302" t="e">
        <f t="shared" si="9"/>
        <v>#DIV/0!</v>
      </c>
      <c r="AH27" s="303" t="e">
        <f>IF(AG27&gt;KKM!$G$10,"A",IF(AG27&gt;KKM!$H$10,"B",IF(AG27&gt;=KKM!$I$10,"C","D")))</f>
        <v>#DIV/0!</v>
      </c>
      <c r="AI27" s="304">
        <f t="shared" si="0"/>
        <v>0</v>
      </c>
      <c r="AJ27" s="309" t="str">
        <f>IF(AI27&gt;KKM!$G$10," sangat baik ",IF(AI27&gt;KKM!$H$10," baik ",IF(AI27&gt;=KKM!$I$10," cukup baik "," perlu bimbingan ")))</f>
        <v xml:space="preserve"> perlu bimbingan </v>
      </c>
      <c r="AK27" s="305">
        <f t="shared" si="1"/>
        <v>0</v>
      </c>
      <c r="AL27" s="309" t="str">
        <f>IF(AK27&gt;KKM!$G$10," sangat baik ",IF(AK27&gt;KKM!$H$10," baik ",IF(AK27&gt;=KKM!$I$10," cukup baik "," perlu bimbingan ")))</f>
        <v xml:space="preserve"> perlu bimbingan </v>
      </c>
      <c r="AM27" s="301" t="str">
        <f t="shared" si="10"/>
        <v xml:space="preserve"> </v>
      </c>
      <c r="AN27" s="218"/>
      <c r="AO27" s="219" t="e">
        <f t="shared" si="2"/>
        <v>#N/A</v>
      </c>
      <c r="AP27" s="219" t="e">
        <f t="shared" si="3"/>
        <v>#N/A</v>
      </c>
      <c r="AQ27" s="219" t="e">
        <f t="shared" si="11"/>
        <v>#N/A</v>
      </c>
      <c r="AR27" s="219" t="e">
        <f t="shared" si="12"/>
        <v>#N/A</v>
      </c>
      <c r="AS27" s="220" t="e">
        <f t="shared" si="13"/>
        <v>#N/A</v>
      </c>
      <c r="AT27" s="214" t="e">
        <f t="shared" si="4"/>
        <v>#N/A</v>
      </c>
      <c r="AU27" s="120"/>
      <c r="BG27" s="408" t="str">
        <f t="shared" si="14"/>
        <v/>
      </c>
    </row>
    <row r="28" spans="2:59" ht="55.5" customHeight="1">
      <c r="B28" s="109">
        <v>24</v>
      </c>
      <c r="C28" s="110">
        <f>SISWA!B29</f>
        <v>0</v>
      </c>
      <c r="D28" s="111" t="str">
        <f>SISWA!E29</f>
        <v>Anak 24</v>
      </c>
      <c r="E28" s="520"/>
      <c r="F28" s="520"/>
      <c r="G28" s="520"/>
      <c r="H28" s="520"/>
      <c r="I28" s="520"/>
      <c r="J28" s="520"/>
      <c r="K28" s="520"/>
      <c r="L28" s="520"/>
      <c r="M28" s="520"/>
      <c r="N28" s="520"/>
      <c r="O28" s="520"/>
      <c r="P28" s="520"/>
      <c r="Q28" s="533" t="str">
        <f t="shared" si="5"/>
        <v/>
      </c>
      <c r="R28" s="533" t="str">
        <f t="shared" si="6"/>
        <v/>
      </c>
      <c r="S28" s="533" t="str">
        <f t="shared" si="7"/>
        <v/>
      </c>
      <c r="T28" s="533" t="str">
        <f t="shared" si="8"/>
        <v/>
      </c>
      <c r="U28" s="533"/>
      <c r="V28" s="513"/>
      <c r="W28" s="513"/>
      <c r="X28" s="513"/>
      <c r="Y28" s="513"/>
      <c r="Z28" s="513"/>
      <c r="AA28" s="513"/>
      <c r="AB28" s="513"/>
      <c r="AC28" s="513"/>
      <c r="AD28" s="514"/>
      <c r="AE28" s="514"/>
      <c r="AF28" s="513"/>
      <c r="AG28" s="302" t="e">
        <f t="shared" si="9"/>
        <v>#DIV/0!</v>
      </c>
      <c r="AH28" s="303" t="e">
        <f>IF(AG28&gt;KKM!$G$10,"A",IF(AG28&gt;KKM!$H$10,"B",IF(AG28&gt;=KKM!$I$10,"C","D")))</f>
        <v>#DIV/0!</v>
      </c>
      <c r="AI28" s="304">
        <f t="shared" si="0"/>
        <v>0</v>
      </c>
      <c r="AJ28" s="309" t="str">
        <f>IF(AI28&gt;KKM!$G$10," sangat baik ",IF(AI28&gt;KKM!$H$10," baik ",IF(AI28&gt;=KKM!$I$10," cukup baik "," perlu bimbingan ")))</f>
        <v xml:space="preserve"> perlu bimbingan </v>
      </c>
      <c r="AK28" s="305">
        <f t="shared" si="1"/>
        <v>0</v>
      </c>
      <c r="AL28" s="309" t="str">
        <f>IF(AK28&gt;KKM!$G$10," sangat baik ",IF(AK28&gt;KKM!$H$10," baik ",IF(AK28&gt;=KKM!$I$10," cukup baik "," perlu bimbingan ")))</f>
        <v xml:space="preserve"> perlu bimbingan </v>
      </c>
      <c r="AM28" s="301" t="str">
        <f t="shared" si="10"/>
        <v xml:space="preserve"> </v>
      </c>
      <c r="AN28" s="218"/>
      <c r="AO28" s="219" t="e">
        <f t="shared" si="2"/>
        <v>#N/A</v>
      </c>
      <c r="AP28" s="219" t="e">
        <f t="shared" si="3"/>
        <v>#N/A</v>
      </c>
      <c r="AQ28" s="219" t="e">
        <f t="shared" si="11"/>
        <v>#N/A</v>
      </c>
      <c r="AR28" s="219" t="e">
        <f t="shared" si="12"/>
        <v>#N/A</v>
      </c>
      <c r="AS28" s="220" t="e">
        <f t="shared" si="13"/>
        <v>#N/A</v>
      </c>
      <c r="AT28" s="214" t="e">
        <f t="shared" si="4"/>
        <v>#N/A</v>
      </c>
      <c r="AU28" s="120"/>
      <c r="BG28" s="408" t="str">
        <f t="shared" si="14"/>
        <v/>
      </c>
    </row>
    <row r="29" spans="2:59" ht="55.5" customHeight="1">
      <c r="B29" s="109">
        <v>25</v>
      </c>
      <c r="C29" s="110">
        <f>SISWA!B30</f>
        <v>0</v>
      </c>
      <c r="D29" s="111" t="str">
        <f>SISWA!E30</f>
        <v>Anak 25</v>
      </c>
      <c r="E29" s="520"/>
      <c r="F29" s="520"/>
      <c r="G29" s="520"/>
      <c r="H29" s="520"/>
      <c r="I29" s="520"/>
      <c r="J29" s="520"/>
      <c r="K29" s="520"/>
      <c r="L29" s="520"/>
      <c r="M29" s="520"/>
      <c r="N29" s="520"/>
      <c r="O29" s="520"/>
      <c r="P29" s="520"/>
      <c r="Q29" s="533" t="str">
        <f t="shared" si="5"/>
        <v/>
      </c>
      <c r="R29" s="533" t="str">
        <f t="shared" si="6"/>
        <v/>
      </c>
      <c r="S29" s="533" t="str">
        <f t="shared" si="7"/>
        <v/>
      </c>
      <c r="T29" s="533" t="str">
        <f t="shared" si="8"/>
        <v/>
      </c>
      <c r="U29" s="533"/>
      <c r="V29" s="513"/>
      <c r="W29" s="513"/>
      <c r="X29" s="513"/>
      <c r="Y29" s="513"/>
      <c r="Z29" s="513"/>
      <c r="AA29" s="513"/>
      <c r="AB29" s="513"/>
      <c r="AC29" s="513"/>
      <c r="AD29" s="514"/>
      <c r="AE29" s="514"/>
      <c r="AF29" s="513"/>
      <c r="AG29" s="302" t="e">
        <f t="shared" si="9"/>
        <v>#DIV/0!</v>
      </c>
      <c r="AH29" s="303" t="e">
        <f>IF(AG29&gt;KKM!$G$10,"A",IF(AG29&gt;KKM!$H$10,"B",IF(AG29&gt;=KKM!$I$10,"C","D")))</f>
        <v>#DIV/0!</v>
      </c>
      <c r="AI29" s="304">
        <f t="shared" si="0"/>
        <v>0</v>
      </c>
      <c r="AJ29" s="309" t="str">
        <f>IF(AI29&gt;KKM!$G$10," sangat baik ",IF(AI29&gt;KKM!$H$10," baik ",IF(AI29&gt;=KKM!$I$10," cukup baik "," perlu bimbingan ")))</f>
        <v xml:space="preserve"> perlu bimbingan </v>
      </c>
      <c r="AK29" s="305">
        <f t="shared" si="1"/>
        <v>0</v>
      </c>
      <c r="AL29" s="309" t="str">
        <f>IF(AK29&gt;KKM!$G$10," sangat baik ",IF(AK29&gt;KKM!$H$10," baik ",IF(AK29&gt;=KKM!$I$10," cukup baik "," perlu bimbingan ")))</f>
        <v xml:space="preserve"> perlu bimbingan </v>
      </c>
      <c r="AM29" s="301" t="str">
        <f t="shared" si="10"/>
        <v xml:space="preserve"> </v>
      </c>
      <c r="AN29" s="218"/>
      <c r="AO29" s="219" t="e">
        <f t="shared" si="2"/>
        <v>#N/A</v>
      </c>
      <c r="AP29" s="219" t="e">
        <f t="shared" si="3"/>
        <v>#N/A</v>
      </c>
      <c r="AQ29" s="219" t="e">
        <f t="shared" si="11"/>
        <v>#N/A</v>
      </c>
      <c r="AR29" s="219" t="e">
        <f t="shared" si="12"/>
        <v>#N/A</v>
      </c>
      <c r="AS29" s="220" t="e">
        <f t="shared" si="13"/>
        <v>#N/A</v>
      </c>
      <c r="AT29" s="214" t="e">
        <f t="shared" si="4"/>
        <v>#N/A</v>
      </c>
      <c r="AU29" s="120"/>
      <c r="BG29" s="408" t="str">
        <f t="shared" si="14"/>
        <v/>
      </c>
    </row>
    <row r="30" spans="2:59" ht="55.5" customHeight="1">
      <c r="B30" s="109">
        <v>26</v>
      </c>
      <c r="C30" s="110">
        <f>SISWA!B31</f>
        <v>0</v>
      </c>
      <c r="D30" s="111" t="str">
        <f>SISWA!E31</f>
        <v>Anak 26</v>
      </c>
      <c r="E30" s="520"/>
      <c r="F30" s="520"/>
      <c r="G30" s="520"/>
      <c r="H30" s="520"/>
      <c r="I30" s="520"/>
      <c r="J30" s="520"/>
      <c r="K30" s="520"/>
      <c r="L30" s="520"/>
      <c r="M30" s="520"/>
      <c r="N30" s="520"/>
      <c r="O30" s="520"/>
      <c r="P30" s="520"/>
      <c r="Q30" s="533" t="str">
        <f t="shared" si="5"/>
        <v/>
      </c>
      <c r="R30" s="533" t="str">
        <f t="shared" si="6"/>
        <v/>
      </c>
      <c r="S30" s="533" t="str">
        <f t="shared" si="7"/>
        <v/>
      </c>
      <c r="T30" s="533" t="str">
        <f t="shared" si="8"/>
        <v/>
      </c>
      <c r="U30" s="533"/>
      <c r="V30" s="513"/>
      <c r="W30" s="513"/>
      <c r="X30" s="513"/>
      <c r="Y30" s="513"/>
      <c r="Z30" s="513"/>
      <c r="AA30" s="513"/>
      <c r="AB30" s="513"/>
      <c r="AC30" s="513"/>
      <c r="AD30" s="514"/>
      <c r="AE30" s="514"/>
      <c r="AF30" s="513"/>
      <c r="AG30" s="302" t="e">
        <f t="shared" si="9"/>
        <v>#DIV/0!</v>
      </c>
      <c r="AH30" s="303" t="e">
        <f>IF(AG30&gt;KKM!$G$10,"A",IF(AG30&gt;KKM!$H$10,"B",IF(AG30&gt;=KKM!$I$10,"C","D")))</f>
        <v>#DIV/0!</v>
      </c>
      <c r="AI30" s="304">
        <f t="shared" si="0"/>
        <v>0</v>
      </c>
      <c r="AJ30" s="309" t="str">
        <f>IF(AI30&gt;KKM!$G$10," sangat baik ",IF(AI30&gt;KKM!$H$10," baik ",IF(AI30&gt;=KKM!$I$10," cukup baik "," perlu bimbingan ")))</f>
        <v xml:space="preserve"> perlu bimbingan </v>
      </c>
      <c r="AK30" s="305">
        <f t="shared" si="1"/>
        <v>0</v>
      </c>
      <c r="AL30" s="309" t="str">
        <f>IF(AK30&gt;KKM!$G$10," sangat baik ",IF(AK30&gt;KKM!$H$10," baik ",IF(AK30&gt;=KKM!$I$10," cukup baik "," perlu bimbingan ")))</f>
        <v xml:space="preserve"> perlu bimbingan </v>
      </c>
      <c r="AM30" s="301" t="str">
        <f t="shared" si="10"/>
        <v xml:space="preserve"> </v>
      </c>
      <c r="AN30" s="218"/>
      <c r="AO30" s="219" t="e">
        <f t="shared" si="2"/>
        <v>#N/A</v>
      </c>
      <c r="AP30" s="219" t="e">
        <f t="shared" si="3"/>
        <v>#N/A</v>
      </c>
      <c r="AQ30" s="219" t="e">
        <f t="shared" si="11"/>
        <v>#N/A</v>
      </c>
      <c r="AR30" s="219" t="e">
        <f t="shared" si="12"/>
        <v>#N/A</v>
      </c>
      <c r="AS30" s="220" t="e">
        <f t="shared" si="13"/>
        <v>#N/A</v>
      </c>
      <c r="AT30" s="214" t="e">
        <f t="shared" si="4"/>
        <v>#N/A</v>
      </c>
      <c r="AU30" s="120"/>
      <c r="BG30" s="408" t="str">
        <f t="shared" si="14"/>
        <v/>
      </c>
    </row>
    <row r="31" spans="2:59" ht="55.5" customHeight="1">
      <c r="B31" s="109">
        <v>27</v>
      </c>
      <c r="C31" s="110">
        <f>SISWA!B32</f>
        <v>0</v>
      </c>
      <c r="D31" s="111" t="str">
        <f>SISWA!E32</f>
        <v>Anak 27</v>
      </c>
      <c r="E31" s="520"/>
      <c r="F31" s="520"/>
      <c r="G31" s="520"/>
      <c r="H31" s="520"/>
      <c r="I31" s="520"/>
      <c r="J31" s="520"/>
      <c r="K31" s="520"/>
      <c r="L31" s="520"/>
      <c r="M31" s="520"/>
      <c r="N31" s="520"/>
      <c r="O31" s="520"/>
      <c r="P31" s="520"/>
      <c r="Q31" s="533" t="str">
        <f t="shared" si="5"/>
        <v/>
      </c>
      <c r="R31" s="533" t="str">
        <f t="shared" si="6"/>
        <v/>
      </c>
      <c r="S31" s="533" t="str">
        <f t="shared" si="7"/>
        <v/>
      </c>
      <c r="T31" s="533" t="str">
        <f t="shared" si="8"/>
        <v/>
      </c>
      <c r="U31" s="533"/>
      <c r="V31" s="513"/>
      <c r="W31" s="513"/>
      <c r="X31" s="513"/>
      <c r="Y31" s="513"/>
      <c r="Z31" s="513"/>
      <c r="AA31" s="513"/>
      <c r="AB31" s="513"/>
      <c r="AC31" s="513"/>
      <c r="AD31" s="514"/>
      <c r="AE31" s="514"/>
      <c r="AF31" s="513"/>
      <c r="AG31" s="302" t="e">
        <f t="shared" si="9"/>
        <v>#DIV/0!</v>
      </c>
      <c r="AH31" s="303" t="e">
        <f>IF(AG31&gt;KKM!$G$10,"A",IF(AG31&gt;KKM!$H$10,"B",IF(AG31&gt;=KKM!$I$10,"C","D")))</f>
        <v>#DIV/0!</v>
      </c>
      <c r="AI31" s="304">
        <f t="shared" si="0"/>
        <v>0</v>
      </c>
      <c r="AJ31" s="309" t="str">
        <f>IF(AI31&gt;KKM!$G$10," sangat baik ",IF(AI31&gt;KKM!$H$10," baik ",IF(AI31&gt;=KKM!$I$10," cukup baik "," perlu bimbingan ")))</f>
        <v xml:space="preserve"> perlu bimbingan </v>
      </c>
      <c r="AK31" s="305">
        <f t="shared" si="1"/>
        <v>0</v>
      </c>
      <c r="AL31" s="309" t="str">
        <f>IF(AK31&gt;KKM!$G$10," sangat baik ",IF(AK31&gt;KKM!$H$10," baik ",IF(AK31&gt;=KKM!$I$10," cukup baik "," perlu bimbingan ")))</f>
        <v xml:space="preserve"> perlu bimbingan </v>
      </c>
      <c r="AM31" s="301" t="str">
        <f t="shared" si="10"/>
        <v xml:space="preserve"> </v>
      </c>
      <c r="AN31" s="218"/>
      <c r="AO31" s="219" t="e">
        <f t="shared" si="2"/>
        <v>#N/A</v>
      </c>
      <c r="AP31" s="219" t="e">
        <f t="shared" si="3"/>
        <v>#N/A</v>
      </c>
      <c r="AQ31" s="219" t="e">
        <f t="shared" si="11"/>
        <v>#N/A</v>
      </c>
      <c r="AR31" s="219" t="e">
        <f t="shared" si="12"/>
        <v>#N/A</v>
      </c>
      <c r="AS31" s="220" t="e">
        <f t="shared" si="13"/>
        <v>#N/A</v>
      </c>
      <c r="AT31" s="214" t="e">
        <f t="shared" si="4"/>
        <v>#N/A</v>
      </c>
      <c r="AU31" s="120"/>
      <c r="BG31" s="408" t="str">
        <f t="shared" si="14"/>
        <v/>
      </c>
    </row>
    <row r="32" spans="2:59" ht="55.5" customHeight="1">
      <c r="B32" s="109">
        <v>28</v>
      </c>
      <c r="C32" s="110">
        <f>SISWA!B33</f>
        <v>0</v>
      </c>
      <c r="D32" s="111" t="str">
        <f>SISWA!E33</f>
        <v>Anak 28</v>
      </c>
      <c r="E32" s="520"/>
      <c r="F32" s="520"/>
      <c r="G32" s="520"/>
      <c r="H32" s="520"/>
      <c r="I32" s="520"/>
      <c r="J32" s="520"/>
      <c r="K32" s="520"/>
      <c r="L32" s="520"/>
      <c r="M32" s="520"/>
      <c r="N32" s="520"/>
      <c r="O32" s="520"/>
      <c r="P32" s="520"/>
      <c r="Q32" s="533" t="str">
        <f t="shared" si="5"/>
        <v/>
      </c>
      <c r="R32" s="533" t="str">
        <f t="shared" si="6"/>
        <v/>
      </c>
      <c r="S32" s="533" t="str">
        <f t="shared" si="7"/>
        <v/>
      </c>
      <c r="T32" s="533" t="str">
        <f t="shared" si="8"/>
        <v/>
      </c>
      <c r="U32" s="533"/>
      <c r="V32" s="513"/>
      <c r="W32" s="513"/>
      <c r="X32" s="513"/>
      <c r="Y32" s="513"/>
      <c r="Z32" s="513"/>
      <c r="AA32" s="513"/>
      <c r="AB32" s="513"/>
      <c r="AC32" s="513"/>
      <c r="AD32" s="514"/>
      <c r="AE32" s="514"/>
      <c r="AF32" s="513"/>
      <c r="AG32" s="302" t="e">
        <f t="shared" si="9"/>
        <v>#DIV/0!</v>
      </c>
      <c r="AH32" s="303" t="e">
        <f>IF(AG32&gt;KKM!$G$10,"A",IF(AG32&gt;KKM!$H$10,"B",IF(AG32&gt;=KKM!$I$10,"C","D")))</f>
        <v>#DIV/0!</v>
      </c>
      <c r="AI32" s="304">
        <f t="shared" si="0"/>
        <v>0</v>
      </c>
      <c r="AJ32" s="309" t="str">
        <f>IF(AI32&gt;KKM!$G$10," sangat baik ",IF(AI32&gt;KKM!$H$10," baik ",IF(AI32&gt;=KKM!$I$10," cukup baik "," perlu bimbingan ")))</f>
        <v xml:space="preserve"> perlu bimbingan </v>
      </c>
      <c r="AK32" s="305">
        <f t="shared" si="1"/>
        <v>0</v>
      </c>
      <c r="AL32" s="309" t="str">
        <f>IF(AK32&gt;KKM!$G$10," sangat baik ",IF(AK32&gt;KKM!$H$10," baik ",IF(AK32&gt;=KKM!$I$10," cukup baik "," perlu bimbingan ")))</f>
        <v xml:space="preserve"> perlu bimbingan </v>
      </c>
      <c r="AM32" s="301" t="str">
        <f t="shared" si="10"/>
        <v xml:space="preserve"> </v>
      </c>
      <c r="AN32" s="218"/>
      <c r="AO32" s="219" t="e">
        <f t="shared" si="2"/>
        <v>#N/A</v>
      </c>
      <c r="AP32" s="219" t="e">
        <f t="shared" si="3"/>
        <v>#N/A</v>
      </c>
      <c r="AQ32" s="219" t="e">
        <f t="shared" si="11"/>
        <v>#N/A</v>
      </c>
      <c r="AR32" s="219" t="e">
        <f t="shared" si="12"/>
        <v>#N/A</v>
      </c>
      <c r="AS32" s="220" t="e">
        <f t="shared" si="13"/>
        <v>#N/A</v>
      </c>
      <c r="AT32" s="214" t="e">
        <f t="shared" si="4"/>
        <v>#N/A</v>
      </c>
      <c r="AU32" s="120"/>
      <c r="BG32" s="408" t="str">
        <f t="shared" si="14"/>
        <v/>
      </c>
    </row>
    <row r="33" spans="2:59" ht="55.5" customHeight="1">
      <c r="B33" s="109">
        <v>29</v>
      </c>
      <c r="C33" s="110">
        <f>SISWA!B34</f>
        <v>0</v>
      </c>
      <c r="D33" s="111" t="str">
        <f>SISWA!E34</f>
        <v>Anak 29</v>
      </c>
      <c r="E33" s="520"/>
      <c r="F33" s="520"/>
      <c r="G33" s="520"/>
      <c r="H33" s="520"/>
      <c r="I33" s="520"/>
      <c r="J33" s="520"/>
      <c r="K33" s="520"/>
      <c r="L33" s="520"/>
      <c r="M33" s="520"/>
      <c r="N33" s="520"/>
      <c r="O33" s="520"/>
      <c r="P33" s="520"/>
      <c r="Q33" s="533" t="str">
        <f t="shared" si="5"/>
        <v/>
      </c>
      <c r="R33" s="533" t="str">
        <f t="shared" si="6"/>
        <v/>
      </c>
      <c r="S33" s="533" t="str">
        <f t="shared" si="7"/>
        <v/>
      </c>
      <c r="T33" s="533" t="str">
        <f t="shared" si="8"/>
        <v/>
      </c>
      <c r="U33" s="533"/>
      <c r="V33" s="513"/>
      <c r="W33" s="513"/>
      <c r="X33" s="513"/>
      <c r="Y33" s="513"/>
      <c r="Z33" s="513"/>
      <c r="AA33" s="513"/>
      <c r="AB33" s="513"/>
      <c r="AC33" s="513"/>
      <c r="AD33" s="514"/>
      <c r="AE33" s="514"/>
      <c r="AF33" s="513"/>
      <c r="AG33" s="302" t="e">
        <f t="shared" si="9"/>
        <v>#DIV/0!</v>
      </c>
      <c r="AH33" s="303" t="e">
        <f>IF(AG33&gt;KKM!$G$10,"A",IF(AG33&gt;KKM!$H$10,"B",IF(AG33&gt;=KKM!$I$10,"C","D")))</f>
        <v>#DIV/0!</v>
      </c>
      <c r="AI33" s="304">
        <f t="shared" si="0"/>
        <v>0</v>
      </c>
      <c r="AJ33" s="309" t="str">
        <f>IF(AI33&gt;KKM!$G$10," sangat baik ",IF(AI33&gt;KKM!$H$10," baik ",IF(AI33&gt;=KKM!$I$10," cukup baik "," perlu bimbingan ")))</f>
        <v xml:space="preserve"> perlu bimbingan </v>
      </c>
      <c r="AK33" s="305">
        <f t="shared" si="1"/>
        <v>0</v>
      </c>
      <c r="AL33" s="309" t="str">
        <f>IF(AK33&gt;KKM!$G$10," sangat baik ",IF(AK33&gt;KKM!$H$10," baik ",IF(AK33&gt;=KKM!$I$10," cukup baik "," perlu bimbingan ")))</f>
        <v xml:space="preserve"> perlu bimbingan </v>
      </c>
      <c r="AM33" s="301" t="str">
        <f t="shared" si="10"/>
        <v xml:space="preserve"> </v>
      </c>
      <c r="AN33" s="218"/>
      <c r="AO33" s="219" t="e">
        <f t="shared" si="2"/>
        <v>#N/A</v>
      </c>
      <c r="AP33" s="219" t="e">
        <f t="shared" si="3"/>
        <v>#N/A</v>
      </c>
      <c r="AQ33" s="219" t="e">
        <f t="shared" si="11"/>
        <v>#N/A</v>
      </c>
      <c r="AR33" s="219" t="e">
        <f t="shared" si="12"/>
        <v>#N/A</v>
      </c>
      <c r="AS33" s="220" t="e">
        <f t="shared" si="13"/>
        <v>#N/A</v>
      </c>
      <c r="AT33" s="214" t="e">
        <f t="shared" si="4"/>
        <v>#N/A</v>
      </c>
      <c r="AU33" s="120"/>
      <c r="BG33" s="408" t="str">
        <f t="shared" si="14"/>
        <v/>
      </c>
    </row>
    <row r="34" spans="2:59" ht="55.5" customHeight="1">
      <c r="B34" s="109">
        <v>30</v>
      </c>
      <c r="C34" s="110">
        <f>SISWA!B35</f>
        <v>0</v>
      </c>
      <c r="D34" s="111" t="str">
        <f>SISWA!E35</f>
        <v>Anak 30</v>
      </c>
      <c r="E34" s="520"/>
      <c r="F34" s="520"/>
      <c r="G34" s="520"/>
      <c r="H34" s="520"/>
      <c r="I34" s="520"/>
      <c r="J34" s="520"/>
      <c r="K34" s="520"/>
      <c r="L34" s="520"/>
      <c r="M34" s="520"/>
      <c r="N34" s="520"/>
      <c r="O34" s="520"/>
      <c r="P34" s="520"/>
      <c r="Q34" s="533" t="str">
        <f t="shared" si="5"/>
        <v/>
      </c>
      <c r="R34" s="533" t="str">
        <f t="shared" si="6"/>
        <v/>
      </c>
      <c r="S34" s="533" t="str">
        <f t="shared" si="7"/>
        <v/>
      </c>
      <c r="T34" s="533" t="str">
        <f t="shared" si="8"/>
        <v/>
      </c>
      <c r="U34" s="533"/>
      <c r="V34" s="513"/>
      <c r="W34" s="513"/>
      <c r="X34" s="513"/>
      <c r="Y34" s="513"/>
      <c r="Z34" s="513"/>
      <c r="AA34" s="513"/>
      <c r="AB34" s="513"/>
      <c r="AC34" s="513"/>
      <c r="AD34" s="514"/>
      <c r="AE34" s="514"/>
      <c r="AF34" s="513"/>
      <c r="AG34" s="302" t="e">
        <f t="shared" si="9"/>
        <v>#DIV/0!</v>
      </c>
      <c r="AH34" s="303" t="e">
        <f>IF(AG34&gt;KKM!$G$10,"A",IF(AG34&gt;KKM!$H$10,"B",IF(AG34&gt;=KKM!$I$10,"C","D")))</f>
        <v>#DIV/0!</v>
      </c>
      <c r="AI34" s="304">
        <f t="shared" si="0"/>
        <v>0</v>
      </c>
      <c r="AJ34" s="309" t="str">
        <f>IF(AI34&gt;KKM!$G$10," sangat baik ",IF(AI34&gt;KKM!$H$10," baik ",IF(AI34&gt;=KKM!$I$10," cukup baik "," perlu bimbingan ")))</f>
        <v xml:space="preserve"> perlu bimbingan </v>
      </c>
      <c r="AK34" s="305">
        <f t="shared" si="1"/>
        <v>0</v>
      </c>
      <c r="AL34" s="309" t="str">
        <f>IF(AK34&gt;KKM!$G$10," sangat baik ",IF(AK34&gt;KKM!$H$10," baik ",IF(AK34&gt;=KKM!$I$10," cukup baik "," perlu bimbingan ")))</f>
        <v xml:space="preserve"> perlu bimbingan </v>
      </c>
      <c r="AM34" s="301" t="str">
        <f t="shared" si="10"/>
        <v xml:space="preserve"> </v>
      </c>
      <c r="AN34" s="218"/>
      <c r="AO34" s="219" t="e">
        <f t="shared" si="2"/>
        <v>#N/A</v>
      </c>
      <c r="AP34" s="219" t="e">
        <f t="shared" si="3"/>
        <v>#N/A</v>
      </c>
      <c r="AQ34" s="219" t="e">
        <f t="shared" si="11"/>
        <v>#N/A</v>
      </c>
      <c r="AR34" s="219" t="e">
        <f t="shared" si="12"/>
        <v>#N/A</v>
      </c>
      <c r="AS34" s="220" t="e">
        <f t="shared" si="13"/>
        <v>#N/A</v>
      </c>
      <c r="AT34" s="214" t="e">
        <f t="shared" si="4"/>
        <v>#N/A</v>
      </c>
      <c r="AU34" s="120"/>
      <c r="BG34" s="408" t="str">
        <f t="shared" si="14"/>
        <v/>
      </c>
    </row>
    <row r="35" spans="2:59" ht="55.5" customHeight="1">
      <c r="B35" s="109">
        <v>31</v>
      </c>
      <c r="C35" s="110">
        <f>SISWA!B36</f>
        <v>0</v>
      </c>
      <c r="D35" s="111" t="str">
        <f>SISWA!E36</f>
        <v>Anak 31</v>
      </c>
      <c r="E35" s="520"/>
      <c r="F35" s="520"/>
      <c r="G35" s="520"/>
      <c r="H35" s="520"/>
      <c r="I35" s="520"/>
      <c r="J35" s="520"/>
      <c r="K35" s="520"/>
      <c r="L35" s="520"/>
      <c r="M35" s="520"/>
      <c r="N35" s="520"/>
      <c r="O35" s="520"/>
      <c r="P35" s="520"/>
      <c r="Q35" s="533" t="str">
        <f t="shared" si="5"/>
        <v/>
      </c>
      <c r="R35" s="533" t="str">
        <f t="shared" si="6"/>
        <v/>
      </c>
      <c r="S35" s="533" t="str">
        <f t="shared" si="7"/>
        <v/>
      </c>
      <c r="T35" s="533" t="str">
        <f t="shared" si="8"/>
        <v/>
      </c>
      <c r="U35" s="533"/>
      <c r="V35" s="513"/>
      <c r="W35" s="513"/>
      <c r="X35" s="513"/>
      <c r="Y35" s="513"/>
      <c r="Z35" s="513"/>
      <c r="AA35" s="513"/>
      <c r="AB35" s="513"/>
      <c r="AC35" s="513"/>
      <c r="AD35" s="514"/>
      <c r="AE35" s="514"/>
      <c r="AF35" s="513"/>
      <c r="AG35" s="302" t="e">
        <f t="shared" si="9"/>
        <v>#DIV/0!</v>
      </c>
      <c r="AH35" s="303" t="e">
        <f>IF(AG35&gt;KKM!$G$10,"A",IF(AG35&gt;KKM!$H$10,"B",IF(AG35&gt;=KKM!$I$10,"C","D")))</f>
        <v>#DIV/0!</v>
      </c>
      <c r="AI35" s="304">
        <f t="shared" si="0"/>
        <v>0</v>
      </c>
      <c r="AJ35" s="309" t="str">
        <f>IF(AI35&gt;KKM!$G$10," sangat baik ",IF(AI35&gt;KKM!$H$10," baik ",IF(AI35&gt;=KKM!$I$10," cukup baik "," perlu bimbingan ")))</f>
        <v xml:space="preserve"> perlu bimbingan </v>
      </c>
      <c r="AK35" s="305">
        <f t="shared" si="1"/>
        <v>0</v>
      </c>
      <c r="AL35" s="309" t="str">
        <f>IF(AK35&gt;KKM!$G$10," sangat baik ",IF(AK35&gt;KKM!$H$10," baik ",IF(AK35&gt;=KKM!$I$10," cukup baik "," perlu bimbingan ")))</f>
        <v xml:space="preserve"> perlu bimbingan </v>
      </c>
      <c r="AM35" s="301" t="str">
        <f t="shared" si="10"/>
        <v xml:space="preserve"> </v>
      </c>
      <c r="AN35" s="218"/>
      <c r="AO35" s="219" t="e">
        <f t="shared" si="2"/>
        <v>#N/A</v>
      </c>
      <c r="AP35" s="219" t="e">
        <f t="shared" si="3"/>
        <v>#N/A</v>
      </c>
      <c r="AQ35" s="219" t="e">
        <f t="shared" si="11"/>
        <v>#N/A</v>
      </c>
      <c r="AR35" s="219" t="e">
        <f t="shared" si="12"/>
        <v>#N/A</v>
      </c>
      <c r="AS35" s="220" t="e">
        <f t="shared" si="13"/>
        <v>#N/A</v>
      </c>
      <c r="AT35" s="214" t="e">
        <f t="shared" si="4"/>
        <v>#N/A</v>
      </c>
      <c r="AU35" s="120"/>
      <c r="BG35" s="408" t="str">
        <f t="shared" si="14"/>
        <v/>
      </c>
    </row>
    <row r="36" spans="2:59" ht="55.5" customHeight="1">
      <c r="B36" s="109">
        <v>32</v>
      </c>
      <c r="C36" s="110">
        <f>SISWA!B37</f>
        <v>0</v>
      </c>
      <c r="D36" s="111" t="str">
        <f>SISWA!E37</f>
        <v>Anak 32</v>
      </c>
      <c r="E36" s="520"/>
      <c r="F36" s="520"/>
      <c r="G36" s="520"/>
      <c r="H36" s="520"/>
      <c r="I36" s="520"/>
      <c r="J36" s="520"/>
      <c r="K36" s="520"/>
      <c r="L36" s="520"/>
      <c r="M36" s="520"/>
      <c r="N36" s="520"/>
      <c r="O36" s="520"/>
      <c r="P36" s="520"/>
      <c r="Q36" s="533" t="str">
        <f t="shared" si="5"/>
        <v/>
      </c>
      <c r="R36" s="533" t="str">
        <f t="shared" si="6"/>
        <v/>
      </c>
      <c r="S36" s="533" t="str">
        <f t="shared" si="7"/>
        <v/>
      </c>
      <c r="T36" s="533" t="str">
        <f t="shared" si="8"/>
        <v/>
      </c>
      <c r="U36" s="533"/>
      <c r="V36" s="513"/>
      <c r="W36" s="513"/>
      <c r="X36" s="513"/>
      <c r="Y36" s="513"/>
      <c r="Z36" s="513"/>
      <c r="AA36" s="513"/>
      <c r="AB36" s="513"/>
      <c r="AC36" s="513"/>
      <c r="AD36" s="514"/>
      <c r="AE36" s="514"/>
      <c r="AF36" s="513"/>
      <c r="AG36" s="302" t="e">
        <f t="shared" si="9"/>
        <v>#DIV/0!</v>
      </c>
      <c r="AH36" s="303" t="e">
        <f>IF(AG36&gt;KKM!$G$10,"A",IF(AG36&gt;KKM!$H$10,"B",IF(AG36&gt;=KKM!$I$10,"C","D")))</f>
        <v>#DIV/0!</v>
      </c>
      <c r="AI36" s="304">
        <f t="shared" si="0"/>
        <v>0</v>
      </c>
      <c r="AJ36" s="309" t="str">
        <f>IF(AI36&gt;KKM!$G$10," sangat baik ",IF(AI36&gt;KKM!$H$10," baik ",IF(AI36&gt;=KKM!$I$10," cukup baik "," perlu bimbingan ")))</f>
        <v xml:space="preserve"> perlu bimbingan </v>
      </c>
      <c r="AK36" s="305">
        <f t="shared" si="1"/>
        <v>0</v>
      </c>
      <c r="AL36" s="309" t="str">
        <f>IF(AK36&gt;KKM!$G$10," sangat baik ",IF(AK36&gt;KKM!$H$10," baik ",IF(AK36&gt;=KKM!$I$10," cukup baik "," perlu bimbingan ")))</f>
        <v xml:space="preserve"> perlu bimbingan </v>
      </c>
      <c r="AM36" s="301" t="str">
        <f t="shared" si="10"/>
        <v xml:space="preserve"> </v>
      </c>
      <c r="AN36" s="218"/>
      <c r="AO36" s="219" t="e">
        <f t="shared" si="2"/>
        <v>#N/A</v>
      </c>
      <c r="AP36" s="219" t="e">
        <f t="shared" si="3"/>
        <v>#N/A</v>
      </c>
      <c r="AQ36" s="219" t="e">
        <f t="shared" si="11"/>
        <v>#N/A</v>
      </c>
      <c r="AR36" s="219" t="e">
        <f t="shared" si="12"/>
        <v>#N/A</v>
      </c>
      <c r="AS36" s="220" t="e">
        <f t="shared" si="13"/>
        <v>#N/A</v>
      </c>
      <c r="AT36" s="214" t="e">
        <f t="shared" si="4"/>
        <v>#N/A</v>
      </c>
      <c r="AU36" s="120"/>
      <c r="BG36" s="408" t="str">
        <f t="shared" si="14"/>
        <v/>
      </c>
    </row>
    <row r="37" spans="2:59" ht="55.5" customHeight="1">
      <c r="B37" s="109">
        <v>33</v>
      </c>
      <c r="C37" s="110">
        <f>SISWA!B38</f>
        <v>0</v>
      </c>
      <c r="D37" s="111" t="str">
        <f>SISWA!E38</f>
        <v>Anak 33</v>
      </c>
      <c r="E37" s="520"/>
      <c r="F37" s="520"/>
      <c r="G37" s="520"/>
      <c r="H37" s="520"/>
      <c r="I37" s="520"/>
      <c r="J37" s="520"/>
      <c r="K37" s="520"/>
      <c r="L37" s="520"/>
      <c r="M37" s="520"/>
      <c r="N37" s="520"/>
      <c r="O37" s="520"/>
      <c r="P37" s="520"/>
      <c r="Q37" s="533" t="str">
        <f t="shared" si="5"/>
        <v/>
      </c>
      <c r="R37" s="533" t="str">
        <f t="shared" si="6"/>
        <v/>
      </c>
      <c r="S37" s="533" t="str">
        <f t="shared" si="7"/>
        <v/>
      </c>
      <c r="T37" s="533" t="str">
        <f t="shared" si="8"/>
        <v/>
      </c>
      <c r="U37" s="533"/>
      <c r="V37" s="513"/>
      <c r="W37" s="513"/>
      <c r="X37" s="513"/>
      <c r="Y37" s="513"/>
      <c r="Z37" s="513"/>
      <c r="AA37" s="513"/>
      <c r="AB37" s="513"/>
      <c r="AC37" s="513"/>
      <c r="AD37" s="514"/>
      <c r="AE37" s="514"/>
      <c r="AF37" s="513"/>
      <c r="AG37" s="302" t="e">
        <f t="shared" si="9"/>
        <v>#DIV/0!</v>
      </c>
      <c r="AH37" s="303" t="e">
        <f>IF(AG37&gt;KKM!$G$10,"A",IF(AG37&gt;KKM!$H$10,"B",IF(AG37&gt;=KKM!$I$10,"C","D")))</f>
        <v>#DIV/0!</v>
      </c>
      <c r="AI37" s="304">
        <f t="shared" si="0"/>
        <v>0</v>
      </c>
      <c r="AJ37" s="309" t="str">
        <f>IF(AI37&gt;KKM!$G$10," sangat baik ",IF(AI37&gt;KKM!$H$10," baik ",IF(AI37&gt;=KKM!$I$10," cukup baik "," perlu bimbingan ")))</f>
        <v xml:space="preserve"> perlu bimbingan </v>
      </c>
      <c r="AK37" s="305">
        <f t="shared" si="1"/>
        <v>0</v>
      </c>
      <c r="AL37" s="309" t="str">
        <f>IF(AK37&gt;KKM!$G$10," sangat baik ",IF(AK37&gt;KKM!$H$10," baik ",IF(AK37&gt;=KKM!$I$10," cukup baik "," perlu bimbingan ")))</f>
        <v xml:space="preserve"> perlu bimbingan </v>
      </c>
      <c r="AM37" s="301" t="str">
        <f t="shared" si="10"/>
        <v xml:space="preserve"> </v>
      </c>
      <c r="AN37" s="218"/>
      <c r="AO37" s="219" t="e">
        <f t="shared" si="2"/>
        <v>#N/A</v>
      </c>
      <c r="AP37" s="219" t="e">
        <f t="shared" si="3"/>
        <v>#N/A</v>
      </c>
      <c r="AQ37" s="219" t="e">
        <f t="shared" si="11"/>
        <v>#N/A</v>
      </c>
      <c r="AR37" s="219" t="e">
        <f t="shared" si="12"/>
        <v>#N/A</v>
      </c>
      <c r="AS37" s="220" t="e">
        <f t="shared" si="13"/>
        <v>#N/A</v>
      </c>
      <c r="AT37" s="214" t="e">
        <f t="shared" ref="AT37:AT54" si="15">CONCATENATE(D37,AS37)</f>
        <v>#N/A</v>
      </c>
      <c r="AU37" s="120"/>
      <c r="BG37" s="408" t="str">
        <f t="shared" si="14"/>
        <v/>
      </c>
    </row>
    <row r="38" spans="2:59" ht="55.5" customHeight="1">
      <c r="B38" s="109">
        <v>34</v>
      </c>
      <c r="C38" s="110">
        <f>SISWA!B39</f>
        <v>0</v>
      </c>
      <c r="D38" s="111" t="str">
        <f>SISWA!E39</f>
        <v>Anak 34</v>
      </c>
      <c r="E38" s="520"/>
      <c r="F38" s="520"/>
      <c r="G38" s="520"/>
      <c r="H38" s="520"/>
      <c r="I38" s="520"/>
      <c r="J38" s="520"/>
      <c r="K38" s="520"/>
      <c r="L38" s="520"/>
      <c r="M38" s="520"/>
      <c r="N38" s="520"/>
      <c r="O38" s="520"/>
      <c r="P38" s="520"/>
      <c r="Q38" s="533" t="str">
        <f t="shared" si="5"/>
        <v/>
      </c>
      <c r="R38" s="533" t="str">
        <f t="shared" si="6"/>
        <v/>
      </c>
      <c r="S38" s="533" t="str">
        <f t="shared" si="7"/>
        <v/>
      </c>
      <c r="T38" s="533" t="str">
        <f t="shared" si="8"/>
        <v/>
      </c>
      <c r="U38" s="533"/>
      <c r="V38" s="513"/>
      <c r="W38" s="513"/>
      <c r="X38" s="513"/>
      <c r="Y38" s="513"/>
      <c r="Z38" s="513"/>
      <c r="AA38" s="513"/>
      <c r="AB38" s="513"/>
      <c r="AC38" s="513"/>
      <c r="AD38" s="514"/>
      <c r="AE38" s="514"/>
      <c r="AF38" s="513"/>
      <c r="AG38" s="302" t="e">
        <f t="shared" si="9"/>
        <v>#DIV/0!</v>
      </c>
      <c r="AH38" s="303" t="e">
        <f>IF(AG38&gt;KKM!$G$10,"A",IF(AG38&gt;KKM!$H$10,"B",IF(AG38&gt;=KKM!$I$10,"C","D")))</f>
        <v>#DIV/0!</v>
      </c>
      <c r="AI38" s="304">
        <f t="shared" si="0"/>
        <v>0</v>
      </c>
      <c r="AJ38" s="309" t="str">
        <f>IF(AI38&gt;KKM!$G$10," sangat baik ",IF(AI38&gt;KKM!$H$10," baik ",IF(AI38&gt;=KKM!$I$10," cukup baik "," perlu bimbingan ")))</f>
        <v xml:space="preserve"> perlu bimbingan </v>
      </c>
      <c r="AK38" s="305">
        <f t="shared" si="1"/>
        <v>0</v>
      </c>
      <c r="AL38" s="309" t="str">
        <f>IF(AK38&gt;KKM!$G$10," sangat baik ",IF(AK38&gt;KKM!$H$10," baik ",IF(AK38&gt;=KKM!$I$10," cukup baik "," perlu bimbingan ")))</f>
        <v xml:space="preserve"> perlu bimbingan </v>
      </c>
      <c r="AM38" s="301" t="str">
        <f t="shared" si="10"/>
        <v xml:space="preserve"> </v>
      </c>
      <c r="AN38" s="218"/>
      <c r="AO38" s="219" t="e">
        <f t="shared" si="2"/>
        <v>#N/A</v>
      </c>
      <c r="AP38" s="219" t="e">
        <f t="shared" si="3"/>
        <v>#N/A</v>
      </c>
      <c r="AQ38" s="219" t="e">
        <f t="shared" si="11"/>
        <v>#N/A</v>
      </c>
      <c r="AR38" s="219" t="e">
        <f t="shared" si="12"/>
        <v>#N/A</v>
      </c>
      <c r="AS38" s="220" t="e">
        <f t="shared" si="13"/>
        <v>#N/A</v>
      </c>
      <c r="AT38" s="214" t="e">
        <f t="shared" si="15"/>
        <v>#N/A</v>
      </c>
      <c r="AU38" s="120"/>
      <c r="BG38" s="408" t="str">
        <f t="shared" si="14"/>
        <v/>
      </c>
    </row>
    <row r="39" spans="2:59" ht="55.5" customHeight="1">
      <c r="B39" s="109">
        <v>35</v>
      </c>
      <c r="C39" s="110">
        <f>SISWA!B40</f>
        <v>0</v>
      </c>
      <c r="D39" s="111" t="str">
        <f>SISWA!E40</f>
        <v>Anak 35</v>
      </c>
      <c r="E39" s="520"/>
      <c r="F39" s="520"/>
      <c r="G39" s="520"/>
      <c r="H39" s="520"/>
      <c r="I39" s="520"/>
      <c r="J39" s="520"/>
      <c r="K39" s="520"/>
      <c r="L39" s="520"/>
      <c r="M39" s="520"/>
      <c r="N39" s="520"/>
      <c r="O39" s="520"/>
      <c r="P39" s="520"/>
      <c r="Q39" s="533" t="str">
        <f t="shared" si="5"/>
        <v/>
      </c>
      <c r="R39" s="533" t="str">
        <f t="shared" si="6"/>
        <v/>
      </c>
      <c r="S39" s="533" t="str">
        <f t="shared" si="7"/>
        <v/>
      </c>
      <c r="T39" s="533" t="str">
        <f t="shared" si="8"/>
        <v/>
      </c>
      <c r="U39" s="533"/>
      <c r="V39" s="513"/>
      <c r="W39" s="513"/>
      <c r="X39" s="513"/>
      <c r="Y39" s="513"/>
      <c r="Z39" s="513"/>
      <c r="AA39" s="513"/>
      <c r="AB39" s="513"/>
      <c r="AC39" s="513"/>
      <c r="AD39" s="514"/>
      <c r="AE39" s="514"/>
      <c r="AF39" s="513"/>
      <c r="AG39" s="302" t="e">
        <f t="shared" si="9"/>
        <v>#DIV/0!</v>
      </c>
      <c r="AH39" s="303" t="e">
        <f>IF(AG39&gt;KKM!$G$10,"A",IF(AG39&gt;KKM!$H$10,"B",IF(AG39&gt;=KKM!$I$10,"C","D")))</f>
        <v>#DIV/0!</v>
      </c>
      <c r="AI39" s="304">
        <f t="shared" si="0"/>
        <v>0</v>
      </c>
      <c r="AJ39" s="309" t="str">
        <f>IF(AI39&gt;KKM!$G$10," sangat baik ",IF(AI39&gt;KKM!$H$10," baik ",IF(AI39&gt;=KKM!$I$10," cukup baik "," perlu bimbingan ")))</f>
        <v xml:space="preserve"> perlu bimbingan </v>
      </c>
      <c r="AK39" s="305">
        <f t="shared" si="1"/>
        <v>0</v>
      </c>
      <c r="AL39" s="309" t="str">
        <f>IF(AK39&gt;KKM!$G$10," sangat baik ",IF(AK39&gt;KKM!$H$10," baik ",IF(AK39&gt;=KKM!$I$10," cukup baik "," perlu bimbingan ")))</f>
        <v xml:space="preserve"> perlu bimbingan </v>
      </c>
      <c r="AM39" s="301" t="str">
        <f t="shared" si="10"/>
        <v xml:space="preserve"> </v>
      </c>
      <c r="AN39" s="218"/>
      <c r="AO39" s="219" t="e">
        <f t="shared" si="2"/>
        <v>#N/A</v>
      </c>
      <c r="AP39" s="219" t="e">
        <f t="shared" si="3"/>
        <v>#N/A</v>
      </c>
      <c r="AQ39" s="219" t="e">
        <f t="shared" si="11"/>
        <v>#N/A</v>
      </c>
      <c r="AR39" s="219" t="e">
        <f t="shared" si="12"/>
        <v>#N/A</v>
      </c>
      <c r="AS39" s="220" t="e">
        <f t="shared" si="13"/>
        <v>#N/A</v>
      </c>
      <c r="AT39" s="214" t="e">
        <f t="shared" si="15"/>
        <v>#N/A</v>
      </c>
      <c r="AU39" s="120"/>
      <c r="BG39" s="408" t="str">
        <f t="shared" si="14"/>
        <v/>
      </c>
    </row>
    <row r="40" spans="2:59" ht="55.5" customHeight="1">
      <c r="B40" s="109">
        <v>36</v>
      </c>
      <c r="C40" s="110">
        <f>SISWA!B41</f>
        <v>0</v>
      </c>
      <c r="D40" s="111" t="str">
        <f>SISWA!E41</f>
        <v>Anak 36</v>
      </c>
      <c r="E40" s="520"/>
      <c r="F40" s="520"/>
      <c r="G40" s="520"/>
      <c r="H40" s="520"/>
      <c r="I40" s="520"/>
      <c r="J40" s="520"/>
      <c r="K40" s="520"/>
      <c r="L40" s="520"/>
      <c r="M40" s="520"/>
      <c r="N40" s="520"/>
      <c r="O40" s="520"/>
      <c r="P40" s="520"/>
      <c r="Q40" s="533" t="str">
        <f t="shared" si="5"/>
        <v/>
      </c>
      <c r="R40" s="533" t="str">
        <f t="shared" si="6"/>
        <v/>
      </c>
      <c r="S40" s="533" t="str">
        <f t="shared" si="7"/>
        <v/>
      </c>
      <c r="T40" s="533" t="str">
        <f t="shared" si="8"/>
        <v/>
      </c>
      <c r="U40" s="533"/>
      <c r="V40" s="513"/>
      <c r="W40" s="513"/>
      <c r="X40" s="513"/>
      <c r="Y40" s="513"/>
      <c r="Z40" s="513"/>
      <c r="AA40" s="513"/>
      <c r="AB40" s="513"/>
      <c r="AC40" s="513"/>
      <c r="AD40" s="514"/>
      <c r="AE40" s="514"/>
      <c r="AF40" s="513"/>
      <c r="AG40" s="302" t="e">
        <f t="shared" si="9"/>
        <v>#DIV/0!</v>
      </c>
      <c r="AH40" s="303" t="e">
        <f>IF(AG40&gt;KKM!$G$10,"A",IF(AG40&gt;KKM!$H$10,"B",IF(AG40&gt;=KKM!$I$10,"C","D")))</f>
        <v>#DIV/0!</v>
      </c>
      <c r="AI40" s="304">
        <f t="shared" si="0"/>
        <v>0</v>
      </c>
      <c r="AJ40" s="309" t="str">
        <f>IF(AI40&gt;KKM!$G$10," sangat baik ",IF(AI40&gt;KKM!$H$10," baik ",IF(AI40&gt;=KKM!$I$10," cukup baik "," perlu bimbingan ")))</f>
        <v xml:space="preserve"> perlu bimbingan </v>
      </c>
      <c r="AK40" s="305">
        <f t="shared" si="1"/>
        <v>0</v>
      </c>
      <c r="AL40" s="309" t="str">
        <f>IF(AK40&gt;KKM!$G$10," sangat baik ",IF(AK40&gt;KKM!$H$10," baik ",IF(AK40&gt;=KKM!$I$10," cukup baik "," perlu bimbingan ")))</f>
        <v xml:space="preserve"> perlu bimbingan </v>
      </c>
      <c r="AM40" s="301" t="str">
        <f t="shared" si="10"/>
        <v xml:space="preserve"> </v>
      </c>
      <c r="AN40" s="218"/>
      <c r="AO40" s="219" t="e">
        <f t="shared" si="2"/>
        <v>#N/A</v>
      </c>
      <c r="AP40" s="219" t="e">
        <f t="shared" si="3"/>
        <v>#N/A</v>
      </c>
      <c r="AQ40" s="219" t="e">
        <f t="shared" si="11"/>
        <v>#N/A</v>
      </c>
      <c r="AR40" s="219" t="e">
        <f t="shared" si="12"/>
        <v>#N/A</v>
      </c>
      <c r="AS40" s="220" t="e">
        <f t="shared" si="13"/>
        <v>#N/A</v>
      </c>
      <c r="AT40" s="214" t="e">
        <f t="shared" si="15"/>
        <v>#N/A</v>
      </c>
      <c r="AU40" s="120"/>
      <c r="BG40" s="408" t="str">
        <f t="shared" si="14"/>
        <v/>
      </c>
    </row>
    <row r="41" spans="2:59" ht="55.5" customHeight="1">
      <c r="B41" s="109">
        <v>37</v>
      </c>
      <c r="C41" s="110">
        <f>SISWA!B42</f>
        <v>0</v>
      </c>
      <c r="D41" s="111" t="str">
        <f>SISWA!E42</f>
        <v>Anak 37</v>
      </c>
      <c r="E41" s="520"/>
      <c r="F41" s="520"/>
      <c r="G41" s="520"/>
      <c r="H41" s="520"/>
      <c r="I41" s="520"/>
      <c r="J41" s="520"/>
      <c r="K41" s="520"/>
      <c r="L41" s="520"/>
      <c r="M41" s="520"/>
      <c r="N41" s="520"/>
      <c r="O41" s="520"/>
      <c r="P41" s="520"/>
      <c r="Q41" s="533" t="str">
        <f t="shared" si="5"/>
        <v/>
      </c>
      <c r="R41" s="533" t="str">
        <f t="shared" si="6"/>
        <v/>
      </c>
      <c r="S41" s="533" t="str">
        <f t="shared" si="7"/>
        <v/>
      </c>
      <c r="T41" s="533" t="str">
        <f t="shared" si="8"/>
        <v/>
      </c>
      <c r="U41" s="533"/>
      <c r="V41" s="513"/>
      <c r="W41" s="513"/>
      <c r="X41" s="513"/>
      <c r="Y41" s="513"/>
      <c r="Z41" s="513"/>
      <c r="AA41" s="513"/>
      <c r="AB41" s="513"/>
      <c r="AC41" s="513"/>
      <c r="AD41" s="514"/>
      <c r="AE41" s="514"/>
      <c r="AF41" s="513"/>
      <c r="AG41" s="302" t="e">
        <f t="shared" si="9"/>
        <v>#DIV/0!</v>
      </c>
      <c r="AH41" s="303" t="e">
        <f>IF(AG41&gt;KKM!$G$10,"A",IF(AG41&gt;KKM!$H$10,"B",IF(AG41&gt;=KKM!$I$10,"C","D")))</f>
        <v>#DIV/0!</v>
      </c>
      <c r="AI41" s="304">
        <f t="shared" si="0"/>
        <v>0</v>
      </c>
      <c r="AJ41" s="309" t="str">
        <f>IF(AI41&gt;KKM!$G$10," sangat baik ",IF(AI41&gt;KKM!$H$10," baik ",IF(AI41&gt;=KKM!$I$10," cukup baik "," perlu bimbingan ")))</f>
        <v xml:space="preserve"> perlu bimbingan </v>
      </c>
      <c r="AK41" s="305">
        <f t="shared" si="1"/>
        <v>0</v>
      </c>
      <c r="AL41" s="309" t="str">
        <f>IF(AK41&gt;KKM!$G$10," sangat baik ",IF(AK41&gt;KKM!$H$10," baik ",IF(AK41&gt;=KKM!$I$10," cukup baik "," perlu bimbingan ")))</f>
        <v xml:space="preserve"> perlu bimbingan </v>
      </c>
      <c r="AM41" s="301" t="str">
        <f t="shared" si="10"/>
        <v xml:space="preserve"> </v>
      </c>
      <c r="AN41" s="218"/>
      <c r="AO41" s="219" t="e">
        <f t="shared" si="2"/>
        <v>#N/A</v>
      </c>
      <c r="AP41" s="219" t="e">
        <f t="shared" si="3"/>
        <v>#N/A</v>
      </c>
      <c r="AQ41" s="219" t="e">
        <f t="shared" si="11"/>
        <v>#N/A</v>
      </c>
      <c r="AR41" s="219" t="e">
        <f t="shared" si="12"/>
        <v>#N/A</v>
      </c>
      <c r="AS41" s="220" t="e">
        <f t="shared" si="13"/>
        <v>#N/A</v>
      </c>
      <c r="AT41" s="214" t="e">
        <f t="shared" si="15"/>
        <v>#N/A</v>
      </c>
      <c r="AU41" s="120"/>
      <c r="BG41" s="408" t="str">
        <f t="shared" si="14"/>
        <v/>
      </c>
    </row>
    <row r="42" spans="2:59" ht="55.5" customHeight="1">
      <c r="B42" s="109">
        <v>38</v>
      </c>
      <c r="C42" s="110">
        <f>SISWA!B43</f>
        <v>0</v>
      </c>
      <c r="D42" s="111" t="str">
        <f>SISWA!E43</f>
        <v>Anak 38</v>
      </c>
      <c r="E42" s="520"/>
      <c r="F42" s="520"/>
      <c r="G42" s="520"/>
      <c r="H42" s="520"/>
      <c r="I42" s="520"/>
      <c r="J42" s="520"/>
      <c r="K42" s="520"/>
      <c r="L42" s="520"/>
      <c r="M42" s="520"/>
      <c r="N42" s="520"/>
      <c r="O42" s="520"/>
      <c r="P42" s="520"/>
      <c r="Q42" s="533" t="str">
        <f t="shared" si="5"/>
        <v/>
      </c>
      <c r="R42" s="533" t="str">
        <f t="shared" si="6"/>
        <v/>
      </c>
      <c r="S42" s="533" t="str">
        <f t="shared" si="7"/>
        <v/>
      </c>
      <c r="T42" s="533" t="str">
        <f t="shared" si="8"/>
        <v/>
      </c>
      <c r="U42" s="533"/>
      <c r="V42" s="513"/>
      <c r="W42" s="513"/>
      <c r="X42" s="513"/>
      <c r="Y42" s="513"/>
      <c r="Z42" s="513"/>
      <c r="AA42" s="513"/>
      <c r="AB42" s="513"/>
      <c r="AC42" s="513"/>
      <c r="AD42" s="514"/>
      <c r="AE42" s="514"/>
      <c r="AF42" s="513"/>
      <c r="AG42" s="302" t="e">
        <f t="shared" si="9"/>
        <v>#DIV/0!</v>
      </c>
      <c r="AH42" s="303" t="e">
        <f>IF(AG42&gt;KKM!$G$10,"A",IF(AG42&gt;KKM!$H$10,"B",IF(AG42&gt;=KKM!$I$10,"C","D")))</f>
        <v>#DIV/0!</v>
      </c>
      <c r="AI42" s="304">
        <f t="shared" si="0"/>
        <v>0</v>
      </c>
      <c r="AJ42" s="309" t="str">
        <f>IF(AI42&gt;KKM!$G$10," sangat baik ",IF(AI42&gt;KKM!$H$10," baik ",IF(AI42&gt;=KKM!$I$10," cukup baik "," perlu bimbingan ")))</f>
        <v xml:space="preserve"> perlu bimbingan </v>
      </c>
      <c r="AK42" s="305">
        <f t="shared" si="1"/>
        <v>0</v>
      </c>
      <c r="AL42" s="309" t="str">
        <f>IF(AK42&gt;KKM!$G$10," sangat baik ",IF(AK42&gt;KKM!$H$10," baik ",IF(AK42&gt;=KKM!$I$10," cukup baik "," perlu bimbingan ")))</f>
        <v xml:space="preserve"> perlu bimbingan </v>
      </c>
      <c r="AM42" s="301" t="str">
        <f t="shared" si="10"/>
        <v xml:space="preserve"> </v>
      </c>
      <c r="AN42" s="218"/>
      <c r="AO42" s="219" t="e">
        <f t="shared" si="2"/>
        <v>#N/A</v>
      </c>
      <c r="AP42" s="219" t="e">
        <f t="shared" si="3"/>
        <v>#N/A</v>
      </c>
      <c r="AQ42" s="219" t="e">
        <f t="shared" si="11"/>
        <v>#N/A</v>
      </c>
      <c r="AR42" s="219" t="e">
        <f t="shared" si="12"/>
        <v>#N/A</v>
      </c>
      <c r="AS42" s="220" t="e">
        <f t="shared" si="13"/>
        <v>#N/A</v>
      </c>
      <c r="AT42" s="214" t="e">
        <f t="shared" si="15"/>
        <v>#N/A</v>
      </c>
      <c r="AU42" s="120"/>
      <c r="BG42" s="408" t="str">
        <f t="shared" si="14"/>
        <v/>
      </c>
    </row>
    <row r="43" spans="2:59" ht="55.5" customHeight="1">
      <c r="B43" s="109">
        <v>39</v>
      </c>
      <c r="C43" s="110">
        <f>SISWA!B44</f>
        <v>0</v>
      </c>
      <c r="D43" s="111" t="str">
        <f>SISWA!E44</f>
        <v>Anak 39</v>
      </c>
      <c r="E43" s="520"/>
      <c r="F43" s="520"/>
      <c r="G43" s="520"/>
      <c r="H43" s="520"/>
      <c r="I43" s="520"/>
      <c r="J43" s="520"/>
      <c r="K43" s="520"/>
      <c r="L43" s="520"/>
      <c r="M43" s="520"/>
      <c r="N43" s="520"/>
      <c r="O43" s="520"/>
      <c r="P43" s="520"/>
      <c r="Q43" s="533" t="str">
        <f t="shared" si="5"/>
        <v/>
      </c>
      <c r="R43" s="533" t="str">
        <f t="shared" si="6"/>
        <v/>
      </c>
      <c r="S43" s="533" t="str">
        <f t="shared" si="7"/>
        <v/>
      </c>
      <c r="T43" s="533" t="str">
        <f t="shared" si="8"/>
        <v/>
      </c>
      <c r="U43" s="533"/>
      <c r="V43" s="513"/>
      <c r="W43" s="513"/>
      <c r="X43" s="513"/>
      <c r="Y43" s="513"/>
      <c r="Z43" s="513"/>
      <c r="AA43" s="513"/>
      <c r="AB43" s="513"/>
      <c r="AC43" s="513"/>
      <c r="AD43" s="514"/>
      <c r="AE43" s="514"/>
      <c r="AF43" s="513"/>
      <c r="AG43" s="302" t="e">
        <f t="shared" si="9"/>
        <v>#DIV/0!</v>
      </c>
      <c r="AH43" s="303" t="e">
        <f>IF(AG43&gt;KKM!$G$10,"A",IF(AG43&gt;KKM!$H$10,"B",IF(AG43&gt;=KKM!$I$10,"C","D")))</f>
        <v>#DIV/0!</v>
      </c>
      <c r="AI43" s="304">
        <f t="shared" si="0"/>
        <v>0</v>
      </c>
      <c r="AJ43" s="309" t="str">
        <f>IF(AI43&gt;KKM!$G$10," sangat baik ",IF(AI43&gt;KKM!$H$10," baik ",IF(AI43&gt;=KKM!$I$10," cukup baik "," perlu bimbingan ")))</f>
        <v xml:space="preserve"> perlu bimbingan </v>
      </c>
      <c r="AK43" s="305">
        <f t="shared" si="1"/>
        <v>0</v>
      </c>
      <c r="AL43" s="309" t="str">
        <f>IF(AK43&gt;KKM!$G$10," sangat baik ",IF(AK43&gt;KKM!$H$10," baik ",IF(AK43&gt;=KKM!$I$10," cukup baik "," perlu bimbingan ")))</f>
        <v xml:space="preserve"> perlu bimbingan </v>
      </c>
      <c r="AM43" s="301" t="str">
        <f t="shared" si="10"/>
        <v xml:space="preserve"> </v>
      </c>
      <c r="AN43" s="218"/>
      <c r="AO43" s="219" t="e">
        <f t="shared" si="2"/>
        <v>#N/A</v>
      </c>
      <c r="AP43" s="219" t="e">
        <f t="shared" si="3"/>
        <v>#N/A</v>
      </c>
      <c r="AQ43" s="219" t="e">
        <f t="shared" si="11"/>
        <v>#N/A</v>
      </c>
      <c r="AR43" s="219" t="e">
        <f t="shared" si="12"/>
        <v>#N/A</v>
      </c>
      <c r="AS43" s="220" t="e">
        <f t="shared" si="13"/>
        <v>#N/A</v>
      </c>
      <c r="AT43" s="214" t="e">
        <f t="shared" si="15"/>
        <v>#N/A</v>
      </c>
      <c r="AU43" s="120"/>
      <c r="BG43" s="408" t="str">
        <f t="shared" si="14"/>
        <v/>
      </c>
    </row>
    <row r="44" spans="2:59" ht="55.5" customHeight="1">
      <c r="B44" s="109">
        <v>40</v>
      </c>
      <c r="C44" s="110">
        <f>SISWA!B45</f>
        <v>0</v>
      </c>
      <c r="D44" s="111" t="str">
        <f>SISWA!E45</f>
        <v>Anak 40</v>
      </c>
      <c r="E44" s="520"/>
      <c r="F44" s="520"/>
      <c r="G44" s="520"/>
      <c r="H44" s="520"/>
      <c r="I44" s="520"/>
      <c r="J44" s="520"/>
      <c r="K44" s="520"/>
      <c r="L44" s="520"/>
      <c r="M44" s="520"/>
      <c r="N44" s="520"/>
      <c r="O44" s="520"/>
      <c r="P44" s="520"/>
      <c r="Q44" s="533" t="str">
        <f t="shared" si="5"/>
        <v/>
      </c>
      <c r="R44" s="533" t="str">
        <f t="shared" si="6"/>
        <v/>
      </c>
      <c r="S44" s="533" t="str">
        <f t="shared" si="7"/>
        <v/>
      </c>
      <c r="T44" s="533" t="str">
        <f t="shared" si="8"/>
        <v/>
      </c>
      <c r="U44" s="533"/>
      <c r="V44" s="513"/>
      <c r="W44" s="513"/>
      <c r="X44" s="513"/>
      <c r="Y44" s="513"/>
      <c r="Z44" s="513"/>
      <c r="AA44" s="513"/>
      <c r="AB44" s="513"/>
      <c r="AC44" s="513"/>
      <c r="AD44" s="514"/>
      <c r="AE44" s="514"/>
      <c r="AF44" s="513"/>
      <c r="AG44" s="302" t="e">
        <f t="shared" si="9"/>
        <v>#DIV/0!</v>
      </c>
      <c r="AH44" s="303" t="e">
        <f>IF(AG44&gt;KKM!$G$10,"A",IF(AG44&gt;KKM!$H$10,"B",IF(AG44&gt;=KKM!$I$10,"C","D")))</f>
        <v>#DIV/0!</v>
      </c>
      <c r="AI44" s="304">
        <f t="shared" si="0"/>
        <v>0</v>
      </c>
      <c r="AJ44" s="309" t="str">
        <f>IF(AI44&gt;KKM!$G$10," sangat baik ",IF(AI44&gt;KKM!$H$10," baik ",IF(AI44&gt;=KKM!$I$10," cukup baik "," perlu bimbingan ")))</f>
        <v xml:space="preserve"> perlu bimbingan </v>
      </c>
      <c r="AK44" s="305">
        <f t="shared" si="1"/>
        <v>0</v>
      </c>
      <c r="AL44" s="309" t="str">
        <f>IF(AK44&gt;KKM!$G$10," sangat baik ",IF(AK44&gt;KKM!$H$10," baik ",IF(AK44&gt;=KKM!$I$10," cukup baik "," perlu bimbingan ")))</f>
        <v xml:space="preserve"> perlu bimbingan </v>
      </c>
      <c r="AM44" s="301" t="str">
        <f t="shared" si="10"/>
        <v xml:space="preserve"> </v>
      </c>
      <c r="AN44" s="218"/>
      <c r="AO44" s="219" t="e">
        <f t="shared" si="2"/>
        <v>#N/A</v>
      </c>
      <c r="AP44" s="219" t="e">
        <f t="shared" si="3"/>
        <v>#N/A</v>
      </c>
      <c r="AQ44" s="219" t="e">
        <f t="shared" si="11"/>
        <v>#N/A</v>
      </c>
      <c r="AR44" s="219" t="e">
        <f t="shared" si="12"/>
        <v>#N/A</v>
      </c>
      <c r="AS44" s="220" t="e">
        <f t="shared" si="13"/>
        <v>#N/A</v>
      </c>
      <c r="AT44" s="214" t="e">
        <f t="shared" si="15"/>
        <v>#N/A</v>
      </c>
      <c r="AU44" s="120"/>
      <c r="BG44" s="408" t="str">
        <f t="shared" si="14"/>
        <v/>
      </c>
    </row>
    <row r="45" spans="2:59" ht="55.5" customHeight="1">
      <c r="B45" s="109">
        <v>41</v>
      </c>
      <c r="C45" s="110">
        <f>SISWA!B46</f>
        <v>0</v>
      </c>
      <c r="D45" s="111" t="str">
        <f>SISWA!E46</f>
        <v>Anak 41</v>
      </c>
      <c r="E45" s="520"/>
      <c r="F45" s="520"/>
      <c r="G45" s="520"/>
      <c r="H45" s="520"/>
      <c r="I45" s="520"/>
      <c r="J45" s="520"/>
      <c r="K45" s="520"/>
      <c r="L45" s="520"/>
      <c r="M45" s="520"/>
      <c r="N45" s="520"/>
      <c r="O45" s="520"/>
      <c r="P45" s="520"/>
      <c r="Q45" s="533" t="str">
        <f t="shared" si="5"/>
        <v/>
      </c>
      <c r="R45" s="533" t="str">
        <f t="shared" si="6"/>
        <v/>
      </c>
      <c r="S45" s="533" t="str">
        <f t="shared" si="7"/>
        <v/>
      </c>
      <c r="T45" s="533" t="str">
        <f t="shared" si="8"/>
        <v/>
      </c>
      <c r="U45" s="533"/>
      <c r="V45" s="513"/>
      <c r="W45" s="513"/>
      <c r="X45" s="513"/>
      <c r="Y45" s="513"/>
      <c r="Z45" s="513"/>
      <c r="AA45" s="513"/>
      <c r="AB45" s="513"/>
      <c r="AC45" s="513"/>
      <c r="AD45" s="514"/>
      <c r="AE45" s="514"/>
      <c r="AF45" s="513"/>
      <c r="AG45" s="302" t="e">
        <f t="shared" si="9"/>
        <v>#DIV/0!</v>
      </c>
      <c r="AH45" s="303" t="e">
        <f>IF(AG45&gt;KKM!$G$10,"A",IF(AG45&gt;KKM!$H$10,"B",IF(AG45&gt;=KKM!$I$10,"C","D")))</f>
        <v>#DIV/0!</v>
      </c>
      <c r="AI45" s="304">
        <f t="shared" si="0"/>
        <v>0</v>
      </c>
      <c r="AJ45" s="309" t="str">
        <f>IF(AI45&gt;KKM!$G$10," sangat baik ",IF(AI45&gt;KKM!$H$10," baik ",IF(AI45&gt;=KKM!$I$10," cukup baik "," perlu bimbingan ")))</f>
        <v xml:space="preserve"> perlu bimbingan </v>
      </c>
      <c r="AK45" s="305">
        <f t="shared" si="1"/>
        <v>0</v>
      </c>
      <c r="AL45" s="309" t="str">
        <f>IF(AK45&gt;KKM!$G$10," sangat baik ",IF(AK45&gt;KKM!$H$10," baik ",IF(AK45&gt;=KKM!$I$10," cukup baik "," perlu bimbingan ")))</f>
        <v xml:space="preserve"> perlu bimbingan </v>
      </c>
      <c r="AM45" s="301" t="str">
        <f t="shared" si="10"/>
        <v xml:space="preserve"> </v>
      </c>
      <c r="AN45" s="218"/>
      <c r="AO45" s="219" t="e">
        <f t="shared" si="2"/>
        <v>#N/A</v>
      </c>
      <c r="AP45" s="219" t="e">
        <f t="shared" si="3"/>
        <v>#N/A</v>
      </c>
      <c r="AQ45" s="219" t="e">
        <f t="shared" si="11"/>
        <v>#N/A</v>
      </c>
      <c r="AR45" s="219" t="e">
        <f t="shared" si="12"/>
        <v>#N/A</v>
      </c>
      <c r="AS45" s="220" t="e">
        <f t="shared" si="13"/>
        <v>#N/A</v>
      </c>
      <c r="AT45" s="214" t="e">
        <f t="shared" si="15"/>
        <v>#N/A</v>
      </c>
      <c r="AU45" s="120"/>
      <c r="BG45" s="408" t="str">
        <f t="shared" si="14"/>
        <v/>
      </c>
    </row>
    <row r="46" spans="2:59" ht="55.5" customHeight="1">
      <c r="B46" s="109">
        <v>42</v>
      </c>
      <c r="C46" s="110">
        <f>SISWA!B47</f>
        <v>0</v>
      </c>
      <c r="D46" s="111" t="str">
        <f>SISWA!E47</f>
        <v>Anak 42</v>
      </c>
      <c r="E46" s="520"/>
      <c r="F46" s="520"/>
      <c r="G46" s="520"/>
      <c r="H46" s="520"/>
      <c r="I46" s="520"/>
      <c r="J46" s="520"/>
      <c r="K46" s="520"/>
      <c r="L46" s="520"/>
      <c r="M46" s="520"/>
      <c r="N46" s="520"/>
      <c r="O46" s="520"/>
      <c r="P46" s="520"/>
      <c r="Q46" s="533" t="str">
        <f t="shared" si="5"/>
        <v/>
      </c>
      <c r="R46" s="533" t="str">
        <f t="shared" si="6"/>
        <v/>
      </c>
      <c r="S46" s="533" t="str">
        <f t="shared" si="7"/>
        <v/>
      </c>
      <c r="T46" s="533" t="str">
        <f t="shared" si="8"/>
        <v/>
      </c>
      <c r="U46" s="533"/>
      <c r="V46" s="513"/>
      <c r="W46" s="513"/>
      <c r="X46" s="513"/>
      <c r="Y46" s="513"/>
      <c r="Z46" s="513"/>
      <c r="AA46" s="513"/>
      <c r="AB46" s="513"/>
      <c r="AC46" s="513"/>
      <c r="AD46" s="514"/>
      <c r="AE46" s="514"/>
      <c r="AF46" s="513"/>
      <c r="AG46" s="302" t="e">
        <f t="shared" si="9"/>
        <v>#DIV/0!</v>
      </c>
      <c r="AH46" s="303" t="e">
        <f>IF(AG46&gt;KKM!$G$10,"A",IF(AG46&gt;KKM!$H$10,"B",IF(AG46&gt;=KKM!$I$10,"C","D")))</f>
        <v>#DIV/0!</v>
      </c>
      <c r="AI46" s="304">
        <f t="shared" si="0"/>
        <v>0</v>
      </c>
      <c r="AJ46" s="309" t="str">
        <f>IF(AI46&gt;KKM!$G$10," sangat baik ",IF(AI46&gt;KKM!$H$10," baik ",IF(AI46&gt;=KKM!$I$10," cukup baik "," perlu bimbingan ")))</f>
        <v xml:space="preserve"> perlu bimbingan </v>
      </c>
      <c r="AK46" s="305">
        <f t="shared" si="1"/>
        <v>0</v>
      </c>
      <c r="AL46" s="309" t="str">
        <f>IF(AK46&gt;KKM!$G$10," sangat baik ",IF(AK46&gt;KKM!$H$10," baik ",IF(AK46&gt;=KKM!$I$10," cukup baik "," perlu bimbingan ")))</f>
        <v xml:space="preserve"> perlu bimbingan </v>
      </c>
      <c r="AM46" s="301" t="str">
        <f t="shared" si="10"/>
        <v xml:space="preserve"> </v>
      </c>
      <c r="AN46" s="218"/>
      <c r="AO46" s="219" t="e">
        <f t="shared" si="2"/>
        <v>#N/A</v>
      </c>
      <c r="AP46" s="219" t="e">
        <f t="shared" si="3"/>
        <v>#N/A</v>
      </c>
      <c r="AQ46" s="219" t="e">
        <f t="shared" si="11"/>
        <v>#N/A</v>
      </c>
      <c r="AR46" s="219" t="e">
        <f t="shared" si="12"/>
        <v>#N/A</v>
      </c>
      <c r="AS46" s="220" t="e">
        <f t="shared" si="13"/>
        <v>#N/A</v>
      </c>
      <c r="AT46" s="214" t="e">
        <f t="shared" si="15"/>
        <v>#N/A</v>
      </c>
      <c r="AU46" s="120"/>
      <c r="BG46" s="408" t="str">
        <f t="shared" si="14"/>
        <v/>
      </c>
    </row>
    <row r="47" spans="2:59" ht="55.5" customHeight="1">
      <c r="B47" s="109">
        <v>43</v>
      </c>
      <c r="C47" s="110">
        <f>SISWA!B48</f>
        <v>0</v>
      </c>
      <c r="D47" s="111" t="str">
        <f>SISWA!E48</f>
        <v>Anak 43</v>
      </c>
      <c r="E47" s="520"/>
      <c r="F47" s="520"/>
      <c r="G47" s="520"/>
      <c r="H47" s="520"/>
      <c r="I47" s="520"/>
      <c r="J47" s="520"/>
      <c r="K47" s="520"/>
      <c r="L47" s="520"/>
      <c r="M47" s="520"/>
      <c r="N47" s="520"/>
      <c r="O47" s="520"/>
      <c r="P47" s="520"/>
      <c r="Q47" s="533" t="str">
        <f t="shared" si="5"/>
        <v/>
      </c>
      <c r="R47" s="533" t="str">
        <f t="shared" si="6"/>
        <v/>
      </c>
      <c r="S47" s="533" t="str">
        <f t="shared" si="7"/>
        <v/>
      </c>
      <c r="T47" s="533" t="str">
        <f t="shared" si="8"/>
        <v/>
      </c>
      <c r="U47" s="533"/>
      <c r="V47" s="513"/>
      <c r="W47" s="513"/>
      <c r="X47" s="513"/>
      <c r="Y47" s="513"/>
      <c r="Z47" s="513"/>
      <c r="AA47" s="513"/>
      <c r="AB47" s="513"/>
      <c r="AC47" s="513"/>
      <c r="AD47" s="514"/>
      <c r="AE47" s="514"/>
      <c r="AF47" s="513"/>
      <c r="AG47" s="302" t="e">
        <f t="shared" si="9"/>
        <v>#DIV/0!</v>
      </c>
      <c r="AH47" s="303" t="e">
        <f>IF(AG47&gt;KKM!$G$10,"A",IF(AG47&gt;KKM!$H$10,"B",IF(AG47&gt;=KKM!$I$10,"C","D")))</f>
        <v>#DIV/0!</v>
      </c>
      <c r="AI47" s="304">
        <f t="shared" si="0"/>
        <v>0</v>
      </c>
      <c r="AJ47" s="309" t="str">
        <f>IF(AI47&gt;KKM!$G$10," sangat baik ",IF(AI47&gt;KKM!$H$10," baik ",IF(AI47&gt;=KKM!$I$10," cukup baik "," perlu bimbingan ")))</f>
        <v xml:space="preserve"> perlu bimbingan </v>
      </c>
      <c r="AK47" s="305">
        <f t="shared" si="1"/>
        <v>0</v>
      </c>
      <c r="AL47" s="309" t="str">
        <f>IF(AK47&gt;KKM!$G$10," sangat baik ",IF(AK47&gt;KKM!$H$10," baik ",IF(AK47&gt;=KKM!$I$10," cukup baik "," perlu bimbingan ")))</f>
        <v xml:space="preserve"> perlu bimbingan </v>
      </c>
      <c r="AM47" s="301" t="str">
        <f t="shared" si="10"/>
        <v xml:space="preserve"> </v>
      </c>
      <c r="AN47" s="218"/>
      <c r="AO47" s="219" t="e">
        <f t="shared" si="2"/>
        <v>#N/A</v>
      </c>
      <c r="AP47" s="219" t="e">
        <f t="shared" si="3"/>
        <v>#N/A</v>
      </c>
      <c r="AQ47" s="219" t="e">
        <f t="shared" si="11"/>
        <v>#N/A</v>
      </c>
      <c r="AR47" s="219" t="e">
        <f t="shared" si="12"/>
        <v>#N/A</v>
      </c>
      <c r="AS47" s="220" t="e">
        <f t="shared" si="13"/>
        <v>#N/A</v>
      </c>
      <c r="AT47" s="214" t="e">
        <f t="shared" si="15"/>
        <v>#N/A</v>
      </c>
      <c r="AU47" s="120"/>
      <c r="BG47" s="408" t="str">
        <f t="shared" si="14"/>
        <v/>
      </c>
    </row>
    <row r="48" spans="2:59" ht="55.5" customHeight="1">
      <c r="B48" s="109">
        <v>44</v>
      </c>
      <c r="C48" s="110">
        <f>SISWA!B49</f>
        <v>0</v>
      </c>
      <c r="D48" s="111" t="str">
        <f>SISWA!E49</f>
        <v>Anak 44</v>
      </c>
      <c r="E48" s="520"/>
      <c r="F48" s="520"/>
      <c r="G48" s="520"/>
      <c r="H48" s="520"/>
      <c r="I48" s="520"/>
      <c r="J48" s="520"/>
      <c r="K48" s="520"/>
      <c r="L48" s="520"/>
      <c r="M48" s="520"/>
      <c r="N48" s="520"/>
      <c r="O48" s="520"/>
      <c r="P48" s="520"/>
      <c r="Q48" s="533" t="str">
        <f t="shared" si="5"/>
        <v/>
      </c>
      <c r="R48" s="533" t="str">
        <f t="shared" si="6"/>
        <v/>
      </c>
      <c r="S48" s="533" t="str">
        <f t="shared" si="7"/>
        <v/>
      </c>
      <c r="T48" s="533" t="str">
        <f t="shared" si="8"/>
        <v/>
      </c>
      <c r="U48" s="533"/>
      <c r="V48" s="513"/>
      <c r="W48" s="513"/>
      <c r="X48" s="513"/>
      <c r="Y48" s="513"/>
      <c r="Z48" s="513"/>
      <c r="AA48" s="513"/>
      <c r="AB48" s="513"/>
      <c r="AC48" s="513"/>
      <c r="AD48" s="514"/>
      <c r="AE48" s="514"/>
      <c r="AF48" s="513"/>
      <c r="AG48" s="302" t="e">
        <f t="shared" si="9"/>
        <v>#DIV/0!</v>
      </c>
      <c r="AH48" s="303" t="e">
        <f>IF(AG48&gt;KKM!$G$10,"A",IF(AG48&gt;KKM!$H$10,"B",IF(AG48&gt;=KKM!$I$10,"C","D")))</f>
        <v>#DIV/0!</v>
      </c>
      <c r="AI48" s="304">
        <f t="shared" si="0"/>
        <v>0</v>
      </c>
      <c r="AJ48" s="309" t="str">
        <f>IF(AI48&gt;KKM!$G$10," sangat baik ",IF(AI48&gt;KKM!$H$10," baik ",IF(AI48&gt;=KKM!$I$10," cukup baik "," perlu bimbingan ")))</f>
        <v xml:space="preserve"> perlu bimbingan </v>
      </c>
      <c r="AK48" s="305">
        <f t="shared" si="1"/>
        <v>0</v>
      </c>
      <c r="AL48" s="309" t="str">
        <f>IF(AK48&gt;KKM!$G$10," sangat baik ",IF(AK48&gt;KKM!$H$10," baik ",IF(AK48&gt;=KKM!$I$10," cukup baik "," perlu bimbingan ")))</f>
        <v xml:space="preserve"> perlu bimbingan </v>
      </c>
      <c r="AM48" s="301" t="str">
        <f t="shared" si="10"/>
        <v xml:space="preserve"> </v>
      </c>
      <c r="AN48" s="218"/>
      <c r="AO48" s="219" t="e">
        <f t="shared" si="2"/>
        <v>#N/A</v>
      </c>
      <c r="AP48" s="219" t="e">
        <f t="shared" si="3"/>
        <v>#N/A</v>
      </c>
      <c r="AQ48" s="219" t="e">
        <f t="shared" si="11"/>
        <v>#N/A</v>
      </c>
      <c r="AR48" s="219" t="e">
        <f t="shared" si="12"/>
        <v>#N/A</v>
      </c>
      <c r="AS48" s="220" t="e">
        <f t="shared" si="13"/>
        <v>#N/A</v>
      </c>
      <c r="AT48" s="214" t="e">
        <f t="shared" si="15"/>
        <v>#N/A</v>
      </c>
      <c r="AU48" s="120"/>
      <c r="BG48" s="408" t="str">
        <f t="shared" si="14"/>
        <v/>
      </c>
    </row>
    <row r="49" spans="2:59" ht="55.5" customHeight="1">
      <c r="B49" s="109">
        <v>45</v>
      </c>
      <c r="C49" s="110">
        <f>SISWA!B50</f>
        <v>0</v>
      </c>
      <c r="D49" s="111" t="str">
        <f>SISWA!E50</f>
        <v>Anak 45</v>
      </c>
      <c r="E49" s="520"/>
      <c r="F49" s="520"/>
      <c r="G49" s="520"/>
      <c r="H49" s="520"/>
      <c r="I49" s="520"/>
      <c r="J49" s="520"/>
      <c r="K49" s="520"/>
      <c r="L49" s="520"/>
      <c r="M49" s="520"/>
      <c r="N49" s="520"/>
      <c r="O49" s="520"/>
      <c r="P49" s="520"/>
      <c r="Q49" s="533" t="str">
        <f t="shared" si="5"/>
        <v/>
      </c>
      <c r="R49" s="533" t="str">
        <f t="shared" si="6"/>
        <v/>
      </c>
      <c r="S49" s="533" t="str">
        <f t="shared" si="7"/>
        <v/>
      </c>
      <c r="T49" s="533" t="str">
        <f t="shared" si="8"/>
        <v/>
      </c>
      <c r="U49" s="533"/>
      <c r="V49" s="513"/>
      <c r="W49" s="513"/>
      <c r="X49" s="513"/>
      <c r="Y49" s="513"/>
      <c r="Z49" s="513"/>
      <c r="AA49" s="513"/>
      <c r="AB49" s="513"/>
      <c r="AC49" s="513"/>
      <c r="AD49" s="514"/>
      <c r="AE49" s="514"/>
      <c r="AF49" s="513"/>
      <c r="AG49" s="302" t="e">
        <f t="shared" si="9"/>
        <v>#DIV/0!</v>
      </c>
      <c r="AH49" s="303" t="e">
        <f>IF(AG49&gt;KKM!$G$10,"A",IF(AG49&gt;KKM!$H$10,"B",IF(AG49&gt;=KKM!$I$10,"C","D")))</f>
        <v>#DIV/0!</v>
      </c>
      <c r="AI49" s="304">
        <f t="shared" si="0"/>
        <v>0</v>
      </c>
      <c r="AJ49" s="309" t="str">
        <f>IF(AI49&gt;KKM!$G$10," sangat baik ",IF(AI49&gt;KKM!$H$10," baik ",IF(AI49&gt;=KKM!$I$10," cukup baik "," perlu bimbingan ")))</f>
        <v xml:space="preserve"> perlu bimbingan </v>
      </c>
      <c r="AK49" s="305">
        <f t="shared" si="1"/>
        <v>0</v>
      </c>
      <c r="AL49" s="309" t="str">
        <f>IF(AK49&gt;KKM!$G$10," sangat baik ",IF(AK49&gt;KKM!$H$10," baik ",IF(AK49&gt;=KKM!$I$10," cukup baik "," perlu bimbingan ")))</f>
        <v xml:space="preserve"> perlu bimbingan </v>
      </c>
      <c r="AM49" s="301" t="str">
        <f t="shared" si="10"/>
        <v xml:space="preserve"> </v>
      </c>
      <c r="AN49" s="218"/>
      <c r="AO49" s="219" t="e">
        <f t="shared" si="2"/>
        <v>#N/A</v>
      </c>
      <c r="AP49" s="219" t="e">
        <f t="shared" si="3"/>
        <v>#N/A</v>
      </c>
      <c r="AQ49" s="219" t="e">
        <f t="shared" si="11"/>
        <v>#N/A</v>
      </c>
      <c r="AR49" s="219" t="e">
        <f t="shared" si="12"/>
        <v>#N/A</v>
      </c>
      <c r="AS49" s="220" t="e">
        <f t="shared" si="13"/>
        <v>#N/A</v>
      </c>
      <c r="AT49" s="214" t="e">
        <f t="shared" si="15"/>
        <v>#N/A</v>
      </c>
      <c r="AU49" s="120"/>
      <c r="BG49" s="408" t="str">
        <f t="shared" si="14"/>
        <v/>
      </c>
    </row>
    <row r="50" spans="2:59" ht="55.5" customHeight="1">
      <c r="B50" s="109">
        <v>46</v>
      </c>
      <c r="C50" s="110">
        <f>SISWA!B51</f>
        <v>0</v>
      </c>
      <c r="D50" s="111" t="str">
        <f>SISWA!E51</f>
        <v>Anak 46</v>
      </c>
      <c r="E50" s="520"/>
      <c r="F50" s="520"/>
      <c r="G50" s="520"/>
      <c r="H50" s="520"/>
      <c r="I50" s="520"/>
      <c r="J50" s="520"/>
      <c r="K50" s="520"/>
      <c r="L50" s="520"/>
      <c r="M50" s="520"/>
      <c r="N50" s="520"/>
      <c r="O50" s="520"/>
      <c r="P50" s="520"/>
      <c r="Q50" s="533" t="str">
        <f t="shared" si="5"/>
        <v/>
      </c>
      <c r="R50" s="533" t="str">
        <f t="shared" si="6"/>
        <v/>
      </c>
      <c r="S50" s="533" t="str">
        <f t="shared" si="7"/>
        <v/>
      </c>
      <c r="T50" s="533" t="str">
        <f t="shared" si="8"/>
        <v/>
      </c>
      <c r="U50" s="533"/>
      <c r="V50" s="513"/>
      <c r="W50" s="513"/>
      <c r="X50" s="513"/>
      <c r="Y50" s="513"/>
      <c r="Z50" s="513"/>
      <c r="AA50" s="513"/>
      <c r="AB50" s="513"/>
      <c r="AC50" s="513"/>
      <c r="AD50" s="514"/>
      <c r="AE50" s="514"/>
      <c r="AF50" s="513"/>
      <c r="AG50" s="302" t="e">
        <f t="shared" si="9"/>
        <v>#DIV/0!</v>
      </c>
      <c r="AH50" s="303" t="e">
        <f>IF(AG50&gt;KKM!$G$10,"A",IF(AG50&gt;KKM!$H$10,"B",IF(AG50&gt;=KKM!$I$10,"C","D")))</f>
        <v>#DIV/0!</v>
      </c>
      <c r="AI50" s="304">
        <f t="shared" si="0"/>
        <v>0</v>
      </c>
      <c r="AJ50" s="309" t="str">
        <f>IF(AI50&gt;KKM!$G$10," sangat baik ",IF(AI50&gt;KKM!$H$10," baik ",IF(AI50&gt;=KKM!$I$10," cukup baik "," perlu bimbingan ")))</f>
        <v xml:space="preserve"> perlu bimbingan </v>
      </c>
      <c r="AK50" s="305">
        <f t="shared" si="1"/>
        <v>0</v>
      </c>
      <c r="AL50" s="309" t="str">
        <f>IF(AK50&gt;KKM!$G$10," sangat baik ",IF(AK50&gt;KKM!$H$10," baik ",IF(AK50&gt;=KKM!$I$10," cukup baik "," perlu bimbingan ")))</f>
        <v xml:space="preserve"> perlu bimbingan </v>
      </c>
      <c r="AM50" s="301" t="str">
        <f t="shared" si="10"/>
        <v xml:space="preserve"> </v>
      </c>
      <c r="AN50" s="218"/>
      <c r="AO50" s="219" t="e">
        <f t="shared" si="2"/>
        <v>#N/A</v>
      </c>
      <c r="AP50" s="219" t="e">
        <f t="shared" si="3"/>
        <v>#N/A</v>
      </c>
      <c r="AQ50" s="219" t="e">
        <f t="shared" si="11"/>
        <v>#N/A</v>
      </c>
      <c r="AR50" s="219" t="e">
        <f t="shared" si="12"/>
        <v>#N/A</v>
      </c>
      <c r="AS50" s="220" t="e">
        <f t="shared" si="13"/>
        <v>#N/A</v>
      </c>
      <c r="AT50" s="214" t="e">
        <f t="shared" si="15"/>
        <v>#N/A</v>
      </c>
      <c r="AU50" s="120"/>
      <c r="BG50" s="408" t="str">
        <f t="shared" si="14"/>
        <v/>
      </c>
    </row>
    <row r="51" spans="2:59" ht="55.5" customHeight="1">
      <c r="B51" s="109">
        <v>47</v>
      </c>
      <c r="C51" s="110">
        <f>SISWA!B52</f>
        <v>0</v>
      </c>
      <c r="D51" s="111" t="str">
        <f>SISWA!E52</f>
        <v>Anak 47</v>
      </c>
      <c r="E51" s="520"/>
      <c r="F51" s="520"/>
      <c r="G51" s="520"/>
      <c r="H51" s="520"/>
      <c r="I51" s="520"/>
      <c r="J51" s="520"/>
      <c r="K51" s="520"/>
      <c r="L51" s="520"/>
      <c r="M51" s="520"/>
      <c r="N51" s="520"/>
      <c r="O51" s="520"/>
      <c r="P51" s="520"/>
      <c r="Q51" s="533" t="str">
        <f t="shared" si="5"/>
        <v/>
      </c>
      <c r="R51" s="533" t="str">
        <f t="shared" si="6"/>
        <v/>
      </c>
      <c r="S51" s="533" t="str">
        <f t="shared" si="7"/>
        <v/>
      </c>
      <c r="T51" s="533" t="str">
        <f t="shared" si="8"/>
        <v/>
      </c>
      <c r="U51" s="533"/>
      <c r="V51" s="513"/>
      <c r="W51" s="513"/>
      <c r="X51" s="513"/>
      <c r="Y51" s="513"/>
      <c r="Z51" s="513"/>
      <c r="AA51" s="513"/>
      <c r="AB51" s="513"/>
      <c r="AC51" s="513"/>
      <c r="AD51" s="514"/>
      <c r="AE51" s="514"/>
      <c r="AF51" s="513"/>
      <c r="AG51" s="302" t="e">
        <f t="shared" si="9"/>
        <v>#DIV/0!</v>
      </c>
      <c r="AH51" s="303" t="e">
        <f>IF(AG51&gt;KKM!$G$10,"A",IF(AG51&gt;KKM!$H$10,"B",IF(AG51&gt;=KKM!$I$10,"C","D")))</f>
        <v>#DIV/0!</v>
      </c>
      <c r="AI51" s="304">
        <f t="shared" si="0"/>
        <v>0</v>
      </c>
      <c r="AJ51" s="309" t="str">
        <f>IF(AI51&gt;KKM!$G$10," sangat baik ",IF(AI51&gt;KKM!$H$10," baik ",IF(AI51&gt;=KKM!$I$10," cukup baik "," perlu bimbingan ")))</f>
        <v xml:space="preserve"> perlu bimbingan </v>
      </c>
      <c r="AK51" s="305">
        <f t="shared" si="1"/>
        <v>0</v>
      </c>
      <c r="AL51" s="309" t="str">
        <f>IF(AK51&gt;KKM!$G$10," sangat baik ",IF(AK51&gt;KKM!$H$10," baik ",IF(AK51&gt;=KKM!$I$10," cukup baik "," perlu bimbingan ")))</f>
        <v xml:space="preserve"> perlu bimbingan </v>
      </c>
      <c r="AM51" s="301" t="str">
        <f t="shared" si="10"/>
        <v xml:space="preserve"> </v>
      </c>
      <c r="AN51" s="218"/>
      <c r="AO51" s="219" t="e">
        <f t="shared" si="2"/>
        <v>#N/A</v>
      </c>
      <c r="AP51" s="219" t="e">
        <f t="shared" si="3"/>
        <v>#N/A</v>
      </c>
      <c r="AQ51" s="219" t="e">
        <f t="shared" si="11"/>
        <v>#N/A</v>
      </c>
      <c r="AR51" s="219" t="e">
        <f t="shared" si="12"/>
        <v>#N/A</v>
      </c>
      <c r="AS51" s="220" t="e">
        <f t="shared" si="13"/>
        <v>#N/A</v>
      </c>
      <c r="AT51" s="214" t="e">
        <f t="shared" si="15"/>
        <v>#N/A</v>
      </c>
      <c r="AU51" s="120"/>
      <c r="BG51" s="408" t="str">
        <f t="shared" si="14"/>
        <v/>
      </c>
    </row>
    <row r="52" spans="2:59" ht="55.5" customHeight="1">
      <c r="B52" s="109">
        <v>48</v>
      </c>
      <c r="C52" s="110">
        <f>SISWA!B53</f>
        <v>0</v>
      </c>
      <c r="D52" s="111" t="str">
        <f>SISWA!E53</f>
        <v>Anak 48</v>
      </c>
      <c r="E52" s="520"/>
      <c r="F52" s="520"/>
      <c r="G52" s="520"/>
      <c r="H52" s="520"/>
      <c r="I52" s="520"/>
      <c r="J52" s="520"/>
      <c r="K52" s="520"/>
      <c r="L52" s="520"/>
      <c r="M52" s="520"/>
      <c r="N52" s="520"/>
      <c r="O52" s="520"/>
      <c r="P52" s="520"/>
      <c r="Q52" s="533" t="str">
        <f t="shared" si="5"/>
        <v/>
      </c>
      <c r="R52" s="533" t="str">
        <f t="shared" si="6"/>
        <v/>
      </c>
      <c r="S52" s="533" t="str">
        <f t="shared" si="7"/>
        <v/>
      </c>
      <c r="T52" s="533" t="str">
        <f t="shared" si="8"/>
        <v/>
      </c>
      <c r="U52" s="533"/>
      <c r="V52" s="513"/>
      <c r="W52" s="513"/>
      <c r="X52" s="513"/>
      <c r="Y52" s="513"/>
      <c r="Z52" s="513"/>
      <c r="AA52" s="513"/>
      <c r="AB52" s="513"/>
      <c r="AC52" s="513"/>
      <c r="AD52" s="514"/>
      <c r="AE52" s="514"/>
      <c r="AF52" s="513"/>
      <c r="AG52" s="302" t="e">
        <f t="shared" si="9"/>
        <v>#DIV/0!</v>
      </c>
      <c r="AH52" s="303" t="e">
        <f>IF(AG52&gt;KKM!$G$10,"A",IF(AG52&gt;KKM!$H$10,"B",IF(AG52&gt;=KKM!$I$10,"C","D")))</f>
        <v>#DIV/0!</v>
      </c>
      <c r="AI52" s="304">
        <f t="shared" si="0"/>
        <v>0</v>
      </c>
      <c r="AJ52" s="309" t="str">
        <f>IF(AI52&gt;KKM!$G$10," sangat baik ",IF(AI52&gt;KKM!$H$10," baik ",IF(AI52&gt;=KKM!$I$10," cukup baik "," perlu bimbingan ")))</f>
        <v xml:space="preserve"> perlu bimbingan </v>
      </c>
      <c r="AK52" s="305">
        <f t="shared" si="1"/>
        <v>0</v>
      </c>
      <c r="AL52" s="309" t="str">
        <f>IF(AK52&gt;KKM!$G$10," sangat baik ",IF(AK52&gt;KKM!$H$10," baik ",IF(AK52&gt;=KKM!$I$10," cukup baik "," perlu bimbingan ")))</f>
        <v xml:space="preserve"> perlu bimbingan </v>
      </c>
      <c r="AM52" s="301" t="str">
        <f t="shared" si="10"/>
        <v xml:space="preserve"> </v>
      </c>
      <c r="AN52" s="218"/>
      <c r="AO52" s="219" t="e">
        <f t="shared" si="2"/>
        <v>#N/A</v>
      </c>
      <c r="AP52" s="219" t="e">
        <f t="shared" si="3"/>
        <v>#N/A</v>
      </c>
      <c r="AQ52" s="219" t="e">
        <f t="shared" si="11"/>
        <v>#N/A</v>
      </c>
      <c r="AR52" s="219" t="e">
        <f t="shared" si="12"/>
        <v>#N/A</v>
      </c>
      <c r="AS52" s="220" t="e">
        <f t="shared" si="13"/>
        <v>#N/A</v>
      </c>
      <c r="AT52" s="214" t="e">
        <f t="shared" si="15"/>
        <v>#N/A</v>
      </c>
      <c r="AU52" s="120"/>
      <c r="BG52" s="408" t="str">
        <f t="shared" si="14"/>
        <v/>
      </c>
    </row>
    <row r="53" spans="2:59" ht="55.5" customHeight="1">
      <c r="B53" s="109">
        <v>49</v>
      </c>
      <c r="C53" s="110">
        <f>SISWA!B54</f>
        <v>0</v>
      </c>
      <c r="D53" s="111" t="str">
        <f>SISWA!E54</f>
        <v>Anak 49</v>
      </c>
      <c r="E53" s="520"/>
      <c r="F53" s="520"/>
      <c r="G53" s="520"/>
      <c r="H53" s="520"/>
      <c r="I53" s="520"/>
      <c r="J53" s="520"/>
      <c r="K53" s="520"/>
      <c r="L53" s="520"/>
      <c r="M53" s="520"/>
      <c r="N53" s="520"/>
      <c r="O53" s="520"/>
      <c r="P53" s="520"/>
      <c r="Q53" s="533" t="str">
        <f t="shared" si="5"/>
        <v/>
      </c>
      <c r="R53" s="533" t="str">
        <f t="shared" si="6"/>
        <v/>
      </c>
      <c r="S53" s="533" t="str">
        <f t="shared" si="7"/>
        <v/>
      </c>
      <c r="T53" s="533" t="str">
        <f t="shared" si="8"/>
        <v/>
      </c>
      <c r="U53" s="533"/>
      <c r="V53" s="513"/>
      <c r="W53" s="513"/>
      <c r="X53" s="513"/>
      <c r="Y53" s="513"/>
      <c r="Z53" s="513"/>
      <c r="AA53" s="513"/>
      <c r="AB53" s="513"/>
      <c r="AC53" s="513"/>
      <c r="AD53" s="514"/>
      <c r="AE53" s="514"/>
      <c r="AF53" s="513"/>
      <c r="AG53" s="302" t="e">
        <f t="shared" si="9"/>
        <v>#DIV/0!</v>
      </c>
      <c r="AH53" s="303" t="e">
        <f>IF(AG53&gt;KKM!$G$10,"A",IF(AG53&gt;KKM!$H$10,"B",IF(AG53&gt;=KKM!$I$10,"C","D")))</f>
        <v>#DIV/0!</v>
      </c>
      <c r="AI53" s="304">
        <f t="shared" si="0"/>
        <v>0</v>
      </c>
      <c r="AJ53" s="309" t="str">
        <f>IF(AI53&gt;KKM!$G$10," sangat baik ",IF(AI53&gt;KKM!$H$10," baik ",IF(AI53&gt;=KKM!$I$10," cukup baik "," perlu bimbingan ")))</f>
        <v xml:space="preserve"> perlu bimbingan </v>
      </c>
      <c r="AK53" s="305">
        <f t="shared" si="1"/>
        <v>0</v>
      </c>
      <c r="AL53" s="309" t="str">
        <f>IF(AK53&gt;KKM!$G$10," sangat baik ",IF(AK53&gt;KKM!$H$10," baik ",IF(AK53&gt;=KKM!$I$10," cukup baik "," perlu bimbingan ")))</f>
        <v xml:space="preserve"> perlu bimbingan </v>
      </c>
      <c r="AM53" s="301" t="str">
        <f t="shared" si="10"/>
        <v xml:space="preserve"> </v>
      </c>
      <c r="AN53" s="218"/>
      <c r="AO53" s="219" t="e">
        <f t="shared" si="2"/>
        <v>#N/A</v>
      </c>
      <c r="AP53" s="219" t="e">
        <f t="shared" si="3"/>
        <v>#N/A</v>
      </c>
      <c r="AQ53" s="219" t="e">
        <f t="shared" si="11"/>
        <v>#N/A</v>
      </c>
      <c r="AR53" s="219" t="e">
        <f t="shared" si="12"/>
        <v>#N/A</v>
      </c>
      <c r="AS53" s="220" t="e">
        <f t="shared" si="13"/>
        <v>#N/A</v>
      </c>
      <c r="AT53" s="214" t="e">
        <f t="shared" si="15"/>
        <v>#N/A</v>
      </c>
      <c r="AU53" s="120"/>
      <c r="BG53" s="408" t="str">
        <f t="shared" si="14"/>
        <v/>
      </c>
    </row>
    <row r="54" spans="2:59" ht="55.5" customHeight="1">
      <c r="B54" s="109">
        <v>50</v>
      </c>
      <c r="C54" s="110">
        <f>SISWA!B55</f>
        <v>0</v>
      </c>
      <c r="D54" s="111" t="str">
        <f>SISWA!E55</f>
        <v>Anak 50</v>
      </c>
      <c r="E54" s="520"/>
      <c r="F54" s="520"/>
      <c r="G54" s="520"/>
      <c r="H54" s="520"/>
      <c r="I54" s="520"/>
      <c r="J54" s="520"/>
      <c r="K54" s="520"/>
      <c r="L54" s="520"/>
      <c r="M54" s="520"/>
      <c r="N54" s="520"/>
      <c r="O54" s="520"/>
      <c r="P54" s="520"/>
      <c r="Q54" s="533" t="str">
        <f t="shared" si="5"/>
        <v/>
      </c>
      <c r="R54" s="533" t="str">
        <f t="shared" si="6"/>
        <v/>
      </c>
      <c r="S54" s="533" t="str">
        <f t="shared" si="7"/>
        <v/>
      </c>
      <c r="T54" s="533" t="str">
        <f t="shared" si="8"/>
        <v/>
      </c>
      <c r="U54" s="533"/>
      <c r="V54" s="513"/>
      <c r="W54" s="513"/>
      <c r="X54" s="513"/>
      <c r="Y54" s="513"/>
      <c r="Z54" s="513"/>
      <c r="AA54" s="513"/>
      <c r="AB54" s="513"/>
      <c r="AC54" s="513"/>
      <c r="AD54" s="514"/>
      <c r="AE54" s="514"/>
      <c r="AF54" s="513"/>
      <c r="AG54" s="302" t="e">
        <f t="shared" si="9"/>
        <v>#DIV/0!</v>
      </c>
      <c r="AH54" s="303" t="e">
        <f>IF(AG54&gt;KKM!$G$10,"A",IF(AG54&gt;KKM!$H$10,"B",IF(AG54&gt;=KKM!$I$10,"C","D")))</f>
        <v>#DIV/0!</v>
      </c>
      <c r="AI54" s="304">
        <f t="shared" si="0"/>
        <v>0</v>
      </c>
      <c r="AJ54" s="309" t="str">
        <f>IF(AI54&gt;KKM!$G$10," sangat baik ",IF(AI54&gt;KKM!$H$10," baik ",IF(AI54&gt;=KKM!$I$10," cukup baik "," perlu bimbingan ")))</f>
        <v xml:space="preserve"> perlu bimbingan </v>
      </c>
      <c r="AK54" s="305">
        <f t="shared" si="1"/>
        <v>0</v>
      </c>
      <c r="AL54" s="309" t="str">
        <f>IF(AK54&gt;KKM!$G$10," sangat baik ",IF(AK54&gt;KKM!$H$10," baik ",IF(AK54&gt;=KKM!$I$10," cukup baik "," perlu bimbingan ")))</f>
        <v xml:space="preserve"> perlu bimbingan </v>
      </c>
      <c r="AM54" s="301" t="str">
        <f t="shared" si="10"/>
        <v xml:space="preserve"> </v>
      </c>
      <c r="AN54" s="218"/>
      <c r="AO54" s="219" t="e">
        <f t="shared" si="2"/>
        <v>#N/A</v>
      </c>
      <c r="AP54" s="219" t="e">
        <f t="shared" si="3"/>
        <v>#N/A</v>
      </c>
      <c r="AQ54" s="219" t="e">
        <f t="shared" si="11"/>
        <v>#N/A</v>
      </c>
      <c r="AR54" s="219" t="e">
        <f t="shared" si="12"/>
        <v>#N/A</v>
      </c>
      <c r="AS54" s="220" t="e">
        <f t="shared" si="13"/>
        <v>#N/A</v>
      </c>
      <c r="AT54" s="214" t="e">
        <f t="shared" si="15"/>
        <v>#N/A</v>
      </c>
      <c r="AU54" s="120"/>
      <c r="BG54" s="408" t="str">
        <f t="shared" si="14"/>
        <v/>
      </c>
    </row>
    <row r="55" spans="2:59" ht="55.5" customHeight="1">
      <c r="B55" s="121"/>
      <c r="C55" s="121"/>
      <c r="D55" s="121"/>
      <c r="E55" s="519"/>
      <c r="F55" s="519"/>
      <c r="G55" s="519"/>
      <c r="H55" s="519"/>
      <c r="I55" s="519"/>
      <c r="J55" s="519"/>
      <c r="K55" s="519"/>
      <c r="L55" s="519"/>
      <c r="M55" s="519"/>
      <c r="N55" s="519"/>
      <c r="O55" s="519"/>
      <c r="P55" s="519"/>
      <c r="Q55" s="124"/>
      <c r="R55" s="125"/>
      <c r="S55" s="125"/>
      <c r="T55" s="125"/>
      <c r="U55" s="125"/>
      <c r="V55" s="124"/>
      <c r="W55" s="124"/>
      <c r="X55" s="124"/>
      <c r="Y55" s="124"/>
      <c r="Z55" s="124"/>
      <c r="AA55" s="124"/>
      <c r="AB55" s="124"/>
      <c r="AC55" s="124"/>
      <c r="AD55" s="125"/>
      <c r="AE55" s="125"/>
      <c r="AF55" s="124"/>
      <c r="AG55" s="114"/>
      <c r="AH55" s="115"/>
      <c r="AI55" s="116"/>
      <c r="AJ55" s="116"/>
      <c r="AK55" s="116"/>
      <c r="AL55" s="116"/>
      <c r="AM55" s="117"/>
      <c r="AN55" s="118"/>
      <c r="AO55" s="119"/>
      <c r="AP55" s="122"/>
      <c r="AQ55" s="122"/>
      <c r="AR55" s="122"/>
      <c r="AS55" s="122"/>
      <c r="AT55" s="122"/>
      <c r="AU55" s="120"/>
    </row>
  </sheetData>
  <mergeCells count="15">
    <mergeCell ref="AH2:AH4"/>
    <mergeCell ref="AI2:AL2"/>
    <mergeCell ref="AM2:AM4"/>
    <mergeCell ref="AI3:AJ3"/>
    <mergeCell ref="AK3:AL3"/>
    <mergeCell ref="B2:B4"/>
    <mergeCell ref="C2:C4"/>
    <mergeCell ref="D2:D4"/>
    <mergeCell ref="Q2:AF2"/>
    <mergeCell ref="AG2:AG4"/>
    <mergeCell ref="E3:G3"/>
    <mergeCell ref="H3:J3"/>
    <mergeCell ref="K3:M3"/>
    <mergeCell ref="N3:P3"/>
    <mergeCell ref="E2:P2"/>
  </mergeCell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DV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28515625" style="135" customWidth="1"/>
    <col min="2" max="2" width="4.42578125" style="104" customWidth="1"/>
    <col min="3" max="3" width="6.42578125" style="104" customWidth="1"/>
    <col min="4" max="4" width="28.7109375" style="104" customWidth="1"/>
    <col min="5" max="16" width="7.5703125" style="104" customWidth="1"/>
    <col min="17" max="19" width="5" style="104" customWidth="1"/>
    <col min="20" max="20" width="5.140625" style="104" customWidth="1"/>
    <col min="21" max="31" width="5.140625" style="104" hidden="1" customWidth="1"/>
    <col min="32" max="35" width="5.140625" style="104" customWidth="1"/>
    <col min="36" max="36" width="10.85546875" style="104" customWidth="1"/>
    <col min="37" max="37" width="5.140625" style="104" customWidth="1"/>
    <col min="38" max="38" width="12.7109375" style="104" customWidth="1"/>
    <col min="39" max="39" width="102.5703125" style="104" customWidth="1"/>
    <col min="40" max="40" width="39.7109375" style="104" customWidth="1"/>
    <col min="41" max="41" width="5" style="104" hidden="1" customWidth="1"/>
    <col min="42" max="42" width="4.7109375" style="104" hidden="1" customWidth="1"/>
    <col min="43" max="43" width="5.140625" style="104" hidden="1" customWidth="1"/>
    <col min="44" max="49" width="5" style="104" hidden="1" customWidth="1"/>
    <col min="50" max="50" width="4.85546875" style="104" hidden="1" customWidth="1"/>
    <col min="51" max="53" width="5" style="104" hidden="1" customWidth="1"/>
    <col min="54" max="55" width="5" style="104" customWidth="1"/>
    <col min="56" max="56" width="5" style="104" hidden="1" customWidth="1"/>
    <col min="57" max="57" width="8" style="104" hidden="1" customWidth="1"/>
    <col min="58" max="58" width="5" style="104" customWidth="1"/>
    <col min="59" max="64" width="5" style="104" hidden="1" customWidth="1"/>
    <col min="65" max="65" width="84.42578125" style="104" hidden="1" customWidth="1"/>
    <col min="66" max="66" width="29.85546875" style="104" hidden="1" customWidth="1"/>
    <col min="67" max="80" width="10.7109375" style="104" hidden="1" customWidth="1"/>
    <col min="81" max="85" width="5" style="104" hidden="1" customWidth="1"/>
    <col min="86" max="86" width="4.85546875" style="104" hidden="1" customWidth="1"/>
    <col min="87" max="92" width="5" style="104" hidden="1" customWidth="1"/>
    <col min="93" max="94" width="0" style="104" hidden="1" customWidth="1"/>
    <col min="95" max="100" width="5" style="104" hidden="1" customWidth="1"/>
    <col min="101" max="101" width="84.42578125" style="104" hidden="1" customWidth="1"/>
    <col min="102" max="102" width="29.85546875" style="104" hidden="1" customWidth="1"/>
    <col min="103" max="126" width="10.7109375" style="104" hidden="1" customWidth="1"/>
    <col min="127" max="16384" width="9.140625" style="104" hidden="1"/>
  </cols>
  <sheetData>
    <row r="1" spans="1:64" s="451" customFormat="1" ht="45.75" customHeight="1">
      <c r="B1" s="452" t="s">
        <v>59</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row>
    <row r="2" spans="1:64" ht="23.25" customHeight="1">
      <c r="B2" s="1071" t="s">
        <v>2</v>
      </c>
      <c r="C2" s="1072" t="s">
        <v>3</v>
      </c>
      <c r="D2" s="1073" t="s">
        <v>48</v>
      </c>
      <c r="E2" s="1152" t="s">
        <v>708</v>
      </c>
      <c r="F2" s="1153"/>
      <c r="G2" s="1153"/>
      <c r="H2" s="1153"/>
      <c r="I2" s="1153"/>
      <c r="J2" s="1153"/>
      <c r="K2" s="1153"/>
      <c r="L2" s="1153"/>
      <c r="M2" s="1153"/>
      <c r="N2" s="1153"/>
      <c r="O2" s="1153"/>
      <c r="P2" s="1153"/>
      <c r="Q2" s="1111" t="s">
        <v>694</v>
      </c>
      <c r="R2" s="1111"/>
      <c r="S2" s="1111"/>
      <c r="T2" s="1111"/>
      <c r="U2" s="1111"/>
      <c r="V2" s="1111"/>
      <c r="W2" s="1111"/>
      <c r="X2" s="1111"/>
      <c r="Y2" s="1111"/>
      <c r="Z2" s="1111"/>
      <c r="AA2" s="1111"/>
      <c r="AB2" s="1111"/>
      <c r="AC2" s="1111"/>
      <c r="AD2" s="1111"/>
      <c r="AE2" s="1111"/>
      <c r="AF2" s="1111"/>
      <c r="AG2" s="1139" t="s">
        <v>5</v>
      </c>
      <c r="AH2" s="1123" t="s">
        <v>6</v>
      </c>
      <c r="AI2" s="1124" t="s">
        <v>314</v>
      </c>
      <c r="AJ2" s="1125"/>
      <c r="AK2" s="1125"/>
      <c r="AL2" s="1125"/>
      <c r="AM2" s="1027" t="s">
        <v>1</v>
      </c>
      <c r="AN2" s="1"/>
      <c r="AO2" s="1"/>
      <c r="AP2" s="1"/>
      <c r="AQ2" s="1"/>
      <c r="AR2" s="1"/>
      <c r="AS2" s="1"/>
      <c r="AT2" s="215"/>
      <c r="BE2" s="441">
        <f>DEPAN!$E$23</f>
        <v>50</v>
      </c>
    </row>
    <row r="3" spans="1:64" ht="94.5" customHeight="1">
      <c r="B3" s="1071"/>
      <c r="C3" s="1072"/>
      <c r="D3" s="1073"/>
      <c r="E3" s="1140" t="str">
        <f>Q4</f>
        <v>4.1</v>
      </c>
      <c r="F3" s="1141"/>
      <c r="G3" s="1142"/>
      <c r="H3" s="1143" t="str">
        <f>R4</f>
        <v>4.2</v>
      </c>
      <c r="I3" s="1144"/>
      <c r="J3" s="1145"/>
      <c r="K3" s="1146" t="str">
        <f>S4</f>
        <v>4.3</v>
      </c>
      <c r="L3" s="1147"/>
      <c r="M3" s="1148"/>
      <c r="N3" s="1149" t="str">
        <f>T4</f>
        <v>4.4</v>
      </c>
      <c r="O3" s="1150"/>
      <c r="P3" s="1151"/>
      <c r="Q3" s="510" t="str">
        <f>'KI-KD'!$F94</f>
        <v>menggambar dan membentuk tiga dimensi</v>
      </c>
      <c r="R3" s="510" t="str">
        <f>'KI-KD'!$F95</f>
        <v>menyanyikan lagu dengan memperhatikan tempo dan tinggi rendah nada.</v>
      </c>
      <c r="S3" s="510" t="str">
        <f>'KI-KD'!$F96</f>
        <v>meragakan gerak tari kreasi daerah.</v>
      </c>
      <c r="T3" s="510" t="str">
        <f>'KI-KD'!$F97</f>
        <v>membuat karya kolase, montase, aplikasi, dan mozaik.</v>
      </c>
      <c r="U3" s="510">
        <f>'KI-KD'!$F98</f>
        <v>0</v>
      </c>
      <c r="V3" s="510">
        <f>'KI-KD'!$F99</f>
        <v>0</v>
      </c>
      <c r="W3" s="510">
        <f>'KI-KD'!$F100</f>
        <v>0</v>
      </c>
      <c r="X3" s="510">
        <f>'KI-KD'!$F101</f>
        <v>0</v>
      </c>
      <c r="Y3" s="510">
        <f>'KI-KD'!$F102</f>
        <v>0</v>
      </c>
      <c r="Z3" s="510">
        <f>'KI-KD'!$F103</f>
        <v>0</v>
      </c>
      <c r="AA3" s="510">
        <f>'KI-KD'!$F104</f>
        <v>0</v>
      </c>
      <c r="AB3" s="510">
        <f>'KI-KD'!$F105</f>
        <v>0</v>
      </c>
      <c r="AC3" s="511"/>
      <c r="AD3" s="511"/>
      <c r="AE3" s="511"/>
      <c r="AF3" s="511"/>
      <c r="AG3" s="1139"/>
      <c r="AH3" s="1123"/>
      <c r="AI3" s="1135" t="s">
        <v>315</v>
      </c>
      <c r="AJ3" s="1136"/>
      <c r="AK3" s="1137" t="s">
        <v>316</v>
      </c>
      <c r="AL3" s="1138"/>
      <c r="AM3" s="1028"/>
      <c r="AN3" s="1"/>
      <c r="AO3" s="1"/>
      <c r="AP3" s="1"/>
      <c r="AQ3" s="1"/>
      <c r="AR3" s="1"/>
      <c r="AS3" s="1"/>
      <c r="AT3" s="215"/>
      <c r="BE3" s="408">
        <f>BE4-BE5</f>
        <v>5</v>
      </c>
    </row>
    <row r="4" spans="1:64"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12" t="str">
        <f>'KI-KD'!$E94</f>
        <v>4.1</v>
      </c>
      <c r="R4" s="512" t="str">
        <f>'KI-KD'!$E95</f>
        <v>4.2</v>
      </c>
      <c r="S4" s="512" t="str">
        <f>'KI-KD'!$E96</f>
        <v>4.3</v>
      </c>
      <c r="T4" s="512" t="str">
        <f>'KI-KD'!$E97</f>
        <v>4.4</v>
      </c>
      <c r="U4" s="512">
        <f>'KI-KD'!$E98</f>
        <v>0</v>
      </c>
      <c r="V4" s="512">
        <f>'KI-KD'!$E99</f>
        <v>0</v>
      </c>
      <c r="W4" s="512">
        <f>'KI-KD'!$E100</f>
        <v>0</v>
      </c>
      <c r="X4" s="512">
        <f>'KI-KD'!$E101</f>
        <v>0</v>
      </c>
      <c r="Y4" s="512">
        <f>'KI-KD'!$E102</f>
        <v>0</v>
      </c>
      <c r="Z4" s="512">
        <f>'KI-KD'!$E103</f>
        <v>0</v>
      </c>
      <c r="AA4" s="512">
        <f>'KI-KD'!$E104</f>
        <v>0</v>
      </c>
      <c r="AB4" s="512">
        <f>'KI-KD'!$E105</f>
        <v>0</v>
      </c>
      <c r="AC4" s="512"/>
      <c r="AD4" s="512"/>
      <c r="AE4" s="512"/>
      <c r="AF4" s="512"/>
      <c r="AG4" s="1139"/>
      <c r="AH4" s="1123"/>
      <c r="AI4" s="210" t="s">
        <v>317</v>
      </c>
      <c r="AJ4" s="211" t="s">
        <v>1</v>
      </c>
      <c r="AK4" s="212" t="s">
        <v>317</v>
      </c>
      <c r="AL4" s="213" t="s">
        <v>1</v>
      </c>
      <c r="AM4" s="1029"/>
      <c r="AN4" s="1"/>
      <c r="AO4" s="216" t="s">
        <v>318</v>
      </c>
      <c r="AP4" s="216" t="s">
        <v>319</v>
      </c>
      <c r="AQ4" s="216" t="s">
        <v>320</v>
      </c>
      <c r="AR4" s="216" t="s">
        <v>321</v>
      </c>
      <c r="AS4" s="217" t="s">
        <v>314</v>
      </c>
      <c r="AT4" s="214"/>
      <c r="BE4" s="108">
        <v>50</v>
      </c>
    </row>
    <row r="5" spans="1:64" ht="68.25" customHeight="1">
      <c r="B5" s="109">
        <v>1</v>
      </c>
      <c r="C5" s="110">
        <f>SISWA!B6</f>
        <v>4822</v>
      </c>
      <c r="D5" s="111" t="str">
        <f>SISWA!E6</f>
        <v>Anak 1</v>
      </c>
      <c r="E5" s="520">
        <v>76</v>
      </c>
      <c r="F5" s="520"/>
      <c r="G5" s="520"/>
      <c r="H5" s="520"/>
      <c r="I5" s="520">
        <v>88</v>
      </c>
      <c r="J5" s="520"/>
      <c r="K5" s="520">
        <v>88</v>
      </c>
      <c r="L5" s="520"/>
      <c r="M5" s="520"/>
      <c r="N5" s="520">
        <v>88</v>
      </c>
      <c r="O5" s="520">
        <v>75</v>
      </c>
      <c r="P5" s="520"/>
      <c r="Q5" s="533">
        <f>IFERROR(AVERAGE(E5:G5),"")</f>
        <v>76</v>
      </c>
      <c r="R5" s="533">
        <f>IFERROR(AVERAGE(H5:J5),"")</f>
        <v>88</v>
      </c>
      <c r="S5" s="533">
        <f>IFERROR(AVERAGE(K5:M5),"")</f>
        <v>88</v>
      </c>
      <c r="T5" s="533">
        <f>IFERROR(AVERAGE(N5:P5),"")</f>
        <v>81.5</v>
      </c>
      <c r="U5" s="514"/>
      <c r="V5" s="513"/>
      <c r="W5" s="513"/>
      <c r="X5" s="513"/>
      <c r="Y5" s="513"/>
      <c r="Z5" s="513"/>
      <c r="AA5" s="513"/>
      <c r="AB5" s="513"/>
      <c r="AC5" s="513"/>
      <c r="AD5" s="514"/>
      <c r="AE5" s="514"/>
      <c r="AF5" s="513"/>
      <c r="AG5" s="302">
        <f>ROUND((AVERAGE(Q5:AF5)),0)</f>
        <v>83</v>
      </c>
      <c r="AH5" s="303" t="str">
        <f>IF(AG5&gt;KKM!$G$10,"A",IF(AG5&gt;KKM!$H$10,"B",IF(AG5&gt;=KKM!$I$10,"C","D")))</f>
        <v>B</v>
      </c>
      <c r="AI5" s="304">
        <f t="shared" ref="AI5:AI54" si="0">MAX(Q5:AF5)</f>
        <v>88</v>
      </c>
      <c r="AJ5" s="309" t="str">
        <f>IF(AI5&gt;KKM!$G$10," sangat baik ",IF(AI5&gt;KKM!$H$10," baik ",IF(AI5&gt;=KKM!$I$10," cukup baik "," perlu bimbingan ")))</f>
        <v xml:space="preserve"> baik </v>
      </c>
      <c r="AK5" s="305">
        <f t="shared" ref="AK5:AK54" si="1">MIN(Q5:AF5)</f>
        <v>76</v>
      </c>
      <c r="AL5" s="309" t="str">
        <f>IF(AK5&gt;KKM!$G$10," sangat baik ",IF(AK5&gt;KKM!$H$10," baik ",IF(AK5&gt;=KKM!$I$10," cukup baik "," perlu bimbingan ")))</f>
        <v xml:space="preserve"> cukup baik </v>
      </c>
      <c r="AM5" s="301" t="str">
        <f>IFERROR(AT5," ")</f>
        <v>Anak 1 baik  dalam menyanyikan lagu dengan memperhatikan tempo dan tinggi rendah nada., dan  cukup baik  dalam menggambar dan membentuk tiga dimensi</v>
      </c>
      <c r="AN5" s="218"/>
      <c r="AO5" s="219" t="str">
        <f t="shared" ref="AO5:AO54" si="2">AJ5&amp;" dalam "&amp;INDEX($Q$3:$AF$3,MATCH(AI5,$Q5:$AF5,0))</f>
        <v xml:space="preserve"> baik  dalam menyanyikan lagu dengan memperhatikan tempo dan tinggi rendah nada.</v>
      </c>
      <c r="AP5" s="219" t="str">
        <f t="shared" ref="AP5:AP54" si="3">AL5&amp;" dalam "&amp;INDEX($Q$3:$AF$3,MATCH(AK5,$Q5:$AF5,0))</f>
        <v xml:space="preserve"> cukup baik  dalam menggambar dan membentuk tiga dimensi</v>
      </c>
      <c r="AQ5" s="219" t="str">
        <f>AO5&amp;", dan "&amp;AP5</f>
        <v xml:space="preserve"> baik  dalam menyanyikan lagu dengan memperhatikan tempo dan tinggi rendah nada., dan  cukup baik  dalam menggambar dan membentuk tiga dimensi</v>
      </c>
      <c r="AR5" s="219" t="str">
        <f>IF(AO5=AP5,AO5," ")</f>
        <v xml:space="preserve"> </v>
      </c>
      <c r="AS5" s="220" t="str">
        <f>IF(AR5=" ",AQ5,AR5)</f>
        <v xml:space="preserve"> baik  dalam menyanyikan lagu dengan memperhatikan tempo dan tinggi rendah nada., dan  cukup baik  dalam menggambar dan membentuk tiga dimensi</v>
      </c>
      <c r="AT5" s="214" t="str">
        <f>CONCATENATE(D5,AS5)</f>
        <v>Anak 1 baik  dalam menyanyikan lagu dengan memperhatikan tempo dan tinggi rendah nada., dan  cukup baik  dalam menggambar dan membentuk tiga dimensi</v>
      </c>
      <c r="AU5" s="120"/>
      <c r="BD5" s="408">
        <f>IFERROR(AG5,"")</f>
        <v>83</v>
      </c>
      <c r="BE5" s="408">
        <f>COUNTBLANK(BD5:BD54)</f>
        <v>45</v>
      </c>
    </row>
    <row r="6" spans="1:64" ht="68.25" customHeight="1">
      <c r="B6" s="109">
        <v>2</v>
      </c>
      <c r="C6" s="110">
        <f>SISWA!B7</f>
        <v>0</v>
      </c>
      <c r="D6" s="111" t="str">
        <f>SISWA!E7</f>
        <v>Anak 2</v>
      </c>
      <c r="E6" s="520">
        <v>77</v>
      </c>
      <c r="F6" s="520"/>
      <c r="G6" s="520"/>
      <c r="H6" s="520"/>
      <c r="I6" s="520"/>
      <c r="J6" s="520"/>
      <c r="K6" s="520">
        <v>89</v>
      </c>
      <c r="L6" s="520"/>
      <c r="M6" s="520"/>
      <c r="N6" s="520"/>
      <c r="O6" s="520"/>
      <c r="P6" s="520"/>
      <c r="Q6" s="533">
        <f t="shared" ref="Q6:Q54" si="4">IFERROR(AVERAGE(E6:G6),"")</f>
        <v>77</v>
      </c>
      <c r="R6" s="533" t="str">
        <f t="shared" ref="R6:R54" si="5">IFERROR(AVERAGE(H6:J6),"")</f>
        <v/>
      </c>
      <c r="S6" s="533">
        <f t="shared" ref="S6:S54" si="6">IFERROR(AVERAGE(K6:M6),"")</f>
        <v>89</v>
      </c>
      <c r="T6" s="533" t="str">
        <f t="shared" ref="T6:T54" si="7">IFERROR(AVERAGE(N6:P6),"")</f>
        <v/>
      </c>
      <c r="U6" s="514"/>
      <c r="V6" s="513"/>
      <c r="W6" s="513"/>
      <c r="X6" s="513"/>
      <c r="Y6" s="513"/>
      <c r="Z6" s="513"/>
      <c r="AA6" s="513"/>
      <c r="AB6" s="513"/>
      <c r="AC6" s="513"/>
      <c r="AD6" s="514"/>
      <c r="AE6" s="514"/>
      <c r="AF6" s="513"/>
      <c r="AG6" s="302">
        <f t="shared" ref="AG6:AG54" si="8">ROUND((AVERAGE(Q6:AF6)),0)</f>
        <v>83</v>
      </c>
      <c r="AH6" s="303" t="str">
        <f>IF(AG6&gt;KKM!$G$10,"A",IF(AG6&gt;KKM!$H$10,"B",IF(AG6&gt;=KKM!$I$10,"C","D")))</f>
        <v>B</v>
      </c>
      <c r="AI6" s="304">
        <f t="shared" si="0"/>
        <v>89</v>
      </c>
      <c r="AJ6" s="309" t="str">
        <f>IF(AI6&gt;KKM!$G$10," sangat baik ",IF(AI6&gt;KKM!$H$10," baik ",IF(AI6&gt;=KKM!$I$10," cukup baik "," perlu bimbingan ")))</f>
        <v xml:space="preserve"> baik </v>
      </c>
      <c r="AK6" s="305">
        <f t="shared" si="1"/>
        <v>77</v>
      </c>
      <c r="AL6" s="309" t="str">
        <f>IF(AK6&gt;KKM!$G$10," sangat baik ",IF(AK6&gt;KKM!$H$10," baik ",IF(AK6&gt;=KKM!$I$10," cukup baik "," perlu bimbingan ")))</f>
        <v xml:space="preserve"> cukup baik </v>
      </c>
      <c r="AM6" s="301" t="str">
        <f t="shared" ref="AM6:AM54" si="9">IFERROR(AT6," ")</f>
        <v>Anak 2 baik  dalam meragakan gerak tari kreasi daerah., dan  cukup baik  dalam menggambar dan membentuk tiga dimensi</v>
      </c>
      <c r="AN6" s="218"/>
      <c r="AO6" s="219" t="str">
        <f t="shared" si="2"/>
        <v xml:space="preserve"> baik  dalam meragakan gerak tari kreasi daerah.</v>
      </c>
      <c r="AP6" s="219" t="str">
        <f t="shared" si="3"/>
        <v xml:space="preserve"> cukup baik  dalam menggambar dan membentuk tiga dimensi</v>
      </c>
      <c r="AQ6" s="219" t="str">
        <f t="shared" ref="AQ6:AQ54" si="10">AO6&amp;", dan "&amp;AP6</f>
        <v xml:space="preserve"> baik  dalam meragakan gerak tari kreasi daerah., dan  cukup baik  dalam menggambar dan membentuk tiga dimensi</v>
      </c>
      <c r="AR6" s="219" t="str">
        <f t="shared" ref="AR6:AR54" si="11">IF(AO6=AP6,AO6," ")</f>
        <v xml:space="preserve"> </v>
      </c>
      <c r="AS6" s="220" t="str">
        <f t="shared" ref="AS6:AS54" si="12">IF(AR6=" ",AQ6,AR6)</f>
        <v xml:space="preserve"> baik  dalam meragakan gerak tari kreasi daerah., dan  cukup baik  dalam menggambar dan membentuk tiga dimensi</v>
      </c>
      <c r="AT6" s="214" t="str">
        <f t="shared" ref="AT6:AT54" si="13">CONCATENATE(D6,AS6)</f>
        <v>Anak 2 baik  dalam meragakan gerak tari kreasi daerah., dan  cukup baik  dalam menggambar dan membentuk tiga dimensi</v>
      </c>
      <c r="AU6" s="120"/>
      <c r="BD6" s="408">
        <f t="shared" ref="BD6:BD54" si="14">IFERROR(AG6,"")</f>
        <v>83</v>
      </c>
      <c r="BE6" s="442">
        <f>IFERROR(BE3/BE2,"0%")</f>
        <v>0.1</v>
      </c>
    </row>
    <row r="7" spans="1:64" ht="68.25" customHeight="1">
      <c r="B7" s="109">
        <v>3</v>
      </c>
      <c r="C7" s="110">
        <f>SISWA!B8</f>
        <v>0</v>
      </c>
      <c r="D7" s="111" t="str">
        <f>SISWA!E8</f>
        <v>Anak 3</v>
      </c>
      <c r="E7" s="520"/>
      <c r="F7" s="520"/>
      <c r="G7" s="520"/>
      <c r="H7" s="520"/>
      <c r="I7" s="520"/>
      <c r="J7" s="520"/>
      <c r="K7" s="520">
        <v>77</v>
      </c>
      <c r="L7" s="520">
        <v>99</v>
      </c>
      <c r="M7" s="520"/>
      <c r="N7" s="520"/>
      <c r="O7" s="520"/>
      <c r="P7" s="520">
        <v>88</v>
      </c>
      <c r="Q7" s="533" t="str">
        <f t="shared" si="4"/>
        <v/>
      </c>
      <c r="R7" s="533" t="str">
        <f t="shared" si="5"/>
        <v/>
      </c>
      <c r="S7" s="533">
        <f t="shared" si="6"/>
        <v>88</v>
      </c>
      <c r="T7" s="533">
        <f t="shared" si="7"/>
        <v>88</v>
      </c>
      <c r="U7" s="514"/>
      <c r="V7" s="513"/>
      <c r="W7" s="513"/>
      <c r="X7" s="513"/>
      <c r="Y7" s="513"/>
      <c r="Z7" s="513"/>
      <c r="AA7" s="513"/>
      <c r="AB7" s="513"/>
      <c r="AC7" s="513"/>
      <c r="AD7" s="514"/>
      <c r="AE7" s="514"/>
      <c r="AF7" s="513"/>
      <c r="AG7" s="302">
        <f t="shared" si="8"/>
        <v>88</v>
      </c>
      <c r="AH7" s="303" t="str">
        <f>IF(AG7&gt;KKM!$G$10,"A",IF(AG7&gt;KKM!$H$10,"B",IF(AG7&gt;=KKM!$I$10,"C","D")))</f>
        <v>B</v>
      </c>
      <c r="AI7" s="304">
        <f t="shared" si="0"/>
        <v>88</v>
      </c>
      <c r="AJ7" s="309" t="str">
        <f>IF(AI7&gt;KKM!$G$10," sangat baik ",IF(AI7&gt;KKM!$H$10," baik ",IF(AI7&gt;=KKM!$I$10," cukup baik "," perlu bimbingan ")))</f>
        <v xml:space="preserve"> baik </v>
      </c>
      <c r="AK7" s="305">
        <f t="shared" si="1"/>
        <v>88</v>
      </c>
      <c r="AL7" s="309" t="str">
        <f>IF(AK7&gt;KKM!$G$10," sangat baik ",IF(AK7&gt;KKM!$H$10," baik ",IF(AK7&gt;=KKM!$I$10," cukup baik "," perlu bimbingan ")))</f>
        <v xml:space="preserve"> baik </v>
      </c>
      <c r="AM7" s="301" t="str">
        <f t="shared" si="9"/>
        <v>Anak 3 baik  dalam meragakan gerak tari kreasi daerah.</v>
      </c>
      <c r="AN7" s="218"/>
      <c r="AO7" s="219" t="str">
        <f t="shared" si="2"/>
        <v xml:space="preserve"> baik  dalam meragakan gerak tari kreasi daerah.</v>
      </c>
      <c r="AP7" s="219" t="str">
        <f t="shared" si="3"/>
        <v xml:space="preserve"> baik  dalam meragakan gerak tari kreasi daerah.</v>
      </c>
      <c r="AQ7" s="219" t="str">
        <f t="shared" si="10"/>
        <v xml:space="preserve"> baik  dalam meragakan gerak tari kreasi daerah., dan  baik  dalam meragakan gerak tari kreasi daerah.</v>
      </c>
      <c r="AR7" s="219" t="str">
        <f t="shared" si="11"/>
        <v xml:space="preserve"> baik  dalam meragakan gerak tari kreasi daerah.</v>
      </c>
      <c r="AS7" s="220" t="str">
        <f t="shared" si="12"/>
        <v xml:space="preserve"> baik  dalam meragakan gerak tari kreasi daerah.</v>
      </c>
      <c r="AT7" s="214" t="str">
        <f t="shared" si="13"/>
        <v>Anak 3 baik  dalam meragakan gerak tari kreasi daerah.</v>
      </c>
      <c r="AU7" s="120"/>
      <c r="BD7" s="408">
        <f t="shared" si="14"/>
        <v>88</v>
      </c>
    </row>
    <row r="8" spans="1:64" ht="68.25" customHeight="1">
      <c r="B8" s="109">
        <v>4</v>
      </c>
      <c r="C8" s="110">
        <f>SISWA!B9</f>
        <v>0</v>
      </c>
      <c r="D8" s="111" t="str">
        <f>SISWA!E9</f>
        <v>Anak 4</v>
      </c>
      <c r="E8" s="520"/>
      <c r="F8" s="520"/>
      <c r="G8" s="520"/>
      <c r="H8" s="520"/>
      <c r="I8" s="520"/>
      <c r="J8" s="520"/>
      <c r="K8" s="520"/>
      <c r="L8" s="520">
        <v>87</v>
      </c>
      <c r="M8" s="520"/>
      <c r="N8" s="520"/>
      <c r="O8" s="520"/>
      <c r="P8" s="520"/>
      <c r="Q8" s="533" t="str">
        <f t="shared" si="4"/>
        <v/>
      </c>
      <c r="R8" s="533" t="str">
        <f t="shared" si="5"/>
        <v/>
      </c>
      <c r="S8" s="533">
        <f t="shared" si="6"/>
        <v>87</v>
      </c>
      <c r="T8" s="533" t="str">
        <f t="shared" si="7"/>
        <v/>
      </c>
      <c r="U8" s="514"/>
      <c r="V8" s="513"/>
      <c r="W8" s="513"/>
      <c r="X8" s="513"/>
      <c r="Y8" s="513"/>
      <c r="Z8" s="513"/>
      <c r="AA8" s="513"/>
      <c r="AB8" s="513"/>
      <c r="AC8" s="513"/>
      <c r="AD8" s="514"/>
      <c r="AE8" s="514"/>
      <c r="AF8" s="513"/>
      <c r="AG8" s="302">
        <f t="shared" si="8"/>
        <v>87</v>
      </c>
      <c r="AH8" s="303" t="str">
        <f>IF(AG8&gt;KKM!$G$10,"A",IF(AG8&gt;KKM!$H$10,"B",IF(AG8&gt;=KKM!$I$10,"C","D")))</f>
        <v>B</v>
      </c>
      <c r="AI8" s="304">
        <f t="shared" si="0"/>
        <v>87</v>
      </c>
      <c r="AJ8" s="309" t="str">
        <f>IF(AI8&gt;KKM!$G$10," sangat baik ",IF(AI8&gt;KKM!$H$10," baik ",IF(AI8&gt;=KKM!$I$10," cukup baik "," perlu bimbingan ")))</f>
        <v xml:space="preserve"> baik </v>
      </c>
      <c r="AK8" s="305">
        <f t="shared" si="1"/>
        <v>87</v>
      </c>
      <c r="AL8" s="309" t="str">
        <f>IF(AK8&gt;KKM!$G$10," sangat baik ",IF(AK8&gt;KKM!$H$10," baik ",IF(AK8&gt;=KKM!$I$10," cukup baik "," perlu bimbingan ")))</f>
        <v xml:space="preserve"> baik </v>
      </c>
      <c r="AM8" s="301" t="str">
        <f t="shared" si="9"/>
        <v>Anak 4 baik  dalam meragakan gerak tari kreasi daerah.</v>
      </c>
      <c r="AN8" s="218"/>
      <c r="AO8" s="219" t="str">
        <f t="shared" si="2"/>
        <v xml:space="preserve"> baik  dalam meragakan gerak tari kreasi daerah.</v>
      </c>
      <c r="AP8" s="219" t="str">
        <f t="shared" si="3"/>
        <v xml:space="preserve"> baik  dalam meragakan gerak tari kreasi daerah.</v>
      </c>
      <c r="AQ8" s="219" t="str">
        <f t="shared" si="10"/>
        <v xml:space="preserve"> baik  dalam meragakan gerak tari kreasi daerah., dan  baik  dalam meragakan gerak tari kreasi daerah.</v>
      </c>
      <c r="AR8" s="219" t="str">
        <f t="shared" si="11"/>
        <v xml:space="preserve"> baik  dalam meragakan gerak tari kreasi daerah.</v>
      </c>
      <c r="AS8" s="220" t="str">
        <f t="shared" si="12"/>
        <v xml:space="preserve"> baik  dalam meragakan gerak tari kreasi daerah.</v>
      </c>
      <c r="AT8" s="214" t="str">
        <f t="shared" si="13"/>
        <v>Anak 4 baik  dalam meragakan gerak tari kreasi daerah.</v>
      </c>
      <c r="AU8" s="120"/>
      <c r="BD8" s="408">
        <f t="shared" si="14"/>
        <v>87</v>
      </c>
    </row>
    <row r="9" spans="1:64" ht="68.25" customHeight="1">
      <c r="B9" s="109">
        <v>5</v>
      </c>
      <c r="C9" s="110">
        <f>SISWA!B10</f>
        <v>0</v>
      </c>
      <c r="D9" s="111" t="str">
        <f>SISWA!E10</f>
        <v>Anak 5</v>
      </c>
      <c r="E9" s="520"/>
      <c r="F9" s="520"/>
      <c r="G9" s="520"/>
      <c r="H9" s="520"/>
      <c r="I9" s="520"/>
      <c r="J9" s="520"/>
      <c r="K9" s="520"/>
      <c r="L9" s="520"/>
      <c r="M9" s="520"/>
      <c r="N9" s="520"/>
      <c r="O9" s="520">
        <v>88</v>
      </c>
      <c r="P9" s="520"/>
      <c r="Q9" s="533" t="str">
        <f t="shared" si="4"/>
        <v/>
      </c>
      <c r="R9" s="533" t="str">
        <f t="shared" si="5"/>
        <v/>
      </c>
      <c r="S9" s="533" t="str">
        <f t="shared" si="6"/>
        <v/>
      </c>
      <c r="T9" s="533">
        <f t="shared" si="7"/>
        <v>88</v>
      </c>
      <c r="U9" s="514"/>
      <c r="V9" s="513"/>
      <c r="W9" s="513"/>
      <c r="X9" s="513"/>
      <c r="Y9" s="513"/>
      <c r="Z9" s="513"/>
      <c r="AA9" s="513"/>
      <c r="AB9" s="513"/>
      <c r="AC9" s="513"/>
      <c r="AD9" s="514"/>
      <c r="AE9" s="514"/>
      <c r="AF9" s="513"/>
      <c r="AG9" s="302">
        <f t="shared" si="8"/>
        <v>88</v>
      </c>
      <c r="AH9" s="303" t="str">
        <f>IF(AG9&gt;KKM!$G$10,"A",IF(AG9&gt;KKM!$H$10,"B",IF(AG9&gt;=KKM!$I$10,"C","D")))</f>
        <v>B</v>
      </c>
      <c r="AI9" s="304">
        <f t="shared" si="0"/>
        <v>88</v>
      </c>
      <c r="AJ9" s="309" t="str">
        <f>IF(AI9&gt;KKM!$G$10," sangat baik ",IF(AI9&gt;KKM!$H$10," baik ",IF(AI9&gt;=KKM!$I$10," cukup baik "," perlu bimbingan ")))</f>
        <v xml:space="preserve"> baik </v>
      </c>
      <c r="AK9" s="305">
        <f t="shared" si="1"/>
        <v>88</v>
      </c>
      <c r="AL9" s="309" t="str">
        <f>IF(AK9&gt;KKM!$G$10," sangat baik ",IF(AK9&gt;KKM!$H$10," baik ",IF(AK9&gt;=KKM!$I$10," cukup baik "," perlu bimbingan ")))</f>
        <v xml:space="preserve"> baik </v>
      </c>
      <c r="AM9" s="301" t="str">
        <f t="shared" si="9"/>
        <v>Anak 5 baik  dalam membuat karya kolase, montase, aplikasi, dan mozaik.</v>
      </c>
      <c r="AN9" s="218"/>
      <c r="AO9" s="219" t="str">
        <f t="shared" si="2"/>
        <v xml:space="preserve"> baik  dalam membuat karya kolase, montase, aplikasi, dan mozaik.</v>
      </c>
      <c r="AP9" s="219" t="str">
        <f t="shared" si="3"/>
        <v xml:space="preserve"> baik  dalam membuat karya kolase, montase, aplikasi, dan mozaik.</v>
      </c>
      <c r="AQ9" s="219" t="str">
        <f t="shared" si="10"/>
        <v xml:space="preserve"> baik  dalam membuat karya kolase, montase, aplikasi, dan mozaik., dan  baik  dalam membuat karya kolase, montase, aplikasi, dan mozaik.</v>
      </c>
      <c r="AR9" s="219" t="str">
        <f t="shared" si="11"/>
        <v xml:space="preserve"> baik  dalam membuat karya kolase, montase, aplikasi, dan mozaik.</v>
      </c>
      <c r="AS9" s="220" t="str">
        <f t="shared" si="12"/>
        <v xml:space="preserve"> baik  dalam membuat karya kolase, montase, aplikasi, dan mozaik.</v>
      </c>
      <c r="AT9" s="214" t="str">
        <f t="shared" si="13"/>
        <v>Anak 5 baik  dalam membuat karya kolase, montase, aplikasi, dan mozaik.</v>
      </c>
      <c r="AU9" s="120"/>
      <c r="BD9" s="408">
        <f t="shared" si="14"/>
        <v>88</v>
      </c>
    </row>
    <row r="10" spans="1:64" ht="68.25" customHeight="1">
      <c r="B10" s="109">
        <v>6</v>
      </c>
      <c r="C10" s="110">
        <f>SISWA!B11</f>
        <v>0</v>
      </c>
      <c r="D10" s="111" t="str">
        <f>SISWA!E11</f>
        <v>Anak 6</v>
      </c>
      <c r="E10" s="520"/>
      <c r="F10" s="520"/>
      <c r="G10" s="520"/>
      <c r="H10" s="520"/>
      <c r="I10" s="520"/>
      <c r="J10" s="520"/>
      <c r="K10" s="520"/>
      <c r="L10" s="520"/>
      <c r="M10" s="520"/>
      <c r="N10" s="520"/>
      <c r="O10" s="520"/>
      <c r="P10" s="520"/>
      <c r="Q10" s="533" t="str">
        <f t="shared" si="4"/>
        <v/>
      </c>
      <c r="R10" s="533" t="str">
        <f t="shared" si="5"/>
        <v/>
      </c>
      <c r="S10" s="533" t="str">
        <f t="shared" si="6"/>
        <v/>
      </c>
      <c r="T10" s="533" t="str">
        <f t="shared" si="7"/>
        <v/>
      </c>
      <c r="U10" s="514"/>
      <c r="V10" s="513"/>
      <c r="W10" s="513"/>
      <c r="X10" s="513"/>
      <c r="Y10" s="513"/>
      <c r="Z10" s="513"/>
      <c r="AA10" s="513"/>
      <c r="AB10" s="513"/>
      <c r="AC10" s="513"/>
      <c r="AD10" s="514"/>
      <c r="AE10" s="514"/>
      <c r="AF10" s="513"/>
      <c r="AG10" s="302" t="e">
        <f t="shared" si="8"/>
        <v>#DIV/0!</v>
      </c>
      <c r="AH10" s="303" t="e">
        <f>IF(AG10&gt;KKM!$G$10,"A",IF(AG10&gt;KKM!$H$10,"B",IF(AG10&gt;=KKM!$I$10,"C","D")))</f>
        <v>#DIV/0!</v>
      </c>
      <c r="AI10" s="304">
        <f t="shared" si="0"/>
        <v>0</v>
      </c>
      <c r="AJ10" s="309" t="str">
        <f>IF(AI10&gt;KKM!$G$10," sangat baik ",IF(AI10&gt;KKM!$H$10," baik ",IF(AI10&gt;=KKM!$I$10," cukup baik "," perlu bimbingan ")))</f>
        <v xml:space="preserve"> perlu bimbingan </v>
      </c>
      <c r="AK10" s="305">
        <f t="shared" si="1"/>
        <v>0</v>
      </c>
      <c r="AL10" s="309" t="str">
        <f>IF(AK10&gt;KKM!$G$10," sangat baik ",IF(AK10&gt;KKM!$H$10," baik ",IF(AK10&gt;=KKM!$I$10," cukup baik "," perlu bimbingan ")))</f>
        <v xml:space="preserve"> perlu bimbingan </v>
      </c>
      <c r="AM10" s="301" t="str">
        <f t="shared" si="9"/>
        <v xml:space="preserve"> </v>
      </c>
      <c r="AN10" s="218"/>
      <c r="AO10" s="219" t="e">
        <f t="shared" si="2"/>
        <v>#N/A</v>
      </c>
      <c r="AP10" s="219" t="e">
        <f t="shared" si="3"/>
        <v>#N/A</v>
      </c>
      <c r="AQ10" s="219" t="e">
        <f t="shared" si="10"/>
        <v>#N/A</v>
      </c>
      <c r="AR10" s="219" t="e">
        <f t="shared" si="11"/>
        <v>#N/A</v>
      </c>
      <c r="AS10" s="220" t="e">
        <f t="shared" si="12"/>
        <v>#N/A</v>
      </c>
      <c r="AT10" s="214" t="e">
        <f t="shared" si="13"/>
        <v>#N/A</v>
      </c>
      <c r="AU10" s="120"/>
      <c r="BD10" s="408" t="str">
        <f t="shared" si="14"/>
        <v/>
      </c>
    </row>
    <row r="11" spans="1:64" ht="68.25" customHeight="1">
      <c r="B11" s="109">
        <v>7</v>
      </c>
      <c r="C11" s="110">
        <f>SISWA!B12</f>
        <v>0</v>
      </c>
      <c r="D11" s="111" t="str">
        <f>SISWA!E12</f>
        <v>Anak 7</v>
      </c>
      <c r="E11" s="520"/>
      <c r="F11" s="520"/>
      <c r="G11" s="520"/>
      <c r="H11" s="520"/>
      <c r="I11" s="520"/>
      <c r="J11" s="520"/>
      <c r="K11" s="520"/>
      <c r="L11" s="520"/>
      <c r="M11" s="520"/>
      <c r="N11" s="520"/>
      <c r="O11" s="520"/>
      <c r="P11" s="520"/>
      <c r="Q11" s="533" t="str">
        <f t="shared" si="4"/>
        <v/>
      </c>
      <c r="R11" s="533" t="str">
        <f t="shared" si="5"/>
        <v/>
      </c>
      <c r="S11" s="533" t="str">
        <f t="shared" si="6"/>
        <v/>
      </c>
      <c r="T11" s="533" t="str">
        <f t="shared" si="7"/>
        <v/>
      </c>
      <c r="U11" s="514"/>
      <c r="V11" s="513"/>
      <c r="W11" s="513"/>
      <c r="X11" s="513"/>
      <c r="Y11" s="513"/>
      <c r="Z11" s="513"/>
      <c r="AA11" s="513"/>
      <c r="AB11" s="513"/>
      <c r="AC11" s="513"/>
      <c r="AD11" s="514"/>
      <c r="AE11" s="514"/>
      <c r="AF11" s="513"/>
      <c r="AG11" s="302" t="e">
        <f t="shared" si="8"/>
        <v>#DIV/0!</v>
      </c>
      <c r="AH11" s="303" t="e">
        <f>IF(AG11&gt;KKM!$G$10,"A",IF(AG11&gt;KKM!$H$10,"B",IF(AG11&gt;=KKM!$I$10,"C","D")))</f>
        <v>#DIV/0!</v>
      </c>
      <c r="AI11" s="304">
        <f t="shared" si="0"/>
        <v>0</v>
      </c>
      <c r="AJ11" s="309" t="str">
        <f>IF(AI11&gt;KKM!$G$10," sangat baik ",IF(AI11&gt;KKM!$H$10," baik ",IF(AI11&gt;=KKM!$I$10," cukup baik "," perlu bimbingan ")))</f>
        <v xml:space="preserve"> perlu bimbingan </v>
      </c>
      <c r="AK11" s="305">
        <f t="shared" si="1"/>
        <v>0</v>
      </c>
      <c r="AL11" s="309" t="str">
        <f>IF(AK11&gt;KKM!$G$10," sangat baik ",IF(AK11&gt;KKM!$H$10," baik ",IF(AK11&gt;=KKM!$I$10," cukup baik "," perlu bimbingan ")))</f>
        <v xml:space="preserve"> perlu bimbingan </v>
      </c>
      <c r="AM11" s="301" t="str">
        <f t="shared" si="9"/>
        <v xml:space="preserve"> </v>
      </c>
      <c r="AN11" s="218"/>
      <c r="AO11" s="219" t="e">
        <f t="shared" si="2"/>
        <v>#N/A</v>
      </c>
      <c r="AP11" s="219" t="e">
        <f t="shared" si="3"/>
        <v>#N/A</v>
      </c>
      <c r="AQ11" s="219" t="e">
        <f t="shared" si="10"/>
        <v>#N/A</v>
      </c>
      <c r="AR11" s="219" t="e">
        <f t="shared" si="11"/>
        <v>#N/A</v>
      </c>
      <c r="AS11" s="220" t="e">
        <f t="shared" si="12"/>
        <v>#N/A</v>
      </c>
      <c r="AT11" s="214" t="e">
        <f t="shared" si="13"/>
        <v>#N/A</v>
      </c>
      <c r="AU11" s="120"/>
      <c r="BD11" s="408" t="str">
        <f t="shared" si="14"/>
        <v/>
      </c>
    </row>
    <row r="12" spans="1:64" ht="68.25" customHeight="1">
      <c r="B12" s="109">
        <v>8</v>
      </c>
      <c r="C12" s="110">
        <f>SISWA!B13</f>
        <v>0</v>
      </c>
      <c r="D12" s="111" t="str">
        <f>SISWA!E13</f>
        <v>Anak 8</v>
      </c>
      <c r="E12" s="520"/>
      <c r="F12" s="520"/>
      <c r="G12" s="520"/>
      <c r="H12" s="520"/>
      <c r="I12" s="520"/>
      <c r="J12" s="520"/>
      <c r="K12" s="520"/>
      <c r="L12" s="520"/>
      <c r="M12" s="520"/>
      <c r="N12" s="520"/>
      <c r="O12" s="520"/>
      <c r="P12" s="520"/>
      <c r="Q12" s="533" t="str">
        <f t="shared" si="4"/>
        <v/>
      </c>
      <c r="R12" s="533" t="str">
        <f t="shared" si="5"/>
        <v/>
      </c>
      <c r="S12" s="533" t="str">
        <f t="shared" si="6"/>
        <v/>
      </c>
      <c r="T12" s="533" t="str">
        <f t="shared" si="7"/>
        <v/>
      </c>
      <c r="U12" s="514"/>
      <c r="V12" s="513"/>
      <c r="W12" s="513"/>
      <c r="X12" s="513"/>
      <c r="Y12" s="513"/>
      <c r="Z12" s="513"/>
      <c r="AA12" s="513"/>
      <c r="AB12" s="513"/>
      <c r="AC12" s="513"/>
      <c r="AD12" s="514"/>
      <c r="AE12" s="514"/>
      <c r="AF12" s="513"/>
      <c r="AG12" s="302" t="e">
        <f t="shared" si="8"/>
        <v>#DIV/0!</v>
      </c>
      <c r="AH12" s="303" t="e">
        <f>IF(AG12&gt;KKM!$G$10,"A",IF(AG12&gt;KKM!$H$10,"B",IF(AG12&gt;=KKM!$I$10,"C","D")))</f>
        <v>#DIV/0!</v>
      </c>
      <c r="AI12" s="304">
        <f t="shared" si="0"/>
        <v>0</v>
      </c>
      <c r="AJ12" s="309" t="str">
        <f>IF(AI12&gt;KKM!$G$10," sangat baik ",IF(AI12&gt;KKM!$H$10," baik ",IF(AI12&gt;=KKM!$I$10," cukup baik "," perlu bimbingan ")))</f>
        <v xml:space="preserve"> perlu bimbingan </v>
      </c>
      <c r="AK12" s="305">
        <f t="shared" si="1"/>
        <v>0</v>
      </c>
      <c r="AL12" s="309" t="str">
        <f>IF(AK12&gt;KKM!$G$10," sangat baik ",IF(AK12&gt;KKM!$H$10," baik ",IF(AK12&gt;=KKM!$I$10," cukup baik "," perlu bimbingan ")))</f>
        <v xml:space="preserve"> perlu bimbingan </v>
      </c>
      <c r="AM12" s="301" t="str">
        <f t="shared" si="9"/>
        <v xml:space="preserve"> </v>
      </c>
      <c r="AN12" s="218"/>
      <c r="AO12" s="219" t="e">
        <f t="shared" si="2"/>
        <v>#N/A</v>
      </c>
      <c r="AP12" s="219" t="e">
        <f t="shared" si="3"/>
        <v>#N/A</v>
      </c>
      <c r="AQ12" s="219" t="e">
        <f t="shared" si="10"/>
        <v>#N/A</v>
      </c>
      <c r="AR12" s="219" t="e">
        <f t="shared" si="11"/>
        <v>#N/A</v>
      </c>
      <c r="AS12" s="220" t="e">
        <f t="shared" si="12"/>
        <v>#N/A</v>
      </c>
      <c r="AT12" s="214" t="e">
        <f t="shared" si="13"/>
        <v>#N/A</v>
      </c>
      <c r="AU12" s="120"/>
      <c r="BD12" s="408" t="str">
        <f t="shared" si="14"/>
        <v/>
      </c>
    </row>
    <row r="13" spans="1:64" ht="68.25" customHeight="1">
      <c r="B13" s="109">
        <v>9</v>
      </c>
      <c r="C13" s="110">
        <f>SISWA!B14</f>
        <v>0</v>
      </c>
      <c r="D13" s="111" t="str">
        <f>SISWA!E14</f>
        <v>Anak 9</v>
      </c>
      <c r="E13" s="520"/>
      <c r="F13" s="520"/>
      <c r="G13" s="520"/>
      <c r="H13" s="520"/>
      <c r="I13" s="520"/>
      <c r="J13" s="520"/>
      <c r="K13" s="520"/>
      <c r="L13" s="520"/>
      <c r="M13" s="520"/>
      <c r="N13" s="520"/>
      <c r="O13" s="520"/>
      <c r="P13" s="520"/>
      <c r="Q13" s="533" t="str">
        <f t="shared" si="4"/>
        <v/>
      </c>
      <c r="R13" s="533" t="str">
        <f t="shared" si="5"/>
        <v/>
      </c>
      <c r="S13" s="533" t="str">
        <f t="shared" si="6"/>
        <v/>
      </c>
      <c r="T13" s="533" t="str">
        <f t="shared" si="7"/>
        <v/>
      </c>
      <c r="U13" s="514"/>
      <c r="V13" s="513"/>
      <c r="W13" s="513"/>
      <c r="X13" s="513"/>
      <c r="Y13" s="513"/>
      <c r="Z13" s="513"/>
      <c r="AA13" s="513"/>
      <c r="AB13" s="513"/>
      <c r="AC13" s="513"/>
      <c r="AD13" s="514"/>
      <c r="AE13" s="514"/>
      <c r="AF13" s="513"/>
      <c r="AG13" s="302" t="e">
        <f t="shared" si="8"/>
        <v>#DIV/0!</v>
      </c>
      <c r="AH13" s="303" t="e">
        <f>IF(AG13&gt;KKM!$G$10,"A",IF(AG13&gt;KKM!$H$10,"B",IF(AG13&gt;=KKM!$I$10,"C","D")))</f>
        <v>#DIV/0!</v>
      </c>
      <c r="AI13" s="304">
        <f t="shared" si="0"/>
        <v>0</v>
      </c>
      <c r="AJ13" s="309" t="str">
        <f>IF(AI13&gt;KKM!$G$10," sangat baik ",IF(AI13&gt;KKM!$H$10," baik ",IF(AI13&gt;=KKM!$I$10," cukup baik "," perlu bimbingan ")))</f>
        <v xml:space="preserve"> perlu bimbingan </v>
      </c>
      <c r="AK13" s="305">
        <f t="shared" si="1"/>
        <v>0</v>
      </c>
      <c r="AL13" s="309" t="str">
        <f>IF(AK13&gt;KKM!$G$10," sangat baik ",IF(AK13&gt;KKM!$H$10," baik ",IF(AK13&gt;=KKM!$I$10," cukup baik "," perlu bimbingan ")))</f>
        <v xml:space="preserve"> perlu bimbingan </v>
      </c>
      <c r="AM13" s="301" t="str">
        <f t="shared" si="9"/>
        <v xml:space="preserve"> </v>
      </c>
      <c r="AN13" s="218"/>
      <c r="AO13" s="219" t="e">
        <f t="shared" si="2"/>
        <v>#N/A</v>
      </c>
      <c r="AP13" s="219" t="e">
        <f t="shared" si="3"/>
        <v>#N/A</v>
      </c>
      <c r="AQ13" s="219" t="e">
        <f t="shared" si="10"/>
        <v>#N/A</v>
      </c>
      <c r="AR13" s="219" t="e">
        <f t="shared" si="11"/>
        <v>#N/A</v>
      </c>
      <c r="AS13" s="220" t="e">
        <f t="shared" si="12"/>
        <v>#N/A</v>
      </c>
      <c r="AT13" s="214" t="e">
        <f t="shared" si="13"/>
        <v>#N/A</v>
      </c>
      <c r="AU13" s="120"/>
      <c r="BD13" s="408" t="str">
        <f t="shared" si="14"/>
        <v/>
      </c>
    </row>
    <row r="14" spans="1:64" ht="68.25" customHeight="1">
      <c r="B14" s="109">
        <v>10</v>
      </c>
      <c r="C14" s="110">
        <f>SISWA!B15</f>
        <v>0</v>
      </c>
      <c r="D14" s="111" t="str">
        <f>SISWA!E15</f>
        <v>Anak 10</v>
      </c>
      <c r="E14" s="520"/>
      <c r="F14" s="520"/>
      <c r="G14" s="520"/>
      <c r="H14" s="520"/>
      <c r="I14" s="520"/>
      <c r="J14" s="520"/>
      <c r="K14" s="520"/>
      <c r="L14" s="520"/>
      <c r="M14" s="520"/>
      <c r="N14" s="520"/>
      <c r="O14" s="520"/>
      <c r="P14" s="520"/>
      <c r="Q14" s="533" t="str">
        <f t="shared" si="4"/>
        <v/>
      </c>
      <c r="R14" s="533" t="str">
        <f t="shared" si="5"/>
        <v/>
      </c>
      <c r="S14" s="533" t="str">
        <f t="shared" si="6"/>
        <v/>
      </c>
      <c r="T14" s="533" t="str">
        <f t="shared" si="7"/>
        <v/>
      </c>
      <c r="U14" s="514"/>
      <c r="V14" s="513"/>
      <c r="W14" s="513"/>
      <c r="X14" s="513"/>
      <c r="Y14" s="513"/>
      <c r="Z14" s="513"/>
      <c r="AA14" s="513"/>
      <c r="AB14" s="513"/>
      <c r="AC14" s="513"/>
      <c r="AD14" s="514"/>
      <c r="AE14" s="514"/>
      <c r="AF14" s="513"/>
      <c r="AG14" s="302" t="e">
        <f t="shared" si="8"/>
        <v>#DIV/0!</v>
      </c>
      <c r="AH14" s="303" t="e">
        <f>IF(AG14&gt;KKM!$G$10,"A",IF(AG14&gt;KKM!$H$10,"B",IF(AG14&gt;=KKM!$I$10,"C","D")))</f>
        <v>#DIV/0!</v>
      </c>
      <c r="AI14" s="304">
        <f t="shared" si="0"/>
        <v>0</v>
      </c>
      <c r="AJ14" s="309" t="str">
        <f>IF(AI14&gt;KKM!$G$10," sangat baik ",IF(AI14&gt;KKM!$H$10," baik ",IF(AI14&gt;=KKM!$I$10," cukup baik "," perlu bimbingan ")))</f>
        <v xml:space="preserve"> perlu bimbingan </v>
      </c>
      <c r="AK14" s="305">
        <f t="shared" si="1"/>
        <v>0</v>
      </c>
      <c r="AL14" s="309" t="str">
        <f>IF(AK14&gt;KKM!$G$10," sangat baik ",IF(AK14&gt;KKM!$H$10," baik ",IF(AK14&gt;=KKM!$I$10," cukup baik "," perlu bimbingan ")))</f>
        <v xml:space="preserve"> perlu bimbingan </v>
      </c>
      <c r="AM14" s="301" t="str">
        <f t="shared" si="9"/>
        <v xml:space="preserve"> </v>
      </c>
      <c r="AN14" s="218"/>
      <c r="AO14" s="219" t="e">
        <f t="shared" si="2"/>
        <v>#N/A</v>
      </c>
      <c r="AP14" s="219" t="e">
        <f t="shared" si="3"/>
        <v>#N/A</v>
      </c>
      <c r="AQ14" s="219" t="e">
        <f t="shared" si="10"/>
        <v>#N/A</v>
      </c>
      <c r="AR14" s="219" t="e">
        <f t="shared" si="11"/>
        <v>#N/A</v>
      </c>
      <c r="AS14" s="220" t="e">
        <f t="shared" si="12"/>
        <v>#N/A</v>
      </c>
      <c r="AT14" s="214" t="e">
        <f t="shared" si="13"/>
        <v>#N/A</v>
      </c>
      <c r="AU14" s="120"/>
      <c r="BD14" s="408" t="str">
        <f t="shared" si="14"/>
        <v/>
      </c>
    </row>
    <row r="15" spans="1:64" ht="68.25" customHeight="1">
      <c r="B15" s="109">
        <v>11</v>
      </c>
      <c r="C15" s="110">
        <f>SISWA!B16</f>
        <v>0</v>
      </c>
      <c r="D15" s="111" t="str">
        <f>SISWA!E16</f>
        <v>Anak 11</v>
      </c>
      <c r="E15" s="520"/>
      <c r="F15" s="520"/>
      <c r="G15" s="520"/>
      <c r="H15" s="520"/>
      <c r="I15" s="520"/>
      <c r="J15" s="520"/>
      <c r="K15" s="520"/>
      <c r="L15" s="520"/>
      <c r="M15" s="520"/>
      <c r="N15" s="520"/>
      <c r="O15" s="520"/>
      <c r="P15" s="520"/>
      <c r="Q15" s="533" t="str">
        <f t="shared" si="4"/>
        <v/>
      </c>
      <c r="R15" s="533" t="str">
        <f t="shared" si="5"/>
        <v/>
      </c>
      <c r="S15" s="533" t="str">
        <f t="shared" si="6"/>
        <v/>
      </c>
      <c r="T15" s="533" t="str">
        <f t="shared" si="7"/>
        <v/>
      </c>
      <c r="U15" s="514"/>
      <c r="V15" s="513"/>
      <c r="W15" s="513"/>
      <c r="X15" s="513"/>
      <c r="Y15" s="513"/>
      <c r="Z15" s="513"/>
      <c r="AA15" s="513"/>
      <c r="AB15" s="513"/>
      <c r="AC15" s="513"/>
      <c r="AD15" s="514"/>
      <c r="AE15" s="514"/>
      <c r="AF15" s="513"/>
      <c r="AG15" s="302" t="e">
        <f t="shared" si="8"/>
        <v>#DIV/0!</v>
      </c>
      <c r="AH15" s="303" t="e">
        <f>IF(AG15&gt;KKM!$G$10,"A",IF(AG15&gt;KKM!$H$10,"B",IF(AG15&gt;=KKM!$I$10,"C","D")))</f>
        <v>#DIV/0!</v>
      </c>
      <c r="AI15" s="304">
        <f t="shared" si="0"/>
        <v>0</v>
      </c>
      <c r="AJ15" s="309" t="str">
        <f>IF(AI15&gt;KKM!$G$10," sangat baik ",IF(AI15&gt;KKM!$H$10," baik ",IF(AI15&gt;=KKM!$I$10," cukup baik "," perlu bimbingan ")))</f>
        <v xml:space="preserve"> perlu bimbingan </v>
      </c>
      <c r="AK15" s="305">
        <f t="shared" si="1"/>
        <v>0</v>
      </c>
      <c r="AL15" s="309" t="str">
        <f>IF(AK15&gt;KKM!$G$10," sangat baik ",IF(AK15&gt;KKM!$H$10," baik ",IF(AK15&gt;=KKM!$I$10," cukup baik "," perlu bimbingan ")))</f>
        <v xml:space="preserve"> perlu bimbingan </v>
      </c>
      <c r="AM15" s="301" t="str">
        <f t="shared" si="9"/>
        <v xml:space="preserve"> </v>
      </c>
      <c r="AN15" s="218"/>
      <c r="AO15" s="219" t="e">
        <f t="shared" si="2"/>
        <v>#N/A</v>
      </c>
      <c r="AP15" s="219" t="e">
        <f t="shared" si="3"/>
        <v>#N/A</v>
      </c>
      <c r="AQ15" s="219" t="e">
        <f t="shared" si="10"/>
        <v>#N/A</v>
      </c>
      <c r="AR15" s="219" t="e">
        <f t="shared" si="11"/>
        <v>#N/A</v>
      </c>
      <c r="AS15" s="220" t="e">
        <f t="shared" si="12"/>
        <v>#N/A</v>
      </c>
      <c r="AT15" s="214" t="e">
        <f t="shared" si="13"/>
        <v>#N/A</v>
      </c>
      <c r="AU15" s="120"/>
      <c r="BD15" s="408" t="str">
        <f t="shared" si="14"/>
        <v/>
      </c>
    </row>
    <row r="16" spans="1:64" ht="68.25" customHeight="1">
      <c r="B16" s="109">
        <v>12</v>
      </c>
      <c r="C16" s="110">
        <f>SISWA!B17</f>
        <v>0</v>
      </c>
      <c r="D16" s="111" t="str">
        <f>SISWA!E17</f>
        <v>Anak 12</v>
      </c>
      <c r="E16" s="520"/>
      <c r="F16" s="520"/>
      <c r="G16" s="520"/>
      <c r="H16" s="520"/>
      <c r="I16" s="520"/>
      <c r="J16" s="520"/>
      <c r="K16" s="520"/>
      <c r="L16" s="520"/>
      <c r="M16" s="520"/>
      <c r="N16" s="520"/>
      <c r="O16" s="520"/>
      <c r="P16" s="520"/>
      <c r="Q16" s="533" t="str">
        <f t="shared" si="4"/>
        <v/>
      </c>
      <c r="R16" s="533" t="str">
        <f t="shared" si="5"/>
        <v/>
      </c>
      <c r="S16" s="533" t="str">
        <f t="shared" si="6"/>
        <v/>
      </c>
      <c r="T16" s="533" t="str">
        <f t="shared" si="7"/>
        <v/>
      </c>
      <c r="U16" s="514"/>
      <c r="V16" s="513"/>
      <c r="W16" s="513"/>
      <c r="X16" s="513"/>
      <c r="Y16" s="513"/>
      <c r="Z16" s="513"/>
      <c r="AA16" s="513"/>
      <c r="AB16" s="513"/>
      <c r="AC16" s="513"/>
      <c r="AD16" s="514"/>
      <c r="AE16" s="514"/>
      <c r="AF16" s="513"/>
      <c r="AG16" s="302" t="e">
        <f t="shared" si="8"/>
        <v>#DIV/0!</v>
      </c>
      <c r="AH16" s="303" t="e">
        <f>IF(AG16&gt;KKM!$G$10,"A",IF(AG16&gt;KKM!$H$10,"B",IF(AG16&gt;=KKM!$I$10,"C","D")))</f>
        <v>#DIV/0!</v>
      </c>
      <c r="AI16" s="304">
        <f t="shared" si="0"/>
        <v>0</v>
      </c>
      <c r="AJ16" s="309" t="str">
        <f>IF(AI16&gt;KKM!$G$10," sangat baik ",IF(AI16&gt;KKM!$H$10," baik ",IF(AI16&gt;=KKM!$I$10," cukup baik "," perlu bimbingan ")))</f>
        <v xml:space="preserve"> perlu bimbingan </v>
      </c>
      <c r="AK16" s="305">
        <f t="shared" si="1"/>
        <v>0</v>
      </c>
      <c r="AL16" s="309" t="str">
        <f>IF(AK16&gt;KKM!$G$10," sangat baik ",IF(AK16&gt;KKM!$H$10," baik ",IF(AK16&gt;=KKM!$I$10," cukup baik "," perlu bimbingan ")))</f>
        <v xml:space="preserve"> perlu bimbingan </v>
      </c>
      <c r="AM16" s="301" t="str">
        <f t="shared" si="9"/>
        <v xml:space="preserve"> </v>
      </c>
      <c r="AN16" s="218"/>
      <c r="AO16" s="219" t="e">
        <f t="shared" si="2"/>
        <v>#N/A</v>
      </c>
      <c r="AP16" s="219" t="e">
        <f t="shared" si="3"/>
        <v>#N/A</v>
      </c>
      <c r="AQ16" s="219" t="e">
        <f t="shared" si="10"/>
        <v>#N/A</v>
      </c>
      <c r="AR16" s="219" t="e">
        <f t="shared" si="11"/>
        <v>#N/A</v>
      </c>
      <c r="AS16" s="220" t="e">
        <f t="shared" si="12"/>
        <v>#N/A</v>
      </c>
      <c r="AT16" s="214" t="e">
        <f t="shared" si="13"/>
        <v>#N/A</v>
      </c>
      <c r="AU16" s="120"/>
      <c r="BD16" s="408" t="str">
        <f t="shared" si="14"/>
        <v/>
      </c>
    </row>
    <row r="17" spans="2:56" ht="68.25" customHeight="1">
      <c r="B17" s="109">
        <v>13</v>
      </c>
      <c r="C17" s="110">
        <f>SISWA!B18</f>
        <v>0</v>
      </c>
      <c r="D17" s="111" t="str">
        <f>SISWA!E18</f>
        <v>Anak 13</v>
      </c>
      <c r="E17" s="520"/>
      <c r="F17" s="520"/>
      <c r="G17" s="520"/>
      <c r="H17" s="520"/>
      <c r="I17" s="520"/>
      <c r="J17" s="520"/>
      <c r="K17" s="520"/>
      <c r="L17" s="520"/>
      <c r="M17" s="520"/>
      <c r="N17" s="520"/>
      <c r="O17" s="520"/>
      <c r="P17" s="520"/>
      <c r="Q17" s="533" t="str">
        <f t="shared" si="4"/>
        <v/>
      </c>
      <c r="R17" s="533" t="str">
        <f t="shared" si="5"/>
        <v/>
      </c>
      <c r="S17" s="533" t="str">
        <f t="shared" si="6"/>
        <v/>
      </c>
      <c r="T17" s="533" t="str">
        <f t="shared" si="7"/>
        <v/>
      </c>
      <c r="U17" s="514"/>
      <c r="V17" s="513"/>
      <c r="W17" s="513"/>
      <c r="X17" s="513"/>
      <c r="Y17" s="513"/>
      <c r="Z17" s="513"/>
      <c r="AA17" s="513"/>
      <c r="AB17" s="513"/>
      <c r="AC17" s="513"/>
      <c r="AD17" s="514"/>
      <c r="AE17" s="514"/>
      <c r="AF17" s="513"/>
      <c r="AG17" s="302" t="e">
        <f t="shared" si="8"/>
        <v>#DIV/0!</v>
      </c>
      <c r="AH17" s="303" t="e">
        <f>IF(AG17&gt;KKM!$G$10,"A",IF(AG17&gt;KKM!$H$10,"B",IF(AG17&gt;=KKM!$I$10,"C","D")))</f>
        <v>#DIV/0!</v>
      </c>
      <c r="AI17" s="304">
        <f t="shared" si="0"/>
        <v>0</v>
      </c>
      <c r="AJ17" s="309" t="str">
        <f>IF(AI17&gt;KKM!$G$10," sangat baik ",IF(AI17&gt;KKM!$H$10," baik ",IF(AI17&gt;=KKM!$I$10," cukup baik "," perlu bimbingan ")))</f>
        <v xml:space="preserve"> perlu bimbingan </v>
      </c>
      <c r="AK17" s="305">
        <f t="shared" si="1"/>
        <v>0</v>
      </c>
      <c r="AL17" s="309" t="str">
        <f>IF(AK17&gt;KKM!$G$10," sangat baik ",IF(AK17&gt;KKM!$H$10," baik ",IF(AK17&gt;=KKM!$I$10," cukup baik "," perlu bimbingan ")))</f>
        <v xml:space="preserve"> perlu bimbingan </v>
      </c>
      <c r="AM17" s="301" t="str">
        <f t="shared" si="9"/>
        <v xml:space="preserve"> </v>
      </c>
      <c r="AN17" s="218"/>
      <c r="AO17" s="219" t="e">
        <f t="shared" si="2"/>
        <v>#N/A</v>
      </c>
      <c r="AP17" s="219" t="e">
        <f t="shared" si="3"/>
        <v>#N/A</v>
      </c>
      <c r="AQ17" s="219" t="e">
        <f t="shared" si="10"/>
        <v>#N/A</v>
      </c>
      <c r="AR17" s="219" t="e">
        <f t="shared" si="11"/>
        <v>#N/A</v>
      </c>
      <c r="AS17" s="220" t="e">
        <f t="shared" si="12"/>
        <v>#N/A</v>
      </c>
      <c r="AT17" s="214" t="e">
        <f t="shared" si="13"/>
        <v>#N/A</v>
      </c>
      <c r="AU17" s="120"/>
      <c r="BD17" s="408" t="str">
        <f t="shared" si="14"/>
        <v/>
      </c>
    </row>
    <row r="18" spans="2:56" ht="68.25" customHeight="1">
      <c r="B18" s="109">
        <v>14</v>
      </c>
      <c r="C18" s="110">
        <f>SISWA!B19</f>
        <v>0</v>
      </c>
      <c r="D18" s="111" t="str">
        <f>SISWA!E19</f>
        <v>Anak 14</v>
      </c>
      <c r="E18" s="520"/>
      <c r="F18" s="520"/>
      <c r="G18" s="520"/>
      <c r="H18" s="520"/>
      <c r="I18" s="520"/>
      <c r="J18" s="520"/>
      <c r="K18" s="520"/>
      <c r="L18" s="520"/>
      <c r="M18" s="520"/>
      <c r="N18" s="520"/>
      <c r="O18" s="520"/>
      <c r="P18" s="520"/>
      <c r="Q18" s="533" t="str">
        <f t="shared" si="4"/>
        <v/>
      </c>
      <c r="R18" s="533" t="str">
        <f t="shared" si="5"/>
        <v/>
      </c>
      <c r="S18" s="533" t="str">
        <f t="shared" si="6"/>
        <v/>
      </c>
      <c r="T18" s="533" t="str">
        <f t="shared" si="7"/>
        <v/>
      </c>
      <c r="U18" s="514"/>
      <c r="V18" s="513"/>
      <c r="W18" s="513"/>
      <c r="X18" s="513"/>
      <c r="Y18" s="513"/>
      <c r="Z18" s="513"/>
      <c r="AA18" s="513"/>
      <c r="AB18" s="513"/>
      <c r="AC18" s="513"/>
      <c r="AD18" s="514"/>
      <c r="AE18" s="514"/>
      <c r="AF18" s="513"/>
      <c r="AG18" s="302" t="e">
        <f t="shared" si="8"/>
        <v>#DIV/0!</v>
      </c>
      <c r="AH18" s="303" t="e">
        <f>IF(AG18&gt;KKM!$G$10,"A",IF(AG18&gt;KKM!$H$10,"B",IF(AG18&gt;=KKM!$I$10,"C","D")))</f>
        <v>#DIV/0!</v>
      </c>
      <c r="AI18" s="304">
        <f t="shared" si="0"/>
        <v>0</v>
      </c>
      <c r="AJ18" s="309" t="str">
        <f>IF(AI18&gt;KKM!$G$10," sangat baik ",IF(AI18&gt;KKM!$H$10," baik ",IF(AI18&gt;=KKM!$I$10," cukup baik "," perlu bimbingan ")))</f>
        <v xml:space="preserve"> perlu bimbingan </v>
      </c>
      <c r="AK18" s="305">
        <f t="shared" si="1"/>
        <v>0</v>
      </c>
      <c r="AL18" s="309" t="str">
        <f>IF(AK18&gt;KKM!$G$10," sangat baik ",IF(AK18&gt;KKM!$H$10," baik ",IF(AK18&gt;=KKM!$I$10," cukup baik "," perlu bimbingan ")))</f>
        <v xml:space="preserve"> perlu bimbingan </v>
      </c>
      <c r="AM18" s="301" t="str">
        <f t="shared" si="9"/>
        <v xml:space="preserve"> </v>
      </c>
      <c r="AN18" s="218"/>
      <c r="AO18" s="219" t="e">
        <f t="shared" si="2"/>
        <v>#N/A</v>
      </c>
      <c r="AP18" s="219" t="e">
        <f t="shared" si="3"/>
        <v>#N/A</v>
      </c>
      <c r="AQ18" s="219" t="e">
        <f t="shared" si="10"/>
        <v>#N/A</v>
      </c>
      <c r="AR18" s="219" t="e">
        <f t="shared" si="11"/>
        <v>#N/A</v>
      </c>
      <c r="AS18" s="220" t="e">
        <f t="shared" si="12"/>
        <v>#N/A</v>
      </c>
      <c r="AT18" s="214" t="e">
        <f t="shared" si="13"/>
        <v>#N/A</v>
      </c>
      <c r="AU18" s="120"/>
      <c r="BD18" s="408" t="str">
        <f t="shared" si="14"/>
        <v/>
      </c>
    </row>
    <row r="19" spans="2:56" ht="68.25" customHeight="1">
      <c r="B19" s="109">
        <v>15</v>
      </c>
      <c r="C19" s="110">
        <f>SISWA!B20</f>
        <v>0</v>
      </c>
      <c r="D19" s="111" t="str">
        <f>SISWA!E20</f>
        <v>Anak 15</v>
      </c>
      <c r="E19" s="520"/>
      <c r="F19" s="520"/>
      <c r="G19" s="520"/>
      <c r="H19" s="520"/>
      <c r="I19" s="520"/>
      <c r="J19" s="520"/>
      <c r="K19" s="520"/>
      <c r="L19" s="520"/>
      <c r="M19" s="520"/>
      <c r="N19" s="520"/>
      <c r="O19" s="520"/>
      <c r="P19" s="520"/>
      <c r="Q19" s="533" t="str">
        <f t="shared" si="4"/>
        <v/>
      </c>
      <c r="R19" s="533" t="str">
        <f t="shared" si="5"/>
        <v/>
      </c>
      <c r="S19" s="533" t="str">
        <f t="shared" si="6"/>
        <v/>
      </c>
      <c r="T19" s="533" t="str">
        <f t="shared" si="7"/>
        <v/>
      </c>
      <c r="U19" s="514"/>
      <c r="V19" s="513"/>
      <c r="W19" s="513"/>
      <c r="X19" s="513"/>
      <c r="Y19" s="513"/>
      <c r="Z19" s="513"/>
      <c r="AA19" s="513"/>
      <c r="AB19" s="513"/>
      <c r="AC19" s="513"/>
      <c r="AD19" s="514"/>
      <c r="AE19" s="514"/>
      <c r="AF19" s="513"/>
      <c r="AG19" s="302" t="e">
        <f t="shared" si="8"/>
        <v>#DIV/0!</v>
      </c>
      <c r="AH19" s="303" t="e">
        <f>IF(AG19&gt;KKM!$G$10,"A",IF(AG19&gt;KKM!$H$10,"B",IF(AG19&gt;=KKM!$I$10,"C","D")))</f>
        <v>#DIV/0!</v>
      </c>
      <c r="AI19" s="304">
        <f t="shared" si="0"/>
        <v>0</v>
      </c>
      <c r="AJ19" s="309" t="str">
        <f>IF(AI19&gt;KKM!$G$10," sangat baik ",IF(AI19&gt;KKM!$H$10," baik ",IF(AI19&gt;=KKM!$I$10," cukup baik "," perlu bimbingan ")))</f>
        <v xml:space="preserve"> perlu bimbingan </v>
      </c>
      <c r="AK19" s="305">
        <f t="shared" si="1"/>
        <v>0</v>
      </c>
      <c r="AL19" s="309" t="str">
        <f>IF(AK19&gt;KKM!$G$10," sangat baik ",IF(AK19&gt;KKM!$H$10," baik ",IF(AK19&gt;=KKM!$I$10," cukup baik "," perlu bimbingan ")))</f>
        <v xml:space="preserve"> perlu bimbingan </v>
      </c>
      <c r="AM19" s="301" t="str">
        <f t="shared" si="9"/>
        <v xml:space="preserve"> </v>
      </c>
      <c r="AN19" s="218"/>
      <c r="AO19" s="219" t="e">
        <f t="shared" si="2"/>
        <v>#N/A</v>
      </c>
      <c r="AP19" s="219" t="e">
        <f t="shared" si="3"/>
        <v>#N/A</v>
      </c>
      <c r="AQ19" s="219" t="e">
        <f t="shared" si="10"/>
        <v>#N/A</v>
      </c>
      <c r="AR19" s="219" t="e">
        <f t="shared" si="11"/>
        <v>#N/A</v>
      </c>
      <c r="AS19" s="220" t="e">
        <f t="shared" si="12"/>
        <v>#N/A</v>
      </c>
      <c r="AT19" s="214" t="e">
        <f t="shared" si="13"/>
        <v>#N/A</v>
      </c>
      <c r="AU19" s="120"/>
      <c r="BD19" s="408" t="str">
        <f t="shared" si="14"/>
        <v/>
      </c>
    </row>
    <row r="20" spans="2:56" ht="68.25" customHeight="1">
      <c r="B20" s="109">
        <v>16</v>
      </c>
      <c r="C20" s="110">
        <f>SISWA!B21</f>
        <v>0</v>
      </c>
      <c r="D20" s="111" t="str">
        <f>SISWA!E21</f>
        <v>Anak 16</v>
      </c>
      <c r="E20" s="520"/>
      <c r="F20" s="520"/>
      <c r="G20" s="520"/>
      <c r="H20" s="520"/>
      <c r="I20" s="520"/>
      <c r="J20" s="520"/>
      <c r="K20" s="520"/>
      <c r="L20" s="520"/>
      <c r="M20" s="520"/>
      <c r="N20" s="520"/>
      <c r="O20" s="520"/>
      <c r="P20" s="520"/>
      <c r="Q20" s="533" t="str">
        <f t="shared" si="4"/>
        <v/>
      </c>
      <c r="R20" s="533" t="str">
        <f t="shared" si="5"/>
        <v/>
      </c>
      <c r="S20" s="533" t="str">
        <f t="shared" si="6"/>
        <v/>
      </c>
      <c r="T20" s="533" t="str">
        <f t="shared" si="7"/>
        <v/>
      </c>
      <c r="U20" s="514"/>
      <c r="V20" s="513"/>
      <c r="W20" s="513"/>
      <c r="X20" s="513"/>
      <c r="Y20" s="513"/>
      <c r="Z20" s="513"/>
      <c r="AA20" s="513"/>
      <c r="AB20" s="513"/>
      <c r="AC20" s="513"/>
      <c r="AD20" s="514"/>
      <c r="AE20" s="514"/>
      <c r="AF20" s="513"/>
      <c r="AG20" s="302" t="e">
        <f t="shared" si="8"/>
        <v>#DIV/0!</v>
      </c>
      <c r="AH20" s="303" t="e">
        <f>IF(AG20&gt;KKM!$G$10,"A",IF(AG20&gt;KKM!$H$10,"B",IF(AG20&gt;=KKM!$I$10,"C","D")))</f>
        <v>#DIV/0!</v>
      </c>
      <c r="AI20" s="304">
        <f t="shared" si="0"/>
        <v>0</v>
      </c>
      <c r="AJ20" s="309" t="str">
        <f>IF(AI20&gt;KKM!$G$10," sangat baik ",IF(AI20&gt;KKM!$H$10," baik ",IF(AI20&gt;=KKM!$I$10," cukup baik "," perlu bimbingan ")))</f>
        <v xml:space="preserve"> perlu bimbingan </v>
      </c>
      <c r="AK20" s="305">
        <f t="shared" si="1"/>
        <v>0</v>
      </c>
      <c r="AL20" s="309" t="str">
        <f>IF(AK20&gt;KKM!$G$10," sangat baik ",IF(AK20&gt;KKM!$H$10," baik ",IF(AK20&gt;=KKM!$I$10," cukup baik "," perlu bimbingan ")))</f>
        <v xml:space="preserve"> perlu bimbingan </v>
      </c>
      <c r="AM20" s="301" t="str">
        <f t="shared" si="9"/>
        <v xml:space="preserve"> </v>
      </c>
      <c r="AN20" s="218"/>
      <c r="AO20" s="219" t="e">
        <f t="shared" si="2"/>
        <v>#N/A</v>
      </c>
      <c r="AP20" s="219" t="e">
        <f t="shared" si="3"/>
        <v>#N/A</v>
      </c>
      <c r="AQ20" s="219" t="e">
        <f t="shared" si="10"/>
        <v>#N/A</v>
      </c>
      <c r="AR20" s="219" t="e">
        <f t="shared" si="11"/>
        <v>#N/A</v>
      </c>
      <c r="AS20" s="220" t="e">
        <f t="shared" si="12"/>
        <v>#N/A</v>
      </c>
      <c r="AT20" s="214" t="e">
        <f t="shared" si="13"/>
        <v>#N/A</v>
      </c>
      <c r="AU20" s="120"/>
      <c r="BD20" s="408" t="str">
        <f t="shared" si="14"/>
        <v/>
      </c>
    </row>
    <row r="21" spans="2:56" ht="68.25" customHeight="1">
      <c r="B21" s="109">
        <v>17</v>
      </c>
      <c r="C21" s="110">
        <f>SISWA!B22</f>
        <v>0</v>
      </c>
      <c r="D21" s="111" t="str">
        <f>SISWA!E22</f>
        <v>Anak 17</v>
      </c>
      <c r="E21" s="520"/>
      <c r="F21" s="520"/>
      <c r="G21" s="520"/>
      <c r="H21" s="520"/>
      <c r="I21" s="520"/>
      <c r="J21" s="520"/>
      <c r="K21" s="520"/>
      <c r="L21" s="520"/>
      <c r="M21" s="520"/>
      <c r="N21" s="520"/>
      <c r="O21" s="520"/>
      <c r="P21" s="520"/>
      <c r="Q21" s="533" t="str">
        <f t="shared" si="4"/>
        <v/>
      </c>
      <c r="R21" s="533" t="str">
        <f t="shared" si="5"/>
        <v/>
      </c>
      <c r="S21" s="533" t="str">
        <f t="shared" si="6"/>
        <v/>
      </c>
      <c r="T21" s="533" t="str">
        <f t="shared" si="7"/>
        <v/>
      </c>
      <c r="U21" s="514"/>
      <c r="V21" s="513"/>
      <c r="W21" s="513"/>
      <c r="X21" s="513"/>
      <c r="Y21" s="513"/>
      <c r="Z21" s="513"/>
      <c r="AA21" s="513"/>
      <c r="AB21" s="513"/>
      <c r="AC21" s="513"/>
      <c r="AD21" s="514"/>
      <c r="AE21" s="514"/>
      <c r="AF21" s="513"/>
      <c r="AG21" s="302" t="e">
        <f t="shared" si="8"/>
        <v>#DIV/0!</v>
      </c>
      <c r="AH21" s="303" t="e">
        <f>IF(AG21&gt;KKM!$G$10,"A",IF(AG21&gt;KKM!$H$10,"B",IF(AG21&gt;=KKM!$I$10,"C","D")))</f>
        <v>#DIV/0!</v>
      </c>
      <c r="AI21" s="304">
        <f t="shared" si="0"/>
        <v>0</v>
      </c>
      <c r="AJ21" s="309" t="str">
        <f>IF(AI21&gt;KKM!$G$10," sangat baik ",IF(AI21&gt;KKM!$H$10," baik ",IF(AI21&gt;=KKM!$I$10," cukup baik "," perlu bimbingan ")))</f>
        <v xml:space="preserve"> perlu bimbingan </v>
      </c>
      <c r="AK21" s="305">
        <f t="shared" si="1"/>
        <v>0</v>
      </c>
      <c r="AL21" s="309" t="str">
        <f>IF(AK21&gt;KKM!$G$10," sangat baik ",IF(AK21&gt;KKM!$H$10," baik ",IF(AK21&gt;=KKM!$I$10," cukup baik "," perlu bimbingan ")))</f>
        <v xml:space="preserve"> perlu bimbingan </v>
      </c>
      <c r="AM21" s="301" t="str">
        <f t="shared" si="9"/>
        <v xml:space="preserve"> </v>
      </c>
      <c r="AN21" s="218"/>
      <c r="AO21" s="219" t="e">
        <f t="shared" si="2"/>
        <v>#N/A</v>
      </c>
      <c r="AP21" s="219" t="e">
        <f t="shared" si="3"/>
        <v>#N/A</v>
      </c>
      <c r="AQ21" s="219" t="e">
        <f t="shared" si="10"/>
        <v>#N/A</v>
      </c>
      <c r="AR21" s="219" t="e">
        <f t="shared" si="11"/>
        <v>#N/A</v>
      </c>
      <c r="AS21" s="220" t="e">
        <f t="shared" si="12"/>
        <v>#N/A</v>
      </c>
      <c r="AT21" s="214" t="e">
        <f t="shared" si="13"/>
        <v>#N/A</v>
      </c>
      <c r="AU21" s="120"/>
      <c r="BD21" s="408" t="str">
        <f t="shared" si="14"/>
        <v/>
      </c>
    </row>
    <row r="22" spans="2:56" ht="68.25" customHeight="1">
      <c r="B22" s="109">
        <v>18</v>
      </c>
      <c r="C22" s="110">
        <f>SISWA!B23</f>
        <v>0</v>
      </c>
      <c r="D22" s="111" t="str">
        <f>SISWA!E23</f>
        <v>Anak 18</v>
      </c>
      <c r="E22" s="520"/>
      <c r="F22" s="520"/>
      <c r="G22" s="520"/>
      <c r="H22" s="520"/>
      <c r="I22" s="520"/>
      <c r="J22" s="520"/>
      <c r="K22" s="520"/>
      <c r="L22" s="520"/>
      <c r="M22" s="520"/>
      <c r="N22" s="520"/>
      <c r="O22" s="520"/>
      <c r="P22" s="520"/>
      <c r="Q22" s="533" t="str">
        <f t="shared" si="4"/>
        <v/>
      </c>
      <c r="R22" s="533" t="str">
        <f t="shared" si="5"/>
        <v/>
      </c>
      <c r="S22" s="533" t="str">
        <f t="shared" si="6"/>
        <v/>
      </c>
      <c r="T22" s="533" t="str">
        <f t="shared" si="7"/>
        <v/>
      </c>
      <c r="U22" s="514"/>
      <c r="V22" s="513"/>
      <c r="W22" s="513"/>
      <c r="X22" s="513"/>
      <c r="Y22" s="513"/>
      <c r="Z22" s="513"/>
      <c r="AA22" s="513"/>
      <c r="AB22" s="513"/>
      <c r="AC22" s="513"/>
      <c r="AD22" s="514"/>
      <c r="AE22" s="514"/>
      <c r="AF22" s="513"/>
      <c r="AG22" s="302" t="e">
        <f t="shared" si="8"/>
        <v>#DIV/0!</v>
      </c>
      <c r="AH22" s="303" t="e">
        <f>IF(AG22&gt;KKM!$G$10,"A",IF(AG22&gt;KKM!$H$10,"B",IF(AG22&gt;=KKM!$I$10,"C","D")))</f>
        <v>#DIV/0!</v>
      </c>
      <c r="AI22" s="304">
        <f t="shared" si="0"/>
        <v>0</v>
      </c>
      <c r="AJ22" s="309" t="str">
        <f>IF(AI22&gt;KKM!$G$10," sangat baik ",IF(AI22&gt;KKM!$H$10," baik ",IF(AI22&gt;=KKM!$I$10," cukup baik "," perlu bimbingan ")))</f>
        <v xml:space="preserve"> perlu bimbingan </v>
      </c>
      <c r="AK22" s="305">
        <f t="shared" si="1"/>
        <v>0</v>
      </c>
      <c r="AL22" s="309" t="str">
        <f>IF(AK22&gt;KKM!$G$10," sangat baik ",IF(AK22&gt;KKM!$H$10," baik ",IF(AK22&gt;=KKM!$I$10," cukup baik "," perlu bimbingan ")))</f>
        <v xml:space="preserve"> perlu bimbingan </v>
      </c>
      <c r="AM22" s="301" t="str">
        <f t="shared" si="9"/>
        <v xml:space="preserve"> </v>
      </c>
      <c r="AN22" s="218"/>
      <c r="AO22" s="219" t="e">
        <f t="shared" si="2"/>
        <v>#N/A</v>
      </c>
      <c r="AP22" s="219" t="e">
        <f t="shared" si="3"/>
        <v>#N/A</v>
      </c>
      <c r="AQ22" s="219" t="e">
        <f t="shared" si="10"/>
        <v>#N/A</v>
      </c>
      <c r="AR22" s="219" t="e">
        <f t="shared" si="11"/>
        <v>#N/A</v>
      </c>
      <c r="AS22" s="220" t="e">
        <f t="shared" si="12"/>
        <v>#N/A</v>
      </c>
      <c r="AT22" s="214" t="e">
        <f t="shared" si="13"/>
        <v>#N/A</v>
      </c>
      <c r="AU22" s="120"/>
      <c r="BD22" s="408" t="str">
        <f t="shared" si="14"/>
        <v/>
      </c>
    </row>
    <row r="23" spans="2:56" ht="68.25" customHeight="1">
      <c r="B23" s="109">
        <v>19</v>
      </c>
      <c r="C23" s="110">
        <f>SISWA!B24</f>
        <v>0</v>
      </c>
      <c r="D23" s="111" t="str">
        <f>SISWA!E24</f>
        <v>Anak 19</v>
      </c>
      <c r="E23" s="520"/>
      <c r="F23" s="520"/>
      <c r="G23" s="520"/>
      <c r="H23" s="520"/>
      <c r="I23" s="520"/>
      <c r="J23" s="520"/>
      <c r="K23" s="520"/>
      <c r="L23" s="520"/>
      <c r="M23" s="520"/>
      <c r="N23" s="520"/>
      <c r="O23" s="520"/>
      <c r="P23" s="520"/>
      <c r="Q23" s="533" t="str">
        <f t="shared" si="4"/>
        <v/>
      </c>
      <c r="R23" s="533" t="str">
        <f t="shared" si="5"/>
        <v/>
      </c>
      <c r="S23" s="533" t="str">
        <f t="shared" si="6"/>
        <v/>
      </c>
      <c r="T23" s="533" t="str">
        <f t="shared" si="7"/>
        <v/>
      </c>
      <c r="U23" s="514"/>
      <c r="V23" s="513"/>
      <c r="W23" s="513"/>
      <c r="X23" s="513"/>
      <c r="Y23" s="513"/>
      <c r="Z23" s="513"/>
      <c r="AA23" s="513"/>
      <c r="AB23" s="513"/>
      <c r="AC23" s="513"/>
      <c r="AD23" s="514"/>
      <c r="AE23" s="514"/>
      <c r="AF23" s="513"/>
      <c r="AG23" s="302" t="e">
        <f t="shared" si="8"/>
        <v>#DIV/0!</v>
      </c>
      <c r="AH23" s="303" t="e">
        <f>IF(AG23&gt;KKM!$G$10,"A",IF(AG23&gt;KKM!$H$10,"B",IF(AG23&gt;=KKM!$I$10,"C","D")))</f>
        <v>#DIV/0!</v>
      </c>
      <c r="AI23" s="304">
        <f t="shared" si="0"/>
        <v>0</v>
      </c>
      <c r="AJ23" s="309" t="str">
        <f>IF(AI23&gt;KKM!$G$10," sangat baik ",IF(AI23&gt;KKM!$H$10," baik ",IF(AI23&gt;=KKM!$I$10," cukup baik "," perlu bimbingan ")))</f>
        <v xml:space="preserve"> perlu bimbingan </v>
      </c>
      <c r="AK23" s="305">
        <f t="shared" si="1"/>
        <v>0</v>
      </c>
      <c r="AL23" s="309" t="str">
        <f>IF(AK23&gt;KKM!$G$10," sangat baik ",IF(AK23&gt;KKM!$H$10," baik ",IF(AK23&gt;=KKM!$I$10," cukup baik "," perlu bimbingan ")))</f>
        <v xml:space="preserve"> perlu bimbingan </v>
      </c>
      <c r="AM23" s="301" t="str">
        <f t="shared" si="9"/>
        <v xml:space="preserve"> </v>
      </c>
      <c r="AN23" s="218"/>
      <c r="AO23" s="219" t="e">
        <f t="shared" si="2"/>
        <v>#N/A</v>
      </c>
      <c r="AP23" s="219" t="e">
        <f t="shared" si="3"/>
        <v>#N/A</v>
      </c>
      <c r="AQ23" s="219" t="e">
        <f t="shared" si="10"/>
        <v>#N/A</v>
      </c>
      <c r="AR23" s="219" t="e">
        <f t="shared" si="11"/>
        <v>#N/A</v>
      </c>
      <c r="AS23" s="220" t="e">
        <f t="shared" si="12"/>
        <v>#N/A</v>
      </c>
      <c r="AT23" s="214" t="e">
        <f t="shared" si="13"/>
        <v>#N/A</v>
      </c>
      <c r="AU23" s="120"/>
      <c r="BD23" s="408" t="str">
        <f t="shared" si="14"/>
        <v/>
      </c>
    </row>
    <row r="24" spans="2:56" ht="68.25" customHeight="1">
      <c r="B24" s="109">
        <v>20</v>
      </c>
      <c r="C24" s="110">
        <f>SISWA!B25</f>
        <v>0</v>
      </c>
      <c r="D24" s="111" t="str">
        <f>SISWA!E25</f>
        <v>Anak 20</v>
      </c>
      <c r="E24" s="520"/>
      <c r="F24" s="520"/>
      <c r="G24" s="520"/>
      <c r="H24" s="520"/>
      <c r="I24" s="520"/>
      <c r="J24" s="520"/>
      <c r="K24" s="520"/>
      <c r="L24" s="520"/>
      <c r="M24" s="520"/>
      <c r="N24" s="520"/>
      <c r="O24" s="520"/>
      <c r="P24" s="520"/>
      <c r="Q24" s="533" t="str">
        <f t="shared" si="4"/>
        <v/>
      </c>
      <c r="R24" s="533" t="str">
        <f t="shared" si="5"/>
        <v/>
      </c>
      <c r="S24" s="533" t="str">
        <f t="shared" si="6"/>
        <v/>
      </c>
      <c r="T24" s="533" t="str">
        <f t="shared" si="7"/>
        <v/>
      </c>
      <c r="U24" s="514"/>
      <c r="V24" s="513"/>
      <c r="W24" s="513"/>
      <c r="X24" s="513"/>
      <c r="Y24" s="513"/>
      <c r="Z24" s="513"/>
      <c r="AA24" s="513"/>
      <c r="AB24" s="513"/>
      <c r="AC24" s="513"/>
      <c r="AD24" s="514"/>
      <c r="AE24" s="514"/>
      <c r="AF24" s="513"/>
      <c r="AG24" s="302" t="e">
        <f t="shared" si="8"/>
        <v>#DIV/0!</v>
      </c>
      <c r="AH24" s="303" t="e">
        <f>IF(AG24&gt;KKM!$G$10,"A",IF(AG24&gt;KKM!$H$10,"B",IF(AG24&gt;=KKM!$I$10,"C","D")))</f>
        <v>#DIV/0!</v>
      </c>
      <c r="AI24" s="304">
        <f t="shared" si="0"/>
        <v>0</v>
      </c>
      <c r="AJ24" s="309" t="str">
        <f>IF(AI24&gt;KKM!$G$10," sangat baik ",IF(AI24&gt;KKM!$H$10," baik ",IF(AI24&gt;=KKM!$I$10," cukup baik "," perlu bimbingan ")))</f>
        <v xml:space="preserve"> perlu bimbingan </v>
      </c>
      <c r="AK24" s="305">
        <f t="shared" si="1"/>
        <v>0</v>
      </c>
      <c r="AL24" s="309" t="str">
        <f>IF(AK24&gt;KKM!$G$10," sangat baik ",IF(AK24&gt;KKM!$H$10," baik ",IF(AK24&gt;=KKM!$I$10," cukup baik "," perlu bimbingan ")))</f>
        <v xml:space="preserve"> perlu bimbingan </v>
      </c>
      <c r="AM24" s="301" t="str">
        <f t="shared" si="9"/>
        <v xml:space="preserve"> </v>
      </c>
      <c r="AN24" s="218"/>
      <c r="AO24" s="219" t="e">
        <f t="shared" si="2"/>
        <v>#N/A</v>
      </c>
      <c r="AP24" s="219" t="e">
        <f t="shared" si="3"/>
        <v>#N/A</v>
      </c>
      <c r="AQ24" s="219" t="e">
        <f t="shared" si="10"/>
        <v>#N/A</v>
      </c>
      <c r="AR24" s="219" t="e">
        <f t="shared" si="11"/>
        <v>#N/A</v>
      </c>
      <c r="AS24" s="220" t="e">
        <f t="shared" si="12"/>
        <v>#N/A</v>
      </c>
      <c r="AT24" s="214" t="e">
        <f t="shared" si="13"/>
        <v>#N/A</v>
      </c>
      <c r="AU24" s="120"/>
      <c r="BD24" s="408" t="str">
        <f t="shared" si="14"/>
        <v/>
      </c>
    </row>
    <row r="25" spans="2:56" ht="68.25" customHeight="1">
      <c r="B25" s="109">
        <v>21</v>
      </c>
      <c r="C25" s="110">
        <f>SISWA!B26</f>
        <v>0</v>
      </c>
      <c r="D25" s="111" t="str">
        <f>SISWA!E26</f>
        <v>Anak 21</v>
      </c>
      <c r="E25" s="520"/>
      <c r="F25" s="520"/>
      <c r="G25" s="520"/>
      <c r="H25" s="520"/>
      <c r="I25" s="520"/>
      <c r="J25" s="520"/>
      <c r="K25" s="520"/>
      <c r="L25" s="520"/>
      <c r="M25" s="520"/>
      <c r="N25" s="520"/>
      <c r="O25" s="520"/>
      <c r="P25" s="520"/>
      <c r="Q25" s="533" t="str">
        <f t="shared" si="4"/>
        <v/>
      </c>
      <c r="R25" s="533" t="str">
        <f t="shared" si="5"/>
        <v/>
      </c>
      <c r="S25" s="533" t="str">
        <f t="shared" si="6"/>
        <v/>
      </c>
      <c r="T25" s="533" t="str">
        <f t="shared" si="7"/>
        <v/>
      </c>
      <c r="U25" s="514"/>
      <c r="V25" s="513"/>
      <c r="W25" s="513"/>
      <c r="X25" s="513"/>
      <c r="Y25" s="513"/>
      <c r="Z25" s="513"/>
      <c r="AA25" s="513"/>
      <c r="AB25" s="513"/>
      <c r="AC25" s="513"/>
      <c r="AD25" s="514"/>
      <c r="AE25" s="514"/>
      <c r="AF25" s="513"/>
      <c r="AG25" s="302" t="e">
        <f t="shared" si="8"/>
        <v>#DIV/0!</v>
      </c>
      <c r="AH25" s="303" t="e">
        <f>IF(AG25&gt;KKM!$G$10,"A",IF(AG25&gt;KKM!$H$10,"B",IF(AG25&gt;=KKM!$I$10,"C","D")))</f>
        <v>#DIV/0!</v>
      </c>
      <c r="AI25" s="304">
        <f t="shared" si="0"/>
        <v>0</v>
      </c>
      <c r="AJ25" s="309" t="str">
        <f>IF(AI25&gt;KKM!$G$10," sangat baik ",IF(AI25&gt;KKM!$H$10," baik ",IF(AI25&gt;=KKM!$I$10," cukup baik "," perlu bimbingan ")))</f>
        <v xml:space="preserve"> perlu bimbingan </v>
      </c>
      <c r="AK25" s="305">
        <f t="shared" si="1"/>
        <v>0</v>
      </c>
      <c r="AL25" s="309" t="str">
        <f>IF(AK25&gt;KKM!$G$10," sangat baik ",IF(AK25&gt;KKM!$H$10," baik ",IF(AK25&gt;=KKM!$I$10," cukup baik "," perlu bimbingan ")))</f>
        <v xml:space="preserve"> perlu bimbingan </v>
      </c>
      <c r="AM25" s="301" t="str">
        <f t="shared" si="9"/>
        <v xml:space="preserve"> </v>
      </c>
      <c r="AN25" s="218"/>
      <c r="AO25" s="219" t="e">
        <f t="shared" si="2"/>
        <v>#N/A</v>
      </c>
      <c r="AP25" s="219" t="e">
        <f t="shared" si="3"/>
        <v>#N/A</v>
      </c>
      <c r="AQ25" s="219" t="e">
        <f t="shared" si="10"/>
        <v>#N/A</v>
      </c>
      <c r="AR25" s="219" t="e">
        <f t="shared" si="11"/>
        <v>#N/A</v>
      </c>
      <c r="AS25" s="220" t="e">
        <f t="shared" si="12"/>
        <v>#N/A</v>
      </c>
      <c r="AT25" s="214" t="e">
        <f t="shared" si="13"/>
        <v>#N/A</v>
      </c>
      <c r="AU25" s="120"/>
      <c r="BD25" s="408" t="str">
        <f t="shared" si="14"/>
        <v/>
      </c>
    </row>
    <row r="26" spans="2:56" ht="68.25" customHeight="1">
      <c r="B26" s="109">
        <v>22</v>
      </c>
      <c r="C26" s="110">
        <f>SISWA!B27</f>
        <v>0</v>
      </c>
      <c r="D26" s="111" t="str">
        <f>SISWA!E27</f>
        <v>Anak 22</v>
      </c>
      <c r="E26" s="520"/>
      <c r="F26" s="520"/>
      <c r="G26" s="520"/>
      <c r="H26" s="520"/>
      <c r="I26" s="520"/>
      <c r="J26" s="520"/>
      <c r="K26" s="520"/>
      <c r="L26" s="520"/>
      <c r="M26" s="520"/>
      <c r="N26" s="520"/>
      <c r="O26" s="520"/>
      <c r="P26" s="520"/>
      <c r="Q26" s="533" t="str">
        <f t="shared" si="4"/>
        <v/>
      </c>
      <c r="R26" s="533" t="str">
        <f t="shared" si="5"/>
        <v/>
      </c>
      <c r="S26" s="533" t="str">
        <f t="shared" si="6"/>
        <v/>
      </c>
      <c r="T26" s="533" t="str">
        <f t="shared" si="7"/>
        <v/>
      </c>
      <c r="U26" s="514"/>
      <c r="V26" s="513"/>
      <c r="W26" s="513"/>
      <c r="X26" s="513"/>
      <c r="Y26" s="513"/>
      <c r="Z26" s="513"/>
      <c r="AA26" s="513"/>
      <c r="AB26" s="513"/>
      <c r="AC26" s="513"/>
      <c r="AD26" s="514"/>
      <c r="AE26" s="514"/>
      <c r="AF26" s="513"/>
      <c r="AG26" s="302" t="e">
        <f t="shared" si="8"/>
        <v>#DIV/0!</v>
      </c>
      <c r="AH26" s="303" t="e">
        <f>IF(AG26&gt;KKM!$G$10,"A",IF(AG26&gt;KKM!$H$10,"B",IF(AG26&gt;=KKM!$I$10,"C","D")))</f>
        <v>#DIV/0!</v>
      </c>
      <c r="AI26" s="304">
        <f t="shared" si="0"/>
        <v>0</v>
      </c>
      <c r="AJ26" s="309" t="str">
        <f>IF(AI26&gt;KKM!$G$10," sangat baik ",IF(AI26&gt;KKM!$H$10," baik ",IF(AI26&gt;=KKM!$I$10," cukup baik "," perlu bimbingan ")))</f>
        <v xml:space="preserve"> perlu bimbingan </v>
      </c>
      <c r="AK26" s="305">
        <f t="shared" si="1"/>
        <v>0</v>
      </c>
      <c r="AL26" s="309" t="str">
        <f>IF(AK26&gt;KKM!$G$10," sangat baik ",IF(AK26&gt;KKM!$H$10," baik ",IF(AK26&gt;=KKM!$I$10," cukup baik "," perlu bimbingan ")))</f>
        <v xml:space="preserve"> perlu bimbingan </v>
      </c>
      <c r="AM26" s="301" t="str">
        <f t="shared" si="9"/>
        <v xml:space="preserve"> </v>
      </c>
      <c r="AN26" s="218"/>
      <c r="AO26" s="219" t="e">
        <f t="shared" si="2"/>
        <v>#N/A</v>
      </c>
      <c r="AP26" s="219" t="e">
        <f t="shared" si="3"/>
        <v>#N/A</v>
      </c>
      <c r="AQ26" s="219" t="e">
        <f t="shared" si="10"/>
        <v>#N/A</v>
      </c>
      <c r="AR26" s="219" t="e">
        <f t="shared" si="11"/>
        <v>#N/A</v>
      </c>
      <c r="AS26" s="220" t="e">
        <f t="shared" si="12"/>
        <v>#N/A</v>
      </c>
      <c r="AT26" s="214" t="e">
        <f t="shared" si="13"/>
        <v>#N/A</v>
      </c>
      <c r="AU26" s="120"/>
      <c r="BD26" s="408" t="str">
        <f t="shared" si="14"/>
        <v/>
      </c>
    </row>
    <row r="27" spans="2:56" ht="68.25" customHeight="1">
      <c r="B27" s="109">
        <v>23</v>
      </c>
      <c r="C27" s="110">
        <f>SISWA!B28</f>
        <v>0</v>
      </c>
      <c r="D27" s="111" t="str">
        <f>SISWA!E28</f>
        <v>Anak 23</v>
      </c>
      <c r="E27" s="520"/>
      <c r="F27" s="520"/>
      <c r="G27" s="520"/>
      <c r="H27" s="520"/>
      <c r="I27" s="520"/>
      <c r="J27" s="520"/>
      <c r="K27" s="520"/>
      <c r="L27" s="520"/>
      <c r="M27" s="520"/>
      <c r="N27" s="520"/>
      <c r="O27" s="520"/>
      <c r="P27" s="520"/>
      <c r="Q27" s="533" t="str">
        <f t="shared" si="4"/>
        <v/>
      </c>
      <c r="R27" s="533" t="str">
        <f t="shared" si="5"/>
        <v/>
      </c>
      <c r="S27" s="533" t="str">
        <f t="shared" si="6"/>
        <v/>
      </c>
      <c r="T27" s="533" t="str">
        <f t="shared" si="7"/>
        <v/>
      </c>
      <c r="U27" s="514"/>
      <c r="V27" s="513"/>
      <c r="W27" s="513"/>
      <c r="X27" s="513"/>
      <c r="Y27" s="513"/>
      <c r="Z27" s="513"/>
      <c r="AA27" s="513"/>
      <c r="AB27" s="513"/>
      <c r="AC27" s="513"/>
      <c r="AD27" s="514"/>
      <c r="AE27" s="514"/>
      <c r="AF27" s="513"/>
      <c r="AG27" s="302" t="e">
        <f t="shared" si="8"/>
        <v>#DIV/0!</v>
      </c>
      <c r="AH27" s="303" t="e">
        <f>IF(AG27&gt;KKM!$G$10,"A",IF(AG27&gt;KKM!$H$10,"B",IF(AG27&gt;=KKM!$I$10,"C","D")))</f>
        <v>#DIV/0!</v>
      </c>
      <c r="AI27" s="304">
        <f t="shared" si="0"/>
        <v>0</v>
      </c>
      <c r="AJ27" s="309" t="str">
        <f>IF(AI27&gt;KKM!$G$10," sangat baik ",IF(AI27&gt;KKM!$H$10," baik ",IF(AI27&gt;=KKM!$I$10," cukup baik "," perlu bimbingan ")))</f>
        <v xml:space="preserve"> perlu bimbingan </v>
      </c>
      <c r="AK27" s="305">
        <f t="shared" si="1"/>
        <v>0</v>
      </c>
      <c r="AL27" s="309" t="str">
        <f>IF(AK27&gt;KKM!$G$10," sangat baik ",IF(AK27&gt;KKM!$H$10," baik ",IF(AK27&gt;=KKM!$I$10," cukup baik "," perlu bimbingan ")))</f>
        <v xml:space="preserve"> perlu bimbingan </v>
      </c>
      <c r="AM27" s="301" t="str">
        <f t="shared" si="9"/>
        <v xml:space="preserve"> </v>
      </c>
      <c r="AN27" s="218"/>
      <c r="AO27" s="219" t="e">
        <f t="shared" si="2"/>
        <v>#N/A</v>
      </c>
      <c r="AP27" s="219" t="e">
        <f t="shared" si="3"/>
        <v>#N/A</v>
      </c>
      <c r="AQ27" s="219" t="e">
        <f t="shared" si="10"/>
        <v>#N/A</v>
      </c>
      <c r="AR27" s="219" t="e">
        <f t="shared" si="11"/>
        <v>#N/A</v>
      </c>
      <c r="AS27" s="220" t="e">
        <f t="shared" si="12"/>
        <v>#N/A</v>
      </c>
      <c r="AT27" s="214" t="e">
        <f t="shared" si="13"/>
        <v>#N/A</v>
      </c>
      <c r="AU27" s="120"/>
      <c r="BD27" s="408" t="str">
        <f t="shared" si="14"/>
        <v/>
      </c>
    </row>
    <row r="28" spans="2:56" ht="68.25" customHeight="1">
      <c r="B28" s="109">
        <v>24</v>
      </c>
      <c r="C28" s="110">
        <f>SISWA!B29</f>
        <v>0</v>
      </c>
      <c r="D28" s="111" t="str">
        <f>SISWA!E29</f>
        <v>Anak 24</v>
      </c>
      <c r="E28" s="520"/>
      <c r="F28" s="520"/>
      <c r="G28" s="520"/>
      <c r="H28" s="520"/>
      <c r="I28" s="520"/>
      <c r="J28" s="520"/>
      <c r="K28" s="520"/>
      <c r="L28" s="520"/>
      <c r="M28" s="520"/>
      <c r="N28" s="520"/>
      <c r="O28" s="520"/>
      <c r="P28" s="520"/>
      <c r="Q28" s="533" t="str">
        <f t="shared" si="4"/>
        <v/>
      </c>
      <c r="R28" s="533" t="str">
        <f t="shared" si="5"/>
        <v/>
      </c>
      <c r="S28" s="533" t="str">
        <f t="shared" si="6"/>
        <v/>
      </c>
      <c r="T28" s="533" t="str">
        <f t="shared" si="7"/>
        <v/>
      </c>
      <c r="U28" s="514"/>
      <c r="V28" s="513"/>
      <c r="W28" s="513"/>
      <c r="X28" s="513"/>
      <c r="Y28" s="513"/>
      <c r="Z28" s="513"/>
      <c r="AA28" s="513"/>
      <c r="AB28" s="513"/>
      <c r="AC28" s="513"/>
      <c r="AD28" s="514"/>
      <c r="AE28" s="514"/>
      <c r="AF28" s="513"/>
      <c r="AG28" s="302" t="e">
        <f t="shared" si="8"/>
        <v>#DIV/0!</v>
      </c>
      <c r="AH28" s="303" t="e">
        <f>IF(AG28&gt;KKM!$G$10,"A",IF(AG28&gt;KKM!$H$10,"B",IF(AG28&gt;=KKM!$I$10,"C","D")))</f>
        <v>#DIV/0!</v>
      </c>
      <c r="AI28" s="304">
        <f t="shared" si="0"/>
        <v>0</v>
      </c>
      <c r="AJ28" s="309" t="str">
        <f>IF(AI28&gt;KKM!$G$10," sangat baik ",IF(AI28&gt;KKM!$H$10," baik ",IF(AI28&gt;=KKM!$I$10," cukup baik "," perlu bimbingan ")))</f>
        <v xml:space="preserve"> perlu bimbingan </v>
      </c>
      <c r="AK28" s="305">
        <f t="shared" si="1"/>
        <v>0</v>
      </c>
      <c r="AL28" s="309" t="str">
        <f>IF(AK28&gt;KKM!$G$10," sangat baik ",IF(AK28&gt;KKM!$H$10," baik ",IF(AK28&gt;=KKM!$I$10," cukup baik "," perlu bimbingan ")))</f>
        <v xml:space="preserve"> perlu bimbingan </v>
      </c>
      <c r="AM28" s="301" t="str">
        <f t="shared" si="9"/>
        <v xml:space="preserve"> </v>
      </c>
      <c r="AN28" s="218"/>
      <c r="AO28" s="219" t="e">
        <f t="shared" si="2"/>
        <v>#N/A</v>
      </c>
      <c r="AP28" s="219" t="e">
        <f t="shared" si="3"/>
        <v>#N/A</v>
      </c>
      <c r="AQ28" s="219" t="e">
        <f t="shared" si="10"/>
        <v>#N/A</v>
      </c>
      <c r="AR28" s="219" t="e">
        <f t="shared" si="11"/>
        <v>#N/A</v>
      </c>
      <c r="AS28" s="220" t="e">
        <f t="shared" si="12"/>
        <v>#N/A</v>
      </c>
      <c r="AT28" s="214" t="e">
        <f t="shared" si="13"/>
        <v>#N/A</v>
      </c>
      <c r="AU28" s="120"/>
      <c r="BD28" s="408" t="str">
        <f t="shared" si="14"/>
        <v/>
      </c>
    </row>
    <row r="29" spans="2:56" ht="68.25" customHeight="1">
      <c r="B29" s="109">
        <v>25</v>
      </c>
      <c r="C29" s="110">
        <f>SISWA!B30</f>
        <v>0</v>
      </c>
      <c r="D29" s="111" t="str">
        <f>SISWA!E30</f>
        <v>Anak 25</v>
      </c>
      <c r="E29" s="520"/>
      <c r="F29" s="520"/>
      <c r="G29" s="520"/>
      <c r="H29" s="520"/>
      <c r="I29" s="520"/>
      <c r="J29" s="520"/>
      <c r="K29" s="520"/>
      <c r="L29" s="520"/>
      <c r="M29" s="520"/>
      <c r="N29" s="520"/>
      <c r="O29" s="520"/>
      <c r="P29" s="520"/>
      <c r="Q29" s="533" t="str">
        <f t="shared" si="4"/>
        <v/>
      </c>
      <c r="R29" s="533" t="str">
        <f t="shared" si="5"/>
        <v/>
      </c>
      <c r="S29" s="533" t="str">
        <f t="shared" si="6"/>
        <v/>
      </c>
      <c r="T29" s="533" t="str">
        <f t="shared" si="7"/>
        <v/>
      </c>
      <c r="U29" s="514"/>
      <c r="V29" s="513"/>
      <c r="W29" s="513"/>
      <c r="X29" s="513"/>
      <c r="Y29" s="513"/>
      <c r="Z29" s="513"/>
      <c r="AA29" s="513"/>
      <c r="AB29" s="513"/>
      <c r="AC29" s="513"/>
      <c r="AD29" s="514"/>
      <c r="AE29" s="514"/>
      <c r="AF29" s="513"/>
      <c r="AG29" s="302" t="e">
        <f t="shared" si="8"/>
        <v>#DIV/0!</v>
      </c>
      <c r="AH29" s="303" t="e">
        <f>IF(AG29&gt;KKM!$G$10,"A",IF(AG29&gt;KKM!$H$10,"B",IF(AG29&gt;=KKM!$I$10,"C","D")))</f>
        <v>#DIV/0!</v>
      </c>
      <c r="AI29" s="304">
        <f t="shared" si="0"/>
        <v>0</v>
      </c>
      <c r="AJ29" s="309" t="str">
        <f>IF(AI29&gt;KKM!$G$10," sangat baik ",IF(AI29&gt;KKM!$H$10," baik ",IF(AI29&gt;=KKM!$I$10," cukup baik "," perlu bimbingan ")))</f>
        <v xml:space="preserve"> perlu bimbingan </v>
      </c>
      <c r="AK29" s="305">
        <f t="shared" si="1"/>
        <v>0</v>
      </c>
      <c r="AL29" s="309" t="str">
        <f>IF(AK29&gt;KKM!$G$10," sangat baik ",IF(AK29&gt;KKM!$H$10," baik ",IF(AK29&gt;=KKM!$I$10," cukup baik "," perlu bimbingan ")))</f>
        <v xml:space="preserve"> perlu bimbingan </v>
      </c>
      <c r="AM29" s="301" t="str">
        <f t="shared" si="9"/>
        <v xml:space="preserve"> </v>
      </c>
      <c r="AN29" s="218"/>
      <c r="AO29" s="219" t="e">
        <f t="shared" si="2"/>
        <v>#N/A</v>
      </c>
      <c r="AP29" s="219" t="e">
        <f t="shared" si="3"/>
        <v>#N/A</v>
      </c>
      <c r="AQ29" s="219" t="e">
        <f t="shared" si="10"/>
        <v>#N/A</v>
      </c>
      <c r="AR29" s="219" t="e">
        <f t="shared" si="11"/>
        <v>#N/A</v>
      </c>
      <c r="AS29" s="220" t="e">
        <f t="shared" si="12"/>
        <v>#N/A</v>
      </c>
      <c r="AT29" s="214" t="e">
        <f t="shared" si="13"/>
        <v>#N/A</v>
      </c>
      <c r="AU29" s="120"/>
      <c r="BD29" s="408" t="str">
        <f t="shared" si="14"/>
        <v/>
      </c>
    </row>
    <row r="30" spans="2:56" ht="68.25" customHeight="1">
      <c r="B30" s="109">
        <v>26</v>
      </c>
      <c r="C30" s="110">
        <f>SISWA!B31</f>
        <v>0</v>
      </c>
      <c r="D30" s="111" t="str">
        <f>SISWA!E31</f>
        <v>Anak 26</v>
      </c>
      <c r="E30" s="520"/>
      <c r="F30" s="520"/>
      <c r="G30" s="520"/>
      <c r="H30" s="520"/>
      <c r="I30" s="520"/>
      <c r="J30" s="520"/>
      <c r="K30" s="520"/>
      <c r="L30" s="520"/>
      <c r="M30" s="520"/>
      <c r="N30" s="520"/>
      <c r="O30" s="520"/>
      <c r="P30" s="520"/>
      <c r="Q30" s="533" t="str">
        <f t="shared" si="4"/>
        <v/>
      </c>
      <c r="R30" s="533" t="str">
        <f t="shared" si="5"/>
        <v/>
      </c>
      <c r="S30" s="533" t="str">
        <f t="shared" si="6"/>
        <v/>
      </c>
      <c r="T30" s="533" t="str">
        <f t="shared" si="7"/>
        <v/>
      </c>
      <c r="U30" s="514"/>
      <c r="V30" s="513"/>
      <c r="W30" s="513"/>
      <c r="X30" s="513"/>
      <c r="Y30" s="513"/>
      <c r="Z30" s="513"/>
      <c r="AA30" s="513"/>
      <c r="AB30" s="513"/>
      <c r="AC30" s="513"/>
      <c r="AD30" s="514"/>
      <c r="AE30" s="514"/>
      <c r="AF30" s="513"/>
      <c r="AG30" s="302" t="e">
        <f t="shared" si="8"/>
        <v>#DIV/0!</v>
      </c>
      <c r="AH30" s="303" t="e">
        <f>IF(AG30&gt;KKM!$G$10,"A",IF(AG30&gt;KKM!$H$10,"B",IF(AG30&gt;=KKM!$I$10,"C","D")))</f>
        <v>#DIV/0!</v>
      </c>
      <c r="AI30" s="304">
        <f t="shared" si="0"/>
        <v>0</v>
      </c>
      <c r="AJ30" s="309" t="str">
        <f>IF(AI30&gt;KKM!$G$10," sangat baik ",IF(AI30&gt;KKM!$H$10," baik ",IF(AI30&gt;=KKM!$I$10," cukup baik "," perlu bimbingan ")))</f>
        <v xml:space="preserve"> perlu bimbingan </v>
      </c>
      <c r="AK30" s="305">
        <f t="shared" si="1"/>
        <v>0</v>
      </c>
      <c r="AL30" s="309" t="str">
        <f>IF(AK30&gt;KKM!$G$10," sangat baik ",IF(AK30&gt;KKM!$H$10," baik ",IF(AK30&gt;=KKM!$I$10," cukup baik "," perlu bimbingan ")))</f>
        <v xml:space="preserve"> perlu bimbingan </v>
      </c>
      <c r="AM30" s="301" t="str">
        <f t="shared" si="9"/>
        <v xml:space="preserve"> </v>
      </c>
      <c r="AN30" s="218"/>
      <c r="AO30" s="219" t="e">
        <f t="shared" si="2"/>
        <v>#N/A</v>
      </c>
      <c r="AP30" s="219" t="e">
        <f t="shared" si="3"/>
        <v>#N/A</v>
      </c>
      <c r="AQ30" s="219" t="e">
        <f t="shared" si="10"/>
        <v>#N/A</v>
      </c>
      <c r="AR30" s="219" t="e">
        <f t="shared" si="11"/>
        <v>#N/A</v>
      </c>
      <c r="AS30" s="220" t="e">
        <f t="shared" si="12"/>
        <v>#N/A</v>
      </c>
      <c r="AT30" s="214" t="e">
        <f t="shared" si="13"/>
        <v>#N/A</v>
      </c>
      <c r="AU30" s="120"/>
      <c r="BD30" s="408" t="str">
        <f t="shared" si="14"/>
        <v/>
      </c>
    </row>
    <row r="31" spans="2:56" ht="68.25" customHeight="1">
      <c r="B31" s="109">
        <v>27</v>
      </c>
      <c r="C31" s="110">
        <f>SISWA!B32</f>
        <v>0</v>
      </c>
      <c r="D31" s="111" t="str">
        <f>SISWA!E32</f>
        <v>Anak 27</v>
      </c>
      <c r="E31" s="520"/>
      <c r="F31" s="520"/>
      <c r="G31" s="520"/>
      <c r="H31" s="520"/>
      <c r="I31" s="520"/>
      <c r="J31" s="520"/>
      <c r="K31" s="520"/>
      <c r="L31" s="520"/>
      <c r="M31" s="520"/>
      <c r="N31" s="520"/>
      <c r="O31" s="520"/>
      <c r="P31" s="520"/>
      <c r="Q31" s="533" t="str">
        <f t="shared" si="4"/>
        <v/>
      </c>
      <c r="R31" s="533" t="str">
        <f t="shared" si="5"/>
        <v/>
      </c>
      <c r="S31" s="533" t="str">
        <f t="shared" si="6"/>
        <v/>
      </c>
      <c r="T31" s="533" t="str">
        <f t="shared" si="7"/>
        <v/>
      </c>
      <c r="U31" s="514"/>
      <c r="V31" s="513"/>
      <c r="W31" s="513"/>
      <c r="X31" s="513"/>
      <c r="Y31" s="513"/>
      <c r="Z31" s="513"/>
      <c r="AA31" s="513"/>
      <c r="AB31" s="513"/>
      <c r="AC31" s="513"/>
      <c r="AD31" s="514"/>
      <c r="AE31" s="514"/>
      <c r="AF31" s="513"/>
      <c r="AG31" s="302" t="e">
        <f t="shared" si="8"/>
        <v>#DIV/0!</v>
      </c>
      <c r="AH31" s="303" t="e">
        <f>IF(AG31&gt;KKM!$G$10,"A",IF(AG31&gt;KKM!$H$10,"B",IF(AG31&gt;=KKM!$I$10,"C","D")))</f>
        <v>#DIV/0!</v>
      </c>
      <c r="AI31" s="304">
        <f t="shared" si="0"/>
        <v>0</v>
      </c>
      <c r="AJ31" s="309" t="str">
        <f>IF(AI31&gt;KKM!$G$10," sangat baik ",IF(AI31&gt;KKM!$H$10," baik ",IF(AI31&gt;=KKM!$I$10," cukup baik "," perlu bimbingan ")))</f>
        <v xml:space="preserve"> perlu bimbingan </v>
      </c>
      <c r="AK31" s="305">
        <f t="shared" si="1"/>
        <v>0</v>
      </c>
      <c r="AL31" s="309" t="str">
        <f>IF(AK31&gt;KKM!$G$10," sangat baik ",IF(AK31&gt;KKM!$H$10," baik ",IF(AK31&gt;=KKM!$I$10," cukup baik "," perlu bimbingan ")))</f>
        <v xml:space="preserve"> perlu bimbingan </v>
      </c>
      <c r="AM31" s="301" t="str">
        <f t="shared" si="9"/>
        <v xml:space="preserve"> </v>
      </c>
      <c r="AN31" s="218"/>
      <c r="AO31" s="219" t="e">
        <f t="shared" si="2"/>
        <v>#N/A</v>
      </c>
      <c r="AP31" s="219" t="e">
        <f t="shared" si="3"/>
        <v>#N/A</v>
      </c>
      <c r="AQ31" s="219" t="e">
        <f t="shared" si="10"/>
        <v>#N/A</v>
      </c>
      <c r="AR31" s="219" t="e">
        <f t="shared" si="11"/>
        <v>#N/A</v>
      </c>
      <c r="AS31" s="220" t="e">
        <f t="shared" si="12"/>
        <v>#N/A</v>
      </c>
      <c r="AT31" s="214" t="e">
        <f t="shared" si="13"/>
        <v>#N/A</v>
      </c>
      <c r="AU31" s="120"/>
      <c r="BD31" s="408" t="str">
        <f t="shared" si="14"/>
        <v/>
      </c>
    </row>
    <row r="32" spans="2:56" ht="68.25" customHeight="1">
      <c r="B32" s="109">
        <v>28</v>
      </c>
      <c r="C32" s="110">
        <f>SISWA!B33</f>
        <v>0</v>
      </c>
      <c r="D32" s="111" t="str">
        <f>SISWA!E33</f>
        <v>Anak 28</v>
      </c>
      <c r="E32" s="520"/>
      <c r="F32" s="520"/>
      <c r="G32" s="520"/>
      <c r="H32" s="520"/>
      <c r="I32" s="520"/>
      <c r="J32" s="520"/>
      <c r="K32" s="520"/>
      <c r="L32" s="520"/>
      <c r="M32" s="520"/>
      <c r="N32" s="520"/>
      <c r="O32" s="520"/>
      <c r="P32" s="520"/>
      <c r="Q32" s="533" t="str">
        <f t="shared" si="4"/>
        <v/>
      </c>
      <c r="R32" s="533" t="str">
        <f t="shared" si="5"/>
        <v/>
      </c>
      <c r="S32" s="533" t="str">
        <f t="shared" si="6"/>
        <v/>
      </c>
      <c r="T32" s="533" t="str">
        <f t="shared" si="7"/>
        <v/>
      </c>
      <c r="U32" s="514"/>
      <c r="V32" s="513"/>
      <c r="W32" s="513"/>
      <c r="X32" s="513"/>
      <c r="Y32" s="513"/>
      <c r="Z32" s="513"/>
      <c r="AA32" s="513"/>
      <c r="AB32" s="513"/>
      <c r="AC32" s="513"/>
      <c r="AD32" s="514"/>
      <c r="AE32" s="514"/>
      <c r="AF32" s="513"/>
      <c r="AG32" s="302" t="e">
        <f t="shared" si="8"/>
        <v>#DIV/0!</v>
      </c>
      <c r="AH32" s="303" t="e">
        <f>IF(AG32&gt;KKM!$G$10,"A",IF(AG32&gt;KKM!$H$10,"B",IF(AG32&gt;=KKM!$I$10,"C","D")))</f>
        <v>#DIV/0!</v>
      </c>
      <c r="AI32" s="304">
        <f t="shared" si="0"/>
        <v>0</v>
      </c>
      <c r="AJ32" s="309" t="str">
        <f>IF(AI32&gt;KKM!$G$10," sangat baik ",IF(AI32&gt;KKM!$H$10," baik ",IF(AI32&gt;=KKM!$I$10," cukup baik "," perlu bimbingan ")))</f>
        <v xml:space="preserve"> perlu bimbingan </v>
      </c>
      <c r="AK32" s="305">
        <f t="shared" si="1"/>
        <v>0</v>
      </c>
      <c r="AL32" s="309" t="str">
        <f>IF(AK32&gt;KKM!$G$10," sangat baik ",IF(AK32&gt;KKM!$H$10," baik ",IF(AK32&gt;=KKM!$I$10," cukup baik "," perlu bimbingan ")))</f>
        <v xml:space="preserve"> perlu bimbingan </v>
      </c>
      <c r="AM32" s="301" t="str">
        <f t="shared" si="9"/>
        <v xml:space="preserve"> </v>
      </c>
      <c r="AN32" s="218"/>
      <c r="AO32" s="219" t="e">
        <f t="shared" si="2"/>
        <v>#N/A</v>
      </c>
      <c r="AP32" s="219" t="e">
        <f t="shared" si="3"/>
        <v>#N/A</v>
      </c>
      <c r="AQ32" s="219" t="e">
        <f t="shared" si="10"/>
        <v>#N/A</v>
      </c>
      <c r="AR32" s="219" t="e">
        <f t="shared" si="11"/>
        <v>#N/A</v>
      </c>
      <c r="AS32" s="220" t="e">
        <f t="shared" si="12"/>
        <v>#N/A</v>
      </c>
      <c r="AT32" s="214" t="e">
        <f t="shared" si="13"/>
        <v>#N/A</v>
      </c>
      <c r="AU32" s="120"/>
      <c r="BD32" s="408" t="str">
        <f t="shared" si="14"/>
        <v/>
      </c>
    </row>
    <row r="33" spans="2:56" ht="68.25" customHeight="1">
      <c r="B33" s="109">
        <v>29</v>
      </c>
      <c r="C33" s="110">
        <f>SISWA!B34</f>
        <v>0</v>
      </c>
      <c r="D33" s="111" t="str">
        <f>SISWA!E34</f>
        <v>Anak 29</v>
      </c>
      <c r="E33" s="520"/>
      <c r="F33" s="520"/>
      <c r="G33" s="520"/>
      <c r="H33" s="520"/>
      <c r="I33" s="520"/>
      <c r="J33" s="520"/>
      <c r="K33" s="520"/>
      <c r="L33" s="520"/>
      <c r="M33" s="520"/>
      <c r="N33" s="520"/>
      <c r="O33" s="520"/>
      <c r="P33" s="520"/>
      <c r="Q33" s="533" t="str">
        <f t="shared" si="4"/>
        <v/>
      </c>
      <c r="R33" s="533" t="str">
        <f t="shared" si="5"/>
        <v/>
      </c>
      <c r="S33" s="533" t="str">
        <f t="shared" si="6"/>
        <v/>
      </c>
      <c r="T33" s="533" t="str">
        <f t="shared" si="7"/>
        <v/>
      </c>
      <c r="U33" s="514"/>
      <c r="V33" s="513"/>
      <c r="W33" s="513"/>
      <c r="X33" s="513"/>
      <c r="Y33" s="513"/>
      <c r="Z33" s="513"/>
      <c r="AA33" s="513"/>
      <c r="AB33" s="513"/>
      <c r="AC33" s="513"/>
      <c r="AD33" s="514"/>
      <c r="AE33" s="514"/>
      <c r="AF33" s="513"/>
      <c r="AG33" s="302" t="e">
        <f t="shared" si="8"/>
        <v>#DIV/0!</v>
      </c>
      <c r="AH33" s="303" t="e">
        <f>IF(AG33&gt;KKM!$G$10,"A",IF(AG33&gt;KKM!$H$10,"B",IF(AG33&gt;=KKM!$I$10,"C","D")))</f>
        <v>#DIV/0!</v>
      </c>
      <c r="AI33" s="304">
        <f t="shared" si="0"/>
        <v>0</v>
      </c>
      <c r="AJ33" s="309" t="str">
        <f>IF(AI33&gt;KKM!$G$10," sangat baik ",IF(AI33&gt;KKM!$H$10," baik ",IF(AI33&gt;=KKM!$I$10," cukup baik "," perlu bimbingan ")))</f>
        <v xml:space="preserve"> perlu bimbingan </v>
      </c>
      <c r="AK33" s="305">
        <f t="shared" si="1"/>
        <v>0</v>
      </c>
      <c r="AL33" s="309" t="str">
        <f>IF(AK33&gt;KKM!$G$10," sangat baik ",IF(AK33&gt;KKM!$H$10," baik ",IF(AK33&gt;=KKM!$I$10," cukup baik "," perlu bimbingan ")))</f>
        <v xml:space="preserve"> perlu bimbingan </v>
      </c>
      <c r="AM33" s="301" t="str">
        <f t="shared" si="9"/>
        <v xml:space="preserve"> </v>
      </c>
      <c r="AN33" s="218"/>
      <c r="AO33" s="219" t="e">
        <f t="shared" si="2"/>
        <v>#N/A</v>
      </c>
      <c r="AP33" s="219" t="e">
        <f t="shared" si="3"/>
        <v>#N/A</v>
      </c>
      <c r="AQ33" s="219" t="e">
        <f t="shared" si="10"/>
        <v>#N/A</v>
      </c>
      <c r="AR33" s="219" t="e">
        <f t="shared" si="11"/>
        <v>#N/A</v>
      </c>
      <c r="AS33" s="220" t="e">
        <f t="shared" si="12"/>
        <v>#N/A</v>
      </c>
      <c r="AT33" s="214" t="e">
        <f t="shared" si="13"/>
        <v>#N/A</v>
      </c>
      <c r="AU33" s="120"/>
      <c r="BD33" s="408" t="str">
        <f t="shared" si="14"/>
        <v/>
      </c>
    </row>
    <row r="34" spans="2:56" ht="68.25" customHeight="1">
      <c r="B34" s="109">
        <v>30</v>
      </c>
      <c r="C34" s="110">
        <f>SISWA!B35</f>
        <v>0</v>
      </c>
      <c r="D34" s="111" t="str">
        <f>SISWA!E35</f>
        <v>Anak 30</v>
      </c>
      <c r="E34" s="520"/>
      <c r="F34" s="520"/>
      <c r="G34" s="520"/>
      <c r="H34" s="520"/>
      <c r="I34" s="520"/>
      <c r="J34" s="520"/>
      <c r="K34" s="520"/>
      <c r="L34" s="520"/>
      <c r="M34" s="520"/>
      <c r="N34" s="520"/>
      <c r="O34" s="520"/>
      <c r="P34" s="520"/>
      <c r="Q34" s="533" t="str">
        <f t="shared" si="4"/>
        <v/>
      </c>
      <c r="R34" s="533" t="str">
        <f t="shared" si="5"/>
        <v/>
      </c>
      <c r="S34" s="533" t="str">
        <f t="shared" si="6"/>
        <v/>
      </c>
      <c r="T34" s="533" t="str">
        <f t="shared" si="7"/>
        <v/>
      </c>
      <c r="U34" s="514"/>
      <c r="V34" s="513"/>
      <c r="W34" s="513"/>
      <c r="X34" s="513"/>
      <c r="Y34" s="513"/>
      <c r="Z34" s="513"/>
      <c r="AA34" s="513"/>
      <c r="AB34" s="513"/>
      <c r="AC34" s="513"/>
      <c r="AD34" s="514"/>
      <c r="AE34" s="514"/>
      <c r="AF34" s="513"/>
      <c r="AG34" s="302" t="e">
        <f t="shared" si="8"/>
        <v>#DIV/0!</v>
      </c>
      <c r="AH34" s="303" t="e">
        <f>IF(AG34&gt;KKM!$G$10,"A",IF(AG34&gt;KKM!$H$10,"B",IF(AG34&gt;=KKM!$I$10,"C","D")))</f>
        <v>#DIV/0!</v>
      </c>
      <c r="AI34" s="304">
        <f t="shared" si="0"/>
        <v>0</v>
      </c>
      <c r="AJ34" s="309" t="str">
        <f>IF(AI34&gt;KKM!$G$10," sangat baik ",IF(AI34&gt;KKM!$H$10," baik ",IF(AI34&gt;=KKM!$I$10," cukup baik "," perlu bimbingan ")))</f>
        <v xml:space="preserve"> perlu bimbingan </v>
      </c>
      <c r="AK34" s="305">
        <f t="shared" si="1"/>
        <v>0</v>
      </c>
      <c r="AL34" s="309" t="str">
        <f>IF(AK34&gt;KKM!$G$10," sangat baik ",IF(AK34&gt;KKM!$H$10," baik ",IF(AK34&gt;=KKM!$I$10," cukup baik "," perlu bimbingan ")))</f>
        <v xml:space="preserve"> perlu bimbingan </v>
      </c>
      <c r="AM34" s="301" t="str">
        <f t="shared" si="9"/>
        <v xml:space="preserve"> </v>
      </c>
      <c r="AN34" s="218"/>
      <c r="AO34" s="219" t="e">
        <f t="shared" si="2"/>
        <v>#N/A</v>
      </c>
      <c r="AP34" s="219" t="e">
        <f t="shared" si="3"/>
        <v>#N/A</v>
      </c>
      <c r="AQ34" s="219" t="e">
        <f t="shared" si="10"/>
        <v>#N/A</v>
      </c>
      <c r="AR34" s="219" t="e">
        <f t="shared" si="11"/>
        <v>#N/A</v>
      </c>
      <c r="AS34" s="220" t="e">
        <f t="shared" si="12"/>
        <v>#N/A</v>
      </c>
      <c r="AT34" s="214" t="e">
        <f t="shared" si="13"/>
        <v>#N/A</v>
      </c>
      <c r="AU34" s="120"/>
      <c r="BD34" s="408" t="str">
        <f t="shared" si="14"/>
        <v/>
      </c>
    </row>
    <row r="35" spans="2:56" ht="68.25" customHeight="1">
      <c r="B35" s="109">
        <v>31</v>
      </c>
      <c r="C35" s="110">
        <f>SISWA!B36</f>
        <v>0</v>
      </c>
      <c r="D35" s="111" t="str">
        <f>SISWA!E36</f>
        <v>Anak 31</v>
      </c>
      <c r="E35" s="520"/>
      <c r="F35" s="520"/>
      <c r="G35" s="520"/>
      <c r="H35" s="520"/>
      <c r="I35" s="520"/>
      <c r="J35" s="520"/>
      <c r="K35" s="520"/>
      <c r="L35" s="520"/>
      <c r="M35" s="520"/>
      <c r="N35" s="520"/>
      <c r="O35" s="520"/>
      <c r="P35" s="520"/>
      <c r="Q35" s="533" t="str">
        <f t="shared" si="4"/>
        <v/>
      </c>
      <c r="R35" s="533" t="str">
        <f t="shared" si="5"/>
        <v/>
      </c>
      <c r="S35" s="533" t="str">
        <f t="shared" si="6"/>
        <v/>
      </c>
      <c r="T35" s="533" t="str">
        <f t="shared" si="7"/>
        <v/>
      </c>
      <c r="U35" s="514"/>
      <c r="V35" s="513"/>
      <c r="W35" s="513"/>
      <c r="X35" s="513"/>
      <c r="Y35" s="513"/>
      <c r="Z35" s="513"/>
      <c r="AA35" s="513"/>
      <c r="AB35" s="513"/>
      <c r="AC35" s="513"/>
      <c r="AD35" s="514"/>
      <c r="AE35" s="514"/>
      <c r="AF35" s="513"/>
      <c r="AG35" s="302" t="e">
        <f t="shared" si="8"/>
        <v>#DIV/0!</v>
      </c>
      <c r="AH35" s="303" t="e">
        <f>IF(AG35&gt;KKM!$G$10,"A",IF(AG35&gt;KKM!$H$10,"B",IF(AG35&gt;=KKM!$I$10,"C","D")))</f>
        <v>#DIV/0!</v>
      </c>
      <c r="AI35" s="304">
        <f t="shared" si="0"/>
        <v>0</v>
      </c>
      <c r="AJ35" s="309" t="str">
        <f>IF(AI35&gt;KKM!$G$10," sangat baik ",IF(AI35&gt;KKM!$H$10," baik ",IF(AI35&gt;=KKM!$I$10," cukup baik "," perlu bimbingan ")))</f>
        <v xml:space="preserve"> perlu bimbingan </v>
      </c>
      <c r="AK35" s="305">
        <f t="shared" si="1"/>
        <v>0</v>
      </c>
      <c r="AL35" s="309" t="str">
        <f>IF(AK35&gt;KKM!$G$10," sangat baik ",IF(AK35&gt;KKM!$H$10," baik ",IF(AK35&gt;=KKM!$I$10," cukup baik "," perlu bimbingan ")))</f>
        <v xml:space="preserve"> perlu bimbingan </v>
      </c>
      <c r="AM35" s="301" t="str">
        <f t="shared" si="9"/>
        <v xml:space="preserve"> </v>
      </c>
      <c r="AN35" s="218"/>
      <c r="AO35" s="219" t="e">
        <f t="shared" si="2"/>
        <v>#N/A</v>
      </c>
      <c r="AP35" s="219" t="e">
        <f t="shared" si="3"/>
        <v>#N/A</v>
      </c>
      <c r="AQ35" s="219" t="e">
        <f t="shared" si="10"/>
        <v>#N/A</v>
      </c>
      <c r="AR35" s="219" t="e">
        <f t="shared" si="11"/>
        <v>#N/A</v>
      </c>
      <c r="AS35" s="220" t="e">
        <f t="shared" si="12"/>
        <v>#N/A</v>
      </c>
      <c r="AT35" s="214" t="e">
        <f t="shared" si="13"/>
        <v>#N/A</v>
      </c>
      <c r="AU35" s="120"/>
      <c r="BD35" s="408" t="str">
        <f t="shared" si="14"/>
        <v/>
      </c>
    </row>
    <row r="36" spans="2:56" ht="68.25" customHeight="1">
      <c r="B36" s="109">
        <v>32</v>
      </c>
      <c r="C36" s="110">
        <f>SISWA!B37</f>
        <v>0</v>
      </c>
      <c r="D36" s="111" t="str">
        <f>SISWA!E37</f>
        <v>Anak 32</v>
      </c>
      <c r="E36" s="520"/>
      <c r="F36" s="520"/>
      <c r="G36" s="520"/>
      <c r="H36" s="520"/>
      <c r="I36" s="520"/>
      <c r="J36" s="520"/>
      <c r="K36" s="520"/>
      <c r="L36" s="520"/>
      <c r="M36" s="520"/>
      <c r="N36" s="520"/>
      <c r="O36" s="520"/>
      <c r="P36" s="520"/>
      <c r="Q36" s="533" t="str">
        <f t="shared" si="4"/>
        <v/>
      </c>
      <c r="R36" s="533" t="str">
        <f t="shared" si="5"/>
        <v/>
      </c>
      <c r="S36" s="533" t="str">
        <f t="shared" si="6"/>
        <v/>
      </c>
      <c r="T36" s="533" t="str">
        <f t="shared" si="7"/>
        <v/>
      </c>
      <c r="U36" s="514"/>
      <c r="V36" s="513"/>
      <c r="W36" s="513"/>
      <c r="X36" s="513"/>
      <c r="Y36" s="513"/>
      <c r="Z36" s="513"/>
      <c r="AA36" s="513"/>
      <c r="AB36" s="513"/>
      <c r="AC36" s="513"/>
      <c r="AD36" s="514"/>
      <c r="AE36" s="514"/>
      <c r="AF36" s="513"/>
      <c r="AG36" s="302" t="e">
        <f t="shared" si="8"/>
        <v>#DIV/0!</v>
      </c>
      <c r="AH36" s="303" t="e">
        <f>IF(AG36&gt;KKM!$G$10,"A",IF(AG36&gt;KKM!$H$10,"B",IF(AG36&gt;=KKM!$I$10,"C","D")))</f>
        <v>#DIV/0!</v>
      </c>
      <c r="AI36" s="304">
        <f t="shared" si="0"/>
        <v>0</v>
      </c>
      <c r="AJ36" s="309" t="str">
        <f>IF(AI36&gt;KKM!$G$10," sangat baik ",IF(AI36&gt;KKM!$H$10," baik ",IF(AI36&gt;=KKM!$I$10," cukup baik "," perlu bimbingan ")))</f>
        <v xml:space="preserve"> perlu bimbingan </v>
      </c>
      <c r="AK36" s="305">
        <f t="shared" si="1"/>
        <v>0</v>
      </c>
      <c r="AL36" s="309" t="str">
        <f>IF(AK36&gt;KKM!$G$10," sangat baik ",IF(AK36&gt;KKM!$H$10," baik ",IF(AK36&gt;=KKM!$I$10," cukup baik "," perlu bimbingan ")))</f>
        <v xml:space="preserve"> perlu bimbingan </v>
      </c>
      <c r="AM36" s="301" t="str">
        <f t="shared" si="9"/>
        <v xml:space="preserve"> </v>
      </c>
      <c r="AN36" s="218"/>
      <c r="AO36" s="219" t="e">
        <f t="shared" si="2"/>
        <v>#N/A</v>
      </c>
      <c r="AP36" s="219" t="e">
        <f t="shared" si="3"/>
        <v>#N/A</v>
      </c>
      <c r="AQ36" s="219" t="e">
        <f t="shared" si="10"/>
        <v>#N/A</v>
      </c>
      <c r="AR36" s="219" t="e">
        <f t="shared" si="11"/>
        <v>#N/A</v>
      </c>
      <c r="AS36" s="220" t="e">
        <f t="shared" si="12"/>
        <v>#N/A</v>
      </c>
      <c r="AT36" s="214" t="e">
        <f t="shared" si="13"/>
        <v>#N/A</v>
      </c>
      <c r="AU36" s="120"/>
      <c r="BD36" s="408" t="str">
        <f t="shared" si="14"/>
        <v/>
      </c>
    </row>
    <row r="37" spans="2:56" ht="68.25" customHeight="1">
      <c r="B37" s="109">
        <v>33</v>
      </c>
      <c r="C37" s="110">
        <f>SISWA!B38</f>
        <v>0</v>
      </c>
      <c r="D37" s="111" t="str">
        <f>SISWA!E38</f>
        <v>Anak 33</v>
      </c>
      <c r="E37" s="520"/>
      <c r="F37" s="520"/>
      <c r="G37" s="520"/>
      <c r="H37" s="520"/>
      <c r="I37" s="520"/>
      <c r="J37" s="520"/>
      <c r="K37" s="520"/>
      <c r="L37" s="520"/>
      <c r="M37" s="520"/>
      <c r="N37" s="520"/>
      <c r="O37" s="520"/>
      <c r="P37" s="520"/>
      <c r="Q37" s="533" t="str">
        <f t="shared" si="4"/>
        <v/>
      </c>
      <c r="R37" s="533" t="str">
        <f t="shared" si="5"/>
        <v/>
      </c>
      <c r="S37" s="533" t="str">
        <f t="shared" si="6"/>
        <v/>
      </c>
      <c r="T37" s="533" t="str">
        <f t="shared" si="7"/>
        <v/>
      </c>
      <c r="U37" s="514"/>
      <c r="V37" s="513"/>
      <c r="W37" s="513"/>
      <c r="X37" s="513"/>
      <c r="Y37" s="513"/>
      <c r="Z37" s="513"/>
      <c r="AA37" s="513"/>
      <c r="AB37" s="513"/>
      <c r="AC37" s="513"/>
      <c r="AD37" s="514"/>
      <c r="AE37" s="514"/>
      <c r="AF37" s="513"/>
      <c r="AG37" s="302" t="e">
        <f t="shared" si="8"/>
        <v>#DIV/0!</v>
      </c>
      <c r="AH37" s="303" t="e">
        <f>IF(AG37&gt;KKM!$G$10,"A",IF(AG37&gt;KKM!$H$10,"B",IF(AG37&gt;=KKM!$I$10,"C","D")))</f>
        <v>#DIV/0!</v>
      </c>
      <c r="AI37" s="304">
        <f t="shared" si="0"/>
        <v>0</v>
      </c>
      <c r="AJ37" s="309" t="str">
        <f>IF(AI37&gt;KKM!$G$10," sangat baik ",IF(AI37&gt;KKM!$H$10," baik ",IF(AI37&gt;=KKM!$I$10," cukup baik "," perlu bimbingan ")))</f>
        <v xml:space="preserve"> perlu bimbingan </v>
      </c>
      <c r="AK37" s="305">
        <f t="shared" si="1"/>
        <v>0</v>
      </c>
      <c r="AL37" s="309" t="str">
        <f>IF(AK37&gt;KKM!$G$10," sangat baik ",IF(AK37&gt;KKM!$H$10," baik ",IF(AK37&gt;=KKM!$I$10," cukup baik "," perlu bimbingan ")))</f>
        <v xml:space="preserve"> perlu bimbingan </v>
      </c>
      <c r="AM37" s="301" t="str">
        <f t="shared" si="9"/>
        <v xml:space="preserve"> </v>
      </c>
      <c r="AN37" s="218"/>
      <c r="AO37" s="219" t="e">
        <f t="shared" si="2"/>
        <v>#N/A</v>
      </c>
      <c r="AP37" s="219" t="e">
        <f t="shared" si="3"/>
        <v>#N/A</v>
      </c>
      <c r="AQ37" s="219" t="e">
        <f t="shared" si="10"/>
        <v>#N/A</v>
      </c>
      <c r="AR37" s="219" t="e">
        <f t="shared" si="11"/>
        <v>#N/A</v>
      </c>
      <c r="AS37" s="220" t="e">
        <f t="shared" si="12"/>
        <v>#N/A</v>
      </c>
      <c r="AT37" s="214" t="e">
        <f t="shared" si="13"/>
        <v>#N/A</v>
      </c>
      <c r="AU37" s="120"/>
      <c r="BD37" s="408" t="str">
        <f t="shared" si="14"/>
        <v/>
      </c>
    </row>
    <row r="38" spans="2:56" ht="68.25" customHeight="1">
      <c r="B38" s="109">
        <v>34</v>
      </c>
      <c r="C38" s="110">
        <f>SISWA!B39</f>
        <v>0</v>
      </c>
      <c r="D38" s="111" t="str">
        <f>SISWA!E39</f>
        <v>Anak 34</v>
      </c>
      <c r="E38" s="520"/>
      <c r="F38" s="520"/>
      <c r="G38" s="520"/>
      <c r="H38" s="520"/>
      <c r="I38" s="520"/>
      <c r="J38" s="520"/>
      <c r="K38" s="520"/>
      <c r="L38" s="520"/>
      <c r="M38" s="520"/>
      <c r="N38" s="520"/>
      <c r="O38" s="520"/>
      <c r="P38" s="520"/>
      <c r="Q38" s="533" t="str">
        <f t="shared" si="4"/>
        <v/>
      </c>
      <c r="R38" s="533" t="str">
        <f t="shared" si="5"/>
        <v/>
      </c>
      <c r="S38" s="533" t="str">
        <f t="shared" si="6"/>
        <v/>
      </c>
      <c r="T38" s="533" t="str">
        <f t="shared" si="7"/>
        <v/>
      </c>
      <c r="U38" s="514"/>
      <c r="V38" s="513"/>
      <c r="W38" s="513"/>
      <c r="X38" s="513"/>
      <c r="Y38" s="513"/>
      <c r="Z38" s="513"/>
      <c r="AA38" s="513"/>
      <c r="AB38" s="513"/>
      <c r="AC38" s="513"/>
      <c r="AD38" s="514"/>
      <c r="AE38" s="514"/>
      <c r="AF38" s="513"/>
      <c r="AG38" s="302" t="e">
        <f t="shared" si="8"/>
        <v>#DIV/0!</v>
      </c>
      <c r="AH38" s="303" t="e">
        <f>IF(AG38&gt;KKM!$G$10,"A",IF(AG38&gt;KKM!$H$10,"B",IF(AG38&gt;=KKM!$I$10,"C","D")))</f>
        <v>#DIV/0!</v>
      </c>
      <c r="AI38" s="304">
        <f t="shared" si="0"/>
        <v>0</v>
      </c>
      <c r="AJ38" s="309" t="str">
        <f>IF(AI38&gt;KKM!$G$10," sangat baik ",IF(AI38&gt;KKM!$H$10," baik ",IF(AI38&gt;=KKM!$I$10," cukup baik "," perlu bimbingan ")))</f>
        <v xml:space="preserve"> perlu bimbingan </v>
      </c>
      <c r="AK38" s="305">
        <f t="shared" si="1"/>
        <v>0</v>
      </c>
      <c r="AL38" s="309" t="str">
        <f>IF(AK38&gt;KKM!$G$10," sangat baik ",IF(AK38&gt;KKM!$H$10," baik ",IF(AK38&gt;=KKM!$I$10," cukup baik "," perlu bimbingan ")))</f>
        <v xml:space="preserve"> perlu bimbingan </v>
      </c>
      <c r="AM38" s="301" t="str">
        <f t="shared" si="9"/>
        <v xml:space="preserve"> </v>
      </c>
      <c r="AN38" s="218"/>
      <c r="AO38" s="219" t="e">
        <f t="shared" si="2"/>
        <v>#N/A</v>
      </c>
      <c r="AP38" s="219" t="e">
        <f t="shared" si="3"/>
        <v>#N/A</v>
      </c>
      <c r="AQ38" s="219" t="e">
        <f t="shared" si="10"/>
        <v>#N/A</v>
      </c>
      <c r="AR38" s="219" t="e">
        <f t="shared" si="11"/>
        <v>#N/A</v>
      </c>
      <c r="AS38" s="220" t="e">
        <f t="shared" si="12"/>
        <v>#N/A</v>
      </c>
      <c r="AT38" s="214" t="e">
        <f t="shared" si="13"/>
        <v>#N/A</v>
      </c>
      <c r="AU38" s="120"/>
      <c r="BD38" s="408" t="str">
        <f t="shared" si="14"/>
        <v/>
      </c>
    </row>
    <row r="39" spans="2:56" ht="68.25" customHeight="1">
      <c r="B39" s="109">
        <v>35</v>
      </c>
      <c r="C39" s="110">
        <f>SISWA!B40</f>
        <v>0</v>
      </c>
      <c r="D39" s="111" t="str">
        <f>SISWA!E40</f>
        <v>Anak 35</v>
      </c>
      <c r="E39" s="520"/>
      <c r="F39" s="520"/>
      <c r="G39" s="520"/>
      <c r="H39" s="520"/>
      <c r="I39" s="520"/>
      <c r="J39" s="520"/>
      <c r="K39" s="520"/>
      <c r="L39" s="520"/>
      <c r="M39" s="520"/>
      <c r="N39" s="520"/>
      <c r="O39" s="520"/>
      <c r="P39" s="520"/>
      <c r="Q39" s="533" t="str">
        <f t="shared" si="4"/>
        <v/>
      </c>
      <c r="R39" s="533" t="str">
        <f t="shared" si="5"/>
        <v/>
      </c>
      <c r="S39" s="533" t="str">
        <f t="shared" si="6"/>
        <v/>
      </c>
      <c r="T39" s="533" t="str">
        <f t="shared" si="7"/>
        <v/>
      </c>
      <c r="U39" s="514"/>
      <c r="V39" s="513"/>
      <c r="W39" s="513"/>
      <c r="X39" s="513"/>
      <c r="Y39" s="513"/>
      <c r="Z39" s="513"/>
      <c r="AA39" s="513"/>
      <c r="AB39" s="513"/>
      <c r="AC39" s="513"/>
      <c r="AD39" s="514"/>
      <c r="AE39" s="514"/>
      <c r="AF39" s="513"/>
      <c r="AG39" s="302" t="e">
        <f t="shared" si="8"/>
        <v>#DIV/0!</v>
      </c>
      <c r="AH39" s="303" t="e">
        <f>IF(AG39&gt;KKM!$G$10,"A",IF(AG39&gt;KKM!$H$10,"B",IF(AG39&gt;=KKM!$I$10,"C","D")))</f>
        <v>#DIV/0!</v>
      </c>
      <c r="AI39" s="304">
        <f t="shared" si="0"/>
        <v>0</v>
      </c>
      <c r="AJ39" s="309" t="str">
        <f>IF(AI39&gt;KKM!$G$10," sangat baik ",IF(AI39&gt;KKM!$H$10," baik ",IF(AI39&gt;=KKM!$I$10," cukup baik "," perlu bimbingan ")))</f>
        <v xml:space="preserve"> perlu bimbingan </v>
      </c>
      <c r="AK39" s="305">
        <f t="shared" si="1"/>
        <v>0</v>
      </c>
      <c r="AL39" s="309" t="str">
        <f>IF(AK39&gt;KKM!$G$10," sangat baik ",IF(AK39&gt;KKM!$H$10," baik ",IF(AK39&gt;=KKM!$I$10," cukup baik "," perlu bimbingan ")))</f>
        <v xml:space="preserve"> perlu bimbingan </v>
      </c>
      <c r="AM39" s="301" t="str">
        <f t="shared" si="9"/>
        <v xml:space="preserve"> </v>
      </c>
      <c r="AN39" s="218"/>
      <c r="AO39" s="219" t="e">
        <f t="shared" si="2"/>
        <v>#N/A</v>
      </c>
      <c r="AP39" s="219" t="e">
        <f t="shared" si="3"/>
        <v>#N/A</v>
      </c>
      <c r="AQ39" s="219" t="e">
        <f t="shared" si="10"/>
        <v>#N/A</v>
      </c>
      <c r="AR39" s="219" t="e">
        <f t="shared" si="11"/>
        <v>#N/A</v>
      </c>
      <c r="AS39" s="220" t="e">
        <f t="shared" si="12"/>
        <v>#N/A</v>
      </c>
      <c r="AT39" s="214" t="e">
        <f t="shared" si="13"/>
        <v>#N/A</v>
      </c>
      <c r="AU39" s="120"/>
      <c r="BD39" s="408" t="str">
        <f t="shared" si="14"/>
        <v/>
      </c>
    </row>
    <row r="40" spans="2:56" ht="68.25" customHeight="1">
      <c r="B40" s="109">
        <v>36</v>
      </c>
      <c r="C40" s="110">
        <f>SISWA!B41</f>
        <v>0</v>
      </c>
      <c r="D40" s="111" t="str">
        <f>SISWA!E41</f>
        <v>Anak 36</v>
      </c>
      <c r="E40" s="520"/>
      <c r="F40" s="520"/>
      <c r="G40" s="520"/>
      <c r="H40" s="520"/>
      <c r="I40" s="520"/>
      <c r="J40" s="520"/>
      <c r="K40" s="520"/>
      <c r="L40" s="520"/>
      <c r="M40" s="520"/>
      <c r="N40" s="520"/>
      <c r="O40" s="520"/>
      <c r="P40" s="520"/>
      <c r="Q40" s="533" t="str">
        <f t="shared" si="4"/>
        <v/>
      </c>
      <c r="R40" s="533" t="str">
        <f t="shared" si="5"/>
        <v/>
      </c>
      <c r="S40" s="533" t="str">
        <f t="shared" si="6"/>
        <v/>
      </c>
      <c r="T40" s="533" t="str">
        <f t="shared" si="7"/>
        <v/>
      </c>
      <c r="U40" s="514"/>
      <c r="V40" s="513"/>
      <c r="W40" s="513"/>
      <c r="X40" s="513"/>
      <c r="Y40" s="513"/>
      <c r="Z40" s="513"/>
      <c r="AA40" s="513"/>
      <c r="AB40" s="513"/>
      <c r="AC40" s="513"/>
      <c r="AD40" s="514"/>
      <c r="AE40" s="514"/>
      <c r="AF40" s="513"/>
      <c r="AG40" s="302" t="e">
        <f t="shared" si="8"/>
        <v>#DIV/0!</v>
      </c>
      <c r="AH40" s="303" t="e">
        <f>IF(AG40&gt;KKM!$G$10,"A",IF(AG40&gt;KKM!$H$10,"B",IF(AG40&gt;=KKM!$I$10,"C","D")))</f>
        <v>#DIV/0!</v>
      </c>
      <c r="AI40" s="304">
        <f t="shared" si="0"/>
        <v>0</v>
      </c>
      <c r="AJ40" s="309" t="str">
        <f>IF(AI40&gt;KKM!$G$10," sangat baik ",IF(AI40&gt;KKM!$H$10," baik ",IF(AI40&gt;=KKM!$I$10," cukup baik "," perlu bimbingan ")))</f>
        <v xml:space="preserve"> perlu bimbingan </v>
      </c>
      <c r="AK40" s="305">
        <f t="shared" si="1"/>
        <v>0</v>
      </c>
      <c r="AL40" s="309" t="str">
        <f>IF(AK40&gt;KKM!$G$10," sangat baik ",IF(AK40&gt;KKM!$H$10," baik ",IF(AK40&gt;=KKM!$I$10," cukup baik "," perlu bimbingan ")))</f>
        <v xml:space="preserve"> perlu bimbingan </v>
      </c>
      <c r="AM40" s="301" t="str">
        <f t="shared" si="9"/>
        <v xml:space="preserve"> </v>
      </c>
      <c r="AN40" s="218"/>
      <c r="AO40" s="219" t="e">
        <f t="shared" si="2"/>
        <v>#N/A</v>
      </c>
      <c r="AP40" s="219" t="e">
        <f t="shared" si="3"/>
        <v>#N/A</v>
      </c>
      <c r="AQ40" s="219" t="e">
        <f t="shared" si="10"/>
        <v>#N/A</v>
      </c>
      <c r="AR40" s="219" t="e">
        <f t="shared" si="11"/>
        <v>#N/A</v>
      </c>
      <c r="AS40" s="220" t="e">
        <f t="shared" si="12"/>
        <v>#N/A</v>
      </c>
      <c r="AT40" s="214" t="e">
        <f t="shared" si="13"/>
        <v>#N/A</v>
      </c>
      <c r="AU40" s="120"/>
      <c r="BD40" s="408" t="str">
        <f t="shared" si="14"/>
        <v/>
      </c>
    </row>
    <row r="41" spans="2:56" ht="68.25" customHeight="1">
      <c r="B41" s="109">
        <v>37</v>
      </c>
      <c r="C41" s="110">
        <f>SISWA!B42</f>
        <v>0</v>
      </c>
      <c r="D41" s="111" t="str">
        <f>SISWA!E42</f>
        <v>Anak 37</v>
      </c>
      <c r="E41" s="520"/>
      <c r="F41" s="520"/>
      <c r="G41" s="520"/>
      <c r="H41" s="520"/>
      <c r="I41" s="520"/>
      <c r="J41" s="520"/>
      <c r="K41" s="520"/>
      <c r="L41" s="520"/>
      <c r="M41" s="520"/>
      <c r="N41" s="520"/>
      <c r="O41" s="520"/>
      <c r="P41" s="520"/>
      <c r="Q41" s="533" t="str">
        <f t="shared" si="4"/>
        <v/>
      </c>
      <c r="R41" s="533" t="str">
        <f t="shared" si="5"/>
        <v/>
      </c>
      <c r="S41" s="533" t="str">
        <f t="shared" si="6"/>
        <v/>
      </c>
      <c r="T41" s="533" t="str">
        <f t="shared" si="7"/>
        <v/>
      </c>
      <c r="U41" s="514"/>
      <c r="V41" s="513"/>
      <c r="W41" s="513"/>
      <c r="X41" s="513"/>
      <c r="Y41" s="513"/>
      <c r="Z41" s="513"/>
      <c r="AA41" s="513"/>
      <c r="AB41" s="513"/>
      <c r="AC41" s="513"/>
      <c r="AD41" s="514"/>
      <c r="AE41" s="514"/>
      <c r="AF41" s="513"/>
      <c r="AG41" s="302" t="e">
        <f t="shared" si="8"/>
        <v>#DIV/0!</v>
      </c>
      <c r="AH41" s="303" t="e">
        <f>IF(AG41&gt;KKM!$G$10,"A",IF(AG41&gt;KKM!$H$10,"B",IF(AG41&gt;=KKM!$I$10,"C","D")))</f>
        <v>#DIV/0!</v>
      </c>
      <c r="AI41" s="304">
        <f t="shared" si="0"/>
        <v>0</v>
      </c>
      <c r="AJ41" s="309" t="str">
        <f>IF(AI41&gt;KKM!$G$10," sangat baik ",IF(AI41&gt;KKM!$H$10," baik ",IF(AI41&gt;=KKM!$I$10," cukup baik "," perlu bimbingan ")))</f>
        <v xml:space="preserve"> perlu bimbingan </v>
      </c>
      <c r="AK41" s="305">
        <f t="shared" si="1"/>
        <v>0</v>
      </c>
      <c r="AL41" s="309" t="str">
        <f>IF(AK41&gt;KKM!$G$10," sangat baik ",IF(AK41&gt;KKM!$H$10," baik ",IF(AK41&gt;=KKM!$I$10," cukup baik "," perlu bimbingan ")))</f>
        <v xml:space="preserve"> perlu bimbingan </v>
      </c>
      <c r="AM41" s="301" t="str">
        <f t="shared" si="9"/>
        <v xml:space="preserve"> </v>
      </c>
      <c r="AN41" s="218"/>
      <c r="AO41" s="219" t="e">
        <f t="shared" si="2"/>
        <v>#N/A</v>
      </c>
      <c r="AP41" s="219" t="e">
        <f t="shared" si="3"/>
        <v>#N/A</v>
      </c>
      <c r="AQ41" s="219" t="e">
        <f t="shared" si="10"/>
        <v>#N/A</v>
      </c>
      <c r="AR41" s="219" t="e">
        <f t="shared" si="11"/>
        <v>#N/A</v>
      </c>
      <c r="AS41" s="220" t="e">
        <f t="shared" si="12"/>
        <v>#N/A</v>
      </c>
      <c r="AT41" s="214" t="e">
        <f t="shared" si="13"/>
        <v>#N/A</v>
      </c>
      <c r="AU41" s="120"/>
      <c r="BD41" s="408" t="str">
        <f t="shared" si="14"/>
        <v/>
      </c>
    </row>
    <row r="42" spans="2:56" ht="68.25" customHeight="1">
      <c r="B42" s="109">
        <v>38</v>
      </c>
      <c r="C42" s="110">
        <f>SISWA!B43</f>
        <v>0</v>
      </c>
      <c r="D42" s="111" t="str">
        <f>SISWA!E43</f>
        <v>Anak 38</v>
      </c>
      <c r="E42" s="520"/>
      <c r="F42" s="520"/>
      <c r="G42" s="520"/>
      <c r="H42" s="520"/>
      <c r="I42" s="520"/>
      <c r="J42" s="520"/>
      <c r="K42" s="520"/>
      <c r="L42" s="520"/>
      <c r="M42" s="520"/>
      <c r="N42" s="520"/>
      <c r="O42" s="520"/>
      <c r="P42" s="520"/>
      <c r="Q42" s="533" t="str">
        <f t="shared" si="4"/>
        <v/>
      </c>
      <c r="R42" s="533" t="str">
        <f t="shared" si="5"/>
        <v/>
      </c>
      <c r="S42" s="533" t="str">
        <f t="shared" si="6"/>
        <v/>
      </c>
      <c r="T42" s="533" t="str">
        <f t="shared" si="7"/>
        <v/>
      </c>
      <c r="U42" s="514"/>
      <c r="V42" s="513"/>
      <c r="W42" s="513"/>
      <c r="X42" s="513"/>
      <c r="Y42" s="513"/>
      <c r="Z42" s="513"/>
      <c r="AA42" s="513"/>
      <c r="AB42" s="513"/>
      <c r="AC42" s="513"/>
      <c r="AD42" s="514"/>
      <c r="AE42" s="514"/>
      <c r="AF42" s="513"/>
      <c r="AG42" s="302" t="e">
        <f t="shared" si="8"/>
        <v>#DIV/0!</v>
      </c>
      <c r="AH42" s="303" t="e">
        <f>IF(AG42&gt;KKM!$G$10,"A",IF(AG42&gt;KKM!$H$10,"B",IF(AG42&gt;=KKM!$I$10,"C","D")))</f>
        <v>#DIV/0!</v>
      </c>
      <c r="AI42" s="304">
        <f t="shared" si="0"/>
        <v>0</v>
      </c>
      <c r="AJ42" s="309" t="str">
        <f>IF(AI42&gt;KKM!$G$10," sangat baik ",IF(AI42&gt;KKM!$H$10," baik ",IF(AI42&gt;=KKM!$I$10," cukup baik "," perlu bimbingan ")))</f>
        <v xml:space="preserve"> perlu bimbingan </v>
      </c>
      <c r="AK42" s="305">
        <f t="shared" si="1"/>
        <v>0</v>
      </c>
      <c r="AL42" s="309" t="str">
        <f>IF(AK42&gt;KKM!$G$10," sangat baik ",IF(AK42&gt;KKM!$H$10," baik ",IF(AK42&gt;=KKM!$I$10," cukup baik "," perlu bimbingan ")))</f>
        <v xml:space="preserve"> perlu bimbingan </v>
      </c>
      <c r="AM42" s="301" t="str">
        <f t="shared" si="9"/>
        <v xml:space="preserve"> </v>
      </c>
      <c r="AN42" s="218"/>
      <c r="AO42" s="219" t="e">
        <f t="shared" si="2"/>
        <v>#N/A</v>
      </c>
      <c r="AP42" s="219" t="e">
        <f t="shared" si="3"/>
        <v>#N/A</v>
      </c>
      <c r="AQ42" s="219" t="e">
        <f t="shared" si="10"/>
        <v>#N/A</v>
      </c>
      <c r="AR42" s="219" t="e">
        <f t="shared" si="11"/>
        <v>#N/A</v>
      </c>
      <c r="AS42" s="220" t="e">
        <f t="shared" si="12"/>
        <v>#N/A</v>
      </c>
      <c r="AT42" s="214" t="e">
        <f t="shared" si="13"/>
        <v>#N/A</v>
      </c>
      <c r="AU42" s="120"/>
      <c r="BD42" s="408" t="str">
        <f t="shared" si="14"/>
        <v/>
      </c>
    </row>
    <row r="43" spans="2:56" ht="68.25" customHeight="1">
      <c r="B43" s="109">
        <v>39</v>
      </c>
      <c r="C43" s="110">
        <f>SISWA!B44</f>
        <v>0</v>
      </c>
      <c r="D43" s="111" t="str">
        <f>SISWA!E44</f>
        <v>Anak 39</v>
      </c>
      <c r="E43" s="520"/>
      <c r="F43" s="520"/>
      <c r="G43" s="520"/>
      <c r="H43" s="520"/>
      <c r="I43" s="520"/>
      <c r="J43" s="520"/>
      <c r="K43" s="520"/>
      <c r="L43" s="520"/>
      <c r="M43" s="520"/>
      <c r="N43" s="520"/>
      <c r="O43" s="520"/>
      <c r="P43" s="520"/>
      <c r="Q43" s="533" t="str">
        <f t="shared" si="4"/>
        <v/>
      </c>
      <c r="R43" s="533" t="str">
        <f t="shared" si="5"/>
        <v/>
      </c>
      <c r="S43" s="533" t="str">
        <f t="shared" si="6"/>
        <v/>
      </c>
      <c r="T43" s="533" t="str">
        <f t="shared" si="7"/>
        <v/>
      </c>
      <c r="U43" s="514"/>
      <c r="V43" s="513"/>
      <c r="W43" s="513"/>
      <c r="X43" s="513"/>
      <c r="Y43" s="513"/>
      <c r="Z43" s="513"/>
      <c r="AA43" s="513"/>
      <c r="AB43" s="513"/>
      <c r="AC43" s="513"/>
      <c r="AD43" s="514"/>
      <c r="AE43" s="514"/>
      <c r="AF43" s="513"/>
      <c r="AG43" s="302" t="e">
        <f t="shared" si="8"/>
        <v>#DIV/0!</v>
      </c>
      <c r="AH43" s="303" t="e">
        <f>IF(AG43&gt;KKM!$G$10,"A",IF(AG43&gt;KKM!$H$10,"B",IF(AG43&gt;=KKM!$I$10,"C","D")))</f>
        <v>#DIV/0!</v>
      </c>
      <c r="AI43" s="304">
        <f t="shared" si="0"/>
        <v>0</v>
      </c>
      <c r="AJ43" s="309" t="str">
        <f>IF(AI43&gt;KKM!$G$10," sangat baik ",IF(AI43&gt;KKM!$H$10," baik ",IF(AI43&gt;=KKM!$I$10," cukup baik "," perlu bimbingan ")))</f>
        <v xml:space="preserve"> perlu bimbingan </v>
      </c>
      <c r="AK43" s="305">
        <f t="shared" si="1"/>
        <v>0</v>
      </c>
      <c r="AL43" s="309" t="str">
        <f>IF(AK43&gt;KKM!$G$10," sangat baik ",IF(AK43&gt;KKM!$H$10," baik ",IF(AK43&gt;=KKM!$I$10," cukup baik "," perlu bimbingan ")))</f>
        <v xml:space="preserve"> perlu bimbingan </v>
      </c>
      <c r="AM43" s="301" t="str">
        <f t="shared" si="9"/>
        <v xml:space="preserve"> </v>
      </c>
      <c r="AN43" s="218"/>
      <c r="AO43" s="219" t="e">
        <f t="shared" si="2"/>
        <v>#N/A</v>
      </c>
      <c r="AP43" s="219" t="e">
        <f t="shared" si="3"/>
        <v>#N/A</v>
      </c>
      <c r="AQ43" s="219" t="e">
        <f t="shared" si="10"/>
        <v>#N/A</v>
      </c>
      <c r="AR43" s="219" t="e">
        <f t="shared" si="11"/>
        <v>#N/A</v>
      </c>
      <c r="AS43" s="220" t="e">
        <f t="shared" si="12"/>
        <v>#N/A</v>
      </c>
      <c r="AT43" s="214" t="e">
        <f t="shared" si="13"/>
        <v>#N/A</v>
      </c>
      <c r="AU43" s="120"/>
      <c r="BD43" s="408" t="str">
        <f t="shared" si="14"/>
        <v/>
      </c>
    </row>
    <row r="44" spans="2:56" ht="68.25" customHeight="1">
      <c r="B44" s="109">
        <v>40</v>
      </c>
      <c r="C44" s="110">
        <f>SISWA!B45</f>
        <v>0</v>
      </c>
      <c r="D44" s="111" t="str">
        <f>SISWA!E45</f>
        <v>Anak 40</v>
      </c>
      <c r="E44" s="520"/>
      <c r="F44" s="520"/>
      <c r="G44" s="520"/>
      <c r="H44" s="520"/>
      <c r="I44" s="520"/>
      <c r="J44" s="520"/>
      <c r="K44" s="520"/>
      <c r="L44" s="520"/>
      <c r="M44" s="520"/>
      <c r="N44" s="520"/>
      <c r="O44" s="520"/>
      <c r="P44" s="520"/>
      <c r="Q44" s="533" t="str">
        <f t="shared" si="4"/>
        <v/>
      </c>
      <c r="R44" s="533" t="str">
        <f t="shared" si="5"/>
        <v/>
      </c>
      <c r="S44" s="533" t="str">
        <f t="shared" si="6"/>
        <v/>
      </c>
      <c r="T44" s="533" t="str">
        <f t="shared" si="7"/>
        <v/>
      </c>
      <c r="U44" s="514"/>
      <c r="V44" s="513"/>
      <c r="W44" s="513"/>
      <c r="X44" s="513"/>
      <c r="Y44" s="513"/>
      <c r="Z44" s="513"/>
      <c r="AA44" s="513"/>
      <c r="AB44" s="513"/>
      <c r="AC44" s="513"/>
      <c r="AD44" s="514"/>
      <c r="AE44" s="514"/>
      <c r="AF44" s="513"/>
      <c r="AG44" s="302" t="e">
        <f t="shared" si="8"/>
        <v>#DIV/0!</v>
      </c>
      <c r="AH44" s="303" t="e">
        <f>IF(AG44&gt;KKM!$G$10,"A",IF(AG44&gt;KKM!$H$10,"B",IF(AG44&gt;=KKM!$I$10,"C","D")))</f>
        <v>#DIV/0!</v>
      </c>
      <c r="AI44" s="304">
        <f t="shared" si="0"/>
        <v>0</v>
      </c>
      <c r="AJ44" s="309" t="str">
        <f>IF(AI44&gt;KKM!$G$10," sangat baik ",IF(AI44&gt;KKM!$H$10," baik ",IF(AI44&gt;=KKM!$I$10," cukup baik "," perlu bimbingan ")))</f>
        <v xml:space="preserve"> perlu bimbingan </v>
      </c>
      <c r="AK44" s="305">
        <f t="shared" si="1"/>
        <v>0</v>
      </c>
      <c r="AL44" s="309" t="str">
        <f>IF(AK44&gt;KKM!$G$10," sangat baik ",IF(AK44&gt;KKM!$H$10," baik ",IF(AK44&gt;=KKM!$I$10," cukup baik "," perlu bimbingan ")))</f>
        <v xml:space="preserve"> perlu bimbingan </v>
      </c>
      <c r="AM44" s="301" t="str">
        <f t="shared" si="9"/>
        <v xml:space="preserve"> </v>
      </c>
      <c r="AN44" s="218"/>
      <c r="AO44" s="219" t="e">
        <f t="shared" si="2"/>
        <v>#N/A</v>
      </c>
      <c r="AP44" s="219" t="e">
        <f t="shared" si="3"/>
        <v>#N/A</v>
      </c>
      <c r="AQ44" s="219" t="e">
        <f t="shared" si="10"/>
        <v>#N/A</v>
      </c>
      <c r="AR44" s="219" t="e">
        <f t="shared" si="11"/>
        <v>#N/A</v>
      </c>
      <c r="AS44" s="220" t="e">
        <f t="shared" si="12"/>
        <v>#N/A</v>
      </c>
      <c r="AT44" s="214" t="e">
        <f t="shared" si="13"/>
        <v>#N/A</v>
      </c>
      <c r="AU44" s="120"/>
      <c r="BD44" s="408" t="str">
        <f t="shared" si="14"/>
        <v/>
      </c>
    </row>
    <row r="45" spans="2:56" ht="68.25" customHeight="1">
      <c r="B45" s="109">
        <v>41</v>
      </c>
      <c r="C45" s="110">
        <f>SISWA!B46</f>
        <v>0</v>
      </c>
      <c r="D45" s="111" t="str">
        <f>SISWA!E46</f>
        <v>Anak 41</v>
      </c>
      <c r="E45" s="520"/>
      <c r="F45" s="520"/>
      <c r="G45" s="520"/>
      <c r="H45" s="520"/>
      <c r="I45" s="520"/>
      <c r="J45" s="520"/>
      <c r="K45" s="520"/>
      <c r="L45" s="520"/>
      <c r="M45" s="520"/>
      <c r="N45" s="520"/>
      <c r="O45" s="520"/>
      <c r="P45" s="520"/>
      <c r="Q45" s="533" t="str">
        <f t="shared" si="4"/>
        <v/>
      </c>
      <c r="R45" s="533" t="str">
        <f t="shared" si="5"/>
        <v/>
      </c>
      <c r="S45" s="533" t="str">
        <f t="shared" si="6"/>
        <v/>
      </c>
      <c r="T45" s="533" t="str">
        <f t="shared" si="7"/>
        <v/>
      </c>
      <c r="U45" s="514"/>
      <c r="V45" s="513"/>
      <c r="W45" s="513"/>
      <c r="X45" s="513"/>
      <c r="Y45" s="513"/>
      <c r="Z45" s="513"/>
      <c r="AA45" s="513"/>
      <c r="AB45" s="513"/>
      <c r="AC45" s="513"/>
      <c r="AD45" s="514"/>
      <c r="AE45" s="514"/>
      <c r="AF45" s="513"/>
      <c r="AG45" s="302" t="e">
        <f t="shared" si="8"/>
        <v>#DIV/0!</v>
      </c>
      <c r="AH45" s="303" t="e">
        <f>IF(AG45&gt;KKM!$G$10,"A",IF(AG45&gt;KKM!$H$10,"B",IF(AG45&gt;=KKM!$I$10,"C","D")))</f>
        <v>#DIV/0!</v>
      </c>
      <c r="AI45" s="304">
        <f t="shared" si="0"/>
        <v>0</v>
      </c>
      <c r="AJ45" s="309" t="str">
        <f>IF(AI45&gt;KKM!$G$10," sangat baik ",IF(AI45&gt;KKM!$H$10," baik ",IF(AI45&gt;=KKM!$I$10," cukup baik "," perlu bimbingan ")))</f>
        <v xml:space="preserve"> perlu bimbingan </v>
      </c>
      <c r="AK45" s="305">
        <f t="shared" si="1"/>
        <v>0</v>
      </c>
      <c r="AL45" s="309" t="str">
        <f>IF(AK45&gt;KKM!$G$10," sangat baik ",IF(AK45&gt;KKM!$H$10," baik ",IF(AK45&gt;=KKM!$I$10," cukup baik "," perlu bimbingan ")))</f>
        <v xml:space="preserve"> perlu bimbingan </v>
      </c>
      <c r="AM45" s="301" t="str">
        <f t="shared" si="9"/>
        <v xml:space="preserve"> </v>
      </c>
      <c r="AN45" s="218"/>
      <c r="AO45" s="219" t="e">
        <f t="shared" si="2"/>
        <v>#N/A</v>
      </c>
      <c r="AP45" s="219" t="e">
        <f t="shared" si="3"/>
        <v>#N/A</v>
      </c>
      <c r="AQ45" s="219" t="e">
        <f t="shared" si="10"/>
        <v>#N/A</v>
      </c>
      <c r="AR45" s="219" t="e">
        <f t="shared" si="11"/>
        <v>#N/A</v>
      </c>
      <c r="AS45" s="220" t="e">
        <f t="shared" si="12"/>
        <v>#N/A</v>
      </c>
      <c r="AT45" s="214" t="e">
        <f t="shared" si="13"/>
        <v>#N/A</v>
      </c>
      <c r="AU45" s="120"/>
      <c r="BD45" s="408" t="str">
        <f t="shared" si="14"/>
        <v/>
      </c>
    </row>
    <row r="46" spans="2:56" ht="68.25" customHeight="1">
      <c r="B46" s="109">
        <v>42</v>
      </c>
      <c r="C46" s="110">
        <f>SISWA!B47</f>
        <v>0</v>
      </c>
      <c r="D46" s="111" t="str">
        <f>SISWA!E47</f>
        <v>Anak 42</v>
      </c>
      <c r="E46" s="520"/>
      <c r="F46" s="520"/>
      <c r="G46" s="520"/>
      <c r="H46" s="520"/>
      <c r="I46" s="520"/>
      <c r="J46" s="520"/>
      <c r="K46" s="520"/>
      <c r="L46" s="520"/>
      <c r="M46" s="520"/>
      <c r="N46" s="520"/>
      <c r="O46" s="520"/>
      <c r="P46" s="520"/>
      <c r="Q46" s="533" t="str">
        <f t="shared" si="4"/>
        <v/>
      </c>
      <c r="R46" s="533" t="str">
        <f t="shared" si="5"/>
        <v/>
      </c>
      <c r="S46" s="533" t="str">
        <f t="shared" si="6"/>
        <v/>
      </c>
      <c r="T46" s="533" t="str">
        <f t="shared" si="7"/>
        <v/>
      </c>
      <c r="U46" s="514"/>
      <c r="V46" s="513"/>
      <c r="W46" s="513"/>
      <c r="X46" s="513"/>
      <c r="Y46" s="513"/>
      <c r="Z46" s="513"/>
      <c r="AA46" s="513"/>
      <c r="AB46" s="513"/>
      <c r="AC46" s="513"/>
      <c r="AD46" s="514"/>
      <c r="AE46" s="514"/>
      <c r="AF46" s="513"/>
      <c r="AG46" s="302" t="e">
        <f t="shared" si="8"/>
        <v>#DIV/0!</v>
      </c>
      <c r="AH46" s="303" t="e">
        <f>IF(AG46&gt;KKM!$G$10,"A",IF(AG46&gt;KKM!$H$10,"B",IF(AG46&gt;=KKM!$I$10,"C","D")))</f>
        <v>#DIV/0!</v>
      </c>
      <c r="AI46" s="304">
        <f t="shared" si="0"/>
        <v>0</v>
      </c>
      <c r="AJ46" s="309" t="str">
        <f>IF(AI46&gt;KKM!$G$10," sangat baik ",IF(AI46&gt;KKM!$H$10," baik ",IF(AI46&gt;=KKM!$I$10," cukup baik "," perlu bimbingan ")))</f>
        <v xml:space="preserve"> perlu bimbingan </v>
      </c>
      <c r="AK46" s="305">
        <f t="shared" si="1"/>
        <v>0</v>
      </c>
      <c r="AL46" s="309" t="str">
        <f>IF(AK46&gt;KKM!$G$10," sangat baik ",IF(AK46&gt;KKM!$H$10," baik ",IF(AK46&gt;=KKM!$I$10," cukup baik "," perlu bimbingan ")))</f>
        <v xml:space="preserve"> perlu bimbingan </v>
      </c>
      <c r="AM46" s="301" t="str">
        <f t="shared" si="9"/>
        <v xml:space="preserve"> </v>
      </c>
      <c r="AN46" s="218"/>
      <c r="AO46" s="219" t="e">
        <f t="shared" si="2"/>
        <v>#N/A</v>
      </c>
      <c r="AP46" s="219" t="e">
        <f t="shared" si="3"/>
        <v>#N/A</v>
      </c>
      <c r="AQ46" s="219" t="e">
        <f t="shared" si="10"/>
        <v>#N/A</v>
      </c>
      <c r="AR46" s="219" t="e">
        <f t="shared" si="11"/>
        <v>#N/A</v>
      </c>
      <c r="AS46" s="220" t="e">
        <f t="shared" si="12"/>
        <v>#N/A</v>
      </c>
      <c r="AT46" s="214" t="e">
        <f t="shared" si="13"/>
        <v>#N/A</v>
      </c>
      <c r="AU46" s="120"/>
      <c r="BD46" s="408" t="str">
        <f t="shared" si="14"/>
        <v/>
      </c>
    </row>
    <row r="47" spans="2:56" ht="68.25" customHeight="1">
      <c r="B47" s="109">
        <v>43</v>
      </c>
      <c r="C47" s="110">
        <f>SISWA!B48</f>
        <v>0</v>
      </c>
      <c r="D47" s="111" t="str">
        <f>SISWA!E48</f>
        <v>Anak 43</v>
      </c>
      <c r="E47" s="520"/>
      <c r="F47" s="520"/>
      <c r="G47" s="520"/>
      <c r="H47" s="520"/>
      <c r="I47" s="520"/>
      <c r="J47" s="520"/>
      <c r="K47" s="520"/>
      <c r="L47" s="520"/>
      <c r="M47" s="520"/>
      <c r="N47" s="520"/>
      <c r="O47" s="520"/>
      <c r="P47" s="520"/>
      <c r="Q47" s="533" t="str">
        <f t="shared" si="4"/>
        <v/>
      </c>
      <c r="R47" s="533" t="str">
        <f t="shared" si="5"/>
        <v/>
      </c>
      <c r="S47" s="533" t="str">
        <f t="shared" si="6"/>
        <v/>
      </c>
      <c r="T47" s="533" t="str">
        <f t="shared" si="7"/>
        <v/>
      </c>
      <c r="U47" s="514"/>
      <c r="V47" s="513"/>
      <c r="W47" s="513"/>
      <c r="X47" s="513"/>
      <c r="Y47" s="513"/>
      <c r="Z47" s="513"/>
      <c r="AA47" s="513"/>
      <c r="AB47" s="513"/>
      <c r="AC47" s="513"/>
      <c r="AD47" s="514"/>
      <c r="AE47" s="514"/>
      <c r="AF47" s="513"/>
      <c r="AG47" s="302" t="e">
        <f t="shared" si="8"/>
        <v>#DIV/0!</v>
      </c>
      <c r="AH47" s="303" t="e">
        <f>IF(AG47&gt;KKM!$G$10,"A",IF(AG47&gt;KKM!$H$10,"B",IF(AG47&gt;=KKM!$I$10,"C","D")))</f>
        <v>#DIV/0!</v>
      </c>
      <c r="AI47" s="304">
        <f t="shared" si="0"/>
        <v>0</v>
      </c>
      <c r="AJ47" s="309" t="str">
        <f>IF(AI47&gt;KKM!$G$10," sangat baik ",IF(AI47&gt;KKM!$H$10," baik ",IF(AI47&gt;=KKM!$I$10," cukup baik "," perlu bimbingan ")))</f>
        <v xml:space="preserve"> perlu bimbingan </v>
      </c>
      <c r="AK47" s="305">
        <f t="shared" si="1"/>
        <v>0</v>
      </c>
      <c r="AL47" s="309" t="str">
        <f>IF(AK47&gt;KKM!$G$10," sangat baik ",IF(AK47&gt;KKM!$H$10," baik ",IF(AK47&gt;=KKM!$I$10," cukup baik "," perlu bimbingan ")))</f>
        <v xml:space="preserve"> perlu bimbingan </v>
      </c>
      <c r="AM47" s="301" t="str">
        <f t="shared" si="9"/>
        <v xml:space="preserve"> </v>
      </c>
      <c r="AN47" s="218"/>
      <c r="AO47" s="219" t="e">
        <f t="shared" si="2"/>
        <v>#N/A</v>
      </c>
      <c r="AP47" s="219" t="e">
        <f t="shared" si="3"/>
        <v>#N/A</v>
      </c>
      <c r="AQ47" s="219" t="e">
        <f t="shared" si="10"/>
        <v>#N/A</v>
      </c>
      <c r="AR47" s="219" t="e">
        <f t="shared" si="11"/>
        <v>#N/A</v>
      </c>
      <c r="AS47" s="220" t="e">
        <f t="shared" si="12"/>
        <v>#N/A</v>
      </c>
      <c r="AT47" s="214" t="e">
        <f t="shared" si="13"/>
        <v>#N/A</v>
      </c>
      <c r="AU47" s="120"/>
      <c r="BD47" s="408" t="str">
        <f t="shared" si="14"/>
        <v/>
      </c>
    </row>
    <row r="48" spans="2:56" ht="68.25" customHeight="1">
      <c r="B48" s="109">
        <v>44</v>
      </c>
      <c r="C48" s="110">
        <f>SISWA!B49</f>
        <v>0</v>
      </c>
      <c r="D48" s="111" t="str">
        <f>SISWA!E49</f>
        <v>Anak 44</v>
      </c>
      <c r="E48" s="520"/>
      <c r="F48" s="520"/>
      <c r="G48" s="520"/>
      <c r="H48" s="520"/>
      <c r="I48" s="520"/>
      <c r="J48" s="520"/>
      <c r="K48" s="520"/>
      <c r="L48" s="520"/>
      <c r="M48" s="520"/>
      <c r="N48" s="520"/>
      <c r="O48" s="520"/>
      <c r="P48" s="520"/>
      <c r="Q48" s="533" t="str">
        <f t="shared" si="4"/>
        <v/>
      </c>
      <c r="R48" s="533" t="str">
        <f t="shared" si="5"/>
        <v/>
      </c>
      <c r="S48" s="533" t="str">
        <f t="shared" si="6"/>
        <v/>
      </c>
      <c r="T48" s="533" t="str">
        <f t="shared" si="7"/>
        <v/>
      </c>
      <c r="U48" s="514"/>
      <c r="V48" s="513"/>
      <c r="W48" s="513"/>
      <c r="X48" s="513"/>
      <c r="Y48" s="513"/>
      <c r="Z48" s="513"/>
      <c r="AA48" s="513"/>
      <c r="AB48" s="513"/>
      <c r="AC48" s="513"/>
      <c r="AD48" s="514"/>
      <c r="AE48" s="514"/>
      <c r="AF48" s="513"/>
      <c r="AG48" s="302" t="e">
        <f t="shared" si="8"/>
        <v>#DIV/0!</v>
      </c>
      <c r="AH48" s="303" t="e">
        <f>IF(AG48&gt;KKM!$G$10,"A",IF(AG48&gt;KKM!$H$10,"B",IF(AG48&gt;=KKM!$I$10,"C","D")))</f>
        <v>#DIV/0!</v>
      </c>
      <c r="AI48" s="304">
        <f t="shared" si="0"/>
        <v>0</v>
      </c>
      <c r="AJ48" s="309" t="str">
        <f>IF(AI48&gt;KKM!$G$10," sangat baik ",IF(AI48&gt;KKM!$H$10," baik ",IF(AI48&gt;=KKM!$I$10," cukup baik "," perlu bimbingan ")))</f>
        <v xml:space="preserve"> perlu bimbingan </v>
      </c>
      <c r="AK48" s="305">
        <f t="shared" si="1"/>
        <v>0</v>
      </c>
      <c r="AL48" s="309" t="str">
        <f>IF(AK48&gt;KKM!$G$10," sangat baik ",IF(AK48&gt;KKM!$H$10," baik ",IF(AK48&gt;=KKM!$I$10," cukup baik "," perlu bimbingan ")))</f>
        <v xml:space="preserve"> perlu bimbingan </v>
      </c>
      <c r="AM48" s="301" t="str">
        <f t="shared" si="9"/>
        <v xml:space="preserve"> </v>
      </c>
      <c r="AN48" s="218"/>
      <c r="AO48" s="219" t="e">
        <f t="shared" si="2"/>
        <v>#N/A</v>
      </c>
      <c r="AP48" s="219" t="e">
        <f t="shared" si="3"/>
        <v>#N/A</v>
      </c>
      <c r="AQ48" s="219" t="e">
        <f t="shared" si="10"/>
        <v>#N/A</v>
      </c>
      <c r="AR48" s="219" t="e">
        <f t="shared" si="11"/>
        <v>#N/A</v>
      </c>
      <c r="AS48" s="220" t="e">
        <f t="shared" si="12"/>
        <v>#N/A</v>
      </c>
      <c r="AT48" s="214" t="e">
        <f t="shared" si="13"/>
        <v>#N/A</v>
      </c>
      <c r="AU48" s="120"/>
      <c r="BD48" s="408" t="str">
        <f t="shared" si="14"/>
        <v/>
      </c>
    </row>
    <row r="49" spans="2:56" ht="68.25" customHeight="1">
      <c r="B49" s="109">
        <v>45</v>
      </c>
      <c r="C49" s="110">
        <f>SISWA!B50</f>
        <v>0</v>
      </c>
      <c r="D49" s="111" t="str">
        <f>SISWA!E50</f>
        <v>Anak 45</v>
      </c>
      <c r="E49" s="520"/>
      <c r="F49" s="520"/>
      <c r="G49" s="520"/>
      <c r="H49" s="520"/>
      <c r="I49" s="520"/>
      <c r="J49" s="520"/>
      <c r="K49" s="520"/>
      <c r="L49" s="520"/>
      <c r="M49" s="520"/>
      <c r="N49" s="520"/>
      <c r="O49" s="520"/>
      <c r="P49" s="520"/>
      <c r="Q49" s="533" t="str">
        <f t="shared" si="4"/>
        <v/>
      </c>
      <c r="R49" s="533" t="str">
        <f t="shared" si="5"/>
        <v/>
      </c>
      <c r="S49" s="533" t="str">
        <f t="shared" si="6"/>
        <v/>
      </c>
      <c r="T49" s="533" t="str">
        <f t="shared" si="7"/>
        <v/>
      </c>
      <c r="U49" s="514"/>
      <c r="V49" s="513"/>
      <c r="W49" s="513"/>
      <c r="X49" s="513"/>
      <c r="Y49" s="513"/>
      <c r="Z49" s="513"/>
      <c r="AA49" s="513"/>
      <c r="AB49" s="513"/>
      <c r="AC49" s="513"/>
      <c r="AD49" s="514"/>
      <c r="AE49" s="514"/>
      <c r="AF49" s="513"/>
      <c r="AG49" s="302" t="e">
        <f t="shared" si="8"/>
        <v>#DIV/0!</v>
      </c>
      <c r="AH49" s="303" t="e">
        <f>IF(AG49&gt;KKM!$G$10,"A",IF(AG49&gt;KKM!$H$10,"B",IF(AG49&gt;=KKM!$I$10,"C","D")))</f>
        <v>#DIV/0!</v>
      </c>
      <c r="AI49" s="304">
        <f t="shared" si="0"/>
        <v>0</v>
      </c>
      <c r="AJ49" s="309" t="str">
        <f>IF(AI49&gt;KKM!$G$10," sangat baik ",IF(AI49&gt;KKM!$H$10," baik ",IF(AI49&gt;=KKM!$I$10," cukup baik "," perlu bimbingan ")))</f>
        <v xml:space="preserve"> perlu bimbingan </v>
      </c>
      <c r="AK49" s="305">
        <f t="shared" si="1"/>
        <v>0</v>
      </c>
      <c r="AL49" s="309" t="str">
        <f>IF(AK49&gt;KKM!$G$10," sangat baik ",IF(AK49&gt;KKM!$H$10," baik ",IF(AK49&gt;=KKM!$I$10," cukup baik "," perlu bimbingan ")))</f>
        <v xml:space="preserve"> perlu bimbingan </v>
      </c>
      <c r="AM49" s="301" t="str">
        <f t="shared" si="9"/>
        <v xml:space="preserve"> </v>
      </c>
      <c r="AN49" s="218"/>
      <c r="AO49" s="219" t="e">
        <f t="shared" si="2"/>
        <v>#N/A</v>
      </c>
      <c r="AP49" s="219" t="e">
        <f t="shared" si="3"/>
        <v>#N/A</v>
      </c>
      <c r="AQ49" s="219" t="e">
        <f t="shared" si="10"/>
        <v>#N/A</v>
      </c>
      <c r="AR49" s="219" t="e">
        <f t="shared" si="11"/>
        <v>#N/A</v>
      </c>
      <c r="AS49" s="220" t="e">
        <f t="shared" si="12"/>
        <v>#N/A</v>
      </c>
      <c r="AT49" s="214" t="e">
        <f t="shared" si="13"/>
        <v>#N/A</v>
      </c>
      <c r="AU49" s="120"/>
      <c r="BD49" s="408" t="str">
        <f t="shared" si="14"/>
        <v/>
      </c>
    </row>
    <row r="50" spans="2:56" ht="68.25" customHeight="1">
      <c r="B50" s="109">
        <v>46</v>
      </c>
      <c r="C50" s="110">
        <f>SISWA!B51</f>
        <v>0</v>
      </c>
      <c r="D50" s="111" t="str">
        <f>SISWA!E51</f>
        <v>Anak 46</v>
      </c>
      <c r="E50" s="520"/>
      <c r="F50" s="520"/>
      <c r="G50" s="520"/>
      <c r="H50" s="520"/>
      <c r="I50" s="520"/>
      <c r="J50" s="520"/>
      <c r="K50" s="520"/>
      <c r="L50" s="520"/>
      <c r="M50" s="520"/>
      <c r="N50" s="520"/>
      <c r="O50" s="520"/>
      <c r="P50" s="520"/>
      <c r="Q50" s="533" t="str">
        <f t="shared" si="4"/>
        <v/>
      </c>
      <c r="R50" s="533" t="str">
        <f t="shared" si="5"/>
        <v/>
      </c>
      <c r="S50" s="533" t="str">
        <f t="shared" si="6"/>
        <v/>
      </c>
      <c r="T50" s="533" t="str">
        <f t="shared" si="7"/>
        <v/>
      </c>
      <c r="U50" s="514"/>
      <c r="V50" s="513"/>
      <c r="W50" s="513"/>
      <c r="X50" s="513"/>
      <c r="Y50" s="513"/>
      <c r="Z50" s="513"/>
      <c r="AA50" s="513"/>
      <c r="AB50" s="513"/>
      <c r="AC50" s="513"/>
      <c r="AD50" s="514"/>
      <c r="AE50" s="514"/>
      <c r="AF50" s="513"/>
      <c r="AG50" s="302" t="e">
        <f t="shared" si="8"/>
        <v>#DIV/0!</v>
      </c>
      <c r="AH50" s="303" t="e">
        <f>IF(AG50&gt;KKM!$G$10,"A",IF(AG50&gt;KKM!$H$10,"B",IF(AG50&gt;=KKM!$I$10,"C","D")))</f>
        <v>#DIV/0!</v>
      </c>
      <c r="AI50" s="304">
        <f t="shared" si="0"/>
        <v>0</v>
      </c>
      <c r="AJ50" s="309" t="str">
        <f>IF(AI50&gt;KKM!$G$10," sangat baik ",IF(AI50&gt;KKM!$H$10," baik ",IF(AI50&gt;=KKM!$I$10," cukup baik "," perlu bimbingan ")))</f>
        <v xml:space="preserve"> perlu bimbingan </v>
      </c>
      <c r="AK50" s="305">
        <f t="shared" si="1"/>
        <v>0</v>
      </c>
      <c r="AL50" s="309" t="str">
        <f>IF(AK50&gt;KKM!$G$10," sangat baik ",IF(AK50&gt;KKM!$H$10," baik ",IF(AK50&gt;=KKM!$I$10," cukup baik "," perlu bimbingan ")))</f>
        <v xml:space="preserve"> perlu bimbingan </v>
      </c>
      <c r="AM50" s="301" t="str">
        <f t="shared" si="9"/>
        <v xml:space="preserve"> </v>
      </c>
      <c r="AN50" s="218"/>
      <c r="AO50" s="219" t="e">
        <f t="shared" si="2"/>
        <v>#N/A</v>
      </c>
      <c r="AP50" s="219" t="e">
        <f t="shared" si="3"/>
        <v>#N/A</v>
      </c>
      <c r="AQ50" s="219" t="e">
        <f t="shared" si="10"/>
        <v>#N/A</v>
      </c>
      <c r="AR50" s="219" t="e">
        <f t="shared" si="11"/>
        <v>#N/A</v>
      </c>
      <c r="AS50" s="220" t="e">
        <f t="shared" si="12"/>
        <v>#N/A</v>
      </c>
      <c r="AT50" s="214" t="e">
        <f t="shared" si="13"/>
        <v>#N/A</v>
      </c>
      <c r="AU50" s="120"/>
      <c r="BD50" s="408" t="str">
        <f t="shared" si="14"/>
        <v/>
      </c>
    </row>
    <row r="51" spans="2:56" ht="68.25" customHeight="1">
      <c r="B51" s="109">
        <v>47</v>
      </c>
      <c r="C51" s="110">
        <f>SISWA!B52</f>
        <v>0</v>
      </c>
      <c r="D51" s="111" t="str">
        <f>SISWA!E52</f>
        <v>Anak 47</v>
      </c>
      <c r="E51" s="520"/>
      <c r="F51" s="520"/>
      <c r="G51" s="520"/>
      <c r="H51" s="520"/>
      <c r="I51" s="520"/>
      <c r="J51" s="520"/>
      <c r="K51" s="520"/>
      <c r="L51" s="520"/>
      <c r="M51" s="520"/>
      <c r="N51" s="520"/>
      <c r="O51" s="520"/>
      <c r="P51" s="520"/>
      <c r="Q51" s="533" t="str">
        <f t="shared" si="4"/>
        <v/>
      </c>
      <c r="R51" s="533" t="str">
        <f t="shared" si="5"/>
        <v/>
      </c>
      <c r="S51" s="533" t="str">
        <f t="shared" si="6"/>
        <v/>
      </c>
      <c r="T51" s="533" t="str">
        <f t="shared" si="7"/>
        <v/>
      </c>
      <c r="U51" s="514"/>
      <c r="V51" s="513"/>
      <c r="W51" s="513"/>
      <c r="X51" s="513"/>
      <c r="Y51" s="513"/>
      <c r="Z51" s="513"/>
      <c r="AA51" s="513"/>
      <c r="AB51" s="513"/>
      <c r="AC51" s="513"/>
      <c r="AD51" s="514"/>
      <c r="AE51" s="514"/>
      <c r="AF51" s="513"/>
      <c r="AG51" s="302" t="e">
        <f t="shared" si="8"/>
        <v>#DIV/0!</v>
      </c>
      <c r="AH51" s="303" t="e">
        <f>IF(AG51&gt;KKM!$G$10,"A",IF(AG51&gt;KKM!$H$10,"B",IF(AG51&gt;=KKM!$I$10,"C","D")))</f>
        <v>#DIV/0!</v>
      </c>
      <c r="AI51" s="304">
        <f t="shared" si="0"/>
        <v>0</v>
      </c>
      <c r="AJ51" s="309" t="str">
        <f>IF(AI51&gt;KKM!$G$10," sangat baik ",IF(AI51&gt;KKM!$H$10," baik ",IF(AI51&gt;=KKM!$I$10," cukup baik "," perlu bimbingan ")))</f>
        <v xml:space="preserve"> perlu bimbingan </v>
      </c>
      <c r="AK51" s="305">
        <f t="shared" si="1"/>
        <v>0</v>
      </c>
      <c r="AL51" s="309" t="str">
        <f>IF(AK51&gt;KKM!$G$10," sangat baik ",IF(AK51&gt;KKM!$H$10," baik ",IF(AK51&gt;=KKM!$I$10," cukup baik "," perlu bimbingan ")))</f>
        <v xml:space="preserve"> perlu bimbingan </v>
      </c>
      <c r="AM51" s="301" t="str">
        <f t="shared" si="9"/>
        <v xml:space="preserve"> </v>
      </c>
      <c r="AN51" s="218"/>
      <c r="AO51" s="219" t="e">
        <f t="shared" si="2"/>
        <v>#N/A</v>
      </c>
      <c r="AP51" s="219" t="e">
        <f t="shared" si="3"/>
        <v>#N/A</v>
      </c>
      <c r="AQ51" s="219" t="e">
        <f t="shared" si="10"/>
        <v>#N/A</v>
      </c>
      <c r="AR51" s="219" t="e">
        <f t="shared" si="11"/>
        <v>#N/A</v>
      </c>
      <c r="AS51" s="220" t="e">
        <f t="shared" si="12"/>
        <v>#N/A</v>
      </c>
      <c r="AT51" s="214" t="e">
        <f t="shared" si="13"/>
        <v>#N/A</v>
      </c>
      <c r="AU51" s="120"/>
      <c r="BD51" s="408" t="str">
        <f t="shared" si="14"/>
        <v/>
      </c>
    </row>
    <row r="52" spans="2:56" ht="68.25" customHeight="1">
      <c r="B52" s="109">
        <v>48</v>
      </c>
      <c r="C52" s="110">
        <f>SISWA!B53</f>
        <v>0</v>
      </c>
      <c r="D52" s="111" t="str">
        <f>SISWA!E53</f>
        <v>Anak 48</v>
      </c>
      <c r="E52" s="520"/>
      <c r="F52" s="520"/>
      <c r="G52" s="520"/>
      <c r="H52" s="520"/>
      <c r="I52" s="520"/>
      <c r="J52" s="520"/>
      <c r="K52" s="520"/>
      <c r="L52" s="520"/>
      <c r="M52" s="520"/>
      <c r="N52" s="520"/>
      <c r="O52" s="520"/>
      <c r="P52" s="520"/>
      <c r="Q52" s="533" t="str">
        <f t="shared" si="4"/>
        <v/>
      </c>
      <c r="R52" s="533" t="str">
        <f t="shared" si="5"/>
        <v/>
      </c>
      <c r="S52" s="533" t="str">
        <f t="shared" si="6"/>
        <v/>
      </c>
      <c r="T52" s="533" t="str">
        <f t="shared" si="7"/>
        <v/>
      </c>
      <c r="U52" s="514"/>
      <c r="V52" s="513"/>
      <c r="W52" s="513"/>
      <c r="X52" s="513"/>
      <c r="Y52" s="513"/>
      <c r="Z52" s="513"/>
      <c r="AA52" s="513"/>
      <c r="AB52" s="513"/>
      <c r="AC52" s="513"/>
      <c r="AD52" s="514"/>
      <c r="AE52" s="514"/>
      <c r="AF52" s="513"/>
      <c r="AG52" s="302" t="e">
        <f t="shared" si="8"/>
        <v>#DIV/0!</v>
      </c>
      <c r="AH52" s="303" t="e">
        <f>IF(AG52&gt;KKM!$G$10,"A",IF(AG52&gt;KKM!$H$10,"B",IF(AG52&gt;=KKM!$I$10,"C","D")))</f>
        <v>#DIV/0!</v>
      </c>
      <c r="AI52" s="304">
        <f t="shared" si="0"/>
        <v>0</v>
      </c>
      <c r="AJ52" s="309" t="str">
        <f>IF(AI52&gt;KKM!$G$10," sangat baik ",IF(AI52&gt;KKM!$H$10," baik ",IF(AI52&gt;=KKM!$I$10," cukup baik "," perlu bimbingan ")))</f>
        <v xml:space="preserve"> perlu bimbingan </v>
      </c>
      <c r="AK52" s="305">
        <f t="shared" si="1"/>
        <v>0</v>
      </c>
      <c r="AL52" s="309" t="str">
        <f>IF(AK52&gt;KKM!$G$10," sangat baik ",IF(AK52&gt;KKM!$H$10," baik ",IF(AK52&gt;=KKM!$I$10," cukup baik "," perlu bimbingan ")))</f>
        <v xml:space="preserve"> perlu bimbingan </v>
      </c>
      <c r="AM52" s="301" t="str">
        <f t="shared" si="9"/>
        <v xml:space="preserve"> </v>
      </c>
      <c r="AN52" s="218"/>
      <c r="AO52" s="219" t="e">
        <f t="shared" si="2"/>
        <v>#N/A</v>
      </c>
      <c r="AP52" s="219" t="e">
        <f t="shared" si="3"/>
        <v>#N/A</v>
      </c>
      <c r="AQ52" s="219" t="e">
        <f t="shared" si="10"/>
        <v>#N/A</v>
      </c>
      <c r="AR52" s="219" t="e">
        <f t="shared" si="11"/>
        <v>#N/A</v>
      </c>
      <c r="AS52" s="220" t="e">
        <f t="shared" si="12"/>
        <v>#N/A</v>
      </c>
      <c r="AT52" s="214" t="e">
        <f t="shared" si="13"/>
        <v>#N/A</v>
      </c>
      <c r="AU52" s="120"/>
      <c r="BD52" s="408" t="str">
        <f t="shared" si="14"/>
        <v/>
      </c>
    </row>
    <row r="53" spans="2:56" ht="68.25" customHeight="1">
      <c r="B53" s="109">
        <v>49</v>
      </c>
      <c r="C53" s="110">
        <f>SISWA!B54</f>
        <v>0</v>
      </c>
      <c r="D53" s="111" t="str">
        <f>SISWA!E54</f>
        <v>Anak 49</v>
      </c>
      <c r="E53" s="520"/>
      <c r="F53" s="520"/>
      <c r="G53" s="520"/>
      <c r="H53" s="520"/>
      <c r="I53" s="520"/>
      <c r="J53" s="520"/>
      <c r="K53" s="520"/>
      <c r="L53" s="520"/>
      <c r="M53" s="520"/>
      <c r="N53" s="520"/>
      <c r="O53" s="520"/>
      <c r="P53" s="520"/>
      <c r="Q53" s="533" t="str">
        <f t="shared" si="4"/>
        <v/>
      </c>
      <c r="R53" s="533" t="str">
        <f t="shared" si="5"/>
        <v/>
      </c>
      <c r="S53" s="533" t="str">
        <f t="shared" si="6"/>
        <v/>
      </c>
      <c r="T53" s="533" t="str">
        <f t="shared" si="7"/>
        <v/>
      </c>
      <c r="U53" s="514"/>
      <c r="V53" s="513"/>
      <c r="W53" s="513"/>
      <c r="X53" s="513"/>
      <c r="Y53" s="513"/>
      <c r="Z53" s="513"/>
      <c r="AA53" s="513"/>
      <c r="AB53" s="513"/>
      <c r="AC53" s="513"/>
      <c r="AD53" s="514"/>
      <c r="AE53" s="514"/>
      <c r="AF53" s="513"/>
      <c r="AG53" s="302" t="e">
        <f t="shared" si="8"/>
        <v>#DIV/0!</v>
      </c>
      <c r="AH53" s="303" t="e">
        <f>IF(AG53&gt;KKM!$G$10,"A",IF(AG53&gt;KKM!$H$10,"B",IF(AG53&gt;=KKM!$I$10,"C","D")))</f>
        <v>#DIV/0!</v>
      </c>
      <c r="AI53" s="304">
        <f t="shared" si="0"/>
        <v>0</v>
      </c>
      <c r="AJ53" s="309" t="str">
        <f>IF(AI53&gt;KKM!$G$10," sangat baik ",IF(AI53&gt;KKM!$H$10," baik ",IF(AI53&gt;=KKM!$I$10," cukup baik "," perlu bimbingan ")))</f>
        <v xml:space="preserve"> perlu bimbingan </v>
      </c>
      <c r="AK53" s="305">
        <f t="shared" si="1"/>
        <v>0</v>
      </c>
      <c r="AL53" s="309" t="str">
        <f>IF(AK53&gt;KKM!$G$10," sangat baik ",IF(AK53&gt;KKM!$H$10," baik ",IF(AK53&gt;=KKM!$I$10," cukup baik "," perlu bimbingan ")))</f>
        <v xml:space="preserve"> perlu bimbingan </v>
      </c>
      <c r="AM53" s="301" t="str">
        <f t="shared" si="9"/>
        <v xml:space="preserve"> </v>
      </c>
      <c r="AN53" s="218"/>
      <c r="AO53" s="219" t="e">
        <f t="shared" si="2"/>
        <v>#N/A</v>
      </c>
      <c r="AP53" s="219" t="e">
        <f t="shared" si="3"/>
        <v>#N/A</v>
      </c>
      <c r="AQ53" s="219" t="e">
        <f t="shared" si="10"/>
        <v>#N/A</v>
      </c>
      <c r="AR53" s="219" t="e">
        <f t="shared" si="11"/>
        <v>#N/A</v>
      </c>
      <c r="AS53" s="220" t="e">
        <f t="shared" si="12"/>
        <v>#N/A</v>
      </c>
      <c r="AT53" s="214" t="e">
        <f t="shared" si="13"/>
        <v>#N/A</v>
      </c>
      <c r="AU53" s="120"/>
      <c r="BD53" s="408" t="str">
        <f t="shared" si="14"/>
        <v/>
      </c>
    </row>
    <row r="54" spans="2:56" ht="68.25" customHeight="1">
      <c r="B54" s="109">
        <v>50</v>
      </c>
      <c r="C54" s="110">
        <f>SISWA!B55</f>
        <v>0</v>
      </c>
      <c r="D54" s="111" t="str">
        <f>SISWA!E55</f>
        <v>Anak 50</v>
      </c>
      <c r="E54" s="520"/>
      <c r="F54" s="520"/>
      <c r="G54" s="520"/>
      <c r="H54" s="520"/>
      <c r="I54" s="520"/>
      <c r="J54" s="520"/>
      <c r="K54" s="520"/>
      <c r="L54" s="520"/>
      <c r="M54" s="520"/>
      <c r="N54" s="520"/>
      <c r="O54" s="520"/>
      <c r="P54" s="520"/>
      <c r="Q54" s="533" t="str">
        <f t="shared" si="4"/>
        <v/>
      </c>
      <c r="R54" s="533" t="str">
        <f t="shared" si="5"/>
        <v/>
      </c>
      <c r="S54" s="533" t="str">
        <f t="shared" si="6"/>
        <v/>
      </c>
      <c r="T54" s="533" t="str">
        <f t="shared" si="7"/>
        <v/>
      </c>
      <c r="U54" s="514"/>
      <c r="V54" s="513"/>
      <c r="W54" s="513"/>
      <c r="X54" s="513"/>
      <c r="Y54" s="513"/>
      <c r="Z54" s="513"/>
      <c r="AA54" s="513"/>
      <c r="AB54" s="513"/>
      <c r="AC54" s="513"/>
      <c r="AD54" s="514"/>
      <c r="AE54" s="514"/>
      <c r="AF54" s="513"/>
      <c r="AG54" s="302" t="e">
        <f t="shared" si="8"/>
        <v>#DIV/0!</v>
      </c>
      <c r="AH54" s="303" t="e">
        <f>IF(AG54&gt;KKM!$G$10,"A",IF(AG54&gt;KKM!$H$10,"B",IF(AG54&gt;=KKM!$I$10,"C","D")))</f>
        <v>#DIV/0!</v>
      </c>
      <c r="AI54" s="304">
        <f t="shared" si="0"/>
        <v>0</v>
      </c>
      <c r="AJ54" s="309" t="str">
        <f>IF(AI54&gt;KKM!$G$10," sangat baik ",IF(AI54&gt;KKM!$H$10," baik ",IF(AI54&gt;=KKM!$I$10," cukup baik "," perlu bimbingan ")))</f>
        <v xml:space="preserve"> perlu bimbingan </v>
      </c>
      <c r="AK54" s="305">
        <f t="shared" si="1"/>
        <v>0</v>
      </c>
      <c r="AL54" s="309" t="str">
        <f>IF(AK54&gt;KKM!$G$10," sangat baik ",IF(AK54&gt;KKM!$H$10," baik ",IF(AK54&gt;=KKM!$I$10," cukup baik "," perlu bimbingan ")))</f>
        <v xml:space="preserve"> perlu bimbingan </v>
      </c>
      <c r="AM54" s="301" t="str">
        <f t="shared" si="9"/>
        <v xml:space="preserve"> </v>
      </c>
      <c r="AN54" s="218"/>
      <c r="AO54" s="219" t="e">
        <f t="shared" si="2"/>
        <v>#N/A</v>
      </c>
      <c r="AP54" s="219" t="e">
        <f t="shared" si="3"/>
        <v>#N/A</v>
      </c>
      <c r="AQ54" s="219" t="e">
        <f t="shared" si="10"/>
        <v>#N/A</v>
      </c>
      <c r="AR54" s="219" t="e">
        <f t="shared" si="11"/>
        <v>#N/A</v>
      </c>
      <c r="AS54" s="220" t="e">
        <f t="shared" si="12"/>
        <v>#N/A</v>
      </c>
      <c r="AT54" s="214" t="e">
        <f t="shared" si="13"/>
        <v>#N/A</v>
      </c>
      <c r="AU54" s="120"/>
      <c r="BD54" s="408" t="str">
        <f t="shared" si="14"/>
        <v/>
      </c>
    </row>
    <row r="55" spans="2:56" ht="68.25" customHeight="1">
      <c r="B55" s="121"/>
      <c r="C55" s="121"/>
      <c r="D55" s="121"/>
      <c r="E55" s="519"/>
      <c r="F55" s="519"/>
      <c r="G55" s="519"/>
      <c r="H55" s="519"/>
      <c r="I55" s="519"/>
      <c r="J55" s="519"/>
      <c r="K55" s="519"/>
      <c r="L55" s="519"/>
      <c r="M55" s="519"/>
      <c r="N55" s="519"/>
      <c r="O55" s="519"/>
      <c r="P55" s="519"/>
      <c r="Q55" s="124"/>
      <c r="R55" s="125"/>
      <c r="S55" s="125"/>
      <c r="T55" s="125"/>
      <c r="U55" s="125"/>
      <c r="V55" s="124"/>
      <c r="W55" s="124"/>
      <c r="X55" s="124"/>
      <c r="Y55" s="124"/>
      <c r="Z55" s="124"/>
      <c r="AA55" s="124"/>
      <c r="AB55" s="124"/>
      <c r="AC55" s="124"/>
      <c r="AD55" s="125"/>
      <c r="AE55" s="125"/>
      <c r="AF55" s="124"/>
      <c r="AG55" s="114"/>
      <c r="AH55" s="115"/>
      <c r="AI55" s="116"/>
      <c r="AJ55" s="116"/>
      <c r="AK55" s="116"/>
      <c r="AL55" s="116"/>
      <c r="AM55" s="117"/>
      <c r="AN55" s="118"/>
      <c r="AO55" s="119"/>
      <c r="AP55" s="122"/>
      <c r="AQ55" s="122"/>
      <c r="AR55" s="122"/>
      <c r="AS55" s="122"/>
      <c r="AT55" s="122"/>
      <c r="AU55" s="120"/>
    </row>
  </sheetData>
  <mergeCells count="15">
    <mergeCell ref="AH2:AH4"/>
    <mergeCell ref="AI2:AL2"/>
    <mergeCell ref="AM2:AM4"/>
    <mergeCell ref="AI3:AJ3"/>
    <mergeCell ref="AK3:AL3"/>
    <mergeCell ref="B2:B4"/>
    <mergeCell ref="C2:C4"/>
    <mergeCell ref="D2:D4"/>
    <mergeCell ref="Q2:AF2"/>
    <mergeCell ref="AG2:AG4"/>
    <mergeCell ref="E2:P2"/>
    <mergeCell ref="E3:G3"/>
    <mergeCell ref="H3:J3"/>
    <mergeCell ref="K3:M3"/>
    <mergeCell ref="N3:P3"/>
  </mergeCell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Z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135" customWidth="1"/>
    <col min="2" max="2" width="4.42578125" style="104" customWidth="1"/>
    <col min="3" max="3" width="6.42578125" style="104" customWidth="1"/>
    <col min="4" max="4" width="28.7109375" style="104" customWidth="1"/>
    <col min="5" max="19" width="7.5703125" style="104" customWidth="1"/>
    <col min="20" max="24" width="5.5703125" style="104" customWidth="1"/>
    <col min="25" max="34" width="5.5703125" style="104" hidden="1" customWidth="1"/>
    <col min="35" max="38" width="5.5703125" style="104" customWidth="1"/>
    <col min="39" max="39" width="11.28515625" style="104" customWidth="1"/>
    <col min="40" max="40" width="5.5703125" style="104" customWidth="1"/>
    <col min="41" max="41" width="11.85546875" style="104" customWidth="1"/>
    <col min="42" max="42" width="100.7109375" style="104" customWidth="1"/>
    <col min="43" max="43" width="39.42578125" style="104" customWidth="1"/>
    <col min="44" max="44" width="5" style="104" hidden="1" customWidth="1"/>
    <col min="45" max="45" width="4.7109375" style="104" hidden="1" customWidth="1"/>
    <col min="46" max="46" width="5.140625" style="104" hidden="1" customWidth="1"/>
    <col min="47" max="52" width="5" style="104" hidden="1" customWidth="1"/>
    <col min="53" max="53" width="4.85546875" style="104" hidden="1" customWidth="1"/>
    <col min="54" max="57" width="5" style="104" hidden="1" customWidth="1"/>
    <col min="58" max="58" width="5" style="104" customWidth="1"/>
    <col min="59" max="59" width="5" style="104" hidden="1" customWidth="1"/>
    <col min="60" max="60" width="7" style="104" hidden="1" customWidth="1"/>
    <col min="61" max="61" width="5" style="104" customWidth="1"/>
    <col min="62" max="68" width="5" style="104" hidden="1" customWidth="1"/>
    <col min="69" max="69" width="84.42578125" style="104" hidden="1" customWidth="1"/>
    <col min="70" max="70" width="29.85546875" style="104" hidden="1" customWidth="1"/>
    <col min="71" max="84" width="10.7109375" style="104" hidden="1" customWidth="1"/>
    <col min="85" max="89" width="5" style="104" hidden="1" customWidth="1"/>
    <col min="90" max="90" width="4.85546875" style="104" hidden="1" customWidth="1"/>
    <col min="91" max="95" width="5" style="104" hidden="1" customWidth="1"/>
    <col min="96" max="97" width="0" style="104" hidden="1" customWidth="1"/>
    <col min="98" max="104" width="5" style="104" hidden="1" customWidth="1"/>
    <col min="105" max="105" width="84.42578125" style="104" hidden="1" customWidth="1"/>
    <col min="106" max="106" width="29.85546875" style="104" hidden="1" customWidth="1"/>
    <col min="107" max="130" width="10.7109375" style="104" hidden="1" customWidth="1"/>
    <col min="131" max="16384" width="9.140625" style="104" hidden="1"/>
  </cols>
  <sheetData>
    <row r="1" spans="1:68" s="451" customFormat="1" ht="45.75" customHeight="1">
      <c r="B1" s="452" t="s">
        <v>182</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c r="BM1" s="452"/>
      <c r="BN1" s="452"/>
      <c r="BO1" s="452"/>
      <c r="BP1" s="452"/>
    </row>
    <row r="2" spans="1:68" ht="23.25" customHeight="1">
      <c r="B2" s="1071" t="s">
        <v>2</v>
      </c>
      <c r="C2" s="1072" t="s">
        <v>3</v>
      </c>
      <c r="D2" s="1073" t="s">
        <v>48</v>
      </c>
      <c r="E2" s="1152" t="s">
        <v>709</v>
      </c>
      <c r="F2" s="1153"/>
      <c r="G2" s="1153"/>
      <c r="H2" s="1153"/>
      <c r="I2" s="1153"/>
      <c r="J2" s="1153"/>
      <c r="K2" s="1153"/>
      <c r="L2" s="1153"/>
      <c r="M2" s="1153"/>
      <c r="N2" s="1153"/>
      <c r="O2" s="1153"/>
      <c r="P2" s="1153"/>
      <c r="Q2" s="1153"/>
      <c r="R2" s="1153"/>
      <c r="S2" s="1153"/>
      <c r="T2" s="1111" t="s">
        <v>694</v>
      </c>
      <c r="U2" s="1111"/>
      <c r="V2" s="1111"/>
      <c r="W2" s="1111"/>
      <c r="X2" s="1111"/>
      <c r="Y2" s="1111"/>
      <c r="Z2" s="1111"/>
      <c r="AA2" s="1111"/>
      <c r="AB2" s="1111"/>
      <c r="AC2" s="1111"/>
      <c r="AD2" s="1111"/>
      <c r="AE2" s="1111"/>
      <c r="AF2" s="1111"/>
      <c r="AG2" s="1111"/>
      <c r="AH2" s="1111"/>
      <c r="AI2" s="1111"/>
      <c r="AJ2" s="1139" t="s">
        <v>5</v>
      </c>
      <c r="AK2" s="1123" t="s">
        <v>6</v>
      </c>
      <c r="AL2" s="1124" t="s">
        <v>314</v>
      </c>
      <c r="AM2" s="1125"/>
      <c r="AN2" s="1125"/>
      <c r="AO2" s="1125"/>
      <c r="AP2" s="1027" t="s">
        <v>1</v>
      </c>
      <c r="AQ2" s="1"/>
      <c r="AR2" s="1"/>
      <c r="AS2" s="1"/>
      <c r="AT2" s="1"/>
      <c r="AU2" s="1"/>
      <c r="AV2" s="1"/>
      <c r="AW2" s="215"/>
      <c r="BH2" s="441">
        <f>DEPAN!$E$23</f>
        <v>50</v>
      </c>
    </row>
    <row r="3" spans="1:68" ht="94.5" customHeight="1">
      <c r="B3" s="1071"/>
      <c r="C3" s="1072"/>
      <c r="D3" s="1073"/>
      <c r="E3" s="1140">
        <f>T4</f>
        <v>4.3</v>
      </c>
      <c r="F3" s="1141"/>
      <c r="G3" s="1142"/>
      <c r="H3" s="1143">
        <f>U4</f>
        <v>4.2</v>
      </c>
      <c r="I3" s="1144"/>
      <c r="J3" s="1145"/>
      <c r="K3" s="1146">
        <f>V4</f>
        <v>4.5</v>
      </c>
      <c r="L3" s="1147"/>
      <c r="M3" s="1148"/>
      <c r="N3" s="1149">
        <f>W4</f>
        <v>4.4000000000000004</v>
      </c>
      <c r="O3" s="1150"/>
      <c r="P3" s="1151"/>
      <c r="Q3" s="1126">
        <f>X4</f>
        <v>4.5999999999999996</v>
      </c>
      <c r="R3" s="1127"/>
      <c r="S3" s="1128"/>
      <c r="T3" s="510" t="str">
        <f>'KI-KD'!$F109</f>
        <v>mempraktikkan kombinasi pola gerak dasar lokomotor untuk membentuk gerakan dasar atletik jalan cepat dan lari yang dilandasi konsep gerak melalui permainan dan atau olahraga tradisional.</v>
      </c>
      <c r="U3" s="510" t="str">
        <f>'KI-KD'!$F110</f>
        <v>mempraktikkan variasi dan kombinasi pola gerak dasar lokomotor, non lokomotor, dan manipulative yang dilandasi konsep gerak dalam berbagai permainan dan atau olahraga tradisional bola kecil</v>
      </c>
      <c r="V3" s="510" t="str">
        <f>'KI-KD'!$F111</f>
        <v>mempraktikkan kombinasi pola gerak dasar dominan statis dan dinamis untuk membentuk keterampilan/ teknik dasar senam (seperti: handstand, kayang, meroda, dsb).</v>
      </c>
      <c r="W3" s="510" t="str">
        <f>'KI-KD'!$F112</f>
        <v>mempraktikkan berbagai aktivitas kebugaran jasmani untuk mencapai tinggi dan berat badan ideal</v>
      </c>
      <c r="X3" s="510" t="str">
        <f>'KI-KD'!$F113</f>
        <v>mempraktikkan penggunaan kombinasi pola gerak dasar lokomotor, nonlokomotor dan manipulatif sesuai dengan irama (ketukan) tanpa/dengan musik dalam aktivitas gerak rimtik.</v>
      </c>
      <c r="Y3" s="510">
        <f>'KI-KD'!$F114</f>
        <v>0</v>
      </c>
      <c r="Z3" s="510">
        <f>'KI-KD'!$F115</f>
        <v>0</v>
      </c>
      <c r="AA3" s="510">
        <f>'KI-KD'!$F116</f>
        <v>0</v>
      </c>
      <c r="AB3" s="510">
        <f>'KI-KD'!$F117</f>
        <v>0</v>
      </c>
      <c r="AC3" s="510">
        <f>'KI-KD'!$F118</f>
        <v>0</v>
      </c>
      <c r="AD3" s="510">
        <f>'KI-KD'!$F119</f>
        <v>0</v>
      </c>
      <c r="AE3" s="511"/>
      <c r="AF3" s="511"/>
      <c r="AG3" s="511"/>
      <c r="AH3" s="511"/>
      <c r="AI3" s="511"/>
      <c r="AJ3" s="1139"/>
      <c r="AK3" s="1123"/>
      <c r="AL3" s="1135" t="s">
        <v>315</v>
      </c>
      <c r="AM3" s="1136"/>
      <c r="AN3" s="1137" t="s">
        <v>316</v>
      </c>
      <c r="AO3" s="1138"/>
      <c r="AP3" s="1028"/>
      <c r="AQ3" s="1"/>
      <c r="AR3" s="1"/>
      <c r="AS3" s="1"/>
      <c r="AT3" s="1"/>
      <c r="AU3" s="1"/>
      <c r="AV3" s="1"/>
      <c r="AW3" s="215"/>
      <c r="BH3" s="408">
        <f>BH4-BH5</f>
        <v>5</v>
      </c>
    </row>
    <row r="4" spans="1:68"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31" t="s">
        <v>701</v>
      </c>
      <c r="R4" s="530" t="s">
        <v>702</v>
      </c>
      <c r="S4" s="532" t="s">
        <v>703</v>
      </c>
      <c r="T4" s="512">
        <f>'KI-KD'!$E109</f>
        <v>4.3</v>
      </c>
      <c r="U4" s="512">
        <f>'KI-KD'!$E110</f>
        <v>4.2</v>
      </c>
      <c r="V4" s="512">
        <f>'KI-KD'!$E111</f>
        <v>4.5</v>
      </c>
      <c r="W4" s="512">
        <f>'KI-KD'!$E112</f>
        <v>4.4000000000000004</v>
      </c>
      <c r="X4" s="512">
        <f>'KI-KD'!$E113</f>
        <v>4.5999999999999996</v>
      </c>
      <c r="Y4" s="512">
        <f>'KI-KD'!$E114</f>
        <v>0</v>
      </c>
      <c r="Z4" s="512">
        <f>'KI-KD'!$E115</f>
        <v>0</v>
      </c>
      <c r="AA4" s="512">
        <f>'KI-KD'!$E116</f>
        <v>0</v>
      </c>
      <c r="AB4" s="512">
        <f>'KI-KD'!$E117</f>
        <v>0</v>
      </c>
      <c r="AC4" s="512">
        <f>'KI-KD'!$E118</f>
        <v>0</v>
      </c>
      <c r="AD4" s="512">
        <f>'KI-KD'!$E119</f>
        <v>0</v>
      </c>
      <c r="AE4" s="512"/>
      <c r="AF4" s="512"/>
      <c r="AG4" s="512"/>
      <c r="AH4" s="512"/>
      <c r="AI4" s="512"/>
      <c r="AJ4" s="1139"/>
      <c r="AK4" s="1123"/>
      <c r="AL4" s="210" t="s">
        <v>317</v>
      </c>
      <c r="AM4" s="211" t="s">
        <v>1</v>
      </c>
      <c r="AN4" s="212" t="s">
        <v>317</v>
      </c>
      <c r="AO4" s="213" t="s">
        <v>1</v>
      </c>
      <c r="AP4" s="1029"/>
      <c r="AQ4" s="1"/>
      <c r="AR4" s="216" t="s">
        <v>318</v>
      </c>
      <c r="AS4" s="216" t="s">
        <v>319</v>
      </c>
      <c r="AT4" s="216" t="s">
        <v>320</v>
      </c>
      <c r="AU4" s="216" t="s">
        <v>321</v>
      </c>
      <c r="AV4" s="217" t="s">
        <v>314</v>
      </c>
      <c r="AW4" s="214"/>
      <c r="BH4" s="108">
        <v>50</v>
      </c>
    </row>
    <row r="5" spans="1:68" ht="66.75" customHeight="1">
      <c r="B5" s="109">
        <v>1</v>
      </c>
      <c r="C5" s="110">
        <f>SISWA!B6</f>
        <v>4822</v>
      </c>
      <c r="D5" s="111" t="str">
        <f>SISWA!E6</f>
        <v>Anak 1</v>
      </c>
      <c r="E5" s="520">
        <v>99</v>
      </c>
      <c r="F5" s="520"/>
      <c r="G5" s="520"/>
      <c r="H5" s="520"/>
      <c r="I5" s="520">
        <v>88</v>
      </c>
      <c r="J5" s="520"/>
      <c r="K5" s="520">
        <v>88</v>
      </c>
      <c r="L5" s="520"/>
      <c r="M5" s="520"/>
      <c r="N5" s="520">
        <v>88</v>
      </c>
      <c r="O5" s="520">
        <v>75</v>
      </c>
      <c r="P5" s="520"/>
      <c r="Q5" s="520"/>
      <c r="R5" s="520">
        <v>77</v>
      </c>
      <c r="S5" s="520"/>
      <c r="T5" s="533">
        <f>IFERROR(AVERAGE(E5:G5),"")</f>
        <v>99</v>
      </c>
      <c r="U5" s="533">
        <f>IFERROR(AVERAGE(H5:J5),"")</f>
        <v>88</v>
      </c>
      <c r="V5" s="533">
        <f>IFERROR(AVERAGE(K5:M5),"")</f>
        <v>88</v>
      </c>
      <c r="W5" s="533">
        <f>IFERROR(AVERAGE(N5:P5),"")</f>
        <v>81.5</v>
      </c>
      <c r="X5" s="533">
        <f>IFERROR(AVERAGE(Q5:S5),"")</f>
        <v>77</v>
      </c>
      <c r="Y5" s="513"/>
      <c r="Z5" s="513"/>
      <c r="AA5" s="513"/>
      <c r="AB5" s="514"/>
      <c r="AC5" s="513"/>
      <c r="AD5" s="513"/>
      <c r="AE5" s="513"/>
      <c r="AF5" s="513"/>
      <c r="AG5" s="514"/>
      <c r="AH5" s="514"/>
      <c r="AI5" s="513"/>
      <c r="AJ5" s="302">
        <f>ROUND((AVERAGE(T5:AI5)),0)</f>
        <v>87</v>
      </c>
      <c r="AK5" s="303" t="str">
        <f>IF(AJ5&gt;KKM!$G$10,"A",IF(AJ5&gt;KKM!$H$10,"B",IF(AJ5&gt;=KKM!$I$10,"C","D")))</f>
        <v>B</v>
      </c>
      <c r="AL5" s="304">
        <f t="shared" ref="AL5:AL54" si="0">MAX(T5:AI5)</f>
        <v>99</v>
      </c>
      <c r="AM5" s="309" t="str">
        <f>IF(AL5&gt;KKM!$G$10," sangat baik ",IF(AL5&gt;KKM!$H$10," baik ",IF(AL5&gt;=KKM!$I$10," cukup baik "," perlu bimbingan ")))</f>
        <v xml:space="preserve"> sangat baik </v>
      </c>
      <c r="AN5" s="305">
        <f t="shared" ref="AN5:AN54" si="1">MIN(T5:AI5)</f>
        <v>77</v>
      </c>
      <c r="AO5" s="309" t="str">
        <f>IF(AN5&gt;KKM!$G$10," sangat baik ",IF(AN5&gt;KKM!$H$10," baik ",IF(AN5&gt;=KKM!$I$10," cukup baik "," perlu bimbingan ")))</f>
        <v xml:space="preserve"> cukup baik </v>
      </c>
      <c r="AP5" s="301" t="str">
        <f>IFERROR(AW5," ")</f>
        <v>Anak 1 sangat baik  dalam mempraktikkan kombinasi pola gerak dasar lokomotor untuk membentuk gerakan dasar atletik jalan cepat dan lari yang dilandasi konsep gerak melalui permainan dan atau olahraga tradisional., dan  cukup baik  dalam mempraktikkan penggunaan kombinasi pola gerak dasar lokomotor, nonlokomotor dan manipulatif sesuai dengan irama (ketukan) tanpa/dengan musik dalam aktivitas gerak rimtik.</v>
      </c>
      <c r="AQ5" s="218"/>
      <c r="AR5" s="219" t="str">
        <f t="shared" ref="AR5:AR54" si="2">AM5&amp;" dalam "&amp;INDEX($T$3:$AI$3,MATCH(AL5,$T5:$AI5,0))</f>
        <v xml:space="preserve"> sangat baik  dalam mempraktikkan kombinasi pola gerak dasar lokomotor untuk membentuk gerakan dasar atletik jalan cepat dan lari yang dilandasi konsep gerak melalui permainan dan atau olahraga tradisional.</v>
      </c>
      <c r="AS5" s="219" t="str">
        <f t="shared" ref="AS5:AS54" si="3">AO5&amp;" dalam "&amp;INDEX($T$3:$AI$3,MATCH(AN5,$T5:$AI5,0))</f>
        <v xml:space="preserve"> cukup baik  dalam mempraktikkan penggunaan kombinasi pola gerak dasar lokomotor, nonlokomotor dan manipulatif sesuai dengan irama (ketukan) tanpa/dengan musik dalam aktivitas gerak rimtik.</v>
      </c>
      <c r="AT5" s="219" t="str">
        <f>AR5&amp;", dan "&amp;AS5</f>
        <v xml:space="preserve"> sangat baik  dalam mempraktikkan kombinasi pola gerak dasar lokomotor untuk membentuk gerakan dasar atletik jalan cepat dan lari yang dilandasi konsep gerak melalui permainan dan atau olahraga tradisional., dan  cukup baik  dalam mempraktikkan penggunaan kombinasi pola gerak dasar lokomotor, nonlokomotor dan manipulatif sesuai dengan irama (ketukan) tanpa/dengan musik dalam aktivitas gerak rimtik.</v>
      </c>
      <c r="AU5" s="219" t="str">
        <f>IF(AR5=AS5,AR5," ")</f>
        <v xml:space="preserve"> </v>
      </c>
      <c r="AV5" s="220" t="str">
        <f>IF(AU5=" ",AT5,AU5)</f>
        <v xml:space="preserve"> sangat baik  dalam mempraktikkan kombinasi pola gerak dasar lokomotor untuk membentuk gerakan dasar atletik jalan cepat dan lari yang dilandasi konsep gerak melalui permainan dan atau olahraga tradisional., dan  cukup baik  dalam mempraktikkan penggunaan kombinasi pola gerak dasar lokomotor, nonlokomotor dan manipulatif sesuai dengan irama (ketukan) tanpa/dengan musik dalam aktivitas gerak rimtik.</v>
      </c>
      <c r="AW5" s="214" t="str">
        <f>CONCATENATE(D5,AV5)</f>
        <v>Anak 1 sangat baik  dalam mempraktikkan kombinasi pola gerak dasar lokomotor untuk membentuk gerakan dasar atletik jalan cepat dan lari yang dilandasi konsep gerak melalui permainan dan atau olahraga tradisional., dan  cukup baik  dalam mempraktikkan penggunaan kombinasi pola gerak dasar lokomotor, nonlokomotor dan manipulatif sesuai dengan irama (ketukan) tanpa/dengan musik dalam aktivitas gerak rimtik.</v>
      </c>
      <c r="AX5" s="120"/>
      <c r="BG5" s="408">
        <f>IFERROR(AJ5,"")</f>
        <v>87</v>
      </c>
      <c r="BH5" s="408">
        <f>COUNTBLANK(BG5:BG54)</f>
        <v>45</v>
      </c>
    </row>
    <row r="6" spans="1:68" ht="66.75" customHeight="1">
      <c r="B6" s="109">
        <v>2</v>
      </c>
      <c r="C6" s="110">
        <f>SISWA!B7</f>
        <v>0</v>
      </c>
      <c r="D6" s="111" t="str">
        <f>SISWA!E7</f>
        <v>Anak 2</v>
      </c>
      <c r="E6" s="520">
        <v>87</v>
      </c>
      <c r="F6" s="520"/>
      <c r="G6" s="520"/>
      <c r="H6" s="520"/>
      <c r="I6" s="520"/>
      <c r="J6" s="520"/>
      <c r="K6" s="520"/>
      <c r="L6" s="520"/>
      <c r="M6" s="520"/>
      <c r="N6" s="520"/>
      <c r="O6" s="520"/>
      <c r="P6" s="520"/>
      <c r="Q6" s="520"/>
      <c r="R6" s="520"/>
      <c r="S6" s="520"/>
      <c r="T6" s="533">
        <f t="shared" ref="T6:T54" si="4">IFERROR(AVERAGE(E6:G6),"")</f>
        <v>87</v>
      </c>
      <c r="U6" s="533" t="str">
        <f t="shared" ref="U6:U54" si="5">IFERROR(AVERAGE(H6:J6),"")</f>
        <v/>
      </c>
      <c r="V6" s="533" t="str">
        <f t="shared" ref="V6:V54" si="6">IFERROR(AVERAGE(K6:M6),"")</f>
        <v/>
      </c>
      <c r="W6" s="533" t="str">
        <f t="shared" ref="W6:W54" si="7">IFERROR(AVERAGE(N6:P6),"")</f>
        <v/>
      </c>
      <c r="X6" s="533" t="str">
        <f t="shared" ref="X6:X54" si="8">IFERROR(AVERAGE(Q6:S6),"")</f>
        <v/>
      </c>
      <c r="Y6" s="513"/>
      <c r="Z6" s="513"/>
      <c r="AA6" s="513"/>
      <c r="AB6" s="514"/>
      <c r="AC6" s="513"/>
      <c r="AD6" s="513"/>
      <c r="AE6" s="513"/>
      <c r="AF6" s="513"/>
      <c r="AG6" s="514"/>
      <c r="AH6" s="514"/>
      <c r="AI6" s="513"/>
      <c r="AJ6" s="302">
        <f t="shared" ref="AJ6:AJ54" si="9">ROUND((AVERAGE(T6:AI6)),0)</f>
        <v>87</v>
      </c>
      <c r="AK6" s="303" t="str">
        <f>IF(AJ6&gt;KKM!$G$10,"A",IF(AJ6&gt;KKM!$H$10,"B",IF(AJ6&gt;=KKM!$I$10,"C","D")))</f>
        <v>B</v>
      </c>
      <c r="AL6" s="304">
        <f t="shared" si="0"/>
        <v>87</v>
      </c>
      <c r="AM6" s="309" t="str">
        <f>IF(AL6&gt;KKM!$G$10," sangat baik ",IF(AL6&gt;KKM!$H$10," baik ",IF(AL6&gt;=KKM!$I$10," cukup baik "," perlu bimbingan ")))</f>
        <v xml:space="preserve"> baik </v>
      </c>
      <c r="AN6" s="305">
        <f t="shared" si="1"/>
        <v>87</v>
      </c>
      <c r="AO6" s="309" t="str">
        <f>IF(AN6&gt;KKM!$G$10," sangat baik ",IF(AN6&gt;KKM!$H$10," baik ",IF(AN6&gt;=KKM!$I$10," cukup baik "," perlu bimbingan ")))</f>
        <v xml:space="preserve"> baik </v>
      </c>
      <c r="AP6" s="301" t="str">
        <f t="shared" ref="AP6:AP54" si="10">IFERROR(AW6," ")</f>
        <v>Anak 2 baik  dalam mempraktikkan kombinasi pola gerak dasar lokomotor untuk membentuk gerakan dasar atletik jalan cepat dan lari yang dilandasi konsep gerak melalui permainan dan atau olahraga tradisional.</v>
      </c>
      <c r="AQ6" s="218"/>
      <c r="AR6" s="219" t="str">
        <f t="shared" si="2"/>
        <v xml:space="preserve"> baik  dalam mempraktikkan kombinasi pola gerak dasar lokomotor untuk membentuk gerakan dasar atletik jalan cepat dan lari yang dilandasi konsep gerak melalui permainan dan atau olahraga tradisional.</v>
      </c>
      <c r="AS6" s="219" t="str">
        <f t="shared" si="3"/>
        <v xml:space="preserve"> baik  dalam mempraktikkan kombinasi pola gerak dasar lokomotor untuk membentuk gerakan dasar atletik jalan cepat dan lari yang dilandasi konsep gerak melalui permainan dan atau olahraga tradisional.</v>
      </c>
      <c r="AT6" s="219" t="str">
        <f t="shared" ref="AT6:AT54" si="11">AR6&amp;", dan "&amp;AS6</f>
        <v xml:space="preserve"> baik  dalam mempraktikkan kombinasi pola gerak dasar lokomotor untuk membentuk gerakan dasar atletik jalan cepat dan lari yang dilandasi konsep gerak melalui permainan dan atau olahraga tradisional., dan  baik  dalam mempraktikkan kombinasi pola gerak dasar lokomotor untuk membentuk gerakan dasar atletik jalan cepat dan lari yang dilandasi konsep gerak melalui permainan dan atau olahraga tradisional.</v>
      </c>
      <c r="AU6" s="219" t="str">
        <f t="shared" ref="AU6:AU54" si="12">IF(AR6=AS6,AR6," ")</f>
        <v xml:space="preserve"> baik  dalam mempraktikkan kombinasi pola gerak dasar lokomotor untuk membentuk gerakan dasar atletik jalan cepat dan lari yang dilandasi konsep gerak melalui permainan dan atau olahraga tradisional.</v>
      </c>
      <c r="AV6" s="220" t="str">
        <f t="shared" ref="AV6:AV54" si="13">IF(AU6=" ",AT6,AU6)</f>
        <v xml:space="preserve"> baik  dalam mempraktikkan kombinasi pola gerak dasar lokomotor untuk membentuk gerakan dasar atletik jalan cepat dan lari yang dilandasi konsep gerak melalui permainan dan atau olahraga tradisional.</v>
      </c>
      <c r="AW6" s="214" t="str">
        <f t="shared" ref="AW6:AW54" si="14">CONCATENATE(D6,AV6)</f>
        <v>Anak 2 baik  dalam mempraktikkan kombinasi pola gerak dasar lokomotor untuk membentuk gerakan dasar atletik jalan cepat dan lari yang dilandasi konsep gerak melalui permainan dan atau olahraga tradisional.</v>
      </c>
      <c r="AX6" s="120"/>
      <c r="BG6" s="408">
        <f t="shared" ref="BG6:BG54" si="15">IFERROR(AJ6,"")</f>
        <v>87</v>
      </c>
      <c r="BH6" s="442">
        <f>IFERROR(BH3/BH2,"0%")</f>
        <v>0.1</v>
      </c>
    </row>
    <row r="7" spans="1:68" ht="66.75" customHeight="1">
      <c r="B7" s="109">
        <v>3</v>
      </c>
      <c r="C7" s="110">
        <f>SISWA!B8</f>
        <v>0</v>
      </c>
      <c r="D7" s="111" t="str">
        <f>SISWA!E8</f>
        <v>Anak 3</v>
      </c>
      <c r="E7" s="520"/>
      <c r="F7" s="520"/>
      <c r="G7" s="520"/>
      <c r="H7" s="520"/>
      <c r="I7" s="520"/>
      <c r="J7" s="520"/>
      <c r="K7" s="520"/>
      <c r="L7" s="520"/>
      <c r="M7" s="520"/>
      <c r="N7" s="520"/>
      <c r="O7" s="520"/>
      <c r="P7" s="520"/>
      <c r="Q7" s="520"/>
      <c r="R7" s="520"/>
      <c r="S7" s="520"/>
      <c r="T7" s="533" t="str">
        <f t="shared" si="4"/>
        <v/>
      </c>
      <c r="U7" s="533" t="str">
        <f t="shared" si="5"/>
        <v/>
      </c>
      <c r="V7" s="533" t="str">
        <f t="shared" si="6"/>
        <v/>
      </c>
      <c r="W7" s="533" t="str">
        <f t="shared" si="7"/>
        <v/>
      </c>
      <c r="X7" s="533" t="str">
        <f t="shared" si="8"/>
        <v/>
      </c>
      <c r="Y7" s="513"/>
      <c r="Z7" s="513"/>
      <c r="AA7" s="513"/>
      <c r="AB7" s="514"/>
      <c r="AC7" s="513"/>
      <c r="AD7" s="513"/>
      <c r="AE7" s="513"/>
      <c r="AF7" s="513"/>
      <c r="AG7" s="514"/>
      <c r="AH7" s="514"/>
      <c r="AI7" s="513"/>
      <c r="AJ7" s="302" t="e">
        <f t="shared" si="9"/>
        <v>#DIV/0!</v>
      </c>
      <c r="AK7" s="303" t="e">
        <f>IF(AJ7&gt;KKM!$G$10,"A",IF(AJ7&gt;KKM!$H$10,"B",IF(AJ7&gt;=KKM!$I$10,"C","D")))</f>
        <v>#DIV/0!</v>
      </c>
      <c r="AL7" s="304">
        <f t="shared" si="0"/>
        <v>0</v>
      </c>
      <c r="AM7" s="309" t="str">
        <f>IF(AL7&gt;KKM!$G$10," sangat baik ",IF(AL7&gt;KKM!$H$10," baik ",IF(AL7&gt;=KKM!$I$10," cukup baik "," perlu bimbingan ")))</f>
        <v xml:space="preserve"> perlu bimbingan </v>
      </c>
      <c r="AN7" s="305">
        <f t="shared" si="1"/>
        <v>0</v>
      </c>
      <c r="AO7" s="309" t="str">
        <f>IF(AN7&gt;KKM!$G$10," sangat baik ",IF(AN7&gt;KKM!$H$10," baik ",IF(AN7&gt;=KKM!$I$10," cukup baik "," perlu bimbingan ")))</f>
        <v xml:space="preserve"> perlu bimbingan </v>
      </c>
      <c r="AP7" s="301" t="str">
        <f t="shared" si="10"/>
        <v xml:space="preserve"> </v>
      </c>
      <c r="AQ7" s="218"/>
      <c r="AR7" s="219" t="e">
        <f t="shared" si="2"/>
        <v>#N/A</v>
      </c>
      <c r="AS7" s="219" t="e">
        <f t="shared" si="3"/>
        <v>#N/A</v>
      </c>
      <c r="AT7" s="219" t="e">
        <f t="shared" si="11"/>
        <v>#N/A</v>
      </c>
      <c r="AU7" s="219" t="e">
        <f t="shared" si="12"/>
        <v>#N/A</v>
      </c>
      <c r="AV7" s="220" t="e">
        <f t="shared" si="13"/>
        <v>#N/A</v>
      </c>
      <c r="AW7" s="214" t="e">
        <f t="shared" si="14"/>
        <v>#N/A</v>
      </c>
      <c r="AX7" s="120"/>
      <c r="BG7" s="408" t="str">
        <f t="shared" si="15"/>
        <v/>
      </c>
    </row>
    <row r="8" spans="1:68" ht="66.75" customHeight="1">
      <c r="B8" s="109">
        <v>4</v>
      </c>
      <c r="C8" s="110">
        <f>SISWA!B9</f>
        <v>0</v>
      </c>
      <c r="D8" s="111" t="str">
        <f>SISWA!E9</f>
        <v>Anak 4</v>
      </c>
      <c r="E8" s="520"/>
      <c r="F8" s="520"/>
      <c r="G8" s="520"/>
      <c r="H8" s="520"/>
      <c r="I8" s="520"/>
      <c r="J8" s="520"/>
      <c r="K8" s="520"/>
      <c r="L8" s="520">
        <v>87</v>
      </c>
      <c r="M8" s="520"/>
      <c r="N8" s="520"/>
      <c r="O8" s="520"/>
      <c r="P8" s="520"/>
      <c r="Q8" s="520"/>
      <c r="R8" s="520"/>
      <c r="S8" s="520"/>
      <c r="T8" s="533" t="str">
        <f t="shared" si="4"/>
        <v/>
      </c>
      <c r="U8" s="533" t="str">
        <f t="shared" si="5"/>
        <v/>
      </c>
      <c r="V8" s="533">
        <f t="shared" si="6"/>
        <v>87</v>
      </c>
      <c r="W8" s="533" t="str">
        <f t="shared" si="7"/>
        <v/>
      </c>
      <c r="X8" s="533" t="str">
        <f t="shared" si="8"/>
        <v/>
      </c>
      <c r="Y8" s="513"/>
      <c r="Z8" s="513"/>
      <c r="AA8" s="513"/>
      <c r="AB8" s="514"/>
      <c r="AC8" s="513"/>
      <c r="AD8" s="513"/>
      <c r="AE8" s="513"/>
      <c r="AF8" s="513"/>
      <c r="AG8" s="514"/>
      <c r="AH8" s="514"/>
      <c r="AI8" s="513"/>
      <c r="AJ8" s="302">
        <f t="shared" si="9"/>
        <v>87</v>
      </c>
      <c r="AK8" s="303" t="str">
        <f>IF(AJ8&gt;KKM!$G$10,"A",IF(AJ8&gt;KKM!$H$10,"B",IF(AJ8&gt;=KKM!$I$10,"C","D")))</f>
        <v>B</v>
      </c>
      <c r="AL8" s="304">
        <f t="shared" si="0"/>
        <v>87</v>
      </c>
      <c r="AM8" s="309" t="str">
        <f>IF(AL8&gt;KKM!$G$10," sangat baik ",IF(AL8&gt;KKM!$H$10," baik ",IF(AL8&gt;=KKM!$I$10," cukup baik "," perlu bimbingan ")))</f>
        <v xml:space="preserve"> baik </v>
      </c>
      <c r="AN8" s="305">
        <f t="shared" si="1"/>
        <v>87</v>
      </c>
      <c r="AO8" s="309" t="str">
        <f>IF(AN8&gt;KKM!$G$10," sangat baik ",IF(AN8&gt;KKM!$H$10," baik ",IF(AN8&gt;=KKM!$I$10," cukup baik "," perlu bimbingan ")))</f>
        <v xml:space="preserve"> baik </v>
      </c>
      <c r="AP8" s="301" t="str">
        <f t="shared" si="10"/>
        <v>Anak 4 baik  dalam mempraktikkan kombinasi pola gerak dasar dominan statis dan dinamis untuk membentuk keterampilan/ teknik dasar senam (seperti: handstand, kayang, meroda, dsb).</v>
      </c>
      <c r="AQ8" s="218"/>
      <c r="AR8" s="219" t="str">
        <f t="shared" si="2"/>
        <v xml:space="preserve"> baik  dalam mempraktikkan kombinasi pola gerak dasar dominan statis dan dinamis untuk membentuk keterampilan/ teknik dasar senam (seperti: handstand, kayang, meroda, dsb).</v>
      </c>
      <c r="AS8" s="219" t="str">
        <f t="shared" si="3"/>
        <v xml:space="preserve"> baik  dalam mempraktikkan kombinasi pola gerak dasar dominan statis dan dinamis untuk membentuk keterampilan/ teknik dasar senam (seperti: handstand, kayang, meroda, dsb).</v>
      </c>
      <c r="AT8" s="219" t="str">
        <f t="shared" si="11"/>
        <v xml:space="preserve"> baik  dalam mempraktikkan kombinasi pola gerak dasar dominan statis dan dinamis untuk membentuk keterampilan/ teknik dasar senam (seperti: handstand, kayang, meroda, dsb)., dan  baik  dalam mempraktikkan kombinasi pola gerak dasar dominan statis dan dinamis untuk membentuk keterampilan/ teknik dasar senam (seperti: handstand, kayang, meroda, dsb).</v>
      </c>
      <c r="AU8" s="219" t="str">
        <f t="shared" si="12"/>
        <v xml:space="preserve"> baik  dalam mempraktikkan kombinasi pola gerak dasar dominan statis dan dinamis untuk membentuk keterampilan/ teknik dasar senam (seperti: handstand, kayang, meroda, dsb).</v>
      </c>
      <c r="AV8" s="220" t="str">
        <f t="shared" si="13"/>
        <v xml:space="preserve"> baik  dalam mempraktikkan kombinasi pola gerak dasar dominan statis dan dinamis untuk membentuk keterampilan/ teknik dasar senam (seperti: handstand, kayang, meroda, dsb).</v>
      </c>
      <c r="AW8" s="214" t="str">
        <f t="shared" si="14"/>
        <v>Anak 4 baik  dalam mempraktikkan kombinasi pola gerak dasar dominan statis dan dinamis untuk membentuk keterampilan/ teknik dasar senam (seperti: handstand, kayang, meroda, dsb).</v>
      </c>
      <c r="AX8" s="120"/>
      <c r="BG8" s="408">
        <f t="shared" si="15"/>
        <v>87</v>
      </c>
    </row>
    <row r="9" spans="1:68" ht="66.75" customHeight="1">
      <c r="B9" s="109">
        <v>5</v>
      </c>
      <c r="C9" s="110">
        <f>SISWA!B10</f>
        <v>0</v>
      </c>
      <c r="D9" s="111" t="str">
        <f>SISWA!E10</f>
        <v>Anak 5</v>
      </c>
      <c r="E9" s="520"/>
      <c r="F9" s="520"/>
      <c r="G9" s="520"/>
      <c r="H9" s="520"/>
      <c r="I9" s="520"/>
      <c r="J9" s="520"/>
      <c r="K9" s="520"/>
      <c r="L9" s="520"/>
      <c r="M9" s="520"/>
      <c r="N9" s="520"/>
      <c r="O9" s="520">
        <v>88</v>
      </c>
      <c r="P9" s="520"/>
      <c r="Q9" s="520"/>
      <c r="R9" s="520"/>
      <c r="S9" s="520"/>
      <c r="T9" s="533" t="str">
        <f t="shared" si="4"/>
        <v/>
      </c>
      <c r="U9" s="533" t="str">
        <f t="shared" si="5"/>
        <v/>
      </c>
      <c r="V9" s="533" t="str">
        <f t="shared" si="6"/>
        <v/>
      </c>
      <c r="W9" s="533">
        <f t="shared" si="7"/>
        <v>88</v>
      </c>
      <c r="X9" s="533" t="str">
        <f t="shared" si="8"/>
        <v/>
      </c>
      <c r="Y9" s="513"/>
      <c r="Z9" s="513"/>
      <c r="AA9" s="513"/>
      <c r="AB9" s="514"/>
      <c r="AC9" s="513"/>
      <c r="AD9" s="513"/>
      <c r="AE9" s="513"/>
      <c r="AF9" s="513"/>
      <c r="AG9" s="514"/>
      <c r="AH9" s="514"/>
      <c r="AI9" s="513"/>
      <c r="AJ9" s="302">
        <f t="shared" si="9"/>
        <v>88</v>
      </c>
      <c r="AK9" s="303" t="str">
        <f>IF(AJ9&gt;KKM!$G$10,"A",IF(AJ9&gt;KKM!$H$10,"B",IF(AJ9&gt;=KKM!$I$10,"C","D")))</f>
        <v>B</v>
      </c>
      <c r="AL9" s="304">
        <f t="shared" si="0"/>
        <v>88</v>
      </c>
      <c r="AM9" s="309" t="str">
        <f>IF(AL9&gt;KKM!$G$10," sangat baik ",IF(AL9&gt;KKM!$H$10," baik ",IF(AL9&gt;=KKM!$I$10," cukup baik "," perlu bimbingan ")))</f>
        <v xml:space="preserve"> baik </v>
      </c>
      <c r="AN9" s="305">
        <f t="shared" si="1"/>
        <v>88</v>
      </c>
      <c r="AO9" s="309" t="str">
        <f>IF(AN9&gt;KKM!$G$10," sangat baik ",IF(AN9&gt;KKM!$H$10," baik ",IF(AN9&gt;=KKM!$I$10," cukup baik "," perlu bimbingan ")))</f>
        <v xml:space="preserve"> baik </v>
      </c>
      <c r="AP9" s="301" t="str">
        <f t="shared" si="10"/>
        <v>Anak 5 baik  dalam mempraktikkan berbagai aktivitas kebugaran jasmani untuk mencapai tinggi dan berat badan ideal</v>
      </c>
      <c r="AQ9" s="218"/>
      <c r="AR9" s="219" t="str">
        <f t="shared" si="2"/>
        <v xml:space="preserve"> baik  dalam mempraktikkan berbagai aktivitas kebugaran jasmani untuk mencapai tinggi dan berat badan ideal</v>
      </c>
      <c r="AS9" s="219" t="str">
        <f t="shared" si="3"/>
        <v xml:space="preserve"> baik  dalam mempraktikkan berbagai aktivitas kebugaran jasmani untuk mencapai tinggi dan berat badan ideal</v>
      </c>
      <c r="AT9" s="219" t="str">
        <f t="shared" si="11"/>
        <v xml:space="preserve"> baik  dalam mempraktikkan berbagai aktivitas kebugaran jasmani untuk mencapai tinggi dan berat badan ideal, dan  baik  dalam mempraktikkan berbagai aktivitas kebugaran jasmani untuk mencapai tinggi dan berat badan ideal</v>
      </c>
      <c r="AU9" s="219" t="str">
        <f t="shared" si="12"/>
        <v xml:space="preserve"> baik  dalam mempraktikkan berbagai aktivitas kebugaran jasmani untuk mencapai tinggi dan berat badan ideal</v>
      </c>
      <c r="AV9" s="220" t="str">
        <f t="shared" si="13"/>
        <v xml:space="preserve"> baik  dalam mempraktikkan berbagai aktivitas kebugaran jasmani untuk mencapai tinggi dan berat badan ideal</v>
      </c>
      <c r="AW9" s="214" t="str">
        <f t="shared" si="14"/>
        <v>Anak 5 baik  dalam mempraktikkan berbagai aktivitas kebugaran jasmani untuk mencapai tinggi dan berat badan ideal</v>
      </c>
      <c r="AX9" s="120"/>
      <c r="BG9" s="408">
        <f t="shared" si="15"/>
        <v>88</v>
      </c>
    </row>
    <row r="10" spans="1:68" ht="66.75" customHeight="1">
      <c r="B10" s="109">
        <v>6</v>
      </c>
      <c r="C10" s="110">
        <f>SISWA!B11</f>
        <v>0</v>
      </c>
      <c r="D10" s="111" t="str">
        <f>SISWA!E11</f>
        <v>Anak 6</v>
      </c>
      <c r="E10" s="520"/>
      <c r="F10" s="520"/>
      <c r="G10" s="520"/>
      <c r="H10" s="520"/>
      <c r="I10" s="520"/>
      <c r="J10" s="520"/>
      <c r="K10" s="520"/>
      <c r="L10" s="520"/>
      <c r="M10" s="520"/>
      <c r="N10" s="520"/>
      <c r="O10" s="520"/>
      <c r="P10" s="520"/>
      <c r="Q10" s="520"/>
      <c r="R10" s="520">
        <v>77</v>
      </c>
      <c r="S10" s="520"/>
      <c r="T10" s="533" t="str">
        <f t="shared" si="4"/>
        <v/>
      </c>
      <c r="U10" s="533" t="str">
        <f t="shared" si="5"/>
        <v/>
      </c>
      <c r="V10" s="533" t="str">
        <f t="shared" si="6"/>
        <v/>
      </c>
      <c r="W10" s="533" t="str">
        <f t="shared" si="7"/>
        <v/>
      </c>
      <c r="X10" s="533">
        <f t="shared" si="8"/>
        <v>77</v>
      </c>
      <c r="Y10" s="513"/>
      <c r="Z10" s="513"/>
      <c r="AA10" s="513"/>
      <c r="AB10" s="514"/>
      <c r="AC10" s="513"/>
      <c r="AD10" s="513"/>
      <c r="AE10" s="513"/>
      <c r="AF10" s="513"/>
      <c r="AG10" s="514"/>
      <c r="AH10" s="514"/>
      <c r="AI10" s="513"/>
      <c r="AJ10" s="302">
        <f t="shared" si="9"/>
        <v>77</v>
      </c>
      <c r="AK10" s="303" t="str">
        <f>IF(AJ10&gt;KKM!$G$10,"A",IF(AJ10&gt;KKM!$H$10,"B",IF(AJ10&gt;=KKM!$I$10,"C","D")))</f>
        <v>C</v>
      </c>
      <c r="AL10" s="304">
        <f t="shared" si="0"/>
        <v>77</v>
      </c>
      <c r="AM10" s="309" t="str">
        <f>IF(AL10&gt;KKM!$G$10," sangat baik ",IF(AL10&gt;KKM!$H$10," baik ",IF(AL10&gt;=KKM!$I$10," cukup baik "," perlu bimbingan ")))</f>
        <v xml:space="preserve"> cukup baik </v>
      </c>
      <c r="AN10" s="305">
        <f t="shared" si="1"/>
        <v>77</v>
      </c>
      <c r="AO10" s="309" t="str">
        <f>IF(AN10&gt;KKM!$G$10," sangat baik ",IF(AN10&gt;KKM!$H$10," baik ",IF(AN10&gt;=KKM!$I$10," cukup baik "," perlu bimbingan ")))</f>
        <v xml:space="preserve"> cukup baik </v>
      </c>
      <c r="AP10" s="301" t="str">
        <f t="shared" si="10"/>
        <v>Anak 6 cukup baik  dalam mempraktikkan penggunaan kombinasi pola gerak dasar lokomotor, nonlokomotor dan manipulatif sesuai dengan irama (ketukan) tanpa/dengan musik dalam aktivitas gerak rimtik.</v>
      </c>
      <c r="AQ10" s="218"/>
      <c r="AR10" s="219" t="str">
        <f t="shared" si="2"/>
        <v xml:space="preserve"> cukup baik  dalam mempraktikkan penggunaan kombinasi pola gerak dasar lokomotor, nonlokomotor dan manipulatif sesuai dengan irama (ketukan) tanpa/dengan musik dalam aktivitas gerak rimtik.</v>
      </c>
      <c r="AS10" s="219" t="str">
        <f t="shared" si="3"/>
        <v xml:space="preserve"> cukup baik  dalam mempraktikkan penggunaan kombinasi pola gerak dasar lokomotor, nonlokomotor dan manipulatif sesuai dengan irama (ketukan) tanpa/dengan musik dalam aktivitas gerak rimtik.</v>
      </c>
      <c r="AT10" s="219" t="str">
        <f t="shared" si="11"/>
        <v xml:space="preserve"> cukup baik  dalam mempraktikkan penggunaan kombinasi pola gerak dasar lokomotor, nonlokomotor dan manipulatif sesuai dengan irama (ketukan) tanpa/dengan musik dalam aktivitas gerak rimtik., dan  cukup baik  dalam mempraktikkan penggunaan kombinasi pola gerak dasar lokomotor, nonlokomotor dan manipulatif sesuai dengan irama (ketukan) tanpa/dengan musik dalam aktivitas gerak rimtik.</v>
      </c>
      <c r="AU10" s="219" t="str">
        <f t="shared" si="12"/>
        <v xml:space="preserve"> cukup baik  dalam mempraktikkan penggunaan kombinasi pola gerak dasar lokomotor, nonlokomotor dan manipulatif sesuai dengan irama (ketukan) tanpa/dengan musik dalam aktivitas gerak rimtik.</v>
      </c>
      <c r="AV10" s="220" t="str">
        <f t="shared" si="13"/>
        <v xml:space="preserve"> cukup baik  dalam mempraktikkan penggunaan kombinasi pola gerak dasar lokomotor, nonlokomotor dan manipulatif sesuai dengan irama (ketukan) tanpa/dengan musik dalam aktivitas gerak rimtik.</v>
      </c>
      <c r="AW10" s="214" t="str">
        <f t="shared" si="14"/>
        <v>Anak 6 cukup baik  dalam mempraktikkan penggunaan kombinasi pola gerak dasar lokomotor, nonlokomotor dan manipulatif sesuai dengan irama (ketukan) tanpa/dengan musik dalam aktivitas gerak rimtik.</v>
      </c>
      <c r="AX10" s="120"/>
      <c r="BG10" s="408">
        <f t="shared" si="15"/>
        <v>77</v>
      </c>
    </row>
    <row r="11" spans="1:68" ht="66.75" customHeight="1">
      <c r="B11" s="109">
        <v>7</v>
      </c>
      <c r="C11" s="110">
        <f>SISWA!B12</f>
        <v>0</v>
      </c>
      <c r="D11" s="111" t="str">
        <f>SISWA!E12</f>
        <v>Anak 7</v>
      </c>
      <c r="E11" s="520"/>
      <c r="F11" s="520"/>
      <c r="G11" s="520"/>
      <c r="H11" s="520"/>
      <c r="I11" s="520"/>
      <c r="J11" s="520"/>
      <c r="K11" s="520"/>
      <c r="L11" s="520"/>
      <c r="M11" s="520"/>
      <c r="N11" s="520"/>
      <c r="O11" s="520"/>
      <c r="P11" s="520"/>
      <c r="Q11" s="520"/>
      <c r="R11" s="520"/>
      <c r="S11" s="520"/>
      <c r="T11" s="533" t="str">
        <f t="shared" si="4"/>
        <v/>
      </c>
      <c r="U11" s="533" t="str">
        <f t="shared" si="5"/>
        <v/>
      </c>
      <c r="V11" s="533" t="str">
        <f t="shared" si="6"/>
        <v/>
      </c>
      <c r="W11" s="533" t="str">
        <f t="shared" si="7"/>
        <v/>
      </c>
      <c r="X11" s="533" t="str">
        <f t="shared" si="8"/>
        <v/>
      </c>
      <c r="Y11" s="513"/>
      <c r="Z11" s="513"/>
      <c r="AA11" s="513"/>
      <c r="AB11" s="514"/>
      <c r="AC11" s="513"/>
      <c r="AD11" s="513"/>
      <c r="AE11" s="513"/>
      <c r="AF11" s="513"/>
      <c r="AG11" s="514"/>
      <c r="AH11" s="514"/>
      <c r="AI11" s="513"/>
      <c r="AJ11" s="302" t="e">
        <f t="shared" si="9"/>
        <v>#DIV/0!</v>
      </c>
      <c r="AK11" s="303" t="e">
        <f>IF(AJ11&gt;KKM!$G$10,"A",IF(AJ11&gt;KKM!$H$10,"B",IF(AJ11&gt;=KKM!$I$10,"C","D")))</f>
        <v>#DIV/0!</v>
      </c>
      <c r="AL11" s="304">
        <f t="shared" si="0"/>
        <v>0</v>
      </c>
      <c r="AM11" s="309" t="str">
        <f>IF(AL11&gt;KKM!$G$10," sangat baik ",IF(AL11&gt;KKM!$H$10," baik ",IF(AL11&gt;=KKM!$I$10," cukup baik "," perlu bimbingan ")))</f>
        <v xml:space="preserve"> perlu bimbingan </v>
      </c>
      <c r="AN11" s="305">
        <f t="shared" si="1"/>
        <v>0</v>
      </c>
      <c r="AO11" s="309" t="str">
        <f>IF(AN11&gt;KKM!$G$10," sangat baik ",IF(AN11&gt;KKM!$H$10," baik ",IF(AN11&gt;=KKM!$I$10," cukup baik "," perlu bimbingan ")))</f>
        <v xml:space="preserve"> perlu bimbingan </v>
      </c>
      <c r="AP11" s="301" t="str">
        <f t="shared" si="10"/>
        <v xml:space="preserve"> </v>
      </c>
      <c r="AQ11" s="218"/>
      <c r="AR11" s="219" t="e">
        <f t="shared" si="2"/>
        <v>#N/A</v>
      </c>
      <c r="AS11" s="219" t="e">
        <f t="shared" si="3"/>
        <v>#N/A</v>
      </c>
      <c r="AT11" s="219" t="e">
        <f t="shared" si="11"/>
        <v>#N/A</v>
      </c>
      <c r="AU11" s="219" t="e">
        <f t="shared" si="12"/>
        <v>#N/A</v>
      </c>
      <c r="AV11" s="220" t="e">
        <f t="shared" si="13"/>
        <v>#N/A</v>
      </c>
      <c r="AW11" s="214" t="e">
        <f t="shared" si="14"/>
        <v>#N/A</v>
      </c>
      <c r="AX11" s="120"/>
      <c r="BG11" s="408" t="str">
        <f t="shared" si="15"/>
        <v/>
      </c>
    </row>
    <row r="12" spans="1:68" ht="66.75" customHeight="1">
      <c r="B12" s="109">
        <v>8</v>
      </c>
      <c r="C12" s="110">
        <f>SISWA!B13</f>
        <v>0</v>
      </c>
      <c r="D12" s="111" t="str">
        <f>SISWA!E13</f>
        <v>Anak 8</v>
      </c>
      <c r="E12" s="520"/>
      <c r="F12" s="520"/>
      <c r="G12" s="520"/>
      <c r="H12" s="520"/>
      <c r="I12" s="520"/>
      <c r="J12" s="520"/>
      <c r="K12" s="520"/>
      <c r="L12" s="520"/>
      <c r="M12" s="520"/>
      <c r="N12" s="520"/>
      <c r="O12" s="520"/>
      <c r="P12" s="520"/>
      <c r="Q12" s="520"/>
      <c r="R12" s="520"/>
      <c r="S12" s="520"/>
      <c r="T12" s="533" t="str">
        <f t="shared" si="4"/>
        <v/>
      </c>
      <c r="U12" s="533" t="str">
        <f t="shared" si="5"/>
        <v/>
      </c>
      <c r="V12" s="533" t="str">
        <f t="shared" si="6"/>
        <v/>
      </c>
      <c r="W12" s="533" t="str">
        <f t="shared" si="7"/>
        <v/>
      </c>
      <c r="X12" s="533" t="str">
        <f t="shared" si="8"/>
        <v/>
      </c>
      <c r="Y12" s="513"/>
      <c r="Z12" s="513"/>
      <c r="AA12" s="513"/>
      <c r="AB12" s="514"/>
      <c r="AC12" s="513"/>
      <c r="AD12" s="513"/>
      <c r="AE12" s="513"/>
      <c r="AF12" s="513"/>
      <c r="AG12" s="514"/>
      <c r="AH12" s="514"/>
      <c r="AI12" s="513"/>
      <c r="AJ12" s="302" t="e">
        <f t="shared" si="9"/>
        <v>#DIV/0!</v>
      </c>
      <c r="AK12" s="303" t="e">
        <f>IF(AJ12&gt;KKM!$G$10,"A",IF(AJ12&gt;KKM!$H$10,"B",IF(AJ12&gt;=KKM!$I$10,"C","D")))</f>
        <v>#DIV/0!</v>
      </c>
      <c r="AL12" s="304">
        <f t="shared" si="0"/>
        <v>0</v>
      </c>
      <c r="AM12" s="309" t="str">
        <f>IF(AL12&gt;KKM!$G$10," sangat baik ",IF(AL12&gt;KKM!$H$10," baik ",IF(AL12&gt;=KKM!$I$10," cukup baik "," perlu bimbingan ")))</f>
        <v xml:space="preserve"> perlu bimbingan </v>
      </c>
      <c r="AN12" s="305">
        <f t="shared" si="1"/>
        <v>0</v>
      </c>
      <c r="AO12" s="309" t="str">
        <f>IF(AN12&gt;KKM!$G$10," sangat baik ",IF(AN12&gt;KKM!$H$10," baik ",IF(AN12&gt;=KKM!$I$10," cukup baik "," perlu bimbingan ")))</f>
        <v xml:space="preserve"> perlu bimbingan </v>
      </c>
      <c r="AP12" s="301" t="str">
        <f t="shared" si="10"/>
        <v xml:space="preserve"> </v>
      </c>
      <c r="AQ12" s="218"/>
      <c r="AR12" s="219" t="e">
        <f t="shared" si="2"/>
        <v>#N/A</v>
      </c>
      <c r="AS12" s="219" t="e">
        <f t="shared" si="3"/>
        <v>#N/A</v>
      </c>
      <c r="AT12" s="219" t="e">
        <f t="shared" si="11"/>
        <v>#N/A</v>
      </c>
      <c r="AU12" s="219" t="e">
        <f t="shared" si="12"/>
        <v>#N/A</v>
      </c>
      <c r="AV12" s="220" t="e">
        <f t="shared" si="13"/>
        <v>#N/A</v>
      </c>
      <c r="AW12" s="214" t="e">
        <f t="shared" si="14"/>
        <v>#N/A</v>
      </c>
      <c r="AX12" s="120"/>
      <c r="BG12" s="408" t="str">
        <f t="shared" si="15"/>
        <v/>
      </c>
    </row>
    <row r="13" spans="1:68" ht="66.75" customHeight="1">
      <c r="B13" s="109">
        <v>9</v>
      </c>
      <c r="C13" s="110">
        <f>SISWA!B14</f>
        <v>0</v>
      </c>
      <c r="D13" s="111" t="str">
        <f>SISWA!E14</f>
        <v>Anak 9</v>
      </c>
      <c r="E13" s="520"/>
      <c r="F13" s="520"/>
      <c r="G13" s="520"/>
      <c r="H13" s="520"/>
      <c r="I13" s="520"/>
      <c r="J13" s="520"/>
      <c r="K13" s="520"/>
      <c r="L13" s="520"/>
      <c r="M13" s="520"/>
      <c r="N13" s="520"/>
      <c r="O13" s="520"/>
      <c r="P13" s="520"/>
      <c r="Q13" s="520"/>
      <c r="R13" s="520"/>
      <c r="S13" s="520"/>
      <c r="T13" s="533" t="str">
        <f t="shared" si="4"/>
        <v/>
      </c>
      <c r="U13" s="533" t="str">
        <f t="shared" si="5"/>
        <v/>
      </c>
      <c r="V13" s="533" t="str">
        <f t="shared" si="6"/>
        <v/>
      </c>
      <c r="W13" s="533" t="str">
        <f t="shared" si="7"/>
        <v/>
      </c>
      <c r="X13" s="533" t="str">
        <f t="shared" si="8"/>
        <v/>
      </c>
      <c r="Y13" s="513"/>
      <c r="Z13" s="513"/>
      <c r="AA13" s="513"/>
      <c r="AB13" s="514"/>
      <c r="AC13" s="513"/>
      <c r="AD13" s="513"/>
      <c r="AE13" s="513"/>
      <c r="AF13" s="513"/>
      <c r="AG13" s="514"/>
      <c r="AH13" s="514"/>
      <c r="AI13" s="513"/>
      <c r="AJ13" s="302" t="e">
        <f t="shared" si="9"/>
        <v>#DIV/0!</v>
      </c>
      <c r="AK13" s="303" t="e">
        <f>IF(AJ13&gt;KKM!$G$10,"A",IF(AJ13&gt;KKM!$H$10,"B",IF(AJ13&gt;=KKM!$I$10,"C","D")))</f>
        <v>#DIV/0!</v>
      </c>
      <c r="AL13" s="304">
        <f t="shared" si="0"/>
        <v>0</v>
      </c>
      <c r="AM13" s="309" t="str">
        <f>IF(AL13&gt;KKM!$G$10," sangat baik ",IF(AL13&gt;KKM!$H$10," baik ",IF(AL13&gt;=KKM!$I$10," cukup baik "," perlu bimbingan ")))</f>
        <v xml:space="preserve"> perlu bimbingan </v>
      </c>
      <c r="AN13" s="305">
        <f t="shared" si="1"/>
        <v>0</v>
      </c>
      <c r="AO13" s="309" t="str">
        <f>IF(AN13&gt;KKM!$G$10," sangat baik ",IF(AN13&gt;KKM!$H$10," baik ",IF(AN13&gt;=KKM!$I$10," cukup baik "," perlu bimbingan ")))</f>
        <v xml:space="preserve"> perlu bimbingan </v>
      </c>
      <c r="AP13" s="301" t="str">
        <f t="shared" si="10"/>
        <v xml:space="preserve"> </v>
      </c>
      <c r="AQ13" s="218"/>
      <c r="AR13" s="219" t="e">
        <f t="shared" si="2"/>
        <v>#N/A</v>
      </c>
      <c r="AS13" s="219" t="e">
        <f t="shared" si="3"/>
        <v>#N/A</v>
      </c>
      <c r="AT13" s="219" t="e">
        <f t="shared" si="11"/>
        <v>#N/A</v>
      </c>
      <c r="AU13" s="219" t="e">
        <f t="shared" si="12"/>
        <v>#N/A</v>
      </c>
      <c r="AV13" s="220" t="e">
        <f t="shared" si="13"/>
        <v>#N/A</v>
      </c>
      <c r="AW13" s="214" t="e">
        <f t="shared" si="14"/>
        <v>#N/A</v>
      </c>
      <c r="AX13" s="120"/>
      <c r="BG13" s="408" t="str">
        <f t="shared" si="15"/>
        <v/>
      </c>
    </row>
    <row r="14" spans="1:68" ht="66.75" customHeight="1">
      <c r="B14" s="109">
        <v>10</v>
      </c>
      <c r="C14" s="110">
        <f>SISWA!B15</f>
        <v>0</v>
      </c>
      <c r="D14" s="111" t="str">
        <f>SISWA!E15</f>
        <v>Anak 10</v>
      </c>
      <c r="E14" s="520"/>
      <c r="F14" s="520"/>
      <c r="G14" s="520"/>
      <c r="H14" s="520"/>
      <c r="I14" s="520"/>
      <c r="J14" s="520"/>
      <c r="K14" s="520"/>
      <c r="L14" s="520"/>
      <c r="M14" s="520"/>
      <c r="N14" s="520"/>
      <c r="O14" s="520"/>
      <c r="P14" s="520"/>
      <c r="Q14" s="520"/>
      <c r="R14" s="520"/>
      <c r="S14" s="520"/>
      <c r="T14" s="533" t="str">
        <f t="shared" si="4"/>
        <v/>
      </c>
      <c r="U14" s="533" t="str">
        <f t="shared" si="5"/>
        <v/>
      </c>
      <c r="V14" s="533" t="str">
        <f t="shared" si="6"/>
        <v/>
      </c>
      <c r="W14" s="533" t="str">
        <f t="shared" si="7"/>
        <v/>
      </c>
      <c r="X14" s="533" t="str">
        <f t="shared" si="8"/>
        <v/>
      </c>
      <c r="Y14" s="513"/>
      <c r="Z14" s="513"/>
      <c r="AA14" s="513"/>
      <c r="AB14" s="514"/>
      <c r="AC14" s="513"/>
      <c r="AD14" s="513"/>
      <c r="AE14" s="513"/>
      <c r="AF14" s="513"/>
      <c r="AG14" s="514"/>
      <c r="AH14" s="514"/>
      <c r="AI14" s="513"/>
      <c r="AJ14" s="302" t="e">
        <f t="shared" si="9"/>
        <v>#DIV/0!</v>
      </c>
      <c r="AK14" s="303" t="e">
        <f>IF(AJ14&gt;KKM!$G$10,"A",IF(AJ14&gt;KKM!$H$10,"B",IF(AJ14&gt;=KKM!$I$10,"C","D")))</f>
        <v>#DIV/0!</v>
      </c>
      <c r="AL14" s="304">
        <f t="shared" si="0"/>
        <v>0</v>
      </c>
      <c r="AM14" s="309" t="str">
        <f>IF(AL14&gt;KKM!$G$10," sangat baik ",IF(AL14&gt;KKM!$H$10," baik ",IF(AL14&gt;=KKM!$I$10," cukup baik "," perlu bimbingan ")))</f>
        <v xml:space="preserve"> perlu bimbingan </v>
      </c>
      <c r="AN14" s="305">
        <f t="shared" si="1"/>
        <v>0</v>
      </c>
      <c r="AO14" s="309" t="str">
        <f>IF(AN14&gt;KKM!$G$10," sangat baik ",IF(AN14&gt;KKM!$H$10," baik ",IF(AN14&gt;=KKM!$I$10," cukup baik "," perlu bimbingan ")))</f>
        <v xml:space="preserve"> perlu bimbingan </v>
      </c>
      <c r="AP14" s="301" t="str">
        <f t="shared" si="10"/>
        <v xml:space="preserve"> </v>
      </c>
      <c r="AQ14" s="218"/>
      <c r="AR14" s="219" t="e">
        <f t="shared" si="2"/>
        <v>#N/A</v>
      </c>
      <c r="AS14" s="219" t="e">
        <f t="shared" si="3"/>
        <v>#N/A</v>
      </c>
      <c r="AT14" s="219" t="e">
        <f t="shared" si="11"/>
        <v>#N/A</v>
      </c>
      <c r="AU14" s="219" t="e">
        <f t="shared" si="12"/>
        <v>#N/A</v>
      </c>
      <c r="AV14" s="220" t="e">
        <f t="shared" si="13"/>
        <v>#N/A</v>
      </c>
      <c r="AW14" s="214" t="e">
        <f t="shared" si="14"/>
        <v>#N/A</v>
      </c>
      <c r="AX14" s="120"/>
      <c r="BG14" s="408" t="str">
        <f t="shared" si="15"/>
        <v/>
      </c>
    </row>
    <row r="15" spans="1:68" ht="66.75" customHeight="1">
      <c r="B15" s="109">
        <v>11</v>
      </c>
      <c r="C15" s="110">
        <f>SISWA!B16</f>
        <v>0</v>
      </c>
      <c r="D15" s="111" t="str">
        <f>SISWA!E16</f>
        <v>Anak 11</v>
      </c>
      <c r="E15" s="520"/>
      <c r="F15" s="520"/>
      <c r="G15" s="520"/>
      <c r="H15" s="520"/>
      <c r="I15" s="520"/>
      <c r="J15" s="520"/>
      <c r="K15" s="520"/>
      <c r="L15" s="520"/>
      <c r="M15" s="520"/>
      <c r="N15" s="520"/>
      <c r="O15" s="520"/>
      <c r="P15" s="520"/>
      <c r="Q15" s="520"/>
      <c r="R15" s="520"/>
      <c r="S15" s="520"/>
      <c r="T15" s="533" t="str">
        <f t="shared" si="4"/>
        <v/>
      </c>
      <c r="U15" s="533" t="str">
        <f t="shared" si="5"/>
        <v/>
      </c>
      <c r="V15" s="533" t="str">
        <f t="shared" si="6"/>
        <v/>
      </c>
      <c r="W15" s="533" t="str">
        <f t="shared" si="7"/>
        <v/>
      </c>
      <c r="X15" s="533" t="str">
        <f t="shared" si="8"/>
        <v/>
      </c>
      <c r="Y15" s="513"/>
      <c r="Z15" s="513"/>
      <c r="AA15" s="513"/>
      <c r="AB15" s="514"/>
      <c r="AC15" s="513"/>
      <c r="AD15" s="513"/>
      <c r="AE15" s="513"/>
      <c r="AF15" s="513"/>
      <c r="AG15" s="514"/>
      <c r="AH15" s="514"/>
      <c r="AI15" s="513"/>
      <c r="AJ15" s="302" t="e">
        <f t="shared" si="9"/>
        <v>#DIV/0!</v>
      </c>
      <c r="AK15" s="303" t="e">
        <f>IF(AJ15&gt;KKM!$G$10,"A",IF(AJ15&gt;KKM!$H$10,"B",IF(AJ15&gt;=KKM!$I$10,"C","D")))</f>
        <v>#DIV/0!</v>
      </c>
      <c r="AL15" s="304">
        <f t="shared" si="0"/>
        <v>0</v>
      </c>
      <c r="AM15" s="309" t="str">
        <f>IF(AL15&gt;KKM!$G$10," sangat baik ",IF(AL15&gt;KKM!$H$10," baik ",IF(AL15&gt;=KKM!$I$10," cukup baik "," perlu bimbingan ")))</f>
        <v xml:space="preserve"> perlu bimbingan </v>
      </c>
      <c r="AN15" s="305">
        <f t="shared" si="1"/>
        <v>0</v>
      </c>
      <c r="AO15" s="309" t="str">
        <f>IF(AN15&gt;KKM!$G$10," sangat baik ",IF(AN15&gt;KKM!$H$10," baik ",IF(AN15&gt;=KKM!$I$10," cukup baik "," perlu bimbingan ")))</f>
        <v xml:space="preserve"> perlu bimbingan </v>
      </c>
      <c r="AP15" s="301" t="str">
        <f t="shared" si="10"/>
        <v xml:space="preserve"> </v>
      </c>
      <c r="AQ15" s="218"/>
      <c r="AR15" s="219" t="e">
        <f t="shared" si="2"/>
        <v>#N/A</v>
      </c>
      <c r="AS15" s="219" t="e">
        <f t="shared" si="3"/>
        <v>#N/A</v>
      </c>
      <c r="AT15" s="219" t="e">
        <f t="shared" si="11"/>
        <v>#N/A</v>
      </c>
      <c r="AU15" s="219" t="e">
        <f t="shared" si="12"/>
        <v>#N/A</v>
      </c>
      <c r="AV15" s="220" t="e">
        <f t="shared" si="13"/>
        <v>#N/A</v>
      </c>
      <c r="AW15" s="214" t="e">
        <f t="shared" si="14"/>
        <v>#N/A</v>
      </c>
      <c r="AX15" s="120"/>
      <c r="BG15" s="408" t="str">
        <f t="shared" si="15"/>
        <v/>
      </c>
    </row>
    <row r="16" spans="1:68" ht="66.75" customHeight="1">
      <c r="B16" s="109">
        <v>12</v>
      </c>
      <c r="C16" s="110">
        <f>SISWA!B17</f>
        <v>0</v>
      </c>
      <c r="D16" s="111" t="str">
        <f>SISWA!E17</f>
        <v>Anak 12</v>
      </c>
      <c r="E16" s="520"/>
      <c r="F16" s="520"/>
      <c r="G16" s="520"/>
      <c r="H16" s="520"/>
      <c r="I16" s="520"/>
      <c r="J16" s="520"/>
      <c r="K16" s="520"/>
      <c r="L16" s="520"/>
      <c r="M16" s="520"/>
      <c r="N16" s="520"/>
      <c r="O16" s="520"/>
      <c r="P16" s="520"/>
      <c r="Q16" s="520"/>
      <c r="R16" s="520"/>
      <c r="S16" s="520"/>
      <c r="T16" s="533" t="str">
        <f t="shared" si="4"/>
        <v/>
      </c>
      <c r="U16" s="533" t="str">
        <f t="shared" si="5"/>
        <v/>
      </c>
      <c r="V16" s="533" t="str">
        <f t="shared" si="6"/>
        <v/>
      </c>
      <c r="W16" s="533" t="str">
        <f t="shared" si="7"/>
        <v/>
      </c>
      <c r="X16" s="533" t="str">
        <f t="shared" si="8"/>
        <v/>
      </c>
      <c r="Y16" s="513"/>
      <c r="Z16" s="513"/>
      <c r="AA16" s="513"/>
      <c r="AB16" s="514"/>
      <c r="AC16" s="513"/>
      <c r="AD16" s="513"/>
      <c r="AE16" s="513"/>
      <c r="AF16" s="513"/>
      <c r="AG16" s="514"/>
      <c r="AH16" s="514"/>
      <c r="AI16" s="513"/>
      <c r="AJ16" s="302" t="e">
        <f t="shared" si="9"/>
        <v>#DIV/0!</v>
      </c>
      <c r="AK16" s="303" t="e">
        <f>IF(AJ16&gt;KKM!$G$10,"A",IF(AJ16&gt;KKM!$H$10,"B",IF(AJ16&gt;=KKM!$I$10,"C","D")))</f>
        <v>#DIV/0!</v>
      </c>
      <c r="AL16" s="304">
        <f t="shared" si="0"/>
        <v>0</v>
      </c>
      <c r="AM16" s="309" t="str">
        <f>IF(AL16&gt;KKM!$G$10," sangat baik ",IF(AL16&gt;KKM!$H$10," baik ",IF(AL16&gt;=KKM!$I$10," cukup baik "," perlu bimbingan ")))</f>
        <v xml:space="preserve"> perlu bimbingan </v>
      </c>
      <c r="AN16" s="305">
        <f t="shared" si="1"/>
        <v>0</v>
      </c>
      <c r="AO16" s="309" t="str">
        <f>IF(AN16&gt;KKM!$G$10," sangat baik ",IF(AN16&gt;KKM!$H$10," baik ",IF(AN16&gt;=KKM!$I$10," cukup baik "," perlu bimbingan ")))</f>
        <v xml:space="preserve"> perlu bimbingan </v>
      </c>
      <c r="AP16" s="301" t="str">
        <f t="shared" si="10"/>
        <v xml:space="preserve"> </v>
      </c>
      <c r="AQ16" s="218"/>
      <c r="AR16" s="219" t="e">
        <f t="shared" si="2"/>
        <v>#N/A</v>
      </c>
      <c r="AS16" s="219" t="e">
        <f t="shared" si="3"/>
        <v>#N/A</v>
      </c>
      <c r="AT16" s="219" t="e">
        <f t="shared" si="11"/>
        <v>#N/A</v>
      </c>
      <c r="AU16" s="219" t="e">
        <f t="shared" si="12"/>
        <v>#N/A</v>
      </c>
      <c r="AV16" s="220" t="e">
        <f t="shared" si="13"/>
        <v>#N/A</v>
      </c>
      <c r="AW16" s="214" t="e">
        <f t="shared" si="14"/>
        <v>#N/A</v>
      </c>
      <c r="AX16" s="120"/>
      <c r="BG16" s="408" t="str">
        <f t="shared" si="15"/>
        <v/>
      </c>
    </row>
    <row r="17" spans="2:59" ht="66.75" customHeight="1">
      <c r="B17" s="109">
        <v>13</v>
      </c>
      <c r="C17" s="110">
        <f>SISWA!B18</f>
        <v>0</v>
      </c>
      <c r="D17" s="111" t="str">
        <f>SISWA!E18</f>
        <v>Anak 13</v>
      </c>
      <c r="E17" s="520"/>
      <c r="F17" s="520"/>
      <c r="G17" s="520"/>
      <c r="H17" s="520"/>
      <c r="I17" s="520"/>
      <c r="J17" s="520"/>
      <c r="K17" s="520"/>
      <c r="L17" s="520"/>
      <c r="M17" s="520"/>
      <c r="N17" s="520"/>
      <c r="O17" s="520"/>
      <c r="P17" s="520"/>
      <c r="Q17" s="520"/>
      <c r="R17" s="520"/>
      <c r="S17" s="520"/>
      <c r="T17" s="533" t="str">
        <f t="shared" si="4"/>
        <v/>
      </c>
      <c r="U17" s="533" t="str">
        <f t="shared" si="5"/>
        <v/>
      </c>
      <c r="V17" s="533" t="str">
        <f t="shared" si="6"/>
        <v/>
      </c>
      <c r="W17" s="533" t="str">
        <f t="shared" si="7"/>
        <v/>
      </c>
      <c r="X17" s="533" t="str">
        <f t="shared" si="8"/>
        <v/>
      </c>
      <c r="Y17" s="513"/>
      <c r="Z17" s="513"/>
      <c r="AA17" s="513"/>
      <c r="AB17" s="514"/>
      <c r="AC17" s="513"/>
      <c r="AD17" s="513"/>
      <c r="AE17" s="513"/>
      <c r="AF17" s="513"/>
      <c r="AG17" s="514"/>
      <c r="AH17" s="514"/>
      <c r="AI17" s="513"/>
      <c r="AJ17" s="302" t="e">
        <f t="shared" si="9"/>
        <v>#DIV/0!</v>
      </c>
      <c r="AK17" s="303" t="e">
        <f>IF(AJ17&gt;KKM!$G$10,"A",IF(AJ17&gt;KKM!$H$10,"B",IF(AJ17&gt;=KKM!$I$10,"C","D")))</f>
        <v>#DIV/0!</v>
      </c>
      <c r="AL17" s="304">
        <f t="shared" si="0"/>
        <v>0</v>
      </c>
      <c r="AM17" s="309" t="str">
        <f>IF(AL17&gt;KKM!$G$10," sangat baik ",IF(AL17&gt;KKM!$H$10," baik ",IF(AL17&gt;=KKM!$I$10," cukup baik "," perlu bimbingan ")))</f>
        <v xml:space="preserve"> perlu bimbingan </v>
      </c>
      <c r="AN17" s="305">
        <f t="shared" si="1"/>
        <v>0</v>
      </c>
      <c r="AO17" s="309" t="str">
        <f>IF(AN17&gt;KKM!$G$10," sangat baik ",IF(AN17&gt;KKM!$H$10," baik ",IF(AN17&gt;=KKM!$I$10," cukup baik "," perlu bimbingan ")))</f>
        <v xml:space="preserve"> perlu bimbingan </v>
      </c>
      <c r="AP17" s="301" t="str">
        <f t="shared" si="10"/>
        <v xml:space="preserve"> </v>
      </c>
      <c r="AQ17" s="218"/>
      <c r="AR17" s="219" t="e">
        <f t="shared" si="2"/>
        <v>#N/A</v>
      </c>
      <c r="AS17" s="219" t="e">
        <f t="shared" si="3"/>
        <v>#N/A</v>
      </c>
      <c r="AT17" s="219" t="e">
        <f t="shared" si="11"/>
        <v>#N/A</v>
      </c>
      <c r="AU17" s="219" t="e">
        <f t="shared" si="12"/>
        <v>#N/A</v>
      </c>
      <c r="AV17" s="220" t="e">
        <f t="shared" si="13"/>
        <v>#N/A</v>
      </c>
      <c r="AW17" s="214" t="e">
        <f t="shared" si="14"/>
        <v>#N/A</v>
      </c>
      <c r="AX17" s="120"/>
      <c r="BG17" s="408" t="str">
        <f t="shared" si="15"/>
        <v/>
      </c>
    </row>
    <row r="18" spans="2:59" ht="66.75" customHeight="1">
      <c r="B18" s="109">
        <v>14</v>
      </c>
      <c r="C18" s="110">
        <f>SISWA!B19</f>
        <v>0</v>
      </c>
      <c r="D18" s="111" t="str">
        <f>SISWA!E19</f>
        <v>Anak 14</v>
      </c>
      <c r="E18" s="520"/>
      <c r="F18" s="520"/>
      <c r="G18" s="520"/>
      <c r="H18" s="520"/>
      <c r="I18" s="520"/>
      <c r="J18" s="520"/>
      <c r="K18" s="520"/>
      <c r="L18" s="520"/>
      <c r="M18" s="520"/>
      <c r="N18" s="520"/>
      <c r="O18" s="520"/>
      <c r="P18" s="520"/>
      <c r="Q18" s="520"/>
      <c r="R18" s="520"/>
      <c r="S18" s="520"/>
      <c r="T18" s="533" t="str">
        <f t="shared" si="4"/>
        <v/>
      </c>
      <c r="U18" s="533" t="str">
        <f t="shared" si="5"/>
        <v/>
      </c>
      <c r="V18" s="533" t="str">
        <f t="shared" si="6"/>
        <v/>
      </c>
      <c r="W18" s="533" t="str">
        <f t="shared" si="7"/>
        <v/>
      </c>
      <c r="X18" s="533" t="str">
        <f t="shared" si="8"/>
        <v/>
      </c>
      <c r="Y18" s="513"/>
      <c r="Z18" s="513"/>
      <c r="AA18" s="513"/>
      <c r="AB18" s="514"/>
      <c r="AC18" s="513"/>
      <c r="AD18" s="513"/>
      <c r="AE18" s="513"/>
      <c r="AF18" s="513"/>
      <c r="AG18" s="514"/>
      <c r="AH18" s="514"/>
      <c r="AI18" s="513"/>
      <c r="AJ18" s="302" t="e">
        <f t="shared" si="9"/>
        <v>#DIV/0!</v>
      </c>
      <c r="AK18" s="303" t="e">
        <f>IF(AJ18&gt;KKM!$G$10,"A",IF(AJ18&gt;KKM!$H$10,"B",IF(AJ18&gt;=KKM!$I$10,"C","D")))</f>
        <v>#DIV/0!</v>
      </c>
      <c r="AL18" s="304">
        <f t="shared" si="0"/>
        <v>0</v>
      </c>
      <c r="AM18" s="309" t="str">
        <f>IF(AL18&gt;KKM!$G$10," sangat baik ",IF(AL18&gt;KKM!$H$10," baik ",IF(AL18&gt;=KKM!$I$10," cukup baik "," perlu bimbingan ")))</f>
        <v xml:space="preserve"> perlu bimbingan </v>
      </c>
      <c r="AN18" s="305">
        <f t="shared" si="1"/>
        <v>0</v>
      </c>
      <c r="AO18" s="309" t="str">
        <f>IF(AN18&gt;KKM!$G$10," sangat baik ",IF(AN18&gt;KKM!$H$10," baik ",IF(AN18&gt;=KKM!$I$10," cukup baik "," perlu bimbingan ")))</f>
        <v xml:space="preserve"> perlu bimbingan </v>
      </c>
      <c r="AP18" s="301" t="str">
        <f t="shared" si="10"/>
        <v xml:space="preserve"> </v>
      </c>
      <c r="AQ18" s="218"/>
      <c r="AR18" s="219" t="e">
        <f t="shared" si="2"/>
        <v>#N/A</v>
      </c>
      <c r="AS18" s="219" t="e">
        <f t="shared" si="3"/>
        <v>#N/A</v>
      </c>
      <c r="AT18" s="219" t="e">
        <f t="shared" si="11"/>
        <v>#N/A</v>
      </c>
      <c r="AU18" s="219" t="e">
        <f t="shared" si="12"/>
        <v>#N/A</v>
      </c>
      <c r="AV18" s="220" t="e">
        <f t="shared" si="13"/>
        <v>#N/A</v>
      </c>
      <c r="AW18" s="214" t="e">
        <f t="shared" si="14"/>
        <v>#N/A</v>
      </c>
      <c r="AX18" s="120"/>
      <c r="BG18" s="408" t="str">
        <f t="shared" si="15"/>
        <v/>
      </c>
    </row>
    <row r="19" spans="2:59" ht="66.75" customHeight="1">
      <c r="B19" s="109">
        <v>15</v>
      </c>
      <c r="C19" s="110">
        <f>SISWA!B20</f>
        <v>0</v>
      </c>
      <c r="D19" s="111" t="str">
        <f>SISWA!E20</f>
        <v>Anak 15</v>
      </c>
      <c r="E19" s="520"/>
      <c r="F19" s="520"/>
      <c r="G19" s="520"/>
      <c r="H19" s="520"/>
      <c r="I19" s="520"/>
      <c r="J19" s="520"/>
      <c r="K19" s="520"/>
      <c r="L19" s="520"/>
      <c r="M19" s="520"/>
      <c r="N19" s="520"/>
      <c r="O19" s="520"/>
      <c r="P19" s="520"/>
      <c r="Q19" s="520"/>
      <c r="R19" s="520"/>
      <c r="S19" s="520"/>
      <c r="T19" s="533" t="str">
        <f t="shared" si="4"/>
        <v/>
      </c>
      <c r="U19" s="533" t="str">
        <f t="shared" si="5"/>
        <v/>
      </c>
      <c r="V19" s="533" t="str">
        <f t="shared" si="6"/>
        <v/>
      </c>
      <c r="W19" s="533" t="str">
        <f t="shared" si="7"/>
        <v/>
      </c>
      <c r="X19" s="533" t="str">
        <f t="shared" si="8"/>
        <v/>
      </c>
      <c r="Y19" s="513"/>
      <c r="Z19" s="513"/>
      <c r="AA19" s="513"/>
      <c r="AB19" s="514"/>
      <c r="AC19" s="513"/>
      <c r="AD19" s="513"/>
      <c r="AE19" s="513"/>
      <c r="AF19" s="513"/>
      <c r="AG19" s="514"/>
      <c r="AH19" s="514"/>
      <c r="AI19" s="513"/>
      <c r="AJ19" s="302" t="e">
        <f t="shared" si="9"/>
        <v>#DIV/0!</v>
      </c>
      <c r="AK19" s="303" t="e">
        <f>IF(AJ19&gt;KKM!$G$10,"A",IF(AJ19&gt;KKM!$H$10,"B",IF(AJ19&gt;=KKM!$I$10,"C","D")))</f>
        <v>#DIV/0!</v>
      </c>
      <c r="AL19" s="304">
        <f t="shared" si="0"/>
        <v>0</v>
      </c>
      <c r="AM19" s="309" t="str">
        <f>IF(AL19&gt;KKM!$G$10," sangat baik ",IF(AL19&gt;KKM!$H$10," baik ",IF(AL19&gt;=KKM!$I$10," cukup baik "," perlu bimbingan ")))</f>
        <v xml:space="preserve"> perlu bimbingan </v>
      </c>
      <c r="AN19" s="305">
        <f t="shared" si="1"/>
        <v>0</v>
      </c>
      <c r="AO19" s="309" t="str">
        <f>IF(AN19&gt;KKM!$G$10," sangat baik ",IF(AN19&gt;KKM!$H$10," baik ",IF(AN19&gt;=KKM!$I$10," cukup baik "," perlu bimbingan ")))</f>
        <v xml:space="preserve"> perlu bimbingan </v>
      </c>
      <c r="AP19" s="301" t="str">
        <f t="shared" si="10"/>
        <v xml:space="preserve"> </v>
      </c>
      <c r="AQ19" s="218"/>
      <c r="AR19" s="219" t="e">
        <f t="shared" si="2"/>
        <v>#N/A</v>
      </c>
      <c r="AS19" s="219" t="e">
        <f t="shared" si="3"/>
        <v>#N/A</v>
      </c>
      <c r="AT19" s="219" t="e">
        <f t="shared" si="11"/>
        <v>#N/A</v>
      </c>
      <c r="AU19" s="219" t="e">
        <f t="shared" si="12"/>
        <v>#N/A</v>
      </c>
      <c r="AV19" s="220" t="e">
        <f t="shared" si="13"/>
        <v>#N/A</v>
      </c>
      <c r="AW19" s="214" t="e">
        <f t="shared" si="14"/>
        <v>#N/A</v>
      </c>
      <c r="AX19" s="120"/>
      <c r="BG19" s="408" t="str">
        <f t="shared" si="15"/>
        <v/>
      </c>
    </row>
    <row r="20" spans="2:59" ht="66.75" customHeight="1">
      <c r="B20" s="109">
        <v>16</v>
      </c>
      <c r="C20" s="110">
        <f>SISWA!B21</f>
        <v>0</v>
      </c>
      <c r="D20" s="111" t="str">
        <f>SISWA!E21</f>
        <v>Anak 16</v>
      </c>
      <c r="E20" s="520"/>
      <c r="F20" s="520"/>
      <c r="G20" s="520"/>
      <c r="H20" s="520"/>
      <c r="I20" s="520"/>
      <c r="J20" s="520"/>
      <c r="K20" s="520"/>
      <c r="L20" s="520"/>
      <c r="M20" s="520"/>
      <c r="N20" s="520"/>
      <c r="O20" s="520"/>
      <c r="P20" s="520"/>
      <c r="Q20" s="520"/>
      <c r="R20" s="520"/>
      <c r="S20" s="520"/>
      <c r="T20" s="533" t="str">
        <f t="shared" si="4"/>
        <v/>
      </c>
      <c r="U20" s="533" t="str">
        <f t="shared" si="5"/>
        <v/>
      </c>
      <c r="V20" s="533" t="str">
        <f t="shared" si="6"/>
        <v/>
      </c>
      <c r="W20" s="533" t="str">
        <f t="shared" si="7"/>
        <v/>
      </c>
      <c r="X20" s="533" t="str">
        <f t="shared" si="8"/>
        <v/>
      </c>
      <c r="Y20" s="513"/>
      <c r="Z20" s="513"/>
      <c r="AA20" s="513"/>
      <c r="AB20" s="514"/>
      <c r="AC20" s="513"/>
      <c r="AD20" s="513"/>
      <c r="AE20" s="513"/>
      <c r="AF20" s="513"/>
      <c r="AG20" s="514"/>
      <c r="AH20" s="514"/>
      <c r="AI20" s="513"/>
      <c r="AJ20" s="302" t="e">
        <f t="shared" si="9"/>
        <v>#DIV/0!</v>
      </c>
      <c r="AK20" s="303" t="e">
        <f>IF(AJ20&gt;KKM!$G$10,"A",IF(AJ20&gt;KKM!$H$10,"B",IF(AJ20&gt;=KKM!$I$10,"C","D")))</f>
        <v>#DIV/0!</v>
      </c>
      <c r="AL20" s="304">
        <f t="shared" si="0"/>
        <v>0</v>
      </c>
      <c r="AM20" s="309" t="str">
        <f>IF(AL20&gt;KKM!$G$10," sangat baik ",IF(AL20&gt;KKM!$H$10," baik ",IF(AL20&gt;=KKM!$I$10," cukup baik "," perlu bimbingan ")))</f>
        <v xml:space="preserve"> perlu bimbingan </v>
      </c>
      <c r="AN20" s="305">
        <f t="shared" si="1"/>
        <v>0</v>
      </c>
      <c r="AO20" s="309" t="str">
        <f>IF(AN20&gt;KKM!$G$10," sangat baik ",IF(AN20&gt;KKM!$H$10," baik ",IF(AN20&gt;=KKM!$I$10," cukup baik "," perlu bimbingan ")))</f>
        <v xml:space="preserve"> perlu bimbingan </v>
      </c>
      <c r="AP20" s="301" t="str">
        <f t="shared" si="10"/>
        <v xml:space="preserve"> </v>
      </c>
      <c r="AQ20" s="218"/>
      <c r="AR20" s="219" t="e">
        <f t="shared" si="2"/>
        <v>#N/A</v>
      </c>
      <c r="AS20" s="219" t="e">
        <f t="shared" si="3"/>
        <v>#N/A</v>
      </c>
      <c r="AT20" s="219" t="e">
        <f t="shared" si="11"/>
        <v>#N/A</v>
      </c>
      <c r="AU20" s="219" t="e">
        <f t="shared" si="12"/>
        <v>#N/A</v>
      </c>
      <c r="AV20" s="220" t="e">
        <f t="shared" si="13"/>
        <v>#N/A</v>
      </c>
      <c r="AW20" s="214" t="e">
        <f t="shared" si="14"/>
        <v>#N/A</v>
      </c>
      <c r="AX20" s="120"/>
      <c r="BG20" s="408" t="str">
        <f t="shared" si="15"/>
        <v/>
      </c>
    </row>
    <row r="21" spans="2:59" ht="66.75" customHeight="1">
      <c r="B21" s="109">
        <v>17</v>
      </c>
      <c r="C21" s="110">
        <f>SISWA!B22</f>
        <v>0</v>
      </c>
      <c r="D21" s="111" t="str">
        <f>SISWA!E22</f>
        <v>Anak 17</v>
      </c>
      <c r="E21" s="520"/>
      <c r="F21" s="520"/>
      <c r="G21" s="520"/>
      <c r="H21" s="520"/>
      <c r="I21" s="520"/>
      <c r="J21" s="520"/>
      <c r="K21" s="520"/>
      <c r="L21" s="520"/>
      <c r="M21" s="520"/>
      <c r="N21" s="520"/>
      <c r="O21" s="520"/>
      <c r="P21" s="520"/>
      <c r="Q21" s="520"/>
      <c r="R21" s="520"/>
      <c r="S21" s="520"/>
      <c r="T21" s="533" t="str">
        <f t="shared" si="4"/>
        <v/>
      </c>
      <c r="U21" s="533" t="str">
        <f t="shared" si="5"/>
        <v/>
      </c>
      <c r="V21" s="533" t="str">
        <f t="shared" si="6"/>
        <v/>
      </c>
      <c r="W21" s="533" t="str">
        <f t="shared" si="7"/>
        <v/>
      </c>
      <c r="X21" s="533" t="str">
        <f t="shared" si="8"/>
        <v/>
      </c>
      <c r="Y21" s="513"/>
      <c r="Z21" s="513"/>
      <c r="AA21" s="513"/>
      <c r="AB21" s="514"/>
      <c r="AC21" s="513"/>
      <c r="AD21" s="513"/>
      <c r="AE21" s="513"/>
      <c r="AF21" s="513"/>
      <c r="AG21" s="514"/>
      <c r="AH21" s="514"/>
      <c r="AI21" s="513"/>
      <c r="AJ21" s="302" t="e">
        <f t="shared" si="9"/>
        <v>#DIV/0!</v>
      </c>
      <c r="AK21" s="303" t="e">
        <f>IF(AJ21&gt;KKM!$G$10,"A",IF(AJ21&gt;KKM!$H$10,"B",IF(AJ21&gt;=KKM!$I$10,"C","D")))</f>
        <v>#DIV/0!</v>
      </c>
      <c r="AL21" s="304">
        <f t="shared" si="0"/>
        <v>0</v>
      </c>
      <c r="AM21" s="309" t="str">
        <f>IF(AL21&gt;KKM!$G$10," sangat baik ",IF(AL21&gt;KKM!$H$10," baik ",IF(AL21&gt;=KKM!$I$10," cukup baik "," perlu bimbingan ")))</f>
        <v xml:space="preserve"> perlu bimbingan </v>
      </c>
      <c r="AN21" s="305">
        <f t="shared" si="1"/>
        <v>0</v>
      </c>
      <c r="AO21" s="309" t="str">
        <f>IF(AN21&gt;KKM!$G$10," sangat baik ",IF(AN21&gt;KKM!$H$10," baik ",IF(AN21&gt;=KKM!$I$10," cukup baik "," perlu bimbingan ")))</f>
        <v xml:space="preserve"> perlu bimbingan </v>
      </c>
      <c r="AP21" s="301" t="str">
        <f t="shared" si="10"/>
        <v xml:space="preserve"> </v>
      </c>
      <c r="AQ21" s="218"/>
      <c r="AR21" s="219" t="e">
        <f t="shared" si="2"/>
        <v>#N/A</v>
      </c>
      <c r="AS21" s="219" t="e">
        <f t="shared" si="3"/>
        <v>#N/A</v>
      </c>
      <c r="AT21" s="219" t="e">
        <f t="shared" si="11"/>
        <v>#N/A</v>
      </c>
      <c r="AU21" s="219" t="e">
        <f t="shared" si="12"/>
        <v>#N/A</v>
      </c>
      <c r="AV21" s="220" t="e">
        <f t="shared" si="13"/>
        <v>#N/A</v>
      </c>
      <c r="AW21" s="214" t="e">
        <f t="shared" si="14"/>
        <v>#N/A</v>
      </c>
      <c r="AX21" s="120"/>
      <c r="BG21" s="408" t="str">
        <f t="shared" si="15"/>
        <v/>
      </c>
    </row>
    <row r="22" spans="2:59" ht="66.75" customHeight="1">
      <c r="B22" s="109">
        <v>18</v>
      </c>
      <c r="C22" s="110">
        <f>SISWA!B23</f>
        <v>0</v>
      </c>
      <c r="D22" s="111" t="str">
        <f>SISWA!E23</f>
        <v>Anak 18</v>
      </c>
      <c r="E22" s="520"/>
      <c r="F22" s="520"/>
      <c r="G22" s="520"/>
      <c r="H22" s="520"/>
      <c r="I22" s="520"/>
      <c r="J22" s="520"/>
      <c r="K22" s="520"/>
      <c r="L22" s="520"/>
      <c r="M22" s="520"/>
      <c r="N22" s="520"/>
      <c r="O22" s="520"/>
      <c r="P22" s="520"/>
      <c r="Q22" s="520"/>
      <c r="R22" s="520"/>
      <c r="S22" s="520"/>
      <c r="T22" s="533" t="str">
        <f t="shared" si="4"/>
        <v/>
      </c>
      <c r="U22" s="533" t="str">
        <f t="shared" si="5"/>
        <v/>
      </c>
      <c r="V22" s="533" t="str">
        <f t="shared" si="6"/>
        <v/>
      </c>
      <c r="W22" s="533" t="str">
        <f t="shared" si="7"/>
        <v/>
      </c>
      <c r="X22" s="533" t="str">
        <f t="shared" si="8"/>
        <v/>
      </c>
      <c r="Y22" s="513"/>
      <c r="Z22" s="513"/>
      <c r="AA22" s="513"/>
      <c r="AB22" s="514"/>
      <c r="AC22" s="513"/>
      <c r="AD22" s="513"/>
      <c r="AE22" s="513"/>
      <c r="AF22" s="513"/>
      <c r="AG22" s="514"/>
      <c r="AH22" s="514"/>
      <c r="AI22" s="513"/>
      <c r="AJ22" s="302" t="e">
        <f t="shared" si="9"/>
        <v>#DIV/0!</v>
      </c>
      <c r="AK22" s="303" t="e">
        <f>IF(AJ22&gt;KKM!$G$10,"A",IF(AJ22&gt;KKM!$H$10,"B",IF(AJ22&gt;=KKM!$I$10,"C","D")))</f>
        <v>#DIV/0!</v>
      </c>
      <c r="AL22" s="304">
        <f t="shared" si="0"/>
        <v>0</v>
      </c>
      <c r="AM22" s="309" t="str">
        <f>IF(AL22&gt;KKM!$G$10," sangat baik ",IF(AL22&gt;KKM!$H$10," baik ",IF(AL22&gt;=KKM!$I$10," cukup baik "," perlu bimbingan ")))</f>
        <v xml:space="preserve"> perlu bimbingan </v>
      </c>
      <c r="AN22" s="305">
        <f t="shared" si="1"/>
        <v>0</v>
      </c>
      <c r="AO22" s="309" t="str">
        <f>IF(AN22&gt;KKM!$G$10," sangat baik ",IF(AN22&gt;KKM!$H$10," baik ",IF(AN22&gt;=KKM!$I$10," cukup baik "," perlu bimbingan ")))</f>
        <v xml:space="preserve"> perlu bimbingan </v>
      </c>
      <c r="AP22" s="301" t="str">
        <f t="shared" si="10"/>
        <v xml:space="preserve"> </v>
      </c>
      <c r="AQ22" s="218"/>
      <c r="AR22" s="219" t="e">
        <f t="shared" si="2"/>
        <v>#N/A</v>
      </c>
      <c r="AS22" s="219" t="e">
        <f t="shared" si="3"/>
        <v>#N/A</v>
      </c>
      <c r="AT22" s="219" t="e">
        <f t="shared" si="11"/>
        <v>#N/A</v>
      </c>
      <c r="AU22" s="219" t="e">
        <f t="shared" si="12"/>
        <v>#N/A</v>
      </c>
      <c r="AV22" s="220" t="e">
        <f t="shared" si="13"/>
        <v>#N/A</v>
      </c>
      <c r="AW22" s="214" t="e">
        <f t="shared" si="14"/>
        <v>#N/A</v>
      </c>
      <c r="AX22" s="120"/>
      <c r="BG22" s="408" t="str">
        <f t="shared" si="15"/>
        <v/>
      </c>
    </row>
    <row r="23" spans="2:59" ht="66.75" customHeight="1">
      <c r="B23" s="109">
        <v>19</v>
      </c>
      <c r="C23" s="110">
        <f>SISWA!B24</f>
        <v>0</v>
      </c>
      <c r="D23" s="111" t="str">
        <f>SISWA!E24</f>
        <v>Anak 19</v>
      </c>
      <c r="E23" s="520"/>
      <c r="F23" s="520"/>
      <c r="G23" s="520"/>
      <c r="H23" s="520"/>
      <c r="I23" s="520"/>
      <c r="J23" s="520"/>
      <c r="K23" s="520"/>
      <c r="L23" s="520"/>
      <c r="M23" s="520"/>
      <c r="N23" s="520"/>
      <c r="O23" s="520"/>
      <c r="P23" s="520"/>
      <c r="Q23" s="520"/>
      <c r="R23" s="520"/>
      <c r="S23" s="520"/>
      <c r="T23" s="533" t="str">
        <f t="shared" si="4"/>
        <v/>
      </c>
      <c r="U23" s="533" t="str">
        <f t="shared" si="5"/>
        <v/>
      </c>
      <c r="V23" s="533" t="str">
        <f t="shared" si="6"/>
        <v/>
      </c>
      <c r="W23" s="533" t="str">
        <f t="shared" si="7"/>
        <v/>
      </c>
      <c r="X23" s="533" t="str">
        <f t="shared" si="8"/>
        <v/>
      </c>
      <c r="Y23" s="513"/>
      <c r="Z23" s="513"/>
      <c r="AA23" s="513"/>
      <c r="AB23" s="514"/>
      <c r="AC23" s="513"/>
      <c r="AD23" s="513"/>
      <c r="AE23" s="513"/>
      <c r="AF23" s="513"/>
      <c r="AG23" s="514"/>
      <c r="AH23" s="514"/>
      <c r="AI23" s="513"/>
      <c r="AJ23" s="302" t="e">
        <f t="shared" si="9"/>
        <v>#DIV/0!</v>
      </c>
      <c r="AK23" s="303" t="e">
        <f>IF(AJ23&gt;KKM!$G$10,"A",IF(AJ23&gt;KKM!$H$10,"B",IF(AJ23&gt;=KKM!$I$10,"C","D")))</f>
        <v>#DIV/0!</v>
      </c>
      <c r="AL23" s="304">
        <f t="shared" si="0"/>
        <v>0</v>
      </c>
      <c r="AM23" s="309" t="str">
        <f>IF(AL23&gt;KKM!$G$10," sangat baik ",IF(AL23&gt;KKM!$H$10," baik ",IF(AL23&gt;=KKM!$I$10," cukup baik "," perlu bimbingan ")))</f>
        <v xml:space="preserve"> perlu bimbingan </v>
      </c>
      <c r="AN23" s="305">
        <f t="shared" si="1"/>
        <v>0</v>
      </c>
      <c r="AO23" s="309" t="str">
        <f>IF(AN23&gt;KKM!$G$10," sangat baik ",IF(AN23&gt;KKM!$H$10," baik ",IF(AN23&gt;=KKM!$I$10," cukup baik "," perlu bimbingan ")))</f>
        <v xml:space="preserve"> perlu bimbingan </v>
      </c>
      <c r="AP23" s="301" t="str">
        <f t="shared" si="10"/>
        <v xml:space="preserve"> </v>
      </c>
      <c r="AQ23" s="218"/>
      <c r="AR23" s="219" t="e">
        <f t="shared" si="2"/>
        <v>#N/A</v>
      </c>
      <c r="AS23" s="219" t="e">
        <f t="shared" si="3"/>
        <v>#N/A</v>
      </c>
      <c r="AT23" s="219" t="e">
        <f t="shared" si="11"/>
        <v>#N/A</v>
      </c>
      <c r="AU23" s="219" t="e">
        <f t="shared" si="12"/>
        <v>#N/A</v>
      </c>
      <c r="AV23" s="220" t="e">
        <f t="shared" si="13"/>
        <v>#N/A</v>
      </c>
      <c r="AW23" s="214" t="e">
        <f t="shared" si="14"/>
        <v>#N/A</v>
      </c>
      <c r="AX23" s="120"/>
      <c r="BG23" s="408" t="str">
        <f t="shared" si="15"/>
        <v/>
      </c>
    </row>
    <row r="24" spans="2:59" ht="66.75" customHeight="1">
      <c r="B24" s="109">
        <v>20</v>
      </c>
      <c r="C24" s="110">
        <f>SISWA!B25</f>
        <v>0</v>
      </c>
      <c r="D24" s="111" t="str">
        <f>SISWA!E25</f>
        <v>Anak 20</v>
      </c>
      <c r="E24" s="520"/>
      <c r="F24" s="520"/>
      <c r="G24" s="520"/>
      <c r="H24" s="520"/>
      <c r="I24" s="520"/>
      <c r="J24" s="520"/>
      <c r="K24" s="520"/>
      <c r="L24" s="520"/>
      <c r="M24" s="520"/>
      <c r="N24" s="520"/>
      <c r="O24" s="520"/>
      <c r="P24" s="520"/>
      <c r="Q24" s="520"/>
      <c r="R24" s="520"/>
      <c r="S24" s="520"/>
      <c r="T24" s="533" t="str">
        <f t="shared" si="4"/>
        <v/>
      </c>
      <c r="U24" s="533" t="str">
        <f t="shared" si="5"/>
        <v/>
      </c>
      <c r="V24" s="533" t="str">
        <f t="shared" si="6"/>
        <v/>
      </c>
      <c r="W24" s="533" t="str">
        <f t="shared" si="7"/>
        <v/>
      </c>
      <c r="X24" s="533" t="str">
        <f t="shared" si="8"/>
        <v/>
      </c>
      <c r="Y24" s="513"/>
      <c r="Z24" s="513"/>
      <c r="AA24" s="513"/>
      <c r="AB24" s="514"/>
      <c r="AC24" s="513"/>
      <c r="AD24" s="513"/>
      <c r="AE24" s="513"/>
      <c r="AF24" s="513"/>
      <c r="AG24" s="514"/>
      <c r="AH24" s="514"/>
      <c r="AI24" s="513"/>
      <c r="AJ24" s="302" t="e">
        <f t="shared" si="9"/>
        <v>#DIV/0!</v>
      </c>
      <c r="AK24" s="303" t="e">
        <f>IF(AJ24&gt;KKM!$G$10,"A",IF(AJ24&gt;KKM!$H$10,"B",IF(AJ24&gt;=KKM!$I$10,"C","D")))</f>
        <v>#DIV/0!</v>
      </c>
      <c r="AL24" s="304">
        <f t="shared" si="0"/>
        <v>0</v>
      </c>
      <c r="AM24" s="309" t="str">
        <f>IF(AL24&gt;KKM!$G$10," sangat baik ",IF(AL24&gt;KKM!$H$10," baik ",IF(AL24&gt;=KKM!$I$10," cukup baik "," perlu bimbingan ")))</f>
        <v xml:space="preserve"> perlu bimbingan </v>
      </c>
      <c r="AN24" s="305">
        <f t="shared" si="1"/>
        <v>0</v>
      </c>
      <c r="AO24" s="309" t="str">
        <f>IF(AN24&gt;KKM!$G$10," sangat baik ",IF(AN24&gt;KKM!$H$10," baik ",IF(AN24&gt;=KKM!$I$10," cukup baik "," perlu bimbingan ")))</f>
        <v xml:space="preserve"> perlu bimbingan </v>
      </c>
      <c r="AP24" s="301" t="str">
        <f t="shared" si="10"/>
        <v xml:space="preserve"> </v>
      </c>
      <c r="AQ24" s="218"/>
      <c r="AR24" s="219" t="e">
        <f t="shared" si="2"/>
        <v>#N/A</v>
      </c>
      <c r="AS24" s="219" t="e">
        <f t="shared" si="3"/>
        <v>#N/A</v>
      </c>
      <c r="AT24" s="219" t="e">
        <f t="shared" si="11"/>
        <v>#N/A</v>
      </c>
      <c r="AU24" s="219" t="e">
        <f t="shared" si="12"/>
        <v>#N/A</v>
      </c>
      <c r="AV24" s="220" t="e">
        <f t="shared" si="13"/>
        <v>#N/A</v>
      </c>
      <c r="AW24" s="214" t="e">
        <f t="shared" si="14"/>
        <v>#N/A</v>
      </c>
      <c r="AX24" s="120"/>
      <c r="BG24" s="408" t="str">
        <f t="shared" si="15"/>
        <v/>
      </c>
    </row>
    <row r="25" spans="2:59" ht="66.75" customHeight="1">
      <c r="B25" s="109">
        <v>21</v>
      </c>
      <c r="C25" s="110">
        <f>SISWA!B26</f>
        <v>0</v>
      </c>
      <c r="D25" s="111" t="str">
        <f>SISWA!E26</f>
        <v>Anak 21</v>
      </c>
      <c r="E25" s="520"/>
      <c r="F25" s="520"/>
      <c r="G25" s="520"/>
      <c r="H25" s="520"/>
      <c r="I25" s="520"/>
      <c r="J25" s="520"/>
      <c r="K25" s="520"/>
      <c r="L25" s="520"/>
      <c r="M25" s="520"/>
      <c r="N25" s="520"/>
      <c r="O25" s="520"/>
      <c r="P25" s="520"/>
      <c r="Q25" s="520"/>
      <c r="R25" s="520"/>
      <c r="S25" s="520"/>
      <c r="T25" s="533" t="str">
        <f t="shared" si="4"/>
        <v/>
      </c>
      <c r="U25" s="533" t="str">
        <f t="shared" si="5"/>
        <v/>
      </c>
      <c r="V25" s="533" t="str">
        <f t="shared" si="6"/>
        <v/>
      </c>
      <c r="W25" s="533" t="str">
        <f t="shared" si="7"/>
        <v/>
      </c>
      <c r="X25" s="533" t="str">
        <f t="shared" si="8"/>
        <v/>
      </c>
      <c r="Y25" s="513"/>
      <c r="Z25" s="513"/>
      <c r="AA25" s="513"/>
      <c r="AB25" s="514"/>
      <c r="AC25" s="513"/>
      <c r="AD25" s="513"/>
      <c r="AE25" s="513"/>
      <c r="AF25" s="513"/>
      <c r="AG25" s="514"/>
      <c r="AH25" s="514"/>
      <c r="AI25" s="513"/>
      <c r="AJ25" s="302" t="e">
        <f t="shared" si="9"/>
        <v>#DIV/0!</v>
      </c>
      <c r="AK25" s="303" t="e">
        <f>IF(AJ25&gt;KKM!$G$10,"A",IF(AJ25&gt;KKM!$H$10,"B",IF(AJ25&gt;=KKM!$I$10,"C","D")))</f>
        <v>#DIV/0!</v>
      </c>
      <c r="AL25" s="304">
        <f t="shared" si="0"/>
        <v>0</v>
      </c>
      <c r="AM25" s="309" t="str">
        <f>IF(AL25&gt;KKM!$G$10," sangat baik ",IF(AL25&gt;KKM!$H$10," baik ",IF(AL25&gt;=KKM!$I$10," cukup baik "," perlu bimbingan ")))</f>
        <v xml:space="preserve"> perlu bimbingan </v>
      </c>
      <c r="AN25" s="305">
        <f t="shared" si="1"/>
        <v>0</v>
      </c>
      <c r="AO25" s="309" t="str">
        <f>IF(AN25&gt;KKM!$G$10," sangat baik ",IF(AN25&gt;KKM!$H$10," baik ",IF(AN25&gt;=KKM!$I$10," cukup baik "," perlu bimbingan ")))</f>
        <v xml:space="preserve"> perlu bimbingan </v>
      </c>
      <c r="AP25" s="301" t="str">
        <f t="shared" si="10"/>
        <v xml:space="preserve"> </v>
      </c>
      <c r="AQ25" s="218"/>
      <c r="AR25" s="219" t="e">
        <f t="shared" si="2"/>
        <v>#N/A</v>
      </c>
      <c r="AS25" s="219" t="e">
        <f t="shared" si="3"/>
        <v>#N/A</v>
      </c>
      <c r="AT25" s="219" t="e">
        <f t="shared" si="11"/>
        <v>#N/A</v>
      </c>
      <c r="AU25" s="219" t="e">
        <f t="shared" si="12"/>
        <v>#N/A</v>
      </c>
      <c r="AV25" s="220" t="e">
        <f t="shared" si="13"/>
        <v>#N/A</v>
      </c>
      <c r="AW25" s="214" t="e">
        <f t="shared" si="14"/>
        <v>#N/A</v>
      </c>
      <c r="AX25" s="120"/>
      <c r="BG25" s="408" t="str">
        <f t="shared" si="15"/>
        <v/>
      </c>
    </row>
    <row r="26" spans="2:59" ht="66.75" customHeight="1">
      <c r="B26" s="109">
        <v>22</v>
      </c>
      <c r="C26" s="110">
        <f>SISWA!B27</f>
        <v>0</v>
      </c>
      <c r="D26" s="111" t="str">
        <f>SISWA!E27</f>
        <v>Anak 22</v>
      </c>
      <c r="E26" s="520"/>
      <c r="F26" s="520"/>
      <c r="G26" s="520"/>
      <c r="H26" s="520"/>
      <c r="I26" s="520"/>
      <c r="J26" s="520"/>
      <c r="K26" s="520"/>
      <c r="L26" s="520"/>
      <c r="M26" s="520"/>
      <c r="N26" s="520"/>
      <c r="O26" s="520"/>
      <c r="P26" s="520"/>
      <c r="Q26" s="520"/>
      <c r="R26" s="520"/>
      <c r="S26" s="520"/>
      <c r="T26" s="533" t="str">
        <f t="shared" si="4"/>
        <v/>
      </c>
      <c r="U26" s="533" t="str">
        <f t="shared" si="5"/>
        <v/>
      </c>
      <c r="V26" s="533" t="str">
        <f t="shared" si="6"/>
        <v/>
      </c>
      <c r="W26" s="533" t="str">
        <f t="shared" si="7"/>
        <v/>
      </c>
      <c r="X26" s="533" t="str">
        <f t="shared" si="8"/>
        <v/>
      </c>
      <c r="Y26" s="513"/>
      <c r="Z26" s="513"/>
      <c r="AA26" s="513"/>
      <c r="AB26" s="514"/>
      <c r="AC26" s="513"/>
      <c r="AD26" s="513"/>
      <c r="AE26" s="513"/>
      <c r="AF26" s="513"/>
      <c r="AG26" s="514"/>
      <c r="AH26" s="514"/>
      <c r="AI26" s="513"/>
      <c r="AJ26" s="302" t="e">
        <f t="shared" si="9"/>
        <v>#DIV/0!</v>
      </c>
      <c r="AK26" s="303" t="e">
        <f>IF(AJ26&gt;KKM!$G$10,"A",IF(AJ26&gt;KKM!$H$10,"B",IF(AJ26&gt;=KKM!$I$10,"C","D")))</f>
        <v>#DIV/0!</v>
      </c>
      <c r="AL26" s="304">
        <f t="shared" si="0"/>
        <v>0</v>
      </c>
      <c r="AM26" s="309" t="str">
        <f>IF(AL26&gt;KKM!$G$10," sangat baik ",IF(AL26&gt;KKM!$H$10," baik ",IF(AL26&gt;=KKM!$I$10," cukup baik "," perlu bimbingan ")))</f>
        <v xml:space="preserve"> perlu bimbingan </v>
      </c>
      <c r="AN26" s="305">
        <f t="shared" si="1"/>
        <v>0</v>
      </c>
      <c r="AO26" s="309" t="str">
        <f>IF(AN26&gt;KKM!$G$10," sangat baik ",IF(AN26&gt;KKM!$H$10," baik ",IF(AN26&gt;=KKM!$I$10," cukup baik "," perlu bimbingan ")))</f>
        <v xml:space="preserve"> perlu bimbingan </v>
      </c>
      <c r="AP26" s="301" t="str">
        <f t="shared" si="10"/>
        <v xml:space="preserve"> </v>
      </c>
      <c r="AQ26" s="218"/>
      <c r="AR26" s="219" t="e">
        <f t="shared" si="2"/>
        <v>#N/A</v>
      </c>
      <c r="AS26" s="219" t="e">
        <f t="shared" si="3"/>
        <v>#N/A</v>
      </c>
      <c r="AT26" s="219" t="e">
        <f t="shared" si="11"/>
        <v>#N/A</v>
      </c>
      <c r="AU26" s="219" t="e">
        <f t="shared" si="12"/>
        <v>#N/A</v>
      </c>
      <c r="AV26" s="220" t="e">
        <f t="shared" si="13"/>
        <v>#N/A</v>
      </c>
      <c r="AW26" s="214" t="e">
        <f t="shared" si="14"/>
        <v>#N/A</v>
      </c>
      <c r="AX26" s="120"/>
      <c r="BG26" s="408" t="str">
        <f t="shared" si="15"/>
        <v/>
      </c>
    </row>
    <row r="27" spans="2:59" ht="66.75" customHeight="1">
      <c r="B27" s="109">
        <v>23</v>
      </c>
      <c r="C27" s="110">
        <f>SISWA!B28</f>
        <v>0</v>
      </c>
      <c r="D27" s="111" t="str">
        <f>SISWA!E28</f>
        <v>Anak 23</v>
      </c>
      <c r="E27" s="520"/>
      <c r="F27" s="520"/>
      <c r="G27" s="520"/>
      <c r="H27" s="520"/>
      <c r="I27" s="520"/>
      <c r="J27" s="520"/>
      <c r="K27" s="520"/>
      <c r="L27" s="520"/>
      <c r="M27" s="520"/>
      <c r="N27" s="520"/>
      <c r="O27" s="520"/>
      <c r="P27" s="520"/>
      <c r="Q27" s="520"/>
      <c r="R27" s="520"/>
      <c r="S27" s="520"/>
      <c r="T27" s="533" t="str">
        <f t="shared" si="4"/>
        <v/>
      </c>
      <c r="U27" s="533" t="str">
        <f t="shared" si="5"/>
        <v/>
      </c>
      <c r="V27" s="533" t="str">
        <f t="shared" si="6"/>
        <v/>
      </c>
      <c r="W27" s="533" t="str">
        <f t="shared" si="7"/>
        <v/>
      </c>
      <c r="X27" s="533" t="str">
        <f t="shared" si="8"/>
        <v/>
      </c>
      <c r="Y27" s="513"/>
      <c r="Z27" s="513"/>
      <c r="AA27" s="513"/>
      <c r="AB27" s="514"/>
      <c r="AC27" s="513"/>
      <c r="AD27" s="513"/>
      <c r="AE27" s="513"/>
      <c r="AF27" s="513"/>
      <c r="AG27" s="514"/>
      <c r="AH27" s="514"/>
      <c r="AI27" s="513"/>
      <c r="AJ27" s="302" t="e">
        <f t="shared" si="9"/>
        <v>#DIV/0!</v>
      </c>
      <c r="AK27" s="303" t="e">
        <f>IF(AJ27&gt;KKM!$G$10,"A",IF(AJ27&gt;KKM!$H$10,"B",IF(AJ27&gt;=KKM!$I$10,"C","D")))</f>
        <v>#DIV/0!</v>
      </c>
      <c r="AL27" s="304">
        <f t="shared" si="0"/>
        <v>0</v>
      </c>
      <c r="AM27" s="309" t="str">
        <f>IF(AL27&gt;KKM!$G$10," sangat baik ",IF(AL27&gt;KKM!$H$10," baik ",IF(AL27&gt;=KKM!$I$10," cukup baik "," perlu bimbingan ")))</f>
        <v xml:space="preserve"> perlu bimbingan </v>
      </c>
      <c r="AN27" s="305">
        <f t="shared" si="1"/>
        <v>0</v>
      </c>
      <c r="AO27" s="309" t="str">
        <f>IF(AN27&gt;KKM!$G$10," sangat baik ",IF(AN27&gt;KKM!$H$10," baik ",IF(AN27&gt;=KKM!$I$10," cukup baik "," perlu bimbingan ")))</f>
        <v xml:space="preserve"> perlu bimbingan </v>
      </c>
      <c r="AP27" s="301" t="str">
        <f t="shared" si="10"/>
        <v xml:space="preserve"> </v>
      </c>
      <c r="AQ27" s="218"/>
      <c r="AR27" s="219" t="e">
        <f t="shared" si="2"/>
        <v>#N/A</v>
      </c>
      <c r="AS27" s="219" t="e">
        <f t="shared" si="3"/>
        <v>#N/A</v>
      </c>
      <c r="AT27" s="219" t="e">
        <f t="shared" si="11"/>
        <v>#N/A</v>
      </c>
      <c r="AU27" s="219" t="e">
        <f t="shared" si="12"/>
        <v>#N/A</v>
      </c>
      <c r="AV27" s="220" t="e">
        <f t="shared" si="13"/>
        <v>#N/A</v>
      </c>
      <c r="AW27" s="214" t="e">
        <f t="shared" si="14"/>
        <v>#N/A</v>
      </c>
      <c r="AX27" s="120"/>
      <c r="BG27" s="408" t="str">
        <f t="shared" si="15"/>
        <v/>
      </c>
    </row>
    <row r="28" spans="2:59" ht="66.75" customHeight="1">
      <c r="B28" s="109">
        <v>24</v>
      </c>
      <c r="C28" s="110">
        <f>SISWA!B29</f>
        <v>0</v>
      </c>
      <c r="D28" s="111" t="str">
        <f>SISWA!E29</f>
        <v>Anak 24</v>
      </c>
      <c r="E28" s="520"/>
      <c r="F28" s="520"/>
      <c r="G28" s="520"/>
      <c r="H28" s="520"/>
      <c r="I28" s="520"/>
      <c r="J28" s="520"/>
      <c r="K28" s="520"/>
      <c r="L28" s="520"/>
      <c r="M28" s="520"/>
      <c r="N28" s="520"/>
      <c r="O28" s="520"/>
      <c r="P28" s="520"/>
      <c r="Q28" s="520"/>
      <c r="R28" s="520"/>
      <c r="S28" s="520"/>
      <c r="T28" s="533" t="str">
        <f t="shared" si="4"/>
        <v/>
      </c>
      <c r="U28" s="533" t="str">
        <f t="shared" si="5"/>
        <v/>
      </c>
      <c r="V28" s="533" t="str">
        <f t="shared" si="6"/>
        <v/>
      </c>
      <c r="W28" s="533" t="str">
        <f t="shared" si="7"/>
        <v/>
      </c>
      <c r="X28" s="533" t="str">
        <f t="shared" si="8"/>
        <v/>
      </c>
      <c r="Y28" s="513"/>
      <c r="Z28" s="513"/>
      <c r="AA28" s="513"/>
      <c r="AB28" s="514"/>
      <c r="AC28" s="513"/>
      <c r="AD28" s="513"/>
      <c r="AE28" s="513"/>
      <c r="AF28" s="513"/>
      <c r="AG28" s="514"/>
      <c r="AH28" s="514"/>
      <c r="AI28" s="513"/>
      <c r="AJ28" s="302" t="e">
        <f t="shared" si="9"/>
        <v>#DIV/0!</v>
      </c>
      <c r="AK28" s="303" t="e">
        <f>IF(AJ28&gt;KKM!$G$10,"A",IF(AJ28&gt;KKM!$H$10,"B",IF(AJ28&gt;=KKM!$I$10,"C","D")))</f>
        <v>#DIV/0!</v>
      </c>
      <c r="AL28" s="304">
        <f t="shared" si="0"/>
        <v>0</v>
      </c>
      <c r="AM28" s="309" t="str">
        <f>IF(AL28&gt;KKM!$G$10," sangat baik ",IF(AL28&gt;KKM!$H$10," baik ",IF(AL28&gt;=KKM!$I$10," cukup baik "," perlu bimbingan ")))</f>
        <v xml:space="preserve"> perlu bimbingan </v>
      </c>
      <c r="AN28" s="305">
        <f t="shared" si="1"/>
        <v>0</v>
      </c>
      <c r="AO28" s="309" t="str">
        <f>IF(AN28&gt;KKM!$G$10," sangat baik ",IF(AN28&gt;KKM!$H$10," baik ",IF(AN28&gt;=KKM!$I$10," cukup baik "," perlu bimbingan ")))</f>
        <v xml:space="preserve"> perlu bimbingan </v>
      </c>
      <c r="AP28" s="301" t="str">
        <f t="shared" si="10"/>
        <v xml:space="preserve"> </v>
      </c>
      <c r="AQ28" s="218"/>
      <c r="AR28" s="219" t="e">
        <f t="shared" si="2"/>
        <v>#N/A</v>
      </c>
      <c r="AS28" s="219" t="e">
        <f t="shared" si="3"/>
        <v>#N/A</v>
      </c>
      <c r="AT28" s="219" t="e">
        <f t="shared" si="11"/>
        <v>#N/A</v>
      </c>
      <c r="AU28" s="219" t="e">
        <f t="shared" si="12"/>
        <v>#N/A</v>
      </c>
      <c r="AV28" s="220" t="e">
        <f t="shared" si="13"/>
        <v>#N/A</v>
      </c>
      <c r="AW28" s="214" t="e">
        <f t="shared" si="14"/>
        <v>#N/A</v>
      </c>
      <c r="AX28" s="120"/>
      <c r="BG28" s="408" t="str">
        <f t="shared" si="15"/>
        <v/>
      </c>
    </row>
    <row r="29" spans="2:59" ht="66.75" customHeight="1">
      <c r="B29" s="109">
        <v>25</v>
      </c>
      <c r="C29" s="110">
        <f>SISWA!B30</f>
        <v>0</v>
      </c>
      <c r="D29" s="111" t="str">
        <f>SISWA!E30</f>
        <v>Anak 25</v>
      </c>
      <c r="E29" s="520"/>
      <c r="F29" s="520"/>
      <c r="G29" s="520"/>
      <c r="H29" s="520"/>
      <c r="I29" s="520"/>
      <c r="J29" s="520"/>
      <c r="K29" s="520"/>
      <c r="L29" s="520"/>
      <c r="M29" s="520"/>
      <c r="N29" s="520"/>
      <c r="O29" s="520"/>
      <c r="P29" s="520"/>
      <c r="Q29" s="520"/>
      <c r="R29" s="520"/>
      <c r="S29" s="520"/>
      <c r="T29" s="533" t="str">
        <f t="shared" si="4"/>
        <v/>
      </c>
      <c r="U29" s="533" t="str">
        <f t="shared" si="5"/>
        <v/>
      </c>
      <c r="V29" s="533" t="str">
        <f t="shared" si="6"/>
        <v/>
      </c>
      <c r="W29" s="533" t="str">
        <f t="shared" si="7"/>
        <v/>
      </c>
      <c r="X29" s="533" t="str">
        <f t="shared" si="8"/>
        <v/>
      </c>
      <c r="Y29" s="513"/>
      <c r="Z29" s="513"/>
      <c r="AA29" s="513"/>
      <c r="AB29" s="514"/>
      <c r="AC29" s="513"/>
      <c r="AD29" s="513"/>
      <c r="AE29" s="513"/>
      <c r="AF29" s="513"/>
      <c r="AG29" s="514"/>
      <c r="AH29" s="514"/>
      <c r="AI29" s="513"/>
      <c r="AJ29" s="302" t="e">
        <f t="shared" si="9"/>
        <v>#DIV/0!</v>
      </c>
      <c r="AK29" s="303" t="e">
        <f>IF(AJ29&gt;KKM!$G$10,"A",IF(AJ29&gt;KKM!$H$10,"B",IF(AJ29&gt;=KKM!$I$10,"C","D")))</f>
        <v>#DIV/0!</v>
      </c>
      <c r="AL29" s="304">
        <f t="shared" si="0"/>
        <v>0</v>
      </c>
      <c r="AM29" s="309" t="str">
        <f>IF(AL29&gt;KKM!$G$10," sangat baik ",IF(AL29&gt;KKM!$H$10," baik ",IF(AL29&gt;=KKM!$I$10," cukup baik "," perlu bimbingan ")))</f>
        <v xml:space="preserve"> perlu bimbingan </v>
      </c>
      <c r="AN29" s="305">
        <f t="shared" si="1"/>
        <v>0</v>
      </c>
      <c r="AO29" s="309" t="str">
        <f>IF(AN29&gt;KKM!$G$10," sangat baik ",IF(AN29&gt;KKM!$H$10," baik ",IF(AN29&gt;=KKM!$I$10," cukup baik "," perlu bimbingan ")))</f>
        <v xml:space="preserve"> perlu bimbingan </v>
      </c>
      <c r="AP29" s="301" t="str">
        <f t="shared" si="10"/>
        <v xml:space="preserve"> </v>
      </c>
      <c r="AQ29" s="218"/>
      <c r="AR29" s="219" t="e">
        <f t="shared" si="2"/>
        <v>#N/A</v>
      </c>
      <c r="AS29" s="219" t="e">
        <f t="shared" si="3"/>
        <v>#N/A</v>
      </c>
      <c r="AT29" s="219" t="e">
        <f t="shared" si="11"/>
        <v>#N/A</v>
      </c>
      <c r="AU29" s="219" t="e">
        <f t="shared" si="12"/>
        <v>#N/A</v>
      </c>
      <c r="AV29" s="220" t="e">
        <f t="shared" si="13"/>
        <v>#N/A</v>
      </c>
      <c r="AW29" s="214" t="e">
        <f t="shared" si="14"/>
        <v>#N/A</v>
      </c>
      <c r="AX29" s="120"/>
      <c r="BG29" s="408" t="str">
        <f t="shared" si="15"/>
        <v/>
      </c>
    </row>
    <row r="30" spans="2:59" ht="66.75" customHeight="1">
      <c r="B30" s="109">
        <v>26</v>
      </c>
      <c r="C30" s="110">
        <f>SISWA!B31</f>
        <v>0</v>
      </c>
      <c r="D30" s="111" t="str">
        <f>SISWA!E31</f>
        <v>Anak 26</v>
      </c>
      <c r="E30" s="520"/>
      <c r="F30" s="520"/>
      <c r="G30" s="520"/>
      <c r="H30" s="520"/>
      <c r="I30" s="520"/>
      <c r="J30" s="520"/>
      <c r="K30" s="520"/>
      <c r="L30" s="520"/>
      <c r="M30" s="520"/>
      <c r="N30" s="520"/>
      <c r="O30" s="520"/>
      <c r="P30" s="520"/>
      <c r="Q30" s="520"/>
      <c r="R30" s="520"/>
      <c r="S30" s="520"/>
      <c r="T30" s="533" t="str">
        <f t="shared" si="4"/>
        <v/>
      </c>
      <c r="U30" s="533" t="str">
        <f t="shared" si="5"/>
        <v/>
      </c>
      <c r="V30" s="533" t="str">
        <f t="shared" si="6"/>
        <v/>
      </c>
      <c r="W30" s="533" t="str">
        <f t="shared" si="7"/>
        <v/>
      </c>
      <c r="X30" s="533" t="str">
        <f t="shared" si="8"/>
        <v/>
      </c>
      <c r="Y30" s="513"/>
      <c r="Z30" s="513"/>
      <c r="AA30" s="513"/>
      <c r="AB30" s="514"/>
      <c r="AC30" s="513"/>
      <c r="AD30" s="513"/>
      <c r="AE30" s="513"/>
      <c r="AF30" s="513"/>
      <c r="AG30" s="514"/>
      <c r="AH30" s="514"/>
      <c r="AI30" s="513"/>
      <c r="AJ30" s="302" t="e">
        <f t="shared" si="9"/>
        <v>#DIV/0!</v>
      </c>
      <c r="AK30" s="303" t="e">
        <f>IF(AJ30&gt;KKM!$G$10,"A",IF(AJ30&gt;KKM!$H$10,"B",IF(AJ30&gt;=KKM!$I$10,"C","D")))</f>
        <v>#DIV/0!</v>
      </c>
      <c r="AL30" s="304">
        <f t="shared" si="0"/>
        <v>0</v>
      </c>
      <c r="AM30" s="309" t="str">
        <f>IF(AL30&gt;KKM!$G$10," sangat baik ",IF(AL30&gt;KKM!$H$10," baik ",IF(AL30&gt;=KKM!$I$10," cukup baik "," perlu bimbingan ")))</f>
        <v xml:space="preserve"> perlu bimbingan </v>
      </c>
      <c r="AN30" s="305">
        <f t="shared" si="1"/>
        <v>0</v>
      </c>
      <c r="AO30" s="309" t="str">
        <f>IF(AN30&gt;KKM!$G$10," sangat baik ",IF(AN30&gt;KKM!$H$10," baik ",IF(AN30&gt;=KKM!$I$10," cukup baik "," perlu bimbingan ")))</f>
        <v xml:space="preserve"> perlu bimbingan </v>
      </c>
      <c r="AP30" s="301" t="str">
        <f t="shared" si="10"/>
        <v xml:space="preserve"> </v>
      </c>
      <c r="AQ30" s="218"/>
      <c r="AR30" s="219" t="e">
        <f t="shared" si="2"/>
        <v>#N/A</v>
      </c>
      <c r="AS30" s="219" t="e">
        <f t="shared" si="3"/>
        <v>#N/A</v>
      </c>
      <c r="AT30" s="219" t="e">
        <f t="shared" si="11"/>
        <v>#N/A</v>
      </c>
      <c r="AU30" s="219" t="e">
        <f t="shared" si="12"/>
        <v>#N/A</v>
      </c>
      <c r="AV30" s="220" t="e">
        <f t="shared" si="13"/>
        <v>#N/A</v>
      </c>
      <c r="AW30" s="214" t="e">
        <f t="shared" si="14"/>
        <v>#N/A</v>
      </c>
      <c r="AX30" s="120"/>
      <c r="BG30" s="408" t="str">
        <f t="shared" si="15"/>
        <v/>
      </c>
    </row>
    <row r="31" spans="2:59" ht="66.75" customHeight="1">
      <c r="B31" s="109">
        <v>27</v>
      </c>
      <c r="C31" s="110">
        <f>SISWA!B32</f>
        <v>0</v>
      </c>
      <c r="D31" s="111" t="str">
        <f>SISWA!E32</f>
        <v>Anak 27</v>
      </c>
      <c r="E31" s="520"/>
      <c r="F31" s="520"/>
      <c r="G31" s="520"/>
      <c r="H31" s="520"/>
      <c r="I31" s="520"/>
      <c r="J31" s="520"/>
      <c r="K31" s="520"/>
      <c r="L31" s="520"/>
      <c r="M31" s="520"/>
      <c r="N31" s="520"/>
      <c r="O31" s="520"/>
      <c r="P31" s="520"/>
      <c r="Q31" s="520"/>
      <c r="R31" s="520"/>
      <c r="S31" s="520"/>
      <c r="T31" s="533" t="str">
        <f t="shared" si="4"/>
        <v/>
      </c>
      <c r="U31" s="533" t="str">
        <f t="shared" si="5"/>
        <v/>
      </c>
      <c r="V31" s="533" t="str">
        <f t="shared" si="6"/>
        <v/>
      </c>
      <c r="W31" s="533" t="str">
        <f t="shared" si="7"/>
        <v/>
      </c>
      <c r="X31" s="533" t="str">
        <f t="shared" si="8"/>
        <v/>
      </c>
      <c r="Y31" s="513"/>
      <c r="Z31" s="513"/>
      <c r="AA31" s="513"/>
      <c r="AB31" s="514"/>
      <c r="AC31" s="513"/>
      <c r="AD31" s="513"/>
      <c r="AE31" s="513"/>
      <c r="AF31" s="513"/>
      <c r="AG31" s="514"/>
      <c r="AH31" s="514"/>
      <c r="AI31" s="513"/>
      <c r="AJ31" s="302" t="e">
        <f t="shared" si="9"/>
        <v>#DIV/0!</v>
      </c>
      <c r="AK31" s="303" t="e">
        <f>IF(AJ31&gt;KKM!$G$10,"A",IF(AJ31&gt;KKM!$H$10,"B",IF(AJ31&gt;=KKM!$I$10,"C","D")))</f>
        <v>#DIV/0!</v>
      </c>
      <c r="AL31" s="304">
        <f t="shared" si="0"/>
        <v>0</v>
      </c>
      <c r="AM31" s="309" t="str">
        <f>IF(AL31&gt;KKM!$G$10," sangat baik ",IF(AL31&gt;KKM!$H$10," baik ",IF(AL31&gt;=KKM!$I$10," cukup baik "," perlu bimbingan ")))</f>
        <v xml:space="preserve"> perlu bimbingan </v>
      </c>
      <c r="AN31" s="305">
        <f t="shared" si="1"/>
        <v>0</v>
      </c>
      <c r="AO31" s="309" t="str">
        <f>IF(AN31&gt;KKM!$G$10," sangat baik ",IF(AN31&gt;KKM!$H$10," baik ",IF(AN31&gt;=KKM!$I$10," cukup baik "," perlu bimbingan ")))</f>
        <v xml:space="preserve"> perlu bimbingan </v>
      </c>
      <c r="AP31" s="301" t="str">
        <f t="shared" si="10"/>
        <v xml:space="preserve"> </v>
      </c>
      <c r="AQ31" s="218"/>
      <c r="AR31" s="219" t="e">
        <f t="shared" si="2"/>
        <v>#N/A</v>
      </c>
      <c r="AS31" s="219" t="e">
        <f t="shared" si="3"/>
        <v>#N/A</v>
      </c>
      <c r="AT31" s="219" t="e">
        <f t="shared" si="11"/>
        <v>#N/A</v>
      </c>
      <c r="AU31" s="219" t="e">
        <f t="shared" si="12"/>
        <v>#N/A</v>
      </c>
      <c r="AV31" s="220" t="e">
        <f t="shared" si="13"/>
        <v>#N/A</v>
      </c>
      <c r="AW31" s="214" t="e">
        <f t="shared" si="14"/>
        <v>#N/A</v>
      </c>
      <c r="AX31" s="120"/>
      <c r="BG31" s="408" t="str">
        <f t="shared" si="15"/>
        <v/>
      </c>
    </row>
    <row r="32" spans="2:59" ht="66.75" customHeight="1">
      <c r="B32" s="109">
        <v>28</v>
      </c>
      <c r="C32" s="110">
        <f>SISWA!B33</f>
        <v>0</v>
      </c>
      <c r="D32" s="111" t="str">
        <f>SISWA!E33</f>
        <v>Anak 28</v>
      </c>
      <c r="E32" s="520"/>
      <c r="F32" s="520"/>
      <c r="G32" s="520"/>
      <c r="H32" s="520"/>
      <c r="I32" s="520"/>
      <c r="J32" s="520"/>
      <c r="K32" s="520"/>
      <c r="L32" s="520"/>
      <c r="M32" s="520"/>
      <c r="N32" s="520"/>
      <c r="O32" s="520"/>
      <c r="P32" s="520"/>
      <c r="Q32" s="520"/>
      <c r="R32" s="520"/>
      <c r="S32" s="520"/>
      <c r="T32" s="533" t="str">
        <f t="shared" si="4"/>
        <v/>
      </c>
      <c r="U32" s="533" t="str">
        <f t="shared" si="5"/>
        <v/>
      </c>
      <c r="V32" s="533" t="str">
        <f t="shared" si="6"/>
        <v/>
      </c>
      <c r="W32" s="533" t="str">
        <f t="shared" si="7"/>
        <v/>
      </c>
      <c r="X32" s="533" t="str">
        <f t="shared" si="8"/>
        <v/>
      </c>
      <c r="Y32" s="513"/>
      <c r="Z32" s="513"/>
      <c r="AA32" s="513"/>
      <c r="AB32" s="514"/>
      <c r="AC32" s="513"/>
      <c r="AD32" s="513"/>
      <c r="AE32" s="513"/>
      <c r="AF32" s="513"/>
      <c r="AG32" s="514"/>
      <c r="AH32" s="514"/>
      <c r="AI32" s="513"/>
      <c r="AJ32" s="302" t="e">
        <f t="shared" si="9"/>
        <v>#DIV/0!</v>
      </c>
      <c r="AK32" s="303" t="e">
        <f>IF(AJ32&gt;KKM!$G$10,"A",IF(AJ32&gt;KKM!$H$10,"B",IF(AJ32&gt;=KKM!$I$10,"C","D")))</f>
        <v>#DIV/0!</v>
      </c>
      <c r="AL32" s="304">
        <f t="shared" si="0"/>
        <v>0</v>
      </c>
      <c r="AM32" s="309" t="str">
        <f>IF(AL32&gt;KKM!$G$10," sangat baik ",IF(AL32&gt;KKM!$H$10," baik ",IF(AL32&gt;=KKM!$I$10," cukup baik "," perlu bimbingan ")))</f>
        <v xml:space="preserve"> perlu bimbingan </v>
      </c>
      <c r="AN32" s="305">
        <f t="shared" si="1"/>
        <v>0</v>
      </c>
      <c r="AO32" s="309" t="str">
        <f>IF(AN32&gt;KKM!$G$10," sangat baik ",IF(AN32&gt;KKM!$H$10," baik ",IF(AN32&gt;=KKM!$I$10," cukup baik "," perlu bimbingan ")))</f>
        <v xml:space="preserve"> perlu bimbingan </v>
      </c>
      <c r="AP32" s="301" t="str">
        <f t="shared" si="10"/>
        <v xml:space="preserve"> </v>
      </c>
      <c r="AQ32" s="218"/>
      <c r="AR32" s="219" t="e">
        <f t="shared" si="2"/>
        <v>#N/A</v>
      </c>
      <c r="AS32" s="219" t="e">
        <f t="shared" si="3"/>
        <v>#N/A</v>
      </c>
      <c r="AT32" s="219" t="e">
        <f t="shared" si="11"/>
        <v>#N/A</v>
      </c>
      <c r="AU32" s="219" t="e">
        <f t="shared" si="12"/>
        <v>#N/A</v>
      </c>
      <c r="AV32" s="220" t="e">
        <f t="shared" si="13"/>
        <v>#N/A</v>
      </c>
      <c r="AW32" s="214" t="e">
        <f t="shared" si="14"/>
        <v>#N/A</v>
      </c>
      <c r="AX32" s="120"/>
      <c r="BG32" s="408" t="str">
        <f t="shared" si="15"/>
        <v/>
      </c>
    </row>
    <row r="33" spans="2:59" ht="66.75" customHeight="1">
      <c r="B33" s="109">
        <v>29</v>
      </c>
      <c r="C33" s="110">
        <f>SISWA!B34</f>
        <v>0</v>
      </c>
      <c r="D33" s="111" t="str">
        <f>SISWA!E34</f>
        <v>Anak 29</v>
      </c>
      <c r="E33" s="520"/>
      <c r="F33" s="520"/>
      <c r="G33" s="520"/>
      <c r="H33" s="520"/>
      <c r="I33" s="520"/>
      <c r="J33" s="520"/>
      <c r="K33" s="520"/>
      <c r="L33" s="520"/>
      <c r="M33" s="520"/>
      <c r="N33" s="520"/>
      <c r="O33" s="520"/>
      <c r="P33" s="520"/>
      <c r="Q33" s="520"/>
      <c r="R33" s="520"/>
      <c r="S33" s="520"/>
      <c r="T33" s="533" t="str">
        <f t="shared" si="4"/>
        <v/>
      </c>
      <c r="U33" s="533" t="str">
        <f t="shared" si="5"/>
        <v/>
      </c>
      <c r="V33" s="533" t="str">
        <f t="shared" si="6"/>
        <v/>
      </c>
      <c r="W33" s="533" t="str">
        <f t="shared" si="7"/>
        <v/>
      </c>
      <c r="X33" s="533" t="str">
        <f t="shared" si="8"/>
        <v/>
      </c>
      <c r="Y33" s="513"/>
      <c r="Z33" s="513"/>
      <c r="AA33" s="513"/>
      <c r="AB33" s="514"/>
      <c r="AC33" s="513"/>
      <c r="AD33" s="513"/>
      <c r="AE33" s="513"/>
      <c r="AF33" s="513"/>
      <c r="AG33" s="514"/>
      <c r="AH33" s="514"/>
      <c r="AI33" s="513"/>
      <c r="AJ33" s="302" t="e">
        <f t="shared" si="9"/>
        <v>#DIV/0!</v>
      </c>
      <c r="AK33" s="303" t="e">
        <f>IF(AJ33&gt;KKM!$G$10,"A",IF(AJ33&gt;KKM!$H$10,"B",IF(AJ33&gt;=KKM!$I$10,"C","D")))</f>
        <v>#DIV/0!</v>
      </c>
      <c r="AL33" s="304">
        <f t="shared" si="0"/>
        <v>0</v>
      </c>
      <c r="AM33" s="309" t="str">
        <f>IF(AL33&gt;KKM!$G$10," sangat baik ",IF(AL33&gt;KKM!$H$10," baik ",IF(AL33&gt;=KKM!$I$10," cukup baik "," perlu bimbingan ")))</f>
        <v xml:space="preserve"> perlu bimbingan </v>
      </c>
      <c r="AN33" s="305">
        <f t="shared" si="1"/>
        <v>0</v>
      </c>
      <c r="AO33" s="309" t="str">
        <f>IF(AN33&gt;KKM!$G$10," sangat baik ",IF(AN33&gt;KKM!$H$10," baik ",IF(AN33&gt;=KKM!$I$10," cukup baik "," perlu bimbingan ")))</f>
        <v xml:space="preserve"> perlu bimbingan </v>
      </c>
      <c r="AP33" s="301" t="str">
        <f t="shared" si="10"/>
        <v xml:space="preserve"> </v>
      </c>
      <c r="AQ33" s="218"/>
      <c r="AR33" s="219" t="e">
        <f t="shared" si="2"/>
        <v>#N/A</v>
      </c>
      <c r="AS33" s="219" t="e">
        <f t="shared" si="3"/>
        <v>#N/A</v>
      </c>
      <c r="AT33" s="219" t="e">
        <f t="shared" si="11"/>
        <v>#N/A</v>
      </c>
      <c r="AU33" s="219" t="e">
        <f t="shared" si="12"/>
        <v>#N/A</v>
      </c>
      <c r="AV33" s="220" t="e">
        <f t="shared" si="13"/>
        <v>#N/A</v>
      </c>
      <c r="AW33" s="214" t="e">
        <f t="shared" si="14"/>
        <v>#N/A</v>
      </c>
      <c r="AX33" s="120"/>
      <c r="BG33" s="408" t="str">
        <f t="shared" si="15"/>
        <v/>
      </c>
    </row>
    <row r="34" spans="2:59" ht="66.75" customHeight="1">
      <c r="B34" s="109">
        <v>30</v>
      </c>
      <c r="C34" s="110">
        <f>SISWA!B35</f>
        <v>0</v>
      </c>
      <c r="D34" s="111" t="str">
        <f>SISWA!E35</f>
        <v>Anak 30</v>
      </c>
      <c r="E34" s="520"/>
      <c r="F34" s="520"/>
      <c r="G34" s="520"/>
      <c r="H34" s="520"/>
      <c r="I34" s="520"/>
      <c r="J34" s="520"/>
      <c r="K34" s="520"/>
      <c r="L34" s="520"/>
      <c r="M34" s="520"/>
      <c r="N34" s="520"/>
      <c r="O34" s="520"/>
      <c r="P34" s="520"/>
      <c r="Q34" s="520"/>
      <c r="R34" s="520"/>
      <c r="S34" s="520"/>
      <c r="T34" s="533" t="str">
        <f t="shared" si="4"/>
        <v/>
      </c>
      <c r="U34" s="533" t="str">
        <f t="shared" si="5"/>
        <v/>
      </c>
      <c r="V34" s="533" t="str">
        <f t="shared" si="6"/>
        <v/>
      </c>
      <c r="W34" s="533" t="str">
        <f t="shared" si="7"/>
        <v/>
      </c>
      <c r="X34" s="533" t="str">
        <f t="shared" si="8"/>
        <v/>
      </c>
      <c r="Y34" s="513"/>
      <c r="Z34" s="513"/>
      <c r="AA34" s="513"/>
      <c r="AB34" s="514"/>
      <c r="AC34" s="513"/>
      <c r="AD34" s="513"/>
      <c r="AE34" s="513"/>
      <c r="AF34" s="513"/>
      <c r="AG34" s="514"/>
      <c r="AH34" s="514"/>
      <c r="AI34" s="513"/>
      <c r="AJ34" s="302" t="e">
        <f t="shared" si="9"/>
        <v>#DIV/0!</v>
      </c>
      <c r="AK34" s="303" t="e">
        <f>IF(AJ34&gt;KKM!$G$10,"A",IF(AJ34&gt;KKM!$H$10,"B",IF(AJ34&gt;=KKM!$I$10,"C","D")))</f>
        <v>#DIV/0!</v>
      </c>
      <c r="AL34" s="304">
        <f t="shared" si="0"/>
        <v>0</v>
      </c>
      <c r="AM34" s="309" t="str">
        <f>IF(AL34&gt;KKM!$G$10," sangat baik ",IF(AL34&gt;KKM!$H$10," baik ",IF(AL34&gt;=KKM!$I$10," cukup baik "," perlu bimbingan ")))</f>
        <v xml:space="preserve"> perlu bimbingan </v>
      </c>
      <c r="AN34" s="305">
        <f t="shared" si="1"/>
        <v>0</v>
      </c>
      <c r="AO34" s="309" t="str">
        <f>IF(AN34&gt;KKM!$G$10," sangat baik ",IF(AN34&gt;KKM!$H$10," baik ",IF(AN34&gt;=KKM!$I$10," cukup baik "," perlu bimbingan ")))</f>
        <v xml:space="preserve"> perlu bimbingan </v>
      </c>
      <c r="AP34" s="301" t="str">
        <f t="shared" si="10"/>
        <v xml:space="preserve"> </v>
      </c>
      <c r="AQ34" s="218"/>
      <c r="AR34" s="219" t="e">
        <f t="shared" si="2"/>
        <v>#N/A</v>
      </c>
      <c r="AS34" s="219" t="e">
        <f t="shared" si="3"/>
        <v>#N/A</v>
      </c>
      <c r="AT34" s="219" t="e">
        <f t="shared" si="11"/>
        <v>#N/A</v>
      </c>
      <c r="AU34" s="219" t="e">
        <f t="shared" si="12"/>
        <v>#N/A</v>
      </c>
      <c r="AV34" s="220" t="e">
        <f t="shared" si="13"/>
        <v>#N/A</v>
      </c>
      <c r="AW34" s="214" t="e">
        <f t="shared" si="14"/>
        <v>#N/A</v>
      </c>
      <c r="AX34" s="120"/>
      <c r="BG34" s="408" t="str">
        <f t="shared" si="15"/>
        <v/>
      </c>
    </row>
    <row r="35" spans="2:59" ht="66.75" customHeight="1">
      <c r="B35" s="109">
        <v>31</v>
      </c>
      <c r="C35" s="110">
        <f>SISWA!B36</f>
        <v>0</v>
      </c>
      <c r="D35" s="111" t="str">
        <f>SISWA!E36</f>
        <v>Anak 31</v>
      </c>
      <c r="E35" s="520"/>
      <c r="F35" s="520"/>
      <c r="G35" s="520"/>
      <c r="H35" s="520"/>
      <c r="I35" s="520"/>
      <c r="J35" s="520"/>
      <c r="K35" s="520"/>
      <c r="L35" s="520"/>
      <c r="M35" s="520"/>
      <c r="N35" s="520"/>
      <c r="O35" s="520"/>
      <c r="P35" s="520"/>
      <c r="Q35" s="520"/>
      <c r="R35" s="520"/>
      <c r="S35" s="520"/>
      <c r="T35" s="533" t="str">
        <f t="shared" si="4"/>
        <v/>
      </c>
      <c r="U35" s="533" t="str">
        <f t="shared" si="5"/>
        <v/>
      </c>
      <c r="V35" s="533" t="str">
        <f t="shared" si="6"/>
        <v/>
      </c>
      <c r="W35" s="533" t="str">
        <f t="shared" si="7"/>
        <v/>
      </c>
      <c r="X35" s="533" t="str">
        <f t="shared" si="8"/>
        <v/>
      </c>
      <c r="Y35" s="513"/>
      <c r="Z35" s="513"/>
      <c r="AA35" s="513"/>
      <c r="AB35" s="514"/>
      <c r="AC35" s="513"/>
      <c r="AD35" s="513"/>
      <c r="AE35" s="513"/>
      <c r="AF35" s="513"/>
      <c r="AG35" s="514"/>
      <c r="AH35" s="514"/>
      <c r="AI35" s="513"/>
      <c r="AJ35" s="302" t="e">
        <f t="shared" si="9"/>
        <v>#DIV/0!</v>
      </c>
      <c r="AK35" s="303" t="e">
        <f>IF(AJ35&gt;KKM!$G$10,"A",IF(AJ35&gt;KKM!$H$10,"B",IF(AJ35&gt;=KKM!$I$10,"C","D")))</f>
        <v>#DIV/0!</v>
      </c>
      <c r="AL35" s="304">
        <f t="shared" si="0"/>
        <v>0</v>
      </c>
      <c r="AM35" s="309" t="str">
        <f>IF(AL35&gt;KKM!$G$10," sangat baik ",IF(AL35&gt;KKM!$H$10," baik ",IF(AL35&gt;=KKM!$I$10," cukup baik "," perlu bimbingan ")))</f>
        <v xml:space="preserve"> perlu bimbingan </v>
      </c>
      <c r="AN35" s="305">
        <f t="shared" si="1"/>
        <v>0</v>
      </c>
      <c r="AO35" s="309" t="str">
        <f>IF(AN35&gt;KKM!$G$10," sangat baik ",IF(AN35&gt;KKM!$H$10," baik ",IF(AN35&gt;=KKM!$I$10," cukup baik "," perlu bimbingan ")))</f>
        <v xml:space="preserve"> perlu bimbingan </v>
      </c>
      <c r="AP35" s="301" t="str">
        <f t="shared" si="10"/>
        <v xml:space="preserve"> </v>
      </c>
      <c r="AQ35" s="218"/>
      <c r="AR35" s="219" t="e">
        <f t="shared" si="2"/>
        <v>#N/A</v>
      </c>
      <c r="AS35" s="219" t="e">
        <f t="shared" si="3"/>
        <v>#N/A</v>
      </c>
      <c r="AT35" s="219" t="e">
        <f t="shared" si="11"/>
        <v>#N/A</v>
      </c>
      <c r="AU35" s="219" t="e">
        <f t="shared" si="12"/>
        <v>#N/A</v>
      </c>
      <c r="AV35" s="220" t="e">
        <f t="shared" si="13"/>
        <v>#N/A</v>
      </c>
      <c r="AW35" s="214" t="e">
        <f t="shared" si="14"/>
        <v>#N/A</v>
      </c>
      <c r="AX35" s="120"/>
      <c r="BG35" s="408" t="str">
        <f t="shared" si="15"/>
        <v/>
      </c>
    </row>
    <row r="36" spans="2:59" ht="66.75" customHeight="1">
      <c r="B36" s="109">
        <v>32</v>
      </c>
      <c r="C36" s="110">
        <f>SISWA!B37</f>
        <v>0</v>
      </c>
      <c r="D36" s="111" t="str">
        <f>SISWA!E37</f>
        <v>Anak 32</v>
      </c>
      <c r="E36" s="520"/>
      <c r="F36" s="520"/>
      <c r="G36" s="520"/>
      <c r="H36" s="520"/>
      <c r="I36" s="520"/>
      <c r="J36" s="520"/>
      <c r="K36" s="520"/>
      <c r="L36" s="520"/>
      <c r="M36" s="520"/>
      <c r="N36" s="520"/>
      <c r="O36" s="520"/>
      <c r="P36" s="520"/>
      <c r="Q36" s="520"/>
      <c r="R36" s="520"/>
      <c r="S36" s="520"/>
      <c r="T36" s="533" t="str">
        <f t="shared" si="4"/>
        <v/>
      </c>
      <c r="U36" s="533" t="str">
        <f t="shared" si="5"/>
        <v/>
      </c>
      <c r="V36" s="533" t="str">
        <f t="shared" si="6"/>
        <v/>
      </c>
      <c r="W36" s="533" t="str">
        <f t="shared" si="7"/>
        <v/>
      </c>
      <c r="X36" s="533" t="str">
        <f t="shared" si="8"/>
        <v/>
      </c>
      <c r="Y36" s="513"/>
      <c r="Z36" s="513"/>
      <c r="AA36" s="513"/>
      <c r="AB36" s="514"/>
      <c r="AC36" s="513"/>
      <c r="AD36" s="513"/>
      <c r="AE36" s="513"/>
      <c r="AF36" s="513"/>
      <c r="AG36" s="514"/>
      <c r="AH36" s="514"/>
      <c r="AI36" s="513"/>
      <c r="AJ36" s="302" t="e">
        <f t="shared" si="9"/>
        <v>#DIV/0!</v>
      </c>
      <c r="AK36" s="303" t="e">
        <f>IF(AJ36&gt;KKM!$G$10,"A",IF(AJ36&gt;KKM!$H$10,"B",IF(AJ36&gt;=KKM!$I$10,"C","D")))</f>
        <v>#DIV/0!</v>
      </c>
      <c r="AL36" s="304">
        <f t="shared" si="0"/>
        <v>0</v>
      </c>
      <c r="AM36" s="309" t="str">
        <f>IF(AL36&gt;KKM!$G$10," sangat baik ",IF(AL36&gt;KKM!$H$10," baik ",IF(AL36&gt;=KKM!$I$10," cukup baik "," perlu bimbingan ")))</f>
        <v xml:space="preserve"> perlu bimbingan </v>
      </c>
      <c r="AN36" s="305">
        <f t="shared" si="1"/>
        <v>0</v>
      </c>
      <c r="AO36" s="309" t="str">
        <f>IF(AN36&gt;KKM!$G$10," sangat baik ",IF(AN36&gt;KKM!$H$10," baik ",IF(AN36&gt;=KKM!$I$10," cukup baik "," perlu bimbingan ")))</f>
        <v xml:space="preserve"> perlu bimbingan </v>
      </c>
      <c r="AP36" s="301" t="str">
        <f t="shared" si="10"/>
        <v xml:space="preserve"> </v>
      </c>
      <c r="AQ36" s="218"/>
      <c r="AR36" s="219" t="e">
        <f t="shared" si="2"/>
        <v>#N/A</v>
      </c>
      <c r="AS36" s="219" t="e">
        <f t="shared" si="3"/>
        <v>#N/A</v>
      </c>
      <c r="AT36" s="219" t="e">
        <f t="shared" si="11"/>
        <v>#N/A</v>
      </c>
      <c r="AU36" s="219" t="e">
        <f t="shared" si="12"/>
        <v>#N/A</v>
      </c>
      <c r="AV36" s="220" t="e">
        <f t="shared" si="13"/>
        <v>#N/A</v>
      </c>
      <c r="AW36" s="214" t="e">
        <f t="shared" si="14"/>
        <v>#N/A</v>
      </c>
      <c r="AX36" s="120"/>
      <c r="BG36" s="408" t="str">
        <f t="shared" si="15"/>
        <v/>
      </c>
    </row>
    <row r="37" spans="2:59" ht="66.75" customHeight="1">
      <c r="B37" s="109">
        <v>33</v>
      </c>
      <c r="C37" s="110">
        <f>SISWA!B38</f>
        <v>0</v>
      </c>
      <c r="D37" s="111" t="str">
        <f>SISWA!E38</f>
        <v>Anak 33</v>
      </c>
      <c r="E37" s="520"/>
      <c r="F37" s="520"/>
      <c r="G37" s="520"/>
      <c r="H37" s="520"/>
      <c r="I37" s="520"/>
      <c r="J37" s="520"/>
      <c r="K37" s="520"/>
      <c r="L37" s="520"/>
      <c r="M37" s="520"/>
      <c r="N37" s="520"/>
      <c r="O37" s="520"/>
      <c r="P37" s="520"/>
      <c r="Q37" s="520"/>
      <c r="R37" s="520"/>
      <c r="S37" s="520"/>
      <c r="T37" s="533" t="str">
        <f t="shared" si="4"/>
        <v/>
      </c>
      <c r="U37" s="533" t="str">
        <f t="shared" si="5"/>
        <v/>
      </c>
      <c r="V37" s="533" t="str">
        <f t="shared" si="6"/>
        <v/>
      </c>
      <c r="W37" s="533" t="str">
        <f t="shared" si="7"/>
        <v/>
      </c>
      <c r="X37" s="533" t="str">
        <f t="shared" si="8"/>
        <v/>
      </c>
      <c r="Y37" s="513"/>
      <c r="Z37" s="513"/>
      <c r="AA37" s="513"/>
      <c r="AB37" s="514"/>
      <c r="AC37" s="513"/>
      <c r="AD37" s="513"/>
      <c r="AE37" s="513"/>
      <c r="AF37" s="513"/>
      <c r="AG37" s="514"/>
      <c r="AH37" s="514"/>
      <c r="AI37" s="513"/>
      <c r="AJ37" s="302" t="e">
        <f t="shared" si="9"/>
        <v>#DIV/0!</v>
      </c>
      <c r="AK37" s="303" t="e">
        <f>IF(AJ37&gt;KKM!$G$10,"A",IF(AJ37&gt;KKM!$H$10,"B",IF(AJ37&gt;=KKM!$I$10,"C","D")))</f>
        <v>#DIV/0!</v>
      </c>
      <c r="AL37" s="304">
        <f t="shared" si="0"/>
        <v>0</v>
      </c>
      <c r="AM37" s="309" t="str">
        <f>IF(AL37&gt;KKM!$G$10," sangat baik ",IF(AL37&gt;KKM!$H$10," baik ",IF(AL37&gt;=KKM!$I$10," cukup baik "," perlu bimbingan ")))</f>
        <v xml:space="preserve"> perlu bimbingan </v>
      </c>
      <c r="AN37" s="305">
        <f t="shared" si="1"/>
        <v>0</v>
      </c>
      <c r="AO37" s="309" t="str">
        <f>IF(AN37&gt;KKM!$G$10," sangat baik ",IF(AN37&gt;KKM!$H$10," baik ",IF(AN37&gt;=KKM!$I$10," cukup baik "," perlu bimbingan ")))</f>
        <v xml:space="preserve"> perlu bimbingan </v>
      </c>
      <c r="AP37" s="301" t="str">
        <f t="shared" si="10"/>
        <v xml:space="preserve"> </v>
      </c>
      <c r="AQ37" s="218"/>
      <c r="AR37" s="219" t="e">
        <f t="shared" si="2"/>
        <v>#N/A</v>
      </c>
      <c r="AS37" s="219" t="e">
        <f t="shared" si="3"/>
        <v>#N/A</v>
      </c>
      <c r="AT37" s="219" t="e">
        <f t="shared" si="11"/>
        <v>#N/A</v>
      </c>
      <c r="AU37" s="219" t="e">
        <f t="shared" si="12"/>
        <v>#N/A</v>
      </c>
      <c r="AV37" s="220" t="e">
        <f t="shared" si="13"/>
        <v>#N/A</v>
      </c>
      <c r="AW37" s="214" t="e">
        <f t="shared" si="14"/>
        <v>#N/A</v>
      </c>
      <c r="AX37" s="120"/>
      <c r="BG37" s="408" t="str">
        <f t="shared" si="15"/>
        <v/>
      </c>
    </row>
    <row r="38" spans="2:59" ht="66.75" customHeight="1">
      <c r="B38" s="109">
        <v>34</v>
      </c>
      <c r="C38" s="110">
        <f>SISWA!B39</f>
        <v>0</v>
      </c>
      <c r="D38" s="111" t="str">
        <f>SISWA!E39</f>
        <v>Anak 34</v>
      </c>
      <c r="E38" s="520"/>
      <c r="F38" s="520"/>
      <c r="G38" s="520"/>
      <c r="H38" s="520"/>
      <c r="I38" s="520"/>
      <c r="J38" s="520"/>
      <c r="K38" s="520"/>
      <c r="L38" s="520"/>
      <c r="M38" s="520"/>
      <c r="N38" s="520"/>
      <c r="O38" s="520"/>
      <c r="P38" s="520"/>
      <c r="Q38" s="520"/>
      <c r="R38" s="520"/>
      <c r="S38" s="520"/>
      <c r="T38" s="533" t="str">
        <f t="shared" si="4"/>
        <v/>
      </c>
      <c r="U38" s="533" t="str">
        <f t="shared" si="5"/>
        <v/>
      </c>
      <c r="V38" s="533" t="str">
        <f t="shared" si="6"/>
        <v/>
      </c>
      <c r="W38" s="533" t="str">
        <f t="shared" si="7"/>
        <v/>
      </c>
      <c r="X38" s="533" t="str">
        <f t="shared" si="8"/>
        <v/>
      </c>
      <c r="Y38" s="513"/>
      <c r="Z38" s="513"/>
      <c r="AA38" s="513"/>
      <c r="AB38" s="514"/>
      <c r="AC38" s="513"/>
      <c r="AD38" s="513"/>
      <c r="AE38" s="513"/>
      <c r="AF38" s="513"/>
      <c r="AG38" s="514"/>
      <c r="AH38" s="514"/>
      <c r="AI38" s="513"/>
      <c r="AJ38" s="302" t="e">
        <f t="shared" si="9"/>
        <v>#DIV/0!</v>
      </c>
      <c r="AK38" s="303" t="e">
        <f>IF(AJ38&gt;KKM!$G$10,"A",IF(AJ38&gt;KKM!$H$10,"B",IF(AJ38&gt;=KKM!$I$10,"C","D")))</f>
        <v>#DIV/0!</v>
      </c>
      <c r="AL38" s="304">
        <f t="shared" si="0"/>
        <v>0</v>
      </c>
      <c r="AM38" s="309" t="str">
        <f>IF(AL38&gt;KKM!$G$10," sangat baik ",IF(AL38&gt;KKM!$H$10," baik ",IF(AL38&gt;=KKM!$I$10," cukup baik "," perlu bimbingan ")))</f>
        <v xml:space="preserve"> perlu bimbingan </v>
      </c>
      <c r="AN38" s="305">
        <f t="shared" si="1"/>
        <v>0</v>
      </c>
      <c r="AO38" s="309" t="str">
        <f>IF(AN38&gt;KKM!$G$10," sangat baik ",IF(AN38&gt;KKM!$H$10," baik ",IF(AN38&gt;=KKM!$I$10," cukup baik "," perlu bimbingan ")))</f>
        <v xml:space="preserve"> perlu bimbingan </v>
      </c>
      <c r="AP38" s="301" t="str">
        <f t="shared" si="10"/>
        <v xml:space="preserve"> </v>
      </c>
      <c r="AQ38" s="218"/>
      <c r="AR38" s="219" t="e">
        <f t="shared" si="2"/>
        <v>#N/A</v>
      </c>
      <c r="AS38" s="219" t="e">
        <f t="shared" si="3"/>
        <v>#N/A</v>
      </c>
      <c r="AT38" s="219" t="e">
        <f t="shared" si="11"/>
        <v>#N/A</v>
      </c>
      <c r="AU38" s="219" t="e">
        <f t="shared" si="12"/>
        <v>#N/A</v>
      </c>
      <c r="AV38" s="220" t="e">
        <f t="shared" si="13"/>
        <v>#N/A</v>
      </c>
      <c r="AW38" s="214" t="e">
        <f t="shared" si="14"/>
        <v>#N/A</v>
      </c>
      <c r="AX38" s="120"/>
      <c r="BG38" s="408" t="str">
        <f t="shared" si="15"/>
        <v/>
      </c>
    </row>
    <row r="39" spans="2:59" ht="66.75" customHeight="1">
      <c r="B39" s="109">
        <v>35</v>
      </c>
      <c r="C39" s="110">
        <f>SISWA!B40</f>
        <v>0</v>
      </c>
      <c r="D39" s="111" t="str">
        <f>SISWA!E40</f>
        <v>Anak 35</v>
      </c>
      <c r="E39" s="520"/>
      <c r="F39" s="520"/>
      <c r="G39" s="520"/>
      <c r="H39" s="520"/>
      <c r="I39" s="520"/>
      <c r="J39" s="520"/>
      <c r="K39" s="520"/>
      <c r="L39" s="520"/>
      <c r="M39" s="520"/>
      <c r="N39" s="520"/>
      <c r="O39" s="520"/>
      <c r="P39" s="520"/>
      <c r="Q39" s="520"/>
      <c r="R39" s="520"/>
      <c r="S39" s="520"/>
      <c r="T39" s="533" t="str">
        <f t="shared" si="4"/>
        <v/>
      </c>
      <c r="U39" s="533" t="str">
        <f t="shared" si="5"/>
        <v/>
      </c>
      <c r="V39" s="533" t="str">
        <f t="shared" si="6"/>
        <v/>
      </c>
      <c r="W39" s="533" t="str">
        <f t="shared" si="7"/>
        <v/>
      </c>
      <c r="X39" s="533" t="str">
        <f t="shared" si="8"/>
        <v/>
      </c>
      <c r="Y39" s="513"/>
      <c r="Z39" s="513"/>
      <c r="AA39" s="513"/>
      <c r="AB39" s="514"/>
      <c r="AC39" s="513"/>
      <c r="AD39" s="513"/>
      <c r="AE39" s="513"/>
      <c r="AF39" s="513"/>
      <c r="AG39" s="514"/>
      <c r="AH39" s="514"/>
      <c r="AI39" s="513"/>
      <c r="AJ39" s="302" t="e">
        <f t="shared" si="9"/>
        <v>#DIV/0!</v>
      </c>
      <c r="AK39" s="303" t="e">
        <f>IF(AJ39&gt;KKM!$G$10,"A",IF(AJ39&gt;KKM!$H$10,"B",IF(AJ39&gt;=KKM!$I$10,"C","D")))</f>
        <v>#DIV/0!</v>
      </c>
      <c r="AL39" s="304">
        <f t="shared" si="0"/>
        <v>0</v>
      </c>
      <c r="AM39" s="309" t="str">
        <f>IF(AL39&gt;KKM!$G$10," sangat baik ",IF(AL39&gt;KKM!$H$10," baik ",IF(AL39&gt;=KKM!$I$10," cukup baik "," perlu bimbingan ")))</f>
        <v xml:space="preserve"> perlu bimbingan </v>
      </c>
      <c r="AN39" s="305">
        <f t="shared" si="1"/>
        <v>0</v>
      </c>
      <c r="AO39" s="309" t="str">
        <f>IF(AN39&gt;KKM!$G$10," sangat baik ",IF(AN39&gt;KKM!$H$10," baik ",IF(AN39&gt;=KKM!$I$10," cukup baik "," perlu bimbingan ")))</f>
        <v xml:space="preserve"> perlu bimbingan </v>
      </c>
      <c r="AP39" s="301" t="str">
        <f t="shared" si="10"/>
        <v xml:space="preserve"> </v>
      </c>
      <c r="AQ39" s="218"/>
      <c r="AR39" s="219" t="e">
        <f t="shared" si="2"/>
        <v>#N/A</v>
      </c>
      <c r="AS39" s="219" t="e">
        <f t="shared" si="3"/>
        <v>#N/A</v>
      </c>
      <c r="AT39" s="219" t="e">
        <f t="shared" si="11"/>
        <v>#N/A</v>
      </c>
      <c r="AU39" s="219" t="e">
        <f t="shared" si="12"/>
        <v>#N/A</v>
      </c>
      <c r="AV39" s="220" t="e">
        <f t="shared" si="13"/>
        <v>#N/A</v>
      </c>
      <c r="AW39" s="214" t="e">
        <f t="shared" si="14"/>
        <v>#N/A</v>
      </c>
      <c r="AX39" s="120"/>
      <c r="BG39" s="408" t="str">
        <f t="shared" si="15"/>
        <v/>
      </c>
    </row>
    <row r="40" spans="2:59" ht="66.75" customHeight="1">
      <c r="B40" s="109">
        <v>36</v>
      </c>
      <c r="C40" s="110">
        <f>SISWA!B41</f>
        <v>0</v>
      </c>
      <c r="D40" s="111" t="str">
        <f>SISWA!E41</f>
        <v>Anak 36</v>
      </c>
      <c r="E40" s="520"/>
      <c r="F40" s="520"/>
      <c r="G40" s="520"/>
      <c r="H40" s="520"/>
      <c r="I40" s="520"/>
      <c r="J40" s="520"/>
      <c r="K40" s="520"/>
      <c r="L40" s="520"/>
      <c r="M40" s="520"/>
      <c r="N40" s="520"/>
      <c r="O40" s="520"/>
      <c r="P40" s="520"/>
      <c r="Q40" s="520"/>
      <c r="R40" s="520"/>
      <c r="S40" s="520"/>
      <c r="T40" s="533" t="str">
        <f t="shared" si="4"/>
        <v/>
      </c>
      <c r="U40" s="533" t="str">
        <f t="shared" si="5"/>
        <v/>
      </c>
      <c r="V40" s="533" t="str">
        <f t="shared" si="6"/>
        <v/>
      </c>
      <c r="W40" s="533" t="str">
        <f t="shared" si="7"/>
        <v/>
      </c>
      <c r="X40" s="533" t="str">
        <f t="shared" si="8"/>
        <v/>
      </c>
      <c r="Y40" s="513"/>
      <c r="Z40" s="513"/>
      <c r="AA40" s="513"/>
      <c r="AB40" s="514"/>
      <c r="AC40" s="513"/>
      <c r="AD40" s="513"/>
      <c r="AE40" s="513"/>
      <c r="AF40" s="513"/>
      <c r="AG40" s="514"/>
      <c r="AH40" s="514"/>
      <c r="AI40" s="513"/>
      <c r="AJ40" s="302" t="e">
        <f t="shared" si="9"/>
        <v>#DIV/0!</v>
      </c>
      <c r="AK40" s="303" t="e">
        <f>IF(AJ40&gt;KKM!$G$10,"A",IF(AJ40&gt;KKM!$H$10,"B",IF(AJ40&gt;=KKM!$I$10,"C","D")))</f>
        <v>#DIV/0!</v>
      </c>
      <c r="AL40" s="304">
        <f t="shared" si="0"/>
        <v>0</v>
      </c>
      <c r="AM40" s="309" t="str">
        <f>IF(AL40&gt;KKM!$G$10," sangat baik ",IF(AL40&gt;KKM!$H$10," baik ",IF(AL40&gt;=KKM!$I$10," cukup baik "," perlu bimbingan ")))</f>
        <v xml:space="preserve"> perlu bimbingan </v>
      </c>
      <c r="AN40" s="305">
        <f t="shared" si="1"/>
        <v>0</v>
      </c>
      <c r="AO40" s="309" t="str">
        <f>IF(AN40&gt;KKM!$G$10," sangat baik ",IF(AN40&gt;KKM!$H$10," baik ",IF(AN40&gt;=KKM!$I$10," cukup baik "," perlu bimbingan ")))</f>
        <v xml:space="preserve"> perlu bimbingan </v>
      </c>
      <c r="AP40" s="301" t="str">
        <f t="shared" si="10"/>
        <v xml:space="preserve"> </v>
      </c>
      <c r="AQ40" s="218"/>
      <c r="AR40" s="219" t="e">
        <f t="shared" si="2"/>
        <v>#N/A</v>
      </c>
      <c r="AS40" s="219" t="e">
        <f t="shared" si="3"/>
        <v>#N/A</v>
      </c>
      <c r="AT40" s="219" t="e">
        <f t="shared" si="11"/>
        <v>#N/A</v>
      </c>
      <c r="AU40" s="219" t="e">
        <f t="shared" si="12"/>
        <v>#N/A</v>
      </c>
      <c r="AV40" s="220" t="e">
        <f t="shared" si="13"/>
        <v>#N/A</v>
      </c>
      <c r="AW40" s="214" t="e">
        <f t="shared" si="14"/>
        <v>#N/A</v>
      </c>
      <c r="AX40" s="120"/>
      <c r="BG40" s="408" t="str">
        <f t="shared" si="15"/>
        <v/>
      </c>
    </row>
    <row r="41" spans="2:59" ht="66.75" customHeight="1">
      <c r="B41" s="109">
        <v>37</v>
      </c>
      <c r="C41" s="110">
        <f>SISWA!B42</f>
        <v>0</v>
      </c>
      <c r="D41" s="111" t="str">
        <f>SISWA!E42</f>
        <v>Anak 37</v>
      </c>
      <c r="E41" s="520"/>
      <c r="F41" s="520"/>
      <c r="G41" s="520"/>
      <c r="H41" s="520"/>
      <c r="I41" s="520"/>
      <c r="J41" s="520"/>
      <c r="K41" s="520"/>
      <c r="L41" s="520"/>
      <c r="M41" s="520"/>
      <c r="N41" s="520"/>
      <c r="O41" s="520"/>
      <c r="P41" s="520"/>
      <c r="Q41" s="520"/>
      <c r="R41" s="520"/>
      <c r="S41" s="520"/>
      <c r="T41" s="533" t="str">
        <f t="shared" si="4"/>
        <v/>
      </c>
      <c r="U41" s="533" t="str">
        <f t="shared" si="5"/>
        <v/>
      </c>
      <c r="V41" s="533" t="str">
        <f t="shared" si="6"/>
        <v/>
      </c>
      <c r="W41" s="533" t="str">
        <f t="shared" si="7"/>
        <v/>
      </c>
      <c r="X41" s="533" t="str">
        <f t="shared" si="8"/>
        <v/>
      </c>
      <c r="Y41" s="513"/>
      <c r="Z41" s="513"/>
      <c r="AA41" s="513"/>
      <c r="AB41" s="514"/>
      <c r="AC41" s="513"/>
      <c r="AD41" s="513"/>
      <c r="AE41" s="513"/>
      <c r="AF41" s="513"/>
      <c r="AG41" s="514"/>
      <c r="AH41" s="514"/>
      <c r="AI41" s="513"/>
      <c r="AJ41" s="302" t="e">
        <f t="shared" si="9"/>
        <v>#DIV/0!</v>
      </c>
      <c r="AK41" s="303" t="e">
        <f>IF(AJ41&gt;KKM!$G$10,"A",IF(AJ41&gt;KKM!$H$10,"B",IF(AJ41&gt;=KKM!$I$10,"C","D")))</f>
        <v>#DIV/0!</v>
      </c>
      <c r="AL41" s="304">
        <f t="shared" si="0"/>
        <v>0</v>
      </c>
      <c r="AM41" s="309" t="str">
        <f>IF(AL41&gt;KKM!$G$10," sangat baik ",IF(AL41&gt;KKM!$H$10," baik ",IF(AL41&gt;=KKM!$I$10," cukup baik "," perlu bimbingan ")))</f>
        <v xml:space="preserve"> perlu bimbingan </v>
      </c>
      <c r="AN41" s="305">
        <f t="shared" si="1"/>
        <v>0</v>
      </c>
      <c r="AO41" s="309" t="str">
        <f>IF(AN41&gt;KKM!$G$10," sangat baik ",IF(AN41&gt;KKM!$H$10," baik ",IF(AN41&gt;=KKM!$I$10," cukup baik "," perlu bimbingan ")))</f>
        <v xml:space="preserve"> perlu bimbingan </v>
      </c>
      <c r="AP41" s="301" t="str">
        <f t="shared" si="10"/>
        <v xml:space="preserve"> </v>
      </c>
      <c r="AQ41" s="218"/>
      <c r="AR41" s="219" t="e">
        <f t="shared" si="2"/>
        <v>#N/A</v>
      </c>
      <c r="AS41" s="219" t="e">
        <f t="shared" si="3"/>
        <v>#N/A</v>
      </c>
      <c r="AT41" s="219" t="e">
        <f t="shared" si="11"/>
        <v>#N/A</v>
      </c>
      <c r="AU41" s="219" t="e">
        <f t="shared" si="12"/>
        <v>#N/A</v>
      </c>
      <c r="AV41" s="220" t="e">
        <f t="shared" si="13"/>
        <v>#N/A</v>
      </c>
      <c r="AW41" s="214" t="e">
        <f t="shared" si="14"/>
        <v>#N/A</v>
      </c>
      <c r="AX41" s="120"/>
      <c r="BG41" s="408" t="str">
        <f t="shared" si="15"/>
        <v/>
      </c>
    </row>
    <row r="42" spans="2:59" ht="66.75" customHeight="1">
      <c r="B42" s="109">
        <v>38</v>
      </c>
      <c r="C42" s="110">
        <f>SISWA!B43</f>
        <v>0</v>
      </c>
      <c r="D42" s="111" t="str">
        <f>SISWA!E43</f>
        <v>Anak 38</v>
      </c>
      <c r="E42" s="520"/>
      <c r="F42" s="520"/>
      <c r="G42" s="520"/>
      <c r="H42" s="520"/>
      <c r="I42" s="520"/>
      <c r="J42" s="520"/>
      <c r="K42" s="520"/>
      <c r="L42" s="520"/>
      <c r="M42" s="520"/>
      <c r="N42" s="520"/>
      <c r="O42" s="520"/>
      <c r="P42" s="520"/>
      <c r="Q42" s="520"/>
      <c r="R42" s="520"/>
      <c r="S42" s="520"/>
      <c r="T42" s="533" t="str">
        <f t="shared" si="4"/>
        <v/>
      </c>
      <c r="U42" s="533" t="str">
        <f t="shared" si="5"/>
        <v/>
      </c>
      <c r="V42" s="533" t="str">
        <f t="shared" si="6"/>
        <v/>
      </c>
      <c r="W42" s="533" t="str">
        <f t="shared" si="7"/>
        <v/>
      </c>
      <c r="X42" s="533" t="str">
        <f t="shared" si="8"/>
        <v/>
      </c>
      <c r="Y42" s="513"/>
      <c r="Z42" s="513"/>
      <c r="AA42" s="513"/>
      <c r="AB42" s="514"/>
      <c r="AC42" s="513"/>
      <c r="AD42" s="513"/>
      <c r="AE42" s="513"/>
      <c r="AF42" s="513"/>
      <c r="AG42" s="514"/>
      <c r="AH42" s="514"/>
      <c r="AI42" s="513"/>
      <c r="AJ42" s="302" t="e">
        <f t="shared" si="9"/>
        <v>#DIV/0!</v>
      </c>
      <c r="AK42" s="303" t="e">
        <f>IF(AJ42&gt;KKM!$G$10,"A",IF(AJ42&gt;KKM!$H$10,"B",IF(AJ42&gt;=KKM!$I$10,"C","D")))</f>
        <v>#DIV/0!</v>
      </c>
      <c r="AL42" s="304">
        <f t="shared" si="0"/>
        <v>0</v>
      </c>
      <c r="AM42" s="309" t="str">
        <f>IF(AL42&gt;KKM!$G$10," sangat baik ",IF(AL42&gt;KKM!$H$10," baik ",IF(AL42&gt;=KKM!$I$10," cukup baik "," perlu bimbingan ")))</f>
        <v xml:space="preserve"> perlu bimbingan </v>
      </c>
      <c r="AN42" s="305">
        <f t="shared" si="1"/>
        <v>0</v>
      </c>
      <c r="AO42" s="309" t="str">
        <f>IF(AN42&gt;KKM!$G$10," sangat baik ",IF(AN42&gt;KKM!$H$10," baik ",IF(AN42&gt;=KKM!$I$10," cukup baik "," perlu bimbingan ")))</f>
        <v xml:space="preserve"> perlu bimbingan </v>
      </c>
      <c r="AP42" s="301" t="str">
        <f t="shared" si="10"/>
        <v xml:space="preserve"> </v>
      </c>
      <c r="AQ42" s="218"/>
      <c r="AR42" s="219" t="e">
        <f t="shared" si="2"/>
        <v>#N/A</v>
      </c>
      <c r="AS42" s="219" t="e">
        <f t="shared" si="3"/>
        <v>#N/A</v>
      </c>
      <c r="AT42" s="219" t="e">
        <f t="shared" si="11"/>
        <v>#N/A</v>
      </c>
      <c r="AU42" s="219" t="e">
        <f t="shared" si="12"/>
        <v>#N/A</v>
      </c>
      <c r="AV42" s="220" t="e">
        <f t="shared" si="13"/>
        <v>#N/A</v>
      </c>
      <c r="AW42" s="214" t="e">
        <f t="shared" si="14"/>
        <v>#N/A</v>
      </c>
      <c r="AX42" s="120"/>
      <c r="BG42" s="408" t="str">
        <f t="shared" si="15"/>
        <v/>
      </c>
    </row>
    <row r="43" spans="2:59" ht="66.75" customHeight="1">
      <c r="B43" s="109">
        <v>39</v>
      </c>
      <c r="C43" s="110">
        <f>SISWA!B44</f>
        <v>0</v>
      </c>
      <c r="D43" s="111" t="str">
        <f>SISWA!E44</f>
        <v>Anak 39</v>
      </c>
      <c r="E43" s="520"/>
      <c r="F43" s="520"/>
      <c r="G43" s="520"/>
      <c r="H43" s="520"/>
      <c r="I43" s="520"/>
      <c r="J43" s="520"/>
      <c r="K43" s="520"/>
      <c r="L43" s="520"/>
      <c r="M43" s="520"/>
      <c r="N43" s="520"/>
      <c r="O43" s="520"/>
      <c r="P43" s="520"/>
      <c r="Q43" s="520"/>
      <c r="R43" s="520"/>
      <c r="S43" s="520"/>
      <c r="T43" s="533" t="str">
        <f t="shared" si="4"/>
        <v/>
      </c>
      <c r="U43" s="533" t="str">
        <f t="shared" si="5"/>
        <v/>
      </c>
      <c r="V43" s="533" t="str">
        <f t="shared" si="6"/>
        <v/>
      </c>
      <c r="W43" s="533" t="str">
        <f t="shared" si="7"/>
        <v/>
      </c>
      <c r="X43" s="533" t="str">
        <f t="shared" si="8"/>
        <v/>
      </c>
      <c r="Y43" s="513"/>
      <c r="Z43" s="513"/>
      <c r="AA43" s="513"/>
      <c r="AB43" s="514"/>
      <c r="AC43" s="513"/>
      <c r="AD43" s="513"/>
      <c r="AE43" s="513"/>
      <c r="AF43" s="513"/>
      <c r="AG43" s="514"/>
      <c r="AH43" s="514"/>
      <c r="AI43" s="513"/>
      <c r="AJ43" s="302" t="e">
        <f t="shared" si="9"/>
        <v>#DIV/0!</v>
      </c>
      <c r="AK43" s="303" t="e">
        <f>IF(AJ43&gt;KKM!$G$10,"A",IF(AJ43&gt;KKM!$H$10,"B",IF(AJ43&gt;=KKM!$I$10,"C","D")))</f>
        <v>#DIV/0!</v>
      </c>
      <c r="AL43" s="304">
        <f t="shared" si="0"/>
        <v>0</v>
      </c>
      <c r="AM43" s="309" t="str">
        <f>IF(AL43&gt;KKM!$G$10," sangat baik ",IF(AL43&gt;KKM!$H$10," baik ",IF(AL43&gt;=KKM!$I$10," cukup baik "," perlu bimbingan ")))</f>
        <v xml:space="preserve"> perlu bimbingan </v>
      </c>
      <c r="AN43" s="305">
        <f t="shared" si="1"/>
        <v>0</v>
      </c>
      <c r="AO43" s="309" t="str">
        <f>IF(AN43&gt;KKM!$G$10," sangat baik ",IF(AN43&gt;KKM!$H$10," baik ",IF(AN43&gt;=KKM!$I$10," cukup baik "," perlu bimbingan ")))</f>
        <v xml:space="preserve"> perlu bimbingan </v>
      </c>
      <c r="AP43" s="301" t="str">
        <f t="shared" si="10"/>
        <v xml:space="preserve"> </v>
      </c>
      <c r="AQ43" s="218"/>
      <c r="AR43" s="219" t="e">
        <f t="shared" si="2"/>
        <v>#N/A</v>
      </c>
      <c r="AS43" s="219" t="e">
        <f t="shared" si="3"/>
        <v>#N/A</v>
      </c>
      <c r="AT43" s="219" t="e">
        <f t="shared" si="11"/>
        <v>#N/A</v>
      </c>
      <c r="AU43" s="219" t="e">
        <f t="shared" si="12"/>
        <v>#N/A</v>
      </c>
      <c r="AV43" s="220" t="e">
        <f t="shared" si="13"/>
        <v>#N/A</v>
      </c>
      <c r="AW43" s="214" t="e">
        <f t="shared" si="14"/>
        <v>#N/A</v>
      </c>
      <c r="AX43" s="120"/>
      <c r="BG43" s="408" t="str">
        <f t="shared" si="15"/>
        <v/>
      </c>
    </row>
    <row r="44" spans="2:59" ht="66.75" customHeight="1">
      <c r="B44" s="109">
        <v>40</v>
      </c>
      <c r="C44" s="110">
        <f>SISWA!B45</f>
        <v>0</v>
      </c>
      <c r="D44" s="111" t="str">
        <f>SISWA!E45</f>
        <v>Anak 40</v>
      </c>
      <c r="E44" s="520"/>
      <c r="F44" s="520"/>
      <c r="G44" s="520"/>
      <c r="H44" s="520"/>
      <c r="I44" s="520"/>
      <c r="J44" s="520"/>
      <c r="K44" s="520"/>
      <c r="L44" s="520"/>
      <c r="M44" s="520"/>
      <c r="N44" s="520"/>
      <c r="O44" s="520"/>
      <c r="P44" s="520"/>
      <c r="Q44" s="520"/>
      <c r="R44" s="520"/>
      <c r="S44" s="520"/>
      <c r="T44" s="533" t="str">
        <f t="shared" si="4"/>
        <v/>
      </c>
      <c r="U44" s="533" t="str">
        <f t="shared" si="5"/>
        <v/>
      </c>
      <c r="V44" s="533" t="str">
        <f t="shared" si="6"/>
        <v/>
      </c>
      <c r="W44" s="533" t="str">
        <f t="shared" si="7"/>
        <v/>
      </c>
      <c r="X44" s="533" t="str">
        <f t="shared" si="8"/>
        <v/>
      </c>
      <c r="Y44" s="513"/>
      <c r="Z44" s="513"/>
      <c r="AA44" s="513"/>
      <c r="AB44" s="514"/>
      <c r="AC44" s="513"/>
      <c r="AD44" s="513"/>
      <c r="AE44" s="513"/>
      <c r="AF44" s="513"/>
      <c r="AG44" s="514"/>
      <c r="AH44" s="514"/>
      <c r="AI44" s="513"/>
      <c r="AJ44" s="302" t="e">
        <f t="shared" si="9"/>
        <v>#DIV/0!</v>
      </c>
      <c r="AK44" s="303" t="e">
        <f>IF(AJ44&gt;KKM!$G$10,"A",IF(AJ44&gt;KKM!$H$10,"B",IF(AJ44&gt;=KKM!$I$10,"C","D")))</f>
        <v>#DIV/0!</v>
      </c>
      <c r="AL44" s="304">
        <f t="shared" si="0"/>
        <v>0</v>
      </c>
      <c r="AM44" s="309" t="str">
        <f>IF(AL44&gt;KKM!$G$10," sangat baik ",IF(AL44&gt;KKM!$H$10," baik ",IF(AL44&gt;=KKM!$I$10," cukup baik "," perlu bimbingan ")))</f>
        <v xml:space="preserve"> perlu bimbingan </v>
      </c>
      <c r="AN44" s="305">
        <f t="shared" si="1"/>
        <v>0</v>
      </c>
      <c r="AO44" s="309" t="str">
        <f>IF(AN44&gt;KKM!$G$10," sangat baik ",IF(AN44&gt;KKM!$H$10," baik ",IF(AN44&gt;=KKM!$I$10," cukup baik "," perlu bimbingan ")))</f>
        <v xml:space="preserve"> perlu bimbingan </v>
      </c>
      <c r="AP44" s="301" t="str">
        <f t="shared" si="10"/>
        <v xml:space="preserve"> </v>
      </c>
      <c r="AQ44" s="218"/>
      <c r="AR44" s="219" t="e">
        <f t="shared" si="2"/>
        <v>#N/A</v>
      </c>
      <c r="AS44" s="219" t="e">
        <f t="shared" si="3"/>
        <v>#N/A</v>
      </c>
      <c r="AT44" s="219" t="e">
        <f t="shared" si="11"/>
        <v>#N/A</v>
      </c>
      <c r="AU44" s="219" t="e">
        <f t="shared" si="12"/>
        <v>#N/A</v>
      </c>
      <c r="AV44" s="220" t="e">
        <f t="shared" si="13"/>
        <v>#N/A</v>
      </c>
      <c r="AW44" s="214" t="e">
        <f t="shared" si="14"/>
        <v>#N/A</v>
      </c>
      <c r="AX44" s="120"/>
      <c r="BG44" s="408" t="str">
        <f t="shared" si="15"/>
        <v/>
      </c>
    </row>
    <row r="45" spans="2:59" ht="66.75" customHeight="1">
      <c r="B45" s="109">
        <v>41</v>
      </c>
      <c r="C45" s="110">
        <f>SISWA!B46</f>
        <v>0</v>
      </c>
      <c r="D45" s="111" t="str">
        <f>SISWA!E46</f>
        <v>Anak 41</v>
      </c>
      <c r="E45" s="520"/>
      <c r="F45" s="520"/>
      <c r="G45" s="520"/>
      <c r="H45" s="520"/>
      <c r="I45" s="520"/>
      <c r="J45" s="520"/>
      <c r="K45" s="520"/>
      <c r="L45" s="520"/>
      <c r="M45" s="520"/>
      <c r="N45" s="520"/>
      <c r="O45" s="520"/>
      <c r="P45" s="520"/>
      <c r="Q45" s="520"/>
      <c r="R45" s="520"/>
      <c r="S45" s="520"/>
      <c r="T45" s="533" t="str">
        <f t="shared" si="4"/>
        <v/>
      </c>
      <c r="U45" s="533" t="str">
        <f t="shared" si="5"/>
        <v/>
      </c>
      <c r="V45" s="533" t="str">
        <f t="shared" si="6"/>
        <v/>
      </c>
      <c r="W45" s="533" t="str">
        <f t="shared" si="7"/>
        <v/>
      </c>
      <c r="X45" s="533" t="str">
        <f t="shared" si="8"/>
        <v/>
      </c>
      <c r="Y45" s="513"/>
      <c r="Z45" s="513"/>
      <c r="AA45" s="513"/>
      <c r="AB45" s="514"/>
      <c r="AC45" s="513"/>
      <c r="AD45" s="513"/>
      <c r="AE45" s="513"/>
      <c r="AF45" s="513"/>
      <c r="AG45" s="514"/>
      <c r="AH45" s="514"/>
      <c r="AI45" s="513"/>
      <c r="AJ45" s="302" t="e">
        <f t="shared" si="9"/>
        <v>#DIV/0!</v>
      </c>
      <c r="AK45" s="303" t="e">
        <f>IF(AJ45&gt;KKM!$G$10,"A",IF(AJ45&gt;KKM!$H$10,"B",IF(AJ45&gt;=KKM!$I$10,"C","D")))</f>
        <v>#DIV/0!</v>
      </c>
      <c r="AL45" s="304">
        <f t="shared" si="0"/>
        <v>0</v>
      </c>
      <c r="AM45" s="309" t="str">
        <f>IF(AL45&gt;KKM!$G$10," sangat baik ",IF(AL45&gt;KKM!$H$10," baik ",IF(AL45&gt;=KKM!$I$10," cukup baik "," perlu bimbingan ")))</f>
        <v xml:space="preserve"> perlu bimbingan </v>
      </c>
      <c r="AN45" s="305">
        <f t="shared" si="1"/>
        <v>0</v>
      </c>
      <c r="AO45" s="309" t="str">
        <f>IF(AN45&gt;KKM!$G$10," sangat baik ",IF(AN45&gt;KKM!$H$10," baik ",IF(AN45&gt;=KKM!$I$10," cukup baik "," perlu bimbingan ")))</f>
        <v xml:space="preserve"> perlu bimbingan </v>
      </c>
      <c r="AP45" s="301" t="str">
        <f t="shared" si="10"/>
        <v xml:space="preserve"> </v>
      </c>
      <c r="AQ45" s="218"/>
      <c r="AR45" s="219" t="e">
        <f t="shared" si="2"/>
        <v>#N/A</v>
      </c>
      <c r="AS45" s="219" t="e">
        <f t="shared" si="3"/>
        <v>#N/A</v>
      </c>
      <c r="AT45" s="219" t="e">
        <f t="shared" si="11"/>
        <v>#N/A</v>
      </c>
      <c r="AU45" s="219" t="e">
        <f t="shared" si="12"/>
        <v>#N/A</v>
      </c>
      <c r="AV45" s="220" t="e">
        <f t="shared" si="13"/>
        <v>#N/A</v>
      </c>
      <c r="AW45" s="214" t="e">
        <f t="shared" si="14"/>
        <v>#N/A</v>
      </c>
      <c r="AX45" s="120"/>
      <c r="BG45" s="408" t="str">
        <f t="shared" si="15"/>
        <v/>
      </c>
    </row>
    <row r="46" spans="2:59" ht="66.75" customHeight="1">
      <c r="B46" s="109">
        <v>42</v>
      </c>
      <c r="C46" s="110">
        <f>SISWA!B47</f>
        <v>0</v>
      </c>
      <c r="D46" s="111" t="str">
        <f>SISWA!E47</f>
        <v>Anak 42</v>
      </c>
      <c r="E46" s="520"/>
      <c r="F46" s="520"/>
      <c r="G46" s="520"/>
      <c r="H46" s="520"/>
      <c r="I46" s="520"/>
      <c r="J46" s="520"/>
      <c r="K46" s="520"/>
      <c r="L46" s="520"/>
      <c r="M46" s="520"/>
      <c r="N46" s="520"/>
      <c r="O46" s="520"/>
      <c r="P46" s="520"/>
      <c r="Q46" s="520"/>
      <c r="R46" s="520"/>
      <c r="S46" s="520"/>
      <c r="T46" s="533" t="str">
        <f t="shared" si="4"/>
        <v/>
      </c>
      <c r="U46" s="533" t="str">
        <f t="shared" si="5"/>
        <v/>
      </c>
      <c r="V46" s="533" t="str">
        <f t="shared" si="6"/>
        <v/>
      </c>
      <c r="W46" s="533" t="str">
        <f t="shared" si="7"/>
        <v/>
      </c>
      <c r="X46" s="533" t="str">
        <f t="shared" si="8"/>
        <v/>
      </c>
      <c r="Y46" s="513"/>
      <c r="Z46" s="513"/>
      <c r="AA46" s="513"/>
      <c r="AB46" s="514"/>
      <c r="AC46" s="513"/>
      <c r="AD46" s="513"/>
      <c r="AE46" s="513"/>
      <c r="AF46" s="513"/>
      <c r="AG46" s="514"/>
      <c r="AH46" s="514"/>
      <c r="AI46" s="513"/>
      <c r="AJ46" s="302" t="e">
        <f t="shared" si="9"/>
        <v>#DIV/0!</v>
      </c>
      <c r="AK46" s="303" t="e">
        <f>IF(AJ46&gt;KKM!$G$10,"A",IF(AJ46&gt;KKM!$H$10,"B",IF(AJ46&gt;=KKM!$I$10,"C","D")))</f>
        <v>#DIV/0!</v>
      </c>
      <c r="AL46" s="304">
        <f t="shared" si="0"/>
        <v>0</v>
      </c>
      <c r="AM46" s="309" t="str">
        <f>IF(AL46&gt;KKM!$G$10," sangat baik ",IF(AL46&gt;KKM!$H$10," baik ",IF(AL46&gt;=KKM!$I$10," cukup baik "," perlu bimbingan ")))</f>
        <v xml:space="preserve"> perlu bimbingan </v>
      </c>
      <c r="AN46" s="305">
        <f t="shared" si="1"/>
        <v>0</v>
      </c>
      <c r="AO46" s="309" t="str">
        <f>IF(AN46&gt;KKM!$G$10," sangat baik ",IF(AN46&gt;KKM!$H$10," baik ",IF(AN46&gt;=KKM!$I$10," cukup baik "," perlu bimbingan ")))</f>
        <v xml:space="preserve"> perlu bimbingan </v>
      </c>
      <c r="AP46" s="301" t="str">
        <f t="shared" si="10"/>
        <v xml:space="preserve"> </v>
      </c>
      <c r="AQ46" s="218"/>
      <c r="AR46" s="219" t="e">
        <f t="shared" si="2"/>
        <v>#N/A</v>
      </c>
      <c r="AS46" s="219" t="e">
        <f t="shared" si="3"/>
        <v>#N/A</v>
      </c>
      <c r="AT46" s="219" t="e">
        <f t="shared" si="11"/>
        <v>#N/A</v>
      </c>
      <c r="AU46" s="219" t="e">
        <f t="shared" si="12"/>
        <v>#N/A</v>
      </c>
      <c r="AV46" s="220" t="e">
        <f t="shared" si="13"/>
        <v>#N/A</v>
      </c>
      <c r="AW46" s="214" t="e">
        <f t="shared" si="14"/>
        <v>#N/A</v>
      </c>
      <c r="AX46" s="120"/>
      <c r="BG46" s="408" t="str">
        <f t="shared" si="15"/>
        <v/>
      </c>
    </row>
    <row r="47" spans="2:59" ht="66.75" customHeight="1">
      <c r="B47" s="109">
        <v>43</v>
      </c>
      <c r="C47" s="110">
        <f>SISWA!B48</f>
        <v>0</v>
      </c>
      <c r="D47" s="111" t="str">
        <f>SISWA!E48</f>
        <v>Anak 43</v>
      </c>
      <c r="E47" s="520"/>
      <c r="F47" s="520"/>
      <c r="G47" s="520"/>
      <c r="H47" s="520"/>
      <c r="I47" s="520"/>
      <c r="J47" s="520"/>
      <c r="K47" s="520"/>
      <c r="L47" s="520"/>
      <c r="M47" s="520"/>
      <c r="N47" s="520"/>
      <c r="O47" s="520"/>
      <c r="P47" s="520"/>
      <c r="Q47" s="520"/>
      <c r="R47" s="520"/>
      <c r="S47" s="520"/>
      <c r="T47" s="533" t="str">
        <f t="shared" si="4"/>
        <v/>
      </c>
      <c r="U47" s="533" t="str">
        <f t="shared" si="5"/>
        <v/>
      </c>
      <c r="V47" s="533" t="str">
        <f t="shared" si="6"/>
        <v/>
      </c>
      <c r="W47" s="533" t="str">
        <f t="shared" si="7"/>
        <v/>
      </c>
      <c r="X47" s="533" t="str">
        <f t="shared" si="8"/>
        <v/>
      </c>
      <c r="Y47" s="513"/>
      <c r="Z47" s="513"/>
      <c r="AA47" s="513"/>
      <c r="AB47" s="514"/>
      <c r="AC47" s="513"/>
      <c r="AD47" s="513"/>
      <c r="AE47" s="513"/>
      <c r="AF47" s="513"/>
      <c r="AG47" s="514"/>
      <c r="AH47" s="514"/>
      <c r="AI47" s="513"/>
      <c r="AJ47" s="302" t="e">
        <f t="shared" si="9"/>
        <v>#DIV/0!</v>
      </c>
      <c r="AK47" s="303" t="e">
        <f>IF(AJ47&gt;KKM!$G$10,"A",IF(AJ47&gt;KKM!$H$10,"B",IF(AJ47&gt;=KKM!$I$10,"C","D")))</f>
        <v>#DIV/0!</v>
      </c>
      <c r="AL47" s="304">
        <f t="shared" si="0"/>
        <v>0</v>
      </c>
      <c r="AM47" s="309" t="str">
        <f>IF(AL47&gt;KKM!$G$10," sangat baik ",IF(AL47&gt;KKM!$H$10," baik ",IF(AL47&gt;=KKM!$I$10," cukup baik "," perlu bimbingan ")))</f>
        <v xml:space="preserve"> perlu bimbingan </v>
      </c>
      <c r="AN47" s="305">
        <f t="shared" si="1"/>
        <v>0</v>
      </c>
      <c r="AO47" s="309" t="str">
        <f>IF(AN47&gt;KKM!$G$10," sangat baik ",IF(AN47&gt;KKM!$H$10," baik ",IF(AN47&gt;=KKM!$I$10," cukup baik "," perlu bimbingan ")))</f>
        <v xml:space="preserve"> perlu bimbingan </v>
      </c>
      <c r="AP47" s="301" t="str">
        <f t="shared" si="10"/>
        <v xml:space="preserve"> </v>
      </c>
      <c r="AQ47" s="218"/>
      <c r="AR47" s="219" t="e">
        <f t="shared" si="2"/>
        <v>#N/A</v>
      </c>
      <c r="AS47" s="219" t="e">
        <f t="shared" si="3"/>
        <v>#N/A</v>
      </c>
      <c r="AT47" s="219" t="e">
        <f t="shared" si="11"/>
        <v>#N/A</v>
      </c>
      <c r="AU47" s="219" t="e">
        <f t="shared" si="12"/>
        <v>#N/A</v>
      </c>
      <c r="AV47" s="220" t="e">
        <f t="shared" si="13"/>
        <v>#N/A</v>
      </c>
      <c r="AW47" s="214" t="e">
        <f t="shared" si="14"/>
        <v>#N/A</v>
      </c>
      <c r="AX47" s="120"/>
      <c r="BG47" s="408" t="str">
        <f t="shared" si="15"/>
        <v/>
      </c>
    </row>
    <row r="48" spans="2:59" ht="66.75" customHeight="1">
      <c r="B48" s="109">
        <v>44</v>
      </c>
      <c r="C48" s="110">
        <f>SISWA!B49</f>
        <v>0</v>
      </c>
      <c r="D48" s="111" t="str">
        <f>SISWA!E49</f>
        <v>Anak 44</v>
      </c>
      <c r="E48" s="520"/>
      <c r="F48" s="520"/>
      <c r="G48" s="520"/>
      <c r="H48" s="520"/>
      <c r="I48" s="520"/>
      <c r="J48" s="520"/>
      <c r="K48" s="520"/>
      <c r="L48" s="520"/>
      <c r="M48" s="520"/>
      <c r="N48" s="520"/>
      <c r="O48" s="520"/>
      <c r="P48" s="520"/>
      <c r="Q48" s="520"/>
      <c r="R48" s="520"/>
      <c r="S48" s="520"/>
      <c r="T48" s="533" t="str">
        <f t="shared" si="4"/>
        <v/>
      </c>
      <c r="U48" s="533" t="str">
        <f t="shared" si="5"/>
        <v/>
      </c>
      <c r="V48" s="533" t="str">
        <f t="shared" si="6"/>
        <v/>
      </c>
      <c r="W48" s="533" t="str">
        <f t="shared" si="7"/>
        <v/>
      </c>
      <c r="X48" s="533" t="str">
        <f t="shared" si="8"/>
        <v/>
      </c>
      <c r="Y48" s="513"/>
      <c r="Z48" s="513"/>
      <c r="AA48" s="513"/>
      <c r="AB48" s="514"/>
      <c r="AC48" s="513"/>
      <c r="AD48" s="513"/>
      <c r="AE48" s="513"/>
      <c r="AF48" s="513"/>
      <c r="AG48" s="514"/>
      <c r="AH48" s="514"/>
      <c r="AI48" s="513"/>
      <c r="AJ48" s="302" t="e">
        <f t="shared" si="9"/>
        <v>#DIV/0!</v>
      </c>
      <c r="AK48" s="303" t="e">
        <f>IF(AJ48&gt;KKM!$G$10,"A",IF(AJ48&gt;KKM!$H$10,"B",IF(AJ48&gt;=KKM!$I$10,"C","D")))</f>
        <v>#DIV/0!</v>
      </c>
      <c r="AL48" s="304">
        <f t="shared" si="0"/>
        <v>0</v>
      </c>
      <c r="AM48" s="309" t="str">
        <f>IF(AL48&gt;KKM!$G$10," sangat baik ",IF(AL48&gt;KKM!$H$10," baik ",IF(AL48&gt;=KKM!$I$10," cukup baik "," perlu bimbingan ")))</f>
        <v xml:space="preserve"> perlu bimbingan </v>
      </c>
      <c r="AN48" s="305">
        <f t="shared" si="1"/>
        <v>0</v>
      </c>
      <c r="AO48" s="309" t="str">
        <f>IF(AN48&gt;KKM!$G$10," sangat baik ",IF(AN48&gt;KKM!$H$10," baik ",IF(AN48&gt;=KKM!$I$10," cukup baik "," perlu bimbingan ")))</f>
        <v xml:space="preserve"> perlu bimbingan </v>
      </c>
      <c r="AP48" s="301" t="str">
        <f t="shared" si="10"/>
        <v xml:space="preserve"> </v>
      </c>
      <c r="AQ48" s="218"/>
      <c r="AR48" s="219" t="e">
        <f t="shared" si="2"/>
        <v>#N/A</v>
      </c>
      <c r="AS48" s="219" t="e">
        <f t="shared" si="3"/>
        <v>#N/A</v>
      </c>
      <c r="AT48" s="219" t="e">
        <f t="shared" si="11"/>
        <v>#N/A</v>
      </c>
      <c r="AU48" s="219" t="e">
        <f t="shared" si="12"/>
        <v>#N/A</v>
      </c>
      <c r="AV48" s="220" t="e">
        <f t="shared" si="13"/>
        <v>#N/A</v>
      </c>
      <c r="AW48" s="214" t="e">
        <f t="shared" si="14"/>
        <v>#N/A</v>
      </c>
      <c r="AX48" s="120"/>
      <c r="BG48" s="408" t="str">
        <f t="shared" si="15"/>
        <v/>
      </c>
    </row>
    <row r="49" spans="2:59" ht="66.75" customHeight="1">
      <c r="B49" s="109">
        <v>45</v>
      </c>
      <c r="C49" s="110">
        <f>SISWA!B50</f>
        <v>0</v>
      </c>
      <c r="D49" s="111" t="str">
        <f>SISWA!E50</f>
        <v>Anak 45</v>
      </c>
      <c r="E49" s="520"/>
      <c r="F49" s="520"/>
      <c r="G49" s="520"/>
      <c r="H49" s="520"/>
      <c r="I49" s="520"/>
      <c r="J49" s="520"/>
      <c r="K49" s="520"/>
      <c r="L49" s="520"/>
      <c r="M49" s="520"/>
      <c r="N49" s="520"/>
      <c r="O49" s="520"/>
      <c r="P49" s="520"/>
      <c r="Q49" s="520"/>
      <c r="R49" s="520"/>
      <c r="S49" s="520"/>
      <c r="T49" s="533" t="str">
        <f t="shared" si="4"/>
        <v/>
      </c>
      <c r="U49" s="533" t="str">
        <f t="shared" si="5"/>
        <v/>
      </c>
      <c r="V49" s="533" t="str">
        <f t="shared" si="6"/>
        <v/>
      </c>
      <c r="W49" s="533" t="str">
        <f t="shared" si="7"/>
        <v/>
      </c>
      <c r="X49" s="533" t="str">
        <f t="shared" si="8"/>
        <v/>
      </c>
      <c r="Y49" s="513"/>
      <c r="Z49" s="513"/>
      <c r="AA49" s="513"/>
      <c r="AB49" s="514"/>
      <c r="AC49" s="513"/>
      <c r="AD49" s="513"/>
      <c r="AE49" s="513"/>
      <c r="AF49" s="513"/>
      <c r="AG49" s="514"/>
      <c r="AH49" s="514"/>
      <c r="AI49" s="513"/>
      <c r="AJ49" s="302" t="e">
        <f t="shared" si="9"/>
        <v>#DIV/0!</v>
      </c>
      <c r="AK49" s="303" t="e">
        <f>IF(AJ49&gt;KKM!$G$10,"A",IF(AJ49&gt;KKM!$H$10,"B",IF(AJ49&gt;=KKM!$I$10,"C","D")))</f>
        <v>#DIV/0!</v>
      </c>
      <c r="AL49" s="304">
        <f t="shared" si="0"/>
        <v>0</v>
      </c>
      <c r="AM49" s="309" t="str">
        <f>IF(AL49&gt;KKM!$G$10," sangat baik ",IF(AL49&gt;KKM!$H$10," baik ",IF(AL49&gt;=KKM!$I$10," cukup baik "," perlu bimbingan ")))</f>
        <v xml:space="preserve"> perlu bimbingan </v>
      </c>
      <c r="AN49" s="305">
        <f t="shared" si="1"/>
        <v>0</v>
      </c>
      <c r="AO49" s="309" t="str">
        <f>IF(AN49&gt;KKM!$G$10," sangat baik ",IF(AN49&gt;KKM!$H$10," baik ",IF(AN49&gt;=KKM!$I$10," cukup baik "," perlu bimbingan ")))</f>
        <v xml:space="preserve"> perlu bimbingan </v>
      </c>
      <c r="AP49" s="301" t="str">
        <f t="shared" si="10"/>
        <v xml:space="preserve"> </v>
      </c>
      <c r="AQ49" s="218"/>
      <c r="AR49" s="219" t="e">
        <f t="shared" si="2"/>
        <v>#N/A</v>
      </c>
      <c r="AS49" s="219" t="e">
        <f t="shared" si="3"/>
        <v>#N/A</v>
      </c>
      <c r="AT49" s="219" t="e">
        <f t="shared" si="11"/>
        <v>#N/A</v>
      </c>
      <c r="AU49" s="219" t="e">
        <f t="shared" si="12"/>
        <v>#N/A</v>
      </c>
      <c r="AV49" s="220" t="e">
        <f t="shared" si="13"/>
        <v>#N/A</v>
      </c>
      <c r="AW49" s="214" t="e">
        <f t="shared" si="14"/>
        <v>#N/A</v>
      </c>
      <c r="AX49" s="120"/>
      <c r="BG49" s="408" t="str">
        <f t="shared" si="15"/>
        <v/>
      </c>
    </row>
    <row r="50" spans="2:59" ht="66.75" customHeight="1">
      <c r="B50" s="109">
        <v>46</v>
      </c>
      <c r="C50" s="110">
        <f>SISWA!B51</f>
        <v>0</v>
      </c>
      <c r="D50" s="111" t="str">
        <f>SISWA!E51</f>
        <v>Anak 46</v>
      </c>
      <c r="E50" s="520"/>
      <c r="F50" s="520"/>
      <c r="G50" s="520"/>
      <c r="H50" s="520"/>
      <c r="I50" s="520"/>
      <c r="J50" s="520"/>
      <c r="K50" s="520"/>
      <c r="L50" s="520"/>
      <c r="M50" s="520"/>
      <c r="N50" s="520"/>
      <c r="O50" s="520"/>
      <c r="P50" s="520"/>
      <c r="Q50" s="520"/>
      <c r="R50" s="520"/>
      <c r="S50" s="520"/>
      <c r="T50" s="533" t="str">
        <f t="shared" si="4"/>
        <v/>
      </c>
      <c r="U50" s="533" t="str">
        <f t="shared" si="5"/>
        <v/>
      </c>
      <c r="V50" s="533" t="str">
        <f t="shared" si="6"/>
        <v/>
      </c>
      <c r="W50" s="533" t="str">
        <f t="shared" si="7"/>
        <v/>
      </c>
      <c r="X50" s="533" t="str">
        <f t="shared" si="8"/>
        <v/>
      </c>
      <c r="Y50" s="513"/>
      <c r="Z50" s="513"/>
      <c r="AA50" s="513"/>
      <c r="AB50" s="514"/>
      <c r="AC50" s="513"/>
      <c r="AD50" s="513"/>
      <c r="AE50" s="513"/>
      <c r="AF50" s="513"/>
      <c r="AG50" s="514"/>
      <c r="AH50" s="514"/>
      <c r="AI50" s="513"/>
      <c r="AJ50" s="302" t="e">
        <f t="shared" si="9"/>
        <v>#DIV/0!</v>
      </c>
      <c r="AK50" s="303" t="e">
        <f>IF(AJ50&gt;KKM!$G$10,"A",IF(AJ50&gt;KKM!$H$10,"B",IF(AJ50&gt;=KKM!$I$10,"C","D")))</f>
        <v>#DIV/0!</v>
      </c>
      <c r="AL50" s="304">
        <f t="shared" si="0"/>
        <v>0</v>
      </c>
      <c r="AM50" s="309" t="str">
        <f>IF(AL50&gt;KKM!$G$10," sangat baik ",IF(AL50&gt;KKM!$H$10," baik ",IF(AL50&gt;=KKM!$I$10," cukup baik "," perlu bimbingan ")))</f>
        <v xml:space="preserve"> perlu bimbingan </v>
      </c>
      <c r="AN50" s="305">
        <f t="shared" si="1"/>
        <v>0</v>
      </c>
      <c r="AO50" s="309" t="str">
        <f>IF(AN50&gt;KKM!$G$10," sangat baik ",IF(AN50&gt;KKM!$H$10," baik ",IF(AN50&gt;=KKM!$I$10," cukup baik "," perlu bimbingan ")))</f>
        <v xml:space="preserve"> perlu bimbingan </v>
      </c>
      <c r="AP50" s="301" t="str">
        <f t="shared" si="10"/>
        <v xml:space="preserve"> </v>
      </c>
      <c r="AQ50" s="218"/>
      <c r="AR50" s="219" t="e">
        <f t="shared" si="2"/>
        <v>#N/A</v>
      </c>
      <c r="AS50" s="219" t="e">
        <f t="shared" si="3"/>
        <v>#N/A</v>
      </c>
      <c r="AT50" s="219" t="e">
        <f t="shared" si="11"/>
        <v>#N/A</v>
      </c>
      <c r="AU50" s="219" t="e">
        <f t="shared" si="12"/>
        <v>#N/A</v>
      </c>
      <c r="AV50" s="220" t="e">
        <f t="shared" si="13"/>
        <v>#N/A</v>
      </c>
      <c r="AW50" s="214" t="e">
        <f t="shared" si="14"/>
        <v>#N/A</v>
      </c>
      <c r="AX50" s="120"/>
      <c r="BG50" s="408" t="str">
        <f t="shared" si="15"/>
        <v/>
      </c>
    </row>
    <row r="51" spans="2:59" ht="66.75" customHeight="1">
      <c r="B51" s="109">
        <v>47</v>
      </c>
      <c r="C51" s="110">
        <f>SISWA!B52</f>
        <v>0</v>
      </c>
      <c r="D51" s="111" t="str">
        <f>SISWA!E52</f>
        <v>Anak 47</v>
      </c>
      <c r="E51" s="520"/>
      <c r="F51" s="520"/>
      <c r="G51" s="520"/>
      <c r="H51" s="520"/>
      <c r="I51" s="520"/>
      <c r="J51" s="520"/>
      <c r="K51" s="520"/>
      <c r="L51" s="520"/>
      <c r="M51" s="520"/>
      <c r="N51" s="520"/>
      <c r="O51" s="520"/>
      <c r="P51" s="520"/>
      <c r="Q51" s="520"/>
      <c r="R51" s="520"/>
      <c r="S51" s="520"/>
      <c r="T51" s="533" t="str">
        <f t="shared" si="4"/>
        <v/>
      </c>
      <c r="U51" s="533" t="str">
        <f t="shared" si="5"/>
        <v/>
      </c>
      <c r="V51" s="533" t="str">
        <f t="shared" si="6"/>
        <v/>
      </c>
      <c r="W51" s="533" t="str">
        <f t="shared" si="7"/>
        <v/>
      </c>
      <c r="X51" s="533" t="str">
        <f t="shared" si="8"/>
        <v/>
      </c>
      <c r="Y51" s="513"/>
      <c r="Z51" s="513"/>
      <c r="AA51" s="513"/>
      <c r="AB51" s="514"/>
      <c r="AC51" s="513"/>
      <c r="AD51" s="513"/>
      <c r="AE51" s="513"/>
      <c r="AF51" s="513"/>
      <c r="AG51" s="514"/>
      <c r="AH51" s="514"/>
      <c r="AI51" s="513"/>
      <c r="AJ51" s="302" t="e">
        <f t="shared" si="9"/>
        <v>#DIV/0!</v>
      </c>
      <c r="AK51" s="303" t="e">
        <f>IF(AJ51&gt;KKM!$G$10,"A",IF(AJ51&gt;KKM!$H$10,"B",IF(AJ51&gt;=KKM!$I$10,"C","D")))</f>
        <v>#DIV/0!</v>
      </c>
      <c r="AL51" s="304">
        <f t="shared" si="0"/>
        <v>0</v>
      </c>
      <c r="AM51" s="309" t="str">
        <f>IF(AL51&gt;KKM!$G$10," sangat baik ",IF(AL51&gt;KKM!$H$10," baik ",IF(AL51&gt;=KKM!$I$10," cukup baik "," perlu bimbingan ")))</f>
        <v xml:space="preserve"> perlu bimbingan </v>
      </c>
      <c r="AN51" s="305">
        <f t="shared" si="1"/>
        <v>0</v>
      </c>
      <c r="AO51" s="309" t="str">
        <f>IF(AN51&gt;KKM!$G$10," sangat baik ",IF(AN51&gt;KKM!$H$10," baik ",IF(AN51&gt;=KKM!$I$10," cukup baik "," perlu bimbingan ")))</f>
        <v xml:space="preserve"> perlu bimbingan </v>
      </c>
      <c r="AP51" s="301" t="str">
        <f t="shared" si="10"/>
        <v xml:space="preserve"> </v>
      </c>
      <c r="AQ51" s="218"/>
      <c r="AR51" s="219" t="e">
        <f t="shared" si="2"/>
        <v>#N/A</v>
      </c>
      <c r="AS51" s="219" t="e">
        <f t="shared" si="3"/>
        <v>#N/A</v>
      </c>
      <c r="AT51" s="219" t="e">
        <f t="shared" si="11"/>
        <v>#N/A</v>
      </c>
      <c r="AU51" s="219" t="e">
        <f t="shared" si="12"/>
        <v>#N/A</v>
      </c>
      <c r="AV51" s="220" t="e">
        <f t="shared" si="13"/>
        <v>#N/A</v>
      </c>
      <c r="AW51" s="214" t="e">
        <f t="shared" si="14"/>
        <v>#N/A</v>
      </c>
      <c r="AX51" s="120"/>
      <c r="BG51" s="408" t="str">
        <f t="shared" si="15"/>
        <v/>
      </c>
    </row>
    <row r="52" spans="2:59" ht="66.75" customHeight="1">
      <c r="B52" s="109">
        <v>48</v>
      </c>
      <c r="C52" s="110">
        <f>SISWA!B53</f>
        <v>0</v>
      </c>
      <c r="D52" s="111" t="str">
        <f>SISWA!E53</f>
        <v>Anak 48</v>
      </c>
      <c r="E52" s="520"/>
      <c r="F52" s="520"/>
      <c r="G52" s="520"/>
      <c r="H52" s="520"/>
      <c r="I52" s="520"/>
      <c r="J52" s="520"/>
      <c r="K52" s="520"/>
      <c r="L52" s="520"/>
      <c r="M52" s="520"/>
      <c r="N52" s="520"/>
      <c r="O52" s="520"/>
      <c r="P52" s="520"/>
      <c r="Q52" s="520"/>
      <c r="R52" s="520"/>
      <c r="S52" s="520"/>
      <c r="T52" s="533" t="str">
        <f t="shared" si="4"/>
        <v/>
      </c>
      <c r="U52" s="533" t="str">
        <f t="shared" si="5"/>
        <v/>
      </c>
      <c r="V52" s="533" t="str">
        <f t="shared" si="6"/>
        <v/>
      </c>
      <c r="W52" s="533" t="str">
        <f t="shared" si="7"/>
        <v/>
      </c>
      <c r="X52" s="533" t="str">
        <f t="shared" si="8"/>
        <v/>
      </c>
      <c r="Y52" s="513"/>
      <c r="Z52" s="513"/>
      <c r="AA52" s="513"/>
      <c r="AB52" s="514"/>
      <c r="AC52" s="513"/>
      <c r="AD52" s="513"/>
      <c r="AE52" s="513"/>
      <c r="AF52" s="513"/>
      <c r="AG52" s="514"/>
      <c r="AH52" s="514"/>
      <c r="AI52" s="513"/>
      <c r="AJ52" s="302" t="e">
        <f t="shared" si="9"/>
        <v>#DIV/0!</v>
      </c>
      <c r="AK52" s="303" t="e">
        <f>IF(AJ52&gt;KKM!$G$10,"A",IF(AJ52&gt;KKM!$H$10,"B",IF(AJ52&gt;=KKM!$I$10,"C","D")))</f>
        <v>#DIV/0!</v>
      </c>
      <c r="AL52" s="304">
        <f t="shared" si="0"/>
        <v>0</v>
      </c>
      <c r="AM52" s="309" t="str">
        <f>IF(AL52&gt;KKM!$G$10," sangat baik ",IF(AL52&gt;KKM!$H$10," baik ",IF(AL52&gt;=KKM!$I$10," cukup baik "," perlu bimbingan ")))</f>
        <v xml:space="preserve"> perlu bimbingan </v>
      </c>
      <c r="AN52" s="305">
        <f t="shared" si="1"/>
        <v>0</v>
      </c>
      <c r="AO52" s="309" t="str">
        <f>IF(AN52&gt;KKM!$G$10," sangat baik ",IF(AN52&gt;KKM!$H$10," baik ",IF(AN52&gt;=KKM!$I$10," cukup baik "," perlu bimbingan ")))</f>
        <v xml:space="preserve"> perlu bimbingan </v>
      </c>
      <c r="AP52" s="301" t="str">
        <f t="shared" si="10"/>
        <v xml:space="preserve"> </v>
      </c>
      <c r="AQ52" s="218"/>
      <c r="AR52" s="219" t="e">
        <f t="shared" si="2"/>
        <v>#N/A</v>
      </c>
      <c r="AS52" s="219" t="e">
        <f t="shared" si="3"/>
        <v>#N/A</v>
      </c>
      <c r="AT52" s="219" t="e">
        <f t="shared" si="11"/>
        <v>#N/A</v>
      </c>
      <c r="AU52" s="219" t="e">
        <f t="shared" si="12"/>
        <v>#N/A</v>
      </c>
      <c r="AV52" s="220" t="e">
        <f t="shared" si="13"/>
        <v>#N/A</v>
      </c>
      <c r="AW52" s="214" t="e">
        <f t="shared" si="14"/>
        <v>#N/A</v>
      </c>
      <c r="AX52" s="120"/>
      <c r="BG52" s="408" t="str">
        <f t="shared" si="15"/>
        <v/>
      </c>
    </row>
    <row r="53" spans="2:59" ht="66.75" customHeight="1">
      <c r="B53" s="109">
        <v>49</v>
      </c>
      <c r="C53" s="110">
        <f>SISWA!B54</f>
        <v>0</v>
      </c>
      <c r="D53" s="111" t="str">
        <f>SISWA!E54</f>
        <v>Anak 49</v>
      </c>
      <c r="E53" s="520"/>
      <c r="F53" s="520"/>
      <c r="G53" s="520"/>
      <c r="H53" s="520"/>
      <c r="I53" s="520"/>
      <c r="J53" s="520"/>
      <c r="K53" s="520"/>
      <c r="L53" s="520"/>
      <c r="M53" s="520"/>
      <c r="N53" s="520"/>
      <c r="O53" s="520"/>
      <c r="P53" s="520"/>
      <c r="Q53" s="520"/>
      <c r="R53" s="520"/>
      <c r="S53" s="520"/>
      <c r="T53" s="533" t="str">
        <f t="shared" si="4"/>
        <v/>
      </c>
      <c r="U53" s="533" t="str">
        <f t="shared" si="5"/>
        <v/>
      </c>
      <c r="V53" s="533" t="str">
        <f t="shared" si="6"/>
        <v/>
      </c>
      <c r="W53" s="533" t="str">
        <f t="shared" si="7"/>
        <v/>
      </c>
      <c r="X53" s="533" t="str">
        <f t="shared" si="8"/>
        <v/>
      </c>
      <c r="Y53" s="513"/>
      <c r="Z53" s="513"/>
      <c r="AA53" s="513"/>
      <c r="AB53" s="514"/>
      <c r="AC53" s="513"/>
      <c r="AD53" s="513"/>
      <c r="AE53" s="513"/>
      <c r="AF53" s="513"/>
      <c r="AG53" s="514"/>
      <c r="AH53" s="514"/>
      <c r="AI53" s="513"/>
      <c r="AJ53" s="302" t="e">
        <f t="shared" si="9"/>
        <v>#DIV/0!</v>
      </c>
      <c r="AK53" s="303" t="e">
        <f>IF(AJ53&gt;KKM!$G$10,"A",IF(AJ53&gt;KKM!$H$10,"B",IF(AJ53&gt;=KKM!$I$10,"C","D")))</f>
        <v>#DIV/0!</v>
      </c>
      <c r="AL53" s="304">
        <f t="shared" si="0"/>
        <v>0</v>
      </c>
      <c r="AM53" s="309" t="str">
        <f>IF(AL53&gt;KKM!$G$10," sangat baik ",IF(AL53&gt;KKM!$H$10," baik ",IF(AL53&gt;=KKM!$I$10," cukup baik "," perlu bimbingan ")))</f>
        <v xml:space="preserve"> perlu bimbingan </v>
      </c>
      <c r="AN53" s="305">
        <f t="shared" si="1"/>
        <v>0</v>
      </c>
      <c r="AO53" s="309" t="str">
        <f>IF(AN53&gt;KKM!$G$10," sangat baik ",IF(AN53&gt;KKM!$H$10," baik ",IF(AN53&gt;=KKM!$I$10," cukup baik "," perlu bimbingan ")))</f>
        <v xml:space="preserve"> perlu bimbingan </v>
      </c>
      <c r="AP53" s="301" t="str">
        <f t="shared" si="10"/>
        <v xml:space="preserve"> </v>
      </c>
      <c r="AQ53" s="218"/>
      <c r="AR53" s="219" t="e">
        <f t="shared" si="2"/>
        <v>#N/A</v>
      </c>
      <c r="AS53" s="219" t="e">
        <f t="shared" si="3"/>
        <v>#N/A</v>
      </c>
      <c r="AT53" s="219" t="e">
        <f t="shared" si="11"/>
        <v>#N/A</v>
      </c>
      <c r="AU53" s="219" t="e">
        <f t="shared" si="12"/>
        <v>#N/A</v>
      </c>
      <c r="AV53" s="220" t="e">
        <f t="shared" si="13"/>
        <v>#N/A</v>
      </c>
      <c r="AW53" s="214" t="e">
        <f t="shared" si="14"/>
        <v>#N/A</v>
      </c>
      <c r="AX53" s="120"/>
      <c r="BG53" s="408" t="str">
        <f t="shared" si="15"/>
        <v/>
      </c>
    </row>
    <row r="54" spans="2:59" ht="66.75" customHeight="1">
      <c r="B54" s="109">
        <v>50</v>
      </c>
      <c r="C54" s="110">
        <f>SISWA!B55</f>
        <v>0</v>
      </c>
      <c r="D54" s="111" t="str">
        <f>SISWA!E55</f>
        <v>Anak 50</v>
      </c>
      <c r="E54" s="520"/>
      <c r="F54" s="520"/>
      <c r="G54" s="520"/>
      <c r="H54" s="520"/>
      <c r="I54" s="520"/>
      <c r="J54" s="520"/>
      <c r="K54" s="520"/>
      <c r="L54" s="520"/>
      <c r="M54" s="520"/>
      <c r="N54" s="520"/>
      <c r="O54" s="520"/>
      <c r="P54" s="520"/>
      <c r="Q54" s="520"/>
      <c r="R54" s="520"/>
      <c r="S54" s="520"/>
      <c r="T54" s="533" t="str">
        <f t="shared" si="4"/>
        <v/>
      </c>
      <c r="U54" s="533" t="str">
        <f t="shared" si="5"/>
        <v/>
      </c>
      <c r="V54" s="533" t="str">
        <f t="shared" si="6"/>
        <v/>
      </c>
      <c r="W54" s="533" t="str">
        <f t="shared" si="7"/>
        <v/>
      </c>
      <c r="X54" s="533" t="str">
        <f t="shared" si="8"/>
        <v/>
      </c>
      <c r="Y54" s="513"/>
      <c r="Z54" s="513"/>
      <c r="AA54" s="513"/>
      <c r="AB54" s="514"/>
      <c r="AC54" s="513"/>
      <c r="AD54" s="513"/>
      <c r="AE54" s="513"/>
      <c r="AF54" s="513"/>
      <c r="AG54" s="514"/>
      <c r="AH54" s="514"/>
      <c r="AI54" s="513"/>
      <c r="AJ54" s="302" t="e">
        <f t="shared" si="9"/>
        <v>#DIV/0!</v>
      </c>
      <c r="AK54" s="303" t="e">
        <f>IF(AJ54&gt;KKM!$G$10,"A",IF(AJ54&gt;KKM!$H$10,"B",IF(AJ54&gt;=KKM!$I$10,"C","D")))</f>
        <v>#DIV/0!</v>
      </c>
      <c r="AL54" s="304">
        <f t="shared" si="0"/>
        <v>0</v>
      </c>
      <c r="AM54" s="309" t="str">
        <f>IF(AL54&gt;KKM!$G$10," sangat baik ",IF(AL54&gt;KKM!$H$10," baik ",IF(AL54&gt;=KKM!$I$10," cukup baik "," perlu bimbingan ")))</f>
        <v xml:space="preserve"> perlu bimbingan </v>
      </c>
      <c r="AN54" s="305">
        <f t="shared" si="1"/>
        <v>0</v>
      </c>
      <c r="AO54" s="309" t="str">
        <f>IF(AN54&gt;KKM!$G$10," sangat baik ",IF(AN54&gt;KKM!$H$10," baik ",IF(AN54&gt;=KKM!$I$10," cukup baik "," perlu bimbingan ")))</f>
        <v xml:space="preserve"> perlu bimbingan </v>
      </c>
      <c r="AP54" s="301" t="str">
        <f t="shared" si="10"/>
        <v xml:space="preserve"> </v>
      </c>
      <c r="AQ54" s="218"/>
      <c r="AR54" s="219" t="e">
        <f t="shared" si="2"/>
        <v>#N/A</v>
      </c>
      <c r="AS54" s="219" t="e">
        <f t="shared" si="3"/>
        <v>#N/A</v>
      </c>
      <c r="AT54" s="219" t="e">
        <f t="shared" si="11"/>
        <v>#N/A</v>
      </c>
      <c r="AU54" s="219" t="e">
        <f t="shared" si="12"/>
        <v>#N/A</v>
      </c>
      <c r="AV54" s="220" t="e">
        <f t="shared" si="13"/>
        <v>#N/A</v>
      </c>
      <c r="AW54" s="214" t="e">
        <f t="shared" si="14"/>
        <v>#N/A</v>
      </c>
      <c r="AX54" s="120"/>
      <c r="BG54" s="408" t="str">
        <f t="shared" si="15"/>
        <v/>
      </c>
    </row>
    <row r="55" spans="2:59" ht="66.75" customHeight="1">
      <c r="B55" s="121"/>
      <c r="C55" s="121"/>
      <c r="D55" s="121"/>
      <c r="E55" s="519"/>
      <c r="F55" s="519"/>
      <c r="G55" s="519"/>
      <c r="H55" s="519"/>
      <c r="I55" s="519"/>
      <c r="J55" s="519"/>
      <c r="K55" s="519"/>
      <c r="L55" s="519"/>
      <c r="M55" s="519"/>
      <c r="N55" s="519"/>
      <c r="O55" s="519"/>
      <c r="P55" s="519"/>
      <c r="Q55" s="519"/>
      <c r="R55" s="519"/>
      <c r="S55" s="519"/>
      <c r="T55" s="124"/>
      <c r="U55" s="125"/>
      <c r="V55" s="125"/>
      <c r="W55" s="125"/>
      <c r="X55" s="125"/>
      <c r="Y55" s="125"/>
      <c r="Z55" s="125"/>
      <c r="AA55" s="125"/>
      <c r="AB55" s="125"/>
      <c r="AC55" s="124"/>
      <c r="AD55" s="124"/>
      <c r="AE55" s="124"/>
      <c r="AF55" s="124"/>
      <c r="AG55" s="125"/>
      <c r="AH55" s="125"/>
      <c r="AI55" s="124"/>
      <c r="AJ55" s="114"/>
      <c r="AK55" s="115"/>
      <c r="AL55" s="116"/>
      <c r="AM55" s="116"/>
      <c r="AN55" s="116"/>
      <c r="AO55" s="116"/>
      <c r="AP55" s="117"/>
      <c r="AQ55" s="118"/>
      <c r="AR55" s="119"/>
      <c r="AS55" s="122"/>
      <c r="AT55" s="122"/>
      <c r="AU55" s="122"/>
      <c r="AV55" s="122"/>
      <c r="AW55" s="122"/>
      <c r="AX55" s="120"/>
    </row>
  </sheetData>
  <mergeCells count="16">
    <mergeCell ref="AK2:AK4"/>
    <mergeCell ref="AL2:AO2"/>
    <mergeCell ref="AP2:AP4"/>
    <mergeCell ref="AL3:AM3"/>
    <mergeCell ref="AN3:AO3"/>
    <mergeCell ref="B2:B4"/>
    <mergeCell ref="C2:C4"/>
    <mergeCell ref="D2:D4"/>
    <mergeCell ref="T2:AI2"/>
    <mergeCell ref="AJ2:AJ4"/>
    <mergeCell ref="E2:S2"/>
    <mergeCell ref="E3:G3"/>
    <mergeCell ref="H3:J3"/>
    <mergeCell ref="K3:M3"/>
    <mergeCell ref="N3:P3"/>
    <mergeCell ref="Q3:S3"/>
  </mergeCell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DX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135" customWidth="1"/>
    <col min="2" max="2" width="4.42578125" style="104" customWidth="1"/>
    <col min="3" max="3" width="6.42578125" style="104" customWidth="1"/>
    <col min="4" max="4" width="28.7109375" style="104" customWidth="1"/>
    <col min="5" max="16" width="7.5703125" style="104" customWidth="1"/>
    <col min="17" max="21" width="5.42578125" style="104" customWidth="1"/>
    <col min="22" max="32" width="5.42578125" style="104" hidden="1" customWidth="1"/>
    <col min="33" max="35" width="5.42578125" style="104" customWidth="1"/>
    <col min="36" max="36" width="11.7109375" style="104" customWidth="1"/>
    <col min="37" max="37" width="5.42578125" style="104" customWidth="1"/>
    <col min="38" max="38" width="12.42578125" style="104" customWidth="1"/>
    <col min="39" max="39" width="100.7109375" style="104" customWidth="1"/>
    <col min="40" max="40" width="35.85546875" style="104" customWidth="1"/>
    <col min="41" max="41" width="5" style="104" hidden="1" customWidth="1"/>
    <col min="42" max="42" width="4.7109375" style="104" hidden="1" customWidth="1"/>
    <col min="43" max="43" width="5.140625" style="104" hidden="1" customWidth="1"/>
    <col min="44" max="49" width="5" style="104" hidden="1" customWidth="1"/>
    <col min="50" max="50" width="4.85546875" style="104" hidden="1" customWidth="1"/>
    <col min="51" max="54" width="5" style="104" hidden="1" customWidth="1"/>
    <col min="55" max="56" width="5" style="104" customWidth="1"/>
    <col min="57" max="57" width="5" style="104" hidden="1" customWidth="1"/>
    <col min="58" max="58" width="6.28515625" style="104" hidden="1" customWidth="1"/>
    <col min="59" max="59" width="7.7109375" style="104" hidden="1" customWidth="1"/>
    <col min="60" max="60" width="5" style="104" customWidth="1"/>
    <col min="61" max="66" width="5" style="104" hidden="1" customWidth="1"/>
    <col min="67" max="67" width="84.42578125" style="104" hidden="1" customWidth="1"/>
    <col min="68" max="68" width="29.85546875" style="104" hidden="1" customWidth="1"/>
    <col min="69" max="82" width="10.7109375" style="104" hidden="1" customWidth="1"/>
    <col min="83" max="87" width="5" style="104" hidden="1" customWidth="1"/>
    <col min="88" max="88" width="4.85546875" style="104" hidden="1" customWidth="1"/>
    <col min="89" max="94" width="5" style="104" hidden="1" customWidth="1"/>
    <col min="95" max="96" width="0" style="104" hidden="1" customWidth="1"/>
    <col min="97" max="102" width="5" style="104" hidden="1" customWidth="1"/>
    <col min="103" max="103" width="84.42578125" style="104" hidden="1" customWidth="1"/>
    <col min="104" max="104" width="29.85546875" style="104" hidden="1" customWidth="1"/>
    <col min="105" max="128" width="10.7109375" style="104" hidden="1" customWidth="1"/>
    <col min="129" max="16384" width="9.140625" style="104" hidden="1"/>
  </cols>
  <sheetData>
    <row r="1" spans="1:66" s="451" customFormat="1" ht="45.75" customHeight="1">
      <c r="B1" s="452" t="str">
        <f>KKM!X7&amp;" (KETRAMPILAN)"</f>
        <v>Bahasa Jawa (KETRAMPILAN)</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c r="BM1" s="452"/>
      <c r="BN1" s="452"/>
    </row>
    <row r="2" spans="1:66" ht="23.25" customHeight="1">
      <c r="B2" s="1071" t="s">
        <v>2</v>
      </c>
      <c r="C2" s="1072" t="s">
        <v>3</v>
      </c>
      <c r="D2" s="1073" t="s">
        <v>48</v>
      </c>
      <c r="E2" s="1152" t="s">
        <v>710</v>
      </c>
      <c r="F2" s="1153"/>
      <c r="G2" s="1153"/>
      <c r="H2" s="1153"/>
      <c r="I2" s="1153"/>
      <c r="J2" s="1153"/>
      <c r="K2" s="1153"/>
      <c r="L2" s="1153"/>
      <c r="M2" s="1153"/>
      <c r="N2" s="1153"/>
      <c r="O2" s="1153"/>
      <c r="P2" s="1153"/>
      <c r="Q2" s="1111" t="s">
        <v>694</v>
      </c>
      <c r="R2" s="1111"/>
      <c r="S2" s="1111"/>
      <c r="T2" s="1111"/>
      <c r="U2" s="1111"/>
      <c r="V2" s="1111"/>
      <c r="W2" s="1111"/>
      <c r="X2" s="1111"/>
      <c r="Y2" s="1111"/>
      <c r="Z2" s="1111"/>
      <c r="AA2" s="1111"/>
      <c r="AB2" s="1111"/>
      <c r="AC2" s="1111"/>
      <c r="AD2" s="1111"/>
      <c r="AE2" s="1111"/>
      <c r="AF2" s="1111"/>
      <c r="AG2" s="1139" t="s">
        <v>5</v>
      </c>
      <c r="AH2" s="1123" t="s">
        <v>6</v>
      </c>
      <c r="AI2" s="1124" t="s">
        <v>314</v>
      </c>
      <c r="AJ2" s="1125"/>
      <c r="AK2" s="1125"/>
      <c r="AL2" s="1125"/>
      <c r="AM2" s="1027" t="s">
        <v>1</v>
      </c>
      <c r="AN2" s="1"/>
      <c r="AO2" s="1"/>
      <c r="AP2" s="1"/>
      <c r="AQ2" s="1"/>
      <c r="AR2" s="1"/>
      <c r="AS2" s="1"/>
      <c r="AT2" s="215"/>
      <c r="BF2" s="441">
        <f>DEPAN!$E$23</f>
        <v>50</v>
      </c>
      <c r="BG2" s="441"/>
    </row>
    <row r="3" spans="1:66" ht="94.5" customHeight="1">
      <c r="B3" s="1071"/>
      <c r="C3" s="1072"/>
      <c r="D3" s="1073"/>
      <c r="E3" s="1140">
        <f>Q4</f>
        <v>4.5</v>
      </c>
      <c r="F3" s="1141"/>
      <c r="G3" s="1142"/>
      <c r="H3" s="1143">
        <f>R4</f>
        <v>4.5999999999999996</v>
      </c>
      <c r="I3" s="1144"/>
      <c r="J3" s="1145"/>
      <c r="K3" s="1146">
        <f>S4</f>
        <v>4.7</v>
      </c>
      <c r="L3" s="1147"/>
      <c r="M3" s="1148"/>
      <c r="N3" s="1149">
        <f>T4</f>
        <v>0</v>
      </c>
      <c r="O3" s="1150"/>
      <c r="P3" s="1151"/>
      <c r="Q3" s="510" t="str">
        <f>'KI-KD'!$F123</f>
        <v>melagukan dan mengapresiasi tembang dolanan.</v>
      </c>
      <c r="R3" s="510" t="str">
        <f>'KI-KD'!$F124</f>
        <v>menulis kalimat dengan huruf latin dan huruf Jawa menggunakan sandhangan aksar Jawa.</v>
      </c>
      <c r="S3" s="510" t="str">
        <f>'KI-KD'!$F125</f>
        <v>menulis kalimat menggunakan kata berimbuhan.</v>
      </c>
      <c r="T3" s="510">
        <f>'KI-KD'!$F126</f>
        <v>0</v>
      </c>
      <c r="U3" s="510">
        <f>'KI-KD'!$F130</f>
        <v>0</v>
      </c>
      <c r="V3" s="535"/>
      <c r="W3" s="535"/>
      <c r="X3" s="535"/>
      <c r="Y3" s="510"/>
      <c r="Z3" s="511"/>
      <c r="AA3" s="511"/>
      <c r="AB3" s="511"/>
      <c r="AC3" s="511"/>
      <c r="AD3" s="511"/>
      <c r="AE3" s="511"/>
      <c r="AF3" s="511"/>
      <c r="AG3" s="1139"/>
      <c r="AH3" s="1123"/>
      <c r="AI3" s="1135" t="s">
        <v>315</v>
      </c>
      <c r="AJ3" s="1136"/>
      <c r="AK3" s="1137" t="s">
        <v>316</v>
      </c>
      <c r="AL3" s="1138"/>
      <c r="AM3" s="1028"/>
      <c r="AN3" s="1"/>
      <c r="AO3" s="1"/>
      <c r="AP3" s="1"/>
      <c r="AQ3" s="1"/>
      <c r="AR3" s="1"/>
      <c r="AS3" s="1"/>
      <c r="AT3" s="215"/>
      <c r="BF3" s="408">
        <f>BF4-BF5</f>
        <v>4</v>
      </c>
      <c r="BG3" s="408"/>
    </row>
    <row r="4" spans="1:66"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12">
        <f>'KI-KD'!$E123</f>
        <v>4.5</v>
      </c>
      <c r="R4" s="512">
        <f>'KI-KD'!$E124</f>
        <v>4.5999999999999996</v>
      </c>
      <c r="S4" s="512">
        <f>'KI-KD'!$E125</f>
        <v>4.7</v>
      </c>
      <c r="T4" s="512">
        <f>'KI-KD'!$E126</f>
        <v>0</v>
      </c>
      <c r="U4" s="512">
        <f>'KI-KD'!$E130</f>
        <v>0</v>
      </c>
      <c r="V4" s="512"/>
      <c r="W4" s="512"/>
      <c r="X4" s="512"/>
      <c r="Y4" s="512"/>
      <c r="Z4" s="512"/>
      <c r="AA4" s="512"/>
      <c r="AB4" s="512"/>
      <c r="AC4" s="512"/>
      <c r="AD4" s="512"/>
      <c r="AE4" s="512"/>
      <c r="AF4" s="512"/>
      <c r="AG4" s="1139"/>
      <c r="AH4" s="1123"/>
      <c r="AI4" s="210" t="s">
        <v>317</v>
      </c>
      <c r="AJ4" s="211" t="s">
        <v>1</v>
      </c>
      <c r="AK4" s="212" t="s">
        <v>317</v>
      </c>
      <c r="AL4" s="213" t="s">
        <v>1</v>
      </c>
      <c r="AM4" s="1029"/>
      <c r="AN4" s="1"/>
      <c r="AO4" s="216" t="s">
        <v>318</v>
      </c>
      <c r="AP4" s="216" t="s">
        <v>319</v>
      </c>
      <c r="AQ4" s="216" t="s">
        <v>320</v>
      </c>
      <c r="AR4" s="216" t="s">
        <v>321</v>
      </c>
      <c r="AS4" s="217" t="s">
        <v>314</v>
      </c>
      <c r="AT4" s="214"/>
      <c r="BF4" s="108">
        <v>50</v>
      </c>
    </row>
    <row r="5" spans="1:66" ht="63.75" customHeight="1">
      <c r="B5" s="109">
        <v>1</v>
      </c>
      <c r="C5" s="110">
        <f>SISWA!B6</f>
        <v>4822</v>
      </c>
      <c r="D5" s="111" t="str">
        <f>SISWA!E6</f>
        <v>Anak 1</v>
      </c>
      <c r="E5" s="520">
        <v>76</v>
      </c>
      <c r="F5" s="520"/>
      <c r="G5" s="520"/>
      <c r="H5" s="520"/>
      <c r="I5" s="520">
        <v>88</v>
      </c>
      <c r="J5" s="520"/>
      <c r="K5" s="520">
        <v>88</v>
      </c>
      <c r="L5" s="520"/>
      <c r="M5" s="520"/>
      <c r="N5" s="520"/>
      <c r="O5" s="520"/>
      <c r="P5" s="520"/>
      <c r="Q5" s="533">
        <f>IFERROR(AVERAGE(E5:G5),"")</f>
        <v>76</v>
      </c>
      <c r="R5" s="533">
        <f>IFERROR(AVERAGE(H5:J5),"")</f>
        <v>88</v>
      </c>
      <c r="S5" s="533">
        <f>IFERROR(AVERAGE(K5:M5),"")</f>
        <v>88</v>
      </c>
      <c r="T5" s="533" t="str">
        <f>IFERROR(AVERAGE(N5:P5),"")</f>
        <v/>
      </c>
      <c r="U5" s="513"/>
      <c r="V5" s="513"/>
      <c r="W5" s="513"/>
      <c r="X5" s="513"/>
      <c r="Y5" s="514"/>
      <c r="Z5" s="513"/>
      <c r="AA5" s="513"/>
      <c r="AB5" s="513"/>
      <c r="AC5" s="513"/>
      <c r="AD5" s="514"/>
      <c r="AE5" s="514"/>
      <c r="AF5" s="513"/>
      <c r="AG5" s="302">
        <f>ROUND((AVERAGE(Q5:AF5)),0)</f>
        <v>84</v>
      </c>
      <c r="AH5" s="303" t="str">
        <f>IF(AG5&gt;KKM!$G$10,"A",IF(AG5&gt;KKM!$H$10,"B",IF(AG5&gt;=KKM!$I$10,"C","D")))</f>
        <v>B</v>
      </c>
      <c r="AI5" s="304">
        <f t="shared" ref="AI5:AI54" si="0">MAX(Q5:AF5)</f>
        <v>88</v>
      </c>
      <c r="AJ5" s="309" t="str">
        <f>IF(AI5&gt;KKM!$G$10," sangat baik ",IF(AI5&gt;KKM!$H$10," baik ",IF(AI5&gt;=KKM!$I$10," cukup baik "," perlu bimbingan ")))</f>
        <v xml:space="preserve"> baik </v>
      </c>
      <c r="AK5" s="305">
        <f t="shared" ref="AK5:AK54" si="1">MIN(Q5:AF5)</f>
        <v>76</v>
      </c>
      <c r="AL5" s="309" t="str">
        <f>IF(AK5&gt;KKM!$G$10," sangat baik ",IF(AK5&gt;KKM!$H$10," baik ",IF(AK5&gt;=KKM!$I$10," cukup baik "," perlu bimbingan ")))</f>
        <v xml:space="preserve"> cukup baik </v>
      </c>
      <c r="AM5" s="301" t="str">
        <f>IFERROR(AT5," ")</f>
        <v>Anak 1 baik  dalam menulis kalimat dengan huruf latin dan huruf Jawa menggunakan sandhangan aksar Jawa., dan  cukup baik  dalam melagukan dan mengapresiasi tembang dolanan.</v>
      </c>
      <c r="AN5" s="218"/>
      <c r="AO5" s="219" t="str">
        <f t="shared" ref="AO5:AO54" si="2">AJ5&amp;" dalam "&amp;INDEX($Q$3:$AF$3,MATCH(AI5,$Q5:$AF5,0))</f>
        <v xml:space="preserve"> baik  dalam menulis kalimat dengan huruf latin dan huruf Jawa menggunakan sandhangan aksar Jawa.</v>
      </c>
      <c r="AP5" s="219" t="str">
        <f t="shared" ref="AP5:AP54" si="3">AL5&amp;" dalam "&amp;INDEX($Q$3:$AF$3,MATCH(AK5,$Q5:$AF5,0))</f>
        <v xml:space="preserve"> cukup baik  dalam melagukan dan mengapresiasi tembang dolanan.</v>
      </c>
      <c r="AQ5" s="219" t="str">
        <f>AO5&amp;", dan "&amp;AP5</f>
        <v xml:space="preserve"> baik  dalam menulis kalimat dengan huruf latin dan huruf Jawa menggunakan sandhangan aksar Jawa., dan  cukup baik  dalam melagukan dan mengapresiasi tembang dolanan.</v>
      </c>
      <c r="AR5" s="219" t="str">
        <f>IF(AO5=AP5,AO5," ")</f>
        <v xml:space="preserve"> </v>
      </c>
      <c r="AS5" s="220" t="str">
        <f>IF(AR5=" ",AQ5,AR5)</f>
        <v xml:space="preserve"> baik  dalam menulis kalimat dengan huruf latin dan huruf Jawa menggunakan sandhangan aksar Jawa., dan  cukup baik  dalam melagukan dan mengapresiasi tembang dolanan.</v>
      </c>
      <c r="AT5" s="214" t="str">
        <f>CONCATENATE(D5,AS5)</f>
        <v>Anak 1 baik  dalam menulis kalimat dengan huruf latin dan huruf Jawa menggunakan sandhangan aksar Jawa., dan  cukup baik  dalam melagukan dan mengapresiasi tembang dolanan.</v>
      </c>
      <c r="AU5" s="120"/>
      <c r="BE5" s="408">
        <f>IFERROR(AG5,"")</f>
        <v>84</v>
      </c>
      <c r="BF5" s="408">
        <f>COUNTBLANK(BE5:BE54)</f>
        <v>46</v>
      </c>
      <c r="BG5" s="408"/>
    </row>
    <row r="6" spans="1:66" ht="63.75" customHeight="1">
      <c r="B6" s="109">
        <v>2</v>
      </c>
      <c r="C6" s="110">
        <f>SISWA!B7</f>
        <v>0</v>
      </c>
      <c r="D6" s="111" t="str">
        <f>SISWA!E7</f>
        <v>Anak 2</v>
      </c>
      <c r="E6" s="520">
        <v>77</v>
      </c>
      <c r="F6" s="520"/>
      <c r="G6" s="520"/>
      <c r="H6" s="520"/>
      <c r="I6" s="520"/>
      <c r="J6" s="520"/>
      <c r="K6" s="520">
        <v>89</v>
      </c>
      <c r="L6" s="520"/>
      <c r="M6" s="520"/>
      <c r="N6" s="520"/>
      <c r="O6" s="520"/>
      <c r="P6" s="520"/>
      <c r="Q6" s="533">
        <f t="shared" ref="Q6:Q54" si="4">IFERROR(AVERAGE(E6:G6),"")</f>
        <v>77</v>
      </c>
      <c r="R6" s="533" t="str">
        <f t="shared" ref="R6:R54" si="5">IFERROR(AVERAGE(H6:J6),"")</f>
        <v/>
      </c>
      <c r="S6" s="533">
        <f t="shared" ref="S6:S54" si="6">IFERROR(AVERAGE(K6:M6),"")</f>
        <v>89</v>
      </c>
      <c r="T6" s="533" t="str">
        <f t="shared" ref="T6:T54" si="7">IFERROR(AVERAGE(N6:P6),"")</f>
        <v/>
      </c>
      <c r="U6" s="513"/>
      <c r="V6" s="125"/>
      <c r="W6" s="125"/>
      <c r="X6" s="125"/>
      <c r="Y6" s="125"/>
      <c r="Z6" s="124"/>
      <c r="AA6" s="124"/>
      <c r="AB6" s="124"/>
      <c r="AC6" s="124"/>
      <c r="AD6" s="125"/>
      <c r="AE6" s="125"/>
      <c r="AF6" s="124"/>
      <c r="AG6" s="302">
        <f t="shared" ref="AG6:AG54" si="8">ROUND((AVERAGE(Q6:AF6)),0)</f>
        <v>83</v>
      </c>
      <c r="AH6" s="303" t="str">
        <f>IF(AG6&gt;KKM!$G$10,"A",IF(AG6&gt;KKM!$H$10,"B",IF(AG6&gt;=KKM!$I$10,"C","D")))</f>
        <v>B</v>
      </c>
      <c r="AI6" s="304">
        <f t="shared" si="0"/>
        <v>89</v>
      </c>
      <c r="AJ6" s="309" t="str">
        <f>IF(AI6&gt;KKM!$G$10," sangat baik ",IF(AI6&gt;KKM!$H$10," baik ",IF(AI6&gt;=KKM!$I$10," cukup baik "," perlu bimbingan ")))</f>
        <v xml:space="preserve"> baik </v>
      </c>
      <c r="AK6" s="305">
        <f t="shared" si="1"/>
        <v>77</v>
      </c>
      <c r="AL6" s="309" t="str">
        <f>IF(AK6&gt;KKM!$G$10," sangat baik ",IF(AK6&gt;KKM!$H$10," baik ",IF(AK6&gt;=KKM!$I$10," cukup baik "," perlu bimbingan ")))</f>
        <v xml:space="preserve"> cukup baik </v>
      </c>
      <c r="AM6" s="301" t="str">
        <f t="shared" ref="AM6:AM54" si="9">IFERROR(AT6," ")</f>
        <v>Anak 2 baik  dalam menulis kalimat menggunakan kata berimbuhan., dan  cukup baik  dalam melagukan dan mengapresiasi tembang dolanan.</v>
      </c>
      <c r="AN6" s="218"/>
      <c r="AO6" s="219" t="str">
        <f t="shared" si="2"/>
        <v xml:space="preserve"> baik  dalam menulis kalimat menggunakan kata berimbuhan.</v>
      </c>
      <c r="AP6" s="219" t="str">
        <f t="shared" si="3"/>
        <v xml:space="preserve"> cukup baik  dalam melagukan dan mengapresiasi tembang dolanan.</v>
      </c>
      <c r="AQ6" s="219" t="str">
        <f t="shared" ref="AQ6:AQ54" si="10">AO6&amp;", dan "&amp;AP6</f>
        <v xml:space="preserve"> baik  dalam menulis kalimat menggunakan kata berimbuhan., dan  cukup baik  dalam melagukan dan mengapresiasi tembang dolanan.</v>
      </c>
      <c r="AR6" s="219" t="str">
        <f t="shared" ref="AR6:AR54" si="11">IF(AO6=AP6,AO6," ")</f>
        <v xml:space="preserve"> </v>
      </c>
      <c r="AS6" s="220" t="str">
        <f t="shared" ref="AS6:AS54" si="12">IF(AR6=" ",AQ6,AR6)</f>
        <v xml:space="preserve"> baik  dalam menulis kalimat menggunakan kata berimbuhan., dan  cukup baik  dalam melagukan dan mengapresiasi tembang dolanan.</v>
      </c>
      <c r="AT6" s="214" t="str">
        <f t="shared" ref="AT6:AT54" si="13">CONCATENATE(D6,AS6)</f>
        <v>Anak 2 baik  dalam menulis kalimat menggunakan kata berimbuhan., dan  cukup baik  dalam melagukan dan mengapresiasi tembang dolanan.</v>
      </c>
      <c r="AU6" s="120"/>
      <c r="BE6" s="408">
        <f t="shared" ref="BE6:BE54" si="14">IFERROR(AG6,"")</f>
        <v>83</v>
      </c>
      <c r="BF6" s="442">
        <f>IFERROR(BF3/BF2,"0%")</f>
        <v>0.08</v>
      </c>
      <c r="BG6" s="442">
        <f>AVERAGE('PAI4'!DG7,'PKN4'!AZ6,BIND4!BO6,'MTK4'!BM6,'IPA4'!BI6,'IPS4'!BH6,SBDP4!BE6,PJOK4!BH6,'MLK1-4'!BF6)</f>
        <v>9.7777777777777769E-2</v>
      </c>
    </row>
    <row r="7" spans="1:66" ht="63.75" customHeight="1">
      <c r="B7" s="109">
        <v>3</v>
      </c>
      <c r="C7" s="110">
        <f>SISWA!B8</f>
        <v>0</v>
      </c>
      <c r="D7" s="111" t="str">
        <f>SISWA!E8</f>
        <v>Anak 3</v>
      </c>
      <c r="E7" s="520"/>
      <c r="F7" s="520"/>
      <c r="G7" s="520"/>
      <c r="H7" s="520"/>
      <c r="I7" s="520"/>
      <c r="J7" s="520"/>
      <c r="K7" s="520">
        <v>77</v>
      </c>
      <c r="L7" s="520">
        <v>99</v>
      </c>
      <c r="M7" s="520"/>
      <c r="N7" s="520"/>
      <c r="O7" s="520"/>
      <c r="P7" s="520"/>
      <c r="Q7" s="533" t="str">
        <f t="shared" si="4"/>
        <v/>
      </c>
      <c r="R7" s="533" t="str">
        <f t="shared" si="5"/>
        <v/>
      </c>
      <c r="S7" s="533">
        <f t="shared" si="6"/>
        <v>88</v>
      </c>
      <c r="T7" s="533" t="str">
        <f t="shared" si="7"/>
        <v/>
      </c>
      <c r="U7" s="513"/>
      <c r="V7" s="125"/>
      <c r="W7" s="125"/>
      <c r="X7" s="125"/>
      <c r="Y7" s="125"/>
      <c r="Z7" s="124"/>
      <c r="AA7" s="124"/>
      <c r="AB7" s="124"/>
      <c r="AC7" s="124"/>
      <c r="AD7" s="125"/>
      <c r="AE7" s="125"/>
      <c r="AF7" s="124"/>
      <c r="AG7" s="302">
        <f t="shared" si="8"/>
        <v>88</v>
      </c>
      <c r="AH7" s="303" t="str">
        <f>IF(AG7&gt;KKM!$G$10,"A",IF(AG7&gt;KKM!$H$10,"B",IF(AG7&gt;=KKM!$I$10,"C","D")))</f>
        <v>B</v>
      </c>
      <c r="AI7" s="304">
        <f t="shared" si="0"/>
        <v>88</v>
      </c>
      <c r="AJ7" s="309" t="str">
        <f>IF(AI7&gt;KKM!$G$10," sangat baik ",IF(AI7&gt;KKM!$H$10," baik ",IF(AI7&gt;=KKM!$I$10," cukup baik "," perlu bimbingan ")))</f>
        <v xml:space="preserve"> baik </v>
      </c>
      <c r="AK7" s="305">
        <f t="shared" si="1"/>
        <v>88</v>
      </c>
      <c r="AL7" s="309" t="str">
        <f>IF(AK7&gt;KKM!$G$10," sangat baik ",IF(AK7&gt;KKM!$H$10," baik ",IF(AK7&gt;=KKM!$I$10," cukup baik "," perlu bimbingan ")))</f>
        <v xml:space="preserve"> baik </v>
      </c>
      <c r="AM7" s="301" t="str">
        <f t="shared" si="9"/>
        <v>Anak 3 baik  dalam menulis kalimat menggunakan kata berimbuhan.</v>
      </c>
      <c r="AN7" s="218"/>
      <c r="AO7" s="219" t="str">
        <f t="shared" si="2"/>
        <v xml:space="preserve"> baik  dalam menulis kalimat menggunakan kata berimbuhan.</v>
      </c>
      <c r="AP7" s="219" t="str">
        <f t="shared" si="3"/>
        <v xml:space="preserve"> baik  dalam menulis kalimat menggunakan kata berimbuhan.</v>
      </c>
      <c r="AQ7" s="219" t="str">
        <f t="shared" si="10"/>
        <v xml:space="preserve"> baik  dalam menulis kalimat menggunakan kata berimbuhan., dan  baik  dalam menulis kalimat menggunakan kata berimbuhan.</v>
      </c>
      <c r="AR7" s="219" t="str">
        <f t="shared" si="11"/>
        <v xml:space="preserve"> baik  dalam menulis kalimat menggunakan kata berimbuhan.</v>
      </c>
      <c r="AS7" s="220" t="str">
        <f t="shared" si="12"/>
        <v xml:space="preserve"> baik  dalam menulis kalimat menggunakan kata berimbuhan.</v>
      </c>
      <c r="AT7" s="214" t="str">
        <f t="shared" si="13"/>
        <v>Anak 3 baik  dalam menulis kalimat menggunakan kata berimbuhan.</v>
      </c>
      <c r="AU7" s="120"/>
      <c r="BE7" s="408">
        <f t="shared" si="14"/>
        <v>88</v>
      </c>
    </row>
    <row r="8" spans="1:66" ht="63.75" customHeight="1">
      <c r="B8" s="109">
        <v>4</v>
      </c>
      <c r="C8" s="110">
        <f>SISWA!B9</f>
        <v>0</v>
      </c>
      <c r="D8" s="111" t="str">
        <f>SISWA!E9</f>
        <v>Anak 4</v>
      </c>
      <c r="E8" s="520"/>
      <c r="F8" s="520"/>
      <c r="G8" s="520"/>
      <c r="H8" s="520"/>
      <c r="I8" s="520"/>
      <c r="J8" s="520"/>
      <c r="K8" s="520"/>
      <c r="L8" s="520">
        <v>87</v>
      </c>
      <c r="M8" s="520"/>
      <c r="N8" s="520"/>
      <c r="O8" s="520"/>
      <c r="P8" s="520"/>
      <c r="Q8" s="533" t="str">
        <f t="shared" si="4"/>
        <v/>
      </c>
      <c r="R8" s="533" t="str">
        <f t="shared" si="5"/>
        <v/>
      </c>
      <c r="S8" s="533">
        <f t="shared" si="6"/>
        <v>87</v>
      </c>
      <c r="T8" s="533" t="str">
        <f t="shared" si="7"/>
        <v/>
      </c>
      <c r="U8" s="513"/>
      <c r="V8" s="125"/>
      <c r="W8" s="125"/>
      <c r="X8" s="125"/>
      <c r="Y8" s="125"/>
      <c r="Z8" s="124"/>
      <c r="AA8" s="124"/>
      <c r="AB8" s="124"/>
      <c r="AC8" s="124"/>
      <c r="AD8" s="125"/>
      <c r="AE8" s="125"/>
      <c r="AF8" s="124"/>
      <c r="AG8" s="302">
        <f t="shared" si="8"/>
        <v>87</v>
      </c>
      <c r="AH8" s="303" t="str">
        <f>IF(AG8&gt;KKM!$G$10,"A",IF(AG8&gt;KKM!$H$10,"B",IF(AG8&gt;=KKM!$I$10,"C","D")))</f>
        <v>B</v>
      </c>
      <c r="AI8" s="304">
        <f t="shared" si="0"/>
        <v>87</v>
      </c>
      <c r="AJ8" s="309" t="str">
        <f>IF(AI8&gt;KKM!$G$10," sangat baik ",IF(AI8&gt;KKM!$H$10," baik ",IF(AI8&gt;=KKM!$I$10," cukup baik "," perlu bimbingan ")))</f>
        <v xml:space="preserve"> baik </v>
      </c>
      <c r="AK8" s="305">
        <f t="shared" si="1"/>
        <v>87</v>
      </c>
      <c r="AL8" s="309" t="str">
        <f>IF(AK8&gt;KKM!$G$10," sangat baik ",IF(AK8&gt;KKM!$H$10," baik ",IF(AK8&gt;=KKM!$I$10," cukup baik "," perlu bimbingan ")))</f>
        <v xml:space="preserve"> baik </v>
      </c>
      <c r="AM8" s="301" t="str">
        <f t="shared" si="9"/>
        <v>Anak 4 baik  dalam menulis kalimat menggunakan kata berimbuhan.</v>
      </c>
      <c r="AN8" s="218"/>
      <c r="AO8" s="219" t="str">
        <f t="shared" si="2"/>
        <v xml:space="preserve"> baik  dalam menulis kalimat menggunakan kata berimbuhan.</v>
      </c>
      <c r="AP8" s="219" t="str">
        <f t="shared" si="3"/>
        <v xml:space="preserve"> baik  dalam menulis kalimat menggunakan kata berimbuhan.</v>
      </c>
      <c r="AQ8" s="219" t="str">
        <f t="shared" si="10"/>
        <v xml:space="preserve"> baik  dalam menulis kalimat menggunakan kata berimbuhan., dan  baik  dalam menulis kalimat menggunakan kata berimbuhan.</v>
      </c>
      <c r="AR8" s="219" t="str">
        <f t="shared" si="11"/>
        <v xml:space="preserve"> baik  dalam menulis kalimat menggunakan kata berimbuhan.</v>
      </c>
      <c r="AS8" s="220" t="str">
        <f t="shared" si="12"/>
        <v xml:space="preserve"> baik  dalam menulis kalimat menggunakan kata berimbuhan.</v>
      </c>
      <c r="AT8" s="214" t="str">
        <f t="shared" si="13"/>
        <v>Anak 4 baik  dalam menulis kalimat menggunakan kata berimbuhan.</v>
      </c>
      <c r="AU8" s="120"/>
      <c r="BE8" s="408">
        <f t="shared" si="14"/>
        <v>87</v>
      </c>
    </row>
    <row r="9" spans="1:66" ht="63.75" customHeight="1">
      <c r="B9" s="109">
        <v>5</v>
      </c>
      <c r="C9" s="110">
        <f>SISWA!B10</f>
        <v>0</v>
      </c>
      <c r="D9" s="111" t="str">
        <f>SISWA!E10</f>
        <v>Anak 5</v>
      </c>
      <c r="E9" s="520"/>
      <c r="F9" s="520"/>
      <c r="G9" s="520"/>
      <c r="H9" s="520"/>
      <c r="I9" s="520"/>
      <c r="J9" s="520"/>
      <c r="K9" s="520"/>
      <c r="L9" s="520"/>
      <c r="M9" s="520"/>
      <c r="N9" s="520"/>
      <c r="O9" s="520"/>
      <c r="P9" s="520"/>
      <c r="Q9" s="533" t="str">
        <f t="shared" si="4"/>
        <v/>
      </c>
      <c r="R9" s="533" t="str">
        <f t="shared" si="5"/>
        <v/>
      </c>
      <c r="S9" s="533" t="str">
        <f t="shared" si="6"/>
        <v/>
      </c>
      <c r="T9" s="533" t="str">
        <f t="shared" si="7"/>
        <v/>
      </c>
      <c r="U9" s="513"/>
      <c r="V9" s="125"/>
      <c r="W9" s="125"/>
      <c r="X9" s="125"/>
      <c r="Y9" s="125"/>
      <c r="Z9" s="124"/>
      <c r="AA9" s="124"/>
      <c r="AB9" s="124"/>
      <c r="AC9" s="124"/>
      <c r="AD9" s="125"/>
      <c r="AE9" s="125"/>
      <c r="AF9" s="124"/>
      <c r="AG9" s="302" t="e">
        <f t="shared" si="8"/>
        <v>#DIV/0!</v>
      </c>
      <c r="AH9" s="303" t="e">
        <f>IF(AG9&gt;KKM!$G$10,"A",IF(AG9&gt;KKM!$H$10,"B",IF(AG9&gt;=KKM!$I$10,"C","D")))</f>
        <v>#DIV/0!</v>
      </c>
      <c r="AI9" s="304">
        <f t="shared" si="0"/>
        <v>0</v>
      </c>
      <c r="AJ9" s="309" t="str">
        <f>IF(AI9&gt;KKM!$G$10," sangat baik ",IF(AI9&gt;KKM!$H$10," baik ",IF(AI9&gt;=KKM!$I$10," cukup baik "," perlu bimbingan ")))</f>
        <v xml:space="preserve"> perlu bimbingan </v>
      </c>
      <c r="AK9" s="305">
        <f t="shared" si="1"/>
        <v>0</v>
      </c>
      <c r="AL9" s="309" t="str">
        <f>IF(AK9&gt;KKM!$G$10," sangat baik ",IF(AK9&gt;KKM!$H$10," baik ",IF(AK9&gt;=KKM!$I$10," cukup baik "," perlu bimbingan ")))</f>
        <v xml:space="preserve"> perlu bimbingan </v>
      </c>
      <c r="AM9" s="301" t="str">
        <f t="shared" si="9"/>
        <v xml:space="preserve"> </v>
      </c>
      <c r="AN9" s="218"/>
      <c r="AO9" s="219" t="e">
        <f t="shared" si="2"/>
        <v>#N/A</v>
      </c>
      <c r="AP9" s="219" t="e">
        <f t="shared" si="3"/>
        <v>#N/A</v>
      </c>
      <c r="AQ9" s="219" t="e">
        <f t="shared" si="10"/>
        <v>#N/A</v>
      </c>
      <c r="AR9" s="219" t="e">
        <f t="shared" si="11"/>
        <v>#N/A</v>
      </c>
      <c r="AS9" s="220" t="e">
        <f t="shared" si="12"/>
        <v>#N/A</v>
      </c>
      <c r="AT9" s="214" t="e">
        <f t="shared" si="13"/>
        <v>#N/A</v>
      </c>
      <c r="AU9" s="120"/>
      <c r="BE9" s="408" t="str">
        <f t="shared" si="14"/>
        <v/>
      </c>
    </row>
    <row r="10" spans="1:66" ht="63.75" customHeight="1">
      <c r="B10" s="109">
        <v>6</v>
      </c>
      <c r="C10" s="110">
        <f>SISWA!B11</f>
        <v>0</v>
      </c>
      <c r="D10" s="111" t="str">
        <f>SISWA!E11</f>
        <v>Anak 6</v>
      </c>
      <c r="E10" s="520"/>
      <c r="F10" s="520"/>
      <c r="G10" s="520"/>
      <c r="H10" s="520"/>
      <c r="I10" s="520"/>
      <c r="J10" s="520"/>
      <c r="K10" s="520"/>
      <c r="L10" s="520"/>
      <c r="M10" s="520"/>
      <c r="N10" s="520"/>
      <c r="O10" s="520"/>
      <c r="P10" s="520"/>
      <c r="Q10" s="533" t="str">
        <f t="shared" si="4"/>
        <v/>
      </c>
      <c r="R10" s="533" t="str">
        <f t="shared" si="5"/>
        <v/>
      </c>
      <c r="S10" s="533" t="str">
        <f t="shared" si="6"/>
        <v/>
      </c>
      <c r="T10" s="533" t="str">
        <f t="shared" si="7"/>
        <v/>
      </c>
      <c r="U10" s="513"/>
      <c r="V10" s="125"/>
      <c r="W10" s="125"/>
      <c r="X10" s="125"/>
      <c r="Y10" s="125"/>
      <c r="Z10" s="124"/>
      <c r="AA10" s="124"/>
      <c r="AB10" s="124"/>
      <c r="AC10" s="124"/>
      <c r="AD10" s="125"/>
      <c r="AE10" s="125"/>
      <c r="AF10" s="124"/>
      <c r="AG10" s="302" t="e">
        <f t="shared" si="8"/>
        <v>#DIV/0!</v>
      </c>
      <c r="AH10" s="303" t="e">
        <f>IF(AG10&gt;KKM!$G$10,"A",IF(AG10&gt;KKM!$H$10,"B",IF(AG10&gt;=KKM!$I$10,"C","D")))</f>
        <v>#DIV/0!</v>
      </c>
      <c r="AI10" s="304">
        <f t="shared" si="0"/>
        <v>0</v>
      </c>
      <c r="AJ10" s="309" t="str">
        <f>IF(AI10&gt;KKM!$G$10," sangat baik ",IF(AI10&gt;KKM!$H$10," baik ",IF(AI10&gt;=KKM!$I$10," cukup baik "," perlu bimbingan ")))</f>
        <v xml:space="preserve"> perlu bimbingan </v>
      </c>
      <c r="AK10" s="305">
        <f t="shared" si="1"/>
        <v>0</v>
      </c>
      <c r="AL10" s="309" t="str">
        <f>IF(AK10&gt;KKM!$G$10," sangat baik ",IF(AK10&gt;KKM!$H$10," baik ",IF(AK10&gt;=KKM!$I$10," cukup baik "," perlu bimbingan ")))</f>
        <v xml:space="preserve"> perlu bimbingan </v>
      </c>
      <c r="AM10" s="301" t="str">
        <f t="shared" si="9"/>
        <v xml:space="preserve"> </v>
      </c>
      <c r="AN10" s="218"/>
      <c r="AO10" s="219" t="e">
        <f t="shared" si="2"/>
        <v>#N/A</v>
      </c>
      <c r="AP10" s="219" t="e">
        <f t="shared" si="3"/>
        <v>#N/A</v>
      </c>
      <c r="AQ10" s="219" t="e">
        <f t="shared" si="10"/>
        <v>#N/A</v>
      </c>
      <c r="AR10" s="219" t="e">
        <f t="shared" si="11"/>
        <v>#N/A</v>
      </c>
      <c r="AS10" s="220" t="e">
        <f t="shared" si="12"/>
        <v>#N/A</v>
      </c>
      <c r="AT10" s="214" t="e">
        <f t="shared" si="13"/>
        <v>#N/A</v>
      </c>
      <c r="AU10" s="120"/>
      <c r="BE10" s="408" t="str">
        <f t="shared" si="14"/>
        <v/>
      </c>
    </row>
    <row r="11" spans="1:66" ht="63.75" customHeight="1">
      <c r="B11" s="109">
        <v>7</v>
      </c>
      <c r="C11" s="110">
        <f>SISWA!B12</f>
        <v>0</v>
      </c>
      <c r="D11" s="111" t="str">
        <f>SISWA!E12</f>
        <v>Anak 7</v>
      </c>
      <c r="E11" s="520"/>
      <c r="F11" s="520"/>
      <c r="G11" s="520"/>
      <c r="H11" s="520"/>
      <c r="I11" s="520"/>
      <c r="J11" s="520"/>
      <c r="K11" s="520"/>
      <c r="L11" s="520"/>
      <c r="M11" s="520"/>
      <c r="N11" s="520"/>
      <c r="O11" s="520"/>
      <c r="P11" s="520"/>
      <c r="Q11" s="533" t="str">
        <f t="shared" si="4"/>
        <v/>
      </c>
      <c r="R11" s="533" t="str">
        <f t="shared" si="5"/>
        <v/>
      </c>
      <c r="S11" s="533" t="str">
        <f t="shared" si="6"/>
        <v/>
      </c>
      <c r="T11" s="533" t="str">
        <f t="shared" si="7"/>
        <v/>
      </c>
      <c r="U11" s="513"/>
      <c r="V11" s="125"/>
      <c r="W11" s="125"/>
      <c r="X11" s="125"/>
      <c r="Y11" s="125"/>
      <c r="Z11" s="124"/>
      <c r="AA11" s="124"/>
      <c r="AB11" s="124"/>
      <c r="AC11" s="124"/>
      <c r="AD11" s="125"/>
      <c r="AE11" s="125"/>
      <c r="AF11" s="124"/>
      <c r="AG11" s="302" t="e">
        <f t="shared" si="8"/>
        <v>#DIV/0!</v>
      </c>
      <c r="AH11" s="303" t="e">
        <f>IF(AG11&gt;KKM!$G$10,"A",IF(AG11&gt;KKM!$H$10,"B",IF(AG11&gt;=KKM!$I$10,"C","D")))</f>
        <v>#DIV/0!</v>
      </c>
      <c r="AI11" s="304">
        <f t="shared" si="0"/>
        <v>0</v>
      </c>
      <c r="AJ11" s="309" t="str">
        <f>IF(AI11&gt;KKM!$G$10," sangat baik ",IF(AI11&gt;KKM!$H$10," baik ",IF(AI11&gt;=KKM!$I$10," cukup baik "," perlu bimbingan ")))</f>
        <v xml:space="preserve"> perlu bimbingan </v>
      </c>
      <c r="AK11" s="305">
        <f t="shared" si="1"/>
        <v>0</v>
      </c>
      <c r="AL11" s="309" t="str">
        <f>IF(AK11&gt;KKM!$G$10," sangat baik ",IF(AK11&gt;KKM!$H$10," baik ",IF(AK11&gt;=KKM!$I$10," cukup baik "," perlu bimbingan ")))</f>
        <v xml:space="preserve"> perlu bimbingan </v>
      </c>
      <c r="AM11" s="301" t="str">
        <f t="shared" si="9"/>
        <v xml:space="preserve"> </v>
      </c>
      <c r="AN11" s="218"/>
      <c r="AO11" s="219" t="e">
        <f t="shared" si="2"/>
        <v>#N/A</v>
      </c>
      <c r="AP11" s="219" t="e">
        <f t="shared" si="3"/>
        <v>#N/A</v>
      </c>
      <c r="AQ11" s="219" t="e">
        <f t="shared" si="10"/>
        <v>#N/A</v>
      </c>
      <c r="AR11" s="219" t="e">
        <f t="shared" si="11"/>
        <v>#N/A</v>
      </c>
      <c r="AS11" s="220" t="e">
        <f t="shared" si="12"/>
        <v>#N/A</v>
      </c>
      <c r="AT11" s="214" t="e">
        <f t="shared" si="13"/>
        <v>#N/A</v>
      </c>
      <c r="AU11" s="120"/>
      <c r="BE11" s="408" t="str">
        <f t="shared" si="14"/>
        <v/>
      </c>
    </row>
    <row r="12" spans="1:66" ht="63.75" customHeight="1">
      <c r="B12" s="109">
        <v>8</v>
      </c>
      <c r="C12" s="110">
        <f>SISWA!B13</f>
        <v>0</v>
      </c>
      <c r="D12" s="111" t="str">
        <f>SISWA!E13</f>
        <v>Anak 8</v>
      </c>
      <c r="E12" s="520"/>
      <c r="F12" s="520"/>
      <c r="G12" s="520"/>
      <c r="H12" s="520"/>
      <c r="I12" s="520"/>
      <c r="J12" s="520"/>
      <c r="K12" s="520"/>
      <c r="L12" s="520"/>
      <c r="M12" s="520"/>
      <c r="N12" s="520"/>
      <c r="O12" s="520"/>
      <c r="P12" s="520"/>
      <c r="Q12" s="533" t="str">
        <f t="shared" si="4"/>
        <v/>
      </c>
      <c r="R12" s="533" t="str">
        <f t="shared" si="5"/>
        <v/>
      </c>
      <c r="S12" s="533" t="str">
        <f t="shared" si="6"/>
        <v/>
      </c>
      <c r="T12" s="533" t="str">
        <f t="shared" si="7"/>
        <v/>
      </c>
      <c r="U12" s="513"/>
      <c r="V12" s="125"/>
      <c r="W12" s="125"/>
      <c r="X12" s="125"/>
      <c r="Y12" s="125"/>
      <c r="Z12" s="124"/>
      <c r="AA12" s="124"/>
      <c r="AB12" s="124"/>
      <c r="AC12" s="124"/>
      <c r="AD12" s="125"/>
      <c r="AE12" s="125"/>
      <c r="AF12" s="124"/>
      <c r="AG12" s="302" t="e">
        <f t="shared" si="8"/>
        <v>#DIV/0!</v>
      </c>
      <c r="AH12" s="303" t="e">
        <f>IF(AG12&gt;KKM!$G$10,"A",IF(AG12&gt;KKM!$H$10,"B",IF(AG12&gt;=KKM!$I$10,"C","D")))</f>
        <v>#DIV/0!</v>
      </c>
      <c r="AI12" s="304">
        <f t="shared" si="0"/>
        <v>0</v>
      </c>
      <c r="AJ12" s="309" t="str">
        <f>IF(AI12&gt;KKM!$G$10," sangat baik ",IF(AI12&gt;KKM!$H$10," baik ",IF(AI12&gt;=KKM!$I$10," cukup baik "," perlu bimbingan ")))</f>
        <v xml:space="preserve"> perlu bimbingan </v>
      </c>
      <c r="AK12" s="305">
        <f t="shared" si="1"/>
        <v>0</v>
      </c>
      <c r="AL12" s="309" t="str">
        <f>IF(AK12&gt;KKM!$G$10," sangat baik ",IF(AK12&gt;KKM!$H$10," baik ",IF(AK12&gt;=KKM!$I$10," cukup baik "," perlu bimbingan ")))</f>
        <v xml:space="preserve"> perlu bimbingan </v>
      </c>
      <c r="AM12" s="301" t="str">
        <f t="shared" si="9"/>
        <v xml:space="preserve"> </v>
      </c>
      <c r="AN12" s="218"/>
      <c r="AO12" s="219" t="e">
        <f t="shared" si="2"/>
        <v>#N/A</v>
      </c>
      <c r="AP12" s="219" t="e">
        <f t="shared" si="3"/>
        <v>#N/A</v>
      </c>
      <c r="AQ12" s="219" t="e">
        <f t="shared" si="10"/>
        <v>#N/A</v>
      </c>
      <c r="AR12" s="219" t="e">
        <f t="shared" si="11"/>
        <v>#N/A</v>
      </c>
      <c r="AS12" s="220" t="e">
        <f t="shared" si="12"/>
        <v>#N/A</v>
      </c>
      <c r="AT12" s="214" t="e">
        <f t="shared" si="13"/>
        <v>#N/A</v>
      </c>
      <c r="AU12" s="120"/>
      <c r="BE12" s="408" t="str">
        <f t="shared" si="14"/>
        <v/>
      </c>
    </row>
    <row r="13" spans="1:66" ht="63.75" customHeight="1">
      <c r="B13" s="109">
        <v>9</v>
      </c>
      <c r="C13" s="110">
        <f>SISWA!B14</f>
        <v>0</v>
      </c>
      <c r="D13" s="111" t="str">
        <f>SISWA!E14</f>
        <v>Anak 9</v>
      </c>
      <c r="E13" s="520"/>
      <c r="F13" s="520"/>
      <c r="G13" s="520"/>
      <c r="H13" s="520"/>
      <c r="I13" s="520"/>
      <c r="J13" s="520"/>
      <c r="K13" s="520"/>
      <c r="L13" s="520"/>
      <c r="M13" s="520"/>
      <c r="N13" s="520"/>
      <c r="O13" s="520"/>
      <c r="P13" s="520"/>
      <c r="Q13" s="533" t="str">
        <f t="shared" si="4"/>
        <v/>
      </c>
      <c r="R13" s="533" t="str">
        <f t="shared" si="5"/>
        <v/>
      </c>
      <c r="S13" s="533" t="str">
        <f t="shared" si="6"/>
        <v/>
      </c>
      <c r="T13" s="533" t="str">
        <f t="shared" si="7"/>
        <v/>
      </c>
      <c r="U13" s="513"/>
      <c r="V13" s="125"/>
      <c r="W13" s="125"/>
      <c r="X13" s="125"/>
      <c r="Y13" s="125"/>
      <c r="Z13" s="124"/>
      <c r="AA13" s="124"/>
      <c r="AB13" s="124"/>
      <c r="AC13" s="124"/>
      <c r="AD13" s="125"/>
      <c r="AE13" s="125"/>
      <c r="AF13" s="124"/>
      <c r="AG13" s="302" t="e">
        <f t="shared" si="8"/>
        <v>#DIV/0!</v>
      </c>
      <c r="AH13" s="303" t="e">
        <f>IF(AG13&gt;KKM!$G$10,"A",IF(AG13&gt;KKM!$H$10,"B",IF(AG13&gt;=KKM!$I$10,"C","D")))</f>
        <v>#DIV/0!</v>
      </c>
      <c r="AI13" s="304">
        <f t="shared" si="0"/>
        <v>0</v>
      </c>
      <c r="AJ13" s="309" t="str">
        <f>IF(AI13&gt;KKM!$G$10," sangat baik ",IF(AI13&gt;KKM!$H$10," baik ",IF(AI13&gt;=KKM!$I$10," cukup baik "," perlu bimbingan ")))</f>
        <v xml:space="preserve"> perlu bimbingan </v>
      </c>
      <c r="AK13" s="305">
        <f t="shared" si="1"/>
        <v>0</v>
      </c>
      <c r="AL13" s="309" t="str">
        <f>IF(AK13&gt;KKM!$G$10," sangat baik ",IF(AK13&gt;KKM!$H$10," baik ",IF(AK13&gt;=KKM!$I$10," cukup baik "," perlu bimbingan ")))</f>
        <v xml:space="preserve"> perlu bimbingan </v>
      </c>
      <c r="AM13" s="301" t="str">
        <f t="shared" si="9"/>
        <v xml:space="preserve"> </v>
      </c>
      <c r="AN13" s="218"/>
      <c r="AO13" s="219" t="e">
        <f t="shared" si="2"/>
        <v>#N/A</v>
      </c>
      <c r="AP13" s="219" t="e">
        <f t="shared" si="3"/>
        <v>#N/A</v>
      </c>
      <c r="AQ13" s="219" t="e">
        <f t="shared" si="10"/>
        <v>#N/A</v>
      </c>
      <c r="AR13" s="219" t="e">
        <f t="shared" si="11"/>
        <v>#N/A</v>
      </c>
      <c r="AS13" s="220" t="e">
        <f t="shared" si="12"/>
        <v>#N/A</v>
      </c>
      <c r="AT13" s="214" t="e">
        <f t="shared" si="13"/>
        <v>#N/A</v>
      </c>
      <c r="AU13" s="120"/>
      <c r="BE13" s="408" t="str">
        <f t="shared" si="14"/>
        <v/>
      </c>
    </row>
    <row r="14" spans="1:66" ht="63.75" customHeight="1">
      <c r="B14" s="109">
        <v>10</v>
      </c>
      <c r="C14" s="110">
        <f>SISWA!B15</f>
        <v>0</v>
      </c>
      <c r="D14" s="111" t="str">
        <f>SISWA!E15</f>
        <v>Anak 10</v>
      </c>
      <c r="E14" s="520"/>
      <c r="F14" s="520"/>
      <c r="G14" s="520"/>
      <c r="H14" s="520"/>
      <c r="I14" s="520"/>
      <c r="J14" s="520"/>
      <c r="K14" s="520"/>
      <c r="L14" s="520"/>
      <c r="M14" s="520"/>
      <c r="N14" s="520"/>
      <c r="O14" s="520"/>
      <c r="P14" s="520"/>
      <c r="Q14" s="533" t="str">
        <f t="shared" si="4"/>
        <v/>
      </c>
      <c r="R14" s="533" t="str">
        <f t="shared" si="5"/>
        <v/>
      </c>
      <c r="S14" s="533" t="str">
        <f t="shared" si="6"/>
        <v/>
      </c>
      <c r="T14" s="533" t="str">
        <f t="shared" si="7"/>
        <v/>
      </c>
      <c r="U14" s="513"/>
      <c r="V14" s="125"/>
      <c r="W14" s="125"/>
      <c r="X14" s="125"/>
      <c r="Y14" s="125"/>
      <c r="Z14" s="124"/>
      <c r="AA14" s="124"/>
      <c r="AB14" s="124"/>
      <c r="AC14" s="124"/>
      <c r="AD14" s="125"/>
      <c r="AE14" s="125"/>
      <c r="AF14" s="124"/>
      <c r="AG14" s="302" t="e">
        <f t="shared" si="8"/>
        <v>#DIV/0!</v>
      </c>
      <c r="AH14" s="303" t="e">
        <f>IF(AG14&gt;KKM!$G$10,"A",IF(AG14&gt;KKM!$H$10,"B",IF(AG14&gt;=KKM!$I$10,"C","D")))</f>
        <v>#DIV/0!</v>
      </c>
      <c r="AI14" s="304">
        <f t="shared" si="0"/>
        <v>0</v>
      </c>
      <c r="AJ14" s="309" t="str">
        <f>IF(AI14&gt;KKM!$G$10," sangat baik ",IF(AI14&gt;KKM!$H$10," baik ",IF(AI14&gt;=KKM!$I$10," cukup baik "," perlu bimbingan ")))</f>
        <v xml:space="preserve"> perlu bimbingan </v>
      </c>
      <c r="AK14" s="305">
        <f t="shared" si="1"/>
        <v>0</v>
      </c>
      <c r="AL14" s="309" t="str">
        <f>IF(AK14&gt;KKM!$G$10," sangat baik ",IF(AK14&gt;KKM!$H$10," baik ",IF(AK14&gt;=KKM!$I$10," cukup baik "," perlu bimbingan ")))</f>
        <v xml:space="preserve"> perlu bimbingan </v>
      </c>
      <c r="AM14" s="301" t="str">
        <f t="shared" si="9"/>
        <v xml:space="preserve"> </v>
      </c>
      <c r="AN14" s="218"/>
      <c r="AO14" s="219" t="e">
        <f t="shared" si="2"/>
        <v>#N/A</v>
      </c>
      <c r="AP14" s="219" t="e">
        <f t="shared" si="3"/>
        <v>#N/A</v>
      </c>
      <c r="AQ14" s="219" t="e">
        <f t="shared" si="10"/>
        <v>#N/A</v>
      </c>
      <c r="AR14" s="219" t="e">
        <f t="shared" si="11"/>
        <v>#N/A</v>
      </c>
      <c r="AS14" s="220" t="e">
        <f t="shared" si="12"/>
        <v>#N/A</v>
      </c>
      <c r="AT14" s="214" t="e">
        <f t="shared" si="13"/>
        <v>#N/A</v>
      </c>
      <c r="AU14" s="120"/>
      <c r="BE14" s="408" t="str">
        <f t="shared" si="14"/>
        <v/>
      </c>
    </row>
    <row r="15" spans="1:66" ht="63.75" customHeight="1">
      <c r="B15" s="109">
        <v>11</v>
      </c>
      <c r="C15" s="110">
        <f>SISWA!B16</f>
        <v>0</v>
      </c>
      <c r="D15" s="111" t="str">
        <f>SISWA!E16</f>
        <v>Anak 11</v>
      </c>
      <c r="E15" s="520"/>
      <c r="F15" s="520"/>
      <c r="G15" s="520"/>
      <c r="H15" s="520"/>
      <c r="I15" s="520"/>
      <c r="J15" s="520"/>
      <c r="K15" s="520"/>
      <c r="L15" s="520"/>
      <c r="M15" s="520"/>
      <c r="N15" s="520"/>
      <c r="O15" s="520"/>
      <c r="P15" s="520"/>
      <c r="Q15" s="533" t="str">
        <f t="shared" si="4"/>
        <v/>
      </c>
      <c r="R15" s="533" t="str">
        <f t="shared" si="5"/>
        <v/>
      </c>
      <c r="S15" s="533" t="str">
        <f t="shared" si="6"/>
        <v/>
      </c>
      <c r="T15" s="533" t="str">
        <f t="shared" si="7"/>
        <v/>
      </c>
      <c r="U15" s="513"/>
      <c r="V15" s="125"/>
      <c r="W15" s="125"/>
      <c r="X15" s="125"/>
      <c r="Y15" s="125"/>
      <c r="Z15" s="124"/>
      <c r="AA15" s="124"/>
      <c r="AB15" s="124"/>
      <c r="AC15" s="124"/>
      <c r="AD15" s="125"/>
      <c r="AE15" s="125"/>
      <c r="AF15" s="124"/>
      <c r="AG15" s="302" t="e">
        <f t="shared" si="8"/>
        <v>#DIV/0!</v>
      </c>
      <c r="AH15" s="303" t="e">
        <f>IF(AG15&gt;KKM!$G$10,"A",IF(AG15&gt;KKM!$H$10,"B",IF(AG15&gt;=KKM!$I$10,"C","D")))</f>
        <v>#DIV/0!</v>
      </c>
      <c r="AI15" s="304">
        <f t="shared" si="0"/>
        <v>0</v>
      </c>
      <c r="AJ15" s="309" t="str">
        <f>IF(AI15&gt;KKM!$G$10," sangat baik ",IF(AI15&gt;KKM!$H$10," baik ",IF(AI15&gt;=KKM!$I$10," cukup baik "," perlu bimbingan ")))</f>
        <v xml:space="preserve"> perlu bimbingan </v>
      </c>
      <c r="AK15" s="305">
        <f t="shared" si="1"/>
        <v>0</v>
      </c>
      <c r="AL15" s="309" t="str">
        <f>IF(AK15&gt;KKM!$G$10," sangat baik ",IF(AK15&gt;KKM!$H$10," baik ",IF(AK15&gt;=KKM!$I$10," cukup baik "," perlu bimbingan ")))</f>
        <v xml:space="preserve"> perlu bimbingan </v>
      </c>
      <c r="AM15" s="301" t="str">
        <f t="shared" si="9"/>
        <v xml:space="preserve"> </v>
      </c>
      <c r="AN15" s="218"/>
      <c r="AO15" s="219" t="e">
        <f t="shared" si="2"/>
        <v>#N/A</v>
      </c>
      <c r="AP15" s="219" t="e">
        <f t="shared" si="3"/>
        <v>#N/A</v>
      </c>
      <c r="AQ15" s="219" t="e">
        <f t="shared" si="10"/>
        <v>#N/A</v>
      </c>
      <c r="AR15" s="219" t="e">
        <f t="shared" si="11"/>
        <v>#N/A</v>
      </c>
      <c r="AS15" s="220" t="e">
        <f t="shared" si="12"/>
        <v>#N/A</v>
      </c>
      <c r="AT15" s="214" t="e">
        <f t="shared" si="13"/>
        <v>#N/A</v>
      </c>
      <c r="AU15" s="120"/>
      <c r="BE15" s="408" t="str">
        <f t="shared" si="14"/>
        <v/>
      </c>
    </row>
    <row r="16" spans="1:66" ht="63.75" customHeight="1">
      <c r="B16" s="109">
        <v>12</v>
      </c>
      <c r="C16" s="110">
        <f>SISWA!B17</f>
        <v>0</v>
      </c>
      <c r="D16" s="111" t="str">
        <f>SISWA!E17</f>
        <v>Anak 12</v>
      </c>
      <c r="E16" s="520"/>
      <c r="F16" s="520"/>
      <c r="G16" s="520"/>
      <c r="H16" s="520"/>
      <c r="I16" s="520"/>
      <c r="J16" s="520"/>
      <c r="K16" s="520"/>
      <c r="L16" s="520"/>
      <c r="M16" s="520"/>
      <c r="N16" s="520"/>
      <c r="O16" s="520"/>
      <c r="P16" s="520"/>
      <c r="Q16" s="533" t="str">
        <f t="shared" si="4"/>
        <v/>
      </c>
      <c r="R16" s="533" t="str">
        <f t="shared" si="5"/>
        <v/>
      </c>
      <c r="S16" s="533" t="str">
        <f t="shared" si="6"/>
        <v/>
      </c>
      <c r="T16" s="533" t="str">
        <f t="shared" si="7"/>
        <v/>
      </c>
      <c r="U16" s="513"/>
      <c r="V16" s="125"/>
      <c r="W16" s="125"/>
      <c r="X16" s="125"/>
      <c r="Y16" s="125"/>
      <c r="Z16" s="124"/>
      <c r="AA16" s="124"/>
      <c r="AB16" s="124"/>
      <c r="AC16" s="124"/>
      <c r="AD16" s="125"/>
      <c r="AE16" s="125"/>
      <c r="AF16" s="124"/>
      <c r="AG16" s="302" t="e">
        <f t="shared" si="8"/>
        <v>#DIV/0!</v>
      </c>
      <c r="AH16" s="303" t="e">
        <f>IF(AG16&gt;KKM!$G$10,"A",IF(AG16&gt;KKM!$H$10,"B",IF(AG16&gt;=KKM!$I$10,"C","D")))</f>
        <v>#DIV/0!</v>
      </c>
      <c r="AI16" s="304">
        <f t="shared" si="0"/>
        <v>0</v>
      </c>
      <c r="AJ16" s="309" t="str">
        <f>IF(AI16&gt;KKM!$G$10," sangat baik ",IF(AI16&gt;KKM!$H$10," baik ",IF(AI16&gt;=KKM!$I$10," cukup baik "," perlu bimbingan ")))</f>
        <v xml:space="preserve"> perlu bimbingan </v>
      </c>
      <c r="AK16" s="305">
        <f t="shared" si="1"/>
        <v>0</v>
      </c>
      <c r="AL16" s="309" t="str">
        <f>IF(AK16&gt;KKM!$G$10," sangat baik ",IF(AK16&gt;KKM!$H$10," baik ",IF(AK16&gt;=KKM!$I$10," cukup baik "," perlu bimbingan ")))</f>
        <v xml:space="preserve"> perlu bimbingan </v>
      </c>
      <c r="AM16" s="301" t="str">
        <f t="shared" si="9"/>
        <v xml:space="preserve"> </v>
      </c>
      <c r="AN16" s="218"/>
      <c r="AO16" s="219" t="e">
        <f t="shared" si="2"/>
        <v>#N/A</v>
      </c>
      <c r="AP16" s="219" t="e">
        <f t="shared" si="3"/>
        <v>#N/A</v>
      </c>
      <c r="AQ16" s="219" t="e">
        <f t="shared" si="10"/>
        <v>#N/A</v>
      </c>
      <c r="AR16" s="219" t="e">
        <f t="shared" si="11"/>
        <v>#N/A</v>
      </c>
      <c r="AS16" s="220" t="e">
        <f t="shared" si="12"/>
        <v>#N/A</v>
      </c>
      <c r="AT16" s="214" t="e">
        <f t="shared" si="13"/>
        <v>#N/A</v>
      </c>
      <c r="AU16" s="120"/>
      <c r="BE16" s="408" t="str">
        <f t="shared" si="14"/>
        <v/>
      </c>
    </row>
    <row r="17" spans="2:57" ht="63.75" customHeight="1">
      <c r="B17" s="109">
        <v>13</v>
      </c>
      <c r="C17" s="110">
        <f>SISWA!B18</f>
        <v>0</v>
      </c>
      <c r="D17" s="111" t="str">
        <f>SISWA!E18</f>
        <v>Anak 13</v>
      </c>
      <c r="E17" s="520"/>
      <c r="F17" s="520"/>
      <c r="G17" s="520"/>
      <c r="H17" s="520"/>
      <c r="I17" s="520"/>
      <c r="J17" s="520"/>
      <c r="K17" s="520"/>
      <c r="L17" s="520"/>
      <c r="M17" s="520"/>
      <c r="N17" s="520"/>
      <c r="O17" s="520"/>
      <c r="P17" s="520"/>
      <c r="Q17" s="533" t="str">
        <f t="shared" si="4"/>
        <v/>
      </c>
      <c r="R17" s="533" t="str">
        <f t="shared" si="5"/>
        <v/>
      </c>
      <c r="S17" s="533" t="str">
        <f t="shared" si="6"/>
        <v/>
      </c>
      <c r="T17" s="533" t="str">
        <f t="shared" si="7"/>
        <v/>
      </c>
      <c r="U17" s="513"/>
      <c r="V17" s="125"/>
      <c r="W17" s="125"/>
      <c r="X17" s="125"/>
      <c r="Y17" s="125"/>
      <c r="Z17" s="124"/>
      <c r="AA17" s="124"/>
      <c r="AB17" s="124"/>
      <c r="AC17" s="124"/>
      <c r="AD17" s="125"/>
      <c r="AE17" s="125"/>
      <c r="AF17" s="124"/>
      <c r="AG17" s="302" t="e">
        <f t="shared" si="8"/>
        <v>#DIV/0!</v>
      </c>
      <c r="AH17" s="303" t="e">
        <f>IF(AG17&gt;KKM!$G$10,"A",IF(AG17&gt;KKM!$H$10,"B",IF(AG17&gt;=KKM!$I$10,"C","D")))</f>
        <v>#DIV/0!</v>
      </c>
      <c r="AI17" s="304">
        <f t="shared" si="0"/>
        <v>0</v>
      </c>
      <c r="AJ17" s="309" t="str">
        <f>IF(AI17&gt;KKM!$G$10," sangat baik ",IF(AI17&gt;KKM!$H$10," baik ",IF(AI17&gt;=KKM!$I$10," cukup baik "," perlu bimbingan ")))</f>
        <v xml:space="preserve"> perlu bimbingan </v>
      </c>
      <c r="AK17" s="305">
        <f t="shared" si="1"/>
        <v>0</v>
      </c>
      <c r="AL17" s="309" t="str">
        <f>IF(AK17&gt;KKM!$G$10," sangat baik ",IF(AK17&gt;KKM!$H$10," baik ",IF(AK17&gt;=KKM!$I$10," cukup baik "," perlu bimbingan ")))</f>
        <v xml:space="preserve"> perlu bimbingan </v>
      </c>
      <c r="AM17" s="301" t="str">
        <f t="shared" si="9"/>
        <v xml:space="preserve"> </v>
      </c>
      <c r="AN17" s="218"/>
      <c r="AO17" s="219" t="e">
        <f t="shared" si="2"/>
        <v>#N/A</v>
      </c>
      <c r="AP17" s="219" t="e">
        <f t="shared" si="3"/>
        <v>#N/A</v>
      </c>
      <c r="AQ17" s="219" t="e">
        <f t="shared" si="10"/>
        <v>#N/A</v>
      </c>
      <c r="AR17" s="219" t="e">
        <f t="shared" si="11"/>
        <v>#N/A</v>
      </c>
      <c r="AS17" s="220" t="e">
        <f t="shared" si="12"/>
        <v>#N/A</v>
      </c>
      <c r="AT17" s="214" t="e">
        <f t="shared" si="13"/>
        <v>#N/A</v>
      </c>
      <c r="AU17" s="120"/>
      <c r="BE17" s="408" t="str">
        <f t="shared" si="14"/>
        <v/>
      </c>
    </row>
    <row r="18" spans="2:57" ht="63.75" customHeight="1">
      <c r="B18" s="109">
        <v>14</v>
      </c>
      <c r="C18" s="110">
        <f>SISWA!B19</f>
        <v>0</v>
      </c>
      <c r="D18" s="111" t="str">
        <f>SISWA!E19</f>
        <v>Anak 14</v>
      </c>
      <c r="E18" s="520"/>
      <c r="F18" s="520"/>
      <c r="G18" s="520"/>
      <c r="H18" s="520"/>
      <c r="I18" s="520"/>
      <c r="J18" s="520"/>
      <c r="K18" s="520"/>
      <c r="L18" s="520"/>
      <c r="M18" s="520"/>
      <c r="N18" s="520"/>
      <c r="O18" s="520"/>
      <c r="P18" s="520"/>
      <c r="Q18" s="533" t="str">
        <f t="shared" si="4"/>
        <v/>
      </c>
      <c r="R18" s="533" t="str">
        <f t="shared" si="5"/>
        <v/>
      </c>
      <c r="S18" s="533" t="str">
        <f t="shared" si="6"/>
        <v/>
      </c>
      <c r="T18" s="533" t="str">
        <f t="shared" si="7"/>
        <v/>
      </c>
      <c r="U18" s="513"/>
      <c r="V18" s="125"/>
      <c r="W18" s="125"/>
      <c r="X18" s="125"/>
      <c r="Y18" s="125"/>
      <c r="Z18" s="124"/>
      <c r="AA18" s="124"/>
      <c r="AB18" s="124"/>
      <c r="AC18" s="124"/>
      <c r="AD18" s="125"/>
      <c r="AE18" s="125"/>
      <c r="AF18" s="124"/>
      <c r="AG18" s="302" t="e">
        <f t="shared" si="8"/>
        <v>#DIV/0!</v>
      </c>
      <c r="AH18" s="303" t="e">
        <f>IF(AG18&gt;KKM!$G$10,"A",IF(AG18&gt;KKM!$H$10,"B",IF(AG18&gt;=KKM!$I$10,"C","D")))</f>
        <v>#DIV/0!</v>
      </c>
      <c r="AI18" s="304">
        <f t="shared" si="0"/>
        <v>0</v>
      </c>
      <c r="AJ18" s="309" t="str">
        <f>IF(AI18&gt;KKM!$G$10," sangat baik ",IF(AI18&gt;KKM!$H$10," baik ",IF(AI18&gt;=KKM!$I$10," cukup baik "," perlu bimbingan ")))</f>
        <v xml:space="preserve"> perlu bimbingan </v>
      </c>
      <c r="AK18" s="305">
        <f t="shared" si="1"/>
        <v>0</v>
      </c>
      <c r="AL18" s="309" t="str">
        <f>IF(AK18&gt;KKM!$G$10," sangat baik ",IF(AK18&gt;KKM!$H$10," baik ",IF(AK18&gt;=KKM!$I$10," cukup baik "," perlu bimbingan ")))</f>
        <v xml:space="preserve"> perlu bimbingan </v>
      </c>
      <c r="AM18" s="301" t="str">
        <f t="shared" si="9"/>
        <v xml:space="preserve"> </v>
      </c>
      <c r="AN18" s="218"/>
      <c r="AO18" s="219" t="e">
        <f t="shared" si="2"/>
        <v>#N/A</v>
      </c>
      <c r="AP18" s="219" t="e">
        <f t="shared" si="3"/>
        <v>#N/A</v>
      </c>
      <c r="AQ18" s="219" t="e">
        <f t="shared" si="10"/>
        <v>#N/A</v>
      </c>
      <c r="AR18" s="219" t="e">
        <f t="shared" si="11"/>
        <v>#N/A</v>
      </c>
      <c r="AS18" s="220" t="e">
        <f t="shared" si="12"/>
        <v>#N/A</v>
      </c>
      <c r="AT18" s="214" t="e">
        <f t="shared" si="13"/>
        <v>#N/A</v>
      </c>
      <c r="AU18" s="120"/>
      <c r="BE18" s="408" t="str">
        <f t="shared" si="14"/>
        <v/>
      </c>
    </row>
    <row r="19" spans="2:57" ht="63.75" customHeight="1">
      <c r="B19" s="109">
        <v>15</v>
      </c>
      <c r="C19" s="110">
        <f>SISWA!B20</f>
        <v>0</v>
      </c>
      <c r="D19" s="111" t="str">
        <f>SISWA!E20</f>
        <v>Anak 15</v>
      </c>
      <c r="E19" s="520"/>
      <c r="F19" s="520"/>
      <c r="G19" s="520"/>
      <c r="H19" s="520"/>
      <c r="I19" s="520"/>
      <c r="J19" s="520"/>
      <c r="K19" s="520"/>
      <c r="L19" s="520"/>
      <c r="M19" s="520"/>
      <c r="N19" s="520"/>
      <c r="O19" s="520"/>
      <c r="P19" s="520"/>
      <c r="Q19" s="533" t="str">
        <f t="shared" si="4"/>
        <v/>
      </c>
      <c r="R19" s="533" t="str">
        <f t="shared" si="5"/>
        <v/>
      </c>
      <c r="S19" s="533" t="str">
        <f t="shared" si="6"/>
        <v/>
      </c>
      <c r="T19" s="533" t="str">
        <f t="shared" si="7"/>
        <v/>
      </c>
      <c r="U19" s="513"/>
      <c r="V19" s="125"/>
      <c r="W19" s="125"/>
      <c r="X19" s="125"/>
      <c r="Y19" s="125"/>
      <c r="Z19" s="124"/>
      <c r="AA19" s="124"/>
      <c r="AB19" s="124"/>
      <c r="AC19" s="124"/>
      <c r="AD19" s="125"/>
      <c r="AE19" s="125"/>
      <c r="AF19" s="124"/>
      <c r="AG19" s="302" t="e">
        <f t="shared" si="8"/>
        <v>#DIV/0!</v>
      </c>
      <c r="AH19" s="303" t="e">
        <f>IF(AG19&gt;KKM!$G$10,"A",IF(AG19&gt;KKM!$H$10,"B",IF(AG19&gt;=KKM!$I$10,"C","D")))</f>
        <v>#DIV/0!</v>
      </c>
      <c r="AI19" s="304">
        <f t="shared" si="0"/>
        <v>0</v>
      </c>
      <c r="AJ19" s="309" t="str">
        <f>IF(AI19&gt;KKM!$G$10," sangat baik ",IF(AI19&gt;KKM!$H$10," baik ",IF(AI19&gt;=KKM!$I$10," cukup baik "," perlu bimbingan ")))</f>
        <v xml:space="preserve"> perlu bimbingan </v>
      </c>
      <c r="AK19" s="305">
        <f t="shared" si="1"/>
        <v>0</v>
      </c>
      <c r="AL19" s="309" t="str">
        <f>IF(AK19&gt;KKM!$G$10," sangat baik ",IF(AK19&gt;KKM!$H$10," baik ",IF(AK19&gt;=KKM!$I$10," cukup baik "," perlu bimbingan ")))</f>
        <v xml:space="preserve"> perlu bimbingan </v>
      </c>
      <c r="AM19" s="301" t="str">
        <f t="shared" si="9"/>
        <v xml:space="preserve"> </v>
      </c>
      <c r="AN19" s="218"/>
      <c r="AO19" s="219" t="e">
        <f t="shared" si="2"/>
        <v>#N/A</v>
      </c>
      <c r="AP19" s="219" t="e">
        <f t="shared" si="3"/>
        <v>#N/A</v>
      </c>
      <c r="AQ19" s="219" t="e">
        <f t="shared" si="10"/>
        <v>#N/A</v>
      </c>
      <c r="AR19" s="219" t="e">
        <f t="shared" si="11"/>
        <v>#N/A</v>
      </c>
      <c r="AS19" s="220" t="e">
        <f t="shared" si="12"/>
        <v>#N/A</v>
      </c>
      <c r="AT19" s="214" t="e">
        <f t="shared" si="13"/>
        <v>#N/A</v>
      </c>
      <c r="AU19" s="120"/>
      <c r="BE19" s="408" t="str">
        <f t="shared" si="14"/>
        <v/>
      </c>
    </row>
    <row r="20" spans="2:57" ht="63.75" customHeight="1">
      <c r="B20" s="109">
        <v>16</v>
      </c>
      <c r="C20" s="110">
        <f>SISWA!B21</f>
        <v>0</v>
      </c>
      <c r="D20" s="111" t="str">
        <f>SISWA!E21</f>
        <v>Anak 16</v>
      </c>
      <c r="E20" s="520"/>
      <c r="F20" s="520"/>
      <c r="G20" s="520"/>
      <c r="H20" s="520"/>
      <c r="I20" s="520"/>
      <c r="J20" s="520"/>
      <c r="K20" s="520"/>
      <c r="L20" s="520"/>
      <c r="M20" s="520"/>
      <c r="N20" s="520"/>
      <c r="O20" s="520"/>
      <c r="P20" s="520"/>
      <c r="Q20" s="533" t="str">
        <f t="shared" si="4"/>
        <v/>
      </c>
      <c r="R20" s="533" t="str">
        <f t="shared" si="5"/>
        <v/>
      </c>
      <c r="S20" s="533" t="str">
        <f t="shared" si="6"/>
        <v/>
      </c>
      <c r="T20" s="533" t="str">
        <f t="shared" si="7"/>
        <v/>
      </c>
      <c r="U20" s="513"/>
      <c r="V20" s="125"/>
      <c r="W20" s="125"/>
      <c r="X20" s="125"/>
      <c r="Y20" s="125"/>
      <c r="Z20" s="124"/>
      <c r="AA20" s="124"/>
      <c r="AB20" s="124"/>
      <c r="AC20" s="124"/>
      <c r="AD20" s="125"/>
      <c r="AE20" s="125"/>
      <c r="AF20" s="124"/>
      <c r="AG20" s="302" t="e">
        <f t="shared" si="8"/>
        <v>#DIV/0!</v>
      </c>
      <c r="AH20" s="303" t="e">
        <f>IF(AG20&gt;KKM!$G$10,"A",IF(AG20&gt;KKM!$H$10,"B",IF(AG20&gt;=KKM!$I$10,"C","D")))</f>
        <v>#DIV/0!</v>
      </c>
      <c r="AI20" s="304">
        <f t="shared" si="0"/>
        <v>0</v>
      </c>
      <c r="AJ20" s="309" t="str">
        <f>IF(AI20&gt;KKM!$G$10," sangat baik ",IF(AI20&gt;KKM!$H$10," baik ",IF(AI20&gt;=KKM!$I$10," cukup baik "," perlu bimbingan ")))</f>
        <v xml:space="preserve"> perlu bimbingan </v>
      </c>
      <c r="AK20" s="305">
        <f t="shared" si="1"/>
        <v>0</v>
      </c>
      <c r="AL20" s="309" t="str">
        <f>IF(AK20&gt;KKM!$G$10," sangat baik ",IF(AK20&gt;KKM!$H$10," baik ",IF(AK20&gt;=KKM!$I$10," cukup baik "," perlu bimbingan ")))</f>
        <v xml:space="preserve"> perlu bimbingan </v>
      </c>
      <c r="AM20" s="301" t="str">
        <f t="shared" si="9"/>
        <v xml:space="preserve"> </v>
      </c>
      <c r="AN20" s="218"/>
      <c r="AO20" s="219" t="e">
        <f t="shared" si="2"/>
        <v>#N/A</v>
      </c>
      <c r="AP20" s="219" t="e">
        <f t="shared" si="3"/>
        <v>#N/A</v>
      </c>
      <c r="AQ20" s="219" t="e">
        <f t="shared" si="10"/>
        <v>#N/A</v>
      </c>
      <c r="AR20" s="219" t="e">
        <f t="shared" si="11"/>
        <v>#N/A</v>
      </c>
      <c r="AS20" s="220" t="e">
        <f t="shared" si="12"/>
        <v>#N/A</v>
      </c>
      <c r="AT20" s="214" t="e">
        <f t="shared" si="13"/>
        <v>#N/A</v>
      </c>
      <c r="AU20" s="120"/>
      <c r="BE20" s="408" t="str">
        <f t="shared" si="14"/>
        <v/>
      </c>
    </row>
    <row r="21" spans="2:57" ht="63.75" customHeight="1">
      <c r="B21" s="109">
        <v>17</v>
      </c>
      <c r="C21" s="110">
        <f>SISWA!B22</f>
        <v>0</v>
      </c>
      <c r="D21" s="111" t="str">
        <f>SISWA!E22</f>
        <v>Anak 17</v>
      </c>
      <c r="E21" s="520"/>
      <c r="F21" s="520"/>
      <c r="G21" s="520"/>
      <c r="H21" s="520"/>
      <c r="I21" s="520"/>
      <c r="J21" s="520"/>
      <c r="K21" s="520"/>
      <c r="L21" s="520"/>
      <c r="M21" s="520"/>
      <c r="N21" s="520"/>
      <c r="O21" s="520"/>
      <c r="P21" s="520"/>
      <c r="Q21" s="533" t="str">
        <f t="shared" si="4"/>
        <v/>
      </c>
      <c r="R21" s="533" t="str">
        <f t="shared" si="5"/>
        <v/>
      </c>
      <c r="S21" s="533" t="str">
        <f t="shared" si="6"/>
        <v/>
      </c>
      <c r="T21" s="533" t="str">
        <f t="shared" si="7"/>
        <v/>
      </c>
      <c r="U21" s="513"/>
      <c r="V21" s="125"/>
      <c r="W21" s="125"/>
      <c r="X21" s="125"/>
      <c r="Y21" s="125"/>
      <c r="Z21" s="124"/>
      <c r="AA21" s="124"/>
      <c r="AB21" s="124"/>
      <c r="AC21" s="124"/>
      <c r="AD21" s="125"/>
      <c r="AE21" s="125"/>
      <c r="AF21" s="124"/>
      <c r="AG21" s="302" t="e">
        <f t="shared" si="8"/>
        <v>#DIV/0!</v>
      </c>
      <c r="AH21" s="303" t="e">
        <f>IF(AG21&gt;KKM!$G$10,"A",IF(AG21&gt;KKM!$H$10,"B",IF(AG21&gt;=KKM!$I$10,"C","D")))</f>
        <v>#DIV/0!</v>
      </c>
      <c r="AI21" s="304">
        <f t="shared" si="0"/>
        <v>0</v>
      </c>
      <c r="AJ21" s="309" t="str">
        <f>IF(AI21&gt;KKM!$G$10," sangat baik ",IF(AI21&gt;KKM!$H$10," baik ",IF(AI21&gt;=KKM!$I$10," cukup baik "," perlu bimbingan ")))</f>
        <v xml:space="preserve"> perlu bimbingan </v>
      </c>
      <c r="AK21" s="305">
        <f t="shared" si="1"/>
        <v>0</v>
      </c>
      <c r="AL21" s="309" t="str">
        <f>IF(AK21&gt;KKM!$G$10," sangat baik ",IF(AK21&gt;KKM!$H$10," baik ",IF(AK21&gt;=KKM!$I$10," cukup baik "," perlu bimbingan ")))</f>
        <v xml:space="preserve"> perlu bimbingan </v>
      </c>
      <c r="AM21" s="301" t="str">
        <f t="shared" si="9"/>
        <v xml:space="preserve"> </v>
      </c>
      <c r="AN21" s="218"/>
      <c r="AO21" s="219" t="e">
        <f t="shared" si="2"/>
        <v>#N/A</v>
      </c>
      <c r="AP21" s="219" t="e">
        <f t="shared" si="3"/>
        <v>#N/A</v>
      </c>
      <c r="AQ21" s="219" t="e">
        <f t="shared" si="10"/>
        <v>#N/A</v>
      </c>
      <c r="AR21" s="219" t="e">
        <f t="shared" si="11"/>
        <v>#N/A</v>
      </c>
      <c r="AS21" s="220" t="e">
        <f t="shared" si="12"/>
        <v>#N/A</v>
      </c>
      <c r="AT21" s="214" t="e">
        <f t="shared" si="13"/>
        <v>#N/A</v>
      </c>
      <c r="AU21" s="120"/>
      <c r="BE21" s="408" t="str">
        <f t="shared" si="14"/>
        <v/>
      </c>
    </row>
    <row r="22" spans="2:57" ht="63.75" customHeight="1">
      <c r="B22" s="109">
        <v>18</v>
      </c>
      <c r="C22" s="110">
        <f>SISWA!B23</f>
        <v>0</v>
      </c>
      <c r="D22" s="111" t="str">
        <f>SISWA!E23</f>
        <v>Anak 18</v>
      </c>
      <c r="E22" s="520"/>
      <c r="F22" s="520"/>
      <c r="G22" s="520"/>
      <c r="H22" s="520"/>
      <c r="I22" s="520"/>
      <c r="J22" s="520"/>
      <c r="K22" s="520"/>
      <c r="L22" s="520"/>
      <c r="M22" s="520"/>
      <c r="N22" s="520"/>
      <c r="O22" s="520"/>
      <c r="P22" s="520"/>
      <c r="Q22" s="533" t="str">
        <f t="shared" si="4"/>
        <v/>
      </c>
      <c r="R22" s="533" t="str">
        <f t="shared" si="5"/>
        <v/>
      </c>
      <c r="S22" s="533" t="str">
        <f t="shared" si="6"/>
        <v/>
      </c>
      <c r="T22" s="533" t="str">
        <f t="shared" si="7"/>
        <v/>
      </c>
      <c r="U22" s="513"/>
      <c r="V22" s="125"/>
      <c r="W22" s="125"/>
      <c r="X22" s="125"/>
      <c r="Y22" s="125"/>
      <c r="Z22" s="124"/>
      <c r="AA22" s="124"/>
      <c r="AB22" s="124"/>
      <c r="AC22" s="124"/>
      <c r="AD22" s="125"/>
      <c r="AE22" s="125"/>
      <c r="AF22" s="124"/>
      <c r="AG22" s="302" t="e">
        <f t="shared" si="8"/>
        <v>#DIV/0!</v>
      </c>
      <c r="AH22" s="303" t="e">
        <f>IF(AG22&gt;KKM!$G$10,"A",IF(AG22&gt;KKM!$H$10,"B",IF(AG22&gt;=KKM!$I$10,"C","D")))</f>
        <v>#DIV/0!</v>
      </c>
      <c r="AI22" s="304">
        <f t="shared" si="0"/>
        <v>0</v>
      </c>
      <c r="AJ22" s="309" t="str">
        <f>IF(AI22&gt;KKM!$G$10," sangat baik ",IF(AI22&gt;KKM!$H$10," baik ",IF(AI22&gt;=KKM!$I$10," cukup baik "," perlu bimbingan ")))</f>
        <v xml:space="preserve"> perlu bimbingan </v>
      </c>
      <c r="AK22" s="305">
        <f t="shared" si="1"/>
        <v>0</v>
      </c>
      <c r="AL22" s="309" t="str">
        <f>IF(AK22&gt;KKM!$G$10," sangat baik ",IF(AK22&gt;KKM!$H$10," baik ",IF(AK22&gt;=KKM!$I$10," cukup baik "," perlu bimbingan ")))</f>
        <v xml:space="preserve"> perlu bimbingan </v>
      </c>
      <c r="AM22" s="301" t="str">
        <f t="shared" si="9"/>
        <v xml:space="preserve"> </v>
      </c>
      <c r="AN22" s="218"/>
      <c r="AO22" s="219" t="e">
        <f t="shared" si="2"/>
        <v>#N/A</v>
      </c>
      <c r="AP22" s="219" t="e">
        <f t="shared" si="3"/>
        <v>#N/A</v>
      </c>
      <c r="AQ22" s="219" t="e">
        <f t="shared" si="10"/>
        <v>#N/A</v>
      </c>
      <c r="AR22" s="219" t="e">
        <f t="shared" si="11"/>
        <v>#N/A</v>
      </c>
      <c r="AS22" s="220" t="e">
        <f t="shared" si="12"/>
        <v>#N/A</v>
      </c>
      <c r="AT22" s="214" t="e">
        <f t="shared" si="13"/>
        <v>#N/A</v>
      </c>
      <c r="AU22" s="120"/>
      <c r="BE22" s="408" t="str">
        <f t="shared" si="14"/>
        <v/>
      </c>
    </row>
    <row r="23" spans="2:57" ht="63.75" customHeight="1">
      <c r="B23" s="109">
        <v>19</v>
      </c>
      <c r="C23" s="110">
        <f>SISWA!B24</f>
        <v>0</v>
      </c>
      <c r="D23" s="111" t="str">
        <f>SISWA!E24</f>
        <v>Anak 19</v>
      </c>
      <c r="E23" s="520"/>
      <c r="F23" s="520"/>
      <c r="G23" s="520"/>
      <c r="H23" s="520"/>
      <c r="I23" s="520"/>
      <c r="J23" s="520"/>
      <c r="K23" s="520"/>
      <c r="L23" s="520"/>
      <c r="M23" s="520"/>
      <c r="N23" s="520"/>
      <c r="O23" s="520"/>
      <c r="P23" s="520"/>
      <c r="Q23" s="533" t="str">
        <f t="shared" si="4"/>
        <v/>
      </c>
      <c r="R23" s="533" t="str">
        <f t="shared" si="5"/>
        <v/>
      </c>
      <c r="S23" s="533" t="str">
        <f t="shared" si="6"/>
        <v/>
      </c>
      <c r="T23" s="533" t="str">
        <f t="shared" si="7"/>
        <v/>
      </c>
      <c r="U23" s="513"/>
      <c r="V23" s="125"/>
      <c r="W23" s="125"/>
      <c r="X23" s="125"/>
      <c r="Y23" s="125"/>
      <c r="Z23" s="124"/>
      <c r="AA23" s="124"/>
      <c r="AB23" s="124"/>
      <c r="AC23" s="124"/>
      <c r="AD23" s="125"/>
      <c r="AE23" s="125"/>
      <c r="AF23" s="124"/>
      <c r="AG23" s="302" t="e">
        <f t="shared" si="8"/>
        <v>#DIV/0!</v>
      </c>
      <c r="AH23" s="303" t="e">
        <f>IF(AG23&gt;KKM!$G$10,"A",IF(AG23&gt;KKM!$H$10,"B",IF(AG23&gt;=KKM!$I$10,"C","D")))</f>
        <v>#DIV/0!</v>
      </c>
      <c r="AI23" s="304">
        <f t="shared" si="0"/>
        <v>0</v>
      </c>
      <c r="AJ23" s="309" t="str">
        <f>IF(AI23&gt;KKM!$G$10," sangat baik ",IF(AI23&gt;KKM!$H$10," baik ",IF(AI23&gt;=KKM!$I$10," cukup baik "," perlu bimbingan ")))</f>
        <v xml:space="preserve"> perlu bimbingan </v>
      </c>
      <c r="AK23" s="305">
        <f t="shared" si="1"/>
        <v>0</v>
      </c>
      <c r="AL23" s="309" t="str">
        <f>IF(AK23&gt;KKM!$G$10," sangat baik ",IF(AK23&gt;KKM!$H$10," baik ",IF(AK23&gt;=KKM!$I$10," cukup baik "," perlu bimbingan ")))</f>
        <v xml:space="preserve"> perlu bimbingan </v>
      </c>
      <c r="AM23" s="301" t="str">
        <f t="shared" si="9"/>
        <v xml:space="preserve"> </v>
      </c>
      <c r="AN23" s="218"/>
      <c r="AO23" s="219" t="e">
        <f t="shared" si="2"/>
        <v>#N/A</v>
      </c>
      <c r="AP23" s="219" t="e">
        <f t="shared" si="3"/>
        <v>#N/A</v>
      </c>
      <c r="AQ23" s="219" t="e">
        <f t="shared" si="10"/>
        <v>#N/A</v>
      </c>
      <c r="AR23" s="219" t="e">
        <f t="shared" si="11"/>
        <v>#N/A</v>
      </c>
      <c r="AS23" s="220" t="e">
        <f t="shared" si="12"/>
        <v>#N/A</v>
      </c>
      <c r="AT23" s="214" t="e">
        <f t="shared" si="13"/>
        <v>#N/A</v>
      </c>
      <c r="AU23" s="120"/>
      <c r="BE23" s="408" t="str">
        <f t="shared" si="14"/>
        <v/>
      </c>
    </row>
    <row r="24" spans="2:57" ht="63.75" customHeight="1">
      <c r="B24" s="109">
        <v>20</v>
      </c>
      <c r="C24" s="110">
        <f>SISWA!B25</f>
        <v>0</v>
      </c>
      <c r="D24" s="111" t="str">
        <f>SISWA!E25</f>
        <v>Anak 20</v>
      </c>
      <c r="E24" s="520"/>
      <c r="F24" s="520"/>
      <c r="G24" s="520"/>
      <c r="H24" s="520"/>
      <c r="I24" s="520"/>
      <c r="J24" s="520"/>
      <c r="K24" s="520"/>
      <c r="L24" s="520"/>
      <c r="M24" s="520"/>
      <c r="N24" s="520"/>
      <c r="O24" s="520"/>
      <c r="P24" s="520"/>
      <c r="Q24" s="533" t="str">
        <f t="shared" si="4"/>
        <v/>
      </c>
      <c r="R24" s="533" t="str">
        <f t="shared" si="5"/>
        <v/>
      </c>
      <c r="S24" s="533" t="str">
        <f t="shared" si="6"/>
        <v/>
      </c>
      <c r="T24" s="533" t="str">
        <f t="shared" si="7"/>
        <v/>
      </c>
      <c r="U24" s="513"/>
      <c r="V24" s="125"/>
      <c r="W24" s="125"/>
      <c r="X24" s="125"/>
      <c r="Y24" s="125"/>
      <c r="Z24" s="124"/>
      <c r="AA24" s="124"/>
      <c r="AB24" s="124"/>
      <c r="AC24" s="124"/>
      <c r="AD24" s="125"/>
      <c r="AE24" s="125"/>
      <c r="AF24" s="124"/>
      <c r="AG24" s="302" t="e">
        <f t="shared" si="8"/>
        <v>#DIV/0!</v>
      </c>
      <c r="AH24" s="303" t="e">
        <f>IF(AG24&gt;KKM!$G$10,"A",IF(AG24&gt;KKM!$H$10,"B",IF(AG24&gt;=KKM!$I$10,"C","D")))</f>
        <v>#DIV/0!</v>
      </c>
      <c r="AI24" s="304">
        <f t="shared" si="0"/>
        <v>0</v>
      </c>
      <c r="AJ24" s="309" t="str">
        <f>IF(AI24&gt;KKM!$G$10," sangat baik ",IF(AI24&gt;KKM!$H$10," baik ",IF(AI24&gt;=KKM!$I$10," cukup baik "," perlu bimbingan ")))</f>
        <v xml:space="preserve"> perlu bimbingan </v>
      </c>
      <c r="AK24" s="305">
        <f t="shared" si="1"/>
        <v>0</v>
      </c>
      <c r="AL24" s="309" t="str">
        <f>IF(AK24&gt;KKM!$G$10," sangat baik ",IF(AK24&gt;KKM!$H$10," baik ",IF(AK24&gt;=KKM!$I$10," cukup baik "," perlu bimbingan ")))</f>
        <v xml:space="preserve"> perlu bimbingan </v>
      </c>
      <c r="AM24" s="301" t="str">
        <f t="shared" si="9"/>
        <v xml:space="preserve"> </v>
      </c>
      <c r="AN24" s="218"/>
      <c r="AO24" s="219" t="e">
        <f t="shared" si="2"/>
        <v>#N/A</v>
      </c>
      <c r="AP24" s="219" t="e">
        <f t="shared" si="3"/>
        <v>#N/A</v>
      </c>
      <c r="AQ24" s="219" t="e">
        <f t="shared" si="10"/>
        <v>#N/A</v>
      </c>
      <c r="AR24" s="219" t="e">
        <f t="shared" si="11"/>
        <v>#N/A</v>
      </c>
      <c r="AS24" s="220" t="e">
        <f t="shared" si="12"/>
        <v>#N/A</v>
      </c>
      <c r="AT24" s="214" t="e">
        <f t="shared" si="13"/>
        <v>#N/A</v>
      </c>
      <c r="AU24" s="120"/>
      <c r="BE24" s="408" t="str">
        <f t="shared" si="14"/>
        <v/>
      </c>
    </row>
    <row r="25" spans="2:57" ht="63.75" customHeight="1">
      <c r="B25" s="109">
        <v>21</v>
      </c>
      <c r="C25" s="110">
        <f>SISWA!B26</f>
        <v>0</v>
      </c>
      <c r="D25" s="111" t="str">
        <f>SISWA!E26</f>
        <v>Anak 21</v>
      </c>
      <c r="E25" s="520"/>
      <c r="F25" s="520"/>
      <c r="G25" s="520"/>
      <c r="H25" s="520"/>
      <c r="I25" s="520"/>
      <c r="J25" s="520"/>
      <c r="K25" s="520"/>
      <c r="L25" s="520"/>
      <c r="M25" s="520"/>
      <c r="N25" s="520"/>
      <c r="O25" s="520"/>
      <c r="P25" s="520"/>
      <c r="Q25" s="533" t="str">
        <f t="shared" si="4"/>
        <v/>
      </c>
      <c r="R25" s="533" t="str">
        <f t="shared" si="5"/>
        <v/>
      </c>
      <c r="S25" s="533" t="str">
        <f t="shared" si="6"/>
        <v/>
      </c>
      <c r="T25" s="533" t="str">
        <f t="shared" si="7"/>
        <v/>
      </c>
      <c r="U25" s="513"/>
      <c r="V25" s="125"/>
      <c r="W25" s="125"/>
      <c r="X25" s="125"/>
      <c r="Y25" s="125"/>
      <c r="Z25" s="124"/>
      <c r="AA25" s="124"/>
      <c r="AB25" s="124"/>
      <c r="AC25" s="124"/>
      <c r="AD25" s="125"/>
      <c r="AE25" s="125"/>
      <c r="AF25" s="124"/>
      <c r="AG25" s="302" t="e">
        <f t="shared" si="8"/>
        <v>#DIV/0!</v>
      </c>
      <c r="AH25" s="303" t="e">
        <f>IF(AG25&gt;KKM!$G$10,"A",IF(AG25&gt;KKM!$H$10,"B",IF(AG25&gt;=KKM!$I$10,"C","D")))</f>
        <v>#DIV/0!</v>
      </c>
      <c r="AI25" s="304">
        <f t="shared" si="0"/>
        <v>0</v>
      </c>
      <c r="AJ25" s="309" t="str">
        <f>IF(AI25&gt;KKM!$G$10," sangat baik ",IF(AI25&gt;KKM!$H$10," baik ",IF(AI25&gt;=KKM!$I$10," cukup baik "," perlu bimbingan ")))</f>
        <v xml:space="preserve"> perlu bimbingan </v>
      </c>
      <c r="AK25" s="305">
        <f t="shared" si="1"/>
        <v>0</v>
      </c>
      <c r="AL25" s="309" t="str">
        <f>IF(AK25&gt;KKM!$G$10," sangat baik ",IF(AK25&gt;KKM!$H$10," baik ",IF(AK25&gt;=KKM!$I$10," cukup baik "," perlu bimbingan ")))</f>
        <v xml:space="preserve"> perlu bimbingan </v>
      </c>
      <c r="AM25" s="301" t="str">
        <f t="shared" si="9"/>
        <v xml:space="preserve"> </v>
      </c>
      <c r="AN25" s="218"/>
      <c r="AO25" s="219" t="e">
        <f t="shared" si="2"/>
        <v>#N/A</v>
      </c>
      <c r="AP25" s="219" t="e">
        <f t="shared" si="3"/>
        <v>#N/A</v>
      </c>
      <c r="AQ25" s="219" t="e">
        <f t="shared" si="10"/>
        <v>#N/A</v>
      </c>
      <c r="AR25" s="219" t="e">
        <f t="shared" si="11"/>
        <v>#N/A</v>
      </c>
      <c r="AS25" s="220" t="e">
        <f t="shared" si="12"/>
        <v>#N/A</v>
      </c>
      <c r="AT25" s="214" t="e">
        <f t="shared" si="13"/>
        <v>#N/A</v>
      </c>
      <c r="AU25" s="120"/>
      <c r="BE25" s="408" t="str">
        <f t="shared" si="14"/>
        <v/>
      </c>
    </row>
    <row r="26" spans="2:57" ht="63.75" customHeight="1">
      <c r="B26" s="109">
        <v>22</v>
      </c>
      <c r="C26" s="110">
        <f>SISWA!B27</f>
        <v>0</v>
      </c>
      <c r="D26" s="111" t="str">
        <f>SISWA!E27</f>
        <v>Anak 22</v>
      </c>
      <c r="E26" s="520"/>
      <c r="F26" s="520"/>
      <c r="G26" s="520"/>
      <c r="H26" s="520"/>
      <c r="I26" s="520"/>
      <c r="J26" s="520"/>
      <c r="K26" s="520"/>
      <c r="L26" s="520"/>
      <c r="M26" s="520"/>
      <c r="N26" s="520"/>
      <c r="O26" s="520"/>
      <c r="P26" s="520"/>
      <c r="Q26" s="533" t="str">
        <f t="shared" si="4"/>
        <v/>
      </c>
      <c r="R26" s="533" t="str">
        <f t="shared" si="5"/>
        <v/>
      </c>
      <c r="S26" s="533" t="str">
        <f t="shared" si="6"/>
        <v/>
      </c>
      <c r="T26" s="533" t="str">
        <f t="shared" si="7"/>
        <v/>
      </c>
      <c r="U26" s="513"/>
      <c r="V26" s="125"/>
      <c r="W26" s="125"/>
      <c r="X26" s="125"/>
      <c r="Y26" s="125"/>
      <c r="Z26" s="124"/>
      <c r="AA26" s="124"/>
      <c r="AB26" s="124"/>
      <c r="AC26" s="124"/>
      <c r="AD26" s="125"/>
      <c r="AE26" s="125"/>
      <c r="AF26" s="124"/>
      <c r="AG26" s="302" t="e">
        <f t="shared" si="8"/>
        <v>#DIV/0!</v>
      </c>
      <c r="AH26" s="303" t="e">
        <f>IF(AG26&gt;KKM!$G$10,"A",IF(AG26&gt;KKM!$H$10,"B",IF(AG26&gt;=KKM!$I$10,"C","D")))</f>
        <v>#DIV/0!</v>
      </c>
      <c r="AI26" s="304">
        <f t="shared" si="0"/>
        <v>0</v>
      </c>
      <c r="AJ26" s="309" t="str">
        <f>IF(AI26&gt;KKM!$G$10," sangat baik ",IF(AI26&gt;KKM!$H$10," baik ",IF(AI26&gt;=KKM!$I$10," cukup baik "," perlu bimbingan ")))</f>
        <v xml:space="preserve"> perlu bimbingan </v>
      </c>
      <c r="AK26" s="305">
        <f t="shared" si="1"/>
        <v>0</v>
      </c>
      <c r="AL26" s="309" t="str">
        <f>IF(AK26&gt;KKM!$G$10," sangat baik ",IF(AK26&gt;KKM!$H$10," baik ",IF(AK26&gt;=KKM!$I$10," cukup baik "," perlu bimbingan ")))</f>
        <v xml:space="preserve"> perlu bimbingan </v>
      </c>
      <c r="AM26" s="301" t="str">
        <f t="shared" si="9"/>
        <v xml:space="preserve"> </v>
      </c>
      <c r="AN26" s="218"/>
      <c r="AO26" s="219" t="e">
        <f t="shared" si="2"/>
        <v>#N/A</v>
      </c>
      <c r="AP26" s="219" t="e">
        <f t="shared" si="3"/>
        <v>#N/A</v>
      </c>
      <c r="AQ26" s="219" t="e">
        <f t="shared" si="10"/>
        <v>#N/A</v>
      </c>
      <c r="AR26" s="219" t="e">
        <f t="shared" si="11"/>
        <v>#N/A</v>
      </c>
      <c r="AS26" s="220" t="e">
        <f t="shared" si="12"/>
        <v>#N/A</v>
      </c>
      <c r="AT26" s="214" t="e">
        <f t="shared" si="13"/>
        <v>#N/A</v>
      </c>
      <c r="AU26" s="120"/>
      <c r="BE26" s="408" t="str">
        <f t="shared" si="14"/>
        <v/>
      </c>
    </row>
    <row r="27" spans="2:57" ht="63.75" customHeight="1">
      <c r="B27" s="109">
        <v>23</v>
      </c>
      <c r="C27" s="110">
        <f>SISWA!B28</f>
        <v>0</v>
      </c>
      <c r="D27" s="111" t="str">
        <f>SISWA!E28</f>
        <v>Anak 23</v>
      </c>
      <c r="E27" s="520"/>
      <c r="F27" s="520"/>
      <c r="G27" s="520"/>
      <c r="H27" s="520"/>
      <c r="I27" s="520"/>
      <c r="J27" s="520"/>
      <c r="K27" s="520"/>
      <c r="L27" s="520"/>
      <c r="M27" s="520"/>
      <c r="N27" s="520"/>
      <c r="O27" s="520"/>
      <c r="P27" s="520"/>
      <c r="Q27" s="533" t="str">
        <f t="shared" si="4"/>
        <v/>
      </c>
      <c r="R27" s="533" t="str">
        <f t="shared" si="5"/>
        <v/>
      </c>
      <c r="S27" s="533" t="str">
        <f t="shared" si="6"/>
        <v/>
      </c>
      <c r="T27" s="533" t="str">
        <f t="shared" si="7"/>
        <v/>
      </c>
      <c r="U27" s="513"/>
      <c r="V27" s="125"/>
      <c r="W27" s="125"/>
      <c r="X27" s="125"/>
      <c r="Y27" s="125"/>
      <c r="Z27" s="124"/>
      <c r="AA27" s="124"/>
      <c r="AB27" s="124"/>
      <c r="AC27" s="124"/>
      <c r="AD27" s="125"/>
      <c r="AE27" s="125"/>
      <c r="AF27" s="124"/>
      <c r="AG27" s="302" t="e">
        <f t="shared" si="8"/>
        <v>#DIV/0!</v>
      </c>
      <c r="AH27" s="303" t="e">
        <f>IF(AG27&gt;KKM!$G$10,"A",IF(AG27&gt;KKM!$H$10,"B",IF(AG27&gt;=KKM!$I$10,"C","D")))</f>
        <v>#DIV/0!</v>
      </c>
      <c r="AI27" s="304">
        <f t="shared" si="0"/>
        <v>0</v>
      </c>
      <c r="AJ27" s="309" t="str">
        <f>IF(AI27&gt;KKM!$G$10," sangat baik ",IF(AI27&gt;KKM!$H$10," baik ",IF(AI27&gt;=KKM!$I$10," cukup baik "," perlu bimbingan ")))</f>
        <v xml:space="preserve"> perlu bimbingan </v>
      </c>
      <c r="AK27" s="305">
        <f t="shared" si="1"/>
        <v>0</v>
      </c>
      <c r="AL27" s="309" t="str">
        <f>IF(AK27&gt;KKM!$G$10," sangat baik ",IF(AK27&gt;KKM!$H$10," baik ",IF(AK27&gt;=KKM!$I$10," cukup baik "," perlu bimbingan ")))</f>
        <v xml:space="preserve"> perlu bimbingan </v>
      </c>
      <c r="AM27" s="301" t="str">
        <f t="shared" si="9"/>
        <v xml:space="preserve"> </v>
      </c>
      <c r="AN27" s="218"/>
      <c r="AO27" s="219" t="e">
        <f t="shared" si="2"/>
        <v>#N/A</v>
      </c>
      <c r="AP27" s="219" t="e">
        <f t="shared" si="3"/>
        <v>#N/A</v>
      </c>
      <c r="AQ27" s="219" t="e">
        <f t="shared" si="10"/>
        <v>#N/A</v>
      </c>
      <c r="AR27" s="219" t="e">
        <f t="shared" si="11"/>
        <v>#N/A</v>
      </c>
      <c r="AS27" s="220" t="e">
        <f t="shared" si="12"/>
        <v>#N/A</v>
      </c>
      <c r="AT27" s="214" t="e">
        <f t="shared" si="13"/>
        <v>#N/A</v>
      </c>
      <c r="AU27" s="120"/>
      <c r="BE27" s="408" t="str">
        <f t="shared" si="14"/>
        <v/>
      </c>
    </row>
    <row r="28" spans="2:57" ht="63.75" customHeight="1">
      <c r="B28" s="109">
        <v>24</v>
      </c>
      <c r="C28" s="110">
        <f>SISWA!B29</f>
        <v>0</v>
      </c>
      <c r="D28" s="111" t="str">
        <f>SISWA!E29</f>
        <v>Anak 24</v>
      </c>
      <c r="E28" s="520"/>
      <c r="F28" s="520"/>
      <c r="G28" s="520"/>
      <c r="H28" s="520"/>
      <c r="I28" s="520"/>
      <c r="J28" s="520"/>
      <c r="K28" s="520"/>
      <c r="L28" s="520"/>
      <c r="M28" s="520"/>
      <c r="N28" s="520"/>
      <c r="O28" s="520"/>
      <c r="P28" s="520"/>
      <c r="Q28" s="533" t="str">
        <f t="shared" si="4"/>
        <v/>
      </c>
      <c r="R28" s="533" t="str">
        <f t="shared" si="5"/>
        <v/>
      </c>
      <c r="S28" s="533" t="str">
        <f t="shared" si="6"/>
        <v/>
      </c>
      <c r="T28" s="533" t="str">
        <f t="shared" si="7"/>
        <v/>
      </c>
      <c r="U28" s="513"/>
      <c r="V28" s="125"/>
      <c r="W28" s="125"/>
      <c r="X28" s="125"/>
      <c r="Y28" s="125"/>
      <c r="Z28" s="124"/>
      <c r="AA28" s="124"/>
      <c r="AB28" s="124"/>
      <c r="AC28" s="124"/>
      <c r="AD28" s="125"/>
      <c r="AE28" s="125"/>
      <c r="AF28" s="124"/>
      <c r="AG28" s="302" t="e">
        <f t="shared" si="8"/>
        <v>#DIV/0!</v>
      </c>
      <c r="AH28" s="303" t="e">
        <f>IF(AG28&gt;KKM!$G$10,"A",IF(AG28&gt;KKM!$H$10,"B",IF(AG28&gt;=KKM!$I$10,"C","D")))</f>
        <v>#DIV/0!</v>
      </c>
      <c r="AI28" s="304">
        <f t="shared" si="0"/>
        <v>0</v>
      </c>
      <c r="AJ28" s="309" t="str">
        <f>IF(AI28&gt;KKM!$G$10," sangat baik ",IF(AI28&gt;KKM!$H$10," baik ",IF(AI28&gt;=KKM!$I$10," cukup baik "," perlu bimbingan ")))</f>
        <v xml:space="preserve"> perlu bimbingan </v>
      </c>
      <c r="AK28" s="305">
        <f t="shared" si="1"/>
        <v>0</v>
      </c>
      <c r="AL28" s="309" t="str">
        <f>IF(AK28&gt;KKM!$G$10," sangat baik ",IF(AK28&gt;KKM!$H$10," baik ",IF(AK28&gt;=KKM!$I$10," cukup baik "," perlu bimbingan ")))</f>
        <v xml:space="preserve"> perlu bimbingan </v>
      </c>
      <c r="AM28" s="301" t="str">
        <f t="shared" si="9"/>
        <v xml:space="preserve"> </v>
      </c>
      <c r="AN28" s="218"/>
      <c r="AO28" s="219" t="e">
        <f t="shared" si="2"/>
        <v>#N/A</v>
      </c>
      <c r="AP28" s="219" t="e">
        <f t="shared" si="3"/>
        <v>#N/A</v>
      </c>
      <c r="AQ28" s="219" t="e">
        <f t="shared" si="10"/>
        <v>#N/A</v>
      </c>
      <c r="AR28" s="219" t="e">
        <f t="shared" si="11"/>
        <v>#N/A</v>
      </c>
      <c r="AS28" s="220" t="e">
        <f t="shared" si="12"/>
        <v>#N/A</v>
      </c>
      <c r="AT28" s="214" t="e">
        <f t="shared" si="13"/>
        <v>#N/A</v>
      </c>
      <c r="AU28" s="120"/>
      <c r="BE28" s="408" t="str">
        <f t="shared" si="14"/>
        <v/>
      </c>
    </row>
    <row r="29" spans="2:57" ht="63.75" customHeight="1">
      <c r="B29" s="109">
        <v>25</v>
      </c>
      <c r="C29" s="110">
        <f>SISWA!B30</f>
        <v>0</v>
      </c>
      <c r="D29" s="111" t="str">
        <f>SISWA!E30</f>
        <v>Anak 25</v>
      </c>
      <c r="E29" s="520"/>
      <c r="F29" s="520"/>
      <c r="G29" s="520"/>
      <c r="H29" s="520"/>
      <c r="I29" s="520"/>
      <c r="J29" s="520"/>
      <c r="K29" s="520"/>
      <c r="L29" s="520"/>
      <c r="M29" s="520"/>
      <c r="N29" s="520"/>
      <c r="O29" s="520"/>
      <c r="P29" s="520"/>
      <c r="Q29" s="533" t="str">
        <f t="shared" si="4"/>
        <v/>
      </c>
      <c r="R29" s="533" t="str">
        <f t="shared" si="5"/>
        <v/>
      </c>
      <c r="S29" s="533" t="str">
        <f t="shared" si="6"/>
        <v/>
      </c>
      <c r="T29" s="533" t="str">
        <f t="shared" si="7"/>
        <v/>
      </c>
      <c r="U29" s="513"/>
      <c r="V29" s="125"/>
      <c r="W29" s="125"/>
      <c r="X29" s="125"/>
      <c r="Y29" s="125"/>
      <c r="Z29" s="124"/>
      <c r="AA29" s="124"/>
      <c r="AB29" s="124"/>
      <c r="AC29" s="124"/>
      <c r="AD29" s="125"/>
      <c r="AE29" s="125"/>
      <c r="AF29" s="124"/>
      <c r="AG29" s="302" t="e">
        <f t="shared" si="8"/>
        <v>#DIV/0!</v>
      </c>
      <c r="AH29" s="303" t="e">
        <f>IF(AG29&gt;KKM!$G$10,"A",IF(AG29&gt;KKM!$H$10,"B",IF(AG29&gt;=KKM!$I$10,"C","D")))</f>
        <v>#DIV/0!</v>
      </c>
      <c r="AI29" s="304">
        <f t="shared" si="0"/>
        <v>0</v>
      </c>
      <c r="AJ29" s="309" t="str">
        <f>IF(AI29&gt;KKM!$G$10," sangat baik ",IF(AI29&gt;KKM!$H$10," baik ",IF(AI29&gt;=KKM!$I$10," cukup baik "," perlu bimbingan ")))</f>
        <v xml:space="preserve"> perlu bimbingan </v>
      </c>
      <c r="AK29" s="305">
        <f t="shared" si="1"/>
        <v>0</v>
      </c>
      <c r="AL29" s="309" t="str">
        <f>IF(AK29&gt;KKM!$G$10," sangat baik ",IF(AK29&gt;KKM!$H$10," baik ",IF(AK29&gt;=KKM!$I$10," cukup baik "," perlu bimbingan ")))</f>
        <v xml:space="preserve"> perlu bimbingan </v>
      </c>
      <c r="AM29" s="301" t="str">
        <f t="shared" si="9"/>
        <v xml:space="preserve"> </v>
      </c>
      <c r="AN29" s="218"/>
      <c r="AO29" s="219" t="e">
        <f t="shared" si="2"/>
        <v>#N/A</v>
      </c>
      <c r="AP29" s="219" t="e">
        <f t="shared" si="3"/>
        <v>#N/A</v>
      </c>
      <c r="AQ29" s="219" t="e">
        <f t="shared" si="10"/>
        <v>#N/A</v>
      </c>
      <c r="AR29" s="219" t="e">
        <f t="shared" si="11"/>
        <v>#N/A</v>
      </c>
      <c r="AS29" s="220" t="e">
        <f t="shared" si="12"/>
        <v>#N/A</v>
      </c>
      <c r="AT29" s="214" t="e">
        <f t="shared" si="13"/>
        <v>#N/A</v>
      </c>
      <c r="AU29" s="120"/>
      <c r="BE29" s="408" t="str">
        <f t="shared" si="14"/>
        <v/>
      </c>
    </row>
    <row r="30" spans="2:57" ht="63.75" customHeight="1">
      <c r="B30" s="109">
        <v>26</v>
      </c>
      <c r="C30" s="110">
        <f>SISWA!B31</f>
        <v>0</v>
      </c>
      <c r="D30" s="111" t="str">
        <f>SISWA!E31</f>
        <v>Anak 26</v>
      </c>
      <c r="E30" s="520"/>
      <c r="F30" s="520"/>
      <c r="G30" s="520"/>
      <c r="H30" s="520"/>
      <c r="I30" s="520"/>
      <c r="J30" s="520"/>
      <c r="K30" s="520"/>
      <c r="L30" s="520"/>
      <c r="M30" s="520"/>
      <c r="N30" s="520"/>
      <c r="O30" s="520"/>
      <c r="P30" s="520"/>
      <c r="Q30" s="533" t="str">
        <f t="shared" si="4"/>
        <v/>
      </c>
      <c r="R30" s="533" t="str">
        <f t="shared" si="5"/>
        <v/>
      </c>
      <c r="S30" s="533" t="str">
        <f t="shared" si="6"/>
        <v/>
      </c>
      <c r="T30" s="533" t="str">
        <f t="shared" si="7"/>
        <v/>
      </c>
      <c r="U30" s="513"/>
      <c r="V30" s="125"/>
      <c r="W30" s="125"/>
      <c r="X30" s="125"/>
      <c r="Y30" s="125"/>
      <c r="Z30" s="124"/>
      <c r="AA30" s="124"/>
      <c r="AB30" s="124"/>
      <c r="AC30" s="124"/>
      <c r="AD30" s="125"/>
      <c r="AE30" s="125"/>
      <c r="AF30" s="124"/>
      <c r="AG30" s="302" t="e">
        <f t="shared" si="8"/>
        <v>#DIV/0!</v>
      </c>
      <c r="AH30" s="303" t="e">
        <f>IF(AG30&gt;KKM!$G$10,"A",IF(AG30&gt;KKM!$H$10,"B",IF(AG30&gt;=KKM!$I$10,"C","D")))</f>
        <v>#DIV/0!</v>
      </c>
      <c r="AI30" s="304">
        <f t="shared" si="0"/>
        <v>0</v>
      </c>
      <c r="AJ30" s="309" t="str">
        <f>IF(AI30&gt;KKM!$G$10," sangat baik ",IF(AI30&gt;KKM!$H$10," baik ",IF(AI30&gt;=KKM!$I$10," cukup baik "," perlu bimbingan ")))</f>
        <v xml:space="preserve"> perlu bimbingan </v>
      </c>
      <c r="AK30" s="305">
        <f t="shared" si="1"/>
        <v>0</v>
      </c>
      <c r="AL30" s="309" t="str">
        <f>IF(AK30&gt;KKM!$G$10," sangat baik ",IF(AK30&gt;KKM!$H$10," baik ",IF(AK30&gt;=KKM!$I$10," cukup baik "," perlu bimbingan ")))</f>
        <v xml:space="preserve"> perlu bimbingan </v>
      </c>
      <c r="AM30" s="301" t="str">
        <f t="shared" si="9"/>
        <v xml:space="preserve"> </v>
      </c>
      <c r="AN30" s="218"/>
      <c r="AO30" s="219" t="e">
        <f t="shared" si="2"/>
        <v>#N/A</v>
      </c>
      <c r="AP30" s="219" t="e">
        <f t="shared" si="3"/>
        <v>#N/A</v>
      </c>
      <c r="AQ30" s="219" t="e">
        <f t="shared" si="10"/>
        <v>#N/A</v>
      </c>
      <c r="AR30" s="219" t="e">
        <f t="shared" si="11"/>
        <v>#N/A</v>
      </c>
      <c r="AS30" s="220" t="e">
        <f t="shared" si="12"/>
        <v>#N/A</v>
      </c>
      <c r="AT30" s="214" t="e">
        <f t="shared" si="13"/>
        <v>#N/A</v>
      </c>
      <c r="AU30" s="120"/>
      <c r="BE30" s="408" t="str">
        <f t="shared" si="14"/>
        <v/>
      </c>
    </row>
    <row r="31" spans="2:57" ht="63.75" customHeight="1">
      <c r="B31" s="109">
        <v>27</v>
      </c>
      <c r="C31" s="110">
        <f>SISWA!B32</f>
        <v>0</v>
      </c>
      <c r="D31" s="111" t="str">
        <f>SISWA!E32</f>
        <v>Anak 27</v>
      </c>
      <c r="E31" s="520"/>
      <c r="F31" s="520"/>
      <c r="G31" s="520"/>
      <c r="H31" s="520"/>
      <c r="I31" s="520"/>
      <c r="J31" s="520"/>
      <c r="K31" s="520"/>
      <c r="L31" s="520"/>
      <c r="M31" s="520"/>
      <c r="N31" s="520"/>
      <c r="O31" s="520"/>
      <c r="P31" s="520"/>
      <c r="Q31" s="533" t="str">
        <f t="shared" si="4"/>
        <v/>
      </c>
      <c r="R31" s="533" t="str">
        <f t="shared" si="5"/>
        <v/>
      </c>
      <c r="S31" s="533" t="str">
        <f t="shared" si="6"/>
        <v/>
      </c>
      <c r="T31" s="533" t="str">
        <f t="shared" si="7"/>
        <v/>
      </c>
      <c r="U31" s="513"/>
      <c r="V31" s="125"/>
      <c r="W31" s="125"/>
      <c r="X31" s="125"/>
      <c r="Y31" s="125"/>
      <c r="Z31" s="124"/>
      <c r="AA31" s="124"/>
      <c r="AB31" s="124"/>
      <c r="AC31" s="124"/>
      <c r="AD31" s="125"/>
      <c r="AE31" s="125"/>
      <c r="AF31" s="124"/>
      <c r="AG31" s="302" t="e">
        <f t="shared" si="8"/>
        <v>#DIV/0!</v>
      </c>
      <c r="AH31" s="303" t="e">
        <f>IF(AG31&gt;KKM!$G$10,"A",IF(AG31&gt;KKM!$H$10,"B",IF(AG31&gt;=KKM!$I$10,"C","D")))</f>
        <v>#DIV/0!</v>
      </c>
      <c r="AI31" s="304">
        <f t="shared" si="0"/>
        <v>0</v>
      </c>
      <c r="AJ31" s="309" t="str">
        <f>IF(AI31&gt;KKM!$G$10," sangat baik ",IF(AI31&gt;KKM!$H$10," baik ",IF(AI31&gt;=KKM!$I$10," cukup baik "," perlu bimbingan ")))</f>
        <v xml:space="preserve"> perlu bimbingan </v>
      </c>
      <c r="AK31" s="305">
        <f t="shared" si="1"/>
        <v>0</v>
      </c>
      <c r="AL31" s="309" t="str">
        <f>IF(AK31&gt;KKM!$G$10," sangat baik ",IF(AK31&gt;KKM!$H$10," baik ",IF(AK31&gt;=KKM!$I$10," cukup baik "," perlu bimbingan ")))</f>
        <v xml:space="preserve"> perlu bimbingan </v>
      </c>
      <c r="AM31" s="301" t="str">
        <f t="shared" si="9"/>
        <v xml:space="preserve"> </v>
      </c>
      <c r="AN31" s="218"/>
      <c r="AO31" s="219" t="e">
        <f t="shared" si="2"/>
        <v>#N/A</v>
      </c>
      <c r="AP31" s="219" t="e">
        <f t="shared" si="3"/>
        <v>#N/A</v>
      </c>
      <c r="AQ31" s="219" t="e">
        <f t="shared" si="10"/>
        <v>#N/A</v>
      </c>
      <c r="AR31" s="219" t="e">
        <f t="shared" si="11"/>
        <v>#N/A</v>
      </c>
      <c r="AS31" s="220" t="e">
        <f t="shared" si="12"/>
        <v>#N/A</v>
      </c>
      <c r="AT31" s="214" t="e">
        <f t="shared" si="13"/>
        <v>#N/A</v>
      </c>
      <c r="AU31" s="120"/>
      <c r="BE31" s="408" t="str">
        <f t="shared" si="14"/>
        <v/>
      </c>
    </row>
    <row r="32" spans="2:57" ht="63.75" customHeight="1">
      <c r="B32" s="109">
        <v>28</v>
      </c>
      <c r="C32" s="110">
        <f>SISWA!B33</f>
        <v>0</v>
      </c>
      <c r="D32" s="111" t="str">
        <f>SISWA!E33</f>
        <v>Anak 28</v>
      </c>
      <c r="E32" s="520"/>
      <c r="F32" s="520"/>
      <c r="G32" s="520"/>
      <c r="H32" s="520"/>
      <c r="I32" s="520"/>
      <c r="J32" s="520"/>
      <c r="K32" s="520"/>
      <c r="L32" s="520"/>
      <c r="M32" s="520"/>
      <c r="N32" s="520"/>
      <c r="O32" s="520"/>
      <c r="P32" s="520"/>
      <c r="Q32" s="533" t="str">
        <f t="shared" si="4"/>
        <v/>
      </c>
      <c r="R32" s="533" t="str">
        <f t="shared" si="5"/>
        <v/>
      </c>
      <c r="S32" s="533" t="str">
        <f t="shared" si="6"/>
        <v/>
      </c>
      <c r="T32" s="533" t="str">
        <f t="shared" si="7"/>
        <v/>
      </c>
      <c r="U32" s="513"/>
      <c r="V32" s="125"/>
      <c r="W32" s="125"/>
      <c r="X32" s="125"/>
      <c r="Y32" s="125"/>
      <c r="Z32" s="124"/>
      <c r="AA32" s="124"/>
      <c r="AB32" s="124"/>
      <c r="AC32" s="124"/>
      <c r="AD32" s="125"/>
      <c r="AE32" s="125"/>
      <c r="AF32" s="124"/>
      <c r="AG32" s="302" t="e">
        <f t="shared" si="8"/>
        <v>#DIV/0!</v>
      </c>
      <c r="AH32" s="303" t="e">
        <f>IF(AG32&gt;KKM!$G$10,"A",IF(AG32&gt;KKM!$H$10,"B",IF(AG32&gt;=KKM!$I$10,"C","D")))</f>
        <v>#DIV/0!</v>
      </c>
      <c r="AI32" s="304">
        <f t="shared" si="0"/>
        <v>0</v>
      </c>
      <c r="AJ32" s="309" t="str">
        <f>IF(AI32&gt;KKM!$G$10," sangat baik ",IF(AI32&gt;KKM!$H$10," baik ",IF(AI32&gt;=KKM!$I$10," cukup baik "," perlu bimbingan ")))</f>
        <v xml:space="preserve"> perlu bimbingan </v>
      </c>
      <c r="AK32" s="305">
        <f t="shared" si="1"/>
        <v>0</v>
      </c>
      <c r="AL32" s="309" t="str">
        <f>IF(AK32&gt;KKM!$G$10," sangat baik ",IF(AK32&gt;KKM!$H$10," baik ",IF(AK32&gt;=KKM!$I$10," cukup baik "," perlu bimbingan ")))</f>
        <v xml:space="preserve"> perlu bimbingan </v>
      </c>
      <c r="AM32" s="301" t="str">
        <f t="shared" si="9"/>
        <v xml:space="preserve"> </v>
      </c>
      <c r="AN32" s="218"/>
      <c r="AO32" s="219" t="e">
        <f t="shared" si="2"/>
        <v>#N/A</v>
      </c>
      <c r="AP32" s="219" t="e">
        <f t="shared" si="3"/>
        <v>#N/A</v>
      </c>
      <c r="AQ32" s="219" t="e">
        <f t="shared" si="10"/>
        <v>#N/A</v>
      </c>
      <c r="AR32" s="219" t="e">
        <f t="shared" si="11"/>
        <v>#N/A</v>
      </c>
      <c r="AS32" s="220" t="e">
        <f t="shared" si="12"/>
        <v>#N/A</v>
      </c>
      <c r="AT32" s="214" t="e">
        <f t="shared" si="13"/>
        <v>#N/A</v>
      </c>
      <c r="AU32" s="120"/>
      <c r="BE32" s="408" t="str">
        <f t="shared" si="14"/>
        <v/>
      </c>
    </row>
    <row r="33" spans="2:57" ht="63.75" customHeight="1">
      <c r="B33" s="109">
        <v>29</v>
      </c>
      <c r="C33" s="110">
        <f>SISWA!B34</f>
        <v>0</v>
      </c>
      <c r="D33" s="111" t="str">
        <f>SISWA!E34</f>
        <v>Anak 29</v>
      </c>
      <c r="E33" s="520"/>
      <c r="F33" s="520"/>
      <c r="G33" s="520"/>
      <c r="H33" s="520"/>
      <c r="I33" s="520"/>
      <c r="J33" s="520"/>
      <c r="K33" s="520"/>
      <c r="L33" s="520"/>
      <c r="M33" s="520"/>
      <c r="N33" s="520"/>
      <c r="O33" s="520"/>
      <c r="P33" s="520"/>
      <c r="Q33" s="533" t="str">
        <f t="shared" si="4"/>
        <v/>
      </c>
      <c r="R33" s="533" t="str">
        <f t="shared" si="5"/>
        <v/>
      </c>
      <c r="S33" s="533" t="str">
        <f t="shared" si="6"/>
        <v/>
      </c>
      <c r="T33" s="533" t="str">
        <f t="shared" si="7"/>
        <v/>
      </c>
      <c r="U33" s="513"/>
      <c r="V33" s="125"/>
      <c r="W33" s="125"/>
      <c r="X33" s="125"/>
      <c r="Y33" s="125"/>
      <c r="Z33" s="124"/>
      <c r="AA33" s="124"/>
      <c r="AB33" s="124"/>
      <c r="AC33" s="124"/>
      <c r="AD33" s="125"/>
      <c r="AE33" s="125"/>
      <c r="AF33" s="124"/>
      <c r="AG33" s="302" t="e">
        <f t="shared" si="8"/>
        <v>#DIV/0!</v>
      </c>
      <c r="AH33" s="303" t="e">
        <f>IF(AG33&gt;KKM!$G$10,"A",IF(AG33&gt;KKM!$H$10,"B",IF(AG33&gt;=KKM!$I$10,"C","D")))</f>
        <v>#DIV/0!</v>
      </c>
      <c r="AI33" s="304">
        <f t="shared" si="0"/>
        <v>0</v>
      </c>
      <c r="AJ33" s="309" t="str">
        <f>IF(AI33&gt;KKM!$G$10," sangat baik ",IF(AI33&gt;KKM!$H$10," baik ",IF(AI33&gt;=KKM!$I$10," cukup baik "," perlu bimbingan ")))</f>
        <v xml:space="preserve"> perlu bimbingan </v>
      </c>
      <c r="AK33" s="305">
        <f t="shared" si="1"/>
        <v>0</v>
      </c>
      <c r="AL33" s="309" t="str">
        <f>IF(AK33&gt;KKM!$G$10," sangat baik ",IF(AK33&gt;KKM!$H$10," baik ",IF(AK33&gt;=KKM!$I$10," cukup baik "," perlu bimbingan ")))</f>
        <v xml:space="preserve"> perlu bimbingan </v>
      </c>
      <c r="AM33" s="301" t="str">
        <f t="shared" si="9"/>
        <v xml:space="preserve"> </v>
      </c>
      <c r="AN33" s="218"/>
      <c r="AO33" s="219" t="e">
        <f t="shared" si="2"/>
        <v>#N/A</v>
      </c>
      <c r="AP33" s="219" t="e">
        <f t="shared" si="3"/>
        <v>#N/A</v>
      </c>
      <c r="AQ33" s="219" t="e">
        <f t="shared" si="10"/>
        <v>#N/A</v>
      </c>
      <c r="AR33" s="219" t="e">
        <f t="shared" si="11"/>
        <v>#N/A</v>
      </c>
      <c r="AS33" s="220" t="e">
        <f t="shared" si="12"/>
        <v>#N/A</v>
      </c>
      <c r="AT33" s="214" t="e">
        <f t="shared" si="13"/>
        <v>#N/A</v>
      </c>
      <c r="AU33" s="120"/>
      <c r="BE33" s="408" t="str">
        <f t="shared" si="14"/>
        <v/>
      </c>
    </row>
    <row r="34" spans="2:57" ht="63.75" customHeight="1">
      <c r="B34" s="109">
        <v>30</v>
      </c>
      <c r="C34" s="110">
        <f>SISWA!B35</f>
        <v>0</v>
      </c>
      <c r="D34" s="111" t="str">
        <f>SISWA!E35</f>
        <v>Anak 30</v>
      </c>
      <c r="E34" s="520"/>
      <c r="F34" s="520"/>
      <c r="G34" s="520"/>
      <c r="H34" s="520"/>
      <c r="I34" s="520"/>
      <c r="J34" s="520"/>
      <c r="K34" s="520"/>
      <c r="L34" s="520"/>
      <c r="M34" s="520"/>
      <c r="N34" s="520"/>
      <c r="O34" s="520"/>
      <c r="P34" s="520"/>
      <c r="Q34" s="533" t="str">
        <f t="shared" si="4"/>
        <v/>
      </c>
      <c r="R34" s="533" t="str">
        <f t="shared" si="5"/>
        <v/>
      </c>
      <c r="S34" s="533" t="str">
        <f t="shared" si="6"/>
        <v/>
      </c>
      <c r="T34" s="533" t="str">
        <f t="shared" si="7"/>
        <v/>
      </c>
      <c r="U34" s="513"/>
      <c r="V34" s="125"/>
      <c r="W34" s="125"/>
      <c r="X34" s="125"/>
      <c r="Y34" s="125"/>
      <c r="Z34" s="124"/>
      <c r="AA34" s="124"/>
      <c r="AB34" s="124"/>
      <c r="AC34" s="124"/>
      <c r="AD34" s="125"/>
      <c r="AE34" s="125"/>
      <c r="AF34" s="124"/>
      <c r="AG34" s="302" t="e">
        <f t="shared" si="8"/>
        <v>#DIV/0!</v>
      </c>
      <c r="AH34" s="303" t="e">
        <f>IF(AG34&gt;KKM!$G$10,"A",IF(AG34&gt;KKM!$H$10,"B",IF(AG34&gt;=KKM!$I$10,"C","D")))</f>
        <v>#DIV/0!</v>
      </c>
      <c r="AI34" s="304">
        <f t="shared" si="0"/>
        <v>0</v>
      </c>
      <c r="AJ34" s="309" t="str">
        <f>IF(AI34&gt;KKM!$G$10," sangat baik ",IF(AI34&gt;KKM!$H$10," baik ",IF(AI34&gt;=KKM!$I$10," cukup baik "," perlu bimbingan ")))</f>
        <v xml:space="preserve"> perlu bimbingan </v>
      </c>
      <c r="AK34" s="305">
        <f t="shared" si="1"/>
        <v>0</v>
      </c>
      <c r="AL34" s="309" t="str">
        <f>IF(AK34&gt;KKM!$G$10," sangat baik ",IF(AK34&gt;KKM!$H$10," baik ",IF(AK34&gt;=KKM!$I$10," cukup baik "," perlu bimbingan ")))</f>
        <v xml:space="preserve"> perlu bimbingan </v>
      </c>
      <c r="AM34" s="301" t="str">
        <f t="shared" si="9"/>
        <v xml:space="preserve"> </v>
      </c>
      <c r="AN34" s="218"/>
      <c r="AO34" s="219" t="e">
        <f t="shared" si="2"/>
        <v>#N/A</v>
      </c>
      <c r="AP34" s="219" t="e">
        <f t="shared" si="3"/>
        <v>#N/A</v>
      </c>
      <c r="AQ34" s="219" t="e">
        <f t="shared" si="10"/>
        <v>#N/A</v>
      </c>
      <c r="AR34" s="219" t="e">
        <f t="shared" si="11"/>
        <v>#N/A</v>
      </c>
      <c r="AS34" s="220" t="e">
        <f t="shared" si="12"/>
        <v>#N/A</v>
      </c>
      <c r="AT34" s="214" t="e">
        <f t="shared" si="13"/>
        <v>#N/A</v>
      </c>
      <c r="AU34" s="120"/>
      <c r="BE34" s="408" t="str">
        <f t="shared" si="14"/>
        <v/>
      </c>
    </row>
    <row r="35" spans="2:57" ht="63.75" customHeight="1">
      <c r="B35" s="109">
        <v>31</v>
      </c>
      <c r="C35" s="110">
        <f>SISWA!B36</f>
        <v>0</v>
      </c>
      <c r="D35" s="111" t="str">
        <f>SISWA!E36</f>
        <v>Anak 31</v>
      </c>
      <c r="E35" s="520"/>
      <c r="F35" s="520"/>
      <c r="G35" s="520"/>
      <c r="H35" s="520"/>
      <c r="I35" s="520"/>
      <c r="J35" s="520"/>
      <c r="K35" s="520"/>
      <c r="L35" s="520"/>
      <c r="M35" s="520"/>
      <c r="N35" s="520"/>
      <c r="O35" s="520"/>
      <c r="P35" s="520"/>
      <c r="Q35" s="533" t="str">
        <f t="shared" si="4"/>
        <v/>
      </c>
      <c r="R35" s="533" t="str">
        <f t="shared" si="5"/>
        <v/>
      </c>
      <c r="S35" s="533" t="str">
        <f t="shared" si="6"/>
        <v/>
      </c>
      <c r="T35" s="533" t="str">
        <f t="shared" si="7"/>
        <v/>
      </c>
      <c r="U35" s="513"/>
      <c r="V35" s="125"/>
      <c r="W35" s="125"/>
      <c r="X35" s="125"/>
      <c r="Y35" s="125"/>
      <c r="Z35" s="124"/>
      <c r="AA35" s="124"/>
      <c r="AB35" s="124"/>
      <c r="AC35" s="124"/>
      <c r="AD35" s="125"/>
      <c r="AE35" s="125"/>
      <c r="AF35" s="124"/>
      <c r="AG35" s="302" t="e">
        <f t="shared" si="8"/>
        <v>#DIV/0!</v>
      </c>
      <c r="AH35" s="303" t="e">
        <f>IF(AG35&gt;KKM!$G$10,"A",IF(AG35&gt;KKM!$H$10,"B",IF(AG35&gt;=KKM!$I$10,"C","D")))</f>
        <v>#DIV/0!</v>
      </c>
      <c r="AI35" s="304">
        <f t="shared" si="0"/>
        <v>0</v>
      </c>
      <c r="AJ35" s="309" t="str">
        <f>IF(AI35&gt;KKM!$G$10," sangat baik ",IF(AI35&gt;KKM!$H$10," baik ",IF(AI35&gt;=KKM!$I$10," cukup baik "," perlu bimbingan ")))</f>
        <v xml:space="preserve"> perlu bimbingan </v>
      </c>
      <c r="AK35" s="305">
        <f t="shared" si="1"/>
        <v>0</v>
      </c>
      <c r="AL35" s="309" t="str">
        <f>IF(AK35&gt;KKM!$G$10," sangat baik ",IF(AK35&gt;KKM!$H$10," baik ",IF(AK35&gt;=KKM!$I$10," cukup baik "," perlu bimbingan ")))</f>
        <v xml:space="preserve"> perlu bimbingan </v>
      </c>
      <c r="AM35" s="301" t="str">
        <f t="shared" si="9"/>
        <v xml:space="preserve"> </v>
      </c>
      <c r="AN35" s="218"/>
      <c r="AO35" s="219" t="e">
        <f t="shared" si="2"/>
        <v>#N/A</v>
      </c>
      <c r="AP35" s="219" t="e">
        <f t="shared" si="3"/>
        <v>#N/A</v>
      </c>
      <c r="AQ35" s="219" t="e">
        <f t="shared" si="10"/>
        <v>#N/A</v>
      </c>
      <c r="AR35" s="219" t="e">
        <f t="shared" si="11"/>
        <v>#N/A</v>
      </c>
      <c r="AS35" s="220" t="e">
        <f t="shared" si="12"/>
        <v>#N/A</v>
      </c>
      <c r="AT35" s="214" t="e">
        <f t="shared" si="13"/>
        <v>#N/A</v>
      </c>
      <c r="AU35" s="120"/>
      <c r="BE35" s="408" t="str">
        <f t="shared" si="14"/>
        <v/>
      </c>
    </row>
    <row r="36" spans="2:57" ht="63.75" customHeight="1">
      <c r="B36" s="109">
        <v>32</v>
      </c>
      <c r="C36" s="110">
        <f>SISWA!B37</f>
        <v>0</v>
      </c>
      <c r="D36" s="111" t="str">
        <f>SISWA!E37</f>
        <v>Anak 32</v>
      </c>
      <c r="E36" s="520"/>
      <c r="F36" s="520"/>
      <c r="G36" s="520"/>
      <c r="H36" s="520"/>
      <c r="I36" s="520"/>
      <c r="J36" s="520"/>
      <c r="K36" s="520"/>
      <c r="L36" s="520"/>
      <c r="M36" s="520"/>
      <c r="N36" s="520"/>
      <c r="O36" s="520"/>
      <c r="P36" s="520"/>
      <c r="Q36" s="533" t="str">
        <f t="shared" si="4"/>
        <v/>
      </c>
      <c r="R36" s="533" t="str">
        <f t="shared" si="5"/>
        <v/>
      </c>
      <c r="S36" s="533" t="str">
        <f t="shared" si="6"/>
        <v/>
      </c>
      <c r="T36" s="533" t="str">
        <f t="shared" si="7"/>
        <v/>
      </c>
      <c r="U36" s="513"/>
      <c r="V36" s="125"/>
      <c r="W36" s="125"/>
      <c r="X36" s="125"/>
      <c r="Y36" s="125"/>
      <c r="Z36" s="124"/>
      <c r="AA36" s="124"/>
      <c r="AB36" s="124"/>
      <c r="AC36" s="124"/>
      <c r="AD36" s="125"/>
      <c r="AE36" s="125"/>
      <c r="AF36" s="124"/>
      <c r="AG36" s="302" t="e">
        <f t="shared" si="8"/>
        <v>#DIV/0!</v>
      </c>
      <c r="AH36" s="303" t="e">
        <f>IF(AG36&gt;KKM!$G$10,"A",IF(AG36&gt;KKM!$H$10,"B",IF(AG36&gt;=KKM!$I$10,"C","D")))</f>
        <v>#DIV/0!</v>
      </c>
      <c r="AI36" s="304">
        <f t="shared" si="0"/>
        <v>0</v>
      </c>
      <c r="AJ36" s="309" t="str">
        <f>IF(AI36&gt;KKM!$G$10," sangat baik ",IF(AI36&gt;KKM!$H$10," baik ",IF(AI36&gt;=KKM!$I$10," cukup baik "," perlu bimbingan ")))</f>
        <v xml:space="preserve"> perlu bimbingan </v>
      </c>
      <c r="AK36" s="305">
        <f t="shared" si="1"/>
        <v>0</v>
      </c>
      <c r="AL36" s="309" t="str">
        <f>IF(AK36&gt;KKM!$G$10," sangat baik ",IF(AK36&gt;KKM!$H$10," baik ",IF(AK36&gt;=KKM!$I$10," cukup baik "," perlu bimbingan ")))</f>
        <v xml:space="preserve"> perlu bimbingan </v>
      </c>
      <c r="AM36" s="301" t="str">
        <f t="shared" si="9"/>
        <v xml:space="preserve"> </v>
      </c>
      <c r="AN36" s="218"/>
      <c r="AO36" s="219" t="e">
        <f t="shared" si="2"/>
        <v>#N/A</v>
      </c>
      <c r="AP36" s="219" t="e">
        <f t="shared" si="3"/>
        <v>#N/A</v>
      </c>
      <c r="AQ36" s="219" t="e">
        <f t="shared" si="10"/>
        <v>#N/A</v>
      </c>
      <c r="AR36" s="219" t="e">
        <f t="shared" si="11"/>
        <v>#N/A</v>
      </c>
      <c r="AS36" s="220" t="e">
        <f t="shared" si="12"/>
        <v>#N/A</v>
      </c>
      <c r="AT36" s="214" t="e">
        <f t="shared" si="13"/>
        <v>#N/A</v>
      </c>
      <c r="AU36" s="120"/>
      <c r="BE36" s="408" t="str">
        <f t="shared" si="14"/>
        <v/>
      </c>
    </row>
    <row r="37" spans="2:57" ht="63.75" customHeight="1">
      <c r="B37" s="109">
        <v>33</v>
      </c>
      <c r="C37" s="110">
        <f>SISWA!B38</f>
        <v>0</v>
      </c>
      <c r="D37" s="111" t="str">
        <f>SISWA!E38</f>
        <v>Anak 33</v>
      </c>
      <c r="E37" s="520"/>
      <c r="F37" s="520"/>
      <c r="G37" s="520"/>
      <c r="H37" s="520"/>
      <c r="I37" s="520"/>
      <c r="J37" s="520"/>
      <c r="K37" s="520"/>
      <c r="L37" s="520"/>
      <c r="M37" s="520"/>
      <c r="N37" s="520"/>
      <c r="O37" s="520"/>
      <c r="P37" s="520"/>
      <c r="Q37" s="533" t="str">
        <f t="shared" si="4"/>
        <v/>
      </c>
      <c r="R37" s="533" t="str">
        <f t="shared" si="5"/>
        <v/>
      </c>
      <c r="S37" s="533" t="str">
        <f t="shared" si="6"/>
        <v/>
      </c>
      <c r="T37" s="533" t="str">
        <f t="shared" si="7"/>
        <v/>
      </c>
      <c r="U37" s="513"/>
      <c r="V37" s="125"/>
      <c r="W37" s="125"/>
      <c r="X37" s="125"/>
      <c r="Y37" s="125"/>
      <c r="Z37" s="124"/>
      <c r="AA37" s="124"/>
      <c r="AB37" s="124"/>
      <c r="AC37" s="124"/>
      <c r="AD37" s="125"/>
      <c r="AE37" s="125"/>
      <c r="AF37" s="124"/>
      <c r="AG37" s="302" t="e">
        <f t="shared" si="8"/>
        <v>#DIV/0!</v>
      </c>
      <c r="AH37" s="303" t="e">
        <f>IF(AG37&gt;KKM!$G$10,"A",IF(AG37&gt;KKM!$H$10,"B",IF(AG37&gt;=KKM!$I$10,"C","D")))</f>
        <v>#DIV/0!</v>
      </c>
      <c r="AI37" s="304">
        <f t="shared" si="0"/>
        <v>0</v>
      </c>
      <c r="AJ37" s="309" t="str">
        <f>IF(AI37&gt;KKM!$G$10," sangat baik ",IF(AI37&gt;KKM!$H$10," baik ",IF(AI37&gt;=KKM!$I$10," cukup baik "," perlu bimbingan ")))</f>
        <v xml:space="preserve"> perlu bimbingan </v>
      </c>
      <c r="AK37" s="305">
        <f t="shared" si="1"/>
        <v>0</v>
      </c>
      <c r="AL37" s="309" t="str">
        <f>IF(AK37&gt;KKM!$G$10," sangat baik ",IF(AK37&gt;KKM!$H$10," baik ",IF(AK37&gt;=KKM!$I$10," cukup baik "," perlu bimbingan ")))</f>
        <v xml:space="preserve"> perlu bimbingan </v>
      </c>
      <c r="AM37" s="301" t="str">
        <f t="shared" si="9"/>
        <v xml:space="preserve"> </v>
      </c>
      <c r="AN37" s="218"/>
      <c r="AO37" s="219" t="e">
        <f t="shared" si="2"/>
        <v>#N/A</v>
      </c>
      <c r="AP37" s="219" t="e">
        <f t="shared" si="3"/>
        <v>#N/A</v>
      </c>
      <c r="AQ37" s="219" t="e">
        <f t="shared" si="10"/>
        <v>#N/A</v>
      </c>
      <c r="AR37" s="219" t="e">
        <f t="shared" si="11"/>
        <v>#N/A</v>
      </c>
      <c r="AS37" s="220" t="e">
        <f t="shared" si="12"/>
        <v>#N/A</v>
      </c>
      <c r="AT37" s="214" t="e">
        <f t="shared" si="13"/>
        <v>#N/A</v>
      </c>
      <c r="AU37" s="120"/>
      <c r="BE37" s="408" t="str">
        <f t="shared" si="14"/>
        <v/>
      </c>
    </row>
    <row r="38" spans="2:57" ht="63.75" customHeight="1">
      <c r="B38" s="109">
        <v>34</v>
      </c>
      <c r="C38" s="110">
        <f>SISWA!B39</f>
        <v>0</v>
      </c>
      <c r="D38" s="111" t="str">
        <f>SISWA!E39</f>
        <v>Anak 34</v>
      </c>
      <c r="E38" s="520"/>
      <c r="F38" s="520"/>
      <c r="G38" s="520"/>
      <c r="H38" s="520"/>
      <c r="I38" s="520"/>
      <c r="J38" s="520"/>
      <c r="K38" s="520"/>
      <c r="L38" s="520"/>
      <c r="M38" s="520"/>
      <c r="N38" s="520"/>
      <c r="O38" s="520"/>
      <c r="P38" s="520"/>
      <c r="Q38" s="533" t="str">
        <f t="shared" si="4"/>
        <v/>
      </c>
      <c r="R38" s="533" t="str">
        <f t="shared" si="5"/>
        <v/>
      </c>
      <c r="S38" s="533" t="str">
        <f t="shared" si="6"/>
        <v/>
      </c>
      <c r="T38" s="533" t="str">
        <f t="shared" si="7"/>
        <v/>
      </c>
      <c r="U38" s="513"/>
      <c r="V38" s="125"/>
      <c r="W38" s="125"/>
      <c r="X38" s="125"/>
      <c r="Y38" s="125"/>
      <c r="Z38" s="124"/>
      <c r="AA38" s="124"/>
      <c r="AB38" s="124"/>
      <c r="AC38" s="124"/>
      <c r="AD38" s="125"/>
      <c r="AE38" s="125"/>
      <c r="AF38" s="124"/>
      <c r="AG38" s="302" t="e">
        <f t="shared" si="8"/>
        <v>#DIV/0!</v>
      </c>
      <c r="AH38" s="303" t="e">
        <f>IF(AG38&gt;KKM!$G$10,"A",IF(AG38&gt;KKM!$H$10,"B",IF(AG38&gt;=KKM!$I$10,"C","D")))</f>
        <v>#DIV/0!</v>
      </c>
      <c r="AI38" s="304">
        <f t="shared" si="0"/>
        <v>0</v>
      </c>
      <c r="AJ38" s="309" t="str">
        <f>IF(AI38&gt;KKM!$G$10," sangat baik ",IF(AI38&gt;KKM!$H$10," baik ",IF(AI38&gt;=KKM!$I$10," cukup baik "," perlu bimbingan ")))</f>
        <v xml:space="preserve"> perlu bimbingan </v>
      </c>
      <c r="AK38" s="305">
        <f t="shared" si="1"/>
        <v>0</v>
      </c>
      <c r="AL38" s="309" t="str">
        <f>IF(AK38&gt;KKM!$G$10," sangat baik ",IF(AK38&gt;KKM!$H$10," baik ",IF(AK38&gt;=KKM!$I$10," cukup baik "," perlu bimbingan ")))</f>
        <v xml:space="preserve"> perlu bimbingan </v>
      </c>
      <c r="AM38" s="301" t="str">
        <f t="shared" si="9"/>
        <v xml:space="preserve"> </v>
      </c>
      <c r="AN38" s="218"/>
      <c r="AO38" s="219" t="e">
        <f t="shared" si="2"/>
        <v>#N/A</v>
      </c>
      <c r="AP38" s="219" t="e">
        <f t="shared" si="3"/>
        <v>#N/A</v>
      </c>
      <c r="AQ38" s="219" t="e">
        <f t="shared" si="10"/>
        <v>#N/A</v>
      </c>
      <c r="AR38" s="219" t="e">
        <f t="shared" si="11"/>
        <v>#N/A</v>
      </c>
      <c r="AS38" s="220" t="e">
        <f t="shared" si="12"/>
        <v>#N/A</v>
      </c>
      <c r="AT38" s="214" t="e">
        <f t="shared" si="13"/>
        <v>#N/A</v>
      </c>
      <c r="AU38" s="120"/>
      <c r="BE38" s="408" t="str">
        <f t="shared" si="14"/>
        <v/>
      </c>
    </row>
    <row r="39" spans="2:57" ht="63.75" customHeight="1">
      <c r="B39" s="109">
        <v>35</v>
      </c>
      <c r="C39" s="110">
        <f>SISWA!B40</f>
        <v>0</v>
      </c>
      <c r="D39" s="111" t="str">
        <f>SISWA!E40</f>
        <v>Anak 35</v>
      </c>
      <c r="E39" s="520"/>
      <c r="F39" s="520"/>
      <c r="G39" s="520"/>
      <c r="H39" s="520"/>
      <c r="I39" s="520"/>
      <c r="J39" s="520"/>
      <c r="K39" s="520"/>
      <c r="L39" s="520"/>
      <c r="M39" s="520"/>
      <c r="N39" s="520"/>
      <c r="O39" s="520"/>
      <c r="P39" s="520"/>
      <c r="Q39" s="533" t="str">
        <f t="shared" si="4"/>
        <v/>
      </c>
      <c r="R39" s="533" t="str">
        <f t="shared" si="5"/>
        <v/>
      </c>
      <c r="S39" s="533" t="str">
        <f t="shared" si="6"/>
        <v/>
      </c>
      <c r="T39" s="533" t="str">
        <f t="shared" si="7"/>
        <v/>
      </c>
      <c r="U39" s="513"/>
      <c r="V39" s="125"/>
      <c r="W39" s="125"/>
      <c r="X39" s="125"/>
      <c r="Y39" s="125"/>
      <c r="Z39" s="124"/>
      <c r="AA39" s="124"/>
      <c r="AB39" s="124"/>
      <c r="AC39" s="124"/>
      <c r="AD39" s="125"/>
      <c r="AE39" s="125"/>
      <c r="AF39" s="124"/>
      <c r="AG39" s="302" t="e">
        <f t="shared" si="8"/>
        <v>#DIV/0!</v>
      </c>
      <c r="AH39" s="303" t="e">
        <f>IF(AG39&gt;KKM!$G$10,"A",IF(AG39&gt;KKM!$H$10,"B",IF(AG39&gt;=KKM!$I$10,"C","D")))</f>
        <v>#DIV/0!</v>
      </c>
      <c r="AI39" s="304">
        <f t="shared" si="0"/>
        <v>0</v>
      </c>
      <c r="AJ39" s="309" t="str">
        <f>IF(AI39&gt;KKM!$G$10," sangat baik ",IF(AI39&gt;KKM!$H$10," baik ",IF(AI39&gt;=KKM!$I$10," cukup baik "," perlu bimbingan ")))</f>
        <v xml:space="preserve"> perlu bimbingan </v>
      </c>
      <c r="AK39" s="305">
        <f t="shared" si="1"/>
        <v>0</v>
      </c>
      <c r="AL39" s="309" t="str">
        <f>IF(AK39&gt;KKM!$G$10," sangat baik ",IF(AK39&gt;KKM!$H$10," baik ",IF(AK39&gt;=KKM!$I$10," cukup baik "," perlu bimbingan ")))</f>
        <v xml:space="preserve"> perlu bimbingan </v>
      </c>
      <c r="AM39" s="301" t="str">
        <f t="shared" si="9"/>
        <v xml:space="preserve"> </v>
      </c>
      <c r="AN39" s="218"/>
      <c r="AO39" s="219" t="e">
        <f t="shared" si="2"/>
        <v>#N/A</v>
      </c>
      <c r="AP39" s="219" t="e">
        <f t="shared" si="3"/>
        <v>#N/A</v>
      </c>
      <c r="AQ39" s="219" t="e">
        <f t="shared" si="10"/>
        <v>#N/A</v>
      </c>
      <c r="AR39" s="219" t="e">
        <f t="shared" si="11"/>
        <v>#N/A</v>
      </c>
      <c r="AS39" s="220" t="e">
        <f t="shared" si="12"/>
        <v>#N/A</v>
      </c>
      <c r="AT39" s="214" t="e">
        <f t="shared" si="13"/>
        <v>#N/A</v>
      </c>
      <c r="AU39" s="120"/>
      <c r="BE39" s="408" t="str">
        <f t="shared" si="14"/>
        <v/>
      </c>
    </row>
    <row r="40" spans="2:57" ht="63.75" customHeight="1">
      <c r="B40" s="109">
        <v>36</v>
      </c>
      <c r="C40" s="110">
        <f>SISWA!B41</f>
        <v>0</v>
      </c>
      <c r="D40" s="111" t="str">
        <f>SISWA!E41</f>
        <v>Anak 36</v>
      </c>
      <c r="E40" s="520"/>
      <c r="F40" s="520"/>
      <c r="G40" s="520"/>
      <c r="H40" s="520"/>
      <c r="I40" s="520"/>
      <c r="J40" s="520"/>
      <c r="K40" s="520"/>
      <c r="L40" s="520"/>
      <c r="M40" s="520"/>
      <c r="N40" s="520"/>
      <c r="O40" s="520"/>
      <c r="P40" s="520"/>
      <c r="Q40" s="533" t="str">
        <f t="shared" si="4"/>
        <v/>
      </c>
      <c r="R40" s="533" t="str">
        <f t="shared" si="5"/>
        <v/>
      </c>
      <c r="S40" s="533" t="str">
        <f t="shared" si="6"/>
        <v/>
      </c>
      <c r="T40" s="533" t="str">
        <f t="shared" si="7"/>
        <v/>
      </c>
      <c r="U40" s="513"/>
      <c r="V40" s="125"/>
      <c r="W40" s="125"/>
      <c r="X40" s="125"/>
      <c r="Y40" s="125"/>
      <c r="Z40" s="124"/>
      <c r="AA40" s="124"/>
      <c r="AB40" s="124"/>
      <c r="AC40" s="124"/>
      <c r="AD40" s="125"/>
      <c r="AE40" s="125"/>
      <c r="AF40" s="124"/>
      <c r="AG40" s="302" t="e">
        <f t="shared" si="8"/>
        <v>#DIV/0!</v>
      </c>
      <c r="AH40" s="303" t="e">
        <f>IF(AG40&gt;KKM!$G$10,"A",IF(AG40&gt;KKM!$H$10,"B",IF(AG40&gt;=KKM!$I$10,"C","D")))</f>
        <v>#DIV/0!</v>
      </c>
      <c r="AI40" s="304">
        <f t="shared" si="0"/>
        <v>0</v>
      </c>
      <c r="AJ40" s="309" t="str">
        <f>IF(AI40&gt;KKM!$G$10," sangat baik ",IF(AI40&gt;KKM!$H$10," baik ",IF(AI40&gt;=KKM!$I$10," cukup baik "," perlu bimbingan ")))</f>
        <v xml:space="preserve"> perlu bimbingan </v>
      </c>
      <c r="AK40" s="305">
        <f t="shared" si="1"/>
        <v>0</v>
      </c>
      <c r="AL40" s="309" t="str">
        <f>IF(AK40&gt;KKM!$G$10," sangat baik ",IF(AK40&gt;KKM!$H$10," baik ",IF(AK40&gt;=KKM!$I$10," cukup baik "," perlu bimbingan ")))</f>
        <v xml:space="preserve"> perlu bimbingan </v>
      </c>
      <c r="AM40" s="301" t="str">
        <f t="shared" si="9"/>
        <v xml:space="preserve"> </v>
      </c>
      <c r="AN40" s="218"/>
      <c r="AO40" s="219" t="e">
        <f t="shared" si="2"/>
        <v>#N/A</v>
      </c>
      <c r="AP40" s="219" t="e">
        <f t="shared" si="3"/>
        <v>#N/A</v>
      </c>
      <c r="AQ40" s="219" t="e">
        <f t="shared" si="10"/>
        <v>#N/A</v>
      </c>
      <c r="AR40" s="219" t="e">
        <f t="shared" si="11"/>
        <v>#N/A</v>
      </c>
      <c r="AS40" s="220" t="e">
        <f t="shared" si="12"/>
        <v>#N/A</v>
      </c>
      <c r="AT40" s="214" t="e">
        <f t="shared" si="13"/>
        <v>#N/A</v>
      </c>
      <c r="AU40" s="120"/>
      <c r="BE40" s="408" t="str">
        <f t="shared" si="14"/>
        <v/>
      </c>
    </row>
    <row r="41" spans="2:57" ht="63.75" customHeight="1">
      <c r="B41" s="109">
        <v>37</v>
      </c>
      <c r="C41" s="110">
        <f>SISWA!B42</f>
        <v>0</v>
      </c>
      <c r="D41" s="111" t="str">
        <f>SISWA!E42</f>
        <v>Anak 37</v>
      </c>
      <c r="E41" s="520"/>
      <c r="F41" s="520"/>
      <c r="G41" s="520"/>
      <c r="H41" s="520"/>
      <c r="I41" s="520"/>
      <c r="J41" s="520"/>
      <c r="K41" s="520"/>
      <c r="L41" s="520"/>
      <c r="M41" s="520"/>
      <c r="N41" s="520"/>
      <c r="O41" s="520"/>
      <c r="P41" s="520"/>
      <c r="Q41" s="533" t="str">
        <f t="shared" si="4"/>
        <v/>
      </c>
      <c r="R41" s="533" t="str">
        <f t="shared" si="5"/>
        <v/>
      </c>
      <c r="S41" s="533" t="str">
        <f t="shared" si="6"/>
        <v/>
      </c>
      <c r="T41" s="533" t="str">
        <f t="shared" si="7"/>
        <v/>
      </c>
      <c r="U41" s="513"/>
      <c r="V41" s="125"/>
      <c r="W41" s="125"/>
      <c r="X41" s="125"/>
      <c r="Y41" s="125"/>
      <c r="Z41" s="124"/>
      <c r="AA41" s="124"/>
      <c r="AB41" s="124"/>
      <c r="AC41" s="124"/>
      <c r="AD41" s="125"/>
      <c r="AE41" s="125"/>
      <c r="AF41" s="124"/>
      <c r="AG41" s="302" t="e">
        <f t="shared" si="8"/>
        <v>#DIV/0!</v>
      </c>
      <c r="AH41" s="303" t="e">
        <f>IF(AG41&gt;KKM!$G$10,"A",IF(AG41&gt;KKM!$H$10,"B",IF(AG41&gt;=KKM!$I$10,"C","D")))</f>
        <v>#DIV/0!</v>
      </c>
      <c r="AI41" s="304">
        <f t="shared" si="0"/>
        <v>0</v>
      </c>
      <c r="AJ41" s="309" t="str">
        <f>IF(AI41&gt;KKM!$G$10," sangat baik ",IF(AI41&gt;KKM!$H$10," baik ",IF(AI41&gt;=KKM!$I$10," cukup baik "," perlu bimbingan ")))</f>
        <v xml:space="preserve"> perlu bimbingan </v>
      </c>
      <c r="AK41" s="305">
        <f t="shared" si="1"/>
        <v>0</v>
      </c>
      <c r="AL41" s="309" t="str">
        <f>IF(AK41&gt;KKM!$G$10," sangat baik ",IF(AK41&gt;KKM!$H$10," baik ",IF(AK41&gt;=KKM!$I$10," cukup baik "," perlu bimbingan ")))</f>
        <v xml:space="preserve"> perlu bimbingan </v>
      </c>
      <c r="AM41" s="301" t="str">
        <f t="shared" si="9"/>
        <v xml:space="preserve"> </v>
      </c>
      <c r="AN41" s="218"/>
      <c r="AO41" s="219" t="e">
        <f t="shared" si="2"/>
        <v>#N/A</v>
      </c>
      <c r="AP41" s="219" t="e">
        <f t="shared" si="3"/>
        <v>#N/A</v>
      </c>
      <c r="AQ41" s="219" t="e">
        <f t="shared" si="10"/>
        <v>#N/A</v>
      </c>
      <c r="AR41" s="219" t="e">
        <f t="shared" si="11"/>
        <v>#N/A</v>
      </c>
      <c r="AS41" s="220" t="e">
        <f t="shared" si="12"/>
        <v>#N/A</v>
      </c>
      <c r="AT41" s="214" t="e">
        <f t="shared" si="13"/>
        <v>#N/A</v>
      </c>
      <c r="AU41" s="120"/>
      <c r="BE41" s="408" t="str">
        <f t="shared" si="14"/>
        <v/>
      </c>
    </row>
    <row r="42" spans="2:57" ht="63.75" customHeight="1">
      <c r="B42" s="109">
        <v>38</v>
      </c>
      <c r="C42" s="110">
        <f>SISWA!B43</f>
        <v>0</v>
      </c>
      <c r="D42" s="111" t="str">
        <f>SISWA!E43</f>
        <v>Anak 38</v>
      </c>
      <c r="E42" s="520"/>
      <c r="F42" s="520"/>
      <c r="G42" s="520"/>
      <c r="H42" s="520"/>
      <c r="I42" s="520"/>
      <c r="J42" s="520"/>
      <c r="K42" s="520"/>
      <c r="L42" s="520"/>
      <c r="M42" s="520"/>
      <c r="N42" s="520"/>
      <c r="O42" s="520"/>
      <c r="P42" s="520"/>
      <c r="Q42" s="533" t="str">
        <f t="shared" si="4"/>
        <v/>
      </c>
      <c r="R42" s="533" t="str">
        <f t="shared" si="5"/>
        <v/>
      </c>
      <c r="S42" s="533" t="str">
        <f t="shared" si="6"/>
        <v/>
      </c>
      <c r="T42" s="533" t="str">
        <f t="shared" si="7"/>
        <v/>
      </c>
      <c r="U42" s="513"/>
      <c r="V42" s="125"/>
      <c r="W42" s="125"/>
      <c r="X42" s="125"/>
      <c r="Y42" s="125"/>
      <c r="Z42" s="124"/>
      <c r="AA42" s="124"/>
      <c r="AB42" s="124"/>
      <c r="AC42" s="124"/>
      <c r="AD42" s="125"/>
      <c r="AE42" s="125"/>
      <c r="AF42" s="124"/>
      <c r="AG42" s="302" t="e">
        <f t="shared" si="8"/>
        <v>#DIV/0!</v>
      </c>
      <c r="AH42" s="303" t="e">
        <f>IF(AG42&gt;KKM!$G$10,"A",IF(AG42&gt;KKM!$H$10,"B",IF(AG42&gt;=KKM!$I$10,"C","D")))</f>
        <v>#DIV/0!</v>
      </c>
      <c r="AI42" s="304">
        <f t="shared" si="0"/>
        <v>0</v>
      </c>
      <c r="AJ42" s="309" t="str">
        <f>IF(AI42&gt;KKM!$G$10," sangat baik ",IF(AI42&gt;KKM!$H$10," baik ",IF(AI42&gt;=KKM!$I$10," cukup baik "," perlu bimbingan ")))</f>
        <v xml:space="preserve"> perlu bimbingan </v>
      </c>
      <c r="AK42" s="305">
        <f t="shared" si="1"/>
        <v>0</v>
      </c>
      <c r="AL42" s="309" t="str">
        <f>IF(AK42&gt;KKM!$G$10," sangat baik ",IF(AK42&gt;KKM!$H$10," baik ",IF(AK42&gt;=KKM!$I$10," cukup baik "," perlu bimbingan ")))</f>
        <v xml:space="preserve"> perlu bimbingan </v>
      </c>
      <c r="AM42" s="301" t="str">
        <f t="shared" si="9"/>
        <v xml:space="preserve"> </v>
      </c>
      <c r="AN42" s="218"/>
      <c r="AO42" s="219" t="e">
        <f t="shared" si="2"/>
        <v>#N/A</v>
      </c>
      <c r="AP42" s="219" t="e">
        <f t="shared" si="3"/>
        <v>#N/A</v>
      </c>
      <c r="AQ42" s="219" t="e">
        <f t="shared" si="10"/>
        <v>#N/A</v>
      </c>
      <c r="AR42" s="219" t="e">
        <f t="shared" si="11"/>
        <v>#N/A</v>
      </c>
      <c r="AS42" s="220" t="e">
        <f t="shared" si="12"/>
        <v>#N/A</v>
      </c>
      <c r="AT42" s="214" t="e">
        <f t="shared" si="13"/>
        <v>#N/A</v>
      </c>
      <c r="AU42" s="120"/>
      <c r="BE42" s="408" t="str">
        <f t="shared" si="14"/>
        <v/>
      </c>
    </row>
    <row r="43" spans="2:57" ht="63.75" customHeight="1">
      <c r="B43" s="109">
        <v>39</v>
      </c>
      <c r="C43" s="110">
        <f>SISWA!B44</f>
        <v>0</v>
      </c>
      <c r="D43" s="111" t="str">
        <f>SISWA!E44</f>
        <v>Anak 39</v>
      </c>
      <c r="E43" s="520"/>
      <c r="F43" s="520"/>
      <c r="G43" s="520"/>
      <c r="H43" s="520"/>
      <c r="I43" s="520"/>
      <c r="J43" s="520"/>
      <c r="K43" s="520"/>
      <c r="L43" s="520"/>
      <c r="M43" s="520"/>
      <c r="N43" s="520"/>
      <c r="O43" s="520"/>
      <c r="P43" s="520"/>
      <c r="Q43" s="533" t="str">
        <f t="shared" si="4"/>
        <v/>
      </c>
      <c r="R43" s="533" t="str">
        <f t="shared" si="5"/>
        <v/>
      </c>
      <c r="S43" s="533" t="str">
        <f t="shared" si="6"/>
        <v/>
      </c>
      <c r="T43" s="533" t="str">
        <f t="shared" si="7"/>
        <v/>
      </c>
      <c r="U43" s="513"/>
      <c r="V43" s="125"/>
      <c r="W43" s="125"/>
      <c r="X43" s="125"/>
      <c r="Y43" s="125"/>
      <c r="Z43" s="124"/>
      <c r="AA43" s="124"/>
      <c r="AB43" s="124"/>
      <c r="AC43" s="124"/>
      <c r="AD43" s="125"/>
      <c r="AE43" s="125"/>
      <c r="AF43" s="124"/>
      <c r="AG43" s="302" t="e">
        <f t="shared" si="8"/>
        <v>#DIV/0!</v>
      </c>
      <c r="AH43" s="303" t="e">
        <f>IF(AG43&gt;KKM!$G$10,"A",IF(AG43&gt;KKM!$H$10,"B",IF(AG43&gt;=KKM!$I$10,"C","D")))</f>
        <v>#DIV/0!</v>
      </c>
      <c r="AI43" s="304">
        <f t="shared" si="0"/>
        <v>0</v>
      </c>
      <c r="AJ43" s="309" t="str">
        <f>IF(AI43&gt;KKM!$G$10," sangat baik ",IF(AI43&gt;KKM!$H$10," baik ",IF(AI43&gt;=KKM!$I$10," cukup baik "," perlu bimbingan ")))</f>
        <v xml:space="preserve"> perlu bimbingan </v>
      </c>
      <c r="AK43" s="305">
        <f t="shared" si="1"/>
        <v>0</v>
      </c>
      <c r="AL43" s="309" t="str">
        <f>IF(AK43&gt;KKM!$G$10," sangat baik ",IF(AK43&gt;KKM!$H$10," baik ",IF(AK43&gt;=KKM!$I$10," cukup baik "," perlu bimbingan ")))</f>
        <v xml:space="preserve"> perlu bimbingan </v>
      </c>
      <c r="AM43" s="301" t="str">
        <f t="shared" si="9"/>
        <v xml:space="preserve"> </v>
      </c>
      <c r="AN43" s="218"/>
      <c r="AO43" s="219" t="e">
        <f t="shared" si="2"/>
        <v>#N/A</v>
      </c>
      <c r="AP43" s="219" t="e">
        <f t="shared" si="3"/>
        <v>#N/A</v>
      </c>
      <c r="AQ43" s="219" t="e">
        <f t="shared" si="10"/>
        <v>#N/A</v>
      </c>
      <c r="AR43" s="219" t="e">
        <f t="shared" si="11"/>
        <v>#N/A</v>
      </c>
      <c r="AS43" s="220" t="e">
        <f t="shared" si="12"/>
        <v>#N/A</v>
      </c>
      <c r="AT43" s="214" t="e">
        <f t="shared" si="13"/>
        <v>#N/A</v>
      </c>
      <c r="AU43" s="120"/>
      <c r="BE43" s="408" t="str">
        <f t="shared" si="14"/>
        <v/>
      </c>
    </row>
    <row r="44" spans="2:57" ht="63.75" customHeight="1">
      <c r="B44" s="109">
        <v>40</v>
      </c>
      <c r="C44" s="110">
        <f>SISWA!B45</f>
        <v>0</v>
      </c>
      <c r="D44" s="111" t="str">
        <f>SISWA!E45</f>
        <v>Anak 40</v>
      </c>
      <c r="E44" s="520"/>
      <c r="F44" s="520"/>
      <c r="G44" s="520"/>
      <c r="H44" s="520"/>
      <c r="I44" s="520"/>
      <c r="J44" s="520"/>
      <c r="K44" s="520"/>
      <c r="L44" s="520"/>
      <c r="M44" s="520"/>
      <c r="N44" s="520"/>
      <c r="O44" s="520"/>
      <c r="P44" s="520"/>
      <c r="Q44" s="533" t="str">
        <f t="shared" si="4"/>
        <v/>
      </c>
      <c r="R44" s="533" t="str">
        <f t="shared" si="5"/>
        <v/>
      </c>
      <c r="S44" s="533" t="str">
        <f t="shared" si="6"/>
        <v/>
      </c>
      <c r="T44" s="533" t="str">
        <f t="shared" si="7"/>
        <v/>
      </c>
      <c r="U44" s="513"/>
      <c r="V44" s="125"/>
      <c r="W44" s="125"/>
      <c r="X44" s="125"/>
      <c r="Y44" s="125"/>
      <c r="Z44" s="124"/>
      <c r="AA44" s="124"/>
      <c r="AB44" s="124"/>
      <c r="AC44" s="124"/>
      <c r="AD44" s="125"/>
      <c r="AE44" s="125"/>
      <c r="AF44" s="124"/>
      <c r="AG44" s="302" t="e">
        <f t="shared" si="8"/>
        <v>#DIV/0!</v>
      </c>
      <c r="AH44" s="303" t="e">
        <f>IF(AG44&gt;KKM!$G$10,"A",IF(AG44&gt;KKM!$H$10,"B",IF(AG44&gt;=KKM!$I$10,"C","D")))</f>
        <v>#DIV/0!</v>
      </c>
      <c r="AI44" s="304">
        <f t="shared" si="0"/>
        <v>0</v>
      </c>
      <c r="AJ44" s="309" t="str">
        <f>IF(AI44&gt;KKM!$G$10," sangat baik ",IF(AI44&gt;KKM!$H$10," baik ",IF(AI44&gt;=KKM!$I$10," cukup baik "," perlu bimbingan ")))</f>
        <v xml:space="preserve"> perlu bimbingan </v>
      </c>
      <c r="AK44" s="305">
        <f t="shared" si="1"/>
        <v>0</v>
      </c>
      <c r="AL44" s="309" t="str">
        <f>IF(AK44&gt;KKM!$G$10," sangat baik ",IF(AK44&gt;KKM!$H$10," baik ",IF(AK44&gt;=KKM!$I$10," cukup baik "," perlu bimbingan ")))</f>
        <v xml:space="preserve"> perlu bimbingan </v>
      </c>
      <c r="AM44" s="301" t="str">
        <f t="shared" si="9"/>
        <v xml:space="preserve"> </v>
      </c>
      <c r="AN44" s="218"/>
      <c r="AO44" s="219" t="e">
        <f t="shared" si="2"/>
        <v>#N/A</v>
      </c>
      <c r="AP44" s="219" t="e">
        <f t="shared" si="3"/>
        <v>#N/A</v>
      </c>
      <c r="AQ44" s="219" t="e">
        <f t="shared" si="10"/>
        <v>#N/A</v>
      </c>
      <c r="AR44" s="219" t="e">
        <f t="shared" si="11"/>
        <v>#N/A</v>
      </c>
      <c r="AS44" s="220" t="e">
        <f t="shared" si="12"/>
        <v>#N/A</v>
      </c>
      <c r="AT44" s="214" t="e">
        <f t="shared" si="13"/>
        <v>#N/A</v>
      </c>
      <c r="AU44" s="120"/>
      <c r="BE44" s="408" t="str">
        <f t="shared" si="14"/>
        <v/>
      </c>
    </row>
    <row r="45" spans="2:57" ht="63.75" customHeight="1">
      <c r="B45" s="109">
        <v>41</v>
      </c>
      <c r="C45" s="110">
        <f>SISWA!B46</f>
        <v>0</v>
      </c>
      <c r="D45" s="111" t="str">
        <f>SISWA!E46</f>
        <v>Anak 41</v>
      </c>
      <c r="E45" s="520"/>
      <c r="F45" s="520"/>
      <c r="G45" s="520"/>
      <c r="H45" s="520"/>
      <c r="I45" s="520"/>
      <c r="J45" s="520"/>
      <c r="K45" s="520"/>
      <c r="L45" s="520"/>
      <c r="M45" s="520"/>
      <c r="N45" s="520"/>
      <c r="O45" s="520"/>
      <c r="P45" s="520"/>
      <c r="Q45" s="533" t="str">
        <f t="shared" si="4"/>
        <v/>
      </c>
      <c r="R45" s="533" t="str">
        <f t="shared" si="5"/>
        <v/>
      </c>
      <c r="S45" s="533" t="str">
        <f t="shared" si="6"/>
        <v/>
      </c>
      <c r="T45" s="533" t="str">
        <f t="shared" si="7"/>
        <v/>
      </c>
      <c r="U45" s="513"/>
      <c r="V45" s="125"/>
      <c r="W45" s="125"/>
      <c r="X45" s="125"/>
      <c r="Y45" s="125"/>
      <c r="Z45" s="124"/>
      <c r="AA45" s="124"/>
      <c r="AB45" s="124"/>
      <c r="AC45" s="124"/>
      <c r="AD45" s="125"/>
      <c r="AE45" s="125"/>
      <c r="AF45" s="124"/>
      <c r="AG45" s="302" t="e">
        <f t="shared" si="8"/>
        <v>#DIV/0!</v>
      </c>
      <c r="AH45" s="303" t="e">
        <f>IF(AG45&gt;KKM!$G$10,"A",IF(AG45&gt;KKM!$H$10,"B",IF(AG45&gt;=KKM!$I$10,"C","D")))</f>
        <v>#DIV/0!</v>
      </c>
      <c r="AI45" s="304">
        <f t="shared" si="0"/>
        <v>0</v>
      </c>
      <c r="AJ45" s="309" t="str">
        <f>IF(AI45&gt;KKM!$G$10," sangat baik ",IF(AI45&gt;KKM!$H$10," baik ",IF(AI45&gt;=KKM!$I$10," cukup baik "," perlu bimbingan ")))</f>
        <v xml:space="preserve"> perlu bimbingan </v>
      </c>
      <c r="AK45" s="305">
        <f t="shared" si="1"/>
        <v>0</v>
      </c>
      <c r="AL45" s="309" t="str">
        <f>IF(AK45&gt;KKM!$G$10," sangat baik ",IF(AK45&gt;KKM!$H$10," baik ",IF(AK45&gt;=KKM!$I$10," cukup baik "," perlu bimbingan ")))</f>
        <v xml:space="preserve"> perlu bimbingan </v>
      </c>
      <c r="AM45" s="301" t="str">
        <f t="shared" si="9"/>
        <v xml:space="preserve"> </v>
      </c>
      <c r="AN45" s="218"/>
      <c r="AO45" s="219" t="e">
        <f t="shared" si="2"/>
        <v>#N/A</v>
      </c>
      <c r="AP45" s="219" t="e">
        <f t="shared" si="3"/>
        <v>#N/A</v>
      </c>
      <c r="AQ45" s="219" t="e">
        <f t="shared" si="10"/>
        <v>#N/A</v>
      </c>
      <c r="AR45" s="219" t="e">
        <f t="shared" si="11"/>
        <v>#N/A</v>
      </c>
      <c r="AS45" s="220" t="e">
        <f t="shared" si="12"/>
        <v>#N/A</v>
      </c>
      <c r="AT45" s="214" t="e">
        <f t="shared" si="13"/>
        <v>#N/A</v>
      </c>
      <c r="AU45" s="120"/>
      <c r="BE45" s="408" t="str">
        <f t="shared" si="14"/>
        <v/>
      </c>
    </row>
    <row r="46" spans="2:57" ht="63.75" customHeight="1">
      <c r="B46" s="109">
        <v>42</v>
      </c>
      <c r="C46" s="110">
        <f>SISWA!B47</f>
        <v>0</v>
      </c>
      <c r="D46" s="111" t="str">
        <f>SISWA!E47</f>
        <v>Anak 42</v>
      </c>
      <c r="E46" s="520"/>
      <c r="F46" s="520"/>
      <c r="G46" s="520"/>
      <c r="H46" s="520"/>
      <c r="I46" s="520"/>
      <c r="J46" s="520"/>
      <c r="K46" s="520"/>
      <c r="L46" s="520"/>
      <c r="M46" s="520"/>
      <c r="N46" s="520"/>
      <c r="O46" s="520"/>
      <c r="P46" s="520"/>
      <c r="Q46" s="533" t="str">
        <f t="shared" si="4"/>
        <v/>
      </c>
      <c r="R46" s="533" t="str">
        <f t="shared" si="5"/>
        <v/>
      </c>
      <c r="S46" s="533" t="str">
        <f t="shared" si="6"/>
        <v/>
      </c>
      <c r="T46" s="533" t="str">
        <f t="shared" si="7"/>
        <v/>
      </c>
      <c r="U46" s="513"/>
      <c r="V46" s="125"/>
      <c r="W46" s="125"/>
      <c r="X46" s="125"/>
      <c r="Y46" s="125"/>
      <c r="Z46" s="124"/>
      <c r="AA46" s="124"/>
      <c r="AB46" s="124"/>
      <c r="AC46" s="124"/>
      <c r="AD46" s="125"/>
      <c r="AE46" s="125"/>
      <c r="AF46" s="124"/>
      <c r="AG46" s="302" t="e">
        <f t="shared" si="8"/>
        <v>#DIV/0!</v>
      </c>
      <c r="AH46" s="303" t="e">
        <f>IF(AG46&gt;KKM!$G$10,"A",IF(AG46&gt;KKM!$H$10,"B",IF(AG46&gt;=KKM!$I$10,"C","D")))</f>
        <v>#DIV/0!</v>
      </c>
      <c r="AI46" s="304">
        <f t="shared" si="0"/>
        <v>0</v>
      </c>
      <c r="AJ46" s="309" t="str">
        <f>IF(AI46&gt;KKM!$G$10," sangat baik ",IF(AI46&gt;KKM!$H$10," baik ",IF(AI46&gt;=KKM!$I$10," cukup baik "," perlu bimbingan ")))</f>
        <v xml:space="preserve"> perlu bimbingan </v>
      </c>
      <c r="AK46" s="305">
        <f t="shared" si="1"/>
        <v>0</v>
      </c>
      <c r="AL46" s="309" t="str">
        <f>IF(AK46&gt;KKM!$G$10," sangat baik ",IF(AK46&gt;KKM!$H$10," baik ",IF(AK46&gt;=KKM!$I$10," cukup baik "," perlu bimbingan ")))</f>
        <v xml:space="preserve"> perlu bimbingan </v>
      </c>
      <c r="AM46" s="301" t="str">
        <f t="shared" si="9"/>
        <v xml:space="preserve"> </v>
      </c>
      <c r="AN46" s="218"/>
      <c r="AO46" s="219" t="e">
        <f t="shared" si="2"/>
        <v>#N/A</v>
      </c>
      <c r="AP46" s="219" t="e">
        <f t="shared" si="3"/>
        <v>#N/A</v>
      </c>
      <c r="AQ46" s="219" t="e">
        <f t="shared" si="10"/>
        <v>#N/A</v>
      </c>
      <c r="AR46" s="219" t="e">
        <f t="shared" si="11"/>
        <v>#N/A</v>
      </c>
      <c r="AS46" s="220" t="e">
        <f t="shared" si="12"/>
        <v>#N/A</v>
      </c>
      <c r="AT46" s="214" t="e">
        <f t="shared" si="13"/>
        <v>#N/A</v>
      </c>
      <c r="AU46" s="120"/>
      <c r="BE46" s="408" t="str">
        <f t="shared" si="14"/>
        <v/>
      </c>
    </row>
    <row r="47" spans="2:57" ht="63.75" customHeight="1">
      <c r="B47" s="109">
        <v>43</v>
      </c>
      <c r="C47" s="110">
        <f>SISWA!B48</f>
        <v>0</v>
      </c>
      <c r="D47" s="111" t="str">
        <f>SISWA!E48</f>
        <v>Anak 43</v>
      </c>
      <c r="E47" s="520"/>
      <c r="F47" s="520"/>
      <c r="G47" s="520"/>
      <c r="H47" s="520"/>
      <c r="I47" s="520"/>
      <c r="J47" s="520"/>
      <c r="K47" s="520"/>
      <c r="L47" s="520"/>
      <c r="M47" s="520"/>
      <c r="N47" s="520"/>
      <c r="O47" s="520"/>
      <c r="P47" s="520"/>
      <c r="Q47" s="533" t="str">
        <f t="shared" si="4"/>
        <v/>
      </c>
      <c r="R47" s="533" t="str">
        <f t="shared" si="5"/>
        <v/>
      </c>
      <c r="S47" s="533" t="str">
        <f t="shared" si="6"/>
        <v/>
      </c>
      <c r="T47" s="533" t="str">
        <f t="shared" si="7"/>
        <v/>
      </c>
      <c r="U47" s="513"/>
      <c r="V47" s="125"/>
      <c r="W47" s="125"/>
      <c r="X47" s="125"/>
      <c r="Y47" s="125"/>
      <c r="Z47" s="124"/>
      <c r="AA47" s="124"/>
      <c r="AB47" s="124"/>
      <c r="AC47" s="124"/>
      <c r="AD47" s="125"/>
      <c r="AE47" s="125"/>
      <c r="AF47" s="124"/>
      <c r="AG47" s="302" t="e">
        <f t="shared" si="8"/>
        <v>#DIV/0!</v>
      </c>
      <c r="AH47" s="303" t="e">
        <f>IF(AG47&gt;KKM!$G$10,"A",IF(AG47&gt;KKM!$H$10,"B",IF(AG47&gt;=KKM!$I$10,"C","D")))</f>
        <v>#DIV/0!</v>
      </c>
      <c r="AI47" s="304">
        <f t="shared" si="0"/>
        <v>0</v>
      </c>
      <c r="AJ47" s="309" t="str">
        <f>IF(AI47&gt;KKM!$G$10," sangat baik ",IF(AI47&gt;KKM!$H$10," baik ",IF(AI47&gt;=KKM!$I$10," cukup baik "," perlu bimbingan ")))</f>
        <v xml:space="preserve"> perlu bimbingan </v>
      </c>
      <c r="AK47" s="305">
        <f t="shared" si="1"/>
        <v>0</v>
      </c>
      <c r="AL47" s="309" t="str">
        <f>IF(AK47&gt;KKM!$G$10," sangat baik ",IF(AK47&gt;KKM!$H$10," baik ",IF(AK47&gt;=KKM!$I$10," cukup baik "," perlu bimbingan ")))</f>
        <v xml:space="preserve"> perlu bimbingan </v>
      </c>
      <c r="AM47" s="301" t="str">
        <f t="shared" si="9"/>
        <v xml:space="preserve"> </v>
      </c>
      <c r="AN47" s="218"/>
      <c r="AO47" s="219" t="e">
        <f t="shared" si="2"/>
        <v>#N/A</v>
      </c>
      <c r="AP47" s="219" t="e">
        <f t="shared" si="3"/>
        <v>#N/A</v>
      </c>
      <c r="AQ47" s="219" t="e">
        <f t="shared" si="10"/>
        <v>#N/A</v>
      </c>
      <c r="AR47" s="219" t="e">
        <f t="shared" si="11"/>
        <v>#N/A</v>
      </c>
      <c r="AS47" s="220" t="e">
        <f t="shared" si="12"/>
        <v>#N/A</v>
      </c>
      <c r="AT47" s="214" t="e">
        <f t="shared" si="13"/>
        <v>#N/A</v>
      </c>
      <c r="AU47" s="120"/>
      <c r="BE47" s="408" t="str">
        <f t="shared" si="14"/>
        <v/>
      </c>
    </row>
    <row r="48" spans="2:57" ht="63.75" customHeight="1">
      <c r="B48" s="109">
        <v>44</v>
      </c>
      <c r="C48" s="110">
        <f>SISWA!B49</f>
        <v>0</v>
      </c>
      <c r="D48" s="111" t="str">
        <f>SISWA!E49</f>
        <v>Anak 44</v>
      </c>
      <c r="E48" s="520"/>
      <c r="F48" s="520"/>
      <c r="G48" s="520"/>
      <c r="H48" s="520"/>
      <c r="I48" s="520"/>
      <c r="J48" s="520"/>
      <c r="K48" s="520"/>
      <c r="L48" s="520"/>
      <c r="M48" s="520"/>
      <c r="N48" s="520"/>
      <c r="O48" s="520"/>
      <c r="P48" s="520"/>
      <c r="Q48" s="533" t="str">
        <f t="shared" si="4"/>
        <v/>
      </c>
      <c r="R48" s="533" t="str">
        <f t="shared" si="5"/>
        <v/>
      </c>
      <c r="S48" s="533" t="str">
        <f t="shared" si="6"/>
        <v/>
      </c>
      <c r="T48" s="533" t="str">
        <f t="shared" si="7"/>
        <v/>
      </c>
      <c r="U48" s="513"/>
      <c r="V48" s="125"/>
      <c r="W48" s="125"/>
      <c r="X48" s="125"/>
      <c r="Y48" s="125"/>
      <c r="Z48" s="124"/>
      <c r="AA48" s="124"/>
      <c r="AB48" s="124"/>
      <c r="AC48" s="124"/>
      <c r="AD48" s="125"/>
      <c r="AE48" s="125"/>
      <c r="AF48" s="124"/>
      <c r="AG48" s="302" t="e">
        <f t="shared" si="8"/>
        <v>#DIV/0!</v>
      </c>
      <c r="AH48" s="303" t="e">
        <f>IF(AG48&gt;KKM!$G$10,"A",IF(AG48&gt;KKM!$H$10,"B",IF(AG48&gt;=KKM!$I$10,"C","D")))</f>
        <v>#DIV/0!</v>
      </c>
      <c r="AI48" s="304">
        <f t="shared" si="0"/>
        <v>0</v>
      </c>
      <c r="AJ48" s="309" t="str">
        <f>IF(AI48&gt;KKM!$G$10," sangat baik ",IF(AI48&gt;KKM!$H$10," baik ",IF(AI48&gt;=KKM!$I$10," cukup baik "," perlu bimbingan ")))</f>
        <v xml:space="preserve"> perlu bimbingan </v>
      </c>
      <c r="AK48" s="305">
        <f t="shared" si="1"/>
        <v>0</v>
      </c>
      <c r="AL48" s="309" t="str">
        <f>IF(AK48&gt;KKM!$G$10," sangat baik ",IF(AK48&gt;KKM!$H$10," baik ",IF(AK48&gt;=KKM!$I$10," cukup baik "," perlu bimbingan ")))</f>
        <v xml:space="preserve"> perlu bimbingan </v>
      </c>
      <c r="AM48" s="301" t="str">
        <f t="shared" si="9"/>
        <v xml:space="preserve"> </v>
      </c>
      <c r="AN48" s="218"/>
      <c r="AO48" s="219" t="e">
        <f t="shared" si="2"/>
        <v>#N/A</v>
      </c>
      <c r="AP48" s="219" t="e">
        <f t="shared" si="3"/>
        <v>#N/A</v>
      </c>
      <c r="AQ48" s="219" t="e">
        <f t="shared" si="10"/>
        <v>#N/A</v>
      </c>
      <c r="AR48" s="219" t="e">
        <f t="shared" si="11"/>
        <v>#N/A</v>
      </c>
      <c r="AS48" s="220" t="e">
        <f t="shared" si="12"/>
        <v>#N/A</v>
      </c>
      <c r="AT48" s="214" t="e">
        <f t="shared" si="13"/>
        <v>#N/A</v>
      </c>
      <c r="AU48" s="120"/>
      <c r="BE48" s="408" t="str">
        <f t="shared" si="14"/>
        <v/>
      </c>
    </row>
    <row r="49" spans="2:57" ht="63.75" customHeight="1">
      <c r="B49" s="109">
        <v>45</v>
      </c>
      <c r="C49" s="110">
        <f>SISWA!B50</f>
        <v>0</v>
      </c>
      <c r="D49" s="111" t="str">
        <f>SISWA!E50</f>
        <v>Anak 45</v>
      </c>
      <c r="E49" s="520"/>
      <c r="F49" s="520"/>
      <c r="G49" s="520"/>
      <c r="H49" s="520"/>
      <c r="I49" s="520"/>
      <c r="J49" s="520"/>
      <c r="K49" s="520"/>
      <c r="L49" s="520"/>
      <c r="M49" s="520"/>
      <c r="N49" s="520"/>
      <c r="O49" s="520"/>
      <c r="P49" s="520"/>
      <c r="Q49" s="533" t="str">
        <f t="shared" si="4"/>
        <v/>
      </c>
      <c r="R49" s="533" t="str">
        <f t="shared" si="5"/>
        <v/>
      </c>
      <c r="S49" s="533" t="str">
        <f t="shared" si="6"/>
        <v/>
      </c>
      <c r="T49" s="533" t="str">
        <f t="shared" si="7"/>
        <v/>
      </c>
      <c r="U49" s="513"/>
      <c r="V49" s="125"/>
      <c r="W49" s="125"/>
      <c r="X49" s="125"/>
      <c r="Y49" s="125"/>
      <c r="Z49" s="124"/>
      <c r="AA49" s="124"/>
      <c r="AB49" s="124"/>
      <c r="AC49" s="124"/>
      <c r="AD49" s="125"/>
      <c r="AE49" s="125"/>
      <c r="AF49" s="124"/>
      <c r="AG49" s="302" t="e">
        <f t="shared" si="8"/>
        <v>#DIV/0!</v>
      </c>
      <c r="AH49" s="303" t="e">
        <f>IF(AG49&gt;KKM!$G$10,"A",IF(AG49&gt;KKM!$H$10,"B",IF(AG49&gt;=KKM!$I$10,"C","D")))</f>
        <v>#DIV/0!</v>
      </c>
      <c r="AI49" s="304">
        <f t="shared" si="0"/>
        <v>0</v>
      </c>
      <c r="AJ49" s="309" t="str">
        <f>IF(AI49&gt;KKM!$G$10," sangat baik ",IF(AI49&gt;KKM!$H$10," baik ",IF(AI49&gt;=KKM!$I$10," cukup baik "," perlu bimbingan ")))</f>
        <v xml:space="preserve"> perlu bimbingan </v>
      </c>
      <c r="AK49" s="305">
        <f t="shared" si="1"/>
        <v>0</v>
      </c>
      <c r="AL49" s="309" t="str">
        <f>IF(AK49&gt;KKM!$G$10," sangat baik ",IF(AK49&gt;KKM!$H$10," baik ",IF(AK49&gt;=KKM!$I$10," cukup baik "," perlu bimbingan ")))</f>
        <v xml:space="preserve"> perlu bimbingan </v>
      </c>
      <c r="AM49" s="301" t="str">
        <f t="shared" si="9"/>
        <v xml:space="preserve"> </v>
      </c>
      <c r="AN49" s="218"/>
      <c r="AO49" s="219" t="e">
        <f t="shared" si="2"/>
        <v>#N/A</v>
      </c>
      <c r="AP49" s="219" t="e">
        <f t="shared" si="3"/>
        <v>#N/A</v>
      </c>
      <c r="AQ49" s="219" t="e">
        <f t="shared" si="10"/>
        <v>#N/A</v>
      </c>
      <c r="AR49" s="219" t="e">
        <f t="shared" si="11"/>
        <v>#N/A</v>
      </c>
      <c r="AS49" s="220" t="e">
        <f t="shared" si="12"/>
        <v>#N/A</v>
      </c>
      <c r="AT49" s="214" t="e">
        <f t="shared" si="13"/>
        <v>#N/A</v>
      </c>
      <c r="AU49" s="120"/>
      <c r="BE49" s="408" t="str">
        <f t="shared" si="14"/>
        <v/>
      </c>
    </row>
    <row r="50" spans="2:57" ht="63.75" customHeight="1">
      <c r="B50" s="109">
        <v>46</v>
      </c>
      <c r="C50" s="110">
        <f>SISWA!B51</f>
        <v>0</v>
      </c>
      <c r="D50" s="111" t="str">
        <f>SISWA!E51</f>
        <v>Anak 46</v>
      </c>
      <c r="E50" s="520"/>
      <c r="F50" s="520"/>
      <c r="G50" s="520"/>
      <c r="H50" s="520"/>
      <c r="I50" s="520"/>
      <c r="J50" s="520"/>
      <c r="K50" s="520"/>
      <c r="L50" s="520"/>
      <c r="M50" s="520"/>
      <c r="N50" s="520"/>
      <c r="O50" s="520"/>
      <c r="P50" s="520"/>
      <c r="Q50" s="533" t="str">
        <f t="shared" si="4"/>
        <v/>
      </c>
      <c r="R50" s="533" t="str">
        <f t="shared" si="5"/>
        <v/>
      </c>
      <c r="S50" s="533" t="str">
        <f t="shared" si="6"/>
        <v/>
      </c>
      <c r="T50" s="533" t="str">
        <f t="shared" si="7"/>
        <v/>
      </c>
      <c r="U50" s="513"/>
      <c r="V50" s="125"/>
      <c r="W50" s="125"/>
      <c r="X50" s="125"/>
      <c r="Y50" s="125"/>
      <c r="Z50" s="124"/>
      <c r="AA50" s="124"/>
      <c r="AB50" s="124"/>
      <c r="AC50" s="124"/>
      <c r="AD50" s="125"/>
      <c r="AE50" s="125"/>
      <c r="AF50" s="124"/>
      <c r="AG50" s="302" t="e">
        <f t="shared" si="8"/>
        <v>#DIV/0!</v>
      </c>
      <c r="AH50" s="303" t="e">
        <f>IF(AG50&gt;KKM!$G$10,"A",IF(AG50&gt;KKM!$H$10,"B",IF(AG50&gt;=KKM!$I$10,"C","D")))</f>
        <v>#DIV/0!</v>
      </c>
      <c r="AI50" s="304">
        <f t="shared" si="0"/>
        <v>0</v>
      </c>
      <c r="AJ50" s="309" t="str">
        <f>IF(AI50&gt;KKM!$G$10," sangat baik ",IF(AI50&gt;KKM!$H$10," baik ",IF(AI50&gt;=KKM!$I$10," cukup baik "," perlu bimbingan ")))</f>
        <v xml:space="preserve"> perlu bimbingan </v>
      </c>
      <c r="AK50" s="305">
        <f t="shared" si="1"/>
        <v>0</v>
      </c>
      <c r="AL50" s="309" t="str">
        <f>IF(AK50&gt;KKM!$G$10," sangat baik ",IF(AK50&gt;KKM!$H$10," baik ",IF(AK50&gt;=KKM!$I$10," cukup baik "," perlu bimbingan ")))</f>
        <v xml:space="preserve"> perlu bimbingan </v>
      </c>
      <c r="AM50" s="301" t="str">
        <f t="shared" si="9"/>
        <v xml:space="preserve"> </v>
      </c>
      <c r="AN50" s="218"/>
      <c r="AO50" s="219" t="e">
        <f t="shared" si="2"/>
        <v>#N/A</v>
      </c>
      <c r="AP50" s="219" t="e">
        <f t="shared" si="3"/>
        <v>#N/A</v>
      </c>
      <c r="AQ50" s="219" t="e">
        <f t="shared" si="10"/>
        <v>#N/A</v>
      </c>
      <c r="AR50" s="219" t="e">
        <f t="shared" si="11"/>
        <v>#N/A</v>
      </c>
      <c r="AS50" s="220" t="e">
        <f t="shared" si="12"/>
        <v>#N/A</v>
      </c>
      <c r="AT50" s="214" t="e">
        <f t="shared" si="13"/>
        <v>#N/A</v>
      </c>
      <c r="AU50" s="120"/>
      <c r="BE50" s="408" t="str">
        <f t="shared" si="14"/>
        <v/>
      </c>
    </row>
    <row r="51" spans="2:57" ht="63.75" customHeight="1">
      <c r="B51" s="109">
        <v>47</v>
      </c>
      <c r="C51" s="110">
        <f>SISWA!B52</f>
        <v>0</v>
      </c>
      <c r="D51" s="111" t="str">
        <f>SISWA!E52</f>
        <v>Anak 47</v>
      </c>
      <c r="E51" s="520"/>
      <c r="F51" s="520"/>
      <c r="G51" s="520"/>
      <c r="H51" s="520"/>
      <c r="I51" s="520"/>
      <c r="J51" s="520"/>
      <c r="K51" s="520"/>
      <c r="L51" s="520"/>
      <c r="M51" s="520"/>
      <c r="N51" s="520"/>
      <c r="O51" s="520"/>
      <c r="P51" s="520"/>
      <c r="Q51" s="533" t="str">
        <f t="shared" si="4"/>
        <v/>
      </c>
      <c r="R51" s="533" t="str">
        <f t="shared" si="5"/>
        <v/>
      </c>
      <c r="S51" s="533" t="str">
        <f t="shared" si="6"/>
        <v/>
      </c>
      <c r="T51" s="533" t="str">
        <f t="shared" si="7"/>
        <v/>
      </c>
      <c r="U51" s="513"/>
      <c r="V51" s="125"/>
      <c r="W51" s="125"/>
      <c r="X51" s="125"/>
      <c r="Y51" s="125"/>
      <c r="Z51" s="124"/>
      <c r="AA51" s="124"/>
      <c r="AB51" s="124"/>
      <c r="AC51" s="124"/>
      <c r="AD51" s="125"/>
      <c r="AE51" s="125"/>
      <c r="AF51" s="124"/>
      <c r="AG51" s="302" t="e">
        <f t="shared" si="8"/>
        <v>#DIV/0!</v>
      </c>
      <c r="AH51" s="303" t="e">
        <f>IF(AG51&gt;KKM!$G$10,"A",IF(AG51&gt;KKM!$H$10,"B",IF(AG51&gt;=KKM!$I$10,"C","D")))</f>
        <v>#DIV/0!</v>
      </c>
      <c r="AI51" s="304">
        <f t="shared" si="0"/>
        <v>0</v>
      </c>
      <c r="AJ51" s="309" t="str">
        <f>IF(AI51&gt;KKM!$G$10," sangat baik ",IF(AI51&gt;KKM!$H$10," baik ",IF(AI51&gt;=KKM!$I$10," cukup baik "," perlu bimbingan ")))</f>
        <v xml:space="preserve"> perlu bimbingan </v>
      </c>
      <c r="AK51" s="305">
        <f t="shared" si="1"/>
        <v>0</v>
      </c>
      <c r="AL51" s="309" t="str">
        <f>IF(AK51&gt;KKM!$G$10," sangat baik ",IF(AK51&gt;KKM!$H$10," baik ",IF(AK51&gt;=KKM!$I$10," cukup baik "," perlu bimbingan ")))</f>
        <v xml:space="preserve"> perlu bimbingan </v>
      </c>
      <c r="AM51" s="301" t="str">
        <f t="shared" si="9"/>
        <v xml:space="preserve"> </v>
      </c>
      <c r="AN51" s="218"/>
      <c r="AO51" s="219" t="e">
        <f t="shared" si="2"/>
        <v>#N/A</v>
      </c>
      <c r="AP51" s="219" t="e">
        <f t="shared" si="3"/>
        <v>#N/A</v>
      </c>
      <c r="AQ51" s="219" t="e">
        <f t="shared" si="10"/>
        <v>#N/A</v>
      </c>
      <c r="AR51" s="219" t="e">
        <f t="shared" si="11"/>
        <v>#N/A</v>
      </c>
      <c r="AS51" s="220" t="e">
        <f t="shared" si="12"/>
        <v>#N/A</v>
      </c>
      <c r="AT51" s="214" t="e">
        <f t="shared" si="13"/>
        <v>#N/A</v>
      </c>
      <c r="AU51" s="120"/>
      <c r="BE51" s="408" t="str">
        <f t="shared" si="14"/>
        <v/>
      </c>
    </row>
    <row r="52" spans="2:57" ht="63.75" customHeight="1">
      <c r="B52" s="109">
        <v>48</v>
      </c>
      <c r="C52" s="110">
        <f>SISWA!B53</f>
        <v>0</v>
      </c>
      <c r="D52" s="111" t="str">
        <f>SISWA!E53</f>
        <v>Anak 48</v>
      </c>
      <c r="E52" s="520"/>
      <c r="F52" s="520"/>
      <c r="G52" s="520"/>
      <c r="H52" s="520"/>
      <c r="I52" s="520"/>
      <c r="J52" s="520"/>
      <c r="K52" s="520"/>
      <c r="L52" s="520"/>
      <c r="M52" s="520"/>
      <c r="N52" s="520"/>
      <c r="O52" s="520"/>
      <c r="P52" s="520"/>
      <c r="Q52" s="533" t="str">
        <f t="shared" si="4"/>
        <v/>
      </c>
      <c r="R52" s="533" t="str">
        <f t="shared" si="5"/>
        <v/>
      </c>
      <c r="S52" s="533" t="str">
        <f t="shared" si="6"/>
        <v/>
      </c>
      <c r="T52" s="533" t="str">
        <f t="shared" si="7"/>
        <v/>
      </c>
      <c r="U52" s="513"/>
      <c r="V52" s="125"/>
      <c r="W52" s="125"/>
      <c r="X52" s="125"/>
      <c r="Y52" s="125"/>
      <c r="Z52" s="124"/>
      <c r="AA52" s="124"/>
      <c r="AB52" s="124"/>
      <c r="AC52" s="124"/>
      <c r="AD52" s="125"/>
      <c r="AE52" s="125"/>
      <c r="AF52" s="124"/>
      <c r="AG52" s="302" t="e">
        <f t="shared" si="8"/>
        <v>#DIV/0!</v>
      </c>
      <c r="AH52" s="303" t="e">
        <f>IF(AG52&gt;KKM!$G$10,"A",IF(AG52&gt;KKM!$H$10,"B",IF(AG52&gt;=KKM!$I$10,"C","D")))</f>
        <v>#DIV/0!</v>
      </c>
      <c r="AI52" s="304">
        <f t="shared" si="0"/>
        <v>0</v>
      </c>
      <c r="AJ52" s="309" t="str">
        <f>IF(AI52&gt;KKM!$G$10," sangat baik ",IF(AI52&gt;KKM!$H$10," baik ",IF(AI52&gt;=KKM!$I$10," cukup baik "," perlu bimbingan ")))</f>
        <v xml:space="preserve"> perlu bimbingan </v>
      </c>
      <c r="AK52" s="305">
        <f t="shared" si="1"/>
        <v>0</v>
      </c>
      <c r="AL52" s="309" t="str">
        <f>IF(AK52&gt;KKM!$G$10," sangat baik ",IF(AK52&gt;KKM!$H$10," baik ",IF(AK52&gt;=KKM!$I$10," cukup baik "," perlu bimbingan ")))</f>
        <v xml:space="preserve"> perlu bimbingan </v>
      </c>
      <c r="AM52" s="301" t="str">
        <f t="shared" si="9"/>
        <v xml:space="preserve"> </v>
      </c>
      <c r="AN52" s="218"/>
      <c r="AO52" s="219" t="e">
        <f t="shared" si="2"/>
        <v>#N/A</v>
      </c>
      <c r="AP52" s="219" t="e">
        <f t="shared" si="3"/>
        <v>#N/A</v>
      </c>
      <c r="AQ52" s="219" t="e">
        <f t="shared" si="10"/>
        <v>#N/A</v>
      </c>
      <c r="AR52" s="219" t="e">
        <f t="shared" si="11"/>
        <v>#N/A</v>
      </c>
      <c r="AS52" s="220" t="e">
        <f t="shared" si="12"/>
        <v>#N/A</v>
      </c>
      <c r="AT52" s="214" t="e">
        <f t="shared" si="13"/>
        <v>#N/A</v>
      </c>
      <c r="AU52" s="120"/>
      <c r="BE52" s="408" t="str">
        <f t="shared" si="14"/>
        <v/>
      </c>
    </row>
    <row r="53" spans="2:57" ht="63.75" customHeight="1">
      <c r="B53" s="109">
        <v>49</v>
      </c>
      <c r="C53" s="110">
        <f>SISWA!B54</f>
        <v>0</v>
      </c>
      <c r="D53" s="111" t="str">
        <f>SISWA!E54</f>
        <v>Anak 49</v>
      </c>
      <c r="E53" s="520"/>
      <c r="F53" s="520"/>
      <c r="G53" s="520"/>
      <c r="H53" s="520"/>
      <c r="I53" s="520"/>
      <c r="J53" s="520"/>
      <c r="K53" s="520"/>
      <c r="L53" s="520"/>
      <c r="M53" s="520"/>
      <c r="N53" s="520"/>
      <c r="O53" s="520"/>
      <c r="P53" s="520"/>
      <c r="Q53" s="533" t="str">
        <f t="shared" si="4"/>
        <v/>
      </c>
      <c r="R53" s="533" t="str">
        <f t="shared" si="5"/>
        <v/>
      </c>
      <c r="S53" s="533" t="str">
        <f t="shared" si="6"/>
        <v/>
      </c>
      <c r="T53" s="533" t="str">
        <f t="shared" si="7"/>
        <v/>
      </c>
      <c r="U53" s="513"/>
      <c r="V53" s="125"/>
      <c r="W53" s="125"/>
      <c r="X53" s="125"/>
      <c r="Y53" s="125"/>
      <c r="Z53" s="124"/>
      <c r="AA53" s="124"/>
      <c r="AB53" s="124"/>
      <c r="AC53" s="124"/>
      <c r="AD53" s="125"/>
      <c r="AE53" s="125"/>
      <c r="AF53" s="124"/>
      <c r="AG53" s="302" t="e">
        <f t="shared" si="8"/>
        <v>#DIV/0!</v>
      </c>
      <c r="AH53" s="303" t="e">
        <f>IF(AG53&gt;KKM!$G$10,"A",IF(AG53&gt;KKM!$H$10,"B",IF(AG53&gt;=KKM!$I$10,"C","D")))</f>
        <v>#DIV/0!</v>
      </c>
      <c r="AI53" s="304">
        <f t="shared" si="0"/>
        <v>0</v>
      </c>
      <c r="AJ53" s="309" t="str">
        <f>IF(AI53&gt;KKM!$G$10," sangat baik ",IF(AI53&gt;KKM!$H$10," baik ",IF(AI53&gt;=KKM!$I$10," cukup baik "," perlu bimbingan ")))</f>
        <v xml:space="preserve"> perlu bimbingan </v>
      </c>
      <c r="AK53" s="305">
        <f t="shared" si="1"/>
        <v>0</v>
      </c>
      <c r="AL53" s="309" t="str">
        <f>IF(AK53&gt;KKM!$G$10," sangat baik ",IF(AK53&gt;KKM!$H$10," baik ",IF(AK53&gt;=KKM!$I$10," cukup baik "," perlu bimbingan ")))</f>
        <v xml:space="preserve"> perlu bimbingan </v>
      </c>
      <c r="AM53" s="301" t="str">
        <f t="shared" si="9"/>
        <v xml:space="preserve"> </v>
      </c>
      <c r="AN53" s="218"/>
      <c r="AO53" s="219" t="e">
        <f t="shared" si="2"/>
        <v>#N/A</v>
      </c>
      <c r="AP53" s="219" t="e">
        <f t="shared" si="3"/>
        <v>#N/A</v>
      </c>
      <c r="AQ53" s="219" t="e">
        <f t="shared" si="10"/>
        <v>#N/A</v>
      </c>
      <c r="AR53" s="219" t="e">
        <f t="shared" si="11"/>
        <v>#N/A</v>
      </c>
      <c r="AS53" s="220" t="e">
        <f t="shared" si="12"/>
        <v>#N/A</v>
      </c>
      <c r="AT53" s="214" t="e">
        <f t="shared" si="13"/>
        <v>#N/A</v>
      </c>
      <c r="AU53" s="120"/>
      <c r="BE53" s="408" t="str">
        <f t="shared" si="14"/>
        <v/>
      </c>
    </row>
    <row r="54" spans="2:57" ht="63.75" customHeight="1">
      <c r="B54" s="109">
        <v>50</v>
      </c>
      <c r="C54" s="110">
        <f>SISWA!B55</f>
        <v>0</v>
      </c>
      <c r="D54" s="111" t="str">
        <f>SISWA!E55</f>
        <v>Anak 50</v>
      </c>
      <c r="E54" s="520"/>
      <c r="F54" s="520"/>
      <c r="G54" s="520"/>
      <c r="H54" s="520"/>
      <c r="I54" s="520"/>
      <c r="J54" s="520"/>
      <c r="K54" s="520"/>
      <c r="L54" s="520"/>
      <c r="M54" s="520"/>
      <c r="N54" s="520"/>
      <c r="O54" s="520"/>
      <c r="P54" s="520"/>
      <c r="Q54" s="533" t="str">
        <f t="shared" si="4"/>
        <v/>
      </c>
      <c r="R54" s="533" t="str">
        <f t="shared" si="5"/>
        <v/>
      </c>
      <c r="S54" s="533" t="str">
        <f t="shared" si="6"/>
        <v/>
      </c>
      <c r="T54" s="533" t="str">
        <f t="shared" si="7"/>
        <v/>
      </c>
      <c r="U54" s="513"/>
      <c r="V54" s="125"/>
      <c r="W54" s="125"/>
      <c r="X54" s="125"/>
      <c r="Y54" s="125"/>
      <c r="Z54" s="124"/>
      <c r="AA54" s="124"/>
      <c r="AB54" s="124"/>
      <c r="AC54" s="124"/>
      <c r="AD54" s="125"/>
      <c r="AE54" s="125"/>
      <c r="AF54" s="124"/>
      <c r="AG54" s="302" t="e">
        <f t="shared" si="8"/>
        <v>#DIV/0!</v>
      </c>
      <c r="AH54" s="303" t="e">
        <f>IF(AG54&gt;KKM!$G$10,"A",IF(AG54&gt;KKM!$H$10,"B",IF(AG54&gt;=KKM!$I$10,"C","D")))</f>
        <v>#DIV/0!</v>
      </c>
      <c r="AI54" s="304">
        <f t="shared" si="0"/>
        <v>0</v>
      </c>
      <c r="AJ54" s="309" t="str">
        <f>IF(AI54&gt;KKM!$G$10," sangat baik ",IF(AI54&gt;KKM!$H$10," baik ",IF(AI54&gt;=KKM!$I$10," cukup baik "," perlu bimbingan ")))</f>
        <v xml:space="preserve"> perlu bimbingan </v>
      </c>
      <c r="AK54" s="305">
        <f t="shared" si="1"/>
        <v>0</v>
      </c>
      <c r="AL54" s="309" t="str">
        <f>IF(AK54&gt;KKM!$G$10," sangat baik ",IF(AK54&gt;KKM!$H$10," baik ",IF(AK54&gt;=KKM!$I$10," cukup baik "," perlu bimbingan ")))</f>
        <v xml:space="preserve"> perlu bimbingan </v>
      </c>
      <c r="AM54" s="301" t="str">
        <f t="shared" si="9"/>
        <v xml:space="preserve"> </v>
      </c>
      <c r="AN54" s="218"/>
      <c r="AO54" s="219" t="e">
        <f t="shared" si="2"/>
        <v>#N/A</v>
      </c>
      <c r="AP54" s="219" t="e">
        <f t="shared" si="3"/>
        <v>#N/A</v>
      </c>
      <c r="AQ54" s="219" t="e">
        <f t="shared" si="10"/>
        <v>#N/A</v>
      </c>
      <c r="AR54" s="219" t="e">
        <f t="shared" si="11"/>
        <v>#N/A</v>
      </c>
      <c r="AS54" s="220" t="e">
        <f t="shared" si="12"/>
        <v>#N/A</v>
      </c>
      <c r="AT54" s="214" t="e">
        <f t="shared" si="13"/>
        <v>#N/A</v>
      </c>
      <c r="AU54" s="120"/>
      <c r="BE54" s="408" t="str">
        <f t="shared" si="14"/>
        <v/>
      </c>
    </row>
    <row r="55" spans="2:57" ht="15.75">
      <c r="B55" s="121"/>
      <c r="C55" s="121"/>
      <c r="D55" s="121"/>
      <c r="E55" s="519"/>
      <c r="F55" s="519"/>
      <c r="G55" s="519"/>
      <c r="H55" s="519"/>
      <c r="I55" s="519"/>
      <c r="J55" s="519"/>
      <c r="K55" s="519"/>
      <c r="L55" s="519"/>
      <c r="M55" s="519"/>
      <c r="N55" s="519"/>
      <c r="O55" s="519"/>
      <c r="P55" s="519"/>
      <c r="Q55" s="124"/>
      <c r="R55" s="125"/>
      <c r="S55" s="125"/>
      <c r="T55" s="125"/>
      <c r="U55" s="125"/>
      <c r="V55" s="125"/>
      <c r="W55" s="125"/>
      <c r="X55" s="125"/>
      <c r="Y55" s="125"/>
      <c r="Z55" s="124"/>
      <c r="AA55" s="124"/>
      <c r="AB55" s="124"/>
      <c r="AC55" s="124"/>
      <c r="AD55" s="125"/>
      <c r="AE55" s="125"/>
      <c r="AF55" s="124"/>
      <c r="AG55" s="114"/>
      <c r="AH55" s="115"/>
      <c r="AI55" s="116"/>
      <c r="AJ55" s="116"/>
      <c r="AK55" s="116"/>
      <c r="AL55" s="116"/>
      <c r="AM55" s="117"/>
      <c r="AN55" s="118"/>
      <c r="AO55" s="119"/>
      <c r="AP55" s="122"/>
      <c r="AQ55" s="122"/>
      <c r="AR55" s="122"/>
      <c r="AS55" s="122"/>
      <c r="AT55" s="122"/>
      <c r="AU55" s="120"/>
    </row>
  </sheetData>
  <mergeCells count="15">
    <mergeCell ref="AH2:AH4"/>
    <mergeCell ref="AI2:AL2"/>
    <mergeCell ref="AM2:AM4"/>
    <mergeCell ref="AI3:AJ3"/>
    <mergeCell ref="AK3:AL3"/>
    <mergeCell ref="B2:B4"/>
    <mergeCell ref="C2:C4"/>
    <mergeCell ref="D2:D4"/>
    <mergeCell ref="Q2:AF2"/>
    <mergeCell ref="AG2:AG4"/>
    <mergeCell ref="E2:P2"/>
    <mergeCell ref="E3:G3"/>
    <mergeCell ref="H3:J3"/>
    <mergeCell ref="K3:M3"/>
    <mergeCell ref="N3:P3"/>
  </mergeCell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DV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135" customWidth="1"/>
    <col min="2" max="2" width="4.42578125" style="104" customWidth="1"/>
    <col min="3" max="3" width="6.42578125" style="104" customWidth="1"/>
    <col min="4" max="4" width="28.7109375" style="104" customWidth="1"/>
    <col min="5" max="16" width="7.5703125" style="104" customWidth="1"/>
    <col min="17" max="20" width="5.5703125" style="104" customWidth="1"/>
    <col min="21" max="31" width="5.5703125" style="104" hidden="1" customWidth="1"/>
    <col min="32" max="35" width="5.5703125" style="104" customWidth="1"/>
    <col min="36" max="36" width="11" style="104" customWidth="1"/>
    <col min="37" max="37" width="5.5703125" style="104" customWidth="1"/>
    <col min="38" max="38" width="12" style="104" customWidth="1"/>
    <col min="39" max="39" width="106.28515625" style="104" customWidth="1"/>
    <col min="40" max="40" width="40.5703125" style="104" customWidth="1"/>
    <col min="41" max="41" width="5" style="104" hidden="1" customWidth="1"/>
    <col min="42" max="42" width="4.7109375" style="104" hidden="1" customWidth="1"/>
    <col min="43" max="43" width="5.140625" style="104" hidden="1" customWidth="1"/>
    <col min="44" max="49" width="5" style="104" hidden="1" customWidth="1"/>
    <col min="50" max="50" width="4.85546875" style="104" hidden="1" customWidth="1"/>
    <col min="51" max="55" width="5" style="104" hidden="1" customWidth="1"/>
    <col min="56" max="57" width="5" style="104" customWidth="1"/>
    <col min="58" max="64" width="5" style="104" hidden="1" customWidth="1"/>
    <col min="65" max="65" width="84.42578125" style="104" hidden="1" customWidth="1"/>
    <col min="66" max="66" width="29.85546875" style="104" hidden="1" customWidth="1"/>
    <col min="67" max="80" width="10.7109375" style="104" hidden="1" customWidth="1"/>
    <col min="81" max="85" width="5" style="104" hidden="1" customWidth="1"/>
    <col min="86" max="86" width="4.85546875" style="104" hidden="1" customWidth="1"/>
    <col min="87" max="91" width="5" style="104" hidden="1" customWidth="1"/>
    <col min="92" max="93" width="0" style="104" hidden="1" customWidth="1"/>
    <col min="94" max="100" width="5" style="104" hidden="1" customWidth="1"/>
    <col min="101" max="101" width="84.42578125" style="104" hidden="1" customWidth="1"/>
    <col min="102" max="102" width="29.85546875" style="104" hidden="1" customWidth="1"/>
    <col min="103" max="126" width="10.7109375" style="104" hidden="1" customWidth="1"/>
    <col min="127" max="16384" width="9.140625" style="104" hidden="1"/>
  </cols>
  <sheetData>
    <row r="1" spans="1:64" s="451" customFormat="1" ht="45.75" customHeight="1">
      <c r="B1" s="452" t="str">
        <f>KKM!X8&amp;" (KETRAMPILAN)"</f>
        <v>Bahasa Inggris (KETRAMPILAN)</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row>
    <row r="2" spans="1:64" ht="23.25" customHeight="1">
      <c r="B2" s="1071" t="s">
        <v>2</v>
      </c>
      <c r="C2" s="1072" t="s">
        <v>3</v>
      </c>
      <c r="D2" s="1073" t="s">
        <v>48</v>
      </c>
      <c r="E2" s="1152" t="s">
        <v>710</v>
      </c>
      <c r="F2" s="1153"/>
      <c r="G2" s="1153"/>
      <c r="H2" s="1153"/>
      <c r="I2" s="1153"/>
      <c r="J2" s="1153"/>
      <c r="K2" s="1153"/>
      <c r="L2" s="1153"/>
      <c r="M2" s="1153"/>
      <c r="N2" s="1153"/>
      <c r="O2" s="1153"/>
      <c r="P2" s="1153"/>
      <c r="Q2" s="1111" t="s">
        <v>694</v>
      </c>
      <c r="R2" s="1111"/>
      <c r="S2" s="1111"/>
      <c r="T2" s="1111"/>
      <c r="U2" s="1111"/>
      <c r="V2" s="1111"/>
      <c r="W2" s="1111"/>
      <c r="X2" s="1111"/>
      <c r="Y2" s="1111"/>
      <c r="Z2" s="1111"/>
      <c r="AA2" s="1111"/>
      <c r="AB2" s="1111"/>
      <c r="AC2" s="1111"/>
      <c r="AD2" s="1111"/>
      <c r="AE2" s="1111"/>
      <c r="AF2" s="1111"/>
      <c r="AG2" s="1139" t="s">
        <v>5</v>
      </c>
      <c r="AH2" s="1123" t="s">
        <v>6</v>
      </c>
      <c r="AI2" s="1124" t="s">
        <v>314</v>
      </c>
      <c r="AJ2" s="1125"/>
      <c r="AK2" s="1125"/>
      <c r="AL2" s="1125"/>
      <c r="AM2" s="1027" t="s">
        <v>1</v>
      </c>
      <c r="AN2" s="1"/>
      <c r="AO2" s="1"/>
      <c r="AP2" s="1"/>
      <c r="AQ2" s="1"/>
      <c r="AR2" s="1"/>
      <c r="AS2" s="1"/>
      <c r="AT2" s="215"/>
    </row>
    <row r="3" spans="1:64" ht="94.5" customHeight="1">
      <c r="B3" s="1071"/>
      <c r="C3" s="1072"/>
      <c r="D3" s="1073"/>
      <c r="E3" s="1140">
        <f>Q4</f>
        <v>4.5</v>
      </c>
      <c r="F3" s="1141"/>
      <c r="G3" s="1142"/>
      <c r="H3" s="1143">
        <f>R4</f>
        <v>4.5999999999999996</v>
      </c>
      <c r="I3" s="1144"/>
      <c r="J3" s="1145"/>
      <c r="K3" s="1146">
        <f>S4</f>
        <v>4.7</v>
      </c>
      <c r="L3" s="1147"/>
      <c r="M3" s="1148"/>
      <c r="N3" s="1149">
        <f>T4</f>
        <v>4.8</v>
      </c>
      <c r="O3" s="1150"/>
      <c r="P3" s="1151"/>
      <c r="Q3" s="510" t="str">
        <f>'KI-KD'!$F134</f>
        <v>melakukan praktik menyebutkan tempat obyek wisata dan menyajikan kalimat tentang ungkapan terima kasih</v>
      </c>
      <c r="R3" s="510" t="str">
        <f>'KI-KD'!$F135</f>
        <v>melakukan percakapan yang menunjukkan letak suatu tempat</v>
      </c>
      <c r="S3" s="510" t="str">
        <f>'KI-KD'!$F136</f>
        <v>melakukan percakapan tentang penggunaan waktu, tanggal, bulan, dan tahun</v>
      </c>
      <c r="T3" s="510" t="str">
        <f>'KI-KD'!$F137</f>
        <v>menyajikan data tentang benda-benda di dapur beserta kegunaannya dan nama- nama bunga beserta ciri-cirinya</v>
      </c>
      <c r="U3" s="510">
        <f>'KI-KD'!$F140</f>
        <v>0</v>
      </c>
      <c r="V3" s="525"/>
      <c r="W3" s="525"/>
      <c r="X3" s="525"/>
      <c r="Y3" s="525"/>
      <c r="Z3" s="511"/>
      <c r="AA3" s="511"/>
      <c r="AB3" s="511"/>
      <c r="AC3" s="511"/>
      <c r="AD3" s="511"/>
      <c r="AE3" s="511"/>
      <c r="AF3" s="511"/>
      <c r="AG3" s="1139"/>
      <c r="AH3" s="1123"/>
      <c r="AI3" s="1135" t="s">
        <v>315</v>
      </c>
      <c r="AJ3" s="1136"/>
      <c r="AK3" s="1137" t="s">
        <v>316</v>
      </c>
      <c r="AL3" s="1138"/>
      <c r="AM3" s="1028"/>
      <c r="AN3" s="1"/>
      <c r="AO3" s="1"/>
      <c r="AP3" s="1"/>
      <c r="AQ3" s="1"/>
      <c r="AR3" s="1"/>
      <c r="AS3" s="1"/>
      <c r="AT3" s="215"/>
    </row>
    <row r="4" spans="1:64"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12">
        <f>'KI-KD'!$E134</f>
        <v>4.5</v>
      </c>
      <c r="R4" s="512">
        <f>'KI-KD'!$E135</f>
        <v>4.5999999999999996</v>
      </c>
      <c r="S4" s="512">
        <f>'KI-KD'!$E136</f>
        <v>4.7</v>
      </c>
      <c r="T4" s="512">
        <f>'KI-KD'!$E137</f>
        <v>4.8</v>
      </c>
      <c r="U4" s="512">
        <f>'KI-KD'!$E140</f>
        <v>0</v>
      </c>
      <c r="V4" s="512"/>
      <c r="W4" s="512"/>
      <c r="X4" s="512"/>
      <c r="Y4" s="512"/>
      <c r="Z4" s="512"/>
      <c r="AA4" s="512"/>
      <c r="AB4" s="512"/>
      <c r="AC4" s="512"/>
      <c r="AD4" s="512"/>
      <c r="AE4" s="512"/>
      <c r="AF4" s="512"/>
      <c r="AG4" s="1139"/>
      <c r="AH4" s="1123"/>
      <c r="AI4" s="210" t="s">
        <v>317</v>
      </c>
      <c r="AJ4" s="211" t="s">
        <v>1</v>
      </c>
      <c r="AK4" s="212" t="s">
        <v>317</v>
      </c>
      <c r="AL4" s="213" t="s">
        <v>1</v>
      </c>
      <c r="AM4" s="1029"/>
      <c r="AN4" s="1"/>
      <c r="AO4" s="216" t="s">
        <v>318</v>
      </c>
      <c r="AP4" s="216" t="s">
        <v>319</v>
      </c>
      <c r="AQ4" s="216" t="s">
        <v>320</v>
      </c>
      <c r="AR4" s="216" t="s">
        <v>321</v>
      </c>
      <c r="AS4" s="217" t="s">
        <v>314</v>
      </c>
      <c r="AT4" s="214"/>
    </row>
    <row r="5" spans="1:64" ht="63" customHeight="1">
      <c r="B5" s="109">
        <v>1</v>
      </c>
      <c r="C5" s="110">
        <f>SISWA!B6</f>
        <v>4822</v>
      </c>
      <c r="D5" s="111" t="str">
        <f>SISWA!E6</f>
        <v>Anak 1</v>
      </c>
      <c r="E5" s="520">
        <v>76</v>
      </c>
      <c r="F5" s="520"/>
      <c r="G5" s="520"/>
      <c r="H5" s="520"/>
      <c r="I5" s="520">
        <v>88</v>
      </c>
      <c r="J5" s="520"/>
      <c r="K5" s="520">
        <v>88</v>
      </c>
      <c r="L5" s="520"/>
      <c r="M5" s="520"/>
      <c r="N5" s="520">
        <v>88</v>
      </c>
      <c r="O5" s="520">
        <v>75</v>
      </c>
      <c r="P5" s="520"/>
      <c r="Q5" s="533">
        <f>IFERROR(AVERAGE(E5:G5),"")</f>
        <v>76</v>
      </c>
      <c r="R5" s="533">
        <f>IFERROR(AVERAGE(H5:J5),"")</f>
        <v>88</v>
      </c>
      <c r="S5" s="533">
        <f>IFERROR(AVERAGE(K5:M5),"")</f>
        <v>88</v>
      </c>
      <c r="T5" s="533">
        <f>IFERROR(AVERAGE(N5:P5),"")</f>
        <v>81.5</v>
      </c>
      <c r="U5" s="514"/>
      <c r="V5" s="514"/>
      <c r="W5" s="514"/>
      <c r="X5" s="514"/>
      <c r="Y5" s="514"/>
      <c r="Z5" s="513"/>
      <c r="AA5" s="513"/>
      <c r="AB5" s="513"/>
      <c r="AC5" s="513"/>
      <c r="AD5" s="514"/>
      <c r="AE5" s="514"/>
      <c r="AF5" s="513"/>
      <c r="AG5" s="302">
        <f>ROUND((AVERAGE(Q5:AF5)),0)</f>
        <v>83</v>
      </c>
      <c r="AH5" s="303" t="str">
        <f>IF(AG5&gt;KKM!$G$10,"A",IF(AG5&gt;KKM!$H$10,"B",IF(AG5&gt;=KKM!$I$10,"C","D")))</f>
        <v>B</v>
      </c>
      <c r="AI5" s="304">
        <f t="shared" ref="AI5:AI54" si="0">MAX(Q5:AF5)</f>
        <v>88</v>
      </c>
      <c r="AJ5" s="309" t="str">
        <f>IF(AI5&gt;KKM!$G$10," sangat baik ",IF(AI5&gt;KKM!$H$10," baik ",IF(AI5&gt;=KKM!$I$10," cukup baik "," perlu bimbingan ")))</f>
        <v xml:space="preserve"> baik </v>
      </c>
      <c r="AK5" s="305">
        <f t="shared" ref="AK5:AK54" si="1">MIN(Q5:AF5)</f>
        <v>76</v>
      </c>
      <c r="AL5" s="309" t="str">
        <f>IF(AK5&gt;KKM!$G$10," sangat baik ",IF(AK5&gt;KKM!$H$10," baik ",IF(AK5&gt;=KKM!$I$10," cukup baik "," perlu bimbingan ")))</f>
        <v xml:space="preserve"> cukup baik </v>
      </c>
      <c r="AM5" s="301" t="str">
        <f>IFERROR(AT5," ")</f>
        <v>Anak 1 baik  dalam melakukan percakapan yang menunjukkan letak suatu tempat, dan  cukup baik  dalam melakukan praktik menyebutkan tempat obyek wisata dan menyajikan kalimat tentang ungkapan terima kasih</v>
      </c>
      <c r="AN5" s="218"/>
      <c r="AO5" s="219" t="str">
        <f t="shared" ref="AO5:AO54" si="2">AJ5&amp;" dalam "&amp;INDEX($Q$3:$AF$3,MATCH(AI5,$Q5:$AF5,0))</f>
        <v xml:space="preserve"> baik  dalam melakukan percakapan yang menunjukkan letak suatu tempat</v>
      </c>
      <c r="AP5" s="219" t="str">
        <f t="shared" ref="AP5:AP54" si="3">AL5&amp;" dalam "&amp;INDEX($Q$3:$AF$3,MATCH(AK5,$Q5:$AF5,0))</f>
        <v xml:space="preserve"> cukup baik  dalam melakukan praktik menyebutkan tempat obyek wisata dan menyajikan kalimat tentang ungkapan terima kasih</v>
      </c>
      <c r="AQ5" s="219" t="str">
        <f>AO5&amp;", dan "&amp;AP5</f>
        <v xml:space="preserve"> baik  dalam melakukan percakapan yang menunjukkan letak suatu tempat, dan  cukup baik  dalam melakukan praktik menyebutkan tempat obyek wisata dan menyajikan kalimat tentang ungkapan terima kasih</v>
      </c>
      <c r="AR5" s="219" t="str">
        <f>IF(AO5=AP5,AO5," ")</f>
        <v xml:space="preserve"> </v>
      </c>
      <c r="AS5" s="220" t="str">
        <f>IF(AR5=" ",AQ5,AR5)</f>
        <v xml:space="preserve"> baik  dalam melakukan percakapan yang menunjukkan letak suatu tempat, dan  cukup baik  dalam melakukan praktik menyebutkan tempat obyek wisata dan menyajikan kalimat tentang ungkapan terima kasih</v>
      </c>
      <c r="AT5" s="214" t="str">
        <f>CONCATENATE(D5,AS5)</f>
        <v>Anak 1 baik  dalam melakukan percakapan yang menunjukkan letak suatu tempat, dan  cukup baik  dalam melakukan praktik menyebutkan tempat obyek wisata dan menyajikan kalimat tentang ungkapan terima kasih</v>
      </c>
      <c r="AU5" s="120"/>
    </row>
    <row r="6" spans="1:64" ht="63" customHeight="1">
      <c r="B6" s="109">
        <v>2</v>
      </c>
      <c r="C6" s="110">
        <f>SISWA!B7</f>
        <v>0</v>
      </c>
      <c r="D6" s="111" t="str">
        <f>SISWA!E7</f>
        <v>Anak 2</v>
      </c>
      <c r="E6" s="520">
        <v>77</v>
      </c>
      <c r="F6" s="520"/>
      <c r="G6" s="520"/>
      <c r="H6" s="520"/>
      <c r="I6" s="520"/>
      <c r="J6" s="520"/>
      <c r="K6" s="520">
        <v>89</v>
      </c>
      <c r="L6" s="520"/>
      <c r="M6" s="520"/>
      <c r="N6" s="520"/>
      <c r="O6" s="520"/>
      <c r="P6" s="520"/>
      <c r="Q6" s="533">
        <f t="shared" ref="Q6:Q54" si="4">IFERROR(AVERAGE(E6:G6),"")</f>
        <v>77</v>
      </c>
      <c r="R6" s="533" t="str">
        <f t="shared" ref="R6:R54" si="5">IFERROR(AVERAGE(H6:J6),"")</f>
        <v/>
      </c>
      <c r="S6" s="533">
        <f t="shared" ref="S6:S54" si="6">IFERROR(AVERAGE(K6:M6),"")</f>
        <v>89</v>
      </c>
      <c r="T6" s="533" t="str">
        <f t="shared" ref="T6:T54" si="7">IFERROR(AVERAGE(N6:P6),"")</f>
        <v/>
      </c>
      <c r="U6" s="514"/>
      <c r="V6" s="514"/>
      <c r="W6" s="514"/>
      <c r="X6" s="514"/>
      <c r="Y6" s="514"/>
      <c r="Z6" s="513"/>
      <c r="AA6" s="513"/>
      <c r="AB6" s="513"/>
      <c r="AC6" s="513"/>
      <c r="AD6" s="514"/>
      <c r="AE6" s="514"/>
      <c r="AF6" s="513"/>
      <c r="AG6" s="302">
        <f t="shared" ref="AG6:AG54" si="8">ROUND((AVERAGE(Q6:AF6)),0)</f>
        <v>83</v>
      </c>
      <c r="AH6" s="303" t="str">
        <f>IF(AG6&gt;KKM!$G$10,"A",IF(AG6&gt;KKM!$H$10,"B",IF(AG6&gt;=KKM!$I$10,"C","D")))</f>
        <v>B</v>
      </c>
      <c r="AI6" s="304">
        <f t="shared" si="0"/>
        <v>89</v>
      </c>
      <c r="AJ6" s="309" t="str">
        <f>IF(AI6&gt;KKM!$G$10," sangat baik ",IF(AI6&gt;KKM!$H$10," baik ",IF(AI6&gt;=KKM!$I$10," cukup baik "," perlu bimbingan ")))</f>
        <v xml:space="preserve"> baik </v>
      </c>
      <c r="AK6" s="305">
        <f t="shared" si="1"/>
        <v>77</v>
      </c>
      <c r="AL6" s="309" t="str">
        <f>IF(AK6&gt;KKM!$G$10," sangat baik ",IF(AK6&gt;KKM!$H$10," baik ",IF(AK6&gt;=KKM!$I$10," cukup baik "," perlu bimbingan ")))</f>
        <v xml:space="preserve"> cukup baik </v>
      </c>
      <c r="AM6" s="301" t="str">
        <f t="shared" ref="AM6:AM54" si="9">IFERROR(AT6," ")</f>
        <v>Anak 2 baik  dalam melakukan percakapan tentang penggunaan waktu, tanggal, bulan, dan tahun, dan  cukup baik  dalam melakukan praktik menyebutkan tempat obyek wisata dan menyajikan kalimat tentang ungkapan terima kasih</v>
      </c>
      <c r="AN6" s="218"/>
      <c r="AO6" s="219" t="str">
        <f t="shared" si="2"/>
        <v xml:space="preserve"> baik  dalam melakukan percakapan tentang penggunaan waktu, tanggal, bulan, dan tahun</v>
      </c>
      <c r="AP6" s="219" t="str">
        <f t="shared" si="3"/>
        <v xml:space="preserve"> cukup baik  dalam melakukan praktik menyebutkan tempat obyek wisata dan menyajikan kalimat tentang ungkapan terima kasih</v>
      </c>
      <c r="AQ6" s="219" t="str">
        <f t="shared" ref="AQ6:AQ54" si="10">AO6&amp;", dan "&amp;AP6</f>
        <v xml:space="preserve"> baik  dalam melakukan percakapan tentang penggunaan waktu, tanggal, bulan, dan tahun, dan  cukup baik  dalam melakukan praktik menyebutkan tempat obyek wisata dan menyajikan kalimat tentang ungkapan terima kasih</v>
      </c>
      <c r="AR6" s="219" t="str">
        <f t="shared" ref="AR6:AR54" si="11">IF(AO6=AP6,AO6," ")</f>
        <v xml:space="preserve"> </v>
      </c>
      <c r="AS6" s="220" t="str">
        <f t="shared" ref="AS6:AS54" si="12">IF(AR6=" ",AQ6,AR6)</f>
        <v xml:space="preserve"> baik  dalam melakukan percakapan tentang penggunaan waktu, tanggal, bulan, dan tahun, dan  cukup baik  dalam melakukan praktik menyebutkan tempat obyek wisata dan menyajikan kalimat tentang ungkapan terima kasih</v>
      </c>
      <c r="AT6" s="214" t="str">
        <f t="shared" ref="AT6:AT54" si="13">CONCATENATE(D6,AS6)</f>
        <v>Anak 2 baik  dalam melakukan percakapan tentang penggunaan waktu, tanggal, bulan, dan tahun, dan  cukup baik  dalam melakukan praktik menyebutkan tempat obyek wisata dan menyajikan kalimat tentang ungkapan terima kasih</v>
      </c>
      <c r="AU6" s="120"/>
    </row>
    <row r="7" spans="1:64" ht="63" customHeight="1">
      <c r="B7" s="109">
        <v>3</v>
      </c>
      <c r="C7" s="110">
        <f>SISWA!B8</f>
        <v>0</v>
      </c>
      <c r="D7" s="111" t="str">
        <f>SISWA!E8</f>
        <v>Anak 3</v>
      </c>
      <c r="E7" s="520"/>
      <c r="F7" s="520"/>
      <c r="G7" s="520"/>
      <c r="H7" s="520"/>
      <c r="I7" s="520"/>
      <c r="J7" s="520"/>
      <c r="K7" s="520">
        <v>77</v>
      </c>
      <c r="L7" s="520">
        <v>99</v>
      </c>
      <c r="M7" s="520"/>
      <c r="N7" s="520"/>
      <c r="O7" s="520"/>
      <c r="P7" s="520">
        <v>88</v>
      </c>
      <c r="Q7" s="533" t="str">
        <f t="shared" si="4"/>
        <v/>
      </c>
      <c r="R7" s="533" t="str">
        <f t="shared" si="5"/>
        <v/>
      </c>
      <c r="S7" s="533">
        <f t="shared" si="6"/>
        <v>88</v>
      </c>
      <c r="T7" s="533">
        <f t="shared" si="7"/>
        <v>88</v>
      </c>
      <c r="U7" s="514"/>
      <c r="V7" s="514"/>
      <c r="W7" s="514"/>
      <c r="X7" s="514"/>
      <c r="Y7" s="514"/>
      <c r="Z7" s="513"/>
      <c r="AA7" s="513"/>
      <c r="AB7" s="513"/>
      <c r="AC7" s="513"/>
      <c r="AD7" s="514"/>
      <c r="AE7" s="514"/>
      <c r="AF7" s="513"/>
      <c r="AG7" s="302">
        <f t="shared" si="8"/>
        <v>88</v>
      </c>
      <c r="AH7" s="303" t="str">
        <f>IF(AG7&gt;KKM!$G$10,"A",IF(AG7&gt;KKM!$H$10,"B",IF(AG7&gt;=KKM!$I$10,"C","D")))</f>
        <v>B</v>
      </c>
      <c r="AI7" s="304">
        <f t="shared" si="0"/>
        <v>88</v>
      </c>
      <c r="AJ7" s="309" t="str">
        <f>IF(AI7&gt;KKM!$G$10," sangat baik ",IF(AI7&gt;KKM!$H$10," baik ",IF(AI7&gt;=KKM!$I$10," cukup baik "," perlu bimbingan ")))</f>
        <v xml:space="preserve"> baik </v>
      </c>
      <c r="AK7" s="305">
        <f t="shared" si="1"/>
        <v>88</v>
      </c>
      <c r="AL7" s="309" t="str">
        <f>IF(AK7&gt;KKM!$G$10," sangat baik ",IF(AK7&gt;KKM!$H$10," baik ",IF(AK7&gt;=KKM!$I$10," cukup baik "," perlu bimbingan ")))</f>
        <v xml:space="preserve"> baik </v>
      </c>
      <c r="AM7" s="301" t="str">
        <f t="shared" si="9"/>
        <v>Anak 3 baik  dalam melakukan percakapan tentang penggunaan waktu, tanggal, bulan, dan tahun</v>
      </c>
      <c r="AN7" s="218"/>
      <c r="AO7" s="219" t="str">
        <f t="shared" si="2"/>
        <v xml:space="preserve"> baik  dalam melakukan percakapan tentang penggunaan waktu, tanggal, bulan, dan tahun</v>
      </c>
      <c r="AP7" s="219" t="str">
        <f t="shared" si="3"/>
        <v xml:space="preserve"> baik  dalam melakukan percakapan tentang penggunaan waktu, tanggal, bulan, dan tahun</v>
      </c>
      <c r="AQ7" s="219" t="str">
        <f t="shared" si="10"/>
        <v xml:space="preserve"> baik  dalam melakukan percakapan tentang penggunaan waktu, tanggal, bulan, dan tahun, dan  baik  dalam melakukan percakapan tentang penggunaan waktu, tanggal, bulan, dan tahun</v>
      </c>
      <c r="AR7" s="219" t="str">
        <f t="shared" si="11"/>
        <v xml:space="preserve"> baik  dalam melakukan percakapan tentang penggunaan waktu, tanggal, bulan, dan tahun</v>
      </c>
      <c r="AS7" s="220" t="str">
        <f t="shared" si="12"/>
        <v xml:space="preserve"> baik  dalam melakukan percakapan tentang penggunaan waktu, tanggal, bulan, dan tahun</v>
      </c>
      <c r="AT7" s="214" t="str">
        <f t="shared" si="13"/>
        <v>Anak 3 baik  dalam melakukan percakapan tentang penggunaan waktu, tanggal, bulan, dan tahun</v>
      </c>
      <c r="AU7" s="120"/>
    </row>
    <row r="8" spans="1:64" ht="63" customHeight="1">
      <c r="B8" s="109">
        <v>4</v>
      </c>
      <c r="C8" s="110">
        <f>SISWA!B9</f>
        <v>0</v>
      </c>
      <c r="D8" s="111" t="str">
        <f>SISWA!E9</f>
        <v>Anak 4</v>
      </c>
      <c r="E8" s="520"/>
      <c r="F8" s="520"/>
      <c r="G8" s="520"/>
      <c r="H8" s="520"/>
      <c r="I8" s="520"/>
      <c r="J8" s="520"/>
      <c r="K8" s="520"/>
      <c r="L8" s="520">
        <v>87</v>
      </c>
      <c r="M8" s="520"/>
      <c r="N8" s="520"/>
      <c r="O8" s="520"/>
      <c r="P8" s="520"/>
      <c r="Q8" s="533" t="str">
        <f t="shared" si="4"/>
        <v/>
      </c>
      <c r="R8" s="533" t="str">
        <f t="shared" si="5"/>
        <v/>
      </c>
      <c r="S8" s="533">
        <f t="shared" si="6"/>
        <v>87</v>
      </c>
      <c r="T8" s="533" t="str">
        <f t="shared" si="7"/>
        <v/>
      </c>
      <c r="U8" s="514"/>
      <c r="V8" s="514"/>
      <c r="W8" s="514"/>
      <c r="X8" s="514"/>
      <c r="Y8" s="514"/>
      <c r="Z8" s="513"/>
      <c r="AA8" s="513"/>
      <c r="AB8" s="513"/>
      <c r="AC8" s="513"/>
      <c r="AD8" s="514"/>
      <c r="AE8" s="514"/>
      <c r="AF8" s="513"/>
      <c r="AG8" s="302">
        <f t="shared" si="8"/>
        <v>87</v>
      </c>
      <c r="AH8" s="303" t="str">
        <f>IF(AG8&gt;KKM!$G$10,"A",IF(AG8&gt;KKM!$H$10,"B",IF(AG8&gt;=KKM!$I$10,"C","D")))</f>
        <v>B</v>
      </c>
      <c r="AI8" s="304">
        <f t="shared" si="0"/>
        <v>87</v>
      </c>
      <c r="AJ8" s="309" t="str">
        <f>IF(AI8&gt;KKM!$G$10," sangat baik ",IF(AI8&gt;KKM!$H$10," baik ",IF(AI8&gt;=KKM!$I$10," cukup baik "," perlu bimbingan ")))</f>
        <v xml:space="preserve"> baik </v>
      </c>
      <c r="AK8" s="305">
        <f t="shared" si="1"/>
        <v>87</v>
      </c>
      <c r="AL8" s="309" t="str">
        <f>IF(AK8&gt;KKM!$G$10," sangat baik ",IF(AK8&gt;KKM!$H$10," baik ",IF(AK8&gt;=KKM!$I$10," cukup baik "," perlu bimbingan ")))</f>
        <v xml:space="preserve"> baik </v>
      </c>
      <c r="AM8" s="301" t="str">
        <f t="shared" si="9"/>
        <v>Anak 4 baik  dalam melakukan percakapan tentang penggunaan waktu, tanggal, bulan, dan tahun</v>
      </c>
      <c r="AN8" s="218"/>
      <c r="AO8" s="219" t="str">
        <f t="shared" si="2"/>
        <v xml:space="preserve"> baik  dalam melakukan percakapan tentang penggunaan waktu, tanggal, bulan, dan tahun</v>
      </c>
      <c r="AP8" s="219" t="str">
        <f t="shared" si="3"/>
        <v xml:space="preserve"> baik  dalam melakukan percakapan tentang penggunaan waktu, tanggal, bulan, dan tahun</v>
      </c>
      <c r="AQ8" s="219" t="str">
        <f t="shared" si="10"/>
        <v xml:space="preserve"> baik  dalam melakukan percakapan tentang penggunaan waktu, tanggal, bulan, dan tahun, dan  baik  dalam melakukan percakapan tentang penggunaan waktu, tanggal, bulan, dan tahun</v>
      </c>
      <c r="AR8" s="219" t="str">
        <f t="shared" si="11"/>
        <v xml:space="preserve"> baik  dalam melakukan percakapan tentang penggunaan waktu, tanggal, bulan, dan tahun</v>
      </c>
      <c r="AS8" s="220" t="str">
        <f t="shared" si="12"/>
        <v xml:space="preserve"> baik  dalam melakukan percakapan tentang penggunaan waktu, tanggal, bulan, dan tahun</v>
      </c>
      <c r="AT8" s="214" t="str">
        <f t="shared" si="13"/>
        <v>Anak 4 baik  dalam melakukan percakapan tentang penggunaan waktu, tanggal, bulan, dan tahun</v>
      </c>
      <c r="AU8" s="120"/>
    </row>
    <row r="9" spans="1:64" ht="63" customHeight="1">
      <c r="B9" s="109">
        <v>5</v>
      </c>
      <c r="C9" s="110">
        <f>SISWA!B10</f>
        <v>0</v>
      </c>
      <c r="D9" s="111" t="str">
        <f>SISWA!E10</f>
        <v>Anak 5</v>
      </c>
      <c r="E9" s="520"/>
      <c r="F9" s="520"/>
      <c r="G9" s="520"/>
      <c r="H9" s="520"/>
      <c r="I9" s="520"/>
      <c r="J9" s="520"/>
      <c r="K9" s="520"/>
      <c r="L9" s="520"/>
      <c r="M9" s="520"/>
      <c r="N9" s="520"/>
      <c r="O9" s="520">
        <v>88</v>
      </c>
      <c r="P9" s="520"/>
      <c r="Q9" s="533" t="str">
        <f t="shared" si="4"/>
        <v/>
      </c>
      <c r="R9" s="533" t="str">
        <f t="shared" si="5"/>
        <v/>
      </c>
      <c r="S9" s="533" t="str">
        <f t="shared" si="6"/>
        <v/>
      </c>
      <c r="T9" s="533">
        <f t="shared" si="7"/>
        <v>88</v>
      </c>
      <c r="U9" s="514"/>
      <c r="V9" s="514"/>
      <c r="W9" s="514"/>
      <c r="X9" s="514"/>
      <c r="Y9" s="514"/>
      <c r="Z9" s="513"/>
      <c r="AA9" s="513"/>
      <c r="AB9" s="513"/>
      <c r="AC9" s="513"/>
      <c r="AD9" s="514"/>
      <c r="AE9" s="514"/>
      <c r="AF9" s="513"/>
      <c r="AG9" s="302">
        <f t="shared" si="8"/>
        <v>88</v>
      </c>
      <c r="AH9" s="303" t="str">
        <f>IF(AG9&gt;KKM!$G$10,"A",IF(AG9&gt;KKM!$H$10,"B",IF(AG9&gt;=KKM!$I$10,"C","D")))</f>
        <v>B</v>
      </c>
      <c r="AI9" s="304">
        <f t="shared" si="0"/>
        <v>88</v>
      </c>
      <c r="AJ9" s="309" t="str">
        <f>IF(AI9&gt;KKM!$G$10," sangat baik ",IF(AI9&gt;KKM!$H$10," baik ",IF(AI9&gt;=KKM!$I$10," cukup baik "," perlu bimbingan ")))</f>
        <v xml:space="preserve"> baik </v>
      </c>
      <c r="AK9" s="305">
        <f t="shared" si="1"/>
        <v>88</v>
      </c>
      <c r="AL9" s="309" t="str">
        <f>IF(AK9&gt;KKM!$G$10," sangat baik ",IF(AK9&gt;KKM!$H$10," baik ",IF(AK9&gt;=KKM!$I$10," cukup baik "," perlu bimbingan ")))</f>
        <v xml:space="preserve"> baik </v>
      </c>
      <c r="AM9" s="301" t="str">
        <f t="shared" si="9"/>
        <v>Anak 5 baik  dalam menyajikan data tentang benda-benda di dapur beserta kegunaannya dan nama- nama bunga beserta ciri-cirinya</v>
      </c>
      <c r="AN9" s="218"/>
      <c r="AO9" s="219" t="str">
        <f t="shared" si="2"/>
        <v xml:space="preserve"> baik  dalam menyajikan data tentang benda-benda di dapur beserta kegunaannya dan nama- nama bunga beserta ciri-cirinya</v>
      </c>
      <c r="AP9" s="219" t="str">
        <f t="shared" si="3"/>
        <v xml:space="preserve"> baik  dalam menyajikan data tentang benda-benda di dapur beserta kegunaannya dan nama- nama bunga beserta ciri-cirinya</v>
      </c>
      <c r="AQ9" s="219" t="str">
        <f t="shared" si="10"/>
        <v xml:space="preserve"> baik  dalam menyajikan data tentang benda-benda di dapur beserta kegunaannya dan nama- nama bunga beserta ciri-cirinya, dan  baik  dalam menyajikan data tentang benda-benda di dapur beserta kegunaannya dan nama- nama bunga beserta ciri-cirinya</v>
      </c>
      <c r="AR9" s="219" t="str">
        <f t="shared" si="11"/>
        <v xml:space="preserve"> baik  dalam menyajikan data tentang benda-benda di dapur beserta kegunaannya dan nama- nama bunga beserta ciri-cirinya</v>
      </c>
      <c r="AS9" s="220" t="str">
        <f t="shared" si="12"/>
        <v xml:space="preserve"> baik  dalam menyajikan data tentang benda-benda di dapur beserta kegunaannya dan nama- nama bunga beserta ciri-cirinya</v>
      </c>
      <c r="AT9" s="214" t="str">
        <f t="shared" si="13"/>
        <v>Anak 5 baik  dalam menyajikan data tentang benda-benda di dapur beserta kegunaannya dan nama- nama bunga beserta ciri-cirinya</v>
      </c>
      <c r="AU9" s="120"/>
    </row>
    <row r="10" spans="1:64" ht="63" customHeight="1">
      <c r="B10" s="109">
        <v>6</v>
      </c>
      <c r="C10" s="110">
        <f>SISWA!B11</f>
        <v>0</v>
      </c>
      <c r="D10" s="111" t="str">
        <f>SISWA!E11</f>
        <v>Anak 6</v>
      </c>
      <c r="E10" s="520"/>
      <c r="F10" s="520"/>
      <c r="G10" s="520"/>
      <c r="H10" s="520"/>
      <c r="I10" s="520"/>
      <c r="J10" s="520"/>
      <c r="K10" s="520"/>
      <c r="L10" s="520"/>
      <c r="M10" s="520"/>
      <c r="N10" s="520"/>
      <c r="O10" s="520"/>
      <c r="P10" s="520"/>
      <c r="Q10" s="533" t="str">
        <f t="shared" si="4"/>
        <v/>
      </c>
      <c r="R10" s="533" t="str">
        <f t="shared" si="5"/>
        <v/>
      </c>
      <c r="S10" s="533" t="str">
        <f t="shared" si="6"/>
        <v/>
      </c>
      <c r="T10" s="533" t="str">
        <f t="shared" si="7"/>
        <v/>
      </c>
      <c r="U10" s="514"/>
      <c r="V10" s="514"/>
      <c r="W10" s="514"/>
      <c r="X10" s="514"/>
      <c r="Y10" s="514"/>
      <c r="Z10" s="513"/>
      <c r="AA10" s="513"/>
      <c r="AB10" s="513"/>
      <c r="AC10" s="513"/>
      <c r="AD10" s="514"/>
      <c r="AE10" s="514"/>
      <c r="AF10" s="513"/>
      <c r="AG10" s="302" t="e">
        <f t="shared" si="8"/>
        <v>#DIV/0!</v>
      </c>
      <c r="AH10" s="303" t="e">
        <f>IF(AG10&gt;KKM!$G$10,"A",IF(AG10&gt;KKM!$H$10,"B",IF(AG10&gt;=KKM!$I$10,"C","D")))</f>
        <v>#DIV/0!</v>
      </c>
      <c r="AI10" s="304">
        <f t="shared" si="0"/>
        <v>0</v>
      </c>
      <c r="AJ10" s="309" t="str">
        <f>IF(AI10&gt;KKM!$G$10," sangat baik ",IF(AI10&gt;KKM!$H$10," baik ",IF(AI10&gt;=KKM!$I$10," cukup baik "," perlu bimbingan ")))</f>
        <v xml:space="preserve"> perlu bimbingan </v>
      </c>
      <c r="AK10" s="305">
        <f t="shared" si="1"/>
        <v>0</v>
      </c>
      <c r="AL10" s="309" t="str">
        <f>IF(AK10&gt;KKM!$G$10," sangat baik ",IF(AK10&gt;KKM!$H$10," baik ",IF(AK10&gt;=KKM!$I$10," cukup baik "," perlu bimbingan ")))</f>
        <v xml:space="preserve"> perlu bimbingan </v>
      </c>
      <c r="AM10" s="301" t="str">
        <f t="shared" si="9"/>
        <v xml:space="preserve"> </v>
      </c>
      <c r="AN10" s="218"/>
      <c r="AO10" s="219" t="e">
        <f t="shared" si="2"/>
        <v>#N/A</v>
      </c>
      <c r="AP10" s="219" t="e">
        <f t="shared" si="3"/>
        <v>#N/A</v>
      </c>
      <c r="AQ10" s="219" t="e">
        <f t="shared" si="10"/>
        <v>#N/A</v>
      </c>
      <c r="AR10" s="219" t="e">
        <f t="shared" si="11"/>
        <v>#N/A</v>
      </c>
      <c r="AS10" s="220" t="e">
        <f t="shared" si="12"/>
        <v>#N/A</v>
      </c>
      <c r="AT10" s="214" t="e">
        <f t="shared" si="13"/>
        <v>#N/A</v>
      </c>
      <c r="AU10" s="120"/>
    </row>
    <row r="11" spans="1:64" ht="63" customHeight="1">
      <c r="B11" s="109">
        <v>7</v>
      </c>
      <c r="C11" s="110">
        <f>SISWA!B12</f>
        <v>0</v>
      </c>
      <c r="D11" s="111" t="str">
        <f>SISWA!E12</f>
        <v>Anak 7</v>
      </c>
      <c r="E11" s="520"/>
      <c r="F11" s="520"/>
      <c r="G11" s="520"/>
      <c r="H11" s="520"/>
      <c r="I11" s="520"/>
      <c r="J11" s="520"/>
      <c r="K11" s="520"/>
      <c r="L11" s="520"/>
      <c r="M11" s="520"/>
      <c r="N11" s="520"/>
      <c r="O11" s="520"/>
      <c r="P11" s="520"/>
      <c r="Q11" s="533" t="str">
        <f t="shared" si="4"/>
        <v/>
      </c>
      <c r="R11" s="533" t="str">
        <f t="shared" si="5"/>
        <v/>
      </c>
      <c r="S11" s="533" t="str">
        <f t="shared" si="6"/>
        <v/>
      </c>
      <c r="T11" s="533" t="str">
        <f t="shared" si="7"/>
        <v/>
      </c>
      <c r="U11" s="514"/>
      <c r="V11" s="514"/>
      <c r="W11" s="514"/>
      <c r="X11" s="514"/>
      <c r="Y11" s="514"/>
      <c r="Z11" s="513"/>
      <c r="AA11" s="513"/>
      <c r="AB11" s="513"/>
      <c r="AC11" s="513"/>
      <c r="AD11" s="514"/>
      <c r="AE11" s="514"/>
      <c r="AF11" s="513"/>
      <c r="AG11" s="302" t="e">
        <f t="shared" si="8"/>
        <v>#DIV/0!</v>
      </c>
      <c r="AH11" s="303" t="e">
        <f>IF(AG11&gt;KKM!$G$10,"A",IF(AG11&gt;KKM!$H$10,"B",IF(AG11&gt;=KKM!$I$10,"C","D")))</f>
        <v>#DIV/0!</v>
      </c>
      <c r="AI11" s="304">
        <f t="shared" si="0"/>
        <v>0</v>
      </c>
      <c r="AJ11" s="309" t="str">
        <f>IF(AI11&gt;KKM!$G$10," sangat baik ",IF(AI11&gt;KKM!$H$10," baik ",IF(AI11&gt;=KKM!$I$10," cukup baik "," perlu bimbingan ")))</f>
        <v xml:space="preserve"> perlu bimbingan </v>
      </c>
      <c r="AK11" s="305">
        <f t="shared" si="1"/>
        <v>0</v>
      </c>
      <c r="AL11" s="309" t="str">
        <f>IF(AK11&gt;KKM!$G$10," sangat baik ",IF(AK11&gt;KKM!$H$10," baik ",IF(AK11&gt;=KKM!$I$10," cukup baik "," perlu bimbingan ")))</f>
        <v xml:space="preserve"> perlu bimbingan </v>
      </c>
      <c r="AM11" s="301" t="str">
        <f t="shared" si="9"/>
        <v xml:space="preserve"> </v>
      </c>
      <c r="AN11" s="218"/>
      <c r="AO11" s="219" t="e">
        <f t="shared" si="2"/>
        <v>#N/A</v>
      </c>
      <c r="AP11" s="219" t="e">
        <f t="shared" si="3"/>
        <v>#N/A</v>
      </c>
      <c r="AQ11" s="219" t="e">
        <f t="shared" si="10"/>
        <v>#N/A</v>
      </c>
      <c r="AR11" s="219" t="e">
        <f t="shared" si="11"/>
        <v>#N/A</v>
      </c>
      <c r="AS11" s="220" t="e">
        <f t="shared" si="12"/>
        <v>#N/A</v>
      </c>
      <c r="AT11" s="214" t="e">
        <f t="shared" si="13"/>
        <v>#N/A</v>
      </c>
      <c r="AU11" s="120"/>
    </row>
    <row r="12" spans="1:64" ht="63" customHeight="1">
      <c r="B12" s="109">
        <v>8</v>
      </c>
      <c r="C12" s="110">
        <f>SISWA!B13</f>
        <v>0</v>
      </c>
      <c r="D12" s="111" t="str">
        <f>SISWA!E13</f>
        <v>Anak 8</v>
      </c>
      <c r="E12" s="520"/>
      <c r="F12" s="520"/>
      <c r="G12" s="520"/>
      <c r="H12" s="520"/>
      <c r="I12" s="520"/>
      <c r="J12" s="520"/>
      <c r="K12" s="520"/>
      <c r="L12" s="520"/>
      <c r="M12" s="520"/>
      <c r="N12" s="520"/>
      <c r="O12" s="520"/>
      <c r="P12" s="520"/>
      <c r="Q12" s="533" t="str">
        <f t="shared" si="4"/>
        <v/>
      </c>
      <c r="R12" s="533" t="str">
        <f t="shared" si="5"/>
        <v/>
      </c>
      <c r="S12" s="533" t="str">
        <f t="shared" si="6"/>
        <v/>
      </c>
      <c r="T12" s="533" t="str">
        <f t="shared" si="7"/>
        <v/>
      </c>
      <c r="U12" s="514"/>
      <c r="V12" s="514"/>
      <c r="W12" s="514"/>
      <c r="X12" s="514"/>
      <c r="Y12" s="514"/>
      <c r="Z12" s="513"/>
      <c r="AA12" s="513"/>
      <c r="AB12" s="513"/>
      <c r="AC12" s="513"/>
      <c r="AD12" s="514"/>
      <c r="AE12" s="514"/>
      <c r="AF12" s="513"/>
      <c r="AG12" s="302" t="e">
        <f t="shared" si="8"/>
        <v>#DIV/0!</v>
      </c>
      <c r="AH12" s="303" t="e">
        <f>IF(AG12&gt;KKM!$G$10,"A",IF(AG12&gt;KKM!$H$10,"B",IF(AG12&gt;=KKM!$I$10,"C","D")))</f>
        <v>#DIV/0!</v>
      </c>
      <c r="AI12" s="304">
        <f t="shared" si="0"/>
        <v>0</v>
      </c>
      <c r="AJ12" s="309" t="str">
        <f>IF(AI12&gt;KKM!$G$10," sangat baik ",IF(AI12&gt;KKM!$H$10," baik ",IF(AI12&gt;=KKM!$I$10," cukup baik "," perlu bimbingan ")))</f>
        <v xml:space="preserve"> perlu bimbingan </v>
      </c>
      <c r="AK12" s="305">
        <f t="shared" si="1"/>
        <v>0</v>
      </c>
      <c r="AL12" s="309" t="str">
        <f>IF(AK12&gt;KKM!$G$10," sangat baik ",IF(AK12&gt;KKM!$H$10," baik ",IF(AK12&gt;=KKM!$I$10," cukup baik "," perlu bimbingan ")))</f>
        <v xml:space="preserve"> perlu bimbingan </v>
      </c>
      <c r="AM12" s="301" t="str">
        <f t="shared" si="9"/>
        <v xml:space="preserve"> </v>
      </c>
      <c r="AN12" s="218"/>
      <c r="AO12" s="219" t="e">
        <f t="shared" si="2"/>
        <v>#N/A</v>
      </c>
      <c r="AP12" s="219" t="e">
        <f t="shared" si="3"/>
        <v>#N/A</v>
      </c>
      <c r="AQ12" s="219" t="e">
        <f t="shared" si="10"/>
        <v>#N/A</v>
      </c>
      <c r="AR12" s="219" t="e">
        <f t="shared" si="11"/>
        <v>#N/A</v>
      </c>
      <c r="AS12" s="220" t="e">
        <f t="shared" si="12"/>
        <v>#N/A</v>
      </c>
      <c r="AT12" s="214" t="e">
        <f t="shared" si="13"/>
        <v>#N/A</v>
      </c>
      <c r="AU12" s="120"/>
    </row>
    <row r="13" spans="1:64" ht="63" customHeight="1">
      <c r="B13" s="109">
        <v>9</v>
      </c>
      <c r="C13" s="110">
        <f>SISWA!B14</f>
        <v>0</v>
      </c>
      <c r="D13" s="111" t="str">
        <f>SISWA!E14</f>
        <v>Anak 9</v>
      </c>
      <c r="E13" s="520"/>
      <c r="F13" s="520"/>
      <c r="G13" s="520"/>
      <c r="H13" s="520"/>
      <c r="I13" s="520"/>
      <c r="J13" s="520"/>
      <c r="K13" s="520"/>
      <c r="L13" s="520"/>
      <c r="M13" s="520"/>
      <c r="N13" s="520"/>
      <c r="O13" s="520"/>
      <c r="P13" s="520"/>
      <c r="Q13" s="533" t="str">
        <f t="shared" si="4"/>
        <v/>
      </c>
      <c r="R13" s="533" t="str">
        <f t="shared" si="5"/>
        <v/>
      </c>
      <c r="S13" s="533" t="str">
        <f t="shared" si="6"/>
        <v/>
      </c>
      <c r="T13" s="533" t="str">
        <f t="shared" si="7"/>
        <v/>
      </c>
      <c r="U13" s="514"/>
      <c r="V13" s="514"/>
      <c r="W13" s="514"/>
      <c r="X13" s="514"/>
      <c r="Y13" s="514"/>
      <c r="Z13" s="513"/>
      <c r="AA13" s="513"/>
      <c r="AB13" s="513"/>
      <c r="AC13" s="513"/>
      <c r="AD13" s="514"/>
      <c r="AE13" s="514"/>
      <c r="AF13" s="513"/>
      <c r="AG13" s="302" t="e">
        <f t="shared" si="8"/>
        <v>#DIV/0!</v>
      </c>
      <c r="AH13" s="303" t="e">
        <f>IF(AG13&gt;KKM!$G$10,"A",IF(AG13&gt;KKM!$H$10,"B",IF(AG13&gt;=KKM!$I$10,"C","D")))</f>
        <v>#DIV/0!</v>
      </c>
      <c r="AI13" s="304">
        <f t="shared" si="0"/>
        <v>0</v>
      </c>
      <c r="AJ13" s="309" t="str">
        <f>IF(AI13&gt;KKM!$G$10," sangat baik ",IF(AI13&gt;KKM!$H$10," baik ",IF(AI13&gt;=KKM!$I$10," cukup baik "," perlu bimbingan ")))</f>
        <v xml:space="preserve"> perlu bimbingan </v>
      </c>
      <c r="AK13" s="305">
        <f t="shared" si="1"/>
        <v>0</v>
      </c>
      <c r="AL13" s="309" t="str">
        <f>IF(AK13&gt;KKM!$G$10," sangat baik ",IF(AK13&gt;KKM!$H$10," baik ",IF(AK13&gt;=KKM!$I$10," cukup baik "," perlu bimbingan ")))</f>
        <v xml:space="preserve"> perlu bimbingan </v>
      </c>
      <c r="AM13" s="301" t="str">
        <f t="shared" si="9"/>
        <v xml:space="preserve"> </v>
      </c>
      <c r="AN13" s="218"/>
      <c r="AO13" s="219" t="e">
        <f t="shared" si="2"/>
        <v>#N/A</v>
      </c>
      <c r="AP13" s="219" t="e">
        <f t="shared" si="3"/>
        <v>#N/A</v>
      </c>
      <c r="AQ13" s="219" t="e">
        <f t="shared" si="10"/>
        <v>#N/A</v>
      </c>
      <c r="AR13" s="219" t="e">
        <f t="shared" si="11"/>
        <v>#N/A</v>
      </c>
      <c r="AS13" s="220" t="e">
        <f t="shared" si="12"/>
        <v>#N/A</v>
      </c>
      <c r="AT13" s="214" t="e">
        <f t="shared" si="13"/>
        <v>#N/A</v>
      </c>
      <c r="AU13" s="120"/>
    </row>
    <row r="14" spans="1:64" ht="63" customHeight="1">
      <c r="B14" s="109">
        <v>10</v>
      </c>
      <c r="C14" s="110">
        <f>SISWA!B15</f>
        <v>0</v>
      </c>
      <c r="D14" s="111" t="str">
        <f>SISWA!E15</f>
        <v>Anak 10</v>
      </c>
      <c r="E14" s="520"/>
      <c r="F14" s="520"/>
      <c r="G14" s="520"/>
      <c r="H14" s="520"/>
      <c r="I14" s="520"/>
      <c r="J14" s="520"/>
      <c r="K14" s="520"/>
      <c r="L14" s="520"/>
      <c r="M14" s="520"/>
      <c r="N14" s="520"/>
      <c r="O14" s="520"/>
      <c r="P14" s="520"/>
      <c r="Q14" s="533" t="str">
        <f t="shared" si="4"/>
        <v/>
      </c>
      <c r="R14" s="533" t="str">
        <f t="shared" si="5"/>
        <v/>
      </c>
      <c r="S14" s="533" t="str">
        <f t="shared" si="6"/>
        <v/>
      </c>
      <c r="T14" s="533" t="str">
        <f t="shared" si="7"/>
        <v/>
      </c>
      <c r="U14" s="514"/>
      <c r="V14" s="514"/>
      <c r="W14" s="514"/>
      <c r="X14" s="514"/>
      <c r="Y14" s="514"/>
      <c r="Z14" s="513"/>
      <c r="AA14" s="513"/>
      <c r="AB14" s="513"/>
      <c r="AC14" s="513"/>
      <c r="AD14" s="514"/>
      <c r="AE14" s="514"/>
      <c r="AF14" s="513"/>
      <c r="AG14" s="302" t="e">
        <f t="shared" si="8"/>
        <v>#DIV/0!</v>
      </c>
      <c r="AH14" s="303" t="e">
        <f>IF(AG14&gt;KKM!$G$10,"A",IF(AG14&gt;KKM!$H$10,"B",IF(AG14&gt;=KKM!$I$10,"C","D")))</f>
        <v>#DIV/0!</v>
      </c>
      <c r="AI14" s="304">
        <f t="shared" si="0"/>
        <v>0</v>
      </c>
      <c r="AJ14" s="309" t="str">
        <f>IF(AI14&gt;KKM!$G$10," sangat baik ",IF(AI14&gt;KKM!$H$10," baik ",IF(AI14&gt;=KKM!$I$10," cukup baik "," perlu bimbingan ")))</f>
        <v xml:space="preserve"> perlu bimbingan </v>
      </c>
      <c r="AK14" s="305">
        <f t="shared" si="1"/>
        <v>0</v>
      </c>
      <c r="AL14" s="309" t="str">
        <f>IF(AK14&gt;KKM!$G$10," sangat baik ",IF(AK14&gt;KKM!$H$10," baik ",IF(AK14&gt;=KKM!$I$10," cukup baik "," perlu bimbingan ")))</f>
        <v xml:space="preserve"> perlu bimbingan </v>
      </c>
      <c r="AM14" s="301" t="str">
        <f t="shared" si="9"/>
        <v xml:space="preserve"> </v>
      </c>
      <c r="AN14" s="218"/>
      <c r="AO14" s="219" t="e">
        <f t="shared" si="2"/>
        <v>#N/A</v>
      </c>
      <c r="AP14" s="219" t="e">
        <f t="shared" si="3"/>
        <v>#N/A</v>
      </c>
      <c r="AQ14" s="219" t="e">
        <f t="shared" si="10"/>
        <v>#N/A</v>
      </c>
      <c r="AR14" s="219" t="e">
        <f t="shared" si="11"/>
        <v>#N/A</v>
      </c>
      <c r="AS14" s="220" t="e">
        <f t="shared" si="12"/>
        <v>#N/A</v>
      </c>
      <c r="AT14" s="214" t="e">
        <f t="shared" si="13"/>
        <v>#N/A</v>
      </c>
      <c r="AU14" s="120"/>
    </row>
    <row r="15" spans="1:64" ht="63" customHeight="1">
      <c r="B15" s="109">
        <v>11</v>
      </c>
      <c r="C15" s="110">
        <f>SISWA!B16</f>
        <v>0</v>
      </c>
      <c r="D15" s="111" t="str">
        <f>SISWA!E16</f>
        <v>Anak 11</v>
      </c>
      <c r="E15" s="520"/>
      <c r="F15" s="520"/>
      <c r="G15" s="520"/>
      <c r="H15" s="520"/>
      <c r="I15" s="520"/>
      <c r="J15" s="520"/>
      <c r="K15" s="520"/>
      <c r="L15" s="520"/>
      <c r="M15" s="520"/>
      <c r="N15" s="520"/>
      <c r="O15" s="520"/>
      <c r="P15" s="520"/>
      <c r="Q15" s="533" t="str">
        <f t="shared" si="4"/>
        <v/>
      </c>
      <c r="R15" s="533" t="str">
        <f t="shared" si="5"/>
        <v/>
      </c>
      <c r="S15" s="533" t="str">
        <f t="shared" si="6"/>
        <v/>
      </c>
      <c r="T15" s="533" t="str">
        <f t="shared" si="7"/>
        <v/>
      </c>
      <c r="U15" s="514"/>
      <c r="V15" s="514"/>
      <c r="W15" s="514"/>
      <c r="X15" s="514"/>
      <c r="Y15" s="514"/>
      <c r="Z15" s="513"/>
      <c r="AA15" s="513"/>
      <c r="AB15" s="513"/>
      <c r="AC15" s="513"/>
      <c r="AD15" s="514"/>
      <c r="AE15" s="514"/>
      <c r="AF15" s="513"/>
      <c r="AG15" s="302" t="e">
        <f t="shared" si="8"/>
        <v>#DIV/0!</v>
      </c>
      <c r="AH15" s="303" t="e">
        <f>IF(AG15&gt;KKM!$G$10,"A",IF(AG15&gt;KKM!$H$10,"B",IF(AG15&gt;=KKM!$I$10,"C","D")))</f>
        <v>#DIV/0!</v>
      </c>
      <c r="AI15" s="304">
        <f t="shared" si="0"/>
        <v>0</v>
      </c>
      <c r="AJ15" s="309" t="str">
        <f>IF(AI15&gt;KKM!$G$10," sangat baik ",IF(AI15&gt;KKM!$H$10," baik ",IF(AI15&gt;=KKM!$I$10," cukup baik "," perlu bimbingan ")))</f>
        <v xml:space="preserve"> perlu bimbingan </v>
      </c>
      <c r="AK15" s="305">
        <f t="shared" si="1"/>
        <v>0</v>
      </c>
      <c r="AL15" s="309" t="str">
        <f>IF(AK15&gt;KKM!$G$10," sangat baik ",IF(AK15&gt;KKM!$H$10," baik ",IF(AK15&gt;=KKM!$I$10," cukup baik "," perlu bimbingan ")))</f>
        <v xml:space="preserve"> perlu bimbingan </v>
      </c>
      <c r="AM15" s="301" t="str">
        <f t="shared" si="9"/>
        <v xml:space="preserve"> </v>
      </c>
      <c r="AN15" s="218"/>
      <c r="AO15" s="219" t="e">
        <f t="shared" si="2"/>
        <v>#N/A</v>
      </c>
      <c r="AP15" s="219" t="e">
        <f t="shared" si="3"/>
        <v>#N/A</v>
      </c>
      <c r="AQ15" s="219" t="e">
        <f t="shared" si="10"/>
        <v>#N/A</v>
      </c>
      <c r="AR15" s="219" t="e">
        <f t="shared" si="11"/>
        <v>#N/A</v>
      </c>
      <c r="AS15" s="220" t="e">
        <f t="shared" si="12"/>
        <v>#N/A</v>
      </c>
      <c r="AT15" s="214" t="e">
        <f t="shared" si="13"/>
        <v>#N/A</v>
      </c>
      <c r="AU15" s="120"/>
    </row>
    <row r="16" spans="1:64" ht="63" customHeight="1">
      <c r="B16" s="109">
        <v>12</v>
      </c>
      <c r="C16" s="110">
        <f>SISWA!B17</f>
        <v>0</v>
      </c>
      <c r="D16" s="111" t="str">
        <f>SISWA!E17</f>
        <v>Anak 12</v>
      </c>
      <c r="E16" s="520"/>
      <c r="F16" s="520"/>
      <c r="G16" s="520"/>
      <c r="H16" s="520"/>
      <c r="I16" s="520"/>
      <c r="J16" s="520"/>
      <c r="K16" s="520"/>
      <c r="L16" s="520"/>
      <c r="M16" s="520"/>
      <c r="N16" s="520"/>
      <c r="O16" s="520"/>
      <c r="P16" s="520"/>
      <c r="Q16" s="533" t="str">
        <f t="shared" si="4"/>
        <v/>
      </c>
      <c r="R16" s="533" t="str">
        <f t="shared" si="5"/>
        <v/>
      </c>
      <c r="S16" s="533" t="str">
        <f t="shared" si="6"/>
        <v/>
      </c>
      <c r="T16" s="533" t="str">
        <f t="shared" si="7"/>
        <v/>
      </c>
      <c r="U16" s="514"/>
      <c r="V16" s="514"/>
      <c r="W16" s="514"/>
      <c r="X16" s="514"/>
      <c r="Y16" s="514"/>
      <c r="Z16" s="513"/>
      <c r="AA16" s="513"/>
      <c r="AB16" s="513"/>
      <c r="AC16" s="513"/>
      <c r="AD16" s="514"/>
      <c r="AE16" s="514"/>
      <c r="AF16" s="513"/>
      <c r="AG16" s="302" t="e">
        <f t="shared" si="8"/>
        <v>#DIV/0!</v>
      </c>
      <c r="AH16" s="303" t="e">
        <f>IF(AG16&gt;KKM!$G$10,"A",IF(AG16&gt;KKM!$H$10,"B",IF(AG16&gt;=KKM!$I$10,"C","D")))</f>
        <v>#DIV/0!</v>
      </c>
      <c r="AI16" s="304">
        <f t="shared" si="0"/>
        <v>0</v>
      </c>
      <c r="AJ16" s="309" t="str">
        <f>IF(AI16&gt;KKM!$G$10," sangat baik ",IF(AI16&gt;KKM!$H$10," baik ",IF(AI16&gt;=KKM!$I$10," cukup baik "," perlu bimbingan ")))</f>
        <v xml:space="preserve"> perlu bimbingan </v>
      </c>
      <c r="AK16" s="305">
        <f t="shared" si="1"/>
        <v>0</v>
      </c>
      <c r="AL16" s="309" t="str">
        <f>IF(AK16&gt;KKM!$G$10," sangat baik ",IF(AK16&gt;KKM!$H$10," baik ",IF(AK16&gt;=KKM!$I$10," cukup baik "," perlu bimbingan ")))</f>
        <v xml:space="preserve"> perlu bimbingan </v>
      </c>
      <c r="AM16" s="301" t="str">
        <f t="shared" si="9"/>
        <v xml:space="preserve"> </v>
      </c>
      <c r="AN16" s="218"/>
      <c r="AO16" s="219" t="e">
        <f t="shared" si="2"/>
        <v>#N/A</v>
      </c>
      <c r="AP16" s="219" t="e">
        <f t="shared" si="3"/>
        <v>#N/A</v>
      </c>
      <c r="AQ16" s="219" t="e">
        <f t="shared" si="10"/>
        <v>#N/A</v>
      </c>
      <c r="AR16" s="219" t="e">
        <f t="shared" si="11"/>
        <v>#N/A</v>
      </c>
      <c r="AS16" s="220" t="e">
        <f t="shared" si="12"/>
        <v>#N/A</v>
      </c>
      <c r="AT16" s="214" t="e">
        <f t="shared" si="13"/>
        <v>#N/A</v>
      </c>
      <c r="AU16" s="120"/>
    </row>
    <row r="17" spans="2:47" ht="63" customHeight="1">
      <c r="B17" s="109">
        <v>13</v>
      </c>
      <c r="C17" s="110">
        <f>SISWA!B18</f>
        <v>0</v>
      </c>
      <c r="D17" s="111" t="str">
        <f>SISWA!E18</f>
        <v>Anak 13</v>
      </c>
      <c r="E17" s="520"/>
      <c r="F17" s="520"/>
      <c r="G17" s="520"/>
      <c r="H17" s="520"/>
      <c r="I17" s="520"/>
      <c r="J17" s="520"/>
      <c r="K17" s="520"/>
      <c r="L17" s="520"/>
      <c r="M17" s="520"/>
      <c r="N17" s="520"/>
      <c r="O17" s="520"/>
      <c r="P17" s="520"/>
      <c r="Q17" s="533" t="str">
        <f t="shared" si="4"/>
        <v/>
      </c>
      <c r="R17" s="533" t="str">
        <f t="shared" si="5"/>
        <v/>
      </c>
      <c r="S17" s="533" t="str">
        <f t="shared" si="6"/>
        <v/>
      </c>
      <c r="T17" s="533" t="str">
        <f t="shared" si="7"/>
        <v/>
      </c>
      <c r="U17" s="514"/>
      <c r="V17" s="514"/>
      <c r="W17" s="514"/>
      <c r="X17" s="514"/>
      <c r="Y17" s="514"/>
      <c r="Z17" s="513"/>
      <c r="AA17" s="513"/>
      <c r="AB17" s="513"/>
      <c r="AC17" s="513"/>
      <c r="AD17" s="514"/>
      <c r="AE17" s="514"/>
      <c r="AF17" s="513"/>
      <c r="AG17" s="302" t="e">
        <f t="shared" si="8"/>
        <v>#DIV/0!</v>
      </c>
      <c r="AH17" s="303" t="e">
        <f>IF(AG17&gt;KKM!$G$10,"A",IF(AG17&gt;KKM!$H$10,"B",IF(AG17&gt;=KKM!$I$10,"C","D")))</f>
        <v>#DIV/0!</v>
      </c>
      <c r="AI17" s="304">
        <f t="shared" si="0"/>
        <v>0</v>
      </c>
      <c r="AJ17" s="309" t="str">
        <f>IF(AI17&gt;KKM!$G$10," sangat baik ",IF(AI17&gt;KKM!$H$10," baik ",IF(AI17&gt;=KKM!$I$10," cukup baik "," perlu bimbingan ")))</f>
        <v xml:space="preserve"> perlu bimbingan </v>
      </c>
      <c r="AK17" s="305">
        <f t="shared" si="1"/>
        <v>0</v>
      </c>
      <c r="AL17" s="309" t="str">
        <f>IF(AK17&gt;KKM!$G$10," sangat baik ",IF(AK17&gt;KKM!$H$10," baik ",IF(AK17&gt;=KKM!$I$10," cukup baik "," perlu bimbingan ")))</f>
        <v xml:space="preserve"> perlu bimbingan </v>
      </c>
      <c r="AM17" s="301" t="str">
        <f t="shared" si="9"/>
        <v xml:space="preserve"> </v>
      </c>
      <c r="AN17" s="218"/>
      <c r="AO17" s="219" t="e">
        <f t="shared" si="2"/>
        <v>#N/A</v>
      </c>
      <c r="AP17" s="219" t="e">
        <f t="shared" si="3"/>
        <v>#N/A</v>
      </c>
      <c r="AQ17" s="219" t="e">
        <f t="shared" si="10"/>
        <v>#N/A</v>
      </c>
      <c r="AR17" s="219" t="e">
        <f t="shared" si="11"/>
        <v>#N/A</v>
      </c>
      <c r="AS17" s="220" t="e">
        <f t="shared" si="12"/>
        <v>#N/A</v>
      </c>
      <c r="AT17" s="214" t="e">
        <f t="shared" si="13"/>
        <v>#N/A</v>
      </c>
      <c r="AU17" s="120"/>
    </row>
    <row r="18" spans="2:47" ht="63" customHeight="1">
      <c r="B18" s="109">
        <v>14</v>
      </c>
      <c r="C18" s="110">
        <f>SISWA!B19</f>
        <v>0</v>
      </c>
      <c r="D18" s="111" t="str">
        <f>SISWA!E19</f>
        <v>Anak 14</v>
      </c>
      <c r="E18" s="520"/>
      <c r="F18" s="520"/>
      <c r="G18" s="520"/>
      <c r="H18" s="520"/>
      <c r="I18" s="520"/>
      <c r="J18" s="520"/>
      <c r="K18" s="520"/>
      <c r="L18" s="520"/>
      <c r="M18" s="520"/>
      <c r="N18" s="520"/>
      <c r="O18" s="520"/>
      <c r="P18" s="520"/>
      <c r="Q18" s="533" t="str">
        <f t="shared" si="4"/>
        <v/>
      </c>
      <c r="R18" s="533" t="str">
        <f t="shared" si="5"/>
        <v/>
      </c>
      <c r="S18" s="533" t="str">
        <f t="shared" si="6"/>
        <v/>
      </c>
      <c r="T18" s="533" t="str">
        <f t="shared" si="7"/>
        <v/>
      </c>
      <c r="U18" s="514"/>
      <c r="V18" s="514"/>
      <c r="W18" s="514"/>
      <c r="X18" s="514"/>
      <c r="Y18" s="514"/>
      <c r="Z18" s="513"/>
      <c r="AA18" s="513"/>
      <c r="AB18" s="513"/>
      <c r="AC18" s="513"/>
      <c r="AD18" s="514"/>
      <c r="AE18" s="514"/>
      <c r="AF18" s="513"/>
      <c r="AG18" s="302" t="e">
        <f t="shared" si="8"/>
        <v>#DIV/0!</v>
      </c>
      <c r="AH18" s="303" t="e">
        <f>IF(AG18&gt;KKM!$G$10,"A",IF(AG18&gt;KKM!$H$10,"B",IF(AG18&gt;=KKM!$I$10,"C","D")))</f>
        <v>#DIV/0!</v>
      </c>
      <c r="AI18" s="304">
        <f t="shared" si="0"/>
        <v>0</v>
      </c>
      <c r="AJ18" s="309" t="str">
        <f>IF(AI18&gt;KKM!$G$10," sangat baik ",IF(AI18&gt;KKM!$H$10," baik ",IF(AI18&gt;=KKM!$I$10," cukup baik "," perlu bimbingan ")))</f>
        <v xml:space="preserve"> perlu bimbingan </v>
      </c>
      <c r="AK18" s="305">
        <f t="shared" si="1"/>
        <v>0</v>
      </c>
      <c r="AL18" s="309" t="str">
        <f>IF(AK18&gt;KKM!$G$10," sangat baik ",IF(AK18&gt;KKM!$H$10," baik ",IF(AK18&gt;=KKM!$I$10," cukup baik "," perlu bimbingan ")))</f>
        <v xml:space="preserve"> perlu bimbingan </v>
      </c>
      <c r="AM18" s="301" t="str">
        <f t="shared" si="9"/>
        <v xml:space="preserve"> </v>
      </c>
      <c r="AN18" s="218"/>
      <c r="AO18" s="219" t="e">
        <f t="shared" si="2"/>
        <v>#N/A</v>
      </c>
      <c r="AP18" s="219" t="e">
        <f t="shared" si="3"/>
        <v>#N/A</v>
      </c>
      <c r="AQ18" s="219" t="e">
        <f t="shared" si="10"/>
        <v>#N/A</v>
      </c>
      <c r="AR18" s="219" t="e">
        <f t="shared" si="11"/>
        <v>#N/A</v>
      </c>
      <c r="AS18" s="220" t="e">
        <f t="shared" si="12"/>
        <v>#N/A</v>
      </c>
      <c r="AT18" s="214" t="e">
        <f t="shared" si="13"/>
        <v>#N/A</v>
      </c>
      <c r="AU18" s="120"/>
    </row>
    <row r="19" spans="2:47" ht="63" customHeight="1">
      <c r="B19" s="109">
        <v>15</v>
      </c>
      <c r="C19" s="110">
        <f>SISWA!B20</f>
        <v>0</v>
      </c>
      <c r="D19" s="111" t="str">
        <f>SISWA!E20</f>
        <v>Anak 15</v>
      </c>
      <c r="E19" s="520"/>
      <c r="F19" s="520"/>
      <c r="G19" s="520"/>
      <c r="H19" s="520"/>
      <c r="I19" s="520"/>
      <c r="J19" s="520"/>
      <c r="K19" s="520"/>
      <c r="L19" s="520"/>
      <c r="M19" s="520"/>
      <c r="N19" s="520"/>
      <c r="O19" s="520"/>
      <c r="P19" s="520"/>
      <c r="Q19" s="533" t="str">
        <f t="shared" si="4"/>
        <v/>
      </c>
      <c r="R19" s="533" t="str">
        <f t="shared" si="5"/>
        <v/>
      </c>
      <c r="S19" s="533" t="str">
        <f t="shared" si="6"/>
        <v/>
      </c>
      <c r="T19" s="533" t="str">
        <f t="shared" si="7"/>
        <v/>
      </c>
      <c r="U19" s="514"/>
      <c r="V19" s="514"/>
      <c r="W19" s="514"/>
      <c r="X19" s="514"/>
      <c r="Y19" s="514"/>
      <c r="Z19" s="513"/>
      <c r="AA19" s="513"/>
      <c r="AB19" s="513"/>
      <c r="AC19" s="513"/>
      <c r="AD19" s="514"/>
      <c r="AE19" s="514"/>
      <c r="AF19" s="513"/>
      <c r="AG19" s="302" t="e">
        <f t="shared" si="8"/>
        <v>#DIV/0!</v>
      </c>
      <c r="AH19" s="303" t="e">
        <f>IF(AG19&gt;KKM!$G$10,"A",IF(AG19&gt;KKM!$H$10,"B",IF(AG19&gt;=KKM!$I$10,"C","D")))</f>
        <v>#DIV/0!</v>
      </c>
      <c r="AI19" s="304">
        <f t="shared" si="0"/>
        <v>0</v>
      </c>
      <c r="AJ19" s="309" t="str">
        <f>IF(AI19&gt;KKM!$G$10," sangat baik ",IF(AI19&gt;KKM!$H$10," baik ",IF(AI19&gt;=KKM!$I$10," cukup baik "," perlu bimbingan ")))</f>
        <v xml:space="preserve"> perlu bimbingan </v>
      </c>
      <c r="AK19" s="305">
        <f t="shared" si="1"/>
        <v>0</v>
      </c>
      <c r="AL19" s="309" t="str">
        <f>IF(AK19&gt;KKM!$G$10," sangat baik ",IF(AK19&gt;KKM!$H$10," baik ",IF(AK19&gt;=KKM!$I$10," cukup baik "," perlu bimbingan ")))</f>
        <v xml:space="preserve"> perlu bimbingan </v>
      </c>
      <c r="AM19" s="301" t="str">
        <f t="shared" si="9"/>
        <v xml:space="preserve"> </v>
      </c>
      <c r="AN19" s="218"/>
      <c r="AO19" s="219" t="e">
        <f t="shared" si="2"/>
        <v>#N/A</v>
      </c>
      <c r="AP19" s="219" t="e">
        <f t="shared" si="3"/>
        <v>#N/A</v>
      </c>
      <c r="AQ19" s="219" t="e">
        <f t="shared" si="10"/>
        <v>#N/A</v>
      </c>
      <c r="AR19" s="219" t="e">
        <f t="shared" si="11"/>
        <v>#N/A</v>
      </c>
      <c r="AS19" s="220" t="e">
        <f t="shared" si="12"/>
        <v>#N/A</v>
      </c>
      <c r="AT19" s="214" t="e">
        <f t="shared" si="13"/>
        <v>#N/A</v>
      </c>
      <c r="AU19" s="120"/>
    </row>
    <row r="20" spans="2:47" ht="63" customHeight="1">
      <c r="B20" s="109">
        <v>16</v>
      </c>
      <c r="C20" s="110">
        <f>SISWA!B21</f>
        <v>0</v>
      </c>
      <c r="D20" s="111" t="str">
        <f>SISWA!E21</f>
        <v>Anak 16</v>
      </c>
      <c r="E20" s="520"/>
      <c r="F20" s="520"/>
      <c r="G20" s="520"/>
      <c r="H20" s="520"/>
      <c r="I20" s="520"/>
      <c r="J20" s="520"/>
      <c r="K20" s="520"/>
      <c r="L20" s="520"/>
      <c r="M20" s="520"/>
      <c r="N20" s="520"/>
      <c r="O20" s="520"/>
      <c r="P20" s="520"/>
      <c r="Q20" s="533" t="str">
        <f t="shared" si="4"/>
        <v/>
      </c>
      <c r="R20" s="533" t="str">
        <f t="shared" si="5"/>
        <v/>
      </c>
      <c r="S20" s="533" t="str">
        <f t="shared" si="6"/>
        <v/>
      </c>
      <c r="T20" s="533" t="str">
        <f t="shared" si="7"/>
        <v/>
      </c>
      <c r="U20" s="514"/>
      <c r="V20" s="514"/>
      <c r="W20" s="514"/>
      <c r="X20" s="514"/>
      <c r="Y20" s="514"/>
      <c r="Z20" s="513"/>
      <c r="AA20" s="513"/>
      <c r="AB20" s="513"/>
      <c r="AC20" s="513"/>
      <c r="AD20" s="514"/>
      <c r="AE20" s="514"/>
      <c r="AF20" s="513"/>
      <c r="AG20" s="302" t="e">
        <f t="shared" si="8"/>
        <v>#DIV/0!</v>
      </c>
      <c r="AH20" s="303" t="e">
        <f>IF(AG20&gt;KKM!$G$10,"A",IF(AG20&gt;KKM!$H$10,"B",IF(AG20&gt;=KKM!$I$10,"C","D")))</f>
        <v>#DIV/0!</v>
      </c>
      <c r="AI20" s="304">
        <f t="shared" si="0"/>
        <v>0</v>
      </c>
      <c r="AJ20" s="309" t="str">
        <f>IF(AI20&gt;KKM!$G$10," sangat baik ",IF(AI20&gt;KKM!$H$10," baik ",IF(AI20&gt;=KKM!$I$10," cukup baik "," perlu bimbingan ")))</f>
        <v xml:space="preserve"> perlu bimbingan </v>
      </c>
      <c r="AK20" s="305">
        <f t="shared" si="1"/>
        <v>0</v>
      </c>
      <c r="AL20" s="309" t="str">
        <f>IF(AK20&gt;KKM!$G$10," sangat baik ",IF(AK20&gt;KKM!$H$10," baik ",IF(AK20&gt;=KKM!$I$10," cukup baik "," perlu bimbingan ")))</f>
        <v xml:space="preserve"> perlu bimbingan </v>
      </c>
      <c r="AM20" s="301" t="str">
        <f t="shared" si="9"/>
        <v xml:space="preserve"> </v>
      </c>
      <c r="AN20" s="218"/>
      <c r="AO20" s="219" t="e">
        <f t="shared" si="2"/>
        <v>#N/A</v>
      </c>
      <c r="AP20" s="219" t="e">
        <f t="shared" si="3"/>
        <v>#N/A</v>
      </c>
      <c r="AQ20" s="219" t="e">
        <f t="shared" si="10"/>
        <v>#N/A</v>
      </c>
      <c r="AR20" s="219" t="e">
        <f t="shared" si="11"/>
        <v>#N/A</v>
      </c>
      <c r="AS20" s="220" t="e">
        <f t="shared" si="12"/>
        <v>#N/A</v>
      </c>
      <c r="AT20" s="214" t="e">
        <f t="shared" si="13"/>
        <v>#N/A</v>
      </c>
      <c r="AU20" s="120"/>
    </row>
    <row r="21" spans="2:47" ht="63" customHeight="1">
      <c r="B21" s="109">
        <v>17</v>
      </c>
      <c r="C21" s="110">
        <f>SISWA!B22</f>
        <v>0</v>
      </c>
      <c r="D21" s="111" t="str">
        <f>SISWA!E22</f>
        <v>Anak 17</v>
      </c>
      <c r="E21" s="520"/>
      <c r="F21" s="520"/>
      <c r="G21" s="520"/>
      <c r="H21" s="520"/>
      <c r="I21" s="520"/>
      <c r="J21" s="520"/>
      <c r="K21" s="520"/>
      <c r="L21" s="520"/>
      <c r="M21" s="520"/>
      <c r="N21" s="520"/>
      <c r="O21" s="520"/>
      <c r="P21" s="520"/>
      <c r="Q21" s="533" t="str">
        <f t="shared" si="4"/>
        <v/>
      </c>
      <c r="R21" s="533" t="str">
        <f t="shared" si="5"/>
        <v/>
      </c>
      <c r="S21" s="533" t="str">
        <f t="shared" si="6"/>
        <v/>
      </c>
      <c r="T21" s="533" t="str">
        <f t="shared" si="7"/>
        <v/>
      </c>
      <c r="U21" s="514"/>
      <c r="V21" s="514"/>
      <c r="W21" s="514"/>
      <c r="X21" s="514"/>
      <c r="Y21" s="514"/>
      <c r="Z21" s="513"/>
      <c r="AA21" s="513"/>
      <c r="AB21" s="513"/>
      <c r="AC21" s="513"/>
      <c r="AD21" s="514"/>
      <c r="AE21" s="514"/>
      <c r="AF21" s="513"/>
      <c r="AG21" s="302" t="e">
        <f t="shared" si="8"/>
        <v>#DIV/0!</v>
      </c>
      <c r="AH21" s="303" t="e">
        <f>IF(AG21&gt;KKM!$G$10,"A",IF(AG21&gt;KKM!$H$10,"B",IF(AG21&gt;=KKM!$I$10,"C","D")))</f>
        <v>#DIV/0!</v>
      </c>
      <c r="AI21" s="304">
        <f t="shared" si="0"/>
        <v>0</v>
      </c>
      <c r="AJ21" s="309" t="str">
        <f>IF(AI21&gt;KKM!$G$10," sangat baik ",IF(AI21&gt;KKM!$H$10," baik ",IF(AI21&gt;=KKM!$I$10," cukup baik "," perlu bimbingan ")))</f>
        <v xml:space="preserve"> perlu bimbingan </v>
      </c>
      <c r="AK21" s="305">
        <f t="shared" si="1"/>
        <v>0</v>
      </c>
      <c r="AL21" s="309" t="str">
        <f>IF(AK21&gt;KKM!$G$10," sangat baik ",IF(AK21&gt;KKM!$H$10," baik ",IF(AK21&gt;=KKM!$I$10," cukup baik "," perlu bimbingan ")))</f>
        <v xml:space="preserve"> perlu bimbingan </v>
      </c>
      <c r="AM21" s="301" t="str">
        <f t="shared" si="9"/>
        <v xml:space="preserve"> </v>
      </c>
      <c r="AN21" s="218"/>
      <c r="AO21" s="219" t="e">
        <f t="shared" si="2"/>
        <v>#N/A</v>
      </c>
      <c r="AP21" s="219" t="e">
        <f t="shared" si="3"/>
        <v>#N/A</v>
      </c>
      <c r="AQ21" s="219" t="e">
        <f t="shared" si="10"/>
        <v>#N/A</v>
      </c>
      <c r="AR21" s="219" t="e">
        <f t="shared" si="11"/>
        <v>#N/A</v>
      </c>
      <c r="AS21" s="220" t="e">
        <f t="shared" si="12"/>
        <v>#N/A</v>
      </c>
      <c r="AT21" s="214" t="e">
        <f t="shared" si="13"/>
        <v>#N/A</v>
      </c>
      <c r="AU21" s="120"/>
    </row>
    <row r="22" spans="2:47" ht="63" customHeight="1">
      <c r="B22" s="109">
        <v>18</v>
      </c>
      <c r="C22" s="110">
        <f>SISWA!B23</f>
        <v>0</v>
      </c>
      <c r="D22" s="111" t="str">
        <f>SISWA!E23</f>
        <v>Anak 18</v>
      </c>
      <c r="E22" s="520"/>
      <c r="F22" s="520"/>
      <c r="G22" s="520"/>
      <c r="H22" s="520"/>
      <c r="I22" s="520"/>
      <c r="J22" s="520"/>
      <c r="K22" s="520"/>
      <c r="L22" s="520"/>
      <c r="M22" s="520"/>
      <c r="N22" s="520"/>
      <c r="O22" s="520"/>
      <c r="P22" s="520"/>
      <c r="Q22" s="533" t="str">
        <f t="shared" si="4"/>
        <v/>
      </c>
      <c r="R22" s="533" t="str">
        <f t="shared" si="5"/>
        <v/>
      </c>
      <c r="S22" s="533" t="str">
        <f t="shared" si="6"/>
        <v/>
      </c>
      <c r="T22" s="533" t="str">
        <f t="shared" si="7"/>
        <v/>
      </c>
      <c r="U22" s="514"/>
      <c r="V22" s="514"/>
      <c r="W22" s="514"/>
      <c r="X22" s="514"/>
      <c r="Y22" s="514"/>
      <c r="Z22" s="513"/>
      <c r="AA22" s="513"/>
      <c r="AB22" s="513"/>
      <c r="AC22" s="513"/>
      <c r="AD22" s="514"/>
      <c r="AE22" s="514"/>
      <c r="AF22" s="513"/>
      <c r="AG22" s="302" t="e">
        <f t="shared" si="8"/>
        <v>#DIV/0!</v>
      </c>
      <c r="AH22" s="303" t="e">
        <f>IF(AG22&gt;KKM!$G$10,"A",IF(AG22&gt;KKM!$H$10,"B",IF(AG22&gt;=KKM!$I$10,"C","D")))</f>
        <v>#DIV/0!</v>
      </c>
      <c r="AI22" s="304">
        <f t="shared" si="0"/>
        <v>0</v>
      </c>
      <c r="AJ22" s="309" t="str">
        <f>IF(AI22&gt;KKM!$G$10," sangat baik ",IF(AI22&gt;KKM!$H$10," baik ",IF(AI22&gt;=KKM!$I$10," cukup baik "," perlu bimbingan ")))</f>
        <v xml:space="preserve"> perlu bimbingan </v>
      </c>
      <c r="AK22" s="305">
        <f t="shared" si="1"/>
        <v>0</v>
      </c>
      <c r="AL22" s="309" t="str">
        <f>IF(AK22&gt;KKM!$G$10," sangat baik ",IF(AK22&gt;KKM!$H$10," baik ",IF(AK22&gt;=KKM!$I$10," cukup baik "," perlu bimbingan ")))</f>
        <v xml:space="preserve"> perlu bimbingan </v>
      </c>
      <c r="AM22" s="301" t="str">
        <f t="shared" si="9"/>
        <v xml:space="preserve"> </v>
      </c>
      <c r="AN22" s="218"/>
      <c r="AO22" s="219" t="e">
        <f t="shared" si="2"/>
        <v>#N/A</v>
      </c>
      <c r="AP22" s="219" t="e">
        <f t="shared" si="3"/>
        <v>#N/A</v>
      </c>
      <c r="AQ22" s="219" t="e">
        <f t="shared" si="10"/>
        <v>#N/A</v>
      </c>
      <c r="AR22" s="219" t="e">
        <f t="shared" si="11"/>
        <v>#N/A</v>
      </c>
      <c r="AS22" s="220" t="e">
        <f t="shared" si="12"/>
        <v>#N/A</v>
      </c>
      <c r="AT22" s="214" t="e">
        <f t="shared" si="13"/>
        <v>#N/A</v>
      </c>
      <c r="AU22" s="120"/>
    </row>
    <row r="23" spans="2:47" ht="63" customHeight="1">
      <c r="B23" s="109">
        <v>19</v>
      </c>
      <c r="C23" s="110">
        <f>SISWA!B24</f>
        <v>0</v>
      </c>
      <c r="D23" s="111" t="str">
        <f>SISWA!E24</f>
        <v>Anak 19</v>
      </c>
      <c r="E23" s="520"/>
      <c r="F23" s="520"/>
      <c r="G23" s="520"/>
      <c r="H23" s="520"/>
      <c r="I23" s="520"/>
      <c r="J23" s="520"/>
      <c r="K23" s="520"/>
      <c r="L23" s="520"/>
      <c r="M23" s="520"/>
      <c r="N23" s="520"/>
      <c r="O23" s="520"/>
      <c r="P23" s="520"/>
      <c r="Q23" s="533" t="str">
        <f t="shared" si="4"/>
        <v/>
      </c>
      <c r="R23" s="533" t="str">
        <f t="shared" si="5"/>
        <v/>
      </c>
      <c r="S23" s="533" t="str">
        <f t="shared" si="6"/>
        <v/>
      </c>
      <c r="T23" s="533" t="str">
        <f t="shared" si="7"/>
        <v/>
      </c>
      <c r="U23" s="514"/>
      <c r="V23" s="514"/>
      <c r="W23" s="514"/>
      <c r="X23" s="514"/>
      <c r="Y23" s="514"/>
      <c r="Z23" s="513"/>
      <c r="AA23" s="513"/>
      <c r="AB23" s="513"/>
      <c r="AC23" s="513"/>
      <c r="AD23" s="514"/>
      <c r="AE23" s="514"/>
      <c r="AF23" s="513"/>
      <c r="AG23" s="302" t="e">
        <f t="shared" si="8"/>
        <v>#DIV/0!</v>
      </c>
      <c r="AH23" s="303" t="e">
        <f>IF(AG23&gt;KKM!$G$10,"A",IF(AG23&gt;KKM!$H$10,"B",IF(AG23&gt;=KKM!$I$10,"C","D")))</f>
        <v>#DIV/0!</v>
      </c>
      <c r="AI23" s="304">
        <f t="shared" si="0"/>
        <v>0</v>
      </c>
      <c r="AJ23" s="309" t="str">
        <f>IF(AI23&gt;KKM!$G$10," sangat baik ",IF(AI23&gt;KKM!$H$10," baik ",IF(AI23&gt;=KKM!$I$10," cukup baik "," perlu bimbingan ")))</f>
        <v xml:space="preserve"> perlu bimbingan </v>
      </c>
      <c r="AK23" s="305">
        <f t="shared" si="1"/>
        <v>0</v>
      </c>
      <c r="AL23" s="309" t="str">
        <f>IF(AK23&gt;KKM!$G$10," sangat baik ",IF(AK23&gt;KKM!$H$10," baik ",IF(AK23&gt;=KKM!$I$10," cukup baik "," perlu bimbingan ")))</f>
        <v xml:space="preserve"> perlu bimbingan </v>
      </c>
      <c r="AM23" s="301" t="str">
        <f t="shared" si="9"/>
        <v xml:space="preserve"> </v>
      </c>
      <c r="AN23" s="218"/>
      <c r="AO23" s="219" t="e">
        <f t="shared" si="2"/>
        <v>#N/A</v>
      </c>
      <c r="AP23" s="219" t="e">
        <f t="shared" si="3"/>
        <v>#N/A</v>
      </c>
      <c r="AQ23" s="219" t="e">
        <f t="shared" si="10"/>
        <v>#N/A</v>
      </c>
      <c r="AR23" s="219" t="e">
        <f t="shared" si="11"/>
        <v>#N/A</v>
      </c>
      <c r="AS23" s="220" t="e">
        <f t="shared" si="12"/>
        <v>#N/A</v>
      </c>
      <c r="AT23" s="214" t="e">
        <f t="shared" si="13"/>
        <v>#N/A</v>
      </c>
      <c r="AU23" s="120"/>
    </row>
    <row r="24" spans="2:47" ht="63" customHeight="1">
      <c r="B24" s="109">
        <v>20</v>
      </c>
      <c r="C24" s="110">
        <f>SISWA!B25</f>
        <v>0</v>
      </c>
      <c r="D24" s="111" t="str">
        <f>SISWA!E25</f>
        <v>Anak 20</v>
      </c>
      <c r="E24" s="520"/>
      <c r="F24" s="520"/>
      <c r="G24" s="520"/>
      <c r="H24" s="520"/>
      <c r="I24" s="520"/>
      <c r="J24" s="520"/>
      <c r="K24" s="520"/>
      <c r="L24" s="520"/>
      <c r="M24" s="520"/>
      <c r="N24" s="520"/>
      <c r="O24" s="520"/>
      <c r="P24" s="520"/>
      <c r="Q24" s="533" t="str">
        <f t="shared" si="4"/>
        <v/>
      </c>
      <c r="R24" s="533" t="str">
        <f t="shared" si="5"/>
        <v/>
      </c>
      <c r="S24" s="533" t="str">
        <f t="shared" si="6"/>
        <v/>
      </c>
      <c r="T24" s="533" t="str">
        <f t="shared" si="7"/>
        <v/>
      </c>
      <c r="U24" s="514"/>
      <c r="V24" s="514"/>
      <c r="W24" s="514"/>
      <c r="X24" s="514"/>
      <c r="Y24" s="514"/>
      <c r="Z24" s="513"/>
      <c r="AA24" s="513"/>
      <c r="AB24" s="513"/>
      <c r="AC24" s="513"/>
      <c r="AD24" s="514"/>
      <c r="AE24" s="514"/>
      <c r="AF24" s="513"/>
      <c r="AG24" s="302" t="e">
        <f t="shared" si="8"/>
        <v>#DIV/0!</v>
      </c>
      <c r="AH24" s="303" t="e">
        <f>IF(AG24&gt;KKM!$G$10,"A",IF(AG24&gt;KKM!$H$10,"B",IF(AG24&gt;=KKM!$I$10,"C","D")))</f>
        <v>#DIV/0!</v>
      </c>
      <c r="AI24" s="304">
        <f t="shared" si="0"/>
        <v>0</v>
      </c>
      <c r="AJ24" s="309" t="str">
        <f>IF(AI24&gt;KKM!$G$10," sangat baik ",IF(AI24&gt;KKM!$H$10," baik ",IF(AI24&gt;=KKM!$I$10," cukup baik "," perlu bimbingan ")))</f>
        <v xml:space="preserve"> perlu bimbingan </v>
      </c>
      <c r="AK24" s="305">
        <f t="shared" si="1"/>
        <v>0</v>
      </c>
      <c r="AL24" s="309" t="str">
        <f>IF(AK24&gt;KKM!$G$10," sangat baik ",IF(AK24&gt;KKM!$H$10," baik ",IF(AK24&gt;=KKM!$I$10," cukup baik "," perlu bimbingan ")))</f>
        <v xml:space="preserve"> perlu bimbingan </v>
      </c>
      <c r="AM24" s="301" t="str">
        <f t="shared" si="9"/>
        <v xml:space="preserve"> </v>
      </c>
      <c r="AN24" s="218"/>
      <c r="AO24" s="219" t="e">
        <f t="shared" si="2"/>
        <v>#N/A</v>
      </c>
      <c r="AP24" s="219" t="e">
        <f t="shared" si="3"/>
        <v>#N/A</v>
      </c>
      <c r="AQ24" s="219" t="e">
        <f t="shared" si="10"/>
        <v>#N/A</v>
      </c>
      <c r="AR24" s="219" t="e">
        <f t="shared" si="11"/>
        <v>#N/A</v>
      </c>
      <c r="AS24" s="220" t="e">
        <f t="shared" si="12"/>
        <v>#N/A</v>
      </c>
      <c r="AT24" s="214" t="e">
        <f t="shared" si="13"/>
        <v>#N/A</v>
      </c>
      <c r="AU24" s="120"/>
    </row>
    <row r="25" spans="2:47" ht="63" customHeight="1">
      <c r="B25" s="109">
        <v>21</v>
      </c>
      <c r="C25" s="110">
        <f>SISWA!B26</f>
        <v>0</v>
      </c>
      <c r="D25" s="111" t="str">
        <f>SISWA!E26</f>
        <v>Anak 21</v>
      </c>
      <c r="E25" s="520"/>
      <c r="F25" s="520"/>
      <c r="G25" s="520"/>
      <c r="H25" s="520"/>
      <c r="I25" s="520"/>
      <c r="J25" s="520"/>
      <c r="K25" s="520"/>
      <c r="L25" s="520"/>
      <c r="M25" s="520"/>
      <c r="N25" s="520"/>
      <c r="O25" s="520"/>
      <c r="P25" s="520"/>
      <c r="Q25" s="533" t="str">
        <f t="shared" si="4"/>
        <v/>
      </c>
      <c r="R25" s="533" t="str">
        <f t="shared" si="5"/>
        <v/>
      </c>
      <c r="S25" s="533" t="str">
        <f t="shared" si="6"/>
        <v/>
      </c>
      <c r="T25" s="533" t="str">
        <f t="shared" si="7"/>
        <v/>
      </c>
      <c r="U25" s="514"/>
      <c r="V25" s="514"/>
      <c r="W25" s="514"/>
      <c r="X25" s="514"/>
      <c r="Y25" s="514"/>
      <c r="Z25" s="513"/>
      <c r="AA25" s="513"/>
      <c r="AB25" s="513"/>
      <c r="AC25" s="513"/>
      <c r="AD25" s="514"/>
      <c r="AE25" s="514"/>
      <c r="AF25" s="513"/>
      <c r="AG25" s="302" t="e">
        <f t="shared" si="8"/>
        <v>#DIV/0!</v>
      </c>
      <c r="AH25" s="303" t="e">
        <f>IF(AG25&gt;KKM!$G$10,"A",IF(AG25&gt;KKM!$H$10,"B",IF(AG25&gt;=KKM!$I$10,"C","D")))</f>
        <v>#DIV/0!</v>
      </c>
      <c r="AI25" s="304">
        <f t="shared" si="0"/>
        <v>0</v>
      </c>
      <c r="AJ25" s="309" t="str">
        <f>IF(AI25&gt;KKM!$G$10," sangat baik ",IF(AI25&gt;KKM!$H$10," baik ",IF(AI25&gt;=KKM!$I$10," cukup baik "," perlu bimbingan ")))</f>
        <v xml:space="preserve"> perlu bimbingan </v>
      </c>
      <c r="AK25" s="305">
        <f t="shared" si="1"/>
        <v>0</v>
      </c>
      <c r="AL25" s="309" t="str">
        <f>IF(AK25&gt;KKM!$G$10," sangat baik ",IF(AK25&gt;KKM!$H$10," baik ",IF(AK25&gt;=KKM!$I$10," cukup baik "," perlu bimbingan ")))</f>
        <v xml:space="preserve"> perlu bimbingan </v>
      </c>
      <c r="AM25" s="301" t="str">
        <f t="shared" si="9"/>
        <v xml:space="preserve"> </v>
      </c>
      <c r="AN25" s="218"/>
      <c r="AO25" s="219" t="e">
        <f t="shared" si="2"/>
        <v>#N/A</v>
      </c>
      <c r="AP25" s="219" t="e">
        <f t="shared" si="3"/>
        <v>#N/A</v>
      </c>
      <c r="AQ25" s="219" t="e">
        <f t="shared" si="10"/>
        <v>#N/A</v>
      </c>
      <c r="AR25" s="219" t="e">
        <f t="shared" si="11"/>
        <v>#N/A</v>
      </c>
      <c r="AS25" s="220" t="e">
        <f t="shared" si="12"/>
        <v>#N/A</v>
      </c>
      <c r="AT25" s="214" t="e">
        <f t="shared" si="13"/>
        <v>#N/A</v>
      </c>
      <c r="AU25" s="120"/>
    </row>
    <row r="26" spans="2:47" ht="63" customHeight="1">
      <c r="B26" s="109">
        <v>22</v>
      </c>
      <c r="C26" s="110">
        <f>SISWA!B27</f>
        <v>0</v>
      </c>
      <c r="D26" s="111" t="str">
        <f>SISWA!E27</f>
        <v>Anak 22</v>
      </c>
      <c r="E26" s="520"/>
      <c r="F26" s="520"/>
      <c r="G26" s="520"/>
      <c r="H26" s="520"/>
      <c r="I26" s="520"/>
      <c r="J26" s="520"/>
      <c r="K26" s="520"/>
      <c r="L26" s="520"/>
      <c r="M26" s="520"/>
      <c r="N26" s="520"/>
      <c r="O26" s="520"/>
      <c r="P26" s="520"/>
      <c r="Q26" s="533" t="str">
        <f t="shared" si="4"/>
        <v/>
      </c>
      <c r="R26" s="533" t="str">
        <f t="shared" si="5"/>
        <v/>
      </c>
      <c r="S26" s="533" t="str">
        <f t="shared" si="6"/>
        <v/>
      </c>
      <c r="T26" s="533" t="str">
        <f t="shared" si="7"/>
        <v/>
      </c>
      <c r="U26" s="514"/>
      <c r="V26" s="514"/>
      <c r="W26" s="514"/>
      <c r="X26" s="514"/>
      <c r="Y26" s="514"/>
      <c r="Z26" s="513"/>
      <c r="AA26" s="513"/>
      <c r="AB26" s="513"/>
      <c r="AC26" s="513"/>
      <c r="AD26" s="514"/>
      <c r="AE26" s="514"/>
      <c r="AF26" s="513"/>
      <c r="AG26" s="302" t="e">
        <f t="shared" si="8"/>
        <v>#DIV/0!</v>
      </c>
      <c r="AH26" s="303" t="e">
        <f>IF(AG26&gt;KKM!$G$10,"A",IF(AG26&gt;KKM!$H$10,"B",IF(AG26&gt;=KKM!$I$10,"C","D")))</f>
        <v>#DIV/0!</v>
      </c>
      <c r="AI26" s="304">
        <f t="shared" si="0"/>
        <v>0</v>
      </c>
      <c r="AJ26" s="309" t="str">
        <f>IF(AI26&gt;KKM!$G$10," sangat baik ",IF(AI26&gt;KKM!$H$10," baik ",IF(AI26&gt;=KKM!$I$10," cukup baik "," perlu bimbingan ")))</f>
        <v xml:space="preserve"> perlu bimbingan </v>
      </c>
      <c r="AK26" s="305">
        <f t="shared" si="1"/>
        <v>0</v>
      </c>
      <c r="AL26" s="309" t="str">
        <f>IF(AK26&gt;KKM!$G$10," sangat baik ",IF(AK26&gt;KKM!$H$10," baik ",IF(AK26&gt;=KKM!$I$10," cukup baik "," perlu bimbingan ")))</f>
        <v xml:space="preserve"> perlu bimbingan </v>
      </c>
      <c r="AM26" s="301" t="str">
        <f t="shared" si="9"/>
        <v xml:space="preserve"> </v>
      </c>
      <c r="AN26" s="218"/>
      <c r="AO26" s="219" t="e">
        <f t="shared" si="2"/>
        <v>#N/A</v>
      </c>
      <c r="AP26" s="219" t="e">
        <f t="shared" si="3"/>
        <v>#N/A</v>
      </c>
      <c r="AQ26" s="219" t="e">
        <f t="shared" si="10"/>
        <v>#N/A</v>
      </c>
      <c r="AR26" s="219" t="e">
        <f t="shared" si="11"/>
        <v>#N/A</v>
      </c>
      <c r="AS26" s="220" t="e">
        <f t="shared" si="12"/>
        <v>#N/A</v>
      </c>
      <c r="AT26" s="214" t="e">
        <f t="shared" si="13"/>
        <v>#N/A</v>
      </c>
      <c r="AU26" s="120"/>
    </row>
    <row r="27" spans="2:47" ht="63" customHeight="1">
      <c r="B27" s="109">
        <v>23</v>
      </c>
      <c r="C27" s="110">
        <f>SISWA!B28</f>
        <v>0</v>
      </c>
      <c r="D27" s="111" t="str">
        <f>SISWA!E28</f>
        <v>Anak 23</v>
      </c>
      <c r="E27" s="520"/>
      <c r="F27" s="520"/>
      <c r="G27" s="520"/>
      <c r="H27" s="520"/>
      <c r="I27" s="520"/>
      <c r="J27" s="520"/>
      <c r="K27" s="520"/>
      <c r="L27" s="520"/>
      <c r="M27" s="520"/>
      <c r="N27" s="520"/>
      <c r="O27" s="520"/>
      <c r="P27" s="520"/>
      <c r="Q27" s="533" t="str">
        <f t="shared" si="4"/>
        <v/>
      </c>
      <c r="R27" s="533" t="str">
        <f t="shared" si="5"/>
        <v/>
      </c>
      <c r="S27" s="533" t="str">
        <f t="shared" si="6"/>
        <v/>
      </c>
      <c r="T27" s="533" t="str">
        <f t="shared" si="7"/>
        <v/>
      </c>
      <c r="U27" s="514"/>
      <c r="V27" s="514"/>
      <c r="W27" s="514"/>
      <c r="X27" s="514"/>
      <c r="Y27" s="514"/>
      <c r="Z27" s="513"/>
      <c r="AA27" s="513"/>
      <c r="AB27" s="513"/>
      <c r="AC27" s="513"/>
      <c r="AD27" s="514"/>
      <c r="AE27" s="514"/>
      <c r="AF27" s="513"/>
      <c r="AG27" s="302" t="e">
        <f t="shared" si="8"/>
        <v>#DIV/0!</v>
      </c>
      <c r="AH27" s="303" t="e">
        <f>IF(AG27&gt;KKM!$G$10,"A",IF(AG27&gt;KKM!$H$10,"B",IF(AG27&gt;=KKM!$I$10,"C","D")))</f>
        <v>#DIV/0!</v>
      </c>
      <c r="AI27" s="304">
        <f t="shared" si="0"/>
        <v>0</v>
      </c>
      <c r="AJ27" s="309" t="str">
        <f>IF(AI27&gt;KKM!$G$10," sangat baik ",IF(AI27&gt;KKM!$H$10," baik ",IF(AI27&gt;=KKM!$I$10," cukup baik "," perlu bimbingan ")))</f>
        <v xml:space="preserve"> perlu bimbingan </v>
      </c>
      <c r="AK27" s="305">
        <f t="shared" si="1"/>
        <v>0</v>
      </c>
      <c r="AL27" s="309" t="str">
        <f>IF(AK27&gt;KKM!$G$10," sangat baik ",IF(AK27&gt;KKM!$H$10," baik ",IF(AK27&gt;=KKM!$I$10," cukup baik "," perlu bimbingan ")))</f>
        <v xml:space="preserve"> perlu bimbingan </v>
      </c>
      <c r="AM27" s="301" t="str">
        <f t="shared" si="9"/>
        <v xml:space="preserve"> </v>
      </c>
      <c r="AN27" s="218"/>
      <c r="AO27" s="219" t="e">
        <f t="shared" si="2"/>
        <v>#N/A</v>
      </c>
      <c r="AP27" s="219" t="e">
        <f t="shared" si="3"/>
        <v>#N/A</v>
      </c>
      <c r="AQ27" s="219" t="e">
        <f t="shared" si="10"/>
        <v>#N/A</v>
      </c>
      <c r="AR27" s="219" t="e">
        <f t="shared" si="11"/>
        <v>#N/A</v>
      </c>
      <c r="AS27" s="220" t="e">
        <f t="shared" si="12"/>
        <v>#N/A</v>
      </c>
      <c r="AT27" s="214" t="e">
        <f t="shared" si="13"/>
        <v>#N/A</v>
      </c>
      <c r="AU27" s="120"/>
    </row>
    <row r="28" spans="2:47" ht="63" customHeight="1">
      <c r="B28" s="109">
        <v>24</v>
      </c>
      <c r="C28" s="110">
        <f>SISWA!B29</f>
        <v>0</v>
      </c>
      <c r="D28" s="111" t="str">
        <f>SISWA!E29</f>
        <v>Anak 24</v>
      </c>
      <c r="E28" s="520"/>
      <c r="F28" s="520"/>
      <c r="G28" s="520"/>
      <c r="H28" s="520"/>
      <c r="I28" s="520"/>
      <c r="J28" s="520"/>
      <c r="K28" s="520"/>
      <c r="L28" s="520"/>
      <c r="M28" s="520"/>
      <c r="N28" s="520"/>
      <c r="O28" s="520"/>
      <c r="P28" s="520"/>
      <c r="Q28" s="533" t="str">
        <f t="shared" si="4"/>
        <v/>
      </c>
      <c r="R28" s="533" t="str">
        <f t="shared" si="5"/>
        <v/>
      </c>
      <c r="S28" s="533" t="str">
        <f t="shared" si="6"/>
        <v/>
      </c>
      <c r="T28" s="533" t="str">
        <f t="shared" si="7"/>
        <v/>
      </c>
      <c r="U28" s="514"/>
      <c r="V28" s="514"/>
      <c r="W28" s="514"/>
      <c r="X28" s="514"/>
      <c r="Y28" s="514"/>
      <c r="Z28" s="513"/>
      <c r="AA28" s="513"/>
      <c r="AB28" s="513"/>
      <c r="AC28" s="513"/>
      <c r="AD28" s="514"/>
      <c r="AE28" s="514"/>
      <c r="AF28" s="513"/>
      <c r="AG28" s="302" t="e">
        <f t="shared" si="8"/>
        <v>#DIV/0!</v>
      </c>
      <c r="AH28" s="303" t="e">
        <f>IF(AG28&gt;KKM!$G$10,"A",IF(AG28&gt;KKM!$H$10,"B",IF(AG28&gt;=KKM!$I$10,"C","D")))</f>
        <v>#DIV/0!</v>
      </c>
      <c r="AI28" s="304">
        <f t="shared" si="0"/>
        <v>0</v>
      </c>
      <c r="AJ28" s="309" t="str">
        <f>IF(AI28&gt;KKM!$G$10," sangat baik ",IF(AI28&gt;KKM!$H$10," baik ",IF(AI28&gt;=KKM!$I$10," cukup baik "," perlu bimbingan ")))</f>
        <v xml:space="preserve"> perlu bimbingan </v>
      </c>
      <c r="AK28" s="305">
        <f t="shared" si="1"/>
        <v>0</v>
      </c>
      <c r="AL28" s="309" t="str">
        <f>IF(AK28&gt;KKM!$G$10," sangat baik ",IF(AK28&gt;KKM!$H$10," baik ",IF(AK28&gt;=KKM!$I$10," cukup baik "," perlu bimbingan ")))</f>
        <v xml:space="preserve"> perlu bimbingan </v>
      </c>
      <c r="AM28" s="301" t="str">
        <f t="shared" si="9"/>
        <v xml:space="preserve"> </v>
      </c>
      <c r="AN28" s="218"/>
      <c r="AO28" s="219" t="e">
        <f t="shared" si="2"/>
        <v>#N/A</v>
      </c>
      <c r="AP28" s="219" t="e">
        <f t="shared" si="3"/>
        <v>#N/A</v>
      </c>
      <c r="AQ28" s="219" t="e">
        <f t="shared" si="10"/>
        <v>#N/A</v>
      </c>
      <c r="AR28" s="219" t="e">
        <f t="shared" si="11"/>
        <v>#N/A</v>
      </c>
      <c r="AS28" s="220" t="e">
        <f t="shared" si="12"/>
        <v>#N/A</v>
      </c>
      <c r="AT28" s="214" t="e">
        <f t="shared" si="13"/>
        <v>#N/A</v>
      </c>
      <c r="AU28" s="120"/>
    </row>
    <row r="29" spans="2:47" ht="63" customHeight="1">
      <c r="B29" s="109">
        <v>25</v>
      </c>
      <c r="C29" s="110">
        <f>SISWA!B30</f>
        <v>0</v>
      </c>
      <c r="D29" s="111" t="str">
        <f>SISWA!E30</f>
        <v>Anak 25</v>
      </c>
      <c r="E29" s="520"/>
      <c r="F29" s="520"/>
      <c r="G29" s="520"/>
      <c r="H29" s="520"/>
      <c r="I29" s="520"/>
      <c r="J29" s="520"/>
      <c r="K29" s="520"/>
      <c r="L29" s="520"/>
      <c r="M29" s="520"/>
      <c r="N29" s="520"/>
      <c r="O29" s="520"/>
      <c r="P29" s="520"/>
      <c r="Q29" s="533" t="str">
        <f t="shared" si="4"/>
        <v/>
      </c>
      <c r="R29" s="533" t="str">
        <f t="shared" si="5"/>
        <v/>
      </c>
      <c r="S29" s="533" t="str">
        <f t="shared" si="6"/>
        <v/>
      </c>
      <c r="T29" s="533" t="str">
        <f t="shared" si="7"/>
        <v/>
      </c>
      <c r="U29" s="514"/>
      <c r="V29" s="514"/>
      <c r="W29" s="514"/>
      <c r="X29" s="514"/>
      <c r="Y29" s="514"/>
      <c r="Z29" s="513"/>
      <c r="AA29" s="513"/>
      <c r="AB29" s="513"/>
      <c r="AC29" s="513"/>
      <c r="AD29" s="514"/>
      <c r="AE29" s="514"/>
      <c r="AF29" s="513"/>
      <c r="AG29" s="302" t="e">
        <f t="shared" si="8"/>
        <v>#DIV/0!</v>
      </c>
      <c r="AH29" s="303" t="e">
        <f>IF(AG29&gt;KKM!$G$10,"A",IF(AG29&gt;KKM!$H$10,"B",IF(AG29&gt;=KKM!$I$10,"C","D")))</f>
        <v>#DIV/0!</v>
      </c>
      <c r="AI29" s="304">
        <f t="shared" si="0"/>
        <v>0</v>
      </c>
      <c r="AJ29" s="309" t="str">
        <f>IF(AI29&gt;KKM!$G$10," sangat baik ",IF(AI29&gt;KKM!$H$10," baik ",IF(AI29&gt;=KKM!$I$10," cukup baik "," perlu bimbingan ")))</f>
        <v xml:space="preserve"> perlu bimbingan </v>
      </c>
      <c r="AK29" s="305">
        <f t="shared" si="1"/>
        <v>0</v>
      </c>
      <c r="AL29" s="309" t="str">
        <f>IF(AK29&gt;KKM!$G$10," sangat baik ",IF(AK29&gt;KKM!$H$10," baik ",IF(AK29&gt;=KKM!$I$10," cukup baik "," perlu bimbingan ")))</f>
        <v xml:space="preserve"> perlu bimbingan </v>
      </c>
      <c r="AM29" s="301" t="str">
        <f t="shared" si="9"/>
        <v xml:space="preserve"> </v>
      </c>
      <c r="AN29" s="218"/>
      <c r="AO29" s="219" t="e">
        <f t="shared" si="2"/>
        <v>#N/A</v>
      </c>
      <c r="AP29" s="219" t="e">
        <f t="shared" si="3"/>
        <v>#N/A</v>
      </c>
      <c r="AQ29" s="219" t="e">
        <f t="shared" si="10"/>
        <v>#N/A</v>
      </c>
      <c r="AR29" s="219" t="e">
        <f t="shared" si="11"/>
        <v>#N/A</v>
      </c>
      <c r="AS29" s="220" t="e">
        <f t="shared" si="12"/>
        <v>#N/A</v>
      </c>
      <c r="AT29" s="214" t="e">
        <f t="shared" si="13"/>
        <v>#N/A</v>
      </c>
      <c r="AU29" s="120"/>
    </row>
    <row r="30" spans="2:47" ht="63" customHeight="1">
      <c r="B30" s="109">
        <v>26</v>
      </c>
      <c r="C30" s="110">
        <f>SISWA!B31</f>
        <v>0</v>
      </c>
      <c r="D30" s="111" t="str">
        <f>SISWA!E31</f>
        <v>Anak 26</v>
      </c>
      <c r="E30" s="520"/>
      <c r="F30" s="520"/>
      <c r="G30" s="520"/>
      <c r="H30" s="520"/>
      <c r="I30" s="520"/>
      <c r="J30" s="520"/>
      <c r="K30" s="520"/>
      <c r="L30" s="520"/>
      <c r="M30" s="520"/>
      <c r="N30" s="520"/>
      <c r="O30" s="520"/>
      <c r="P30" s="520"/>
      <c r="Q30" s="533" t="str">
        <f t="shared" si="4"/>
        <v/>
      </c>
      <c r="R30" s="533" t="str">
        <f t="shared" si="5"/>
        <v/>
      </c>
      <c r="S30" s="533" t="str">
        <f t="shared" si="6"/>
        <v/>
      </c>
      <c r="T30" s="533" t="str">
        <f t="shared" si="7"/>
        <v/>
      </c>
      <c r="U30" s="514"/>
      <c r="V30" s="514"/>
      <c r="W30" s="514"/>
      <c r="X30" s="514"/>
      <c r="Y30" s="514"/>
      <c r="Z30" s="513"/>
      <c r="AA30" s="513"/>
      <c r="AB30" s="513"/>
      <c r="AC30" s="513"/>
      <c r="AD30" s="514"/>
      <c r="AE30" s="514"/>
      <c r="AF30" s="513"/>
      <c r="AG30" s="302" t="e">
        <f t="shared" si="8"/>
        <v>#DIV/0!</v>
      </c>
      <c r="AH30" s="303" t="e">
        <f>IF(AG30&gt;KKM!$G$10,"A",IF(AG30&gt;KKM!$H$10,"B",IF(AG30&gt;=KKM!$I$10,"C","D")))</f>
        <v>#DIV/0!</v>
      </c>
      <c r="AI30" s="304">
        <f t="shared" si="0"/>
        <v>0</v>
      </c>
      <c r="AJ30" s="309" t="str">
        <f>IF(AI30&gt;KKM!$G$10," sangat baik ",IF(AI30&gt;KKM!$H$10," baik ",IF(AI30&gt;=KKM!$I$10," cukup baik "," perlu bimbingan ")))</f>
        <v xml:space="preserve"> perlu bimbingan </v>
      </c>
      <c r="AK30" s="305">
        <f t="shared" si="1"/>
        <v>0</v>
      </c>
      <c r="AL30" s="309" t="str">
        <f>IF(AK30&gt;KKM!$G$10," sangat baik ",IF(AK30&gt;KKM!$H$10," baik ",IF(AK30&gt;=KKM!$I$10," cukup baik "," perlu bimbingan ")))</f>
        <v xml:space="preserve"> perlu bimbingan </v>
      </c>
      <c r="AM30" s="301" t="str">
        <f t="shared" si="9"/>
        <v xml:space="preserve"> </v>
      </c>
      <c r="AN30" s="218"/>
      <c r="AO30" s="219" t="e">
        <f t="shared" si="2"/>
        <v>#N/A</v>
      </c>
      <c r="AP30" s="219" t="e">
        <f t="shared" si="3"/>
        <v>#N/A</v>
      </c>
      <c r="AQ30" s="219" t="e">
        <f t="shared" si="10"/>
        <v>#N/A</v>
      </c>
      <c r="AR30" s="219" t="e">
        <f t="shared" si="11"/>
        <v>#N/A</v>
      </c>
      <c r="AS30" s="220" t="e">
        <f t="shared" si="12"/>
        <v>#N/A</v>
      </c>
      <c r="AT30" s="214" t="e">
        <f t="shared" si="13"/>
        <v>#N/A</v>
      </c>
      <c r="AU30" s="120"/>
    </row>
    <row r="31" spans="2:47" ht="63" customHeight="1">
      <c r="B31" s="109">
        <v>27</v>
      </c>
      <c r="C31" s="110">
        <f>SISWA!B32</f>
        <v>0</v>
      </c>
      <c r="D31" s="111" t="str">
        <f>SISWA!E32</f>
        <v>Anak 27</v>
      </c>
      <c r="E31" s="520"/>
      <c r="F31" s="520"/>
      <c r="G31" s="520"/>
      <c r="H31" s="520"/>
      <c r="I31" s="520"/>
      <c r="J31" s="520"/>
      <c r="K31" s="520"/>
      <c r="L31" s="520"/>
      <c r="M31" s="520"/>
      <c r="N31" s="520"/>
      <c r="O31" s="520"/>
      <c r="P31" s="520"/>
      <c r="Q31" s="533" t="str">
        <f t="shared" si="4"/>
        <v/>
      </c>
      <c r="R31" s="533" t="str">
        <f t="shared" si="5"/>
        <v/>
      </c>
      <c r="S31" s="533" t="str">
        <f t="shared" si="6"/>
        <v/>
      </c>
      <c r="T31" s="533" t="str">
        <f t="shared" si="7"/>
        <v/>
      </c>
      <c r="U31" s="514"/>
      <c r="V31" s="514"/>
      <c r="W31" s="514"/>
      <c r="X31" s="514"/>
      <c r="Y31" s="514"/>
      <c r="Z31" s="513"/>
      <c r="AA31" s="513"/>
      <c r="AB31" s="513"/>
      <c r="AC31" s="513"/>
      <c r="AD31" s="514"/>
      <c r="AE31" s="514"/>
      <c r="AF31" s="513"/>
      <c r="AG31" s="302" t="e">
        <f t="shared" si="8"/>
        <v>#DIV/0!</v>
      </c>
      <c r="AH31" s="303" t="e">
        <f>IF(AG31&gt;KKM!$G$10,"A",IF(AG31&gt;KKM!$H$10,"B",IF(AG31&gt;=KKM!$I$10,"C","D")))</f>
        <v>#DIV/0!</v>
      </c>
      <c r="AI31" s="304">
        <f t="shared" si="0"/>
        <v>0</v>
      </c>
      <c r="AJ31" s="309" t="str">
        <f>IF(AI31&gt;KKM!$G$10," sangat baik ",IF(AI31&gt;KKM!$H$10," baik ",IF(AI31&gt;=KKM!$I$10," cukup baik "," perlu bimbingan ")))</f>
        <v xml:space="preserve"> perlu bimbingan </v>
      </c>
      <c r="AK31" s="305">
        <f t="shared" si="1"/>
        <v>0</v>
      </c>
      <c r="AL31" s="309" t="str">
        <f>IF(AK31&gt;KKM!$G$10," sangat baik ",IF(AK31&gt;KKM!$H$10," baik ",IF(AK31&gt;=KKM!$I$10," cukup baik "," perlu bimbingan ")))</f>
        <v xml:space="preserve"> perlu bimbingan </v>
      </c>
      <c r="AM31" s="301" t="str">
        <f t="shared" si="9"/>
        <v xml:space="preserve"> </v>
      </c>
      <c r="AN31" s="218"/>
      <c r="AO31" s="219" t="e">
        <f t="shared" si="2"/>
        <v>#N/A</v>
      </c>
      <c r="AP31" s="219" t="e">
        <f t="shared" si="3"/>
        <v>#N/A</v>
      </c>
      <c r="AQ31" s="219" t="e">
        <f t="shared" si="10"/>
        <v>#N/A</v>
      </c>
      <c r="AR31" s="219" t="e">
        <f t="shared" si="11"/>
        <v>#N/A</v>
      </c>
      <c r="AS31" s="220" t="e">
        <f t="shared" si="12"/>
        <v>#N/A</v>
      </c>
      <c r="AT31" s="214" t="e">
        <f t="shared" si="13"/>
        <v>#N/A</v>
      </c>
      <c r="AU31" s="120"/>
    </row>
    <row r="32" spans="2:47" ht="63" customHeight="1">
      <c r="B32" s="109">
        <v>28</v>
      </c>
      <c r="C32" s="110">
        <f>SISWA!B33</f>
        <v>0</v>
      </c>
      <c r="D32" s="111" t="str">
        <f>SISWA!E33</f>
        <v>Anak 28</v>
      </c>
      <c r="E32" s="520"/>
      <c r="F32" s="520"/>
      <c r="G32" s="520"/>
      <c r="H32" s="520"/>
      <c r="I32" s="520"/>
      <c r="J32" s="520"/>
      <c r="K32" s="520"/>
      <c r="L32" s="520"/>
      <c r="M32" s="520"/>
      <c r="N32" s="520"/>
      <c r="O32" s="520"/>
      <c r="P32" s="520"/>
      <c r="Q32" s="533" t="str">
        <f t="shared" si="4"/>
        <v/>
      </c>
      <c r="R32" s="533" t="str">
        <f t="shared" si="5"/>
        <v/>
      </c>
      <c r="S32" s="533" t="str">
        <f t="shared" si="6"/>
        <v/>
      </c>
      <c r="T32" s="533" t="str">
        <f t="shared" si="7"/>
        <v/>
      </c>
      <c r="U32" s="514"/>
      <c r="V32" s="514"/>
      <c r="W32" s="514"/>
      <c r="X32" s="514"/>
      <c r="Y32" s="514"/>
      <c r="Z32" s="513"/>
      <c r="AA32" s="513"/>
      <c r="AB32" s="513"/>
      <c r="AC32" s="513"/>
      <c r="AD32" s="514"/>
      <c r="AE32" s="514"/>
      <c r="AF32" s="513"/>
      <c r="AG32" s="302" t="e">
        <f t="shared" si="8"/>
        <v>#DIV/0!</v>
      </c>
      <c r="AH32" s="303" t="e">
        <f>IF(AG32&gt;KKM!$G$10,"A",IF(AG32&gt;KKM!$H$10,"B",IF(AG32&gt;=KKM!$I$10,"C","D")))</f>
        <v>#DIV/0!</v>
      </c>
      <c r="AI32" s="304">
        <f t="shared" si="0"/>
        <v>0</v>
      </c>
      <c r="AJ32" s="309" t="str">
        <f>IF(AI32&gt;KKM!$G$10," sangat baik ",IF(AI32&gt;KKM!$H$10," baik ",IF(AI32&gt;=KKM!$I$10," cukup baik "," perlu bimbingan ")))</f>
        <v xml:space="preserve"> perlu bimbingan </v>
      </c>
      <c r="AK32" s="305">
        <f t="shared" si="1"/>
        <v>0</v>
      </c>
      <c r="AL32" s="309" t="str">
        <f>IF(AK32&gt;KKM!$G$10," sangat baik ",IF(AK32&gt;KKM!$H$10," baik ",IF(AK32&gt;=KKM!$I$10," cukup baik "," perlu bimbingan ")))</f>
        <v xml:space="preserve"> perlu bimbingan </v>
      </c>
      <c r="AM32" s="301" t="str">
        <f t="shared" si="9"/>
        <v xml:space="preserve"> </v>
      </c>
      <c r="AN32" s="218"/>
      <c r="AO32" s="219" t="e">
        <f t="shared" si="2"/>
        <v>#N/A</v>
      </c>
      <c r="AP32" s="219" t="e">
        <f t="shared" si="3"/>
        <v>#N/A</v>
      </c>
      <c r="AQ32" s="219" t="e">
        <f t="shared" si="10"/>
        <v>#N/A</v>
      </c>
      <c r="AR32" s="219" t="e">
        <f t="shared" si="11"/>
        <v>#N/A</v>
      </c>
      <c r="AS32" s="220" t="e">
        <f t="shared" si="12"/>
        <v>#N/A</v>
      </c>
      <c r="AT32" s="214" t="e">
        <f t="shared" si="13"/>
        <v>#N/A</v>
      </c>
      <c r="AU32" s="120"/>
    </row>
    <row r="33" spans="2:47" ht="63" customHeight="1">
      <c r="B33" s="109">
        <v>29</v>
      </c>
      <c r="C33" s="110">
        <f>SISWA!B34</f>
        <v>0</v>
      </c>
      <c r="D33" s="111" t="str">
        <f>SISWA!E34</f>
        <v>Anak 29</v>
      </c>
      <c r="E33" s="520"/>
      <c r="F33" s="520"/>
      <c r="G33" s="520"/>
      <c r="H33" s="520"/>
      <c r="I33" s="520"/>
      <c r="J33" s="520"/>
      <c r="K33" s="520"/>
      <c r="L33" s="520"/>
      <c r="M33" s="520"/>
      <c r="N33" s="520"/>
      <c r="O33" s="520"/>
      <c r="P33" s="520"/>
      <c r="Q33" s="533" t="str">
        <f t="shared" si="4"/>
        <v/>
      </c>
      <c r="R33" s="533" t="str">
        <f t="shared" si="5"/>
        <v/>
      </c>
      <c r="S33" s="533" t="str">
        <f t="shared" si="6"/>
        <v/>
      </c>
      <c r="T33" s="533" t="str">
        <f t="shared" si="7"/>
        <v/>
      </c>
      <c r="U33" s="514"/>
      <c r="V33" s="514"/>
      <c r="W33" s="514"/>
      <c r="X33" s="514"/>
      <c r="Y33" s="514"/>
      <c r="Z33" s="513"/>
      <c r="AA33" s="513"/>
      <c r="AB33" s="513"/>
      <c r="AC33" s="513"/>
      <c r="AD33" s="514"/>
      <c r="AE33" s="514"/>
      <c r="AF33" s="513"/>
      <c r="AG33" s="302" t="e">
        <f t="shared" si="8"/>
        <v>#DIV/0!</v>
      </c>
      <c r="AH33" s="303" t="e">
        <f>IF(AG33&gt;KKM!$G$10,"A",IF(AG33&gt;KKM!$H$10,"B",IF(AG33&gt;=KKM!$I$10,"C","D")))</f>
        <v>#DIV/0!</v>
      </c>
      <c r="AI33" s="304">
        <f t="shared" si="0"/>
        <v>0</v>
      </c>
      <c r="AJ33" s="309" t="str">
        <f>IF(AI33&gt;KKM!$G$10," sangat baik ",IF(AI33&gt;KKM!$H$10," baik ",IF(AI33&gt;=KKM!$I$10," cukup baik "," perlu bimbingan ")))</f>
        <v xml:space="preserve"> perlu bimbingan </v>
      </c>
      <c r="AK33" s="305">
        <f t="shared" si="1"/>
        <v>0</v>
      </c>
      <c r="AL33" s="309" t="str">
        <f>IF(AK33&gt;KKM!$G$10," sangat baik ",IF(AK33&gt;KKM!$H$10," baik ",IF(AK33&gt;=KKM!$I$10," cukup baik "," perlu bimbingan ")))</f>
        <v xml:space="preserve"> perlu bimbingan </v>
      </c>
      <c r="AM33" s="301" t="str">
        <f t="shared" si="9"/>
        <v xml:space="preserve"> </v>
      </c>
      <c r="AN33" s="218"/>
      <c r="AO33" s="219" t="e">
        <f t="shared" si="2"/>
        <v>#N/A</v>
      </c>
      <c r="AP33" s="219" t="e">
        <f t="shared" si="3"/>
        <v>#N/A</v>
      </c>
      <c r="AQ33" s="219" t="e">
        <f t="shared" si="10"/>
        <v>#N/A</v>
      </c>
      <c r="AR33" s="219" t="e">
        <f t="shared" si="11"/>
        <v>#N/A</v>
      </c>
      <c r="AS33" s="220" t="e">
        <f t="shared" si="12"/>
        <v>#N/A</v>
      </c>
      <c r="AT33" s="214" t="e">
        <f t="shared" si="13"/>
        <v>#N/A</v>
      </c>
      <c r="AU33" s="120"/>
    </row>
    <row r="34" spans="2:47" ht="63" customHeight="1">
      <c r="B34" s="109">
        <v>30</v>
      </c>
      <c r="C34" s="110">
        <f>SISWA!B35</f>
        <v>0</v>
      </c>
      <c r="D34" s="111" t="str">
        <f>SISWA!E35</f>
        <v>Anak 30</v>
      </c>
      <c r="E34" s="520"/>
      <c r="F34" s="520"/>
      <c r="G34" s="520"/>
      <c r="H34" s="520"/>
      <c r="I34" s="520"/>
      <c r="J34" s="520"/>
      <c r="K34" s="520"/>
      <c r="L34" s="520"/>
      <c r="M34" s="520"/>
      <c r="N34" s="520"/>
      <c r="O34" s="520"/>
      <c r="P34" s="520"/>
      <c r="Q34" s="533" t="str">
        <f t="shared" si="4"/>
        <v/>
      </c>
      <c r="R34" s="533" t="str">
        <f t="shared" si="5"/>
        <v/>
      </c>
      <c r="S34" s="533" t="str">
        <f t="shared" si="6"/>
        <v/>
      </c>
      <c r="T34" s="533" t="str">
        <f t="shared" si="7"/>
        <v/>
      </c>
      <c r="U34" s="514"/>
      <c r="V34" s="514"/>
      <c r="W34" s="514"/>
      <c r="X34" s="514"/>
      <c r="Y34" s="514"/>
      <c r="Z34" s="513"/>
      <c r="AA34" s="513"/>
      <c r="AB34" s="513"/>
      <c r="AC34" s="513"/>
      <c r="AD34" s="514"/>
      <c r="AE34" s="514"/>
      <c r="AF34" s="513"/>
      <c r="AG34" s="302" t="e">
        <f t="shared" si="8"/>
        <v>#DIV/0!</v>
      </c>
      <c r="AH34" s="303" t="e">
        <f>IF(AG34&gt;KKM!$G$10,"A",IF(AG34&gt;KKM!$H$10,"B",IF(AG34&gt;=KKM!$I$10,"C","D")))</f>
        <v>#DIV/0!</v>
      </c>
      <c r="AI34" s="304">
        <f t="shared" si="0"/>
        <v>0</v>
      </c>
      <c r="AJ34" s="309" t="str">
        <f>IF(AI34&gt;KKM!$G$10," sangat baik ",IF(AI34&gt;KKM!$H$10," baik ",IF(AI34&gt;=KKM!$I$10," cukup baik "," perlu bimbingan ")))</f>
        <v xml:space="preserve"> perlu bimbingan </v>
      </c>
      <c r="AK34" s="305">
        <f t="shared" si="1"/>
        <v>0</v>
      </c>
      <c r="AL34" s="309" t="str">
        <f>IF(AK34&gt;KKM!$G$10," sangat baik ",IF(AK34&gt;KKM!$H$10," baik ",IF(AK34&gt;=KKM!$I$10," cukup baik "," perlu bimbingan ")))</f>
        <v xml:space="preserve"> perlu bimbingan </v>
      </c>
      <c r="AM34" s="301" t="str">
        <f t="shared" si="9"/>
        <v xml:space="preserve"> </v>
      </c>
      <c r="AN34" s="218"/>
      <c r="AO34" s="219" t="e">
        <f t="shared" si="2"/>
        <v>#N/A</v>
      </c>
      <c r="AP34" s="219" t="e">
        <f t="shared" si="3"/>
        <v>#N/A</v>
      </c>
      <c r="AQ34" s="219" t="e">
        <f t="shared" si="10"/>
        <v>#N/A</v>
      </c>
      <c r="AR34" s="219" t="e">
        <f t="shared" si="11"/>
        <v>#N/A</v>
      </c>
      <c r="AS34" s="220" t="e">
        <f t="shared" si="12"/>
        <v>#N/A</v>
      </c>
      <c r="AT34" s="214" t="e">
        <f t="shared" si="13"/>
        <v>#N/A</v>
      </c>
      <c r="AU34" s="120"/>
    </row>
    <row r="35" spans="2:47" ht="63" customHeight="1">
      <c r="B35" s="109">
        <v>31</v>
      </c>
      <c r="C35" s="110">
        <f>SISWA!B36</f>
        <v>0</v>
      </c>
      <c r="D35" s="111" t="str">
        <f>SISWA!E36</f>
        <v>Anak 31</v>
      </c>
      <c r="E35" s="520"/>
      <c r="F35" s="520"/>
      <c r="G35" s="520"/>
      <c r="H35" s="520"/>
      <c r="I35" s="520"/>
      <c r="J35" s="520"/>
      <c r="K35" s="520"/>
      <c r="L35" s="520"/>
      <c r="M35" s="520"/>
      <c r="N35" s="520"/>
      <c r="O35" s="520"/>
      <c r="P35" s="520"/>
      <c r="Q35" s="533" t="str">
        <f t="shared" si="4"/>
        <v/>
      </c>
      <c r="R35" s="533" t="str">
        <f t="shared" si="5"/>
        <v/>
      </c>
      <c r="S35" s="533" t="str">
        <f t="shared" si="6"/>
        <v/>
      </c>
      <c r="T35" s="533" t="str">
        <f t="shared" si="7"/>
        <v/>
      </c>
      <c r="U35" s="514"/>
      <c r="V35" s="514"/>
      <c r="W35" s="514"/>
      <c r="X35" s="514"/>
      <c r="Y35" s="514"/>
      <c r="Z35" s="513"/>
      <c r="AA35" s="513"/>
      <c r="AB35" s="513"/>
      <c r="AC35" s="513"/>
      <c r="AD35" s="514"/>
      <c r="AE35" s="514"/>
      <c r="AF35" s="513"/>
      <c r="AG35" s="302" t="e">
        <f t="shared" si="8"/>
        <v>#DIV/0!</v>
      </c>
      <c r="AH35" s="303" t="e">
        <f>IF(AG35&gt;KKM!$G$10,"A",IF(AG35&gt;KKM!$H$10,"B",IF(AG35&gt;=KKM!$I$10,"C","D")))</f>
        <v>#DIV/0!</v>
      </c>
      <c r="AI35" s="304">
        <f t="shared" si="0"/>
        <v>0</v>
      </c>
      <c r="AJ35" s="309" t="str">
        <f>IF(AI35&gt;KKM!$G$10," sangat baik ",IF(AI35&gt;KKM!$H$10," baik ",IF(AI35&gt;=KKM!$I$10," cukup baik "," perlu bimbingan ")))</f>
        <v xml:space="preserve"> perlu bimbingan </v>
      </c>
      <c r="AK35" s="305">
        <f t="shared" si="1"/>
        <v>0</v>
      </c>
      <c r="AL35" s="309" t="str">
        <f>IF(AK35&gt;KKM!$G$10," sangat baik ",IF(AK35&gt;KKM!$H$10," baik ",IF(AK35&gt;=KKM!$I$10," cukup baik "," perlu bimbingan ")))</f>
        <v xml:space="preserve"> perlu bimbingan </v>
      </c>
      <c r="AM35" s="301" t="str">
        <f t="shared" si="9"/>
        <v xml:space="preserve"> </v>
      </c>
      <c r="AN35" s="218"/>
      <c r="AO35" s="219" t="e">
        <f t="shared" si="2"/>
        <v>#N/A</v>
      </c>
      <c r="AP35" s="219" t="e">
        <f t="shared" si="3"/>
        <v>#N/A</v>
      </c>
      <c r="AQ35" s="219" t="e">
        <f t="shared" si="10"/>
        <v>#N/A</v>
      </c>
      <c r="AR35" s="219" t="e">
        <f t="shared" si="11"/>
        <v>#N/A</v>
      </c>
      <c r="AS35" s="220" t="e">
        <f t="shared" si="12"/>
        <v>#N/A</v>
      </c>
      <c r="AT35" s="214" t="e">
        <f t="shared" si="13"/>
        <v>#N/A</v>
      </c>
      <c r="AU35" s="120"/>
    </row>
    <row r="36" spans="2:47" ht="63" customHeight="1">
      <c r="B36" s="109">
        <v>32</v>
      </c>
      <c r="C36" s="110">
        <f>SISWA!B37</f>
        <v>0</v>
      </c>
      <c r="D36" s="111" t="str">
        <f>SISWA!E37</f>
        <v>Anak 32</v>
      </c>
      <c r="E36" s="520"/>
      <c r="F36" s="520"/>
      <c r="G36" s="520"/>
      <c r="H36" s="520"/>
      <c r="I36" s="520"/>
      <c r="J36" s="520"/>
      <c r="K36" s="520"/>
      <c r="L36" s="520"/>
      <c r="M36" s="520"/>
      <c r="N36" s="520"/>
      <c r="O36" s="520"/>
      <c r="P36" s="520"/>
      <c r="Q36" s="533" t="str">
        <f t="shared" si="4"/>
        <v/>
      </c>
      <c r="R36" s="533" t="str">
        <f t="shared" si="5"/>
        <v/>
      </c>
      <c r="S36" s="533" t="str">
        <f t="shared" si="6"/>
        <v/>
      </c>
      <c r="T36" s="533" t="str">
        <f t="shared" si="7"/>
        <v/>
      </c>
      <c r="U36" s="514"/>
      <c r="V36" s="514"/>
      <c r="W36" s="514"/>
      <c r="X36" s="514"/>
      <c r="Y36" s="514"/>
      <c r="Z36" s="513"/>
      <c r="AA36" s="513"/>
      <c r="AB36" s="513"/>
      <c r="AC36" s="513"/>
      <c r="AD36" s="514"/>
      <c r="AE36" s="514"/>
      <c r="AF36" s="513"/>
      <c r="AG36" s="302" t="e">
        <f t="shared" si="8"/>
        <v>#DIV/0!</v>
      </c>
      <c r="AH36" s="303" t="e">
        <f>IF(AG36&gt;KKM!$G$10,"A",IF(AG36&gt;KKM!$H$10,"B",IF(AG36&gt;=KKM!$I$10,"C","D")))</f>
        <v>#DIV/0!</v>
      </c>
      <c r="AI36" s="304">
        <f t="shared" si="0"/>
        <v>0</v>
      </c>
      <c r="AJ36" s="309" t="str">
        <f>IF(AI36&gt;KKM!$G$10," sangat baik ",IF(AI36&gt;KKM!$H$10," baik ",IF(AI36&gt;=KKM!$I$10," cukup baik "," perlu bimbingan ")))</f>
        <v xml:space="preserve"> perlu bimbingan </v>
      </c>
      <c r="AK36" s="305">
        <f t="shared" si="1"/>
        <v>0</v>
      </c>
      <c r="AL36" s="309" t="str">
        <f>IF(AK36&gt;KKM!$G$10," sangat baik ",IF(AK36&gt;KKM!$H$10," baik ",IF(AK36&gt;=KKM!$I$10," cukup baik "," perlu bimbingan ")))</f>
        <v xml:space="preserve"> perlu bimbingan </v>
      </c>
      <c r="AM36" s="301" t="str">
        <f t="shared" si="9"/>
        <v xml:space="preserve"> </v>
      </c>
      <c r="AN36" s="218"/>
      <c r="AO36" s="219" t="e">
        <f t="shared" si="2"/>
        <v>#N/A</v>
      </c>
      <c r="AP36" s="219" t="e">
        <f t="shared" si="3"/>
        <v>#N/A</v>
      </c>
      <c r="AQ36" s="219" t="e">
        <f t="shared" si="10"/>
        <v>#N/A</v>
      </c>
      <c r="AR36" s="219" t="e">
        <f t="shared" si="11"/>
        <v>#N/A</v>
      </c>
      <c r="AS36" s="220" t="e">
        <f t="shared" si="12"/>
        <v>#N/A</v>
      </c>
      <c r="AT36" s="214" t="e">
        <f t="shared" si="13"/>
        <v>#N/A</v>
      </c>
      <c r="AU36" s="120"/>
    </row>
    <row r="37" spans="2:47" ht="63" customHeight="1">
      <c r="B37" s="109">
        <v>33</v>
      </c>
      <c r="C37" s="110">
        <f>SISWA!B38</f>
        <v>0</v>
      </c>
      <c r="D37" s="111" t="str">
        <f>SISWA!E38</f>
        <v>Anak 33</v>
      </c>
      <c r="E37" s="520"/>
      <c r="F37" s="520"/>
      <c r="G37" s="520"/>
      <c r="H37" s="520"/>
      <c r="I37" s="520"/>
      <c r="J37" s="520"/>
      <c r="K37" s="520"/>
      <c r="L37" s="520"/>
      <c r="M37" s="520"/>
      <c r="N37" s="520"/>
      <c r="O37" s="520"/>
      <c r="P37" s="520"/>
      <c r="Q37" s="533" t="str">
        <f t="shared" si="4"/>
        <v/>
      </c>
      <c r="R37" s="533" t="str">
        <f t="shared" si="5"/>
        <v/>
      </c>
      <c r="S37" s="533" t="str">
        <f t="shared" si="6"/>
        <v/>
      </c>
      <c r="T37" s="533" t="str">
        <f t="shared" si="7"/>
        <v/>
      </c>
      <c r="U37" s="514"/>
      <c r="V37" s="514"/>
      <c r="W37" s="514"/>
      <c r="X37" s="514"/>
      <c r="Y37" s="514"/>
      <c r="Z37" s="513"/>
      <c r="AA37" s="513"/>
      <c r="AB37" s="513"/>
      <c r="AC37" s="513"/>
      <c r="AD37" s="514"/>
      <c r="AE37" s="514"/>
      <c r="AF37" s="513"/>
      <c r="AG37" s="302" t="e">
        <f t="shared" si="8"/>
        <v>#DIV/0!</v>
      </c>
      <c r="AH37" s="303" t="e">
        <f>IF(AG37&gt;KKM!$G$10,"A",IF(AG37&gt;KKM!$H$10,"B",IF(AG37&gt;=KKM!$I$10,"C","D")))</f>
        <v>#DIV/0!</v>
      </c>
      <c r="AI37" s="304">
        <f t="shared" si="0"/>
        <v>0</v>
      </c>
      <c r="AJ37" s="309" t="str">
        <f>IF(AI37&gt;KKM!$G$10," sangat baik ",IF(AI37&gt;KKM!$H$10," baik ",IF(AI37&gt;=KKM!$I$10," cukup baik "," perlu bimbingan ")))</f>
        <v xml:space="preserve"> perlu bimbingan </v>
      </c>
      <c r="AK37" s="305">
        <f t="shared" si="1"/>
        <v>0</v>
      </c>
      <c r="AL37" s="309" t="str">
        <f>IF(AK37&gt;KKM!$G$10," sangat baik ",IF(AK37&gt;KKM!$H$10," baik ",IF(AK37&gt;=KKM!$I$10," cukup baik "," perlu bimbingan ")))</f>
        <v xml:space="preserve"> perlu bimbingan </v>
      </c>
      <c r="AM37" s="301" t="str">
        <f t="shared" si="9"/>
        <v xml:space="preserve"> </v>
      </c>
      <c r="AN37" s="218"/>
      <c r="AO37" s="219" t="e">
        <f t="shared" si="2"/>
        <v>#N/A</v>
      </c>
      <c r="AP37" s="219" t="e">
        <f t="shared" si="3"/>
        <v>#N/A</v>
      </c>
      <c r="AQ37" s="219" t="e">
        <f t="shared" si="10"/>
        <v>#N/A</v>
      </c>
      <c r="AR37" s="219" t="e">
        <f t="shared" si="11"/>
        <v>#N/A</v>
      </c>
      <c r="AS37" s="220" t="e">
        <f t="shared" si="12"/>
        <v>#N/A</v>
      </c>
      <c r="AT37" s="214" t="e">
        <f t="shared" si="13"/>
        <v>#N/A</v>
      </c>
      <c r="AU37" s="120"/>
    </row>
    <row r="38" spans="2:47" ht="63" customHeight="1">
      <c r="B38" s="109">
        <v>34</v>
      </c>
      <c r="C38" s="110">
        <f>SISWA!B39</f>
        <v>0</v>
      </c>
      <c r="D38" s="111" t="str">
        <f>SISWA!E39</f>
        <v>Anak 34</v>
      </c>
      <c r="E38" s="520"/>
      <c r="F38" s="520"/>
      <c r="G38" s="520"/>
      <c r="H38" s="520"/>
      <c r="I38" s="520"/>
      <c r="J38" s="520"/>
      <c r="K38" s="520"/>
      <c r="L38" s="520"/>
      <c r="M38" s="520"/>
      <c r="N38" s="520"/>
      <c r="O38" s="520"/>
      <c r="P38" s="520"/>
      <c r="Q38" s="533" t="str">
        <f t="shared" si="4"/>
        <v/>
      </c>
      <c r="R38" s="533" t="str">
        <f t="shared" si="5"/>
        <v/>
      </c>
      <c r="S38" s="533" t="str">
        <f t="shared" si="6"/>
        <v/>
      </c>
      <c r="T38" s="533" t="str">
        <f t="shared" si="7"/>
        <v/>
      </c>
      <c r="U38" s="514"/>
      <c r="V38" s="514"/>
      <c r="W38" s="514"/>
      <c r="X38" s="514"/>
      <c r="Y38" s="514"/>
      <c r="Z38" s="513"/>
      <c r="AA38" s="513"/>
      <c r="AB38" s="513"/>
      <c r="AC38" s="513"/>
      <c r="AD38" s="514"/>
      <c r="AE38" s="514"/>
      <c r="AF38" s="513"/>
      <c r="AG38" s="302" t="e">
        <f t="shared" si="8"/>
        <v>#DIV/0!</v>
      </c>
      <c r="AH38" s="303" t="e">
        <f>IF(AG38&gt;KKM!$G$10,"A",IF(AG38&gt;KKM!$H$10,"B",IF(AG38&gt;=KKM!$I$10,"C","D")))</f>
        <v>#DIV/0!</v>
      </c>
      <c r="AI38" s="304">
        <f t="shared" si="0"/>
        <v>0</v>
      </c>
      <c r="AJ38" s="309" t="str">
        <f>IF(AI38&gt;KKM!$G$10," sangat baik ",IF(AI38&gt;KKM!$H$10," baik ",IF(AI38&gt;=KKM!$I$10," cukup baik "," perlu bimbingan ")))</f>
        <v xml:space="preserve"> perlu bimbingan </v>
      </c>
      <c r="AK38" s="305">
        <f t="shared" si="1"/>
        <v>0</v>
      </c>
      <c r="AL38" s="309" t="str">
        <f>IF(AK38&gt;KKM!$G$10," sangat baik ",IF(AK38&gt;KKM!$H$10," baik ",IF(AK38&gt;=KKM!$I$10," cukup baik "," perlu bimbingan ")))</f>
        <v xml:space="preserve"> perlu bimbingan </v>
      </c>
      <c r="AM38" s="301" t="str">
        <f t="shared" si="9"/>
        <v xml:space="preserve"> </v>
      </c>
      <c r="AN38" s="218"/>
      <c r="AO38" s="219" t="e">
        <f t="shared" si="2"/>
        <v>#N/A</v>
      </c>
      <c r="AP38" s="219" t="e">
        <f t="shared" si="3"/>
        <v>#N/A</v>
      </c>
      <c r="AQ38" s="219" t="e">
        <f t="shared" si="10"/>
        <v>#N/A</v>
      </c>
      <c r="AR38" s="219" t="e">
        <f t="shared" si="11"/>
        <v>#N/A</v>
      </c>
      <c r="AS38" s="220" t="e">
        <f t="shared" si="12"/>
        <v>#N/A</v>
      </c>
      <c r="AT38" s="214" t="e">
        <f t="shared" si="13"/>
        <v>#N/A</v>
      </c>
      <c r="AU38" s="120"/>
    </row>
    <row r="39" spans="2:47" ht="63" customHeight="1">
      <c r="B39" s="109">
        <v>35</v>
      </c>
      <c r="C39" s="110">
        <f>SISWA!B40</f>
        <v>0</v>
      </c>
      <c r="D39" s="111" t="str">
        <f>SISWA!E40</f>
        <v>Anak 35</v>
      </c>
      <c r="E39" s="520"/>
      <c r="F39" s="520"/>
      <c r="G39" s="520"/>
      <c r="H39" s="520"/>
      <c r="I39" s="520"/>
      <c r="J39" s="520"/>
      <c r="K39" s="520"/>
      <c r="L39" s="520"/>
      <c r="M39" s="520"/>
      <c r="N39" s="520"/>
      <c r="O39" s="520"/>
      <c r="P39" s="520"/>
      <c r="Q39" s="533" t="str">
        <f t="shared" si="4"/>
        <v/>
      </c>
      <c r="R39" s="533" t="str">
        <f t="shared" si="5"/>
        <v/>
      </c>
      <c r="S39" s="533" t="str">
        <f t="shared" si="6"/>
        <v/>
      </c>
      <c r="T39" s="533" t="str">
        <f t="shared" si="7"/>
        <v/>
      </c>
      <c r="U39" s="514"/>
      <c r="V39" s="514"/>
      <c r="W39" s="514"/>
      <c r="X39" s="514"/>
      <c r="Y39" s="514"/>
      <c r="Z39" s="513"/>
      <c r="AA39" s="513"/>
      <c r="AB39" s="513"/>
      <c r="AC39" s="513"/>
      <c r="AD39" s="514"/>
      <c r="AE39" s="514"/>
      <c r="AF39" s="513"/>
      <c r="AG39" s="302" t="e">
        <f t="shared" si="8"/>
        <v>#DIV/0!</v>
      </c>
      <c r="AH39" s="303" t="e">
        <f>IF(AG39&gt;KKM!$G$10,"A",IF(AG39&gt;KKM!$H$10,"B",IF(AG39&gt;=KKM!$I$10,"C","D")))</f>
        <v>#DIV/0!</v>
      </c>
      <c r="AI39" s="304">
        <f t="shared" si="0"/>
        <v>0</v>
      </c>
      <c r="AJ39" s="309" t="str">
        <f>IF(AI39&gt;KKM!$G$10," sangat baik ",IF(AI39&gt;KKM!$H$10," baik ",IF(AI39&gt;=KKM!$I$10," cukup baik "," perlu bimbingan ")))</f>
        <v xml:space="preserve"> perlu bimbingan </v>
      </c>
      <c r="AK39" s="305">
        <f t="shared" si="1"/>
        <v>0</v>
      </c>
      <c r="AL39" s="309" t="str">
        <f>IF(AK39&gt;KKM!$G$10," sangat baik ",IF(AK39&gt;KKM!$H$10," baik ",IF(AK39&gt;=KKM!$I$10," cukup baik "," perlu bimbingan ")))</f>
        <v xml:space="preserve"> perlu bimbingan </v>
      </c>
      <c r="AM39" s="301" t="str">
        <f t="shared" si="9"/>
        <v xml:space="preserve"> </v>
      </c>
      <c r="AN39" s="218"/>
      <c r="AO39" s="219" t="e">
        <f t="shared" si="2"/>
        <v>#N/A</v>
      </c>
      <c r="AP39" s="219" t="e">
        <f t="shared" si="3"/>
        <v>#N/A</v>
      </c>
      <c r="AQ39" s="219" t="e">
        <f t="shared" si="10"/>
        <v>#N/A</v>
      </c>
      <c r="AR39" s="219" t="e">
        <f t="shared" si="11"/>
        <v>#N/A</v>
      </c>
      <c r="AS39" s="220" t="e">
        <f t="shared" si="12"/>
        <v>#N/A</v>
      </c>
      <c r="AT39" s="214" t="e">
        <f t="shared" si="13"/>
        <v>#N/A</v>
      </c>
      <c r="AU39" s="120"/>
    </row>
    <row r="40" spans="2:47" ht="63" customHeight="1">
      <c r="B40" s="109">
        <v>36</v>
      </c>
      <c r="C40" s="110">
        <f>SISWA!B41</f>
        <v>0</v>
      </c>
      <c r="D40" s="111" t="str">
        <f>SISWA!E41</f>
        <v>Anak 36</v>
      </c>
      <c r="E40" s="520"/>
      <c r="F40" s="520"/>
      <c r="G40" s="520"/>
      <c r="H40" s="520"/>
      <c r="I40" s="520"/>
      <c r="J40" s="520"/>
      <c r="K40" s="520"/>
      <c r="L40" s="520"/>
      <c r="M40" s="520"/>
      <c r="N40" s="520"/>
      <c r="O40" s="520"/>
      <c r="P40" s="520"/>
      <c r="Q40" s="533" t="str">
        <f t="shared" si="4"/>
        <v/>
      </c>
      <c r="R40" s="533" t="str">
        <f t="shared" si="5"/>
        <v/>
      </c>
      <c r="S40" s="533" t="str">
        <f t="shared" si="6"/>
        <v/>
      </c>
      <c r="T40" s="533" t="str">
        <f t="shared" si="7"/>
        <v/>
      </c>
      <c r="U40" s="514"/>
      <c r="V40" s="514"/>
      <c r="W40" s="514"/>
      <c r="X40" s="514"/>
      <c r="Y40" s="514"/>
      <c r="Z40" s="513"/>
      <c r="AA40" s="513"/>
      <c r="AB40" s="513"/>
      <c r="AC40" s="513"/>
      <c r="AD40" s="514"/>
      <c r="AE40" s="514"/>
      <c r="AF40" s="513"/>
      <c r="AG40" s="302" t="e">
        <f t="shared" si="8"/>
        <v>#DIV/0!</v>
      </c>
      <c r="AH40" s="303" t="e">
        <f>IF(AG40&gt;KKM!$G$10,"A",IF(AG40&gt;KKM!$H$10,"B",IF(AG40&gt;=KKM!$I$10,"C","D")))</f>
        <v>#DIV/0!</v>
      </c>
      <c r="AI40" s="304">
        <f t="shared" si="0"/>
        <v>0</v>
      </c>
      <c r="AJ40" s="309" t="str">
        <f>IF(AI40&gt;KKM!$G$10," sangat baik ",IF(AI40&gt;KKM!$H$10," baik ",IF(AI40&gt;=KKM!$I$10," cukup baik "," perlu bimbingan ")))</f>
        <v xml:space="preserve"> perlu bimbingan </v>
      </c>
      <c r="AK40" s="305">
        <f t="shared" si="1"/>
        <v>0</v>
      </c>
      <c r="AL40" s="309" t="str">
        <f>IF(AK40&gt;KKM!$G$10," sangat baik ",IF(AK40&gt;KKM!$H$10," baik ",IF(AK40&gt;=KKM!$I$10," cukup baik "," perlu bimbingan ")))</f>
        <v xml:space="preserve"> perlu bimbingan </v>
      </c>
      <c r="AM40" s="301" t="str">
        <f t="shared" si="9"/>
        <v xml:space="preserve"> </v>
      </c>
      <c r="AN40" s="218"/>
      <c r="AO40" s="219" t="e">
        <f t="shared" si="2"/>
        <v>#N/A</v>
      </c>
      <c r="AP40" s="219" t="e">
        <f t="shared" si="3"/>
        <v>#N/A</v>
      </c>
      <c r="AQ40" s="219" t="e">
        <f t="shared" si="10"/>
        <v>#N/A</v>
      </c>
      <c r="AR40" s="219" t="e">
        <f t="shared" si="11"/>
        <v>#N/A</v>
      </c>
      <c r="AS40" s="220" t="e">
        <f t="shared" si="12"/>
        <v>#N/A</v>
      </c>
      <c r="AT40" s="214" t="e">
        <f t="shared" si="13"/>
        <v>#N/A</v>
      </c>
      <c r="AU40" s="120"/>
    </row>
    <row r="41" spans="2:47" ht="63" customHeight="1">
      <c r="B41" s="109">
        <v>37</v>
      </c>
      <c r="C41" s="110">
        <f>SISWA!B42</f>
        <v>0</v>
      </c>
      <c r="D41" s="111" t="str">
        <f>SISWA!E42</f>
        <v>Anak 37</v>
      </c>
      <c r="E41" s="520"/>
      <c r="F41" s="520"/>
      <c r="G41" s="520"/>
      <c r="H41" s="520"/>
      <c r="I41" s="520"/>
      <c r="J41" s="520"/>
      <c r="K41" s="520"/>
      <c r="L41" s="520"/>
      <c r="M41" s="520"/>
      <c r="N41" s="520"/>
      <c r="O41" s="520"/>
      <c r="P41" s="520"/>
      <c r="Q41" s="533" t="str">
        <f t="shared" si="4"/>
        <v/>
      </c>
      <c r="R41" s="533" t="str">
        <f t="shared" si="5"/>
        <v/>
      </c>
      <c r="S41" s="533" t="str">
        <f t="shared" si="6"/>
        <v/>
      </c>
      <c r="T41" s="533" t="str">
        <f t="shared" si="7"/>
        <v/>
      </c>
      <c r="U41" s="514"/>
      <c r="V41" s="514"/>
      <c r="W41" s="514"/>
      <c r="X41" s="514"/>
      <c r="Y41" s="514"/>
      <c r="Z41" s="513"/>
      <c r="AA41" s="513"/>
      <c r="AB41" s="513"/>
      <c r="AC41" s="513"/>
      <c r="AD41" s="514"/>
      <c r="AE41" s="514"/>
      <c r="AF41" s="513"/>
      <c r="AG41" s="302" t="e">
        <f t="shared" si="8"/>
        <v>#DIV/0!</v>
      </c>
      <c r="AH41" s="303" t="e">
        <f>IF(AG41&gt;KKM!$G$10,"A",IF(AG41&gt;KKM!$H$10,"B",IF(AG41&gt;=KKM!$I$10,"C","D")))</f>
        <v>#DIV/0!</v>
      </c>
      <c r="AI41" s="304">
        <f t="shared" si="0"/>
        <v>0</v>
      </c>
      <c r="AJ41" s="309" t="str">
        <f>IF(AI41&gt;KKM!$G$10," sangat baik ",IF(AI41&gt;KKM!$H$10," baik ",IF(AI41&gt;=KKM!$I$10," cukup baik "," perlu bimbingan ")))</f>
        <v xml:space="preserve"> perlu bimbingan </v>
      </c>
      <c r="AK41" s="305">
        <f t="shared" si="1"/>
        <v>0</v>
      </c>
      <c r="AL41" s="309" t="str">
        <f>IF(AK41&gt;KKM!$G$10," sangat baik ",IF(AK41&gt;KKM!$H$10," baik ",IF(AK41&gt;=KKM!$I$10," cukup baik "," perlu bimbingan ")))</f>
        <v xml:space="preserve"> perlu bimbingan </v>
      </c>
      <c r="AM41" s="301" t="str">
        <f t="shared" si="9"/>
        <v xml:space="preserve"> </v>
      </c>
      <c r="AN41" s="218"/>
      <c r="AO41" s="219" t="e">
        <f t="shared" si="2"/>
        <v>#N/A</v>
      </c>
      <c r="AP41" s="219" t="e">
        <f t="shared" si="3"/>
        <v>#N/A</v>
      </c>
      <c r="AQ41" s="219" t="e">
        <f t="shared" si="10"/>
        <v>#N/A</v>
      </c>
      <c r="AR41" s="219" t="e">
        <f t="shared" si="11"/>
        <v>#N/A</v>
      </c>
      <c r="AS41" s="220" t="e">
        <f t="shared" si="12"/>
        <v>#N/A</v>
      </c>
      <c r="AT41" s="214" t="e">
        <f t="shared" si="13"/>
        <v>#N/A</v>
      </c>
      <c r="AU41" s="120"/>
    </row>
    <row r="42" spans="2:47" ht="63" customHeight="1">
      <c r="B42" s="109">
        <v>38</v>
      </c>
      <c r="C42" s="110">
        <f>SISWA!B43</f>
        <v>0</v>
      </c>
      <c r="D42" s="111" t="str">
        <f>SISWA!E43</f>
        <v>Anak 38</v>
      </c>
      <c r="E42" s="520"/>
      <c r="F42" s="520"/>
      <c r="G42" s="520"/>
      <c r="H42" s="520"/>
      <c r="I42" s="520"/>
      <c r="J42" s="520"/>
      <c r="K42" s="520"/>
      <c r="L42" s="520"/>
      <c r="M42" s="520"/>
      <c r="N42" s="520"/>
      <c r="O42" s="520"/>
      <c r="P42" s="520"/>
      <c r="Q42" s="533" t="str">
        <f t="shared" si="4"/>
        <v/>
      </c>
      <c r="R42" s="533" t="str">
        <f t="shared" si="5"/>
        <v/>
      </c>
      <c r="S42" s="533" t="str">
        <f t="shared" si="6"/>
        <v/>
      </c>
      <c r="T42" s="533" t="str">
        <f t="shared" si="7"/>
        <v/>
      </c>
      <c r="U42" s="514"/>
      <c r="V42" s="514"/>
      <c r="W42" s="514"/>
      <c r="X42" s="514"/>
      <c r="Y42" s="514"/>
      <c r="Z42" s="513"/>
      <c r="AA42" s="513"/>
      <c r="AB42" s="513"/>
      <c r="AC42" s="513"/>
      <c r="AD42" s="514"/>
      <c r="AE42" s="514"/>
      <c r="AF42" s="513"/>
      <c r="AG42" s="302" t="e">
        <f t="shared" si="8"/>
        <v>#DIV/0!</v>
      </c>
      <c r="AH42" s="303" t="e">
        <f>IF(AG42&gt;KKM!$G$10,"A",IF(AG42&gt;KKM!$H$10,"B",IF(AG42&gt;=KKM!$I$10,"C","D")))</f>
        <v>#DIV/0!</v>
      </c>
      <c r="AI42" s="304">
        <f t="shared" si="0"/>
        <v>0</v>
      </c>
      <c r="AJ42" s="309" t="str">
        <f>IF(AI42&gt;KKM!$G$10," sangat baik ",IF(AI42&gt;KKM!$H$10," baik ",IF(AI42&gt;=KKM!$I$10," cukup baik "," perlu bimbingan ")))</f>
        <v xml:space="preserve"> perlu bimbingan </v>
      </c>
      <c r="AK42" s="305">
        <f t="shared" si="1"/>
        <v>0</v>
      </c>
      <c r="AL42" s="309" t="str">
        <f>IF(AK42&gt;KKM!$G$10," sangat baik ",IF(AK42&gt;KKM!$H$10," baik ",IF(AK42&gt;=KKM!$I$10," cukup baik "," perlu bimbingan ")))</f>
        <v xml:space="preserve"> perlu bimbingan </v>
      </c>
      <c r="AM42" s="301" t="str">
        <f t="shared" si="9"/>
        <v xml:space="preserve"> </v>
      </c>
      <c r="AN42" s="218"/>
      <c r="AO42" s="219" t="e">
        <f t="shared" si="2"/>
        <v>#N/A</v>
      </c>
      <c r="AP42" s="219" t="e">
        <f t="shared" si="3"/>
        <v>#N/A</v>
      </c>
      <c r="AQ42" s="219" t="e">
        <f t="shared" si="10"/>
        <v>#N/A</v>
      </c>
      <c r="AR42" s="219" t="e">
        <f t="shared" si="11"/>
        <v>#N/A</v>
      </c>
      <c r="AS42" s="220" t="e">
        <f t="shared" si="12"/>
        <v>#N/A</v>
      </c>
      <c r="AT42" s="214" t="e">
        <f t="shared" si="13"/>
        <v>#N/A</v>
      </c>
      <c r="AU42" s="120"/>
    </row>
    <row r="43" spans="2:47" ht="63" customHeight="1">
      <c r="B43" s="109">
        <v>39</v>
      </c>
      <c r="C43" s="110">
        <f>SISWA!B44</f>
        <v>0</v>
      </c>
      <c r="D43" s="111" t="str">
        <f>SISWA!E44</f>
        <v>Anak 39</v>
      </c>
      <c r="E43" s="520"/>
      <c r="F43" s="520"/>
      <c r="G43" s="520"/>
      <c r="H43" s="520"/>
      <c r="I43" s="520"/>
      <c r="J43" s="520"/>
      <c r="K43" s="520"/>
      <c r="L43" s="520"/>
      <c r="M43" s="520"/>
      <c r="N43" s="520"/>
      <c r="O43" s="520"/>
      <c r="P43" s="520"/>
      <c r="Q43" s="533" t="str">
        <f t="shared" si="4"/>
        <v/>
      </c>
      <c r="R43" s="533" t="str">
        <f t="shared" si="5"/>
        <v/>
      </c>
      <c r="S43" s="533" t="str">
        <f t="shared" si="6"/>
        <v/>
      </c>
      <c r="T43" s="533" t="str">
        <f t="shared" si="7"/>
        <v/>
      </c>
      <c r="U43" s="514"/>
      <c r="V43" s="514"/>
      <c r="W43" s="514"/>
      <c r="X43" s="514"/>
      <c r="Y43" s="514"/>
      <c r="Z43" s="513"/>
      <c r="AA43" s="513"/>
      <c r="AB43" s="513"/>
      <c r="AC43" s="513"/>
      <c r="AD43" s="514"/>
      <c r="AE43" s="514"/>
      <c r="AF43" s="513"/>
      <c r="AG43" s="302" t="e">
        <f t="shared" si="8"/>
        <v>#DIV/0!</v>
      </c>
      <c r="AH43" s="303" t="e">
        <f>IF(AG43&gt;KKM!$G$10,"A",IF(AG43&gt;KKM!$H$10,"B",IF(AG43&gt;=KKM!$I$10,"C","D")))</f>
        <v>#DIV/0!</v>
      </c>
      <c r="AI43" s="304">
        <f t="shared" si="0"/>
        <v>0</v>
      </c>
      <c r="AJ43" s="309" t="str">
        <f>IF(AI43&gt;KKM!$G$10," sangat baik ",IF(AI43&gt;KKM!$H$10," baik ",IF(AI43&gt;=KKM!$I$10," cukup baik "," perlu bimbingan ")))</f>
        <v xml:space="preserve"> perlu bimbingan </v>
      </c>
      <c r="AK43" s="305">
        <f t="shared" si="1"/>
        <v>0</v>
      </c>
      <c r="AL43" s="309" t="str">
        <f>IF(AK43&gt;KKM!$G$10," sangat baik ",IF(AK43&gt;KKM!$H$10," baik ",IF(AK43&gt;=KKM!$I$10," cukup baik "," perlu bimbingan ")))</f>
        <v xml:space="preserve"> perlu bimbingan </v>
      </c>
      <c r="AM43" s="301" t="str">
        <f t="shared" si="9"/>
        <v xml:space="preserve"> </v>
      </c>
      <c r="AN43" s="218"/>
      <c r="AO43" s="219" t="e">
        <f t="shared" si="2"/>
        <v>#N/A</v>
      </c>
      <c r="AP43" s="219" t="e">
        <f t="shared" si="3"/>
        <v>#N/A</v>
      </c>
      <c r="AQ43" s="219" t="e">
        <f t="shared" si="10"/>
        <v>#N/A</v>
      </c>
      <c r="AR43" s="219" t="e">
        <f t="shared" si="11"/>
        <v>#N/A</v>
      </c>
      <c r="AS43" s="220" t="e">
        <f t="shared" si="12"/>
        <v>#N/A</v>
      </c>
      <c r="AT43" s="214" t="e">
        <f t="shared" si="13"/>
        <v>#N/A</v>
      </c>
      <c r="AU43" s="120"/>
    </row>
    <row r="44" spans="2:47" ht="63" customHeight="1">
      <c r="B44" s="109">
        <v>40</v>
      </c>
      <c r="C44" s="110">
        <f>SISWA!B45</f>
        <v>0</v>
      </c>
      <c r="D44" s="111" t="str">
        <f>SISWA!E45</f>
        <v>Anak 40</v>
      </c>
      <c r="E44" s="520"/>
      <c r="F44" s="520"/>
      <c r="G44" s="520"/>
      <c r="H44" s="520"/>
      <c r="I44" s="520"/>
      <c r="J44" s="520"/>
      <c r="K44" s="520"/>
      <c r="L44" s="520"/>
      <c r="M44" s="520"/>
      <c r="N44" s="520"/>
      <c r="O44" s="520"/>
      <c r="P44" s="520"/>
      <c r="Q44" s="533" t="str">
        <f t="shared" si="4"/>
        <v/>
      </c>
      <c r="R44" s="533" t="str">
        <f t="shared" si="5"/>
        <v/>
      </c>
      <c r="S44" s="533" t="str">
        <f t="shared" si="6"/>
        <v/>
      </c>
      <c r="T44" s="533" t="str">
        <f t="shared" si="7"/>
        <v/>
      </c>
      <c r="U44" s="514"/>
      <c r="V44" s="514"/>
      <c r="W44" s="514"/>
      <c r="X44" s="514"/>
      <c r="Y44" s="514"/>
      <c r="Z44" s="513"/>
      <c r="AA44" s="513"/>
      <c r="AB44" s="513"/>
      <c r="AC44" s="513"/>
      <c r="AD44" s="514"/>
      <c r="AE44" s="514"/>
      <c r="AF44" s="513"/>
      <c r="AG44" s="302" t="e">
        <f t="shared" si="8"/>
        <v>#DIV/0!</v>
      </c>
      <c r="AH44" s="303" t="e">
        <f>IF(AG44&gt;KKM!$G$10,"A",IF(AG44&gt;KKM!$H$10,"B",IF(AG44&gt;=KKM!$I$10,"C","D")))</f>
        <v>#DIV/0!</v>
      </c>
      <c r="AI44" s="304">
        <f t="shared" si="0"/>
        <v>0</v>
      </c>
      <c r="AJ44" s="309" t="str">
        <f>IF(AI44&gt;KKM!$G$10," sangat baik ",IF(AI44&gt;KKM!$H$10," baik ",IF(AI44&gt;=KKM!$I$10," cukup baik "," perlu bimbingan ")))</f>
        <v xml:space="preserve"> perlu bimbingan </v>
      </c>
      <c r="AK44" s="305">
        <f t="shared" si="1"/>
        <v>0</v>
      </c>
      <c r="AL44" s="309" t="str">
        <f>IF(AK44&gt;KKM!$G$10," sangat baik ",IF(AK44&gt;KKM!$H$10," baik ",IF(AK44&gt;=KKM!$I$10," cukup baik "," perlu bimbingan ")))</f>
        <v xml:space="preserve"> perlu bimbingan </v>
      </c>
      <c r="AM44" s="301" t="str">
        <f t="shared" si="9"/>
        <v xml:space="preserve"> </v>
      </c>
      <c r="AN44" s="218"/>
      <c r="AO44" s="219" t="e">
        <f t="shared" si="2"/>
        <v>#N/A</v>
      </c>
      <c r="AP44" s="219" t="e">
        <f t="shared" si="3"/>
        <v>#N/A</v>
      </c>
      <c r="AQ44" s="219" t="e">
        <f t="shared" si="10"/>
        <v>#N/A</v>
      </c>
      <c r="AR44" s="219" t="e">
        <f t="shared" si="11"/>
        <v>#N/A</v>
      </c>
      <c r="AS44" s="220" t="e">
        <f t="shared" si="12"/>
        <v>#N/A</v>
      </c>
      <c r="AT44" s="214" t="e">
        <f t="shared" si="13"/>
        <v>#N/A</v>
      </c>
      <c r="AU44" s="120"/>
    </row>
    <row r="45" spans="2:47" ht="63" customHeight="1">
      <c r="B45" s="109">
        <v>41</v>
      </c>
      <c r="C45" s="110">
        <f>SISWA!B46</f>
        <v>0</v>
      </c>
      <c r="D45" s="111" t="str">
        <f>SISWA!E46</f>
        <v>Anak 41</v>
      </c>
      <c r="E45" s="520"/>
      <c r="F45" s="520"/>
      <c r="G45" s="520"/>
      <c r="H45" s="520"/>
      <c r="I45" s="520"/>
      <c r="J45" s="520"/>
      <c r="K45" s="520"/>
      <c r="L45" s="520"/>
      <c r="M45" s="520"/>
      <c r="N45" s="520"/>
      <c r="O45" s="520"/>
      <c r="P45" s="520"/>
      <c r="Q45" s="533" t="str">
        <f t="shared" si="4"/>
        <v/>
      </c>
      <c r="R45" s="533" t="str">
        <f t="shared" si="5"/>
        <v/>
      </c>
      <c r="S45" s="533" t="str">
        <f t="shared" si="6"/>
        <v/>
      </c>
      <c r="T45" s="533" t="str">
        <f t="shared" si="7"/>
        <v/>
      </c>
      <c r="U45" s="514"/>
      <c r="V45" s="514"/>
      <c r="W45" s="514"/>
      <c r="X45" s="514"/>
      <c r="Y45" s="514"/>
      <c r="Z45" s="513"/>
      <c r="AA45" s="513"/>
      <c r="AB45" s="513"/>
      <c r="AC45" s="513"/>
      <c r="AD45" s="514"/>
      <c r="AE45" s="514"/>
      <c r="AF45" s="513"/>
      <c r="AG45" s="302" t="e">
        <f t="shared" si="8"/>
        <v>#DIV/0!</v>
      </c>
      <c r="AH45" s="303" t="e">
        <f>IF(AG45&gt;KKM!$G$10,"A",IF(AG45&gt;KKM!$H$10,"B",IF(AG45&gt;=KKM!$I$10,"C","D")))</f>
        <v>#DIV/0!</v>
      </c>
      <c r="AI45" s="304">
        <f t="shared" si="0"/>
        <v>0</v>
      </c>
      <c r="AJ45" s="309" t="str">
        <f>IF(AI45&gt;KKM!$G$10," sangat baik ",IF(AI45&gt;KKM!$H$10," baik ",IF(AI45&gt;=KKM!$I$10," cukup baik "," perlu bimbingan ")))</f>
        <v xml:space="preserve"> perlu bimbingan </v>
      </c>
      <c r="AK45" s="305">
        <f t="shared" si="1"/>
        <v>0</v>
      </c>
      <c r="AL45" s="309" t="str">
        <f>IF(AK45&gt;KKM!$G$10," sangat baik ",IF(AK45&gt;KKM!$H$10," baik ",IF(AK45&gt;=KKM!$I$10," cukup baik "," perlu bimbingan ")))</f>
        <v xml:space="preserve"> perlu bimbingan </v>
      </c>
      <c r="AM45" s="301" t="str">
        <f t="shared" si="9"/>
        <v xml:space="preserve"> </v>
      </c>
      <c r="AN45" s="218"/>
      <c r="AO45" s="219" t="e">
        <f t="shared" si="2"/>
        <v>#N/A</v>
      </c>
      <c r="AP45" s="219" t="e">
        <f t="shared" si="3"/>
        <v>#N/A</v>
      </c>
      <c r="AQ45" s="219" t="e">
        <f t="shared" si="10"/>
        <v>#N/A</v>
      </c>
      <c r="AR45" s="219" t="e">
        <f t="shared" si="11"/>
        <v>#N/A</v>
      </c>
      <c r="AS45" s="220" t="e">
        <f t="shared" si="12"/>
        <v>#N/A</v>
      </c>
      <c r="AT45" s="214" t="e">
        <f t="shared" si="13"/>
        <v>#N/A</v>
      </c>
      <c r="AU45" s="120"/>
    </row>
    <row r="46" spans="2:47" ht="63" customHeight="1">
      <c r="B46" s="109">
        <v>42</v>
      </c>
      <c r="C46" s="110">
        <f>SISWA!B47</f>
        <v>0</v>
      </c>
      <c r="D46" s="111" t="str">
        <f>SISWA!E47</f>
        <v>Anak 42</v>
      </c>
      <c r="E46" s="520"/>
      <c r="F46" s="520"/>
      <c r="G46" s="520"/>
      <c r="H46" s="520"/>
      <c r="I46" s="520"/>
      <c r="J46" s="520"/>
      <c r="K46" s="520"/>
      <c r="L46" s="520"/>
      <c r="M46" s="520"/>
      <c r="N46" s="520"/>
      <c r="O46" s="520"/>
      <c r="P46" s="520"/>
      <c r="Q46" s="533" t="str">
        <f t="shared" si="4"/>
        <v/>
      </c>
      <c r="R46" s="533" t="str">
        <f t="shared" si="5"/>
        <v/>
      </c>
      <c r="S46" s="533" t="str">
        <f t="shared" si="6"/>
        <v/>
      </c>
      <c r="T46" s="533" t="str">
        <f t="shared" si="7"/>
        <v/>
      </c>
      <c r="U46" s="514"/>
      <c r="V46" s="514"/>
      <c r="W46" s="514"/>
      <c r="X46" s="514"/>
      <c r="Y46" s="514"/>
      <c r="Z46" s="513"/>
      <c r="AA46" s="513"/>
      <c r="AB46" s="513"/>
      <c r="AC46" s="513"/>
      <c r="AD46" s="514"/>
      <c r="AE46" s="514"/>
      <c r="AF46" s="513"/>
      <c r="AG46" s="302" t="e">
        <f t="shared" si="8"/>
        <v>#DIV/0!</v>
      </c>
      <c r="AH46" s="303" t="e">
        <f>IF(AG46&gt;KKM!$G$10,"A",IF(AG46&gt;KKM!$H$10,"B",IF(AG46&gt;=KKM!$I$10,"C","D")))</f>
        <v>#DIV/0!</v>
      </c>
      <c r="AI46" s="304">
        <f t="shared" si="0"/>
        <v>0</v>
      </c>
      <c r="AJ46" s="309" t="str">
        <f>IF(AI46&gt;KKM!$G$10," sangat baik ",IF(AI46&gt;KKM!$H$10," baik ",IF(AI46&gt;=KKM!$I$10," cukup baik "," perlu bimbingan ")))</f>
        <v xml:space="preserve"> perlu bimbingan </v>
      </c>
      <c r="AK46" s="305">
        <f t="shared" si="1"/>
        <v>0</v>
      </c>
      <c r="AL46" s="309" t="str">
        <f>IF(AK46&gt;KKM!$G$10," sangat baik ",IF(AK46&gt;KKM!$H$10," baik ",IF(AK46&gt;=KKM!$I$10," cukup baik "," perlu bimbingan ")))</f>
        <v xml:space="preserve"> perlu bimbingan </v>
      </c>
      <c r="AM46" s="301" t="str">
        <f t="shared" si="9"/>
        <v xml:space="preserve"> </v>
      </c>
      <c r="AN46" s="218"/>
      <c r="AO46" s="219" t="e">
        <f t="shared" si="2"/>
        <v>#N/A</v>
      </c>
      <c r="AP46" s="219" t="e">
        <f t="shared" si="3"/>
        <v>#N/A</v>
      </c>
      <c r="AQ46" s="219" t="e">
        <f t="shared" si="10"/>
        <v>#N/A</v>
      </c>
      <c r="AR46" s="219" t="e">
        <f t="shared" si="11"/>
        <v>#N/A</v>
      </c>
      <c r="AS46" s="220" t="e">
        <f t="shared" si="12"/>
        <v>#N/A</v>
      </c>
      <c r="AT46" s="214" t="e">
        <f t="shared" si="13"/>
        <v>#N/A</v>
      </c>
      <c r="AU46" s="120"/>
    </row>
    <row r="47" spans="2:47" ht="63" customHeight="1">
      <c r="B47" s="109">
        <v>43</v>
      </c>
      <c r="C47" s="110">
        <f>SISWA!B48</f>
        <v>0</v>
      </c>
      <c r="D47" s="111" t="str">
        <f>SISWA!E48</f>
        <v>Anak 43</v>
      </c>
      <c r="E47" s="520"/>
      <c r="F47" s="520"/>
      <c r="G47" s="520"/>
      <c r="H47" s="520"/>
      <c r="I47" s="520"/>
      <c r="J47" s="520"/>
      <c r="K47" s="520"/>
      <c r="L47" s="520"/>
      <c r="M47" s="520"/>
      <c r="N47" s="520"/>
      <c r="O47" s="520"/>
      <c r="P47" s="520"/>
      <c r="Q47" s="533" t="str">
        <f t="shared" si="4"/>
        <v/>
      </c>
      <c r="R47" s="533" t="str">
        <f t="shared" si="5"/>
        <v/>
      </c>
      <c r="S47" s="533" t="str">
        <f t="shared" si="6"/>
        <v/>
      </c>
      <c r="T47" s="533" t="str">
        <f t="shared" si="7"/>
        <v/>
      </c>
      <c r="U47" s="514"/>
      <c r="V47" s="514"/>
      <c r="W47" s="514"/>
      <c r="X47" s="514"/>
      <c r="Y47" s="514"/>
      <c r="Z47" s="513"/>
      <c r="AA47" s="513"/>
      <c r="AB47" s="513"/>
      <c r="AC47" s="513"/>
      <c r="AD47" s="514"/>
      <c r="AE47" s="514"/>
      <c r="AF47" s="513"/>
      <c r="AG47" s="302" t="e">
        <f t="shared" si="8"/>
        <v>#DIV/0!</v>
      </c>
      <c r="AH47" s="303" t="e">
        <f>IF(AG47&gt;KKM!$G$10,"A",IF(AG47&gt;KKM!$H$10,"B",IF(AG47&gt;=KKM!$I$10,"C","D")))</f>
        <v>#DIV/0!</v>
      </c>
      <c r="AI47" s="304">
        <f t="shared" si="0"/>
        <v>0</v>
      </c>
      <c r="AJ47" s="309" t="str">
        <f>IF(AI47&gt;KKM!$G$10," sangat baik ",IF(AI47&gt;KKM!$H$10," baik ",IF(AI47&gt;=KKM!$I$10," cukup baik "," perlu bimbingan ")))</f>
        <v xml:space="preserve"> perlu bimbingan </v>
      </c>
      <c r="AK47" s="305">
        <f t="shared" si="1"/>
        <v>0</v>
      </c>
      <c r="AL47" s="309" t="str">
        <f>IF(AK47&gt;KKM!$G$10," sangat baik ",IF(AK47&gt;KKM!$H$10," baik ",IF(AK47&gt;=KKM!$I$10," cukup baik "," perlu bimbingan ")))</f>
        <v xml:space="preserve"> perlu bimbingan </v>
      </c>
      <c r="AM47" s="301" t="str">
        <f t="shared" si="9"/>
        <v xml:space="preserve"> </v>
      </c>
      <c r="AN47" s="218"/>
      <c r="AO47" s="219" t="e">
        <f t="shared" si="2"/>
        <v>#N/A</v>
      </c>
      <c r="AP47" s="219" t="e">
        <f t="shared" si="3"/>
        <v>#N/A</v>
      </c>
      <c r="AQ47" s="219" t="e">
        <f t="shared" si="10"/>
        <v>#N/A</v>
      </c>
      <c r="AR47" s="219" t="e">
        <f t="shared" si="11"/>
        <v>#N/A</v>
      </c>
      <c r="AS47" s="220" t="e">
        <f t="shared" si="12"/>
        <v>#N/A</v>
      </c>
      <c r="AT47" s="214" t="e">
        <f t="shared" si="13"/>
        <v>#N/A</v>
      </c>
      <c r="AU47" s="120"/>
    </row>
    <row r="48" spans="2:47" ht="63" customHeight="1">
      <c r="B48" s="109">
        <v>44</v>
      </c>
      <c r="C48" s="110">
        <f>SISWA!B49</f>
        <v>0</v>
      </c>
      <c r="D48" s="111" t="str">
        <f>SISWA!E49</f>
        <v>Anak 44</v>
      </c>
      <c r="E48" s="520"/>
      <c r="F48" s="520"/>
      <c r="G48" s="520"/>
      <c r="H48" s="520"/>
      <c r="I48" s="520"/>
      <c r="J48" s="520"/>
      <c r="K48" s="520"/>
      <c r="L48" s="520"/>
      <c r="M48" s="520"/>
      <c r="N48" s="520"/>
      <c r="O48" s="520"/>
      <c r="P48" s="520"/>
      <c r="Q48" s="533" t="str">
        <f t="shared" si="4"/>
        <v/>
      </c>
      <c r="R48" s="533" t="str">
        <f t="shared" si="5"/>
        <v/>
      </c>
      <c r="S48" s="533" t="str">
        <f t="shared" si="6"/>
        <v/>
      </c>
      <c r="T48" s="533" t="str">
        <f t="shared" si="7"/>
        <v/>
      </c>
      <c r="U48" s="514"/>
      <c r="V48" s="514"/>
      <c r="W48" s="514"/>
      <c r="X48" s="514"/>
      <c r="Y48" s="514"/>
      <c r="Z48" s="513"/>
      <c r="AA48" s="513"/>
      <c r="AB48" s="513"/>
      <c r="AC48" s="513"/>
      <c r="AD48" s="514"/>
      <c r="AE48" s="514"/>
      <c r="AF48" s="513"/>
      <c r="AG48" s="302" t="e">
        <f t="shared" si="8"/>
        <v>#DIV/0!</v>
      </c>
      <c r="AH48" s="303" t="e">
        <f>IF(AG48&gt;KKM!$G$10,"A",IF(AG48&gt;KKM!$H$10,"B",IF(AG48&gt;=KKM!$I$10,"C","D")))</f>
        <v>#DIV/0!</v>
      </c>
      <c r="AI48" s="304">
        <f t="shared" si="0"/>
        <v>0</v>
      </c>
      <c r="AJ48" s="309" t="str">
        <f>IF(AI48&gt;KKM!$G$10," sangat baik ",IF(AI48&gt;KKM!$H$10," baik ",IF(AI48&gt;=KKM!$I$10," cukup baik "," perlu bimbingan ")))</f>
        <v xml:space="preserve"> perlu bimbingan </v>
      </c>
      <c r="AK48" s="305">
        <f t="shared" si="1"/>
        <v>0</v>
      </c>
      <c r="AL48" s="309" t="str">
        <f>IF(AK48&gt;KKM!$G$10," sangat baik ",IF(AK48&gt;KKM!$H$10," baik ",IF(AK48&gt;=KKM!$I$10," cukup baik "," perlu bimbingan ")))</f>
        <v xml:space="preserve"> perlu bimbingan </v>
      </c>
      <c r="AM48" s="301" t="str">
        <f t="shared" si="9"/>
        <v xml:space="preserve"> </v>
      </c>
      <c r="AN48" s="218"/>
      <c r="AO48" s="219" t="e">
        <f t="shared" si="2"/>
        <v>#N/A</v>
      </c>
      <c r="AP48" s="219" t="e">
        <f t="shared" si="3"/>
        <v>#N/A</v>
      </c>
      <c r="AQ48" s="219" t="e">
        <f t="shared" si="10"/>
        <v>#N/A</v>
      </c>
      <c r="AR48" s="219" t="e">
        <f t="shared" si="11"/>
        <v>#N/A</v>
      </c>
      <c r="AS48" s="220" t="e">
        <f t="shared" si="12"/>
        <v>#N/A</v>
      </c>
      <c r="AT48" s="214" t="e">
        <f t="shared" si="13"/>
        <v>#N/A</v>
      </c>
      <c r="AU48" s="120"/>
    </row>
    <row r="49" spans="2:47" ht="63" customHeight="1">
      <c r="B49" s="109">
        <v>45</v>
      </c>
      <c r="C49" s="110">
        <f>SISWA!B50</f>
        <v>0</v>
      </c>
      <c r="D49" s="111" t="str">
        <f>SISWA!E50</f>
        <v>Anak 45</v>
      </c>
      <c r="E49" s="520"/>
      <c r="F49" s="520"/>
      <c r="G49" s="520"/>
      <c r="H49" s="520"/>
      <c r="I49" s="520"/>
      <c r="J49" s="520"/>
      <c r="K49" s="520"/>
      <c r="L49" s="520"/>
      <c r="M49" s="520"/>
      <c r="N49" s="520"/>
      <c r="O49" s="520"/>
      <c r="P49" s="520"/>
      <c r="Q49" s="533" t="str">
        <f t="shared" si="4"/>
        <v/>
      </c>
      <c r="R49" s="533" t="str">
        <f t="shared" si="5"/>
        <v/>
      </c>
      <c r="S49" s="533" t="str">
        <f t="shared" si="6"/>
        <v/>
      </c>
      <c r="T49" s="533" t="str">
        <f t="shared" si="7"/>
        <v/>
      </c>
      <c r="U49" s="514"/>
      <c r="V49" s="514"/>
      <c r="W49" s="514"/>
      <c r="X49" s="514"/>
      <c r="Y49" s="514"/>
      <c r="Z49" s="513"/>
      <c r="AA49" s="513"/>
      <c r="AB49" s="513"/>
      <c r="AC49" s="513"/>
      <c r="AD49" s="514"/>
      <c r="AE49" s="514"/>
      <c r="AF49" s="513"/>
      <c r="AG49" s="302" t="e">
        <f t="shared" si="8"/>
        <v>#DIV/0!</v>
      </c>
      <c r="AH49" s="303" t="e">
        <f>IF(AG49&gt;KKM!$G$10,"A",IF(AG49&gt;KKM!$H$10,"B",IF(AG49&gt;=KKM!$I$10,"C","D")))</f>
        <v>#DIV/0!</v>
      </c>
      <c r="AI49" s="304">
        <f t="shared" si="0"/>
        <v>0</v>
      </c>
      <c r="AJ49" s="309" t="str">
        <f>IF(AI49&gt;KKM!$G$10," sangat baik ",IF(AI49&gt;KKM!$H$10," baik ",IF(AI49&gt;=KKM!$I$10," cukup baik "," perlu bimbingan ")))</f>
        <v xml:space="preserve"> perlu bimbingan </v>
      </c>
      <c r="AK49" s="305">
        <f t="shared" si="1"/>
        <v>0</v>
      </c>
      <c r="AL49" s="309" t="str">
        <f>IF(AK49&gt;KKM!$G$10," sangat baik ",IF(AK49&gt;KKM!$H$10," baik ",IF(AK49&gt;=KKM!$I$10," cukup baik "," perlu bimbingan ")))</f>
        <v xml:space="preserve"> perlu bimbingan </v>
      </c>
      <c r="AM49" s="301" t="str">
        <f t="shared" si="9"/>
        <v xml:space="preserve"> </v>
      </c>
      <c r="AN49" s="218"/>
      <c r="AO49" s="219" t="e">
        <f t="shared" si="2"/>
        <v>#N/A</v>
      </c>
      <c r="AP49" s="219" t="e">
        <f t="shared" si="3"/>
        <v>#N/A</v>
      </c>
      <c r="AQ49" s="219" t="e">
        <f t="shared" si="10"/>
        <v>#N/A</v>
      </c>
      <c r="AR49" s="219" t="e">
        <f t="shared" si="11"/>
        <v>#N/A</v>
      </c>
      <c r="AS49" s="220" t="e">
        <f t="shared" si="12"/>
        <v>#N/A</v>
      </c>
      <c r="AT49" s="214" t="e">
        <f t="shared" si="13"/>
        <v>#N/A</v>
      </c>
      <c r="AU49" s="120"/>
    </row>
    <row r="50" spans="2:47" ht="63" customHeight="1">
      <c r="B50" s="109">
        <v>46</v>
      </c>
      <c r="C50" s="110">
        <f>SISWA!B51</f>
        <v>0</v>
      </c>
      <c r="D50" s="111" t="str">
        <f>SISWA!E51</f>
        <v>Anak 46</v>
      </c>
      <c r="E50" s="520"/>
      <c r="F50" s="520"/>
      <c r="G50" s="520"/>
      <c r="H50" s="520"/>
      <c r="I50" s="520"/>
      <c r="J50" s="520"/>
      <c r="K50" s="520"/>
      <c r="L50" s="520"/>
      <c r="M50" s="520"/>
      <c r="N50" s="520"/>
      <c r="O50" s="520"/>
      <c r="P50" s="520"/>
      <c r="Q50" s="533" t="str">
        <f t="shared" si="4"/>
        <v/>
      </c>
      <c r="R50" s="533" t="str">
        <f t="shared" si="5"/>
        <v/>
      </c>
      <c r="S50" s="533" t="str">
        <f t="shared" si="6"/>
        <v/>
      </c>
      <c r="T50" s="533" t="str">
        <f t="shared" si="7"/>
        <v/>
      </c>
      <c r="U50" s="514"/>
      <c r="V50" s="514"/>
      <c r="W50" s="514"/>
      <c r="X50" s="514"/>
      <c r="Y50" s="514"/>
      <c r="Z50" s="513"/>
      <c r="AA50" s="513"/>
      <c r="AB50" s="513"/>
      <c r="AC50" s="513"/>
      <c r="AD50" s="514"/>
      <c r="AE50" s="514"/>
      <c r="AF50" s="513"/>
      <c r="AG50" s="302" t="e">
        <f t="shared" si="8"/>
        <v>#DIV/0!</v>
      </c>
      <c r="AH50" s="303" t="e">
        <f>IF(AG50&gt;KKM!$G$10,"A",IF(AG50&gt;KKM!$H$10,"B",IF(AG50&gt;=KKM!$I$10,"C","D")))</f>
        <v>#DIV/0!</v>
      </c>
      <c r="AI50" s="304">
        <f t="shared" si="0"/>
        <v>0</v>
      </c>
      <c r="AJ50" s="309" t="str">
        <f>IF(AI50&gt;KKM!$G$10," sangat baik ",IF(AI50&gt;KKM!$H$10," baik ",IF(AI50&gt;=KKM!$I$10," cukup baik "," perlu bimbingan ")))</f>
        <v xml:space="preserve"> perlu bimbingan </v>
      </c>
      <c r="AK50" s="305">
        <f t="shared" si="1"/>
        <v>0</v>
      </c>
      <c r="AL50" s="309" t="str">
        <f>IF(AK50&gt;KKM!$G$10," sangat baik ",IF(AK50&gt;KKM!$H$10," baik ",IF(AK50&gt;=KKM!$I$10," cukup baik "," perlu bimbingan ")))</f>
        <v xml:space="preserve"> perlu bimbingan </v>
      </c>
      <c r="AM50" s="301" t="str">
        <f t="shared" si="9"/>
        <v xml:space="preserve"> </v>
      </c>
      <c r="AN50" s="218"/>
      <c r="AO50" s="219" t="e">
        <f t="shared" si="2"/>
        <v>#N/A</v>
      </c>
      <c r="AP50" s="219" t="e">
        <f t="shared" si="3"/>
        <v>#N/A</v>
      </c>
      <c r="AQ50" s="219" t="e">
        <f t="shared" si="10"/>
        <v>#N/A</v>
      </c>
      <c r="AR50" s="219" t="e">
        <f t="shared" si="11"/>
        <v>#N/A</v>
      </c>
      <c r="AS50" s="220" t="e">
        <f t="shared" si="12"/>
        <v>#N/A</v>
      </c>
      <c r="AT50" s="214" t="e">
        <f t="shared" si="13"/>
        <v>#N/A</v>
      </c>
      <c r="AU50" s="120"/>
    </row>
    <row r="51" spans="2:47" ht="63" customHeight="1">
      <c r="B51" s="109">
        <v>47</v>
      </c>
      <c r="C51" s="110">
        <f>SISWA!B52</f>
        <v>0</v>
      </c>
      <c r="D51" s="111" t="str">
        <f>SISWA!E52</f>
        <v>Anak 47</v>
      </c>
      <c r="E51" s="520"/>
      <c r="F51" s="520"/>
      <c r="G51" s="520"/>
      <c r="H51" s="520"/>
      <c r="I51" s="520"/>
      <c r="J51" s="520"/>
      <c r="K51" s="520"/>
      <c r="L51" s="520"/>
      <c r="M51" s="520"/>
      <c r="N51" s="520"/>
      <c r="O51" s="520"/>
      <c r="P51" s="520"/>
      <c r="Q51" s="533" t="str">
        <f t="shared" si="4"/>
        <v/>
      </c>
      <c r="R51" s="533" t="str">
        <f t="shared" si="5"/>
        <v/>
      </c>
      <c r="S51" s="533" t="str">
        <f t="shared" si="6"/>
        <v/>
      </c>
      <c r="T51" s="533" t="str">
        <f t="shared" si="7"/>
        <v/>
      </c>
      <c r="U51" s="514"/>
      <c r="V51" s="514"/>
      <c r="W51" s="514"/>
      <c r="X51" s="514"/>
      <c r="Y51" s="514"/>
      <c r="Z51" s="513"/>
      <c r="AA51" s="513"/>
      <c r="AB51" s="513"/>
      <c r="AC51" s="513"/>
      <c r="AD51" s="514"/>
      <c r="AE51" s="514"/>
      <c r="AF51" s="513"/>
      <c r="AG51" s="302" t="e">
        <f t="shared" si="8"/>
        <v>#DIV/0!</v>
      </c>
      <c r="AH51" s="303" t="e">
        <f>IF(AG51&gt;KKM!$G$10,"A",IF(AG51&gt;KKM!$H$10,"B",IF(AG51&gt;=KKM!$I$10,"C","D")))</f>
        <v>#DIV/0!</v>
      </c>
      <c r="AI51" s="304">
        <f t="shared" si="0"/>
        <v>0</v>
      </c>
      <c r="AJ51" s="309" t="str">
        <f>IF(AI51&gt;KKM!$G$10," sangat baik ",IF(AI51&gt;KKM!$H$10," baik ",IF(AI51&gt;=KKM!$I$10," cukup baik "," perlu bimbingan ")))</f>
        <v xml:space="preserve"> perlu bimbingan </v>
      </c>
      <c r="AK51" s="305">
        <f t="shared" si="1"/>
        <v>0</v>
      </c>
      <c r="AL51" s="309" t="str">
        <f>IF(AK51&gt;KKM!$G$10," sangat baik ",IF(AK51&gt;KKM!$H$10," baik ",IF(AK51&gt;=KKM!$I$10," cukup baik "," perlu bimbingan ")))</f>
        <v xml:space="preserve"> perlu bimbingan </v>
      </c>
      <c r="AM51" s="301" t="str">
        <f t="shared" si="9"/>
        <v xml:space="preserve"> </v>
      </c>
      <c r="AN51" s="218"/>
      <c r="AO51" s="219" t="e">
        <f t="shared" si="2"/>
        <v>#N/A</v>
      </c>
      <c r="AP51" s="219" t="e">
        <f t="shared" si="3"/>
        <v>#N/A</v>
      </c>
      <c r="AQ51" s="219" t="e">
        <f t="shared" si="10"/>
        <v>#N/A</v>
      </c>
      <c r="AR51" s="219" t="e">
        <f t="shared" si="11"/>
        <v>#N/A</v>
      </c>
      <c r="AS51" s="220" t="e">
        <f t="shared" si="12"/>
        <v>#N/A</v>
      </c>
      <c r="AT51" s="214" t="e">
        <f t="shared" si="13"/>
        <v>#N/A</v>
      </c>
      <c r="AU51" s="120"/>
    </row>
    <row r="52" spans="2:47" ht="63" customHeight="1">
      <c r="B52" s="109">
        <v>48</v>
      </c>
      <c r="C52" s="110">
        <f>SISWA!B53</f>
        <v>0</v>
      </c>
      <c r="D52" s="111" t="str">
        <f>SISWA!E53</f>
        <v>Anak 48</v>
      </c>
      <c r="E52" s="520"/>
      <c r="F52" s="520"/>
      <c r="G52" s="520"/>
      <c r="H52" s="520"/>
      <c r="I52" s="520"/>
      <c r="J52" s="520"/>
      <c r="K52" s="520"/>
      <c r="L52" s="520"/>
      <c r="M52" s="520"/>
      <c r="N52" s="520"/>
      <c r="O52" s="520"/>
      <c r="P52" s="520"/>
      <c r="Q52" s="533" t="str">
        <f t="shared" si="4"/>
        <v/>
      </c>
      <c r="R52" s="533" t="str">
        <f t="shared" si="5"/>
        <v/>
      </c>
      <c r="S52" s="533" t="str">
        <f t="shared" si="6"/>
        <v/>
      </c>
      <c r="T52" s="533" t="str">
        <f t="shared" si="7"/>
        <v/>
      </c>
      <c r="U52" s="514"/>
      <c r="V52" s="514"/>
      <c r="W52" s="514"/>
      <c r="X52" s="514"/>
      <c r="Y52" s="514"/>
      <c r="Z52" s="513"/>
      <c r="AA52" s="513"/>
      <c r="AB52" s="513"/>
      <c r="AC52" s="513"/>
      <c r="AD52" s="514"/>
      <c r="AE52" s="514"/>
      <c r="AF52" s="513"/>
      <c r="AG52" s="302" t="e">
        <f t="shared" si="8"/>
        <v>#DIV/0!</v>
      </c>
      <c r="AH52" s="303" t="e">
        <f>IF(AG52&gt;KKM!$G$10,"A",IF(AG52&gt;KKM!$H$10,"B",IF(AG52&gt;=KKM!$I$10,"C","D")))</f>
        <v>#DIV/0!</v>
      </c>
      <c r="AI52" s="304">
        <f t="shared" si="0"/>
        <v>0</v>
      </c>
      <c r="AJ52" s="309" t="str">
        <f>IF(AI52&gt;KKM!$G$10," sangat baik ",IF(AI52&gt;KKM!$H$10," baik ",IF(AI52&gt;=KKM!$I$10," cukup baik "," perlu bimbingan ")))</f>
        <v xml:space="preserve"> perlu bimbingan </v>
      </c>
      <c r="AK52" s="305">
        <f t="shared" si="1"/>
        <v>0</v>
      </c>
      <c r="AL52" s="309" t="str">
        <f>IF(AK52&gt;KKM!$G$10," sangat baik ",IF(AK52&gt;KKM!$H$10," baik ",IF(AK52&gt;=KKM!$I$10," cukup baik "," perlu bimbingan ")))</f>
        <v xml:space="preserve"> perlu bimbingan </v>
      </c>
      <c r="AM52" s="301" t="str">
        <f t="shared" si="9"/>
        <v xml:space="preserve"> </v>
      </c>
      <c r="AN52" s="218"/>
      <c r="AO52" s="219" t="e">
        <f t="shared" si="2"/>
        <v>#N/A</v>
      </c>
      <c r="AP52" s="219" t="e">
        <f t="shared" si="3"/>
        <v>#N/A</v>
      </c>
      <c r="AQ52" s="219" t="e">
        <f t="shared" si="10"/>
        <v>#N/A</v>
      </c>
      <c r="AR52" s="219" t="e">
        <f t="shared" si="11"/>
        <v>#N/A</v>
      </c>
      <c r="AS52" s="220" t="e">
        <f t="shared" si="12"/>
        <v>#N/A</v>
      </c>
      <c r="AT52" s="214" t="e">
        <f t="shared" si="13"/>
        <v>#N/A</v>
      </c>
      <c r="AU52" s="120"/>
    </row>
    <row r="53" spans="2:47" ht="63" customHeight="1">
      <c r="B53" s="109">
        <v>49</v>
      </c>
      <c r="C53" s="110">
        <f>SISWA!B54</f>
        <v>0</v>
      </c>
      <c r="D53" s="111" t="str">
        <f>SISWA!E54</f>
        <v>Anak 49</v>
      </c>
      <c r="E53" s="520"/>
      <c r="F53" s="520"/>
      <c r="G53" s="520"/>
      <c r="H53" s="520"/>
      <c r="I53" s="520"/>
      <c r="J53" s="520"/>
      <c r="K53" s="520"/>
      <c r="L53" s="520"/>
      <c r="M53" s="520"/>
      <c r="N53" s="520"/>
      <c r="O53" s="520"/>
      <c r="P53" s="520"/>
      <c r="Q53" s="533" t="str">
        <f t="shared" si="4"/>
        <v/>
      </c>
      <c r="R53" s="533" t="str">
        <f t="shared" si="5"/>
        <v/>
      </c>
      <c r="S53" s="533" t="str">
        <f t="shared" si="6"/>
        <v/>
      </c>
      <c r="T53" s="533" t="str">
        <f t="shared" si="7"/>
        <v/>
      </c>
      <c r="U53" s="514"/>
      <c r="V53" s="514"/>
      <c r="W53" s="514"/>
      <c r="X53" s="514"/>
      <c r="Y53" s="514"/>
      <c r="Z53" s="513"/>
      <c r="AA53" s="513"/>
      <c r="AB53" s="513"/>
      <c r="AC53" s="513"/>
      <c r="AD53" s="514"/>
      <c r="AE53" s="514"/>
      <c r="AF53" s="513"/>
      <c r="AG53" s="302" t="e">
        <f t="shared" si="8"/>
        <v>#DIV/0!</v>
      </c>
      <c r="AH53" s="303" t="e">
        <f>IF(AG53&gt;KKM!$G$10,"A",IF(AG53&gt;KKM!$H$10,"B",IF(AG53&gt;=KKM!$I$10,"C","D")))</f>
        <v>#DIV/0!</v>
      </c>
      <c r="AI53" s="304">
        <f t="shared" si="0"/>
        <v>0</v>
      </c>
      <c r="AJ53" s="309" t="str">
        <f>IF(AI53&gt;KKM!$G$10," sangat baik ",IF(AI53&gt;KKM!$H$10," baik ",IF(AI53&gt;=KKM!$I$10," cukup baik "," perlu bimbingan ")))</f>
        <v xml:space="preserve"> perlu bimbingan </v>
      </c>
      <c r="AK53" s="305">
        <f t="shared" si="1"/>
        <v>0</v>
      </c>
      <c r="AL53" s="309" t="str">
        <f>IF(AK53&gt;KKM!$G$10," sangat baik ",IF(AK53&gt;KKM!$H$10," baik ",IF(AK53&gt;=KKM!$I$10," cukup baik "," perlu bimbingan ")))</f>
        <v xml:space="preserve"> perlu bimbingan </v>
      </c>
      <c r="AM53" s="301" t="str">
        <f t="shared" si="9"/>
        <v xml:space="preserve"> </v>
      </c>
      <c r="AN53" s="218"/>
      <c r="AO53" s="219" t="e">
        <f t="shared" si="2"/>
        <v>#N/A</v>
      </c>
      <c r="AP53" s="219" t="e">
        <f t="shared" si="3"/>
        <v>#N/A</v>
      </c>
      <c r="AQ53" s="219" t="e">
        <f t="shared" si="10"/>
        <v>#N/A</v>
      </c>
      <c r="AR53" s="219" t="e">
        <f t="shared" si="11"/>
        <v>#N/A</v>
      </c>
      <c r="AS53" s="220" t="e">
        <f t="shared" si="12"/>
        <v>#N/A</v>
      </c>
      <c r="AT53" s="214" t="e">
        <f t="shared" si="13"/>
        <v>#N/A</v>
      </c>
      <c r="AU53" s="120"/>
    </row>
    <row r="54" spans="2:47" ht="63" customHeight="1">
      <c r="B54" s="109">
        <v>50</v>
      </c>
      <c r="C54" s="110">
        <f>SISWA!B55</f>
        <v>0</v>
      </c>
      <c r="D54" s="111" t="str">
        <f>SISWA!E55</f>
        <v>Anak 50</v>
      </c>
      <c r="E54" s="520"/>
      <c r="F54" s="520"/>
      <c r="G54" s="520"/>
      <c r="H54" s="520"/>
      <c r="I54" s="520"/>
      <c r="J54" s="520"/>
      <c r="K54" s="520"/>
      <c r="L54" s="520"/>
      <c r="M54" s="520"/>
      <c r="N54" s="520"/>
      <c r="O54" s="520"/>
      <c r="P54" s="520"/>
      <c r="Q54" s="533" t="str">
        <f t="shared" si="4"/>
        <v/>
      </c>
      <c r="R54" s="533" t="str">
        <f t="shared" si="5"/>
        <v/>
      </c>
      <c r="S54" s="533" t="str">
        <f t="shared" si="6"/>
        <v/>
      </c>
      <c r="T54" s="533" t="str">
        <f t="shared" si="7"/>
        <v/>
      </c>
      <c r="U54" s="514"/>
      <c r="V54" s="514"/>
      <c r="W54" s="514"/>
      <c r="X54" s="514"/>
      <c r="Y54" s="514"/>
      <c r="Z54" s="513"/>
      <c r="AA54" s="513"/>
      <c r="AB54" s="513"/>
      <c r="AC54" s="513"/>
      <c r="AD54" s="514"/>
      <c r="AE54" s="514"/>
      <c r="AF54" s="513"/>
      <c r="AG54" s="302" t="e">
        <f t="shared" si="8"/>
        <v>#DIV/0!</v>
      </c>
      <c r="AH54" s="303" t="e">
        <f>IF(AG54&gt;KKM!$G$10,"A",IF(AG54&gt;KKM!$H$10,"B",IF(AG54&gt;=KKM!$I$10,"C","D")))</f>
        <v>#DIV/0!</v>
      </c>
      <c r="AI54" s="304">
        <f t="shared" si="0"/>
        <v>0</v>
      </c>
      <c r="AJ54" s="309" t="str">
        <f>IF(AI54&gt;KKM!$G$10," sangat baik ",IF(AI54&gt;KKM!$H$10," baik ",IF(AI54&gt;=KKM!$I$10," cukup baik "," perlu bimbingan ")))</f>
        <v xml:space="preserve"> perlu bimbingan </v>
      </c>
      <c r="AK54" s="305">
        <f t="shared" si="1"/>
        <v>0</v>
      </c>
      <c r="AL54" s="309" t="str">
        <f>IF(AK54&gt;KKM!$G$10," sangat baik ",IF(AK54&gt;KKM!$H$10," baik ",IF(AK54&gt;=KKM!$I$10," cukup baik "," perlu bimbingan ")))</f>
        <v xml:space="preserve"> perlu bimbingan </v>
      </c>
      <c r="AM54" s="301" t="str">
        <f t="shared" si="9"/>
        <v xml:space="preserve"> </v>
      </c>
      <c r="AN54" s="218"/>
      <c r="AO54" s="219" t="e">
        <f t="shared" si="2"/>
        <v>#N/A</v>
      </c>
      <c r="AP54" s="219" t="e">
        <f t="shared" si="3"/>
        <v>#N/A</v>
      </c>
      <c r="AQ54" s="219" t="e">
        <f t="shared" si="10"/>
        <v>#N/A</v>
      </c>
      <c r="AR54" s="219" t="e">
        <f t="shared" si="11"/>
        <v>#N/A</v>
      </c>
      <c r="AS54" s="220" t="e">
        <f t="shared" si="12"/>
        <v>#N/A</v>
      </c>
      <c r="AT54" s="214" t="e">
        <f t="shared" si="13"/>
        <v>#N/A</v>
      </c>
      <c r="AU54" s="120"/>
    </row>
    <row r="55" spans="2:47" ht="63" customHeight="1">
      <c r="B55" s="121"/>
      <c r="C55" s="121"/>
      <c r="D55" s="121"/>
      <c r="E55" s="519"/>
      <c r="F55" s="519"/>
      <c r="G55" s="519"/>
      <c r="H55" s="519"/>
      <c r="I55" s="519"/>
      <c r="J55" s="519"/>
      <c r="K55" s="519"/>
      <c r="L55" s="519"/>
      <c r="M55" s="519"/>
      <c r="N55" s="519"/>
      <c r="O55" s="519"/>
      <c r="P55" s="519"/>
      <c r="Q55" s="124"/>
      <c r="R55" s="125"/>
      <c r="S55" s="125"/>
      <c r="T55" s="125"/>
      <c r="U55" s="125"/>
      <c r="V55" s="125"/>
      <c r="W55" s="125"/>
      <c r="X55" s="125"/>
      <c r="Y55" s="125"/>
      <c r="Z55" s="124"/>
      <c r="AA55" s="124"/>
      <c r="AB55" s="124"/>
      <c r="AC55" s="124"/>
      <c r="AD55" s="125"/>
      <c r="AE55" s="125"/>
      <c r="AF55" s="124"/>
      <c r="AG55" s="114"/>
      <c r="AH55" s="115"/>
      <c r="AI55" s="116"/>
      <c r="AJ55" s="116"/>
      <c r="AK55" s="116"/>
      <c r="AL55" s="116"/>
      <c r="AM55" s="117"/>
      <c r="AN55" s="118"/>
      <c r="AO55" s="119"/>
      <c r="AP55" s="122"/>
      <c r="AQ55" s="122"/>
      <c r="AR55" s="122"/>
      <c r="AS55" s="122"/>
      <c r="AT55" s="122"/>
      <c r="AU55" s="120"/>
    </row>
  </sheetData>
  <mergeCells count="15">
    <mergeCell ref="AH2:AH4"/>
    <mergeCell ref="AI2:AL2"/>
    <mergeCell ref="AM2:AM4"/>
    <mergeCell ref="AI3:AJ3"/>
    <mergeCell ref="AK3:AL3"/>
    <mergeCell ref="B2:B4"/>
    <mergeCell ref="C2:C4"/>
    <mergeCell ref="D2:D4"/>
    <mergeCell ref="Q2:AF2"/>
    <mergeCell ref="AG2:AG4"/>
    <mergeCell ref="E2:P2"/>
    <mergeCell ref="E3:G3"/>
    <mergeCell ref="H3:J3"/>
    <mergeCell ref="K3:M3"/>
    <mergeCell ref="N3:P3"/>
  </mergeCell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B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5703125" style="135" customWidth="1"/>
    <col min="2" max="2" width="4.42578125" style="104" customWidth="1"/>
    <col min="3" max="3" width="6.42578125" style="104" customWidth="1"/>
    <col min="4" max="4" width="28.7109375" style="104" customWidth="1"/>
    <col min="5" max="16" width="7.5703125" style="104" customWidth="1"/>
    <col min="17" max="20" width="5.28515625" style="104" customWidth="1"/>
    <col min="21" max="31" width="5.28515625" style="104" hidden="1" customWidth="1"/>
    <col min="32" max="35" width="5.28515625" style="104" customWidth="1"/>
    <col min="36" max="36" width="10.5703125" style="104" customWidth="1"/>
    <col min="37" max="37" width="5.28515625" style="104" customWidth="1"/>
    <col min="38" max="38" width="12.28515625" style="104" customWidth="1"/>
    <col min="39" max="39" width="103.28515625" style="104" customWidth="1"/>
    <col min="40" max="40" width="36.5703125" style="104" customWidth="1"/>
    <col min="41" max="41" width="5" style="104" hidden="1" customWidth="1"/>
    <col min="42" max="42" width="4.7109375" style="104" hidden="1" customWidth="1"/>
    <col min="43" max="43" width="5.140625" style="104" hidden="1" customWidth="1"/>
    <col min="44" max="47" width="5" style="104" hidden="1" customWidth="1"/>
    <col min="48" max="49" width="5" style="104" customWidth="1"/>
    <col min="50" max="50" width="4.85546875" style="104" customWidth="1"/>
    <col min="51" max="51" width="5" style="104" customWidth="1"/>
    <col min="52" max="64" width="5" style="104" hidden="1" customWidth="1"/>
    <col min="65" max="65" width="84.42578125" style="104" hidden="1" customWidth="1"/>
    <col min="66" max="66" width="29.85546875" style="104" hidden="1" customWidth="1"/>
    <col min="67" max="80" width="10.7109375" style="104" hidden="1" customWidth="1"/>
    <col min="81" max="16384" width="9.140625" style="104" hidden="1"/>
  </cols>
  <sheetData>
    <row r="1" spans="1:64" s="451" customFormat="1" ht="45.75" customHeight="1">
      <c r="B1" s="452" t="str">
        <f>KKM!X9&amp;" (KETRAMPILAN)"</f>
        <v>TIK (KETRAMPILAN)</v>
      </c>
      <c r="C1" s="452"/>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row>
    <row r="2" spans="1:64" ht="23.25" customHeight="1">
      <c r="B2" s="1071" t="s">
        <v>2</v>
      </c>
      <c r="C2" s="1072" t="s">
        <v>3</v>
      </c>
      <c r="D2" s="1073" t="s">
        <v>48</v>
      </c>
      <c r="E2" s="1152" t="s">
        <v>711</v>
      </c>
      <c r="F2" s="1153"/>
      <c r="G2" s="1153"/>
      <c r="H2" s="1153"/>
      <c r="I2" s="1153"/>
      <c r="J2" s="1153"/>
      <c r="K2" s="1153"/>
      <c r="L2" s="1153"/>
      <c r="M2" s="1153"/>
      <c r="N2" s="1153"/>
      <c r="O2" s="1153"/>
      <c r="P2" s="1153"/>
      <c r="Q2" s="1111" t="s">
        <v>694</v>
      </c>
      <c r="R2" s="1111"/>
      <c r="S2" s="1111"/>
      <c r="T2" s="1111"/>
      <c r="U2" s="1111"/>
      <c r="V2" s="1111"/>
      <c r="W2" s="1111"/>
      <c r="X2" s="1111"/>
      <c r="Y2" s="1111"/>
      <c r="Z2" s="1111"/>
      <c r="AA2" s="1111"/>
      <c r="AB2" s="1111"/>
      <c r="AC2" s="1111"/>
      <c r="AD2" s="1111"/>
      <c r="AE2" s="1111"/>
      <c r="AF2" s="1111"/>
      <c r="AG2" s="1139" t="s">
        <v>5</v>
      </c>
      <c r="AH2" s="1123" t="s">
        <v>6</v>
      </c>
      <c r="AI2" s="1124" t="s">
        <v>314</v>
      </c>
      <c r="AJ2" s="1125"/>
      <c r="AK2" s="1125"/>
      <c r="AL2" s="1125"/>
      <c r="AM2" s="1027" t="s">
        <v>1</v>
      </c>
      <c r="AN2" s="1"/>
      <c r="AO2" s="1"/>
      <c r="AP2" s="1"/>
      <c r="AQ2" s="1"/>
      <c r="AR2" s="1"/>
      <c r="AS2" s="1"/>
      <c r="AT2" s="215"/>
    </row>
    <row r="3" spans="1:64" ht="94.5" customHeight="1">
      <c r="B3" s="1071"/>
      <c r="C3" s="1072"/>
      <c r="D3" s="1073"/>
      <c r="E3" s="1140">
        <f>Q4</f>
        <v>4.5</v>
      </c>
      <c r="F3" s="1141"/>
      <c r="G3" s="1142"/>
      <c r="H3" s="1143">
        <f>R4</f>
        <v>4.5999999999999996</v>
      </c>
      <c r="I3" s="1144"/>
      <c r="J3" s="1145"/>
      <c r="K3" s="1146">
        <f>S4</f>
        <v>4.7</v>
      </c>
      <c r="L3" s="1147"/>
      <c r="M3" s="1148"/>
      <c r="N3" s="1149">
        <f>T4</f>
        <v>4.8</v>
      </c>
      <c r="O3" s="1150"/>
      <c r="P3" s="1151"/>
      <c r="Q3" s="510" t="str">
        <f>'KI-KD'!$F144</f>
        <v>mempraktikkan membuat karangan yang berjudul" Letusan Gunung Berapi"</v>
      </c>
      <c r="R3" s="510" t="str">
        <f>'KI-KD'!$F145</f>
        <v>mempraktikkan membuat dokumen " Cerita Dongeng"</v>
      </c>
      <c r="S3" s="510" t="str">
        <f>'KI-KD'!$F146</f>
        <v>mempraktikkan menyisipkan gambar ke dalam cerita</v>
      </c>
      <c r="T3" s="510" t="str">
        <f>'KI-KD'!$F147</f>
        <v>membuat karya Buletin Sekolah</v>
      </c>
      <c r="U3" s="510">
        <f>'KI-KD'!$F150</f>
        <v>0</v>
      </c>
      <c r="V3" s="511"/>
      <c r="W3" s="511"/>
      <c r="X3" s="511"/>
      <c r="Y3" s="511"/>
      <c r="Z3" s="511"/>
      <c r="AA3" s="511"/>
      <c r="AB3" s="511"/>
      <c r="AC3" s="511"/>
      <c r="AD3" s="511"/>
      <c r="AE3" s="511"/>
      <c r="AF3" s="511"/>
      <c r="AG3" s="1139"/>
      <c r="AH3" s="1123"/>
      <c r="AI3" s="1135" t="s">
        <v>315</v>
      </c>
      <c r="AJ3" s="1136"/>
      <c r="AK3" s="1137" t="s">
        <v>316</v>
      </c>
      <c r="AL3" s="1138"/>
      <c r="AM3" s="1028"/>
      <c r="AN3" s="1"/>
      <c r="AO3" s="1"/>
      <c r="AP3" s="1"/>
      <c r="AQ3" s="1"/>
      <c r="AR3" s="1"/>
      <c r="AS3" s="1"/>
      <c r="AT3" s="215"/>
    </row>
    <row r="4" spans="1:64" s="108" customFormat="1" ht="25.5" customHeight="1">
      <c r="A4" s="453"/>
      <c r="B4" s="1071"/>
      <c r="C4" s="1072"/>
      <c r="D4" s="1073"/>
      <c r="E4" s="531" t="s">
        <v>701</v>
      </c>
      <c r="F4" s="530" t="s">
        <v>702</v>
      </c>
      <c r="G4" s="532" t="s">
        <v>703</v>
      </c>
      <c r="H4" s="531" t="s">
        <v>701</v>
      </c>
      <c r="I4" s="530" t="s">
        <v>702</v>
      </c>
      <c r="J4" s="532" t="s">
        <v>703</v>
      </c>
      <c r="K4" s="531" t="s">
        <v>701</v>
      </c>
      <c r="L4" s="530" t="s">
        <v>702</v>
      </c>
      <c r="M4" s="532" t="s">
        <v>703</v>
      </c>
      <c r="N4" s="531" t="s">
        <v>701</v>
      </c>
      <c r="O4" s="530" t="s">
        <v>702</v>
      </c>
      <c r="P4" s="532" t="s">
        <v>703</v>
      </c>
      <c r="Q4" s="512">
        <f>'KI-KD'!$E144</f>
        <v>4.5</v>
      </c>
      <c r="R4" s="512">
        <f>'KI-KD'!$E145</f>
        <v>4.5999999999999996</v>
      </c>
      <c r="S4" s="512">
        <f>'KI-KD'!$E146</f>
        <v>4.7</v>
      </c>
      <c r="T4" s="512">
        <f>'KI-KD'!$E147</f>
        <v>4.8</v>
      </c>
      <c r="U4" s="512">
        <f>'KI-KD'!$E150</f>
        <v>0</v>
      </c>
      <c r="V4" s="512"/>
      <c r="W4" s="512"/>
      <c r="X4" s="512"/>
      <c r="Y4" s="512"/>
      <c r="Z4" s="512"/>
      <c r="AA4" s="512"/>
      <c r="AB4" s="512"/>
      <c r="AC4" s="512"/>
      <c r="AD4" s="512"/>
      <c r="AE4" s="512"/>
      <c r="AF4" s="512"/>
      <c r="AG4" s="1139"/>
      <c r="AH4" s="1123"/>
      <c r="AI4" s="210" t="s">
        <v>317</v>
      </c>
      <c r="AJ4" s="211" t="s">
        <v>1</v>
      </c>
      <c r="AK4" s="212" t="s">
        <v>317</v>
      </c>
      <c r="AL4" s="213" t="s">
        <v>1</v>
      </c>
      <c r="AM4" s="1029"/>
      <c r="AN4" s="1"/>
      <c r="AO4" s="216" t="s">
        <v>318</v>
      </c>
      <c r="AP4" s="216" t="s">
        <v>319</v>
      </c>
      <c r="AQ4" s="216" t="s">
        <v>320</v>
      </c>
      <c r="AR4" s="216" t="s">
        <v>321</v>
      </c>
      <c r="AS4" s="217" t="s">
        <v>314</v>
      </c>
      <c r="AT4" s="214"/>
    </row>
    <row r="5" spans="1:64" ht="61.5" customHeight="1">
      <c r="B5" s="109">
        <v>1</v>
      </c>
      <c r="C5" s="110">
        <f>SISWA!B6</f>
        <v>4822</v>
      </c>
      <c r="D5" s="111" t="str">
        <f>SISWA!E6</f>
        <v>Anak 1</v>
      </c>
      <c r="E5" s="520">
        <v>76</v>
      </c>
      <c r="F5" s="520"/>
      <c r="G5" s="520"/>
      <c r="H5" s="520"/>
      <c r="I5" s="520">
        <v>88</v>
      </c>
      <c r="J5" s="520"/>
      <c r="K5" s="520"/>
      <c r="L5" s="520"/>
      <c r="M5" s="520"/>
      <c r="N5" s="520"/>
      <c r="O5" s="520"/>
      <c r="P5" s="520"/>
      <c r="Q5" s="533">
        <f>IFERROR(AVERAGE(E5:G5),"")</f>
        <v>76</v>
      </c>
      <c r="R5" s="533">
        <f>IFERROR(AVERAGE(H5:J5),"")</f>
        <v>88</v>
      </c>
      <c r="S5" s="533" t="str">
        <f>IFERROR(AVERAGE(K5:M5),"")</f>
        <v/>
      </c>
      <c r="T5" s="533" t="str">
        <f>IFERROR(AVERAGE(N5:P5),"")</f>
        <v/>
      </c>
      <c r="U5" s="514"/>
      <c r="V5" s="513"/>
      <c r="W5" s="513"/>
      <c r="X5" s="513"/>
      <c r="Y5" s="513"/>
      <c r="Z5" s="513"/>
      <c r="AA5" s="513"/>
      <c r="AB5" s="513"/>
      <c r="AC5" s="513"/>
      <c r="AD5" s="514"/>
      <c r="AE5" s="514"/>
      <c r="AF5" s="513"/>
      <c r="AG5" s="302">
        <f>ROUND((AVERAGE(Q5:AF5)),0)</f>
        <v>82</v>
      </c>
      <c r="AH5" s="303" t="str">
        <f>IF(AG5&gt;KKM!$G$10,"A",IF(AG5&gt;KKM!$H$10,"B",IF(AG5&gt;=KKM!$I$10,"C","D")))</f>
        <v>B</v>
      </c>
      <c r="AI5" s="304">
        <f t="shared" ref="AI5:AI54" si="0">MAX(Q5:AF5)</f>
        <v>88</v>
      </c>
      <c r="AJ5" s="309" t="str">
        <f>IF(AI5&gt;KKM!$G$10," sangat baik ",IF(AI5&gt;KKM!$H$10," baik ",IF(AI5&gt;=KKM!$I$10," cukup baik "," perlu bimbingan ")))</f>
        <v xml:space="preserve"> baik </v>
      </c>
      <c r="AK5" s="305">
        <f t="shared" ref="AK5:AK54" si="1">MIN(Q5:AF5)</f>
        <v>76</v>
      </c>
      <c r="AL5" s="309" t="str">
        <f>IF(AK5&gt;KKM!$G$10," sangat baik ",IF(AK5&gt;KKM!$H$10," baik ",IF(AK5&gt;=KKM!$I$10," cukup baik "," perlu bimbingan ")))</f>
        <v xml:space="preserve"> cukup baik </v>
      </c>
      <c r="AM5" s="301" t="str">
        <f>IFERROR(AT5," ")</f>
        <v>Anak 1 baik  dalam mempraktikkan membuat dokumen " Cerita Dongeng", dan  cukup baik  dalam mempraktikkan membuat karangan yang berjudul" Letusan Gunung Berapi"</v>
      </c>
      <c r="AN5" s="218"/>
      <c r="AO5" s="219" t="str">
        <f t="shared" ref="AO5:AO54" si="2">AJ5&amp;" dalam "&amp;INDEX($Q$3:$AF$3,MATCH(AI5,$Q5:$AF5,0))</f>
        <v xml:space="preserve"> baik  dalam mempraktikkan membuat dokumen " Cerita Dongeng"</v>
      </c>
      <c r="AP5" s="219" t="str">
        <f t="shared" ref="AP5:AP54" si="3">AL5&amp;" dalam "&amp;INDEX($Q$3:$AF$3,MATCH(AK5,$Q5:$AF5,0))</f>
        <v xml:space="preserve"> cukup baik  dalam mempraktikkan membuat karangan yang berjudul" Letusan Gunung Berapi"</v>
      </c>
      <c r="AQ5" s="219" t="str">
        <f>AO5&amp;", dan "&amp;AP5</f>
        <v xml:space="preserve"> baik  dalam mempraktikkan membuat dokumen " Cerita Dongeng", dan  cukup baik  dalam mempraktikkan membuat karangan yang berjudul" Letusan Gunung Berapi"</v>
      </c>
      <c r="AR5" s="219" t="str">
        <f>IF(AO5=AP5,AO5," ")</f>
        <v xml:space="preserve"> </v>
      </c>
      <c r="AS5" s="220" t="str">
        <f>IF(AR5=" ",AQ5,AR5)</f>
        <v xml:space="preserve"> baik  dalam mempraktikkan membuat dokumen " Cerita Dongeng", dan  cukup baik  dalam mempraktikkan membuat karangan yang berjudul" Letusan Gunung Berapi"</v>
      </c>
      <c r="AT5" s="214" t="str">
        <f>CONCATENATE(D5,AS5)</f>
        <v>Anak 1 baik  dalam mempraktikkan membuat dokumen " Cerita Dongeng", dan  cukup baik  dalam mempraktikkan membuat karangan yang berjudul" Letusan Gunung Berapi"</v>
      </c>
      <c r="AU5" s="120"/>
    </row>
    <row r="6" spans="1:64" ht="61.5" customHeight="1">
      <c r="B6" s="109">
        <v>2</v>
      </c>
      <c r="C6" s="110">
        <f>SISWA!B7</f>
        <v>0</v>
      </c>
      <c r="D6" s="111" t="str">
        <f>SISWA!E7</f>
        <v>Anak 2</v>
      </c>
      <c r="E6" s="520">
        <v>77</v>
      </c>
      <c r="F6" s="520"/>
      <c r="G6" s="520"/>
      <c r="H6" s="520"/>
      <c r="I6" s="520"/>
      <c r="J6" s="520"/>
      <c r="K6" s="520"/>
      <c r="L6" s="520"/>
      <c r="M6" s="520"/>
      <c r="N6" s="520"/>
      <c r="O6" s="520"/>
      <c r="P6" s="520"/>
      <c r="Q6" s="533">
        <f t="shared" ref="Q6:Q55" si="4">IFERROR(AVERAGE(E6:G6),"")</f>
        <v>77</v>
      </c>
      <c r="R6" s="533" t="str">
        <f t="shared" ref="R6:R55" si="5">IFERROR(AVERAGE(H6:J6),"")</f>
        <v/>
      </c>
      <c r="S6" s="533" t="str">
        <f t="shared" ref="S6:S55" si="6">IFERROR(AVERAGE(K6:M6),"")</f>
        <v/>
      </c>
      <c r="T6" s="533" t="str">
        <f t="shared" ref="T6:T55" si="7">IFERROR(AVERAGE(N6:P6),"")</f>
        <v/>
      </c>
      <c r="U6" s="514"/>
      <c r="V6" s="513"/>
      <c r="W6" s="513"/>
      <c r="X6" s="513"/>
      <c r="Y6" s="513"/>
      <c r="Z6" s="513"/>
      <c r="AA6" s="513"/>
      <c r="AB6" s="513"/>
      <c r="AC6" s="513"/>
      <c r="AD6" s="514"/>
      <c r="AE6" s="514"/>
      <c r="AF6" s="513"/>
      <c r="AG6" s="302">
        <f t="shared" ref="AG6:AG54" si="8">ROUND((AVERAGE(Q6:AF6)),0)</f>
        <v>77</v>
      </c>
      <c r="AH6" s="303" t="str">
        <f>IF(AG6&gt;KKM!$G$10,"A",IF(AG6&gt;KKM!$H$10,"B",IF(AG6&gt;=KKM!$I$10,"C","D")))</f>
        <v>C</v>
      </c>
      <c r="AI6" s="304">
        <f t="shared" si="0"/>
        <v>77</v>
      </c>
      <c r="AJ6" s="309" t="str">
        <f>IF(AI6&gt;KKM!$G$10," sangat baik ",IF(AI6&gt;KKM!$H$10," baik ",IF(AI6&gt;=KKM!$I$10," cukup baik "," perlu bimbingan ")))</f>
        <v xml:space="preserve"> cukup baik </v>
      </c>
      <c r="AK6" s="305">
        <f t="shared" si="1"/>
        <v>77</v>
      </c>
      <c r="AL6" s="309" t="str">
        <f>IF(AK6&gt;KKM!$G$10," sangat baik ",IF(AK6&gt;KKM!$H$10," baik ",IF(AK6&gt;=KKM!$I$10," cukup baik "," perlu bimbingan ")))</f>
        <v xml:space="preserve"> cukup baik </v>
      </c>
      <c r="AM6" s="301" t="str">
        <f t="shared" ref="AM6:AM54" si="9">IFERROR(AT6," ")</f>
        <v>Anak 2 cukup baik  dalam mempraktikkan membuat karangan yang berjudul" Letusan Gunung Berapi"</v>
      </c>
      <c r="AN6" s="218"/>
      <c r="AO6" s="219" t="str">
        <f t="shared" si="2"/>
        <v xml:space="preserve"> cukup baik  dalam mempraktikkan membuat karangan yang berjudul" Letusan Gunung Berapi"</v>
      </c>
      <c r="AP6" s="219" t="str">
        <f t="shared" si="3"/>
        <v xml:space="preserve"> cukup baik  dalam mempraktikkan membuat karangan yang berjudul" Letusan Gunung Berapi"</v>
      </c>
      <c r="AQ6" s="219" t="str">
        <f t="shared" ref="AQ6:AQ54" si="10">AO6&amp;", dan "&amp;AP6</f>
        <v xml:space="preserve"> cukup baik  dalam mempraktikkan membuat karangan yang berjudul" Letusan Gunung Berapi", dan  cukup baik  dalam mempraktikkan membuat karangan yang berjudul" Letusan Gunung Berapi"</v>
      </c>
      <c r="AR6" s="219" t="str">
        <f t="shared" ref="AR6:AR54" si="11">IF(AO6=AP6,AO6," ")</f>
        <v xml:space="preserve"> cukup baik  dalam mempraktikkan membuat karangan yang berjudul" Letusan Gunung Berapi"</v>
      </c>
      <c r="AS6" s="220" t="str">
        <f t="shared" ref="AS6:AS54" si="12">IF(AR6=" ",AQ6,AR6)</f>
        <v xml:space="preserve"> cukup baik  dalam mempraktikkan membuat karangan yang berjudul" Letusan Gunung Berapi"</v>
      </c>
      <c r="AT6" s="214" t="str">
        <f t="shared" ref="AT6:AT54" si="13">CONCATENATE(D6,AS6)</f>
        <v>Anak 2 cukup baik  dalam mempraktikkan membuat karangan yang berjudul" Letusan Gunung Berapi"</v>
      </c>
      <c r="AU6" s="120"/>
    </row>
    <row r="7" spans="1:64" ht="61.5" customHeight="1">
      <c r="B7" s="109">
        <v>3</v>
      </c>
      <c r="C7" s="110">
        <f>SISWA!B8</f>
        <v>0</v>
      </c>
      <c r="D7" s="111" t="str">
        <f>SISWA!E8</f>
        <v>Anak 3</v>
      </c>
      <c r="E7" s="520"/>
      <c r="F7" s="520"/>
      <c r="G7" s="520"/>
      <c r="H7" s="520"/>
      <c r="I7" s="520"/>
      <c r="J7" s="520"/>
      <c r="K7" s="520"/>
      <c r="L7" s="520"/>
      <c r="M7" s="520"/>
      <c r="N7" s="520"/>
      <c r="O7" s="520"/>
      <c r="P7" s="520"/>
      <c r="Q7" s="533" t="str">
        <f t="shared" si="4"/>
        <v/>
      </c>
      <c r="R7" s="533" t="str">
        <f t="shared" si="5"/>
        <v/>
      </c>
      <c r="S7" s="533" t="str">
        <f t="shared" si="6"/>
        <v/>
      </c>
      <c r="T7" s="533" t="str">
        <f t="shared" si="7"/>
        <v/>
      </c>
      <c r="U7" s="514"/>
      <c r="V7" s="513"/>
      <c r="W7" s="513"/>
      <c r="X7" s="513"/>
      <c r="Y7" s="513"/>
      <c r="Z7" s="513"/>
      <c r="AA7" s="513"/>
      <c r="AB7" s="513"/>
      <c r="AC7" s="513"/>
      <c r="AD7" s="514"/>
      <c r="AE7" s="514"/>
      <c r="AF7" s="513"/>
      <c r="AG7" s="302" t="e">
        <f t="shared" si="8"/>
        <v>#DIV/0!</v>
      </c>
      <c r="AH7" s="303" t="e">
        <f>IF(AG7&gt;KKM!$G$10,"A",IF(AG7&gt;KKM!$H$10,"B",IF(AG7&gt;=KKM!$I$10,"C","D")))</f>
        <v>#DIV/0!</v>
      </c>
      <c r="AI7" s="304">
        <f t="shared" si="0"/>
        <v>0</v>
      </c>
      <c r="AJ7" s="309" t="str">
        <f>IF(AI7&gt;KKM!$G$10," sangat baik ",IF(AI7&gt;KKM!$H$10," baik ",IF(AI7&gt;=KKM!$I$10," cukup baik "," perlu bimbingan ")))</f>
        <v xml:space="preserve"> perlu bimbingan </v>
      </c>
      <c r="AK7" s="305">
        <f t="shared" si="1"/>
        <v>0</v>
      </c>
      <c r="AL7" s="309" t="str">
        <f>IF(AK7&gt;KKM!$G$10," sangat baik ",IF(AK7&gt;KKM!$H$10," baik ",IF(AK7&gt;=KKM!$I$10," cukup baik "," perlu bimbingan ")))</f>
        <v xml:space="preserve"> perlu bimbingan </v>
      </c>
      <c r="AM7" s="301" t="str">
        <f t="shared" si="9"/>
        <v xml:space="preserve"> </v>
      </c>
      <c r="AN7" s="218"/>
      <c r="AO7" s="219" t="e">
        <f t="shared" si="2"/>
        <v>#N/A</v>
      </c>
      <c r="AP7" s="219" t="e">
        <f t="shared" si="3"/>
        <v>#N/A</v>
      </c>
      <c r="AQ7" s="219" t="e">
        <f t="shared" si="10"/>
        <v>#N/A</v>
      </c>
      <c r="AR7" s="219" t="e">
        <f t="shared" si="11"/>
        <v>#N/A</v>
      </c>
      <c r="AS7" s="220" t="e">
        <f t="shared" si="12"/>
        <v>#N/A</v>
      </c>
      <c r="AT7" s="214" t="e">
        <f t="shared" si="13"/>
        <v>#N/A</v>
      </c>
      <c r="AU7" s="120"/>
    </row>
    <row r="8" spans="1:64" ht="61.5" customHeight="1">
      <c r="B8" s="109">
        <v>4</v>
      </c>
      <c r="C8" s="110">
        <f>SISWA!B9</f>
        <v>0</v>
      </c>
      <c r="D8" s="111" t="str">
        <f>SISWA!E9</f>
        <v>Anak 4</v>
      </c>
      <c r="E8" s="520"/>
      <c r="F8" s="520"/>
      <c r="G8" s="520"/>
      <c r="H8" s="520"/>
      <c r="I8" s="520"/>
      <c r="J8" s="520"/>
      <c r="K8" s="520"/>
      <c r="L8" s="520"/>
      <c r="M8" s="520"/>
      <c r="N8" s="520"/>
      <c r="O8" s="520"/>
      <c r="P8" s="520"/>
      <c r="Q8" s="533" t="str">
        <f t="shared" si="4"/>
        <v/>
      </c>
      <c r="R8" s="533" t="str">
        <f t="shared" si="5"/>
        <v/>
      </c>
      <c r="S8" s="533" t="str">
        <f t="shared" si="6"/>
        <v/>
      </c>
      <c r="T8" s="533" t="str">
        <f t="shared" si="7"/>
        <v/>
      </c>
      <c r="U8" s="514"/>
      <c r="V8" s="513"/>
      <c r="W8" s="513"/>
      <c r="X8" s="513"/>
      <c r="Y8" s="513"/>
      <c r="Z8" s="513"/>
      <c r="AA8" s="513"/>
      <c r="AB8" s="513"/>
      <c r="AC8" s="513"/>
      <c r="AD8" s="514"/>
      <c r="AE8" s="514"/>
      <c r="AF8" s="513"/>
      <c r="AG8" s="302" t="e">
        <f t="shared" si="8"/>
        <v>#DIV/0!</v>
      </c>
      <c r="AH8" s="303" t="e">
        <f>IF(AG8&gt;KKM!$G$10,"A",IF(AG8&gt;KKM!$H$10,"B",IF(AG8&gt;=KKM!$I$10,"C","D")))</f>
        <v>#DIV/0!</v>
      </c>
      <c r="AI8" s="304">
        <f t="shared" si="0"/>
        <v>0</v>
      </c>
      <c r="AJ8" s="309" t="str">
        <f>IF(AI8&gt;KKM!$G$10," sangat baik ",IF(AI8&gt;KKM!$H$10," baik ",IF(AI8&gt;=KKM!$I$10," cukup baik "," perlu bimbingan ")))</f>
        <v xml:space="preserve"> perlu bimbingan </v>
      </c>
      <c r="AK8" s="305">
        <f t="shared" si="1"/>
        <v>0</v>
      </c>
      <c r="AL8" s="309" t="str">
        <f>IF(AK8&gt;KKM!$G$10," sangat baik ",IF(AK8&gt;KKM!$H$10," baik ",IF(AK8&gt;=KKM!$I$10," cukup baik "," perlu bimbingan ")))</f>
        <v xml:space="preserve"> perlu bimbingan </v>
      </c>
      <c r="AM8" s="301" t="str">
        <f t="shared" si="9"/>
        <v xml:space="preserve"> </v>
      </c>
      <c r="AN8" s="218"/>
      <c r="AO8" s="219" t="e">
        <f t="shared" si="2"/>
        <v>#N/A</v>
      </c>
      <c r="AP8" s="219" t="e">
        <f t="shared" si="3"/>
        <v>#N/A</v>
      </c>
      <c r="AQ8" s="219" t="e">
        <f t="shared" si="10"/>
        <v>#N/A</v>
      </c>
      <c r="AR8" s="219" t="e">
        <f t="shared" si="11"/>
        <v>#N/A</v>
      </c>
      <c r="AS8" s="220" t="e">
        <f t="shared" si="12"/>
        <v>#N/A</v>
      </c>
      <c r="AT8" s="214" t="e">
        <f t="shared" si="13"/>
        <v>#N/A</v>
      </c>
      <c r="AU8" s="120"/>
    </row>
    <row r="9" spans="1:64" ht="61.5" customHeight="1">
      <c r="B9" s="109">
        <v>5</v>
      </c>
      <c r="C9" s="110">
        <f>SISWA!B10</f>
        <v>0</v>
      </c>
      <c r="D9" s="111" t="str">
        <f>SISWA!E10</f>
        <v>Anak 5</v>
      </c>
      <c r="E9" s="520"/>
      <c r="F9" s="520"/>
      <c r="G9" s="520"/>
      <c r="H9" s="520"/>
      <c r="I9" s="520"/>
      <c r="J9" s="520"/>
      <c r="K9" s="520"/>
      <c r="L9" s="520"/>
      <c r="M9" s="520"/>
      <c r="N9" s="520"/>
      <c r="O9" s="520"/>
      <c r="P9" s="520"/>
      <c r="Q9" s="533" t="str">
        <f t="shared" si="4"/>
        <v/>
      </c>
      <c r="R9" s="533" t="str">
        <f t="shared" si="5"/>
        <v/>
      </c>
      <c r="S9" s="533" t="str">
        <f t="shared" si="6"/>
        <v/>
      </c>
      <c r="T9" s="533" t="str">
        <f t="shared" si="7"/>
        <v/>
      </c>
      <c r="U9" s="514"/>
      <c r="V9" s="513"/>
      <c r="W9" s="513"/>
      <c r="X9" s="513"/>
      <c r="Y9" s="513"/>
      <c r="Z9" s="513"/>
      <c r="AA9" s="513"/>
      <c r="AB9" s="513"/>
      <c r="AC9" s="513"/>
      <c r="AD9" s="514"/>
      <c r="AE9" s="514"/>
      <c r="AF9" s="513"/>
      <c r="AG9" s="302" t="e">
        <f t="shared" si="8"/>
        <v>#DIV/0!</v>
      </c>
      <c r="AH9" s="303" t="e">
        <f>IF(AG9&gt;KKM!$G$10,"A",IF(AG9&gt;KKM!$H$10,"B",IF(AG9&gt;=KKM!$I$10,"C","D")))</f>
        <v>#DIV/0!</v>
      </c>
      <c r="AI9" s="304">
        <f t="shared" si="0"/>
        <v>0</v>
      </c>
      <c r="AJ9" s="309" t="str">
        <f>IF(AI9&gt;KKM!$G$10," sangat baik ",IF(AI9&gt;KKM!$H$10," baik ",IF(AI9&gt;=KKM!$I$10," cukup baik "," perlu bimbingan ")))</f>
        <v xml:space="preserve"> perlu bimbingan </v>
      </c>
      <c r="AK9" s="305">
        <f t="shared" si="1"/>
        <v>0</v>
      </c>
      <c r="AL9" s="309" t="str">
        <f>IF(AK9&gt;KKM!$G$10," sangat baik ",IF(AK9&gt;KKM!$H$10," baik ",IF(AK9&gt;=KKM!$I$10," cukup baik "," perlu bimbingan ")))</f>
        <v xml:space="preserve"> perlu bimbingan </v>
      </c>
      <c r="AM9" s="301" t="str">
        <f t="shared" si="9"/>
        <v xml:space="preserve"> </v>
      </c>
      <c r="AN9" s="218"/>
      <c r="AO9" s="219" t="e">
        <f t="shared" si="2"/>
        <v>#N/A</v>
      </c>
      <c r="AP9" s="219" t="e">
        <f t="shared" si="3"/>
        <v>#N/A</v>
      </c>
      <c r="AQ9" s="219" t="e">
        <f t="shared" si="10"/>
        <v>#N/A</v>
      </c>
      <c r="AR9" s="219" t="e">
        <f t="shared" si="11"/>
        <v>#N/A</v>
      </c>
      <c r="AS9" s="220" t="e">
        <f t="shared" si="12"/>
        <v>#N/A</v>
      </c>
      <c r="AT9" s="214" t="e">
        <f t="shared" si="13"/>
        <v>#N/A</v>
      </c>
      <c r="AU9" s="120"/>
    </row>
    <row r="10" spans="1:64" ht="61.5" customHeight="1">
      <c r="B10" s="109">
        <v>6</v>
      </c>
      <c r="C10" s="110">
        <f>SISWA!B11</f>
        <v>0</v>
      </c>
      <c r="D10" s="111" t="str">
        <f>SISWA!E11</f>
        <v>Anak 6</v>
      </c>
      <c r="E10" s="520"/>
      <c r="F10" s="520"/>
      <c r="G10" s="520"/>
      <c r="H10" s="520"/>
      <c r="I10" s="520"/>
      <c r="J10" s="520"/>
      <c r="K10" s="520"/>
      <c r="L10" s="520"/>
      <c r="M10" s="520"/>
      <c r="N10" s="520"/>
      <c r="O10" s="520"/>
      <c r="P10" s="520"/>
      <c r="Q10" s="533" t="str">
        <f t="shared" si="4"/>
        <v/>
      </c>
      <c r="R10" s="533" t="str">
        <f t="shared" si="5"/>
        <v/>
      </c>
      <c r="S10" s="533" t="str">
        <f t="shared" si="6"/>
        <v/>
      </c>
      <c r="T10" s="533" t="str">
        <f t="shared" si="7"/>
        <v/>
      </c>
      <c r="U10" s="514"/>
      <c r="V10" s="513"/>
      <c r="W10" s="513"/>
      <c r="X10" s="513"/>
      <c r="Y10" s="513"/>
      <c r="Z10" s="513"/>
      <c r="AA10" s="513"/>
      <c r="AB10" s="513"/>
      <c r="AC10" s="513"/>
      <c r="AD10" s="514"/>
      <c r="AE10" s="514"/>
      <c r="AF10" s="513"/>
      <c r="AG10" s="302" t="e">
        <f t="shared" si="8"/>
        <v>#DIV/0!</v>
      </c>
      <c r="AH10" s="303" t="e">
        <f>IF(AG10&gt;KKM!$G$10,"A",IF(AG10&gt;KKM!$H$10,"B",IF(AG10&gt;=KKM!$I$10,"C","D")))</f>
        <v>#DIV/0!</v>
      </c>
      <c r="AI10" s="304">
        <f t="shared" si="0"/>
        <v>0</v>
      </c>
      <c r="AJ10" s="309" t="str">
        <f>IF(AI10&gt;KKM!$G$10," sangat baik ",IF(AI10&gt;KKM!$H$10," baik ",IF(AI10&gt;=KKM!$I$10," cukup baik "," perlu bimbingan ")))</f>
        <v xml:space="preserve"> perlu bimbingan </v>
      </c>
      <c r="AK10" s="305">
        <f t="shared" si="1"/>
        <v>0</v>
      </c>
      <c r="AL10" s="309" t="str">
        <f>IF(AK10&gt;KKM!$G$10," sangat baik ",IF(AK10&gt;KKM!$H$10," baik ",IF(AK10&gt;=KKM!$I$10," cukup baik "," perlu bimbingan ")))</f>
        <v xml:space="preserve"> perlu bimbingan </v>
      </c>
      <c r="AM10" s="301" t="str">
        <f t="shared" si="9"/>
        <v xml:space="preserve"> </v>
      </c>
      <c r="AN10" s="218"/>
      <c r="AO10" s="219" t="e">
        <f t="shared" si="2"/>
        <v>#N/A</v>
      </c>
      <c r="AP10" s="219" t="e">
        <f t="shared" si="3"/>
        <v>#N/A</v>
      </c>
      <c r="AQ10" s="219" t="e">
        <f t="shared" si="10"/>
        <v>#N/A</v>
      </c>
      <c r="AR10" s="219" t="e">
        <f t="shared" si="11"/>
        <v>#N/A</v>
      </c>
      <c r="AS10" s="220" t="e">
        <f t="shared" si="12"/>
        <v>#N/A</v>
      </c>
      <c r="AT10" s="214" t="e">
        <f t="shared" si="13"/>
        <v>#N/A</v>
      </c>
      <c r="AU10" s="120"/>
    </row>
    <row r="11" spans="1:64" ht="61.5" customHeight="1">
      <c r="B11" s="109">
        <v>7</v>
      </c>
      <c r="C11" s="110">
        <f>SISWA!B12</f>
        <v>0</v>
      </c>
      <c r="D11" s="111" t="str">
        <f>SISWA!E12</f>
        <v>Anak 7</v>
      </c>
      <c r="E11" s="520"/>
      <c r="F11" s="520"/>
      <c r="G11" s="520"/>
      <c r="H11" s="520"/>
      <c r="I11" s="520"/>
      <c r="J11" s="520"/>
      <c r="K11" s="520"/>
      <c r="L11" s="520"/>
      <c r="M11" s="520"/>
      <c r="N11" s="520"/>
      <c r="O11" s="520"/>
      <c r="P11" s="520"/>
      <c r="Q11" s="533" t="str">
        <f t="shared" si="4"/>
        <v/>
      </c>
      <c r="R11" s="533" t="str">
        <f t="shared" si="5"/>
        <v/>
      </c>
      <c r="S11" s="533" t="str">
        <f t="shared" si="6"/>
        <v/>
      </c>
      <c r="T11" s="533" t="str">
        <f t="shared" si="7"/>
        <v/>
      </c>
      <c r="U11" s="514"/>
      <c r="V11" s="513"/>
      <c r="W11" s="513"/>
      <c r="X11" s="513"/>
      <c r="Y11" s="513"/>
      <c r="Z11" s="513"/>
      <c r="AA11" s="513"/>
      <c r="AB11" s="513"/>
      <c r="AC11" s="513"/>
      <c r="AD11" s="514"/>
      <c r="AE11" s="514"/>
      <c r="AF11" s="513"/>
      <c r="AG11" s="302" t="e">
        <f t="shared" si="8"/>
        <v>#DIV/0!</v>
      </c>
      <c r="AH11" s="303" t="e">
        <f>IF(AG11&gt;KKM!$G$10,"A",IF(AG11&gt;KKM!$H$10,"B",IF(AG11&gt;=KKM!$I$10,"C","D")))</f>
        <v>#DIV/0!</v>
      </c>
      <c r="AI11" s="304">
        <f t="shared" si="0"/>
        <v>0</v>
      </c>
      <c r="AJ11" s="309" t="str">
        <f>IF(AI11&gt;KKM!$G$10," sangat baik ",IF(AI11&gt;KKM!$H$10," baik ",IF(AI11&gt;=KKM!$I$10," cukup baik "," perlu bimbingan ")))</f>
        <v xml:space="preserve"> perlu bimbingan </v>
      </c>
      <c r="AK11" s="305">
        <f t="shared" si="1"/>
        <v>0</v>
      </c>
      <c r="AL11" s="309" t="str">
        <f>IF(AK11&gt;KKM!$G$10," sangat baik ",IF(AK11&gt;KKM!$H$10," baik ",IF(AK11&gt;=KKM!$I$10," cukup baik "," perlu bimbingan ")))</f>
        <v xml:space="preserve"> perlu bimbingan </v>
      </c>
      <c r="AM11" s="301" t="str">
        <f t="shared" si="9"/>
        <v xml:space="preserve"> </v>
      </c>
      <c r="AN11" s="218"/>
      <c r="AO11" s="219" t="e">
        <f t="shared" si="2"/>
        <v>#N/A</v>
      </c>
      <c r="AP11" s="219" t="e">
        <f t="shared" si="3"/>
        <v>#N/A</v>
      </c>
      <c r="AQ11" s="219" t="e">
        <f t="shared" si="10"/>
        <v>#N/A</v>
      </c>
      <c r="AR11" s="219" t="e">
        <f t="shared" si="11"/>
        <v>#N/A</v>
      </c>
      <c r="AS11" s="220" t="e">
        <f t="shared" si="12"/>
        <v>#N/A</v>
      </c>
      <c r="AT11" s="214" t="e">
        <f t="shared" si="13"/>
        <v>#N/A</v>
      </c>
      <c r="AU11" s="120"/>
    </row>
    <row r="12" spans="1:64" ht="61.5" customHeight="1">
      <c r="B12" s="109">
        <v>8</v>
      </c>
      <c r="C12" s="110">
        <f>SISWA!B13</f>
        <v>0</v>
      </c>
      <c r="D12" s="111" t="str">
        <f>SISWA!E13</f>
        <v>Anak 8</v>
      </c>
      <c r="E12" s="520"/>
      <c r="F12" s="520"/>
      <c r="G12" s="520"/>
      <c r="H12" s="520"/>
      <c r="I12" s="520"/>
      <c r="J12" s="520"/>
      <c r="K12" s="520"/>
      <c r="L12" s="520"/>
      <c r="M12" s="520"/>
      <c r="N12" s="520"/>
      <c r="O12" s="520"/>
      <c r="P12" s="520"/>
      <c r="Q12" s="533" t="str">
        <f t="shared" si="4"/>
        <v/>
      </c>
      <c r="R12" s="533" t="str">
        <f t="shared" si="5"/>
        <v/>
      </c>
      <c r="S12" s="533" t="str">
        <f t="shared" si="6"/>
        <v/>
      </c>
      <c r="T12" s="533" t="str">
        <f t="shared" si="7"/>
        <v/>
      </c>
      <c r="U12" s="514"/>
      <c r="V12" s="513"/>
      <c r="W12" s="513"/>
      <c r="X12" s="513"/>
      <c r="Y12" s="513"/>
      <c r="Z12" s="513"/>
      <c r="AA12" s="513"/>
      <c r="AB12" s="513"/>
      <c r="AC12" s="513"/>
      <c r="AD12" s="514"/>
      <c r="AE12" s="514"/>
      <c r="AF12" s="513"/>
      <c r="AG12" s="302" t="e">
        <f t="shared" si="8"/>
        <v>#DIV/0!</v>
      </c>
      <c r="AH12" s="303" t="e">
        <f>IF(AG12&gt;KKM!$G$10,"A",IF(AG12&gt;KKM!$H$10,"B",IF(AG12&gt;=KKM!$I$10,"C","D")))</f>
        <v>#DIV/0!</v>
      </c>
      <c r="AI12" s="304">
        <f t="shared" si="0"/>
        <v>0</v>
      </c>
      <c r="AJ12" s="309" t="str">
        <f>IF(AI12&gt;KKM!$G$10," sangat baik ",IF(AI12&gt;KKM!$H$10," baik ",IF(AI12&gt;=KKM!$I$10," cukup baik "," perlu bimbingan ")))</f>
        <v xml:space="preserve"> perlu bimbingan </v>
      </c>
      <c r="AK12" s="305">
        <f t="shared" si="1"/>
        <v>0</v>
      </c>
      <c r="AL12" s="309" t="str">
        <f>IF(AK12&gt;KKM!$G$10," sangat baik ",IF(AK12&gt;KKM!$H$10," baik ",IF(AK12&gt;=KKM!$I$10," cukup baik "," perlu bimbingan ")))</f>
        <v xml:space="preserve"> perlu bimbingan </v>
      </c>
      <c r="AM12" s="301" t="str">
        <f t="shared" si="9"/>
        <v xml:space="preserve"> </v>
      </c>
      <c r="AN12" s="218"/>
      <c r="AO12" s="219" t="e">
        <f t="shared" si="2"/>
        <v>#N/A</v>
      </c>
      <c r="AP12" s="219" t="e">
        <f t="shared" si="3"/>
        <v>#N/A</v>
      </c>
      <c r="AQ12" s="219" t="e">
        <f t="shared" si="10"/>
        <v>#N/A</v>
      </c>
      <c r="AR12" s="219" t="e">
        <f t="shared" si="11"/>
        <v>#N/A</v>
      </c>
      <c r="AS12" s="220" t="e">
        <f t="shared" si="12"/>
        <v>#N/A</v>
      </c>
      <c r="AT12" s="214" t="e">
        <f t="shared" si="13"/>
        <v>#N/A</v>
      </c>
      <c r="AU12" s="120"/>
    </row>
    <row r="13" spans="1:64" ht="61.5" customHeight="1">
      <c r="B13" s="109">
        <v>9</v>
      </c>
      <c r="C13" s="110">
        <f>SISWA!B14</f>
        <v>0</v>
      </c>
      <c r="D13" s="111" t="str">
        <f>SISWA!E14</f>
        <v>Anak 9</v>
      </c>
      <c r="E13" s="520"/>
      <c r="F13" s="520"/>
      <c r="G13" s="520"/>
      <c r="H13" s="520"/>
      <c r="I13" s="520"/>
      <c r="J13" s="520"/>
      <c r="K13" s="520"/>
      <c r="L13" s="520"/>
      <c r="M13" s="520"/>
      <c r="N13" s="520"/>
      <c r="O13" s="520"/>
      <c r="P13" s="520"/>
      <c r="Q13" s="533" t="str">
        <f t="shared" si="4"/>
        <v/>
      </c>
      <c r="R13" s="533" t="str">
        <f t="shared" si="5"/>
        <v/>
      </c>
      <c r="S13" s="533" t="str">
        <f t="shared" si="6"/>
        <v/>
      </c>
      <c r="T13" s="533" t="str">
        <f t="shared" si="7"/>
        <v/>
      </c>
      <c r="U13" s="514"/>
      <c r="V13" s="513"/>
      <c r="W13" s="513"/>
      <c r="X13" s="513"/>
      <c r="Y13" s="513"/>
      <c r="Z13" s="513"/>
      <c r="AA13" s="513"/>
      <c r="AB13" s="513"/>
      <c r="AC13" s="513"/>
      <c r="AD13" s="514"/>
      <c r="AE13" s="514"/>
      <c r="AF13" s="513"/>
      <c r="AG13" s="302" t="e">
        <f t="shared" si="8"/>
        <v>#DIV/0!</v>
      </c>
      <c r="AH13" s="303" t="e">
        <f>IF(AG13&gt;KKM!$G$10,"A",IF(AG13&gt;KKM!$H$10,"B",IF(AG13&gt;=KKM!$I$10,"C","D")))</f>
        <v>#DIV/0!</v>
      </c>
      <c r="AI13" s="304">
        <f t="shared" si="0"/>
        <v>0</v>
      </c>
      <c r="AJ13" s="309" t="str">
        <f>IF(AI13&gt;KKM!$G$10," sangat baik ",IF(AI13&gt;KKM!$H$10," baik ",IF(AI13&gt;=KKM!$I$10," cukup baik "," perlu bimbingan ")))</f>
        <v xml:space="preserve"> perlu bimbingan </v>
      </c>
      <c r="AK13" s="305">
        <f t="shared" si="1"/>
        <v>0</v>
      </c>
      <c r="AL13" s="309" t="str">
        <f>IF(AK13&gt;KKM!$G$10," sangat baik ",IF(AK13&gt;KKM!$H$10," baik ",IF(AK13&gt;=KKM!$I$10," cukup baik "," perlu bimbingan ")))</f>
        <v xml:space="preserve"> perlu bimbingan </v>
      </c>
      <c r="AM13" s="301" t="str">
        <f t="shared" si="9"/>
        <v xml:space="preserve"> </v>
      </c>
      <c r="AN13" s="218"/>
      <c r="AO13" s="219" t="e">
        <f t="shared" si="2"/>
        <v>#N/A</v>
      </c>
      <c r="AP13" s="219" t="e">
        <f t="shared" si="3"/>
        <v>#N/A</v>
      </c>
      <c r="AQ13" s="219" t="e">
        <f t="shared" si="10"/>
        <v>#N/A</v>
      </c>
      <c r="AR13" s="219" t="e">
        <f t="shared" si="11"/>
        <v>#N/A</v>
      </c>
      <c r="AS13" s="220" t="e">
        <f t="shared" si="12"/>
        <v>#N/A</v>
      </c>
      <c r="AT13" s="214" t="e">
        <f t="shared" si="13"/>
        <v>#N/A</v>
      </c>
      <c r="AU13" s="120"/>
    </row>
    <row r="14" spans="1:64" ht="61.5" customHeight="1">
      <c r="B14" s="109">
        <v>10</v>
      </c>
      <c r="C14" s="110">
        <f>SISWA!B15</f>
        <v>0</v>
      </c>
      <c r="D14" s="111" t="str">
        <f>SISWA!E15</f>
        <v>Anak 10</v>
      </c>
      <c r="E14" s="520"/>
      <c r="F14" s="520"/>
      <c r="G14" s="520"/>
      <c r="H14" s="520"/>
      <c r="I14" s="520"/>
      <c r="J14" s="520"/>
      <c r="K14" s="520"/>
      <c r="L14" s="520"/>
      <c r="M14" s="520"/>
      <c r="N14" s="520"/>
      <c r="O14" s="520"/>
      <c r="P14" s="520"/>
      <c r="Q14" s="533" t="str">
        <f t="shared" si="4"/>
        <v/>
      </c>
      <c r="R14" s="533" t="str">
        <f t="shared" si="5"/>
        <v/>
      </c>
      <c r="S14" s="533" t="str">
        <f t="shared" si="6"/>
        <v/>
      </c>
      <c r="T14" s="533" t="str">
        <f t="shared" si="7"/>
        <v/>
      </c>
      <c r="U14" s="514"/>
      <c r="V14" s="513"/>
      <c r="W14" s="513"/>
      <c r="X14" s="513"/>
      <c r="Y14" s="513"/>
      <c r="Z14" s="513"/>
      <c r="AA14" s="513"/>
      <c r="AB14" s="513"/>
      <c r="AC14" s="513"/>
      <c r="AD14" s="514"/>
      <c r="AE14" s="514"/>
      <c r="AF14" s="513"/>
      <c r="AG14" s="302" t="e">
        <f t="shared" si="8"/>
        <v>#DIV/0!</v>
      </c>
      <c r="AH14" s="303" t="e">
        <f>IF(AG14&gt;KKM!$G$10,"A",IF(AG14&gt;KKM!$H$10,"B",IF(AG14&gt;=KKM!$I$10,"C","D")))</f>
        <v>#DIV/0!</v>
      </c>
      <c r="AI14" s="304">
        <f t="shared" si="0"/>
        <v>0</v>
      </c>
      <c r="AJ14" s="309" t="str">
        <f>IF(AI14&gt;KKM!$G$10," sangat baik ",IF(AI14&gt;KKM!$H$10," baik ",IF(AI14&gt;=KKM!$I$10," cukup baik "," perlu bimbingan ")))</f>
        <v xml:space="preserve"> perlu bimbingan </v>
      </c>
      <c r="AK14" s="305">
        <f t="shared" si="1"/>
        <v>0</v>
      </c>
      <c r="AL14" s="309" t="str">
        <f>IF(AK14&gt;KKM!$G$10," sangat baik ",IF(AK14&gt;KKM!$H$10," baik ",IF(AK14&gt;=KKM!$I$10," cukup baik "," perlu bimbingan ")))</f>
        <v xml:space="preserve"> perlu bimbingan </v>
      </c>
      <c r="AM14" s="301" t="str">
        <f t="shared" si="9"/>
        <v xml:space="preserve"> </v>
      </c>
      <c r="AN14" s="218"/>
      <c r="AO14" s="219" t="e">
        <f t="shared" si="2"/>
        <v>#N/A</v>
      </c>
      <c r="AP14" s="219" t="e">
        <f t="shared" si="3"/>
        <v>#N/A</v>
      </c>
      <c r="AQ14" s="219" t="e">
        <f t="shared" si="10"/>
        <v>#N/A</v>
      </c>
      <c r="AR14" s="219" t="e">
        <f t="shared" si="11"/>
        <v>#N/A</v>
      </c>
      <c r="AS14" s="220" t="e">
        <f t="shared" si="12"/>
        <v>#N/A</v>
      </c>
      <c r="AT14" s="214" t="e">
        <f t="shared" si="13"/>
        <v>#N/A</v>
      </c>
      <c r="AU14" s="120"/>
    </row>
    <row r="15" spans="1:64" ht="61.5" customHeight="1">
      <c r="B15" s="109">
        <v>11</v>
      </c>
      <c r="C15" s="110">
        <f>SISWA!B16</f>
        <v>0</v>
      </c>
      <c r="D15" s="111" t="str">
        <f>SISWA!E16</f>
        <v>Anak 11</v>
      </c>
      <c r="E15" s="520"/>
      <c r="F15" s="520"/>
      <c r="G15" s="520"/>
      <c r="H15" s="520"/>
      <c r="I15" s="520"/>
      <c r="J15" s="520"/>
      <c r="K15" s="520"/>
      <c r="L15" s="520"/>
      <c r="M15" s="520"/>
      <c r="N15" s="520"/>
      <c r="O15" s="520"/>
      <c r="P15" s="520"/>
      <c r="Q15" s="533" t="str">
        <f t="shared" si="4"/>
        <v/>
      </c>
      <c r="R15" s="533" t="str">
        <f t="shared" si="5"/>
        <v/>
      </c>
      <c r="S15" s="533" t="str">
        <f t="shared" si="6"/>
        <v/>
      </c>
      <c r="T15" s="533" t="str">
        <f t="shared" si="7"/>
        <v/>
      </c>
      <c r="U15" s="514"/>
      <c r="V15" s="513"/>
      <c r="W15" s="513"/>
      <c r="X15" s="513"/>
      <c r="Y15" s="513"/>
      <c r="Z15" s="513"/>
      <c r="AA15" s="513"/>
      <c r="AB15" s="513"/>
      <c r="AC15" s="513"/>
      <c r="AD15" s="514"/>
      <c r="AE15" s="514"/>
      <c r="AF15" s="513"/>
      <c r="AG15" s="302" t="e">
        <f t="shared" si="8"/>
        <v>#DIV/0!</v>
      </c>
      <c r="AH15" s="303" t="e">
        <f>IF(AG15&gt;KKM!$G$10,"A",IF(AG15&gt;KKM!$H$10,"B",IF(AG15&gt;=KKM!$I$10,"C","D")))</f>
        <v>#DIV/0!</v>
      </c>
      <c r="AI15" s="304">
        <f t="shared" si="0"/>
        <v>0</v>
      </c>
      <c r="AJ15" s="309" t="str">
        <f>IF(AI15&gt;KKM!$G$10," sangat baik ",IF(AI15&gt;KKM!$H$10," baik ",IF(AI15&gt;=KKM!$I$10," cukup baik "," perlu bimbingan ")))</f>
        <v xml:space="preserve"> perlu bimbingan </v>
      </c>
      <c r="AK15" s="305">
        <f t="shared" si="1"/>
        <v>0</v>
      </c>
      <c r="AL15" s="309" t="str">
        <f>IF(AK15&gt;KKM!$G$10," sangat baik ",IF(AK15&gt;KKM!$H$10," baik ",IF(AK15&gt;=KKM!$I$10," cukup baik "," perlu bimbingan ")))</f>
        <v xml:space="preserve"> perlu bimbingan </v>
      </c>
      <c r="AM15" s="301" t="str">
        <f t="shared" si="9"/>
        <v xml:space="preserve"> </v>
      </c>
      <c r="AN15" s="218"/>
      <c r="AO15" s="219" t="e">
        <f t="shared" si="2"/>
        <v>#N/A</v>
      </c>
      <c r="AP15" s="219" t="e">
        <f t="shared" si="3"/>
        <v>#N/A</v>
      </c>
      <c r="AQ15" s="219" t="e">
        <f t="shared" si="10"/>
        <v>#N/A</v>
      </c>
      <c r="AR15" s="219" t="e">
        <f t="shared" si="11"/>
        <v>#N/A</v>
      </c>
      <c r="AS15" s="220" t="e">
        <f t="shared" si="12"/>
        <v>#N/A</v>
      </c>
      <c r="AT15" s="214" t="e">
        <f t="shared" si="13"/>
        <v>#N/A</v>
      </c>
      <c r="AU15" s="120"/>
    </row>
    <row r="16" spans="1:64" ht="61.5" customHeight="1">
      <c r="B16" s="109">
        <v>12</v>
      </c>
      <c r="C16" s="110">
        <f>SISWA!B17</f>
        <v>0</v>
      </c>
      <c r="D16" s="111" t="str">
        <f>SISWA!E17</f>
        <v>Anak 12</v>
      </c>
      <c r="E16" s="520"/>
      <c r="F16" s="520"/>
      <c r="G16" s="520"/>
      <c r="H16" s="520"/>
      <c r="I16" s="520"/>
      <c r="J16" s="520"/>
      <c r="K16" s="520"/>
      <c r="L16" s="520"/>
      <c r="M16" s="520"/>
      <c r="N16" s="520"/>
      <c r="O16" s="520"/>
      <c r="P16" s="520"/>
      <c r="Q16" s="533" t="str">
        <f t="shared" si="4"/>
        <v/>
      </c>
      <c r="R16" s="533" t="str">
        <f t="shared" si="5"/>
        <v/>
      </c>
      <c r="S16" s="533" t="str">
        <f t="shared" si="6"/>
        <v/>
      </c>
      <c r="T16" s="533" t="str">
        <f t="shared" si="7"/>
        <v/>
      </c>
      <c r="U16" s="514"/>
      <c r="V16" s="513"/>
      <c r="W16" s="513"/>
      <c r="X16" s="513"/>
      <c r="Y16" s="513"/>
      <c r="Z16" s="513"/>
      <c r="AA16" s="513"/>
      <c r="AB16" s="513"/>
      <c r="AC16" s="513"/>
      <c r="AD16" s="514"/>
      <c r="AE16" s="514"/>
      <c r="AF16" s="513"/>
      <c r="AG16" s="302" t="e">
        <f t="shared" si="8"/>
        <v>#DIV/0!</v>
      </c>
      <c r="AH16" s="303" t="e">
        <f>IF(AG16&gt;KKM!$G$10,"A",IF(AG16&gt;KKM!$H$10,"B",IF(AG16&gt;=KKM!$I$10,"C","D")))</f>
        <v>#DIV/0!</v>
      </c>
      <c r="AI16" s="304">
        <f t="shared" si="0"/>
        <v>0</v>
      </c>
      <c r="AJ16" s="309" t="str">
        <f>IF(AI16&gt;KKM!$G$10," sangat baik ",IF(AI16&gt;KKM!$H$10," baik ",IF(AI16&gt;=KKM!$I$10," cukup baik "," perlu bimbingan ")))</f>
        <v xml:space="preserve"> perlu bimbingan </v>
      </c>
      <c r="AK16" s="305">
        <f t="shared" si="1"/>
        <v>0</v>
      </c>
      <c r="AL16" s="309" t="str">
        <f>IF(AK16&gt;KKM!$G$10," sangat baik ",IF(AK16&gt;KKM!$H$10," baik ",IF(AK16&gt;=KKM!$I$10," cukup baik "," perlu bimbingan ")))</f>
        <v xml:space="preserve"> perlu bimbingan </v>
      </c>
      <c r="AM16" s="301" t="str">
        <f t="shared" si="9"/>
        <v xml:space="preserve"> </v>
      </c>
      <c r="AN16" s="218"/>
      <c r="AO16" s="219" t="e">
        <f t="shared" si="2"/>
        <v>#N/A</v>
      </c>
      <c r="AP16" s="219" t="e">
        <f t="shared" si="3"/>
        <v>#N/A</v>
      </c>
      <c r="AQ16" s="219" t="e">
        <f t="shared" si="10"/>
        <v>#N/A</v>
      </c>
      <c r="AR16" s="219" t="e">
        <f t="shared" si="11"/>
        <v>#N/A</v>
      </c>
      <c r="AS16" s="220" t="e">
        <f t="shared" si="12"/>
        <v>#N/A</v>
      </c>
      <c r="AT16" s="214" t="e">
        <f t="shared" si="13"/>
        <v>#N/A</v>
      </c>
      <c r="AU16" s="120"/>
    </row>
    <row r="17" spans="2:47" ht="61.5" customHeight="1">
      <c r="B17" s="109">
        <v>13</v>
      </c>
      <c r="C17" s="110">
        <f>SISWA!B18</f>
        <v>0</v>
      </c>
      <c r="D17" s="111" t="str">
        <f>SISWA!E18</f>
        <v>Anak 13</v>
      </c>
      <c r="E17" s="520"/>
      <c r="F17" s="520"/>
      <c r="G17" s="520"/>
      <c r="H17" s="520"/>
      <c r="I17" s="520"/>
      <c r="J17" s="520"/>
      <c r="K17" s="520"/>
      <c r="L17" s="520"/>
      <c r="M17" s="520"/>
      <c r="N17" s="520"/>
      <c r="O17" s="520"/>
      <c r="P17" s="520"/>
      <c r="Q17" s="533" t="str">
        <f t="shared" si="4"/>
        <v/>
      </c>
      <c r="R17" s="533" t="str">
        <f t="shared" si="5"/>
        <v/>
      </c>
      <c r="S17" s="533" t="str">
        <f t="shared" si="6"/>
        <v/>
      </c>
      <c r="T17" s="533" t="str">
        <f t="shared" si="7"/>
        <v/>
      </c>
      <c r="U17" s="514"/>
      <c r="V17" s="513"/>
      <c r="W17" s="513"/>
      <c r="X17" s="513"/>
      <c r="Y17" s="513"/>
      <c r="Z17" s="513"/>
      <c r="AA17" s="513"/>
      <c r="AB17" s="513"/>
      <c r="AC17" s="513"/>
      <c r="AD17" s="514"/>
      <c r="AE17" s="514"/>
      <c r="AF17" s="513"/>
      <c r="AG17" s="302" t="e">
        <f t="shared" si="8"/>
        <v>#DIV/0!</v>
      </c>
      <c r="AH17" s="303" t="e">
        <f>IF(AG17&gt;KKM!$G$10,"A",IF(AG17&gt;KKM!$H$10,"B",IF(AG17&gt;=KKM!$I$10,"C","D")))</f>
        <v>#DIV/0!</v>
      </c>
      <c r="AI17" s="304">
        <f t="shared" si="0"/>
        <v>0</v>
      </c>
      <c r="AJ17" s="309" t="str">
        <f>IF(AI17&gt;KKM!$G$10," sangat baik ",IF(AI17&gt;KKM!$H$10," baik ",IF(AI17&gt;=KKM!$I$10," cukup baik "," perlu bimbingan ")))</f>
        <v xml:space="preserve"> perlu bimbingan </v>
      </c>
      <c r="AK17" s="305">
        <f t="shared" si="1"/>
        <v>0</v>
      </c>
      <c r="AL17" s="309" t="str">
        <f>IF(AK17&gt;KKM!$G$10," sangat baik ",IF(AK17&gt;KKM!$H$10," baik ",IF(AK17&gt;=KKM!$I$10," cukup baik "," perlu bimbingan ")))</f>
        <v xml:space="preserve"> perlu bimbingan </v>
      </c>
      <c r="AM17" s="301" t="str">
        <f t="shared" si="9"/>
        <v xml:space="preserve"> </v>
      </c>
      <c r="AN17" s="218"/>
      <c r="AO17" s="219" t="e">
        <f t="shared" si="2"/>
        <v>#N/A</v>
      </c>
      <c r="AP17" s="219" t="e">
        <f t="shared" si="3"/>
        <v>#N/A</v>
      </c>
      <c r="AQ17" s="219" t="e">
        <f t="shared" si="10"/>
        <v>#N/A</v>
      </c>
      <c r="AR17" s="219" t="e">
        <f t="shared" si="11"/>
        <v>#N/A</v>
      </c>
      <c r="AS17" s="220" t="e">
        <f t="shared" si="12"/>
        <v>#N/A</v>
      </c>
      <c r="AT17" s="214" t="e">
        <f t="shared" si="13"/>
        <v>#N/A</v>
      </c>
      <c r="AU17" s="120"/>
    </row>
    <row r="18" spans="2:47" ht="61.5" customHeight="1">
      <c r="B18" s="109">
        <v>14</v>
      </c>
      <c r="C18" s="110">
        <f>SISWA!B19</f>
        <v>0</v>
      </c>
      <c r="D18" s="111" t="str">
        <f>SISWA!E19</f>
        <v>Anak 14</v>
      </c>
      <c r="E18" s="520"/>
      <c r="F18" s="520"/>
      <c r="G18" s="520"/>
      <c r="H18" s="520"/>
      <c r="I18" s="520"/>
      <c r="J18" s="520"/>
      <c r="K18" s="520"/>
      <c r="L18" s="520"/>
      <c r="M18" s="520"/>
      <c r="N18" s="520"/>
      <c r="O18" s="520"/>
      <c r="P18" s="520"/>
      <c r="Q18" s="533" t="str">
        <f t="shared" si="4"/>
        <v/>
      </c>
      <c r="R18" s="533" t="str">
        <f t="shared" si="5"/>
        <v/>
      </c>
      <c r="S18" s="533" t="str">
        <f t="shared" si="6"/>
        <v/>
      </c>
      <c r="T18" s="533" t="str">
        <f t="shared" si="7"/>
        <v/>
      </c>
      <c r="U18" s="514"/>
      <c r="V18" s="513"/>
      <c r="W18" s="513"/>
      <c r="X18" s="513"/>
      <c r="Y18" s="513"/>
      <c r="Z18" s="513"/>
      <c r="AA18" s="513"/>
      <c r="AB18" s="513"/>
      <c r="AC18" s="513"/>
      <c r="AD18" s="514"/>
      <c r="AE18" s="514"/>
      <c r="AF18" s="513"/>
      <c r="AG18" s="302" t="e">
        <f t="shared" si="8"/>
        <v>#DIV/0!</v>
      </c>
      <c r="AH18" s="303" t="e">
        <f>IF(AG18&gt;KKM!$G$10,"A",IF(AG18&gt;KKM!$H$10,"B",IF(AG18&gt;=KKM!$I$10,"C","D")))</f>
        <v>#DIV/0!</v>
      </c>
      <c r="AI18" s="304">
        <f t="shared" si="0"/>
        <v>0</v>
      </c>
      <c r="AJ18" s="309" t="str">
        <f>IF(AI18&gt;KKM!$G$10," sangat baik ",IF(AI18&gt;KKM!$H$10," baik ",IF(AI18&gt;=KKM!$I$10," cukup baik "," perlu bimbingan ")))</f>
        <v xml:space="preserve"> perlu bimbingan </v>
      </c>
      <c r="AK18" s="305">
        <f t="shared" si="1"/>
        <v>0</v>
      </c>
      <c r="AL18" s="309" t="str">
        <f>IF(AK18&gt;KKM!$G$10," sangat baik ",IF(AK18&gt;KKM!$H$10," baik ",IF(AK18&gt;=KKM!$I$10," cukup baik "," perlu bimbingan ")))</f>
        <v xml:space="preserve"> perlu bimbingan </v>
      </c>
      <c r="AM18" s="301" t="str">
        <f t="shared" si="9"/>
        <v xml:space="preserve"> </v>
      </c>
      <c r="AN18" s="218"/>
      <c r="AO18" s="219" t="e">
        <f t="shared" si="2"/>
        <v>#N/A</v>
      </c>
      <c r="AP18" s="219" t="e">
        <f t="shared" si="3"/>
        <v>#N/A</v>
      </c>
      <c r="AQ18" s="219" t="e">
        <f t="shared" si="10"/>
        <v>#N/A</v>
      </c>
      <c r="AR18" s="219" t="e">
        <f t="shared" si="11"/>
        <v>#N/A</v>
      </c>
      <c r="AS18" s="220" t="e">
        <f t="shared" si="12"/>
        <v>#N/A</v>
      </c>
      <c r="AT18" s="214" t="e">
        <f t="shared" si="13"/>
        <v>#N/A</v>
      </c>
      <c r="AU18" s="120"/>
    </row>
    <row r="19" spans="2:47" ht="61.5" customHeight="1">
      <c r="B19" s="109">
        <v>15</v>
      </c>
      <c r="C19" s="110">
        <f>SISWA!B20</f>
        <v>0</v>
      </c>
      <c r="D19" s="111" t="str">
        <f>SISWA!E20</f>
        <v>Anak 15</v>
      </c>
      <c r="E19" s="520"/>
      <c r="F19" s="520"/>
      <c r="G19" s="520"/>
      <c r="H19" s="520"/>
      <c r="I19" s="520"/>
      <c r="J19" s="520"/>
      <c r="K19" s="520"/>
      <c r="L19" s="520"/>
      <c r="M19" s="520"/>
      <c r="N19" s="520"/>
      <c r="O19" s="520"/>
      <c r="P19" s="520"/>
      <c r="Q19" s="533" t="str">
        <f t="shared" si="4"/>
        <v/>
      </c>
      <c r="R19" s="533" t="str">
        <f t="shared" si="5"/>
        <v/>
      </c>
      <c r="S19" s="533" t="str">
        <f t="shared" si="6"/>
        <v/>
      </c>
      <c r="T19" s="533" t="str">
        <f t="shared" si="7"/>
        <v/>
      </c>
      <c r="U19" s="514"/>
      <c r="V19" s="513"/>
      <c r="W19" s="513"/>
      <c r="X19" s="513"/>
      <c r="Y19" s="513"/>
      <c r="Z19" s="513"/>
      <c r="AA19" s="513"/>
      <c r="AB19" s="513"/>
      <c r="AC19" s="513"/>
      <c r="AD19" s="514"/>
      <c r="AE19" s="514"/>
      <c r="AF19" s="513"/>
      <c r="AG19" s="302" t="e">
        <f t="shared" si="8"/>
        <v>#DIV/0!</v>
      </c>
      <c r="AH19" s="303" t="e">
        <f>IF(AG19&gt;KKM!$G$10,"A",IF(AG19&gt;KKM!$H$10,"B",IF(AG19&gt;=KKM!$I$10,"C","D")))</f>
        <v>#DIV/0!</v>
      </c>
      <c r="AI19" s="304">
        <f t="shared" si="0"/>
        <v>0</v>
      </c>
      <c r="AJ19" s="309" t="str">
        <f>IF(AI19&gt;KKM!$G$10," sangat baik ",IF(AI19&gt;KKM!$H$10," baik ",IF(AI19&gt;=KKM!$I$10," cukup baik "," perlu bimbingan ")))</f>
        <v xml:space="preserve"> perlu bimbingan </v>
      </c>
      <c r="AK19" s="305">
        <f t="shared" si="1"/>
        <v>0</v>
      </c>
      <c r="AL19" s="309" t="str">
        <f>IF(AK19&gt;KKM!$G$10," sangat baik ",IF(AK19&gt;KKM!$H$10," baik ",IF(AK19&gt;=KKM!$I$10," cukup baik "," perlu bimbingan ")))</f>
        <v xml:space="preserve"> perlu bimbingan </v>
      </c>
      <c r="AM19" s="301" t="str">
        <f t="shared" si="9"/>
        <v xml:space="preserve"> </v>
      </c>
      <c r="AN19" s="218"/>
      <c r="AO19" s="219" t="e">
        <f t="shared" si="2"/>
        <v>#N/A</v>
      </c>
      <c r="AP19" s="219" t="e">
        <f t="shared" si="3"/>
        <v>#N/A</v>
      </c>
      <c r="AQ19" s="219" t="e">
        <f t="shared" si="10"/>
        <v>#N/A</v>
      </c>
      <c r="AR19" s="219" t="e">
        <f t="shared" si="11"/>
        <v>#N/A</v>
      </c>
      <c r="AS19" s="220" t="e">
        <f t="shared" si="12"/>
        <v>#N/A</v>
      </c>
      <c r="AT19" s="214" t="e">
        <f t="shared" si="13"/>
        <v>#N/A</v>
      </c>
      <c r="AU19" s="120"/>
    </row>
    <row r="20" spans="2:47" ht="61.5" customHeight="1">
      <c r="B20" s="109">
        <v>16</v>
      </c>
      <c r="C20" s="110">
        <f>SISWA!B21</f>
        <v>0</v>
      </c>
      <c r="D20" s="111" t="str">
        <f>SISWA!E21</f>
        <v>Anak 16</v>
      </c>
      <c r="E20" s="520"/>
      <c r="F20" s="520"/>
      <c r="G20" s="520"/>
      <c r="H20" s="520"/>
      <c r="I20" s="520"/>
      <c r="J20" s="520"/>
      <c r="K20" s="520"/>
      <c r="L20" s="520"/>
      <c r="M20" s="520"/>
      <c r="N20" s="520"/>
      <c r="O20" s="520"/>
      <c r="P20" s="520"/>
      <c r="Q20" s="533" t="str">
        <f t="shared" si="4"/>
        <v/>
      </c>
      <c r="R20" s="533" t="str">
        <f t="shared" si="5"/>
        <v/>
      </c>
      <c r="S20" s="533" t="str">
        <f t="shared" si="6"/>
        <v/>
      </c>
      <c r="T20" s="533" t="str">
        <f t="shared" si="7"/>
        <v/>
      </c>
      <c r="U20" s="514"/>
      <c r="V20" s="513"/>
      <c r="W20" s="513"/>
      <c r="X20" s="513"/>
      <c r="Y20" s="513"/>
      <c r="Z20" s="513"/>
      <c r="AA20" s="513"/>
      <c r="AB20" s="513"/>
      <c r="AC20" s="513"/>
      <c r="AD20" s="514"/>
      <c r="AE20" s="514"/>
      <c r="AF20" s="513"/>
      <c r="AG20" s="302" t="e">
        <f t="shared" si="8"/>
        <v>#DIV/0!</v>
      </c>
      <c r="AH20" s="303" t="e">
        <f>IF(AG20&gt;KKM!$G$10,"A",IF(AG20&gt;KKM!$H$10,"B",IF(AG20&gt;=KKM!$I$10,"C","D")))</f>
        <v>#DIV/0!</v>
      </c>
      <c r="AI20" s="304">
        <f t="shared" si="0"/>
        <v>0</v>
      </c>
      <c r="AJ20" s="309" t="str">
        <f>IF(AI20&gt;KKM!$G$10," sangat baik ",IF(AI20&gt;KKM!$H$10," baik ",IF(AI20&gt;=KKM!$I$10," cukup baik "," perlu bimbingan ")))</f>
        <v xml:space="preserve"> perlu bimbingan </v>
      </c>
      <c r="AK20" s="305">
        <f t="shared" si="1"/>
        <v>0</v>
      </c>
      <c r="AL20" s="309" t="str">
        <f>IF(AK20&gt;KKM!$G$10," sangat baik ",IF(AK20&gt;KKM!$H$10," baik ",IF(AK20&gt;=KKM!$I$10," cukup baik "," perlu bimbingan ")))</f>
        <v xml:space="preserve"> perlu bimbingan </v>
      </c>
      <c r="AM20" s="301" t="str">
        <f t="shared" si="9"/>
        <v xml:space="preserve"> </v>
      </c>
      <c r="AN20" s="218"/>
      <c r="AO20" s="219" t="e">
        <f t="shared" si="2"/>
        <v>#N/A</v>
      </c>
      <c r="AP20" s="219" t="e">
        <f t="shared" si="3"/>
        <v>#N/A</v>
      </c>
      <c r="AQ20" s="219" t="e">
        <f t="shared" si="10"/>
        <v>#N/A</v>
      </c>
      <c r="AR20" s="219" t="e">
        <f t="shared" si="11"/>
        <v>#N/A</v>
      </c>
      <c r="AS20" s="220" t="e">
        <f t="shared" si="12"/>
        <v>#N/A</v>
      </c>
      <c r="AT20" s="214" t="e">
        <f t="shared" si="13"/>
        <v>#N/A</v>
      </c>
      <c r="AU20" s="120"/>
    </row>
    <row r="21" spans="2:47" ht="61.5" customHeight="1">
      <c r="B21" s="109">
        <v>17</v>
      </c>
      <c r="C21" s="110">
        <f>SISWA!B22</f>
        <v>0</v>
      </c>
      <c r="D21" s="111" t="str">
        <f>SISWA!E22</f>
        <v>Anak 17</v>
      </c>
      <c r="E21" s="520"/>
      <c r="F21" s="520"/>
      <c r="G21" s="520"/>
      <c r="H21" s="520"/>
      <c r="I21" s="520"/>
      <c r="J21" s="520"/>
      <c r="K21" s="520"/>
      <c r="L21" s="520"/>
      <c r="M21" s="520"/>
      <c r="N21" s="520"/>
      <c r="O21" s="520"/>
      <c r="P21" s="520"/>
      <c r="Q21" s="533" t="str">
        <f t="shared" si="4"/>
        <v/>
      </c>
      <c r="R21" s="533" t="str">
        <f t="shared" si="5"/>
        <v/>
      </c>
      <c r="S21" s="533" t="str">
        <f t="shared" si="6"/>
        <v/>
      </c>
      <c r="T21" s="533" t="str">
        <f t="shared" si="7"/>
        <v/>
      </c>
      <c r="U21" s="514"/>
      <c r="V21" s="513"/>
      <c r="W21" s="513"/>
      <c r="X21" s="513"/>
      <c r="Y21" s="513"/>
      <c r="Z21" s="513"/>
      <c r="AA21" s="513"/>
      <c r="AB21" s="513"/>
      <c r="AC21" s="513"/>
      <c r="AD21" s="514"/>
      <c r="AE21" s="514"/>
      <c r="AF21" s="513"/>
      <c r="AG21" s="302" t="e">
        <f t="shared" si="8"/>
        <v>#DIV/0!</v>
      </c>
      <c r="AH21" s="303" t="e">
        <f>IF(AG21&gt;KKM!$G$10,"A",IF(AG21&gt;KKM!$H$10,"B",IF(AG21&gt;=KKM!$I$10,"C","D")))</f>
        <v>#DIV/0!</v>
      </c>
      <c r="AI21" s="304">
        <f t="shared" si="0"/>
        <v>0</v>
      </c>
      <c r="AJ21" s="309" t="str">
        <f>IF(AI21&gt;KKM!$G$10," sangat baik ",IF(AI21&gt;KKM!$H$10," baik ",IF(AI21&gt;=KKM!$I$10," cukup baik "," perlu bimbingan ")))</f>
        <v xml:space="preserve"> perlu bimbingan </v>
      </c>
      <c r="AK21" s="305">
        <f t="shared" si="1"/>
        <v>0</v>
      </c>
      <c r="AL21" s="309" t="str">
        <f>IF(AK21&gt;KKM!$G$10," sangat baik ",IF(AK21&gt;KKM!$H$10," baik ",IF(AK21&gt;=KKM!$I$10," cukup baik "," perlu bimbingan ")))</f>
        <v xml:space="preserve"> perlu bimbingan </v>
      </c>
      <c r="AM21" s="301" t="str">
        <f t="shared" si="9"/>
        <v xml:space="preserve"> </v>
      </c>
      <c r="AN21" s="218"/>
      <c r="AO21" s="219" t="e">
        <f t="shared" si="2"/>
        <v>#N/A</v>
      </c>
      <c r="AP21" s="219" t="e">
        <f t="shared" si="3"/>
        <v>#N/A</v>
      </c>
      <c r="AQ21" s="219" t="e">
        <f t="shared" si="10"/>
        <v>#N/A</v>
      </c>
      <c r="AR21" s="219" t="e">
        <f t="shared" si="11"/>
        <v>#N/A</v>
      </c>
      <c r="AS21" s="220" t="e">
        <f t="shared" si="12"/>
        <v>#N/A</v>
      </c>
      <c r="AT21" s="214" t="e">
        <f t="shared" si="13"/>
        <v>#N/A</v>
      </c>
      <c r="AU21" s="120"/>
    </row>
    <row r="22" spans="2:47" ht="61.5" customHeight="1">
      <c r="B22" s="109">
        <v>18</v>
      </c>
      <c r="C22" s="110">
        <f>SISWA!B23</f>
        <v>0</v>
      </c>
      <c r="D22" s="111" t="str">
        <f>SISWA!E23</f>
        <v>Anak 18</v>
      </c>
      <c r="E22" s="520"/>
      <c r="F22" s="520"/>
      <c r="G22" s="520"/>
      <c r="H22" s="520"/>
      <c r="I22" s="520"/>
      <c r="J22" s="520"/>
      <c r="K22" s="520"/>
      <c r="L22" s="520"/>
      <c r="M22" s="520"/>
      <c r="N22" s="520"/>
      <c r="O22" s="520"/>
      <c r="P22" s="520"/>
      <c r="Q22" s="533" t="str">
        <f t="shared" si="4"/>
        <v/>
      </c>
      <c r="R22" s="533" t="str">
        <f t="shared" si="5"/>
        <v/>
      </c>
      <c r="S22" s="533" t="str">
        <f t="shared" si="6"/>
        <v/>
      </c>
      <c r="T22" s="533" t="str">
        <f t="shared" si="7"/>
        <v/>
      </c>
      <c r="U22" s="514"/>
      <c r="V22" s="513"/>
      <c r="W22" s="513"/>
      <c r="X22" s="513"/>
      <c r="Y22" s="513"/>
      <c r="Z22" s="513"/>
      <c r="AA22" s="513"/>
      <c r="AB22" s="513"/>
      <c r="AC22" s="513"/>
      <c r="AD22" s="514"/>
      <c r="AE22" s="514"/>
      <c r="AF22" s="513"/>
      <c r="AG22" s="302" t="e">
        <f t="shared" si="8"/>
        <v>#DIV/0!</v>
      </c>
      <c r="AH22" s="303" t="e">
        <f>IF(AG22&gt;KKM!$G$10,"A",IF(AG22&gt;KKM!$H$10,"B",IF(AG22&gt;=KKM!$I$10,"C","D")))</f>
        <v>#DIV/0!</v>
      </c>
      <c r="AI22" s="304">
        <f t="shared" si="0"/>
        <v>0</v>
      </c>
      <c r="AJ22" s="309" t="str">
        <f>IF(AI22&gt;KKM!$G$10," sangat baik ",IF(AI22&gt;KKM!$H$10," baik ",IF(AI22&gt;=KKM!$I$10," cukup baik "," perlu bimbingan ")))</f>
        <v xml:space="preserve"> perlu bimbingan </v>
      </c>
      <c r="AK22" s="305">
        <f t="shared" si="1"/>
        <v>0</v>
      </c>
      <c r="AL22" s="309" t="str">
        <f>IF(AK22&gt;KKM!$G$10," sangat baik ",IF(AK22&gt;KKM!$H$10," baik ",IF(AK22&gt;=KKM!$I$10," cukup baik "," perlu bimbingan ")))</f>
        <v xml:space="preserve"> perlu bimbingan </v>
      </c>
      <c r="AM22" s="301" t="str">
        <f t="shared" si="9"/>
        <v xml:space="preserve"> </v>
      </c>
      <c r="AN22" s="218"/>
      <c r="AO22" s="219" t="e">
        <f t="shared" si="2"/>
        <v>#N/A</v>
      </c>
      <c r="AP22" s="219" t="e">
        <f t="shared" si="3"/>
        <v>#N/A</v>
      </c>
      <c r="AQ22" s="219" t="e">
        <f t="shared" si="10"/>
        <v>#N/A</v>
      </c>
      <c r="AR22" s="219" t="e">
        <f t="shared" si="11"/>
        <v>#N/A</v>
      </c>
      <c r="AS22" s="220" t="e">
        <f t="shared" si="12"/>
        <v>#N/A</v>
      </c>
      <c r="AT22" s="214" t="e">
        <f t="shared" si="13"/>
        <v>#N/A</v>
      </c>
      <c r="AU22" s="120"/>
    </row>
    <row r="23" spans="2:47" ht="61.5" customHeight="1">
      <c r="B23" s="109">
        <v>19</v>
      </c>
      <c r="C23" s="110">
        <f>SISWA!B24</f>
        <v>0</v>
      </c>
      <c r="D23" s="111" t="str">
        <f>SISWA!E24</f>
        <v>Anak 19</v>
      </c>
      <c r="E23" s="520"/>
      <c r="F23" s="520"/>
      <c r="G23" s="520"/>
      <c r="H23" s="520"/>
      <c r="I23" s="520"/>
      <c r="J23" s="520"/>
      <c r="K23" s="520"/>
      <c r="L23" s="520"/>
      <c r="M23" s="520"/>
      <c r="N23" s="520"/>
      <c r="O23" s="520"/>
      <c r="P23" s="520"/>
      <c r="Q23" s="533" t="str">
        <f t="shared" si="4"/>
        <v/>
      </c>
      <c r="R23" s="533" t="str">
        <f t="shared" si="5"/>
        <v/>
      </c>
      <c r="S23" s="533" t="str">
        <f t="shared" si="6"/>
        <v/>
      </c>
      <c r="T23" s="533" t="str">
        <f t="shared" si="7"/>
        <v/>
      </c>
      <c r="U23" s="514"/>
      <c r="V23" s="513"/>
      <c r="W23" s="513"/>
      <c r="X23" s="513"/>
      <c r="Y23" s="513"/>
      <c r="Z23" s="513"/>
      <c r="AA23" s="513"/>
      <c r="AB23" s="513"/>
      <c r="AC23" s="513"/>
      <c r="AD23" s="514"/>
      <c r="AE23" s="514"/>
      <c r="AF23" s="513"/>
      <c r="AG23" s="302" t="e">
        <f t="shared" si="8"/>
        <v>#DIV/0!</v>
      </c>
      <c r="AH23" s="303" t="e">
        <f>IF(AG23&gt;KKM!$G$10,"A",IF(AG23&gt;KKM!$H$10,"B",IF(AG23&gt;=KKM!$I$10,"C","D")))</f>
        <v>#DIV/0!</v>
      </c>
      <c r="AI23" s="304">
        <f t="shared" si="0"/>
        <v>0</v>
      </c>
      <c r="AJ23" s="309" t="str">
        <f>IF(AI23&gt;KKM!$G$10," sangat baik ",IF(AI23&gt;KKM!$H$10," baik ",IF(AI23&gt;=KKM!$I$10," cukup baik "," perlu bimbingan ")))</f>
        <v xml:space="preserve"> perlu bimbingan </v>
      </c>
      <c r="AK23" s="305">
        <f t="shared" si="1"/>
        <v>0</v>
      </c>
      <c r="AL23" s="309" t="str">
        <f>IF(AK23&gt;KKM!$G$10," sangat baik ",IF(AK23&gt;KKM!$H$10," baik ",IF(AK23&gt;=KKM!$I$10," cukup baik "," perlu bimbingan ")))</f>
        <v xml:space="preserve"> perlu bimbingan </v>
      </c>
      <c r="AM23" s="301" t="str">
        <f t="shared" si="9"/>
        <v xml:space="preserve"> </v>
      </c>
      <c r="AN23" s="218"/>
      <c r="AO23" s="219" t="e">
        <f t="shared" si="2"/>
        <v>#N/A</v>
      </c>
      <c r="AP23" s="219" t="e">
        <f t="shared" si="3"/>
        <v>#N/A</v>
      </c>
      <c r="AQ23" s="219" t="e">
        <f t="shared" si="10"/>
        <v>#N/A</v>
      </c>
      <c r="AR23" s="219" t="e">
        <f t="shared" si="11"/>
        <v>#N/A</v>
      </c>
      <c r="AS23" s="220" t="e">
        <f t="shared" si="12"/>
        <v>#N/A</v>
      </c>
      <c r="AT23" s="214" t="e">
        <f t="shared" si="13"/>
        <v>#N/A</v>
      </c>
      <c r="AU23" s="120"/>
    </row>
    <row r="24" spans="2:47" ht="61.5" customHeight="1">
      <c r="B24" s="109">
        <v>20</v>
      </c>
      <c r="C24" s="110">
        <f>SISWA!B25</f>
        <v>0</v>
      </c>
      <c r="D24" s="111" t="str">
        <f>SISWA!E25</f>
        <v>Anak 20</v>
      </c>
      <c r="E24" s="520"/>
      <c r="F24" s="520"/>
      <c r="G24" s="520"/>
      <c r="H24" s="520"/>
      <c r="I24" s="520"/>
      <c r="J24" s="520"/>
      <c r="K24" s="520"/>
      <c r="L24" s="520"/>
      <c r="M24" s="520"/>
      <c r="N24" s="520"/>
      <c r="O24" s="520"/>
      <c r="P24" s="520"/>
      <c r="Q24" s="533" t="str">
        <f t="shared" si="4"/>
        <v/>
      </c>
      <c r="R24" s="533" t="str">
        <f t="shared" si="5"/>
        <v/>
      </c>
      <c r="S24" s="533" t="str">
        <f t="shared" si="6"/>
        <v/>
      </c>
      <c r="T24" s="533" t="str">
        <f t="shared" si="7"/>
        <v/>
      </c>
      <c r="U24" s="514"/>
      <c r="V24" s="513"/>
      <c r="W24" s="513"/>
      <c r="X24" s="513"/>
      <c r="Y24" s="513"/>
      <c r="Z24" s="513"/>
      <c r="AA24" s="513"/>
      <c r="AB24" s="513"/>
      <c r="AC24" s="513"/>
      <c r="AD24" s="514"/>
      <c r="AE24" s="514"/>
      <c r="AF24" s="513"/>
      <c r="AG24" s="302" t="e">
        <f t="shared" si="8"/>
        <v>#DIV/0!</v>
      </c>
      <c r="AH24" s="303" t="e">
        <f>IF(AG24&gt;KKM!$G$10,"A",IF(AG24&gt;KKM!$H$10,"B",IF(AG24&gt;=KKM!$I$10,"C","D")))</f>
        <v>#DIV/0!</v>
      </c>
      <c r="AI24" s="304">
        <f t="shared" si="0"/>
        <v>0</v>
      </c>
      <c r="AJ24" s="309" t="str">
        <f>IF(AI24&gt;KKM!$G$10," sangat baik ",IF(AI24&gt;KKM!$H$10," baik ",IF(AI24&gt;=KKM!$I$10," cukup baik "," perlu bimbingan ")))</f>
        <v xml:space="preserve"> perlu bimbingan </v>
      </c>
      <c r="AK24" s="305">
        <f t="shared" si="1"/>
        <v>0</v>
      </c>
      <c r="AL24" s="309" t="str">
        <f>IF(AK24&gt;KKM!$G$10," sangat baik ",IF(AK24&gt;KKM!$H$10," baik ",IF(AK24&gt;=KKM!$I$10," cukup baik "," perlu bimbingan ")))</f>
        <v xml:space="preserve"> perlu bimbingan </v>
      </c>
      <c r="AM24" s="301" t="str">
        <f t="shared" si="9"/>
        <v xml:space="preserve"> </v>
      </c>
      <c r="AN24" s="218"/>
      <c r="AO24" s="219" t="e">
        <f t="shared" si="2"/>
        <v>#N/A</v>
      </c>
      <c r="AP24" s="219" t="e">
        <f t="shared" si="3"/>
        <v>#N/A</v>
      </c>
      <c r="AQ24" s="219" t="e">
        <f t="shared" si="10"/>
        <v>#N/A</v>
      </c>
      <c r="AR24" s="219" t="e">
        <f t="shared" si="11"/>
        <v>#N/A</v>
      </c>
      <c r="AS24" s="220" t="e">
        <f t="shared" si="12"/>
        <v>#N/A</v>
      </c>
      <c r="AT24" s="214" t="e">
        <f t="shared" si="13"/>
        <v>#N/A</v>
      </c>
      <c r="AU24" s="120"/>
    </row>
    <row r="25" spans="2:47" ht="61.5" customHeight="1">
      <c r="B25" s="109">
        <v>21</v>
      </c>
      <c r="C25" s="110">
        <f>SISWA!B26</f>
        <v>0</v>
      </c>
      <c r="D25" s="111" t="str">
        <f>SISWA!E26</f>
        <v>Anak 21</v>
      </c>
      <c r="E25" s="520"/>
      <c r="F25" s="520"/>
      <c r="G25" s="520"/>
      <c r="H25" s="520"/>
      <c r="I25" s="520"/>
      <c r="J25" s="520"/>
      <c r="K25" s="520"/>
      <c r="L25" s="520"/>
      <c r="M25" s="520"/>
      <c r="N25" s="520"/>
      <c r="O25" s="520"/>
      <c r="P25" s="520"/>
      <c r="Q25" s="533" t="str">
        <f t="shared" si="4"/>
        <v/>
      </c>
      <c r="R25" s="533" t="str">
        <f t="shared" si="5"/>
        <v/>
      </c>
      <c r="S25" s="533" t="str">
        <f t="shared" si="6"/>
        <v/>
      </c>
      <c r="T25" s="533" t="str">
        <f t="shared" si="7"/>
        <v/>
      </c>
      <c r="U25" s="514"/>
      <c r="V25" s="513"/>
      <c r="W25" s="513"/>
      <c r="X25" s="513"/>
      <c r="Y25" s="513"/>
      <c r="Z25" s="513"/>
      <c r="AA25" s="513"/>
      <c r="AB25" s="513"/>
      <c r="AC25" s="513"/>
      <c r="AD25" s="514"/>
      <c r="AE25" s="514"/>
      <c r="AF25" s="513"/>
      <c r="AG25" s="302" t="e">
        <f t="shared" si="8"/>
        <v>#DIV/0!</v>
      </c>
      <c r="AH25" s="303" t="e">
        <f>IF(AG25&gt;KKM!$G$10,"A",IF(AG25&gt;KKM!$H$10,"B",IF(AG25&gt;=KKM!$I$10,"C","D")))</f>
        <v>#DIV/0!</v>
      </c>
      <c r="AI25" s="304">
        <f t="shared" si="0"/>
        <v>0</v>
      </c>
      <c r="AJ25" s="309" t="str">
        <f>IF(AI25&gt;KKM!$G$10," sangat baik ",IF(AI25&gt;KKM!$H$10," baik ",IF(AI25&gt;=KKM!$I$10," cukup baik "," perlu bimbingan ")))</f>
        <v xml:space="preserve"> perlu bimbingan </v>
      </c>
      <c r="AK25" s="305">
        <f t="shared" si="1"/>
        <v>0</v>
      </c>
      <c r="AL25" s="309" t="str">
        <f>IF(AK25&gt;KKM!$G$10," sangat baik ",IF(AK25&gt;KKM!$H$10," baik ",IF(AK25&gt;=KKM!$I$10," cukup baik "," perlu bimbingan ")))</f>
        <v xml:space="preserve"> perlu bimbingan </v>
      </c>
      <c r="AM25" s="301" t="str">
        <f t="shared" si="9"/>
        <v xml:space="preserve"> </v>
      </c>
      <c r="AN25" s="218"/>
      <c r="AO25" s="219" t="e">
        <f t="shared" si="2"/>
        <v>#N/A</v>
      </c>
      <c r="AP25" s="219" t="e">
        <f t="shared" si="3"/>
        <v>#N/A</v>
      </c>
      <c r="AQ25" s="219" t="e">
        <f t="shared" si="10"/>
        <v>#N/A</v>
      </c>
      <c r="AR25" s="219" t="e">
        <f t="shared" si="11"/>
        <v>#N/A</v>
      </c>
      <c r="AS25" s="220" t="e">
        <f t="shared" si="12"/>
        <v>#N/A</v>
      </c>
      <c r="AT25" s="214" t="e">
        <f t="shared" si="13"/>
        <v>#N/A</v>
      </c>
      <c r="AU25" s="120"/>
    </row>
    <row r="26" spans="2:47" ht="61.5" customHeight="1">
      <c r="B26" s="109">
        <v>22</v>
      </c>
      <c r="C26" s="110">
        <f>SISWA!B27</f>
        <v>0</v>
      </c>
      <c r="D26" s="111" t="str">
        <f>SISWA!E27</f>
        <v>Anak 22</v>
      </c>
      <c r="E26" s="520"/>
      <c r="F26" s="520"/>
      <c r="G26" s="520"/>
      <c r="H26" s="520"/>
      <c r="I26" s="520"/>
      <c r="J26" s="520"/>
      <c r="K26" s="520"/>
      <c r="L26" s="520"/>
      <c r="M26" s="520"/>
      <c r="N26" s="520"/>
      <c r="O26" s="520"/>
      <c r="P26" s="520"/>
      <c r="Q26" s="533" t="str">
        <f t="shared" si="4"/>
        <v/>
      </c>
      <c r="R26" s="533" t="str">
        <f t="shared" si="5"/>
        <v/>
      </c>
      <c r="S26" s="533" t="str">
        <f t="shared" si="6"/>
        <v/>
      </c>
      <c r="T26" s="533" t="str">
        <f t="shared" si="7"/>
        <v/>
      </c>
      <c r="U26" s="514"/>
      <c r="V26" s="513"/>
      <c r="W26" s="513"/>
      <c r="X26" s="513"/>
      <c r="Y26" s="513"/>
      <c r="Z26" s="513"/>
      <c r="AA26" s="513"/>
      <c r="AB26" s="513"/>
      <c r="AC26" s="513"/>
      <c r="AD26" s="514"/>
      <c r="AE26" s="514"/>
      <c r="AF26" s="513"/>
      <c r="AG26" s="302" t="e">
        <f t="shared" si="8"/>
        <v>#DIV/0!</v>
      </c>
      <c r="AH26" s="303" t="e">
        <f>IF(AG26&gt;KKM!$G$10,"A",IF(AG26&gt;KKM!$H$10,"B",IF(AG26&gt;=KKM!$I$10,"C","D")))</f>
        <v>#DIV/0!</v>
      </c>
      <c r="AI26" s="304">
        <f t="shared" si="0"/>
        <v>0</v>
      </c>
      <c r="AJ26" s="309" t="str">
        <f>IF(AI26&gt;KKM!$G$10," sangat baik ",IF(AI26&gt;KKM!$H$10," baik ",IF(AI26&gt;=KKM!$I$10," cukup baik "," perlu bimbingan ")))</f>
        <v xml:space="preserve"> perlu bimbingan </v>
      </c>
      <c r="AK26" s="305">
        <f t="shared" si="1"/>
        <v>0</v>
      </c>
      <c r="AL26" s="309" t="str">
        <f>IF(AK26&gt;KKM!$G$10," sangat baik ",IF(AK26&gt;KKM!$H$10," baik ",IF(AK26&gt;=KKM!$I$10," cukup baik "," perlu bimbingan ")))</f>
        <v xml:space="preserve"> perlu bimbingan </v>
      </c>
      <c r="AM26" s="301" t="str">
        <f t="shared" si="9"/>
        <v xml:space="preserve"> </v>
      </c>
      <c r="AN26" s="218"/>
      <c r="AO26" s="219" t="e">
        <f t="shared" si="2"/>
        <v>#N/A</v>
      </c>
      <c r="AP26" s="219" t="e">
        <f t="shared" si="3"/>
        <v>#N/A</v>
      </c>
      <c r="AQ26" s="219" t="e">
        <f t="shared" si="10"/>
        <v>#N/A</v>
      </c>
      <c r="AR26" s="219" t="e">
        <f t="shared" si="11"/>
        <v>#N/A</v>
      </c>
      <c r="AS26" s="220" t="e">
        <f t="shared" si="12"/>
        <v>#N/A</v>
      </c>
      <c r="AT26" s="214" t="e">
        <f t="shared" si="13"/>
        <v>#N/A</v>
      </c>
      <c r="AU26" s="120"/>
    </row>
    <row r="27" spans="2:47" ht="61.5" customHeight="1">
      <c r="B27" s="109">
        <v>23</v>
      </c>
      <c r="C27" s="110">
        <f>SISWA!B28</f>
        <v>0</v>
      </c>
      <c r="D27" s="111" t="str">
        <f>SISWA!E28</f>
        <v>Anak 23</v>
      </c>
      <c r="E27" s="520"/>
      <c r="F27" s="520"/>
      <c r="G27" s="520"/>
      <c r="H27" s="520"/>
      <c r="I27" s="520"/>
      <c r="J27" s="520"/>
      <c r="K27" s="520"/>
      <c r="L27" s="520"/>
      <c r="M27" s="520"/>
      <c r="N27" s="520"/>
      <c r="O27" s="520"/>
      <c r="P27" s="520"/>
      <c r="Q27" s="533" t="str">
        <f t="shared" si="4"/>
        <v/>
      </c>
      <c r="R27" s="533" t="str">
        <f t="shared" si="5"/>
        <v/>
      </c>
      <c r="S27" s="533" t="str">
        <f t="shared" si="6"/>
        <v/>
      </c>
      <c r="T27" s="533" t="str">
        <f t="shared" si="7"/>
        <v/>
      </c>
      <c r="U27" s="514"/>
      <c r="V27" s="513"/>
      <c r="W27" s="513"/>
      <c r="X27" s="513"/>
      <c r="Y27" s="513"/>
      <c r="Z27" s="513"/>
      <c r="AA27" s="513"/>
      <c r="AB27" s="513"/>
      <c r="AC27" s="513"/>
      <c r="AD27" s="514"/>
      <c r="AE27" s="514"/>
      <c r="AF27" s="513"/>
      <c r="AG27" s="302" t="e">
        <f t="shared" si="8"/>
        <v>#DIV/0!</v>
      </c>
      <c r="AH27" s="303" t="e">
        <f>IF(AG27&gt;KKM!$G$10,"A",IF(AG27&gt;KKM!$H$10,"B",IF(AG27&gt;=KKM!$I$10,"C","D")))</f>
        <v>#DIV/0!</v>
      </c>
      <c r="AI27" s="304">
        <f t="shared" si="0"/>
        <v>0</v>
      </c>
      <c r="AJ27" s="309" t="str">
        <f>IF(AI27&gt;KKM!$G$10," sangat baik ",IF(AI27&gt;KKM!$H$10," baik ",IF(AI27&gt;=KKM!$I$10," cukup baik "," perlu bimbingan ")))</f>
        <v xml:space="preserve"> perlu bimbingan </v>
      </c>
      <c r="AK27" s="305">
        <f t="shared" si="1"/>
        <v>0</v>
      </c>
      <c r="AL27" s="309" t="str">
        <f>IF(AK27&gt;KKM!$G$10," sangat baik ",IF(AK27&gt;KKM!$H$10," baik ",IF(AK27&gt;=KKM!$I$10," cukup baik "," perlu bimbingan ")))</f>
        <v xml:space="preserve"> perlu bimbingan </v>
      </c>
      <c r="AM27" s="301" t="str">
        <f t="shared" si="9"/>
        <v xml:space="preserve"> </v>
      </c>
      <c r="AN27" s="218"/>
      <c r="AO27" s="219" t="e">
        <f t="shared" si="2"/>
        <v>#N/A</v>
      </c>
      <c r="AP27" s="219" t="e">
        <f t="shared" si="3"/>
        <v>#N/A</v>
      </c>
      <c r="AQ27" s="219" t="e">
        <f t="shared" si="10"/>
        <v>#N/A</v>
      </c>
      <c r="AR27" s="219" t="e">
        <f t="shared" si="11"/>
        <v>#N/A</v>
      </c>
      <c r="AS27" s="220" t="e">
        <f t="shared" si="12"/>
        <v>#N/A</v>
      </c>
      <c r="AT27" s="214" t="e">
        <f t="shared" si="13"/>
        <v>#N/A</v>
      </c>
      <c r="AU27" s="120"/>
    </row>
    <row r="28" spans="2:47" ht="61.5" customHeight="1">
      <c r="B28" s="109">
        <v>24</v>
      </c>
      <c r="C28" s="110">
        <f>SISWA!B29</f>
        <v>0</v>
      </c>
      <c r="D28" s="111" t="str">
        <f>SISWA!E29</f>
        <v>Anak 24</v>
      </c>
      <c r="E28" s="520"/>
      <c r="F28" s="520"/>
      <c r="G28" s="520"/>
      <c r="H28" s="520"/>
      <c r="I28" s="520"/>
      <c r="J28" s="520"/>
      <c r="K28" s="520"/>
      <c r="L28" s="520"/>
      <c r="M28" s="520"/>
      <c r="N28" s="520"/>
      <c r="O28" s="520"/>
      <c r="P28" s="520"/>
      <c r="Q28" s="533" t="str">
        <f t="shared" si="4"/>
        <v/>
      </c>
      <c r="R28" s="533" t="str">
        <f t="shared" si="5"/>
        <v/>
      </c>
      <c r="S28" s="533" t="str">
        <f t="shared" si="6"/>
        <v/>
      </c>
      <c r="T28" s="533" t="str">
        <f t="shared" si="7"/>
        <v/>
      </c>
      <c r="U28" s="514"/>
      <c r="V28" s="513"/>
      <c r="W28" s="513"/>
      <c r="X28" s="513"/>
      <c r="Y28" s="513"/>
      <c r="Z28" s="513"/>
      <c r="AA28" s="513"/>
      <c r="AB28" s="513"/>
      <c r="AC28" s="513"/>
      <c r="AD28" s="514"/>
      <c r="AE28" s="514"/>
      <c r="AF28" s="513"/>
      <c r="AG28" s="302" t="e">
        <f t="shared" si="8"/>
        <v>#DIV/0!</v>
      </c>
      <c r="AH28" s="303" t="e">
        <f>IF(AG28&gt;KKM!$G$10,"A",IF(AG28&gt;KKM!$H$10,"B",IF(AG28&gt;=KKM!$I$10,"C","D")))</f>
        <v>#DIV/0!</v>
      </c>
      <c r="AI28" s="304">
        <f t="shared" si="0"/>
        <v>0</v>
      </c>
      <c r="AJ28" s="309" t="str">
        <f>IF(AI28&gt;KKM!$G$10," sangat baik ",IF(AI28&gt;KKM!$H$10," baik ",IF(AI28&gt;=KKM!$I$10," cukup baik "," perlu bimbingan ")))</f>
        <v xml:space="preserve"> perlu bimbingan </v>
      </c>
      <c r="AK28" s="305">
        <f t="shared" si="1"/>
        <v>0</v>
      </c>
      <c r="AL28" s="309" t="str">
        <f>IF(AK28&gt;KKM!$G$10," sangat baik ",IF(AK28&gt;KKM!$H$10," baik ",IF(AK28&gt;=KKM!$I$10," cukup baik "," perlu bimbingan ")))</f>
        <v xml:space="preserve"> perlu bimbingan </v>
      </c>
      <c r="AM28" s="301" t="str">
        <f t="shared" si="9"/>
        <v xml:space="preserve"> </v>
      </c>
      <c r="AN28" s="218"/>
      <c r="AO28" s="219" t="e">
        <f t="shared" si="2"/>
        <v>#N/A</v>
      </c>
      <c r="AP28" s="219" t="e">
        <f t="shared" si="3"/>
        <v>#N/A</v>
      </c>
      <c r="AQ28" s="219" t="e">
        <f t="shared" si="10"/>
        <v>#N/A</v>
      </c>
      <c r="AR28" s="219" t="e">
        <f t="shared" si="11"/>
        <v>#N/A</v>
      </c>
      <c r="AS28" s="220" t="e">
        <f t="shared" si="12"/>
        <v>#N/A</v>
      </c>
      <c r="AT28" s="214" t="e">
        <f t="shared" si="13"/>
        <v>#N/A</v>
      </c>
      <c r="AU28" s="120"/>
    </row>
    <row r="29" spans="2:47" ht="61.5" customHeight="1">
      <c r="B29" s="109">
        <v>25</v>
      </c>
      <c r="C29" s="110">
        <f>SISWA!B30</f>
        <v>0</v>
      </c>
      <c r="D29" s="111" t="str">
        <f>SISWA!E30</f>
        <v>Anak 25</v>
      </c>
      <c r="E29" s="520"/>
      <c r="F29" s="520"/>
      <c r="G29" s="520"/>
      <c r="H29" s="520"/>
      <c r="I29" s="520"/>
      <c r="J29" s="520"/>
      <c r="K29" s="520"/>
      <c r="L29" s="520"/>
      <c r="M29" s="520"/>
      <c r="N29" s="520"/>
      <c r="O29" s="520"/>
      <c r="P29" s="520"/>
      <c r="Q29" s="533" t="str">
        <f t="shared" si="4"/>
        <v/>
      </c>
      <c r="R29" s="533" t="str">
        <f t="shared" si="5"/>
        <v/>
      </c>
      <c r="S29" s="533" t="str">
        <f t="shared" si="6"/>
        <v/>
      </c>
      <c r="T29" s="533" t="str">
        <f t="shared" si="7"/>
        <v/>
      </c>
      <c r="U29" s="514"/>
      <c r="V29" s="513"/>
      <c r="W29" s="513"/>
      <c r="X29" s="513"/>
      <c r="Y29" s="513"/>
      <c r="Z29" s="513"/>
      <c r="AA29" s="513"/>
      <c r="AB29" s="513"/>
      <c r="AC29" s="513"/>
      <c r="AD29" s="514"/>
      <c r="AE29" s="514"/>
      <c r="AF29" s="513"/>
      <c r="AG29" s="302" t="e">
        <f t="shared" si="8"/>
        <v>#DIV/0!</v>
      </c>
      <c r="AH29" s="303" t="e">
        <f>IF(AG29&gt;KKM!$G$10,"A",IF(AG29&gt;KKM!$H$10,"B",IF(AG29&gt;=KKM!$I$10,"C","D")))</f>
        <v>#DIV/0!</v>
      </c>
      <c r="AI29" s="304">
        <f t="shared" si="0"/>
        <v>0</v>
      </c>
      <c r="AJ29" s="309" t="str">
        <f>IF(AI29&gt;KKM!$G$10," sangat baik ",IF(AI29&gt;KKM!$H$10," baik ",IF(AI29&gt;=KKM!$I$10," cukup baik "," perlu bimbingan ")))</f>
        <v xml:space="preserve"> perlu bimbingan </v>
      </c>
      <c r="AK29" s="305">
        <f t="shared" si="1"/>
        <v>0</v>
      </c>
      <c r="AL29" s="309" t="str">
        <f>IF(AK29&gt;KKM!$G$10," sangat baik ",IF(AK29&gt;KKM!$H$10," baik ",IF(AK29&gt;=KKM!$I$10," cukup baik "," perlu bimbingan ")))</f>
        <v xml:space="preserve"> perlu bimbingan </v>
      </c>
      <c r="AM29" s="301" t="str">
        <f t="shared" si="9"/>
        <v xml:space="preserve"> </v>
      </c>
      <c r="AN29" s="218"/>
      <c r="AO29" s="219" t="e">
        <f t="shared" si="2"/>
        <v>#N/A</v>
      </c>
      <c r="AP29" s="219" t="e">
        <f t="shared" si="3"/>
        <v>#N/A</v>
      </c>
      <c r="AQ29" s="219" t="e">
        <f t="shared" si="10"/>
        <v>#N/A</v>
      </c>
      <c r="AR29" s="219" t="e">
        <f t="shared" si="11"/>
        <v>#N/A</v>
      </c>
      <c r="AS29" s="220" t="e">
        <f t="shared" si="12"/>
        <v>#N/A</v>
      </c>
      <c r="AT29" s="214" t="e">
        <f t="shared" si="13"/>
        <v>#N/A</v>
      </c>
      <c r="AU29" s="120"/>
    </row>
    <row r="30" spans="2:47" ht="61.5" customHeight="1">
      <c r="B30" s="109">
        <v>26</v>
      </c>
      <c r="C30" s="110">
        <f>SISWA!B31</f>
        <v>0</v>
      </c>
      <c r="D30" s="111" t="str">
        <f>SISWA!E31</f>
        <v>Anak 26</v>
      </c>
      <c r="E30" s="520"/>
      <c r="F30" s="520"/>
      <c r="G30" s="520"/>
      <c r="H30" s="520"/>
      <c r="I30" s="520"/>
      <c r="J30" s="520"/>
      <c r="K30" s="520"/>
      <c r="L30" s="520"/>
      <c r="M30" s="520"/>
      <c r="N30" s="520"/>
      <c r="O30" s="520"/>
      <c r="P30" s="520"/>
      <c r="Q30" s="533" t="str">
        <f t="shared" si="4"/>
        <v/>
      </c>
      <c r="R30" s="533" t="str">
        <f t="shared" si="5"/>
        <v/>
      </c>
      <c r="S30" s="533" t="str">
        <f t="shared" si="6"/>
        <v/>
      </c>
      <c r="T30" s="533" t="str">
        <f t="shared" si="7"/>
        <v/>
      </c>
      <c r="U30" s="514"/>
      <c r="V30" s="513"/>
      <c r="W30" s="513"/>
      <c r="X30" s="513"/>
      <c r="Y30" s="513"/>
      <c r="Z30" s="513"/>
      <c r="AA30" s="513"/>
      <c r="AB30" s="513"/>
      <c r="AC30" s="513"/>
      <c r="AD30" s="514"/>
      <c r="AE30" s="514"/>
      <c r="AF30" s="513"/>
      <c r="AG30" s="302" t="e">
        <f t="shared" si="8"/>
        <v>#DIV/0!</v>
      </c>
      <c r="AH30" s="303" t="e">
        <f>IF(AG30&gt;KKM!$G$10,"A",IF(AG30&gt;KKM!$H$10,"B",IF(AG30&gt;=KKM!$I$10,"C","D")))</f>
        <v>#DIV/0!</v>
      </c>
      <c r="AI30" s="304">
        <f t="shared" si="0"/>
        <v>0</v>
      </c>
      <c r="AJ30" s="309" t="str">
        <f>IF(AI30&gt;KKM!$G$10," sangat baik ",IF(AI30&gt;KKM!$H$10," baik ",IF(AI30&gt;=KKM!$I$10," cukup baik "," perlu bimbingan ")))</f>
        <v xml:space="preserve"> perlu bimbingan </v>
      </c>
      <c r="AK30" s="305">
        <f t="shared" si="1"/>
        <v>0</v>
      </c>
      <c r="AL30" s="309" t="str">
        <f>IF(AK30&gt;KKM!$G$10," sangat baik ",IF(AK30&gt;KKM!$H$10," baik ",IF(AK30&gt;=KKM!$I$10," cukup baik "," perlu bimbingan ")))</f>
        <v xml:space="preserve"> perlu bimbingan </v>
      </c>
      <c r="AM30" s="301" t="str">
        <f t="shared" si="9"/>
        <v xml:space="preserve"> </v>
      </c>
      <c r="AN30" s="218"/>
      <c r="AO30" s="219" t="e">
        <f t="shared" si="2"/>
        <v>#N/A</v>
      </c>
      <c r="AP30" s="219" t="e">
        <f t="shared" si="3"/>
        <v>#N/A</v>
      </c>
      <c r="AQ30" s="219" t="e">
        <f t="shared" si="10"/>
        <v>#N/A</v>
      </c>
      <c r="AR30" s="219" t="e">
        <f t="shared" si="11"/>
        <v>#N/A</v>
      </c>
      <c r="AS30" s="220" t="e">
        <f t="shared" si="12"/>
        <v>#N/A</v>
      </c>
      <c r="AT30" s="214" t="e">
        <f t="shared" si="13"/>
        <v>#N/A</v>
      </c>
      <c r="AU30" s="120"/>
    </row>
    <row r="31" spans="2:47" ht="61.5" customHeight="1">
      <c r="B31" s="109">
        <v>27</v>
      </c>
      <c r="C31" s="110">
        <f>SISWA!B32</f>
        <v>0</v>
      </c>
      <c r="D31" s="111" t="str">
        <f>SISWA!E32</f>
        <v>Anak 27</v>
      </c>
      <c r="E31" s="520"/>
      <c r="F31" s="520"/>
      <c r="G31" s="520"/>
      <c r="H31" s="520"/>
      <c r="I31" s="520"/>
      <c r="J31" s="520"/>
      <c r="K31" s="520"/>
      <c r="L31" s="520"/>
      <c r="M31" s="520"/>
      <c r="N31" s="520"/>
      <c r="O31" s="520"/>
      <c r="P31" s="520"/>
      <c r="Q31" s="533" t="str">
        <f t="shared" si="4"/>
        <v/>
      </c>
      <c r="R31" s="533" t="str">
        <f t="shared" si="5"/>
        <v/>
      </c>
      <c r="S31" s="533" t="str">
        <f t="shared" si="6"/>
        <v/>
      </c>
      <c r="T31" s="533" t="str">
        <f t="shared" si="7"/>
        <v/>
      </c>
      <c r="U31" s="514"/>
      <c r="V31" s="513"/>
      <c r="W31" s="513"/>
      <c r="X31" s="513"/>
      <c r="Y31" s="513"/>
      <c r="Z31" s="513"/>
      <c r="AA31" s="513"/>
      <c r="AB31" s="513"/>
      <c r="AC31" s="513"/>
      <c r="AD31" s="514"/>
      <c r="AE31" s="514"/>
      <c r="AF31" s="513"/>
      <c r="AG31" s="302" t="e">
        <f t="shared" si="8"/>
        <v>#DIV/0!</v>
      </c>
      <c r="AH31" s="303" t="e">
        <f>IF(AG31&gt;KKM!$G$10,"A",IF(AG31&gt;KKM!$H$10,"B",IF(AG31&gt;=KKM!$I$10,"C","D")))</f>
        <v>#DIV/0!</v>
      </c>
      <c r="AI31" s="304">
        <f t="shared" si="0"/>
        <v>0</v>
      </c>
      <c r="AJ31" s="309" t="str">
        <f>IF(AI31&gt;KKM!$G$10," sangat baik ",IF(AI31&gt;KKM!$H$10," baik ",IF(AI31&gt;=KKM!$I$10," cukup baik "," perlu bimbingan ")))</f>
        <v xml:space="preserve"> perlu bimbingan </v>
      </c>
      <c r="AK31" s="305">
        <f t="shared" si="1"/>
        <v>0</v>
      </c>
      <c r="AL31" s="309" t="str">
        <f>IF(AK31&gt;KKM!$G$10," sangat baik ",IF(AK31&gt;KKM!$H$10," baik ",IF(AK31&gt;=KKM!$I$10," cukup baik "," perlu bimbingan ")))</f>
        <v xml:space="preserve"> perlu bimbingan </v>
      </c>
      <c r="AM31" s="301" t="str">
        <f t="shared" si="9"/>
        <v xml:space="preserve"> </v>
      </c>
      <c r="AN31" s="218"/>
      <c r="AO31" s="219" t="e">
        <f t="shared" si="2"/>
        <v>#N/A</v>
      </c>
      <c r="AP31" s="219" t="e">
        <f t="shared" si="3"/>
        <v>#N/A</v>
      </c>
      <c r="AQ31" s="219" t="e">
        <f t="shared" si="10"/>
        <v>#N/A</v>
      </c>
      <c r="AR31" s="219" t="e">
        <f t="shared" si="11"/>
        <v>#N/A</v>
      </c>
      <c r="AS31" s="220" t="e">
        <f t="shared" si="12"/>
        <v>#N/A</v>
      </c>
      <c r="AT31" s="214" t="e">
        <f t="shared" si="13"/>
        <v>#N/A</v>
      </c>
      <c r="AU31" s="120"/>
    </row>
    <row r="32" spans="2:47" ht="61.5" customHeight="1">
      <c r="B32" s="109">
        <v>28</v>
      </c>
      <c r="C32" s="110">
        <f>SISWA!B33</f>
        <v>0</v>
      </c>
      <c r="D32" s="111" t="str">
        <f>SISWA!E33</f>
        <v>Anak 28</v>
      </c>
      <c r="E32" s="520"/>
      <c r="F32" s="520"/>
      <c r="G32" s="520"/>
      <c r="H32" s="520"/>
      <c r="I32" s="520"/>
      <c r="J32" s="520"/>
      <c r="K32" s="520"/>
      <c r="L32" s="520"/>
      <c r="M32" s="520"/>
      <c r="N32" s="520"/>
      <c r="O32" s="520"/>
      <c r="P32" s="520"/>
      <c r="Q32" s="533" t="str">
        <f t="shared" si="4"/>
        <v/>
      </c>
      <c r="R32" s="533" t="str">
        <f t="shared" si="5"/>
        <v/>
      </c>
      <c r="S32" s="533" t="str">
        <f t="shared" si="6"/>
        <v/>
      </c>
      <c r="T32" s="533" t="str">
        <f t="shared" si="7"/>
        <v/>
      </c>
      <c r="U32" s="514"/>
      <c r="V32" s="513"/>
      <c r="W32" s="513"/>
      <c r="X32" s="513"/>
      <c r="Y32" s="513"/>
      <c r="Z32" s="513"/>
      <c r="AA32" s="513"/>
      <c r="AB32" s="513"/>
      <c r="AC32" s="513"/>
      <c r="AD32" s="514"/>
      <c r="AE32" s="514"/>
      <c r="AF32" s="513"/>
      <c r="AG32" s="302" t="e">
        <f t="shared" si="8"/>
        <v>#DIV/0!</v>
      </c>
      <c r="AH32" s="303" t="e">
        <f>IF(AG32&gt;KKM!$G$10,"A",IF(AG32&gt;KKM!$H$10,"B",IF(AG32&gt;=KKM!$I$10,"C","D")))</f>
        <v>#DIV/0!</v>
      </c>
      <c r="AI32" s="304">
        <f t="shared" si="0"/>
        <v>0</v>
      </c>
      <c r="AJ32" s="309" t="str">
        <f>IF(AI32&gt;KKM!$G$10," sangat baik ",IF(AI32&gt;KKM!$H$10," baik ",IF(AI32&gt;=KKM!$I$10," cukup baik "," perlu bimbingan ")))</f>
        <v xml:space="preserve"> perlu bimbingan </v>
      </c>
      <c r="AK32" s="305">
        <f t="shared" si="1"/>
        <v>0</v>
      </c>
      <c r="AL32" s="309" t="str">
        <f>IF(AK32&gt;KKM!$G$10," sangat baik ",IF(AK32&gt;KKM!$H$10," baik ",IF(AK32&gt;=KKM!$I$10," cukup baik "," perlu bimbingan ")))</f>
        <v xml:space="preserve"> perlu bimbingan </v>
      </c>
      <c r="AM32" s="301" t="str">
        <f t="shared" si="9"/>
        <v xml:space="preserve"> </v>
      </c>
      <c r="AN32" s="218"/>
      <c r="AO32" s="219" t="e">
        <f t="shared" si="2"/>
        <v>#N/A</v>
      </c>
      <c r="AP32" s="219" t="e">
        <f t="shared" si="3"/>
        <v>#N/A</v>
      </c>
      <c r="AQ32" s="219" t="e">
        <f t="shared" si="10"/>
        <v>#N/A</v>
      </c>
      <c r="AR32" s="219" t="e">
        <f t="shared" si="11"/>
        <v>#N/A</v>
      </c>
      <c r="AS32" s="220" t="e">
        <f t="shared" si="12"/>
        <v>#N/A</v>
      </c>
      <c r="AT32" s="214" t="e">
        <f t="shared" si="13"/>
        <v>#N/A</v>
      </c>
      <c r="AU32" s="120"/>
    </row>
    <row r="33" spans="2:47" ht="61.5" customHeight="1">
      <c r="B33" s="109">
        <v>29</v>
      </c>
      <c r="C33" s="110">
        <f>SISWA!B34</f>
        <v>0</v>
      </c>
      <c r="D33" s="111" t="str">
        <f>SISWA!E34</f>
        <v>Anak 29</v>
      </c>
      <c r="E33" s="520"/>
      <c r="F33" s="520"/>
      <c r="G33" s="520"/>
      <c r="H33" s="520"/>
      <c r="I33" s="520"/>
      <c r="J33" s="520"/>
      <c r="K33" s="520"/>
      <c r="L33" s="520"/>
      <c r="M33" s="520"/>
      <c r="N33" s="520"/>
      <c r="O33" s="520"/>
      <c r="P33" s="520"/>
      <c r="Q33" s="533" t="str">
        <f t="shared" si="4"/>
        <v/>
      </c>
      <c r="R33" s="533" t="str">
        <f t="shared" si="5"/>
        <v/>
      </c>
      <c r="S33" s="533" t="str">
        <f t="shared" si="6"/>
        <v/>
      </c>
      <c r="T33" s="533" t="str">
        <f t="shared" si="7"/>
        <v/>
      </c>
      <c r="U33" s="514"/>
      <c r="V33" s="513"/>
      <c r="W33" s="513"/>
      <c r="X33" s="513"/>
      <c r="Y33" s="513"/>
      <c r="Z33" s="513"/>
      <c r="AA33" s="513"/>
      <c r="AB33" s="513"/>
      <c r="AC33" s="513"/>
      <c r="AD33" s="514"/>
      <c r="AE33" s="514"/>
      <c r="AF33" s="513"/>
      <c r="AG33" s="302" t="e">
        <f t="shared" si="8"/>
        <v>#DIV/0!</v>
      </c>
      <c r="AH33" s="303" t="e">
        <f>IF(AG33&gt;KKM!$G$10,"A",IF(AG33&gt;KKM!$H$10,"B",IF(AG33&gt;=KKM!$I$10,"C","D")))</f>
        <v>#DIV/0!</v>
      </c>
      <c r="AI33" s="304">
        <f t="shared" si="0"/>
        <v>0</v>
      </c>
      <c r="AJ33" s="309" t="str">
        <f>IF(AI33&gt;KKM!$G$10," sangat baik ",IF(AI33&gt;KKM!$H$10," baik ",IF(AI33&gt;=KKM!$I$10," cukup baik "," perlu bimbingan ")))</f>
        <v xml:space="preserve"> perlu bimbingan </v>
      </c>
      <c r="AK33" s="305">
        <f t="shared" si="1"/>
        <v>0</v>
      </c>
      <c r="AL33" s="309" t="str">
        <f>IF(AK33&gt;KKM!$G$10," sangat baik ",IF(AK33&gt;KKM!$H$10," baik ",IF(AK33&gt;=KKM!$I$10," cukup baik "," perlu bimbingan ")))</f>
        <v xml:space="preserve"> perlu bimbingan </v>
      </c>
      <c r="AM33" s="301" t="str">
        <f t="shared" si="9"/>
        <v xml:space="preserve"> </v>
      </c>
      <c r="AN33" s="218"/>
      <c r="AO33" s="219" t="e">
        <f t="shared" si="2"/>
        <v>#N/A</v>
      </c>
      <c r="AP33" s="219" t="e">
        <f t="shared" si="3"/>
        <v>#N/A</v>
      </c>
      <c r="AQ33" s="219" t="e">
        <f t="shared" si="10"/>
        <v>#N/A</v>
      </c>
      <c r="AR33" s="219" t="e">
        <f t="shared" si="11"/>
        <v>#N/A</v>
      </c>
      <c r="AS33" s="220" t="e">
        <f t="shared" si="12"/>
        <v>#N/A</v>
      </c>
      <c r="AT33" s="214" t="e">
        <f t="shared" si="13"/>
        <v>#N/A</v>
      </c>
      <c r="AU33" s="120"/>
    </row>
    <row r="34" spans="2:47" ht="61.5" customHeight="1">
      <c r="B34" s="109">
        <v>30</v>
      </c>
      <c r="C34" s="110">
        <f>SISWA!B35</f>
        <v>0</v>
      </c>
      <c r="D34" s="111" t="str">
        <f>SISWA!E35</f>
        <v>Anak 30</v>
      </c>
      <c r="E34" s="520"/>
      <c r="F34" s="520"/>
      <c r="G34" s="520"/>
      <c r="H34" s="520"/>
      <c r="I34" s="520"/>
      <c r="J34" s="520"/>
      <c r="K34" s="520"/>
      <c r="L34" s="520"/>
      <c r="M34" s="520"/>
      <c r="N34" s="520"/>
      <c r="O34" s="520"/>
      <c r="P34" s="520"/>
      <c r="Q34" s="533" t="str">
        <f t="shared" si="4"/>
        <v/>
      </c>
      <c r="R34" s="533" t="str">
        <f t="shared" si="5"/>
        <v/>
      </c>
      <c r="S34" s="533" t="str">
        <f t="shared" si="6"/>
        <v/>
      </c>
      <c r="T34" s="533" t="str">
        <f t="shared" si="7"/>
        <v/>
      </c>
      <c r="U34" s="514"/>
      <c r="V34" s="513"/>
      <c r="W34" s="513"/>
      <c r="X34" s="513"/>
      <c r="Y34" s="513"/>
      <c r="Z34" s="513"/>
      <c r="AA34" s="513"/>
      <c r="AB34" s="513"/>
      <c r="AC34" s="513"/>
      <c r="AD34" s="514"/>
      <c r="AE34" s="514"/>
      <c r="AF34" s="513"/>
      <c r="AG34" s="302" t="e">
        <f t="shared" si="8"/>
        <v>#DIV/0!</v>
      </c>
      <c r="AH34" s="303" t="e">
        <f>IF(AG34&gt;KKM!$G$10,"A",IF(AG34&gt;KKM!$H$10,"B",IF(AG34&gt;=KKM!$I$10,"C","D")))</f>
        <v>#DIV/0!</v>
      </c>
      <c r="AI34" s="304">
        <f t="shared" si="0"/>
        <v>0</v>
      </c>
      <c r="AJ34" s="309" t="str">
        <f>IF(AI34&gt;KKM!$G$10," sangat baik ",IF(AI34&gt;KKM!$H$10," baik ",IF(AI34&gt;=KKM!$I$10," cukup baik "," perlu bimbingan ")))</f>
        <v xml:space="preserve"> perlu bimbingan </v>
      </c>
      <c r="AK34" s="305">
        <f t="shared" si="1"/>
        <v>0</v>
      </c>
      <c r="AL34" s="309" t="str">
        <f>IF(AK34&gt;KKM!$G$10," sangat baik ",IF(AK34&gt;KKM!$H$10," baik ",IF(AK34&gt;=KKM!$I$10," cukup baik "," perlu bimbingan ")))</f>
        <v xml:space="preserve"> perlu bimbingan </v>
      </c>
      <c r="AM34" s="301" t="str">
        <f t="shared" si="9"/>
        <v xml:space="preserve"> </v>
      </c>
      <c r="AN34" s="218"/>
      <c r="AO34" s="219" t="e">
        <f t="shared" si="2"/>
        <v>#N/A</v>
      </c>
      <c r="AP34" s="219" t="e">
        <f t="shared" si="3"/>
        <v>#N/A</v>
      </c>
      <c r="AQ34" s="219" t="e">
        <f t="shared" si="10"/>
        <v>#N/A</v>
      </c>
      <c r="AR34" s="219" t="e">
        <f t="shared" si="11"/>
        <v>#N/A</v>
      </c>
      <c r="AS34" s="220" t="e">
        <f t="shared" si="12"/>
        <v>#N/A</v>
      </c>
      <c r="AT34" s="214" t="e">
        <f t="shared" si="13"/>
        <v>#N/A</v>
      </c>
      <c r="AU34" s="120"/>
    </row>
    <row r="35" spans="2:47" ht="61.5" customHeight="1">
      <c r="B35" s="109">
        <v>31</v>
      </c>
      <c r="C35" s="110">
        <f>SISWA!B36</f>
        <v>0</v>
      </c>
      <c r="D35" s="111" t="str">
        <f>SISWA!E36</f>
        <v>Anak 31</v>
      </c>
      <c r="E35" s="520"/>
      <c r="F35" s="520"/>
      <c r="G35" s="520"/>
      <c r="H35" s="520"/>
      <c r="I35" s="520"/>
      <c r="J35" s="520"/>
      <c r="K35" s="520"/>
      <c r="L35" s="520"/>
      <c r="M35" s="520"/>
      <c r="N35" s="520"/>
      <c r="O35" s="520"/>
      <c r="P35" s="520"/>
      <c r="Q35" s="533" t="str">
        <f t="shared" si="4"/>
        <v/>
      </c>
      <c r="R35" s="533" t="str">
        <f t="shared" si="5"/>
        <v/>
      </c>
      <c r="S35" s="533" t="str">
        <f t="shared" si="6"/>
        <v/>
      </c>
      <c r="T35" s="533" t="str">
        <f t="shared" si="7"/>
        <v/>
      </c>
      <c r="U35" s="514"/>
      <c r="V35" s="513"/>
      <c r="W35" s="513"/>
      <c r="X35" s="513"/>
      <c r="Y35" s="513"/>
      <c r="Z35" s="513"/>
      <c r="AA35" s="513"/>
      <c r="AB35" s="513"/>
      <c r="AC35" s="513"/>
      <c r="AD35" s="514"/>
      <c r="AE35" s="514"/>
      <c r="AF35" s="513"/>
      <c r="AG35" s="302" t="e">
        <f t="shared" si="8"/>
        <v>#DIV/0!</v>
      </c>
      <c r="AH35" s="303" t="e">
        <f>IF(AG35&gt;KKM!$G$10,"A",IF(AG35&gt;KKM!$H$10,"B",IF(AG35&gt;=KKM!$I$10,"C","D")))</f>
        <v>#DIV/0!</v>
      </c>
      <c r="AI35" s="304">
        <f t="shared" si="0"/>
        <v>0</v>
      </c>
      <c r="AJ35" s="309" t="str">
        <f>IF(AI35&gt;KKM!$G$10," sangat baik ",IF(AI35&gt;KKM!$H$10," baik ",IF(AI35&gt;=KKM!$I$10," cukup baik "," perlu bimbingan ")))</f>
        <v xml:space="preserve"> perlu bimbingan </v>
      </c>
      <c r="AK35" s="305">
        <f t="shared" si="1"/>
        <v>0</v>
      </c>
      <c r="AL35" s="309" t="str">
        <f>IF(AK35&gt;KKM!$G$10," sangat baik ",IF(AK35&gt;KKM!$H$10," baik ",IF(AK35&gt;=KKM!$I$10," cukup baik "," perlu bimbingan ")))</f>
        <v xml:space="preserve"> perlu bimbingan </v>
      </c>
      <c r="AM35" s="301" t="str">
        <f t="shared" si="9"/>
        <v xml:space="preserve"> </v>
      </c>
      <c r="AN35" s="218"/>
      <c r="AO35" s="219" t="e">
        <f t="shared" si="2"/>
        <v>#N/A</v>
      </c>
      <c r="AP35" s="219" t="e">
        <f t="shared" si="3"/>
        <v>#N/A</v>
      </c>
      <c r="AQ35" s="219" t="e">
        <f t="shared" si="10"/>
        <v>#N/A</v>
      </c>
      <c r="AR35" s="219" t="e">
        <f t="shared" si="11"/>
        <v>#N/A</v>
      </c>
      <c r="AS35" s="220" t="e">
        <f t="shared" si="12"/>
        <v>#N/A</v>
      </c>
      <c r="AT35" s="214" t="e">
        <f t="shared" si="13"/>
        <v>#N/A</v>
      </c>
      <c r="AU35" s="120"/>
    </row>
    <row r="36" spans="2:47" ht="61.5" customHeight="1">
      <c r="B36" s="109">
        <v>32</v>
      </c>
      <c r="C36" s="110">
        <f>SISWA!B37</f>
        <v>0</v>
      </c>
      <c r="D36" s="111" t="str">
        <f>SISWA!E37</f>
        <v>Anak 32</v>
      </c>
      <c r="E36" s="520"/>
      <c r="F36" s="520"/>
      <c r="G36" s="520"/>
      <c r="H36" s="520"/>
      <c r="I36" s="520"/>
      <c r="J36" s="520"/>
      <c r="K36" s="520"/>
      <c r="L36" s="520"/>
      <c r="M36" s="520"/>
      <c r="N36" s="520"/>
      <c r="O36" s="520"/>
      <c r="P36" s="520"/>
      <c r="Q36" s="533" t="str">
        <f t="shared" si="4"/>
        <v/>
      </c>
      <c r="R36" s="533" t="str">
        <f t="shared" si="5"/>
        <v/>
      </c>
      <c r="S36" s="533" t="str">
        <f t="shared" si="6"/>
        <v/>
      </c>
      <c r="T36" s="533" t="str">
        <f t="shared" si="7"/>
        <v/>
      </c>
      <c r="U36" s="514"/>
      <c r="V36" s="513"/>
      <c r="W36" s="513"/>
      <c r="X36" s="513"/>
      <c r="Y36" s="513"/>
      <c r="Z36" s="513"/>
      <c r="AA36" s="513"/>
      <c r="AB36" s="513"/>
      <c r="AC36" s="513"/>
      <c r="AD36" s="514"/>
      <c r="AE36" s="514"/>
      <c r="AF36" s="513"/>
      <c r="AG36" s="302" t="e">
        <f t="shared" si="8"/>
        <v>#DIV/0!</v>
      </c>
      <c r="AH36" s="303" t="e">
        <f>IF(AG36&gt;KKM!$G$10,"A",IF(AG36&gt;KKM!$H$10,"B",IF(AG36&gt;=KKM!$I$10,"C","D")))</f>
        <v>#DIV/0!</v>
      </c>
      <c r="AI36" s="304">
        <f t="shared" si="0"/>
        <v>0</v>
      </c>
      <c r="AJ36" s="309" t="str">
        <f>IF(AI36&gt;KKM!$G$10," sangat baik ",IF(AI36&gt;KKM!$H$10," baik ",IF(AI36&gt;=KKM!$I$10," cukup baik "," perlu bimbingan ")))</f>
        <v xml:space="preserve"> perlu bimbingan </v>
      </c>
      <c r="AK36" s="305">
        <f t="shared" si="1"/>
        <v>0</v>
      </c>
      <c r="AL36" s="309" t="str">
        <f>IF(AK36&gt;KKM!$G$10," sangat baik ",IF(AK36&gt;KKM!$H$10," baik ",IF(AK36&gt;=KKM!$I$10," cukup baik "," perlu bimbingan ")))</f>
        <v xml:space="preserve"> perlu bimbingan </v>
      </c>
      <c r="AM36" s="301" t="str">
        <f t="shared" si="9"/>
        <v xml:space="preserve"> </v>
      </c>
      <c r="AN36" s="218"/>
      <c r="AO36" s="219" t="e">
        <f t="shared" si="2"/>
        <v>#N/A</v>
      </c>
      <c r="AP36" s="219" t="e">
        <f t="shared" si="3"/>
        <v>#N/A</v>
      </c>
      <c r="AQ36" s="219" t="e">
        <f t="shared" si="10"/>
        <v>#N/A</v>
      </c>
      <c r="AR36" s="219" t="e">
        <f t="shared" si="11"/>
        <v>#N/A</v>
      </c>
      <c r="AS36" s="220" t="e">
        <f t="shared" si="12"/>
        <v>#N/A</v>
      </c>
      <c r="AT36" s="214" t="e">
        <f t="shared" si="13"/>
        <v>#N/A</v>
      </c>
      <c r="AU36" s="120"/>
    </row>
    <row r="37" spans="2:47" ht="61.5" customHeight="1">
      <c r="B37" s="109">
        <v>33</v>
      </c>
      <c r="C37" s="110">
        <f>SISWA!B38</f>
        <v>0</v>
      </c>
      <c r="D37" s="111" t="str">
        <f>SISWA!E38</f>
        <v>Anak 33</v>
      </c>
      <c r="E37" s="520"/>
      <c r="F37" s="520"/>
      <c r="G37" s="520"/>
      <c r="H37" s="520"/>
      <c r="I37" s="520"/>
      <c r="J37" s="520"/>
      <c r="K37" s="520"/>
      <c r="L37" s="520"/>
      <c r="M37" s="520"/>
      <c r="N37" s="520"/>
      <c r="O37" s="520"/>
      <c r="P37" s="520"/>
      <c r="Q37" s="533" t="str">
        <f t="shared" si="4"/>
        <v/>
      </c>
      <c r="R37" s="533" t="str">
        <f t="shared" si="5"/>
        <v/>
      </c>
      <c r="S37" s="533" t="str">
        <f t="shared" si="6"/>
        <v/>
      </c>
      <c r="T37" s="533" t="str">
        <f t="shared" si="7"/>
        <v/>
      </c>
      <c r="U37" s="514"/>
      <c r="V37" s="513"/>
      <c r="W37" s="513"/>
      <c r="X37" s="513"/>
      <c r="Y37" s="513"/>
      <c r="Z37" s="513"/>
      <c r="AA37" s="513"/>
      <c r="AB37" s="513"/>
      <c r="AC37" s="513"/>
      <c r="AD37" s="514"/>
      <c r="AE37" s="514"/>
      <c r="AF37" s="513"/>
      <c r="AG37" s="302" t="e">
        <f t="shared" si="8"/>
        <v>#DIV/0!</v>
      </c>
      <c r="AH37" s="303" t="e">
        <f>IF(AG37&gt;KKM!$G$10,"A",IF(AG37&gt;KKM!$H$10,"B",IF(AG37&gt;=KKM!$I$10,"C","D")))</f>
        <v>#DIV/0!</v>
      </c>
      <c r="AI37" s="304">
        <f t="shared" si="0"/>
        <v>0</v>
      </c>
      <c r="AJ37" s="309" t="str">
        <f>IF(AI37&gt;KKM!$G$10," sangat baik ",IF(AI37&gt;KKM!$H$10," baik ",IF(AI37&gt;=KKM!$I$10," cukup baik "," perlu bimbingan ")))</f>
        <v xml:space="preserve"> perlu bimbingan </v>
      </c>
      <c r="AK37" s="305">
        <f t="shared" si="1"/>
        <v>0</v>
      </c>
      <c r="AL37" s="309" t="str">
        <f>IF(AK37&gt;KKM!$G$10," sangat baik ",IF(AK37&gt;KKM!$H$10," baik ",IF(AK37&gt;=KKM!$I$10," cukup baik "," perlu bimbingan ")))</f>
        <v xml:space="preserve"> perlu bimbingan </v>
      </c>
      <c r="AM37" s="301" t="str">
        <f t="shared" si="9"/>
        <v xml:space="preserve"> </v>
      </c>
      <c r="AN37" s="218"/>
      <c r="AO37" s="219" t="e">
        <f t="shared" si="2"/>
        <v>#N/A</v>
      </c>
      <c r="AP37" s="219" t="e">
        <f t="shared" si="3"/>
        <v>#N/A</v>
      </c>
      <c r="AQ37" s="219" t="e">
        <f t="shared" si="10"/>
        <v>#N/A</v>
      </c>
      <c r="AR37" s="219" t="e">
        <f t="shared" si="11"/>
        <v>#N/A</v>
      </c>
      <c r="AS37" s="220" t="e">
        <f t="shared" si="12"/>
        <v>#N/A</v>
      </c>
      <c r="AT37" s="214" t="e">
        <f t="shared" si="13"/>
        <v>#N/A</v>
      </c>
      <c r="AU37" s="120"/>
    </row>
    <row r="38" spans="2:47" ht="61.5" customHeight="1">
      <c r="B38" s="109">
        <v>34</v>
      </c>
      <c r="C38" s="110">
        <f>SISWA!B39</f>
        <v>0</v>
      </c>
      <c r="D38" s="111" t="str">
        <f>SISWA!E39</f>
        <v>Anak 34</v>
      </c>
      <c r="E38" s="520"/>
      <c r="F38" s="520"/>
      <c r="G38" s="520"/>
      <c r="H38" s="520"/>
      <c r="I38" s="520"/>
      <c r="J38" s="520"/>
      <c r="K38" s="520"/>
      <c r="L38" s="520"/>
      <c r="M38" s="520"/>
      <c r="N38" s="520"/>
      <c r="O38" s="520"/>
      <c r="P38" s="520"/>
      <c r="Q38" s="533" t="str">
        <f t="shared" si="4"/>
        <v/>
      </c>
      <c r="R38" s="533" t="str">
        <f t="shared" si="5"/>
        <v/>
      </c>
      <c r="S38" s="533" t="str">
        <f t="shared" si="6"/>
        <v/>
      </c>
      <c r="T38" s="533" t="str">
        <f t="shared" si="7"/>
        <v/>
      </c>
      <c r="U38" s="514"/>
      <c r="V38" s="513"/>
      <c r="W38" s="513"/>
      <c r="X38" s="513"/>
      <c r="Y38" s="513"/>
      <c r="Z38" s="513"/>
      <c r="AA38" s="513"/>
      <c r="AB38" s="513"/>
      <c r="AC38" s="513"/>
      <c r="AD38" s="514"/>
      <c r="AE38" s="514"/>
      <c r="AF38" s="513"/>
      <c r="AG38" s="302" t="e">
        <f t="shared" si="8"/>
        <v>#DIV/0!</v>
      </c>
      <c r="AH38" s="303" t="e">
        <f>IF(AG38&gt;KKM!$G$10,"A",IF(AG38&gt;KKM!$H$10,"B",IF(AG38&gt;=KKM!$I$10,"C","D")))</f>
        <v>#DIV/0!</v>
      </c>
      <c r="AI38" s="304">
        <f t="shared" si="0"/>
        <v>0</v>
      </c>
      <c r="AJ38" s="309" t="str">
        <f>IF(AI38&gt;KKM!$G$10," sangat baik ",IF(AI38&gt;KKM!$H$10," baik ",IF(AI38&gt;=KKM!$I$10," cukup baik "," perlu bimbingan ")))</f>
        <v xml:space="preserve"> perlu bimbingan </v>
      </c>
      <c r="AK38" s="305">
        <f t="shared" si="1"/>
        <v>0</v>
      </c>
      <c r="AL38" s="309" t="str">
        <f>IF(AK38&gt;KKM!$G$10," sangat baik ",IF(AK38&gt;KKM!$H$10," baik ",IF(AK38&gt;=KKM!$I$10," cukup baik "," perlu bimbingan ")))</f>
        <v xml:space="preserve"> perlu bimbingan </v>
      </c>
      <c r="AM38" s="301" t="str">
        <f t="shared" si="9"/>
        <v xml:space="preserve"> </v>
      </c>
      <c r="AN38" s="218"/>
      <c r="AO38" s="219" t="e">
        <f t="shared" si="2"/>
        <v>#N/A</v>
      </c>
      <c r="AP38" s="219" t="e">
        <f t="shared" si="3"/>
        <v>#N/A</v>
      </c>
      <c r="AQ38" s="219" t="e">
        <f t="shared" si="10"/>
        <v>#N/A</v>
      </c>
      <c r="AR38" s="219" t="e">
        <f t="shared" si="11"/>
        <v>#N/A</v>
      </c>
      <c r="AS38" s="220" t="e">
        <f t="shared" si="12"/>
        <v>#N/A</v>
      </c>
      <c r="AT38" s="214" t="e">
        <f t="shared" si="13"/>
        <v>#N/A</v>
      </c>
      <c r="AU38" s="120"/>
    </row>
    <row r="39" spans="2:47" ht="61.5" customHeight="1">
      <c r="B39" s="109">
        <v>35</v>
      </c>
      <c r="C39" s="110">
        <f>SISWA!B40</f>
        <v>0</v>
      </c>
      <c r="D39" s="111" t="str">
        <f>SISWA!E40</f>
        <v>Anak 35</v>
      </c>
      <c r="E39" s="520"/>
      <c r="F39" s="520"/>
      <c r="G39" s="520"/>
      <c r="H39" s="520"/>
      <c r="I39" s="520"/>
      <c r="J39" s="520"/>
      <c r="K39" s="520"/>
      <c r="L39" s="520"/>
      <c r="M39" s="520"/>
      <c r="N39" s="520"/>
      <c r="O39" s="520"/>
      <c r="P39" s="520"/>
      <c r="Q39" s="533" t="str">
        <f t="shared" si="4"/>
        <v/>
      </c>
      <c r="R39" s="533" t="str">
        <f t="shared" si="5"/>
        <v/>
      </c>
      <c r="S39" s="533" t="str">
        <f t="shared" si="6"/>
        <v/>
      </c>
      <c r="T39" s="533" t="str">
        <f t="shared" si="7"/>
        <v/>
      </c>
      <c r="U39" s="514"/>
      <c r="V39" s="513"/>
      <c r="W39" s="513"/>
      <c r="X39" s="513"/>
      <c r="Y39" s="513"/>
      <c r="Z39" s="513"/>
      <c r="AA39" s="513"/>
      <c r="AB39" s="513"/>
      <c r="AC39" s="513"/>
      <c r="AD39" s="514"/>
      <c r="AE39" s="514"/>
      <c r="AF39" s="513"/>
      <c r="AG39" s="302" t="e">
        <f t="shared" si="8"/>
        <v>#DIV/0!</v>
      </c>
      <c r="AH39" s="303" t="e">
        <f>IF(AG39&gt;KKM!$G$10,"A",IF(AG39&gt;KKM!$H$10,"B",IF(AG39&gt;=KKM!$I$10,"C","D")))</f>
        <v>#DIV/0!</v>
      </c>
      <c r="AI39" s="304">
        <f t="shared" si="0"/>
        <v>0</v>
      </c>
      <c r="AJ39" s="309" t="str">
        <f>IF(AI39&gt;KKM!$G$10," sangat baik ",IF(AI39&gt;KKM!$H$10," baik ",IF(AI39&gt;=KKM!$I$10," cukup baik "," perlu bimbingan ")))</f>
        <v xml:space="preserve"> perlu bimbingan </v>
      </c>
      <c r="AK39" s="305">
        <f t="shared" si="1"/>
        <v>0</v>
      </c>
      <c r="AL39" s="309" t="str">
        <f>IF(AK39&gt;KKM!$G$10," sangat baik ",IF(AK39&gt;KKM!$H$10," baik ",IF(AK39&gt;=KKM!$I$10," cukup baik "," perlu bimbingan ")))</f>
        <v xml:space="preserve"> perlu bimbingan </v>
      </c>
      <c r="AM39" s="301" t="str">
        <f t="shared" si="9"/>
        <v xml:space="preserve"> </v>
      </c>
      <c r="AN39" s="218"/>
      <c r="AO39" s="219" t="e">
        <f t="shared" si="2"/>
        <v>#N/A</v>
      </c>
      <c r="AP39" s="219" t="e">
        <f t="shared" si="3"/>
        <v>#N/A</v>
      </c>
      <c r="AQ39" s="219" t="e">
        <f t="shared" si="10"/>
        <v>#N/A</v>
      </c>
      <c r="AR39" s="219" t="e">
        <f t="shared" si="11"/>
        <v>#N/A</v>
      </c>
      <c r="AS39" s="220" t="e">
        <f t="shared" si="12"/>
        <v>#N/A</v>
      </c>
      <c r="AT39" s="214" t="e">
        <f t="shared" si="13"/>
        <v>#N/A</v>
      </c>
      <c r="AU39" s="120"/>
    </row>
    <row r="40" spans="2:47" ht="61.5" customHeight="1">
      <c r="B40" s="109">
        <v>36</v>
      </c>
      <c r="C40" s="110">
        <f>SISWA!B41</f>
        <v>0</v>
      </c>
      <c r="D40" s="111" t="str">
        <f>SISWA!E41</f>
        <v>Anak 36</v>
      </c>
      <c r="E40" s="520"/>
      <c r="F40" s="520"/>
      <c r="G40" s="520"/>
      <c r="H40" s="520"/>
      <c r="I40" s="520"/>
      <c r="J40" s="520"/>
      <c r="K40" s="520"/>
      <c r="L40" s="520"/>
      <c r="M40" s="520"/>
      <c r="N40" s="520"/>
      <c r="O40" s="520"/>
      <c r="P40" s="520"/>
      <c r="Q40" s="533" t="str">
        <f t="shared" si="4"/>
        <v/>
      </c>
      <c r="R40" s="533" t="str">
        <f t="shared" si="5"/>
        <v/>
      </c>
      <c r="S40" s="533" t="str">
        <f t="shared" si="6"/>
        <v/>
      </c>
      <c r="T40" s="533" t="str">
        <f t="shared" si="7"/>
        <v/>
      </c>
      <c r="U40" s="514"/>
      <c r="V40" s="513"/>
      <c r="W40" s="513"/>
      <c r="X40" s="513"/>
      <c r="Y40" s="513"/>
      <c r="Z40" s="513"/>
      <c r="AA40" s="513"/>
      <c r="AB40" s="513"/>
      <c r="AC40" s="513"/>
      <c r="AD40" s="514"/>
      <c r="AE40" s="514"/>
      <c r="AF40" s="513"/>
      <c r="AG40" s="302" t="e">
        <f t="shared" si="8"/>
        <v>#DIV/0!</v>
      </c>
      <c r="AH40" s="303" t="e">
        <f>IF(AG40&gt;KKM!$G$10,"A",IF(AG40&gt;KKM!$H$10,"B",IF(AG40&gt;=KKM!$I$10,"C","D")))</f>
        <v>#DIV/0!</v>
      </c>
      <c r="AI40" s="304">
        <f t="shared" si="0"/>
        <v>0</v>
      </c>
      <c r="AJ40" s="309" t="str">
        <f>IF(AI40&gt;KKM!$G$10," sangat baik ",IF(AI40&gt;KKM!$H$10," baik ",IF(AI40&gt;=KKM!$I$10," cukup baik "," perlu bimbingan ")))</f>
        <v xml:space="preserve"> perlu bimbingan </v>
      </c>
      <c r="AK40" s="305">
        <f t="shared" si="1"/>
        <v>0</v>
      </c>
      <c r="AL40" s="309" t="str">
        <f>IF(AK40&gt;KKM!$G$10," sangat baik ",IF(AK40&gt;KKM!$H$10," baik ",IF(AK40&gt;=KKM!$I$10," cukup baik "," perlu bimbingan ")))</f>
        <v xml:space="preserve"> perlu bimbingan </v>
      </c>
      <c r="AM40" s="301" t="str">
        <f t="shared" si="9"/>
        <v xml:space="preserve"> </v>
      </c>
      <c r="AN40" s="218"/>
      <c r="AO40" s="219" t="e">
        <f t="shared" si="2"/>
        <v>#N/A</v>
      </c>
      <c r="AP40" s="219" t="e">
        <f t="shared" si="3"/>
        <v>#N/A</v>
      </c>
      <c r="AQ40" s="219" t="e">
        <f t="shared" si="10"/>
        <v>#N/A</v>
      </c>
      <c r="AR40" s="219" t="e">
        <f t="shared" si="11"/>
        <v>#N/A</v>
      </c>
      <c r="AS40" s="220" t="e">
        <f t="shared" si="12"/>
        <v>#N/A</v>
      </c>
      <c r="AT40" s="214" t="e">
        <f t="shared" si="13"/>
        <v>#N/A</v>
      </c>
      <c r="AU40" s="120"/>
    </row>
    <row r="41" spans="2:47" ht="61.5" customHeight="1">
      <c r="B41" s="109">
        <v>37</v>
      </c>
      <c r="C41" s="110">
        <f>SISWA!B42</f>
        <v>0</v>
      </c>
      <c r="D41" s="111" t="str">
        <f>SISWA!E42</f>
        <v>Anak 37</v>
      </c>
      <c r="E41" s="520"/>
      <c r="F41" s="520"/>
      <c r="G41" s="520"/>
      <c r="H41" s="520"/>
      <c r="I41" s="520"/>
      <c r="J41" s="520"/>
      <c r="K41" s="520"/>
      <c r="L41" s="520"/>
      <c r="M41" s="520"/>
      <c r="N41" s="520"/>
      <c r="O41" s="520"/>
      <c r="P41" s="520"/>
      <c r="Q41" s="533" t="str">
        <f t="shared" si="4"/>
        <v/>
      </c>
      <c r="R41" s="533" t="str">
        <f t="shared" si="5"/>
        <v/>
      </c>
      <c r="S41" s="533" t="str">
        <f t="shared" si="6"/>
        <v/>
      </c>
      <c r="T41" s="533" t="str">
        <f t="shared" si="7"/>
        <v/>
      </c>
      <c r="U41" s="514"/>
      <c r="V41" s="513"/>
      <c r="W41" s="513"/>
      <c r="X41" s="513"/>
      <c r="Y41" s="513"/>
      <c r="Z41" s="513"/>
      <c r="AA41" s="513"/>
      <c r="AB41" s="513"/>
      <c r="AC41" s="513"/>
      <c r="AD41" s="514"/>
      <c r="AE41" s="514"/>
      <c r="AF41" s="513"/>
      <c r="AG41" s="302" t="e">
        <f t="shared" si="8"/>
        <v>#DIV/0!</v>
      </c>
      <c r="AH41" s="303" t="e">
        <f>IF(AG41&gt;KKM!$G$10,"A",IF(AG41&gt;KKM!$H$10,"B",IF(AG41&gt;=KKM!$I$10,"C","D")))</f>
        <v>#DIV/0!</v>
      </c>
      <c r="AI41" s="304">
        <f t="shared" si="0"/>
        <v>0</v>
      </c>
      <c r="AJ41" s="309" t="str">
        <f>IF(AI41&gt;KKM!$G$10," sangat baik ",IF(AI41&gt;KKM!$H$10," baik ",IF(AI41&gt;=KKM!$I$10," cukup baik "," perlu bimbingan ")))</f>
        <v xml:space="preserve"> perlu bimbingan </v>
      </c>
      <c r="AK41" s="305">
        <f t="shared" si="1"/>
        <v>0</v>
      </c>
      <c r="AL41" s="309" t="str">
        <f>IF(AK41&gt;KKM!$G$10," sangat baik ",IF(AK41&gt;KKM!$H$10," baik ",IF(AK41&gt;=KKM!$I$10," cukup baik "," perlu bimbingan ")))</f>
        <v xml:space="preserve"> perlu bimbingan </v>
      </c>
      <c r="AM41" s="301" t="str">
        <f t="shared" si="9"/>
        <v xml:space="preserve"> </v>
      </c>
      <c r="AN41" s="218"/>
      <c r="AO41" s="219" t="e">
        <f t="shared" si="2"/>
        <v>#N/A</v>
      </c>
      <c r="AP41" s="219" t="e">
        <f t="shared" si="3"/>
        <v>#N/A</v>
      </c>
      <c r="AQ41" s="219" t="e">
        <f t="shared" si="10"/>
        <v>#N/A</v>
      </c>
      <c r="AR41" s="219" t="e">
        <f t="shared" si="11"/>
        <v>#N/A</v>
      </c>
      <c r="AS41" s="220" t="e">
        <f t="shared" si="12"/>
        <v>#N/A</v>
      </c>
      <c r="AT41" s="214" t="e">
        <f t="shared" si="13"/>
        <v>#N/A</v>
      </c>
      <c r="AU41" s="120"/>
    </row>
    <row r="42" spans="2:47" ht="61.5" customHeight="1">
      <c r="B42" s="109">
        <v>38</v>
      </c>
      <c r="C42" s="110">
        <f>SISWA!B43</f>
        <v>0</v>
      </c>
      <c r="D42" s="111" t="str">
        <f>SISWA!E43</f>
        <v>Anak 38</v>
      </c>
      <c r="E42" s="520"/>
      <c r="F42" s="520"/>
      <c r="G42" s="520"/>
      <c r="H42" s="520"/>
      <c r="I42" s="520"/>
      <c r="J42" s="520"/>
      <c r="K42" s="520"/>
      <c r="L42" s="520"/>
      <c r="M42" s="520"/>
      <c r="N42" s="520"/>
      <c r="O42" s="520"/>
      <c r="P42" s="520"/>
      <c r="Q42" s="533" t="str">
        <f t="shared" si="4"/>
        <v/>
      </c>
      <c r="R42" s="533" t="str">
        <f t="shared" si="5"/>
        <v/>
      </c>
      <c r="S42" s="533" t="str">
        <f t="shared" si="6"/>
        <v/>
      </c>
      <c r="T42" s="533" t="str">
        <f t="shared" si="7"/>
        <v/>
      </c>
      <c r="U42" s="514"/>
      <c r="V42" s="513"/>
      <c r="W42" s="513"/>
      <c r="X42" s="513"/>
      <c r="Y42" s="513"/>
      <c r="Z42" s="513"/>
      <c r="AA42" s="513"/>
      <c r="AB42" s="513"/>
      <c r="AC42" s="513"/>
      <c r="AD42" s="514"/>
      <c r="AE42" s="514"/>
      <c r="AF42" s="513"/>
      <c r="AG42" s="302" t="e">
        <f t="shared" si="8"/>
        <v>#DIV/0!</v>
      </c>
      <c r="AH42" s="303" t="e">
        <f>IF(AG42&gt;KKM!$G$10,"A",IF(AG42&gt;KKM!$H$10,"B",IF(AG42&gt;=KKM!$I$10,"C","D")))</f>
        <v>#DIV/0!</v>
      </c>
      <c r="AI42" s="304">
        <f t="shared" si="0"/>
        <v>0</v>
      </c>
      <c r="AJ42" s="309" t="str">
        <f>IF(AI42&gt;KKM!$G$10," sangat baik ",IF(AI42&gt;KKM!$H$10," baik ",IF(AI42&gt;=KKM!$I$10," cukup baik "," perlu bimbingan ")))</f>
        <v xml:space="preserve"> perlu bimbingan </v>
      </c>
      <c r="AK42" s="305">
        <f t="shared" si="1"/>
        <v>0</v>
      </c>
      <c r="AL42" s="309" t="str">
        <f>IF(AK42&gt;KKM!$G$10," sangat baik ",IF(AK42&gt;KKM!$H$10," baik ",IF(AK42&gt;=KKM!$I$10," cukup baik "," perlu bimbingan ")))</f>
        <v xml:space="preserve"> perlu bimbingan </v>
      </c>
      <c r="AM42" s="301" t="str">
        <f t="shared" si="9"/>
        <v xml:space="preserve"> </v>
      </c>
      <c r="AN42" s="218"/>
      <c r="AO42" s="219" t="e">
        <f t="shared" si="2"/>
        <v>#N/A</v>
      </c>
      <c r="AP42" s="219" t="e">
        <f t="shared" si="3"/>
        <v>#N/A</v>
      </c>
      <c r="AQ42" s="219" t="e">
        <f t="shared" si="10"/>
        <v>#N/A</v>
      </c>
      <c r="AR42" s="219" t="e">
        <f t="shared" si="11"/>
        <v>#N/A</v>
      </c>
      <c r="AS42" s="220" t="e">
        <f t="shared" si="12"/>
        <v>#N/A</v>
      </c>
      <c r="AT42" s="214" t="e">
        <f t="shared" si="13"/>
        <v>#N/A</v>
      </c>
      <c r="AU42" s="120"/>
    </row>
    <row r="43" spans="2:47" ht="61.5" customHeight="1">
      <c r="B43" s="109">
        <v>39</v>
      </c>
      <c r="C43" s="110">
        <f>SISWA!B44</f>
        <v>0</v>
      </c>
      <c r="D43" s="111" t="str">
        <f>SISWA!E44</f>
        <v>Anak 39</v>
      </c>
      <c r="E43" s="520"/>
      <c r="F43" s="520"/>
      <c r="G43" s="520"/>
      <c r="H43" s="520"/>
      <c r="I43" s="520"/>
      <c r="J43" s="520"/>
      <c r="K43" s="520"/>
      <c r="L43" s="520"/>
      <c r="M43" s="520"/>
      <c r="N43" s="520"/>
      <c r="O43" s="520"/>
      <c r="P43" s="520"/>
      <c r="Q43" s="533" t="str">
        <f t="shared" si="4"/>
        <v/>
      </c>
      <c r="R43" s="533" t="str">
        <f t="shared" si="5"/>
        <v/>
      </c>
      <c r="S43" s="533" t="str">
        <f t="shared" si="6"/>
        <v/>
      </c>
      <c r="T43" s="533" t="str">
        <f t="shared" si="7"/>
        <v/>
      </c>
      <c r="U43" s="514"/>
      <c r="V43" s="513"/>
      <c r="W43" s="513"/>
      <c r="X43" s="513"/>
      <c r="Y43" s="513"/>
      <c r="Z43" s="513"/>
      <c r="AA43" s="513"/>
      <c r="AB43" s="513"/>
      <c r="AC43" s="513"/>
      <c r="AD43" s="514"/>
      <c r="AE43" s="514"/>
      <c r="AF43" s="513"/>
      <c r="AG43" s="302" t="e">
        <f t="shared" si="8"/>
        <v>#DIV/0!</v>
      </c>
      <c r="AH43" s="303" t="e">
        <f>IF(AG43&gt;KKM!$G$10,"A",IF(AG43&gt;KKM!$H$10,"B",IF(AG43&gt;=KKM!$I$10,"C","D")))</f>
        <v>#DIV/0!</v>
      </c>
      <c r="AI43" s="304">
        <f t="shared" si="0"/>
        <v>0</v>
      </c>
      <c r="AJ43" s="309" t="str">
        <f>IF(AI43&gt;KKM!$G$10," sangat baik ",IF(AI43&gt;KKM!$H$10," baik ",IF(AI43&gt;=KKM!$I$10," cukup baik "," perlu bimbingan ")))</f>
        <v xml:space="preserve"> perlu bimbingan </v>
      </c>
      <c r="AK43" s="305">
        <f t="shared" si="1"/>
        <v>0</v>
      </c>
      <c r="AL43" s="309" t="str">
        <f>IF(AK43&gt;KKM!$G$10," sangat baik ",IF(AK43&gt;KKM!$H$10," baik ",IF(AK43&gt;=KKM!$I$10," cukup baik "," perlu bimbingan ")))</f>
        <v xml:space="preserve"> perlu bimbingan </v>
      </c>
      <c r="AM43" s="301" t="str">
        <f t="shared" si="9"/>
        <v xml:space="preserve"> </v>
      </c>
      <c r="AN43" s="218"/>
      <c r="AO43" s="219" t="e">
        <f t="shared" si="2"/>
        <v>#N/A</v>
      </c>
      <c r="AP43" s="219" t="e">
        <f t="shared" si="3"/>
        <v>#N/A</v>
      </c>
      <c r="AQ43" s="219" t="e">
        <f t="shared" si="10"/>
        <v>#N/A</v>
      </c>
      <c r="AR43" s="219" t="e">
        <f t="shared" si="11"/>
        <v>#N/A</v>
      </c>
      <c r="AS43" s="220" t="e">
        <f t="shared" si="12"/>
        <v>#N/A</v>
      </c>
      <c r="AT43" s="214" t="e">
        <f t="shared" si="13"/>
        <v>#N/A</v>
      </c>
      <c r="AU43" s="120"/>
    </row>
    <row r="44" spans="2:47" ht="61.5" customHeight="1">
      <c r="B44" s="109">
        <v>40</v>
      </c>
      <c r="C44" s="110">
        <f>SISWA!B45</f>
        <v>0</v>
      </c>
      <c r="D44" s="111" t="str">
        <f>SISWA!E45</f>
        <v>Anak 40</v>
      </c>
      <c r="E44" s="520"/>
      <c r="F44" s="520"/>
      <c r="G44" s="520"/>
      <c r="H44" s="520"/>
      <c r="I44" s="520"/>
      <c r="J44" s="520"/>
      <c r="K44" s="520"/>
      <c r="L44" s="520"/>
      <c r="M44" s="520"/>
      <c r="N44" s="520"/>
      <c r="O44" s="520"/>
      <c r="P44" s="520"/>
      <c r="Q44" s="533" t="str">
        <f t="shared" si="4"/>
        <v/>
      </c>
      <c r="R44" s="533" t="str">
        <f t="shared" si="5"/>
        <v/>
      </c>
      <c r="S44" s="533" t="str">
        <f t="shared" si="6"/>
        <v/>
      </c>
      <c r="T44" s="533" t="str">
        <f t="shared" si="7"/>
        <v/>
      </c>
      <c r="U44" s="514"/>
      <c r="V44" s="513"/>
      <c r="W44" s="513"/>
      <c r="X44" s="513"/>
      <c r="Y44" s="513"/>
      <c r="Z44" s="513"/>
      <c r="AA44" s="513"/>
      <c r="AB44" s="513"/>
      <c r="AC44" s="513"/>
      <c r="AD44" s="514"/>
      <c r="AE44" s="514"/>
      <c r="AF44" s="513"/>
      <c r="AG44" s="302" t="e">
        <f t="shared" si="8"/>
        <v>#DIV/0!</v>
      </c>
      <c r="AH44" s="303" t="e">
        <f>IF(AG44&gt;KKM!$G$10,"A",IF(AG44&gt;KKM!$H$10,"B",IF(AG44&gt;=KKM!$I$10,"C","D")))</f>
        <v>#DIV/0!</v>
      </c>
      <c r="AI44" s="304">
        <f t="shared" si="0"/>
        <v>0</v>
      </c>
      <c r="AJ44" s="309" t="str">
        <f>IF(AI44&gt;KKM!$G$10," sangat baik ",IF(AI44&gt;KKM!$H$10," baik ",IF(AI44&gt;=KKM!$I$10," cukup baik "," perlu bimbingan ")))</f>
        <v xml:space="preserve"> perlu bimbingan </v>
      </c>
      <c r="AK44" s="305">
        <f t="shared" si="1"/>
        <v>0</v>
      </c>
      <c r="AL44" s="309" t="str">
        <f>IF(AK44&gt;KKM!$G$10," sangat baik ",IF(AK44&gt;KKM!$H$10," baik ",IF(AK44&gt;=KKM!$I$10," cukup baik "," perlu bimbingan ")))</f>
        <v xml:space="preserve"> perlu bimbingan </v>
      </c>
      <c r="AM44" s="301" t="str">
        <f t="shared" si="9"/>
        <v xml:space="preserve"> </v>
      </c>
      <c r="AN44" s="218"/>
      <c r="AO44" s="219" t="e">
        <f t="shared" si="2"/>
        <v>#N/A</v>
      </c>
      <c r="AP44" s="219" t="e">
        <f t="shared" si="3"/>
        <v>#N/A</v>
      </c>
      <c r="AQ44" s="219" t="e">
        <f t="shared" si="10"/>
        <v>#N/A</v>
      </c>
      <c r="AR44" s="219" t="e">
        <f t="shared" si="11"/>
        <v>#N/A</v>
      </c>
      <c r="AS44" s="220" t="e">
        <f t="shared" si="12"/>
        <v>#N/A</v>
      </c>
      <c r="AT44" s="214" t="e">
        <f t="shared" si="13"/>
        <v>#N/A</v>
      </c>
      <c r="AU44" s="120"/>
    </row>
    <row r="45" spans="2:47" ht="61.5" customHeight="1">
      <c r="B45" s="109">
        <v>41</v>
      </c>
      <c r="C45" s="110">
        <f>SISWA!B46</f>
        <v>0</v>
      </c>
      <c r="D45" s="111" t="str">
        <f>SISWA!E46</f>
        <v>Anak 41</v>
      </c>
      <c r="E45" s="520"/>
      <c r="F45" s="520"/>
      <c r="G45" s="520"/>
      <c r="H45" s="520"/>
      <c r="I45" s="520"/>
      <c r="J45" s="520"/>
      <c r="K45" s="520"/>
      <c r="L45" s="520"/>
      <c r="M45" s="520"/>
      <c r="N45" s="520"/>
      <c r="O45" s="520"/>
      <c r="P45" s="520"/>
      <c r="Q45" s="533" t="str">
        <f t="shared" si="4"/>
        <v/>
      </c>
      <c r="R45" s="533" t="str">
        <f t="shared" si="5"/>
        <v/>
      </c>
      <c r="S45" s="533" t="str">
        <f t="shared" si="6"/>
        <v/>
      </c>
      <c r="T45" s="533" t="str">
        <f t="shared" si="7"/>
        <v/>
      </c>
      <c r="U45" s="514"/>
      <c r="V45" s="513"/>
      <c r="W45" s="513"/>
      <c r="X45" s="513"/>
      <c r="Y45" s="513"/>
      <c r="Z45" s="513"/>
      <c r="AA45" s="513"/>
      <c r="AB45" s="513"/>
      <c r="AC45" s="513"/>
      <c r="AD45" s="514"/>
      <c r="AE45" s="514"/>
      <c r="AF45" s="513"/>
      <c r="AG45" s="302" t="e">
        <f t="shared" si="8"/>
        <v>#DIV/0!</v>
      </c>
      <c r="AH45" s="303" t="e">
        <f>IF(AG45&gt;KKM!$G$10,"A",IF(AG45&gt;KKM!$H$10,"B",IF(AG45&gt;=KKM!$I$10,"C","D")))</f>
        <v>#DIV/0!</v>
      </c>
      <c r="AI45" s="304">
        <f t="shared" si="0"/>
        <v>0</v>
      </c>
      <c r="AJ45" s="309" t="str">
        <f>IF(AI45&gt;KKM!$G$10," sangat baik ",IF(AI45&gt;KKM!$H$10," baik ",IF(AI45&gt;=KKM!$I$10," cukup baik "," perlu bimbingan ")))</f>
        <v xml:space="preserve"> perlu bimbingan </v>
      </c>
      <c r="AK45" s="305">
        <f t="shared" si="1"/>
        <v>0</v>
      </c>
      <c r="AL45" s="309" t="str">
        <f>IF(AK45&gt;KKM!$G$10," sangat baik ",IF(AK45&gt;KKM!$H$10," baik ",IF(AK45&gt;=KKM!$I$10," cukup baik "," perlu bimbingan ")))</f>
        <v xml:space="preserve"> perlu bimbingan </v>
      </c>
      <c r="AM45" s="301" t="str">
        <f t="shared" si="9"/>
        <v xml:space="preserve"> </v>
      </c>
      <c r="AN45" s="218"/>
      <c r="AO45" s="219" t="e">
        <f t="shared" si="2"/>
        <v>#N/A</v>
      </c>
      <c r="AP45" s="219" t="e">
        <f t="shared" si="3"/>
        <v>#N/A</v>
      </c>
      <c r="AQ45" s="219" t="e">
        <f t="shared" si="10"/>
        <v>#N/A</v>
      </c>
      <c r="AR45" s="219" t="e">
        <f t="shared" si="11"/>
        <v>#N/A</v>
      </c>
      <c r="AS45" s="220" t="e">
        <f t="shared" si="12"/>
        <v>#N/A</v>
      </c>
      <c r="AT45" s="214" t="e">
        <f t="shared" si="13"/>
        <v>#N/A</v>
      </c>
      <c r="AU45" s="120"/>
    </row>
    <row r="46" spans="2:47" ht="61.5" customHeight="1">
      <c r="B46" s="109">
        <v>42</v>
      </c>
      <c r="C46" s="110">
        <f>SISWA!B47</f>
        <v>0</v>
      </c>
      <c r="D46" s="111" t="str">
        <f>SISWA!E47</f>
        <v>Anak 42</v>
      </c>
      <c r="E46" s="520"/>
      <c r="F46" s="520"/>
      <c r="G46" s="520"/>
      <c r="H46" s="520"/>
      <c r="I46" s="520"/>
      <c r="J46" s="520"/>
      <c r="K46" s="520"/>
      <c r="L46" s="520"/>
      <c r="M46" s="520"/>
      <c r="N46" s="520"/>
      <c r="O46" s="520"/>
      <c r="P46" s="520"/>
      <c r="Q46" s="533" t="str">
        <f t="shared" si="4"/>
        <v/>
      </c>
      <c r="R46" s="533" t="str">
        <f t="shared" si="5"/>
        <v/>
      </c>
      <c r="S46" s="533" t="str">
        <f t="shared" si="6"/>
        <v/>
      </c>
      <c r="T46" s="533" t="str">
        <f t="shared" si="7"/>
        <v/>
      </c>
      <c r="U46" s="514"/>
      <c r="V46" s="513"/>
      <c r="W46" s="513"/>
      <c r="X46" s="513"/>
      <c r="Y46" s="513"/>
      <c r="Z46" s="513"/>
      <c r="AA46" s="513"/>
      <c r="AB46" s="513"/>
      <c r="AC46" s="513"/>
      <c r="AD46" s="514"/>
      <c r="AE46" s="514"/>
      <c r="AF46" s="513"/>
      <c r="AG46" s="302" t="e">
        <f t="shared" si="8"/>
        <v>#DIV/0!</v>
      </c>
      <c r="AH46" s="303" t="e">
        <f>IF(AG46&gt;KKM!$G$10,"A",IF(AG46&gt;KKM!$H$10,"B",IF(AG46&gt;=KKM!$I$10,"C","D")))</f>
        <v>#DIV/0!</v>
      </c>
      <c r="AI46" s="304">
        <f t="shared" si="0"/>
        <v>0</v>
      </c>
      <c r="AJ46" s="309" t="str">
        <f>IF(AI46&gt;KKM!$G$10," sangat baik ",IF(AI46&gt;KKM!$H$10," baik ",IF(AI46&gt;=KKM!$I$10," cukup baik "," perlu bimbingan ")))</f>
        <v xml:space="preserve"> perlu bimbingan </v>
      </c>
      <c r="AK46" s="305">
        <f t="shared" si="1"/>
        <v>0</v>
      </c>
      <c r="AL46" s="309" t="str">
        <f>IF(AK46&gt;KKM!$G$10," sangat baik ",IF(AK46&gt;KKM!$H$10," baik ",IF(AK46&gt;=KKM!$I$10," cukup baik "," perlu bimbingan ")))</f>
        <v xml:space="preserve"> perlu bimbingan </v>
      </c>
      <c r="AM46" s="301" t="str">
        <f t="shared" si="9"/>
        <v xml:space="preserve"> </v>
      </c>
      <c r="AN46" s="218"/>
      <c r="AO46" s="219" t="e">
        <f t="shared" si="2"/>
        <v>#N/A</v>
      </c>
      <c r="AP46" s="219" t="e">
        <f t="shared" si="3"/>
        <v>#N/A</v>
      </c>
      <c r="AQ46" s="219" t="e">
        <f t="shared" si="10"/>
        <v>#N/A</v>
      </c>
      <c r="AR46" s="219" t="e">
        <f t="shared" si="11"/>
        <v>#N/A</v>
      </c>
      <c r="AS46" s="220" t="e">
        <f t="shared" si="12"/>
        <v>#N/A</v>
      </c>
      <c r="AT46" s="214" t="e">
        <f t="shared" si="13"/>
        <v>#N/A</v>
      </c>
      <c r="AU46" s="120"/>
    </row>
    <row r="47" spans="2:47" ht="61.5" customHeight="1">
      <c r="B47" s="109">
        <v>43</v>
      </c>
      <c r="C47" s="110">
        <f>SISWA!B48</f>
        <v>0</v>
      </c>
      <c r="D47" s="111" t="str">
        <f>SISWA!E48</f>
        <v>Anak 43</v>
      </c>
      <c r="E47" s="520"/>
      <c r="F47" s="520"/>
      <c r="G47" s="520"/>
      <c r="H47" s="520"/>
      <c r="I47" s="520"/>
      <c r="J47" s="520"/>
      <c r="K47" s="520"/>
      <c r="L47" s="520"/>
      <c r="M47" s="520"/>
      <c r="N47" s="520"/>
      <c r="O47" s="520"/>
      <c r="P47" s="520"/>
      <c r="Q47" s="533" t="str">
        <f t="shared" si="4"/>
        <v/>
      </c>
      <c r="R47" s="533" t="str">
        <f t="shared" si="5"/>
        <v/>
      </c>
      <c r="S47" s="533" t="str">
        <f t="shared" si="6"/>
        <v/>
      </c>
      <c r="T47" s="533" t="str">
        <f t="shared" si="7"/>
        <v/>
      </c>
      <c r="U47" s="514"/>
      <c r="V47" s="513"/>
      <c r="W47" s="513"/>
      <c r="X47" s="513"/>
      <c r="Y47" s="513"/>
      <c r="Z47" s="513"/>
      <c r="AA47" s="513"/>
      <c r="AB47" s="513"/>
      <c r="AC47" s="513"/>
      <c r="AD47" s="514"/>
      <c r="AE47" s="514"/>
      <c r="AF47" s="513"/>
      <c r="AG47" s="302" t="e">
        <f t="shared" si="8"/>
        <v>#DIV/0!</v>
      </c>
      <c r="AH47" s="303" t="e">
        <f>IF(AG47&gt;KKM!$G$10,"A",IF(AG47&gt;KKM!$H$10,"B",IF(AG47&gt;=KKM!$I$10,"C","D")))</f>
        <v>#DIV/0!</v>
      </c>
      <c r="AI47" s="304">
        <f t="shared" si="0"/>
        <v>0</v>
      </c>
      <c r="AJ47" s="309" t="str">
        <f>IF(AI47&gt;KKM!$G$10," sangat baik ",IF(AI47&gt;KKM!$H$10," baik ",IF(AI47&gt;=KKM!$I$10," cukup baik "," perlu bimbingan ")))</f>
        <v xml:space="preserve"> perlu bimbingan </v>
      </c>
      <c r="AK47" s="305">
        <f t="shared" si="1"/>
        <v>0</v>
      </c>
      <c r="AL47" s="309" t="str">
        <f>IF(AK47&gt;KKM!$G$10," sangat baik ",IF(AK47&gt;KKM!$H$10," baik ",IF(AK47&gt;=KKM!$I$10," cukup baik "," perlu bimbingan ")))</f>
        <v xml:space="preserve"> perlu bimbingan </v>
      </c>
      <c r="AM47" s="301" t="str">
        <f t="shared" si="9"/>
        <v xml:space="preserve"> </v>
      </c>
      <c r="AN47" s="218"/>
      <c r="AO47" s="219" t="e">
        <f t="shared" si="2"/>
        <v>#N/A</v>
      </c>
      <c r="AP47" s="219" t="e">
        <f t="shared" si="3"/>
        <v>#N/A</v>
      </c>
      <c r="AQ47" s="219" t="e">
        <f t="shared" si="10"/>
        <v>#N/A</v>
      </c>
      <c r="AR47" s="219" t="e">
        <f t="shared" si="11"/>
        <v>#N/A</v>
      </c>
      <c r="AS47" s="220" t="e">
        <f t="shared" si="12"/>
        <v>#N/A</v>
      </c>
      <c r="AT47" s="214" t="e">
        <f t="shared" si="13"/>
        <v>#N/A</v>
      </c>
      <c r="AU47" s="120"/>
    </row>
    <row r="48" spans="2:47" ht="61.5" customHeight="1">
      <c r="B48" s="109">
        <v>44</v>
      </c>
      <c r="C48" s="110">
        <f>SISWA!B49</f>
        <v>0</v>
      </c>
      <c r="D48" s="111" t="str">
        <f>SISWA!E49</f>
        <v>Anak 44</v>
      </c>
      <c r="E48" s="520"/>
      <c r="F48" s="520"/>
      <c r="G48" s="520"/>
      <c r="H48" s="520"/>
      <c r="I48" s="520"/>
      <c r="J48" s="520"/>
      <c r="K48" s="520"/>
      <c r="L48" s="520"/>
      <c r="M48" s="520"/>
      <c r="N48" s="520"/>
      <c r="O48" s="520"/>
      <c r="P48" s="520"/>
      <c r="Q48" s="533" t="str">
        <f t="shared" si="4"/>
        <v/>
      </c>
      <c r="R48" s="533" t="str">
        <f t="shared" si="5"/>
        <v/>
      </c>
      <c r="S48" s="533" t="str">
        <f t="shared" si="6"/>
        <v/>
      </c>
      <c r="T48" s="533" t="str">
        <f t="shared" si="7"/>
        <v/>
      </c>
      <c r="U48" s="514"/>
      <c r="V48" s="513"/>
      <c r="W48" s="513"/>
      <c r="X48" s="513"/>
      <c r="Y48" s="513"/>
      <c r="Z48" s="513"/>
      <c r="AA48" s="513"/>
      <c r="AB48" s="513"/>
      <c r="AC48" s="513"/>
      <c r="AD48" s="514"/>
      <c r="AE48" s="514"/>
      <c r="AF48" s="513"/>
      <c r="AG48" s="302" t="e">
        <f t="shared" si="8"/>
        <v>#DIV/0!</v>
      </c>
      <c r="AH48" s="303" t="e">
        <f>IF(AG48&gt;KKM!$G$10,"A",IF(AG48&gt;KKM!$H$10,"B",IF(AG48&gt;=KKM!$I$10,"C","D")))</f>
        <v>#DIV/0!</v>
      </c>
      <c r="AI48" s="304">
        <f t="shared" si="0"/>
        <v>0</v>
      </c>
      <c r="AJ48" s="309" t="str">
        <f>IF(AI48&gt;KKM!$G$10," sangat baik ",IF(AI48&gt;KKM!$H$10," baik ",IF(AI48&gt;=KKM!$I$10," cukup baik "," perlu bimbingan ")))</f>
        <v xml:space="preserve"> perlu bimbingan </v>
      </c>
      <c r="AK48" s="305">
        <f t="shared" si="1"/>
        <v>0</v>
      </c>
      <c r="AL48" s="309" t="str">
        <f>IF(AK48&gt;KKM!$G$10," sangat baik ",IF(AK48&gt;KKM!$H$10," baik ",IF(AK48&gt;=KKM!$I$10," cukup baik "," perlu bimbingan ")))</f>
        <v xml:space="preserve"> perlu bimbingan </v>
      </c>
      <c r="AM48" s="301" t="str">
        <f t="shared" si="9"/>
        <v xml:space="preserve"> </v>
      </c>
      <c r="AN48" s="218"/>
      <c r="AO48" s="219" t="e">
        <f t="shared" si="2"/>
        <v>#N/A</v>
      </c>
      <c r="AP48" s="219" t="e">
        <f t="shared" si="3"/>
        <v>#N/A</v>
      </c>
      <c r="AQ48" s="219" t="e">
        <f t="shared" si="10"/>
        <v>#N/A</v>
      </c>
      <c r="AR48" s="219" t="e">
        <f t="shared" si="11"/>
        <v>#N/A</v>
      </c>
      <c r="AS48" s="220" t="e">
        <f t="shared" si="12"/>
        <v>#N/A</v>
      </c>
      <c r="AT48" s="214" t="e">
        <f t="shared" si="13"/>
        <v>#N/A</v>
      </c>
      <c r="AU48" s="120"/>
    </row>
    <row r="49" spans="2:47" ht="61.5" customHeight="1">
      <c r="B49" s="109">
        <v>45</v>
      </c>
      <c r="C49" s="110">
        <f>SISWA!B50</f>
        <v>0</v>
      </c>
      <c r="D49" s="111" t="str">
        <f>SISWA!E50</f>
        <v>Anak 45</v>
      </c>
      <c r="E49" s="520"/>
      <c r="F49" s="520"/>
      <c r="G49" s="520"/>
      <c r="H49" s="520"/>
      <c r="I49" s="520"/>
      <c r="J49" s="520"/>
      <c r="K49" s="520"/>
      <c r="L49" s="520"/>
      <c r="M49" s="520"/>
      <c r="N49" s="520"/>
      <c r="O49" s="520"/>
      <c r="P49" s="520"/>
      <c r="Q49" s="533" t="str">
        <f t="shared" si="4"/>
        <v/>
      </c>
      <c r="R49" s="533" t="str">
        <f t="shared" si="5"/>
        <v/>
      </c>
      <c r="S49" s="533" t="str">
        <f t="shared" si="6"/>
        <v/>
      </c>
      <c r="T49" s="533" t="str">
        <f t="shared" si="7"/>
        <v/>
      </c>
      <c r="U49" s="514"/>
      <c r="V49" s="513"/>
      <c r="W49" s="513"/>
      <c r="X49" s="513"/>
      <c r="Y49" s="513"/>
      <c r="Z49" s="513"/>
      <c r="AA49" s="513"/>
      <c r="AB49" s="513"/>
      <c r="AC49" s="513"/>
      <c r="AD49" s="514"/>
      <c r="AE49" s="514"/>
      <c r="AF49" s="513"/>
      <c r="AG49" s="302" t="e">
        <f t="shared" si="8"/>
        <v>#DIV/0!</v>
      </c>
      <c r="AH49" s="303" t="e">
        <f>IF(AG49&gt;KKM!$G$10,"A",IF(AG49&gt;KKM!$H$10,"B",IF(AG49&gt;=KKM!$I$10,"C","D")))</f>
        <v>#DIV/0!</v>
      </c>
      <c r="AI49" s="304">
        <f t="shared" si="0"/>
        <v>0</v>
      </c>
      <c r="AJ49" s="309" t="str">
        <f>IF(AI49&gt;KKM!$G$10," sangat baik ",IF(AI49&gt;KKM!$H$10," baik ",IF(AI49&gt;=KKM!$I$10," cukup baik "," perlu bimbingan ")))</f>
        <v xml:space="preserve"> perlu bimbingan </v>
      </c>
      <c r="AK49" s="305">
        <f t="shared" si="1"/>
        <v>0</v>
      </c>
      <c r="AL49" s="309" t="str">
        <f>IF(AK49&gt;KKM!$G$10," sangat baik ",IF(AK49&gt;KKM!$H$10," baik ",IF(AK49&gt;=KKM!$I$10," cukup baik "," perlu bimbingan ")))</f>
        <v xml:space="preserve"> perlu bimbingan </v>
      </c>
      <c r="AM49" s="301" t="str">
        <f t="shared" si="9"/>
        <v xml:space="preserve"> </v>
      </c>
      <c r="AN49" s="218"/>
      <c r="AO49" s="219" t="e">
        <f t="shared" si="2"/>
        <v>#N/A</v>
      </c>
      <c r="AP49" s="219" t="e">
        <f t="shared" si="3"/>
        <v>#N/A</v>
      </c>
      <c r="AQ49" s="219" t="e">
        <f t="shared" si="10"/>
        <v>#N/A</v>
      </c>
      <c r="AR49" s="219" t="e">
        <f t="shared" si="11"/>
        <v>#N/A</v>
      </c>
      <c r="AS49" s="220" t="e">
        <f t="shared" si="12"/>
        <v>#N/A</v>
      </c>
      <c r="AT49" s="214" t="e">
        <f t="shared" si="13"/>
        <v>#N/A</v>
      </c>
      <c r="AU49" s="120"/>
    </row>
    <row r="50" spans="2:47" ht="61.5" customHeight="1">
      <c r="B50" s="109">
        <v>46</v>
      </c>
      <c r="C50" s="110">
        <f>SISWA!B51</f>
        <v>0</v>
      </c>
      <c r="D50" s="111" t="str">
        <f>SISWA!E51</f>
        <v>Anak 46</v>
      </c>
      <c r="E50" s="520"/>
      <c r="F50" s="520"/>
      <c r="G50" s="520"/>
      <c r="H50" s="520"/>
      <c r="I50" s="520"/>
      <c r="J50" s="520"/>
      <c r="K50" s="520"/>
      <c r="L50" s="520"/>
      <c r="M50" s="520"/>
      <c r="N50" s="520"/>
      <c r="O50" s="520"/>
      <c r="P50" s="520"/>
      <c r="Q50" s="533" t="str">
        <f t="shared" si="4"/>
        <v/>
      </c>
      <c r="R50" s="533" t="str">
        <f t="shared" si="5"/>
        <v/>
      </c>
      <c r="S50" s="533" t="str">
        <f t="shared" si="6"/>
        <v/>
      </c>
      <c r="T50" s="533" t="str">
        <f t="shared" si="7"/>
        <v/>
      </c>
      <c r="U50" s="514"/>
      <c r="V50" s="513"/>
      <c r="W50" s="513"/>
      <c r="X50" s="513"/>
      <c r="Y50" s="513"/>
      <c r="Z50" s="513"/>
      <c r="AA50" s="513"/>
      <c r="AB50" s="513"/>
      <c r="AC50" s="513"/>
      <c r="AD50" s="514"/>
      <c r="AE50" s="514"/>
      <c r="AF50" s="513"/>
      <c r="AG50" s="302" t="e">
        <f t="shared" si="8"/>
        <v>#DIV/0!</v>
      </c>
      <c r="AH50" s="303" t="e">
        <f>IF(AG50&gt;KKM!$G$10,"A",IF(AG50&gt;KKM!$H$10,"B",IF(AG50&gt;=KKM!$I$10,"C","D")))</f>
        <v>#DIV/0!</v>
      </c>
      <c r="AI50" s="304">
        <f t="shared" si="0"/>
        <v>0</v>
      </c>
      <c r="AJ50" s="309" t="str">
        <f>IF(AI50&gt;KKM!$G$10," sangat baik ",IF(AI50&gt;KKM!$H$10," baik ",IF(AI50&gt;=KKM!$I$10," cukup baik "," perlu bimbingan ")))</f>
        <v xml:space="preserve"> perlu bimbingan </v>
      </c>
      <c r="AK50" s="305">
        <f t="shared" si="1"/>
        <v>0</v>
      </c>
      <c r="AL50" s="309" t="str">
        <f>IF(AK50&gt;KKM!$G$10," sangat baik ",IF(AK50&gt;KKM!$H$10," baik ",IF(AK50&gt;=KKM!$I$10," cukup baik "," perlu bimbingan ")))</f>
        <v xml:space="preserve"> perlu bimbingan </v>
      </c>
      <c r="AM50" s="301" t="str">
        <f t="shared" si="9"/>
        <v xml:space="preserve"> </v>
      </c>
      <c r="AN50" s="218"/>
      <c r="AO50" s="219" t="e">
        <f t="shared" si="2"/>
        <v>#N/A</v>
      </c>
      <c r="AP50" s="219" t="e">
        <f t="shared" si="3"/>
        <v>#N/A</v>
      </c>
      <c r="AQ50" s="219" t="e">
        <f t="shared" si="10"/>
        <v>#N/A</v>
      </c>
      <c r="AR50" s="219" t="e">
        <f t="shared" si="11"/>
        <v>#N/A</v>
      </c>
      <c r="AS50" s="220" t="e">
        <f t="shared" si="12"/>
        <v>#N/A</v>
      </c>
      <c r="AT50" s="214" t="e">
        <f t="shared" si="13"/>
        <v>#N/A</v>
      </c>
      <c r="AU50" s="120"/>
    </row>
    <row r="51" spans="2:47" ht="61.5" customHeight="1">
      <c r="B51" s="109">
        <v>47</v>
      </c>
      <c r="C51" s="110">
        <f>SISWA!B52</f>
        <v>0</v>
      </c>
      <c r="D51" s="111" t="str">
        <f>SISWA!E52</f>
        <v>Anak 47</v>
      </c>
      <c r="E51" s="520"/>
      <c r="F51" s="520"/>
      <c r="G51" s="520"/>
      <c r="H51" s="520"/>
      <c r="I51" s="520"/>
      <c r="J51" s="520"/>
      <c r="K51" s="520"/>
      <c r="L51" s="520"/>
      <c r="M51" s="520"/>
      <c r="N51" s="520"/>
      <c r="O51" s="520"/>
      <c r="P51" s="520"/>
      <c r="Q51" s="533" t="str">
        <f t="shared" si="4"/>
        <v/>
      </c>
      <c r="R51" s="533" t="str">
        <f t="shared" si="5"/>
        <v/>
      </c>
      <c r="S51" s="533" t="str">
        <f t="shared" si="6"/>
        <v/>
      </c>
      <c r="T51" s="533" t="str">
        <f t="shared" si="7"/>
        <v/>
      </c>
      <c r="U51" s="514"/>
      <c r="V51" s="513"/>
      <c r="W51" s="513"/>
      <c r="X51" s="513"/>
      <c r="Y51" s="513"/>
      <c r="Z51" s="513"/>
      <c r="AA51" s="513"/>
      <c r="AB51" s="513"/>
      <c r="AC51" s="513"/>
      <c r="AD51" s="514"/>
      <c r="AE51" s="514"/>
      <c r="AF51" s="513"/>
      <c r="AG51" s="302" t="e">
        <f t="shared" si="8"/>
        <v>#DIV/0!</v>
      </c>
      <c r="AH51" s="303" t="e">
        <f>IF(AG51&gt;KKM!$G$10,"A",IF(AG51&gt;KKM!$H$10,"B",IF(AG51&gt;=KKM!$I$10,"C","D")))</f>
        <v>#DIV/0!</v>
      </c>
      <c r="AI51" s="304">
        <f t="shared" si="0"/>
        <v>0</v>
      </c>
      <c r="AJ51" s="309" t="str">
        <f>IF(AI51&gt;KKM!$G$10," sangat baik ",IF(AI51&gt;KKM!$H$10," baik ",IF(AI51&gt;=KKM!$I$10," cukup baik "," perlu bimbingan ")))</f>
        <v xml:space="preserve"> perlu bimbingan </v>
      </c>
      <c r="AK51" s="305">
        <f t="shared" si="1"/>
        <v>0</v>
      </c>
      <c r="AL51" s="309" t="str">
        <f>IF(AK51&gt;KKM!$G$10," sangat baik ",IF(AK51&gt;KKM!$H$10," baik ",IF(AK51&gt;=KKM!$I$10," cukup baik "," perlu bimbingan ")))</f>
        <v xml:space="preserve"> perlu bimbingan </v>
      </c>
      <c r="AM51" s="301" t="str">
        <f t="shared" si="9"/>
        <v xml:space="preserve"> </v>
      </c>
      <c r="AN51" s="218"/>
      <c r="AO51" s="219" t="e">
        <f t="shared" si="2"/>
        <v>#N/A</v>
      </c>
      <c r="AP51" s="219" t="e">
        <f t="shared" si="3"/>
        <v>#N/A</v>
      </c>
      <c r="AQ51" s="219" t="e">
        <f t="shared" si="10"/>
        <v>#N/A</v>
      </c>
      <c r="AR51" s="219" t="e">
        <f t="shared" si="11"/>
        <v>#N/A</v>
      </c>
      <c r="AS51" s="220" t="e">
        <f t="shared" si="12"/>
        <v>#N/A</v>
      </c>
      <c r="AT51" s="214" t="e">
        <f t="shared" si="13"/>
        <v>#N/A</v>
      </c>
      <c r="AU51" s="120"/>
    </row>
    <row r="52" spans="2:47" ht="61.5" customHeight="1">
      <c r="B52" s="109">
        <v>48</v>
      </c>
      <c r="C52" s="110">
        <f>SISWA!B53</f>
        <v>0</v>
      </c>
      <c r="D52" s="111" t="str">
        <f>SISWA!E53</f>
        <v>Anak 48</v>
      </c>
      <c r="E52" s="520"/>
      <c r="F52" s="520"/>
      <c r="G52" s="520"/>
      <c r="H52" s="520"/>
      <c r="I52" s="520"/>
      <c r="J52" s="520"/>
      <c r="K52" s="520"/>
      <c r="L52" s="520"/>
      <c r="M52" s="520"/>
      <c r="N52" s="520"/>
      <c r="O52" s="520"/>
      <c r="P52" s="520"/>
      <c r="Q52" s="533" t="str">
        <f t="shared" si="4"/>
        <v/>
      </c>
      <c r="R52" s="533" t="str">
        <f t="shared" si="5"/>
        <v/>
      </c>
      <c r="S52" s="533" t="str">
        <f t="shared" si="6"/>
        <v/>
      </c>
      <c r="T52" s="533" t="str">
        <f t="shared" si="7"/>
        <v/>
      </c>
      <c r="U52" s="514"/>
      <c r="V52" s="513"/>
      <c r="W52" s="513"/>
      <c r="X52" s="513"/>
      <c r="Y52" s="513"/>
      <c r="Z52" s="513"/>
      <c r="AA52" s="513"/>
      <c r="AB52" s="513"/>
      <c r="AC52" s="513"/>
      <c r="AD52" s="514"/>
      <c r="AE52" s="514"/>
      <c r="AF52" s="513"/>
      <c r="AG52" s="302" t="e">
        <f t="shared" si="8"/>
        <v>#DIV/0!</v>
      </c>
      <c r="AH52" s="303" t="e">
        <f>IF(AG52&gt;KKM!$G$10,"A",IF(AG52&gt;KKM!$H$10,"B",IF(AG52&gt;=KKM!$I$10,"C","D")))</f>
        <v>#DIV/0!</v>
      </c>
      <c r="AI52" s="304">
        <f t="shared" si="0"/>
        <v>0</v>
      </c>
      <c r="AJ52" s="309" t="str">
        <f>IF(AI52&gt;KKM!$G$10," sangat baik ",IF(AI52&gt;KKM!$H$10," baik ",IF(AI52&gt;=KKM!$I$10," cukup baik "," perlu bimbingan ")))</f>
        <v xml:space="preserve"> perlu bimbingan </v>
      </c>
      <c r="AK52" s="305">
        <f t="shared" si="1"/>
        <v>0</v>
      </c>
      <c r="AL52" s="309" t="str">
        <f>IF(AK52&gt;KKM!$G$10," sangat baik ",IF(AK52&gt;KKM!$H$10," baik ",IF(AK52&gt;=KKM!$I$10," cukup baik "," perlu bimbingan ")))</f>
        <v xml:space="preserve"> perlu bimbingan </v>
      </c>
      <c r="AM52" s="301" t="str">
        <f t="shared" si="9"/>
        <v xml:space="preserve"> </v>
      </c>
      <c r="AN52" s="218"/>
      <c r="AO52" s="219" t="e">
        <f t="shared" si="2"/>
        <v>#N/A</v>
      </c>
      <c r="AP52" s="219" t="e">
        <f t="shared" si="3"/>
        <v>#N/A</v>
      </c>
      <c r="AQ52" s="219" t="e">
        <f t="shared" si="10"/>
        <v>#N/A</v>
      </c>
      <c r="AR52" s="219" t="e">
        <f t="shared" si="11"/>
        <v>#N/A</v>
      </c>
      <c r="AS52" s="220" t="e">
        <f t="shared" si="12"/>
        <v>#N/A</v>
      </c>
      <c r="AT52" s="214" t="e">
        <f t="shared" si="13"/>
        <v>#N/A</v>
      </c>
      <c r="AU52" s="120"/>
    </row>
    <row r="53" spans="2:47" ht="61.5" customHeight="1">
      <c r="B53" s="109">
        <v>49</v>
      </c>
      <c r="C53" s="110">
        <f>SISWA!B54</f>
        <v>0</v>
      </c>
      <c r="D53" s="111" t="str">
        <f>SISWA!E54</f>
        <v>Anak 49</v>
      </c>
      <c r="E53" s="520"/>
      <c r="F53" s="520"/>
      <c r="G53" s="520"/>
      <c r="H53" s="520"/>
      <c r="I53" s="520"/>
      <c r="J53" s="520"/>
      <c r="K53" s="520"/>
      <c r="L53" s="520"/>
      <c r="M53" s="520"/>
      <c r="N53" s="520"/>
      <c r="O53" s="520"/>
      <c r="P53" s="520"/>
      <c r="Q53" s="533" t="str">
        <f t="shared" si="4"/>
        <v/>
      </c>
      <c r="R53" s="533" t="str">
        <f t="shared" si="5"/>
        <v/>
      </c>
      <c r="S53" s="533" t="str">
        <f t="shared" si="6"/>
        <v/>
      </c>
      <c r="T53" s="533" t="str">
        <f t="shared" si="7"/>
        <v/>
      </c>
      <c r="U53" s="514"/>
      <c r="V53" s="513"/>
      <c r="W53" s="513"/>
      <c r="X53" s="513"/>
      <c r="Y53" s="513"/>
      <c r="Z53" s="513"/>
      <c r="AA53" s="513"/>
      <c r="AB53" s="513"/>
      <c r="AC53" s="513"/>
      <c r="AD53" s="514"/>
      <c r="AE53" s="514"/>
      <c r="AF53" s="513"/>
      <c r="AG53" s="302" t="e">
        <f t="shared" si="8"/>
        <v>#DIV/0!</v>
      </c>
      <c r="AH53" s="303" t="e">
        <f>IF(AG53&gt;KKM!$G$10,"A",IF(AG53&gt;KKM!$H$10,"B",IF(AG53&gt;=KKM!$I$10,"C","D")))</f>
        <v>#DIV/0!</v>
      </c>
      <c r="AI53" s="304">
        <f t="shared" si="0"/>
        <v>0</v>
      </c>
      <c r="AJ53" s="309" t="str">
        <f>IF(AI53&gt;KKM!$G$10," sangat baik ",IF(AI53&gt;KKM!$H$10," baik ",IF(AI53&gt;=KKM!$I$10," cukup baik "," perlu bimbingan ")))</f>
        <v xml:space="preserve"> perlu bimbingan </v>
      </c>
      <c r="AK53" s="305">
        <f t="shared" si="1"/>
        <v>0</v>
      </c>
      <c r="AL53" s="309" t="str">
        <f>IF(AK53&gt;KKM!$G$10," sangat baik ",IF(AK53&gt;KKM!$H$10," baik ",IF(AK53&gt;=KKM!$I$10," cukup baik "," perlu bimbingan ")))</f>
        <v xml:space="preserve"> perlu bimbingan </v>
      </c>
      <c r="AM53" s="301" t="str">
        <f t="shared" si="9"/>
        <v xml:space="preserve"> </v>
      </c>
      <c r="AN53" s="218"/>
      <c r="AO53" s="219" t="e">
        <f t="shared" si="2"/>
        <v>#N/A</v>
      </c>
      <c r="AP53" s="219" t="e">
        <f t="shared" si="3"/>
        <v>#N/A</v>
      </c>
      <c r="AQ53" s="219" t="e">
        <f t="shared" si="10"/>
        <v>#N/A</v>
      </c>
      <c r="AR53" s="219" t="e">
        <f t="shared" si="11"/>
        <v>#N/A</v>
      </c>
      <c r="AS53" s="220" t="e">
        <f t="shared" si="12"/>
        <v>#N/A</v>
      </c>
      <c r="AT53" s="214" t="e">
        <f t="shared" si="13"/>
        <v>#N/A</v>
      </c>
      <c r="AU53" s="120"/>
    </row>
    <row r="54" spans="2:47" ht="61.5" customHeight="1">
      <c r="B54" s="109">
        <v>50</v>
      </c>
      <c r="C54" s="110">
        <f>SISWA!B55</f>
        <v>0</v>
      </c>
      <c r="D54" s="111" t="str">
        <f>SISWA!E55</f>
        <v>Anak 50</v>
      </c>
      <c r="E54" s="520"/>
      <c r="F54" s="520"/>
      <c r="G54" s="520"/>
      <c r="H54" s="520"/>
      <c r="I54" s="520"/>
      <c r="J54" s="520"/>
      <c r="K54" s="520"/>
      <c r="L54" s="520"/>
      <c r="M54" s="520"/>
      <c r="N54" s="520"/>
      <c r="O54" s="520"/>
      <c r="P54" s="520"/>
      <c r="Q54" s="533" t="str">
        <f t="shared" si="4"/>
        <v/>
      </c>
      <c r="R54" s="533" t="str">
        <f t="shared" si="5"/>
        <v/>
      </c>
      <c r="S54" s="533" t="str">
        <f t="shared" si="6"/>
        <v/>
      </c>
      <c r="T54" s="533" t="str">
        <f t="shared" si="7"/>
        <v/>
      </c>
      <c r="U54" s="514"/>
      <c r="V54" s="513"/>
      <c r="W54" s="513"/>
      <c r="X54" s="513"/>
      <c r="Y54" s="513"/>
      <c r="Z54" s="513"/>
      <c r="AA54" s="513"/>
      <c r="AB54" s="513"/>
      <c r="AC54" s="513"/>
      <c r="AD54" s="514"/>
      <c r="AE54" s="514"/>
      <c r="AF54" s="513"/>
      <c r="AG54" s="302" t="e">
        <f t="shared" si="8"/>
        <v>#DIV/0!</v>
      </c>
      <c r="AH54" s="303" t="e">
        <f>IF(AG54&gt;KKM!$G$10,"A",IF(AG54&gt;KKM!$H$10,"B",IF(AG54&gt;=KKM!$I$10,"C","D")))</f>
        <v>#DIV/0!</v>
      </c>
      <c r="AI54" s="304">
        <f t="shared" si="0"/>
        <v>0</v>
      </c>
      <c r="AJ54" s="309" t="str">
        <f>IF(AI54&gt;KKM!$G$10," sangat baik ",IF(AI54&gt;KKM!$H$10," baik ",IF(AI54&gt;=KKM!$I$10," cukup baik "," perlu bimbingan ")))</f>
        <v xml:space="preserve"> perlu bimbingan </v>
      </c>
      <c r="AK54" s="305">
        <f t="shared" si="1"/>
        <v>0</v>
      </c>
      <c r="AL54" s="309" t="str">
        <f>IF(AK54&gt;KKM!$G$10," sangat baik ",IF(AK54&gt;KKM!$H$10," baik ",IF(AK54&gt;=KKM!$I$10," cukup baik "," perlu bimbingan ")))</f>
        <v xml:space="preserve"> perlu bimbingan </v>
      </c>
      <c r="AM54" s="301" t="str">
        <f t="shared" si="9"/>
        <v xml:space="preserve"> </v>
      </c>
      <c r="AN54" s="218"/>
      <c r="AO54" s="219" t="e">
        <f t="shared" si="2"/>
        <v>#N/A</v>
      </c>
      <c r="AP54" s="219" t="e">
        <f t="shared" si="3"/>
        <v>#N/A</v>
      </c>
      <c r="AQ54" s="219" t="e">
        <f t="shared" si="10"/>
        <v>#N/A</v>
      </c>
      <c r="AR54" s="219" t="e">
        <f t="shared" si="11"/>
        <v>#N/A</v>
      </c>
      <c r="AS54" s="220" t="e">
        <f t="shared" si="12"/>
        <v>#N/A</v>
      </c>
      <c r="AT54" s="214" t="e">
        <f t="shared" si="13"/>
        <v>#N/A</v>
      </c>
      <c r="AU54" s="120"/>
    </row>
    <row r="55" spans="2:47" ht="61.5" customHeight="1">
      <c r="B55" s="121"/>
      <c r="C55" s="121"/>
      <c r="D55" s="121"/>
      <c r="E55" s="519"/>
      <c r="F55" s="519"/>
      <c r="G55" s="519"/>
      <c r="H55" s="519"/>
      <c r="I55" s="519"/>
      <c r="J55" s="519"/>
      <c r="K55" s="519"/>
      <c r="L55" s="519"/>
      <c r="M55" s="519"/>
      <c r="N55" s="519"/>
      <c r="O55" s="519"/>
      <c r="P55" s="519"/>
      <c r="Q55" s="533" t="str">
        <f t="shared" si="4"/>
        <v/>
      </c>
      <c r="R55" s="533" t="str">
        <f t="shared" si="5"/>
        <v/>
      </c>
      <c r="S55" s="533" t="str">
        <f t="shared" si="6"/>
        <v/>
      </c>
      <c r="T55" s="533" t="str">
        <f t="shared" si="7"/>
        <v/>
      </c>
      <c r="U55" s="514"/>
      <c r="V55" s="513"/>
      <c r="W55" s="513"/>
      <c r="X55" s="513"/>
      <c r="Y55" s="513"/>
      <c r="Z55" s="513"/>
      <c r="AA55" s="513"/>
      <c r="AB55" s="513"/>
      <c r="AC55" s="513"/>
      <c r="AD55" s="514"/>
      <c r="AE55" s="514"/>
      <c r="AF55" s="513"/>
      <c r="AG55" s="114"/>
      <c r="AH55" s="115"/>
      <c r="AI55" s="116"/>
      <c r="AJ55" s="116"/>
      <c r="AK55" s="116"/>
      <c r="AL55" s="116"/>
      <c r="AM55" s="117"/>
      <c r="AN55" s="118"/>
      <c r="AO55" s="119"/>
      <c r="AP55" s="122"/>
      <c r="AQ55" s="122"/>
      <c r="AR55" s="122"/>
      <c r="AS55" s="122"/>
      <c r="AT55" s="122"/>
      <c r="AU55" s="120"/>
    </row>
  </sheetData>
  <mergeCells count="15">
    <mergeCell ref="AH2:AH4"/>
    <mergeCell ref="AI2:AL2"/>
    <mergeCell ref="AM2:AM4"/>
    <mergeCell ref="AI3:AJ3"/>
    <mergeCell ref="AK3:AL3"/>
    <mergeCell ref="B2:B4"/>
    <mergeCell ref="C2:C4"/>
    <mergeCell ref="D2:D4"/>
    <mergeCell ref="Q2:AF2"/>
    <mergeCell ref="AG2:AG4"/>
    <mergeCell ref="E2:P2"/>
    <mergeCell ref="E3:G3"/>
    <mergeCell ref="H3:J3"/>
    <mergeCell ref="K3:M3"/>
    <mergeCell ref="N3:P3"/>
  </mergeCell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43"/>
  <sheetViews>
    <sheetView workbookViewId="0"/>
  </sheetViews>
  <sheetFormatPr defaultColWidth="0" defaultRowHeight="15" zeroHeight="1"/>
  <cols>
    <col min="1" max="1" width="5.7109375" customWidth="1"/>
    <col min="2" max="2" width="130.42578125" customWidth="1"/>
    <col min="3" max="3" width="5.85546875" hidden="1" customWidth="1"/>
    <col min="4" max="25" width="0" hidden="1" customWidth="1"/>
    <col min="26" max="16384" width="9.140625" hidden="1"/>
  </cols>
  <sheetData>
    <row r="1" spans="1:25" ht="26.25">
      <c r="A1" s="44"/>
      <c r="B1" s="44" t="s">
        <v>246</v>
      </c>
      <c r="C1" s="44"/>
      <c r="D1" s="44"/>
      <c r="E1" s="44"/>
      <c r="F1" s="44"/>
      <c r="G1" s="44"/>
      <c r="H1" s="44"/>
      <c r="I1" s="44"/>
      <c r="J1" s="44"/>
      <c r="K1" s="44"/>
      <c r="L1" s="44"/>
      <c r="M1" s="44"/>
      <c r="N1" s="44"/>
      <c r="O1" s="44"/>
      <c r="P1" s="44"/>
      <c r="Q1" s="44"/>
      <c r="R1" s="44"/>
      <c r="S1" s="44"/>
      <c r="T1" s="44"/>
      <c r="U1" s="44"/>
      <c r="V1" s="44"/>
      <c r="W1" s="44"/>
      <c r="X1" s="44"/>
      <c r="Y1" s="44"/>
    </row>
    <row r="2" spans="1:25">
      <c r="A2" s="39"/>
      <c r="B2" s="39"/>
    </row>
    <row r="3" spans="1:25" ht="18.75">
      <c r="A3" s="40"/>
      <c r="B3" s="41" t="s">
        <v>247</v>
      </c>
    </row>
    <row r="4" spans="1:25" ht="18.75">
      <c r="A4" s="40"/>
      <c r="B4" s="41" t="s">
        <v>688</v>
      </c>
    </row>
    <row r="5" spans="1:25" ht="18.75">
      <c r="A5" s="40"/>
      <c r="B5" s="507" t="s">
        <v>689</v>
      </c>
    </row>
    <row r="6" spans="1:25" ht="18.75">
      <c r="A6" s="40"/>
      <c r="B6" s="507"/>
    </row>
    <row r="7" spans="1:25" ht="18.75">
      <c r="A7" s="40"/>
      <c r="B7" s="41" t="s">
        <v>690</v>
      </c>
    </row>
    <row r="8" spans="1:25" ht="18.75">
      <c r="A8" s="40">
        <v>1</v>
      </c>
      <c r="B8" s="41" t="s">
        <v>248</v>
      </c>
      <c r="D8" s="18"/>
    </row>
    <row r="9" spans="1:25" ht="18.75">
      <c r="A9" s="41"/>
      <c r="B9" s="41" t="s">
        <v>262</v>
      </c>
      <c r="D9" s="18"/>
    </row>
    <row r="10" spans="1:25" ht="18.75">
      <c r="A10" s="40">
        <v>2</v>
      </c>
      <c r="B10" s="41" t="s">
        <v>249</v>
      </c>
      <c r="D10" s="18"/>
    </row>
    <row r="11" spans="1:25" ht="18.75">
      <c r="A11" s="41"/>
      <c r="B11" s="41" t="s">
        <v>250</v>
      </c>
    </row>
    <row r="12" spans="1:25" ht="18.75">
      <c r="A12" s="40">
        <v>3</v>
      </c>
      <c r="B12" s="41" t="s">
        <v>251</v>
      </c>
    </row>
    <row r="13" spans="1:25" ht="18.75">
      <c r="A13" s="40"/>
      <c r="B13" s="41" t="s">
        <v>252</v>
      </c>
    </row>
    <row r="14" spans="1:25" ht="18.75">
      <c r="A14" s="40">
        <v>4</v>
      </c>
      <c r="B14" s="41" t="s">
        <v>253</v>
      </c>
    </row>
    <row r="15" spans="1:25" ht="21">
      <c r="A15" s="40"/>
      <c r="B15" s="42" t="s">
        <v>254</v>
      </c>
    </row>
    <row r="16" spans="1:25" ht="18.75">
      <c r="A16" s="40"/>
      <c r="B16" s="41" t="s">
        <v>417</v>
      </c>
    </row>
    <row r="17" spans="1:2" hidden="1">
      <c r="A17" s="39"/>
      <c r="B17" s="39"/>
    </row>
    <row r="18" spans="1:2" hidden="1">
      <c r="A18" s="43"/>
      <c r="B18" s="39"/>
    </row>
    <row r="19" spans="1:2" hidden="1">
      <c r="A19" s="39"/>
      <c r="B19" s="39"/>
    </row>
    <row r="20" spans="1:2" hidden="1">
      <c r="A20" s="39"/>
      <c r="B20" s="39"/>
    </row>
    <row r="21" spans="1:2" hidden="1">
      <c r="A21" s="39"/>
      <c r="B21" s="39"/>
    </row>
    <row r="22" spans="1:2" hidden="1">
      <c r="A22" s="39"/>
      <c r="B22" s="39"/>
    </row>
    <row r="23" spans="1:2" hidden="1">
      <c r="A23" s="39"/>
      <c r="B23" s="39"/>
    </row>
    <row r="24" spans="1:2" hidden="1">
      <c r="A24" s="39"/>
      <c r="B24" s="39"/>
    </row>
    <row r="25" spans="1:2" hidden="1">
      <c r="A25" s="39"/>
      <c r="B25" s="39"/>
    </row>
    <row r="26" spans="1:2" hidden="1">
      <c r="A26" s="39"/>
      <c r="B26" s="39"/>
    </row>
    <row r="27" spans="1:2" hidden="1">
      <c r="A27" s="39"/>
      <c r="B27" s="39"/>
    </row>
    <row r="28" spans="1:2" hidden="1">
      <c r="A28" s="39"/>
      <c r="B28" s="39"/>
    </row>
    <row r="29" spans="1:2" hidden="1">
      <c r="A29" s="39"/>
      <c r="B29" s="39"/>
    </row>
    <row r="30" spans="1:2" hidden="1">
      <c r="A30" s="39"/>
      <c r="B30" s="39"/>
    </row>
    <row r="31" spans="1:2" hidden="1">
      <c r="A31" s="39"/>
      <c r="B31" s="39"/>
    </row>
    <row r="32" spans="1:2" hidden="1">
      <c r="A32" s="39"/>
      <c r="B32" s="39"/>
    </row>
    <row r="33" spans="1:2" hidden="1">
      <c r="A33" s="39"/>
      <c r="B33" s="39"/>
    </row>
    <row r="34" spans="1:2" hidden="1">
      <c r="A34" s="39"/>
      <c r="B34" s="39"/>
    </row>
    <row r="35" spans="1:2" hidden="1">
      <c r="A35" s="39"/>
      <c r="B35" s="39"/>
    </row>
    <row r="36" spans="1:2" hidden="1">
      <c r="A36" s="39"/>
      <c r="B36" s="39"/>
    </row>
    <row r="37" spans="1:2" hidden="1">
      <c r="A37" s="39"/>
      <c r="B37" s="39"/>
    </row>
    <row r="38" spans="1:2" hidden="1">
      <c r="A38" s="39"/>
      <c r="B38" s="39"/>
    </row>
    <row r="39" spans="1:2" hidden="1">
      <c r="A39" s="39"/>
      <c r="B39" s="39"/>
    </row>
    <row r="40" spans="1:2" hidden="1">
      <c r="A40" s="39"/>
      <c r="B40" s="39"/>
    </row>
    <row r="41" spans="1:2" hidden="1">
      <c r="A41" s="39"/>
      <c r="B41" s="39"/>
    </row>
    <row r="42" spans="1:2" hidden="1">
      <c r="A42" s="39"/>
      <c r="B42" s="39"/>
    </row>
    <row r="43" spans="1:2"/>
  </sheetData>
  <hyperlinks>
    <hyperlink ref="B15" r:id="rId1"/>
    <hyperlink ref="B5" r:id="rId2"/>
  </hyperlinks>
  <pageMargins left="0.7" right="0.7" top="0.75" bottom="0.75" header="0.3" footer="0.3"/>
  <pageSetup paperSize="256" orientation="portrait" horizontalDpi="4294967293" verticalDpi="0" r:id="rId3"/>
  <drawing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BS55"/>
  <sheetViews>
    <sheetView zoomScale="90" zoomScaleNormal="90" workbookViewId="0">
      <selection activeCell="F4" sqref="F4:H4"/>
    </sheetView>
  </sheetViews>
  <sheetFormatPr defaultRowHeight="15"/>
  <cols>
    <col min="1" max="1" width="4.85546875" style="24" customWidth="1"/>
    <col min="2" max="2" width="9.140625" style="198"/>
    <col min="3" max="3" width="31" style="24" customWidth="1"/>
    <col min="4" max="4" width="23.140625" style="24" customWidth="1"/>
    <col min="5" max="5" width="20.140625" style="24" customWidth="1"/>
    <col min="6" max="7" width="4.7109375" style="24" customWidth="1"/>
    <col min="8" max="8" width="20.140625" style="24" customWidth="1"/>
    <col min="9" max="10" width="4.7109375" style="24" customWidth="1"/>
    <col min="11" max="11" width="16.7109375" style="24" customWidth="1"/>
    <col min="12" max="13" width="4.7109375" style="24" customWidth="1"/>
    <col min="14" max="14" width="16.7109375" style="24" customWidth="1"/>
    <col min="15" max="16" width="4.7109375" style="24" customWidth="1"/>
    <col min="17" max="17" width="16.7109375" style="24" customWidth="1"/>
    <col min="18" max="19" width="4.5703125" style="24" customWidth="1"/>
    <col min="20" max="20" width="16.7109375" style="24" customWidth="1"/>
    <col min="21" max="22" width="5" style="24" customWidth="1"/>
    <col min="23" max="23" width="16.7109375" style="24" customWidth="1"/>
    <col min="24" max="25" width="4.7109375" style="24" customWidth="1"/>
    <col min="26" max="26" width="16.7109375" style="24" customWidth="1"/>
    <col min="27" max="28" width="4.7109375" style="24" customWidth="1"/>
    <col min="29" max="29" width="16.7109375" style="24" customWidth="1"/>
    <col min="30" max="31" width="4.7109375" style="24" customWidth="1"/>
    <col min="32" max="32" width="16.7109375" style="24" customWidth="1"/>
    <col min="33" max="34" width="4.7109375" style="24" customWidth="1"/>
    <col min="35" max="35" width="16.7109375" style="24" customWidth="1"/>
    <col min="36" max="37" width="4.7109375" style="24" customWidth="1"/>
    <col min="38" max="38" width="16.7109375" style="24" customWidth="1"/>
    <col min="39" max="39" width="5.7109375" style="24" customWidth="1"/>
    <col min="40" max="40" width="4.7109375" style="24" customWidth="1"/>
    <col min="41" max="41" width="16.7109375" style="24" customWidth="1"/>
    <col min="42" max="43" width="4.7109375" style="24" customWidth="1"/>
    <col min="44" max="44" width="16.7109375" style="24" customWidth="1"/>
    <col min="45" max="46" width="4.7109375" style="24" customWidth="1"/>
    <col min="47" max="47" width="16.7109375" style="24" customWidth="1"/>
    <col min="48" max="49" width="4.7109375" style="24" customWidth="1"/>
    <col min="50" max="50" width="16.7109375" style="24" customWidth="1"/>
    <col min="51" max="52" width="6" style="24" customWidth="1"/>
    <col min="53" max="53" width="16.7109375" style="24" customWidth="1"/>
    <col min="54" max="55" width="4.5703125" style="24" customWidth="1"/>
    <col min="56" max="56" width="16.7109375" style="24" customWidth="1"/>
    <col min="57" max="57" width="5" style="24" customWidth="1"/>
    <col min="58" max="58" width="4.7109375" style="24" customWidth="1"/>
    <col min="59" max="59" width="16.7109375" style="24" customWidth="1"/>
    <col min="60" max="61" width="4.7109375" style="24" customWidth="1"/>
    <col min="62" max="62" width="16.7109375" style="24" customWidth="1"/>
    <col min="63" max="64" width="4.7109375" style="24" customWidth="1"/>
    <col min="65" max="65" width="16.7109375" style="24" customWidth="1"/>
    <col min="66" max="67" width="4.7109375" style="24" customWidth="1"/>
    <col min="68" max="68" width="16.7109375" style="24" customWidth="1"/>
    <col min="69" max="70" width="4.7109375" style="24" customWidth="1"/>
    <col min="71" max="71" width="16.7109375" style="24" customWidth="1"/>
    <col min="72" max="16384" width="9.140625" style="24"/>
  </cols>
  <sheetData>
    <row r="1" spans="1:71" ht="42.75" customHeight="1">
      <c r="A1" s="1195" t="s">
        <v>164</v>
      </c>
      <c r="B1" s="1195"/>
      <c r="C1" s="1195"/>
      <c r="D1" s="1195"/>
      <c r="E1" s="1195"/>
      <c r="F1" s="1195"/>
      <c r="G1" s="1195"/>
      <c r="H1" s="1195"/>
      <c r="I1" s="1195"/>
      <c r="J1" s="1195"/>
      <c r="K1" s="1195"/>
      <c r="L1" s="1195"/>
      <c r="M1" s="1195"/>
      <c r="N1" s="1195"/>
      <c r="O1" s="1195"/>
      <c r="P1" s="1195"/>
      <c r="Q1" s="1195"/>
      <c r="R1" s="1195"/>
      <c r="S1" s="1195"/>
      <c r="T1" s="1195"/>
      <c r="U1" s="1195"/>
      <c r="V1" s="1195"/>
      <c r="W1" s="1195"/>
      <c r="X1" s="1195"/>
      <c r="Y1" s="1195"/>
      <c r="Z1" s="1195"/>
      <c r="AA1" s="1195"/>
      <c r="AB1" s="1195"/>
      <c r="AC1" s="1195"/>
      <c r="AD1" s="1195"/>
      <c r="AE1" s="1195"/>
      <c r="AF1" s="1195"/>
      <c r="AG1" s="1195"/>
      <c r="AH1" s="1195"/>
      <c r="AI1" s="1195"/>
      <c r="AJ1" s="1195"/>
      <c r="AK1" s="1195"/>
      <c r="AL1" s="1195"/>
    </row>
    <row r="2" spans="1:71" s="135" customFormat="1" ht="23.25">
      <c r="B2" s="136"/>
      <c r="F2" s="1196" t="s">
        <v>165</v>
      </c>
      <c r="G2" s="1196"/>
      <c r="H2" s="1196"/>
      <c r="I2" s="1196"/>
      <c r="J2" s="1196"/>
      <c r="K2" s="1196"/>
      <c r="L2" s="1196"/>
      <c r="M2" s="1196"/>
      <c r="N2" s="1196"/>
      <c r="O2" s="1196"/>
      <c r="P2" s="1196"/>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7" t="s">
        <v>166</v>
      </c>
      <c r="AN2" s="1197"/>
      <c r="AO2" s="1197"/>
      <c r="AP2" s="1197"/>
      <c r="AQ2" s="1197"/>
      <c r="AR2" s="1197"/>
      <c r="AS2" s="1197"/>
      <c r="AT2" s="1197"/>
      <c r="AU2" s="1197"/>
      <c r="AV2" s="1197"/>
      <c r="AW2" s="1197"/>
      <c r="AX2" s="1197"/>
      <c r="AY2" s="1197"/>
      <c r="AZ2" s="1197"/>
      <c r="BA2" s="1197"/>
      <c r="BB2" s="1197"/>
      <c r="BC2" s="1197"/>
      <c r="BD2" s="1197"/>
      <c r="BE2" s="1197"/>
      <c r="BF2" s="1197"/>
      <c r="BG2" s="1197"/>
      <c r="BH2" s="1197"/>
      <c r="BI2" s="1197"/>
      <c r="BJ2" s="1197"/>
      <c r="BK2" s="1197"/>
      <c r="BL2" s="1197"/>
      <c r="BM2" s="1197"/>
      <c r="BN2" s="1197"/>
      <c r="BO2" s="1197"/>
      <c r="BP2" s="1197"/>
      <c r="BQ2" s="1197"/>
      <c r="BR2" s="1197"/>
      <c r="BS2" s="1197"/>
    </row>
    <row r="3" spans="1:71">
      <c r="A3" s="1198" t="s">
        <v>2</v>
      </c>
      <c r="B3" s="1199" t="s">
        <v>3</v>
      </c>
      <c r="C3" s="1198" t="s">
        <v>4</v>
      </c>
      <c r="D3" s="1200" t="s">
        <v>167</v>
      </c>
      <c r="E3" s="1200" t="s">
        <v>168</v>
      </c>
      <c r="F3" s="1201" t="s">
        <v>169</v>
      </c>
      <c r="G3" s="1202"/>
      <c r="H3" s="1203"/>
      <c r="I3" s="1204" t="s">
        <v>170</v>
      </c>
      <c r="J3" s="1205"/>
      <c r="K3" s="1205"/>
      <c r="L3" s="1206" t="s">
        <v>171</v>
      </c>
      <c r="M3" s="1206"/>
      <c r="N3" s="1206"/>
      <c r="O3" s="1171" t="s">
        <v>172</v>
      </c>
      <c r="P3" s="1172"/>
      <c r="Q3" s="1173"/>
      <c r="R3" s="1160" t="s">
        <v>260</v>
      </c>
      <c r="S3" s="1161"/>
      <c r="T3" s="1161"/>
      <c r="U3" s="1158" t="s">
        <v>261</v>
      </c>
      <c r="V3" s="1158"/>
      <c r="W3" s="1159"/>
      <c r="X3" s="1207" t="s">
        <v>173</v>
      </c>
      <c r="Y3" s="1208"/>
      <c r="Z3" s="1209"/>
      <c r="AA3" s="1210" t="s">
        <v>174</v>
      </c>
      <c r="AB3" s="1211"/>
      <c r="AC3" s="1212"/>
      <c r="AD3" s="1213" t="s">
        <v>175</v>
      </c>
      <c r="AE3" s="1214"/>
      <c r="AF3" s="1215"/>
      <c r="AG3" s="1192" t="s">
        <v>176</v>
      </c>
      <c r="AH3" s="1193"/>
      <c r="AI3" s="1194"/>
      <c r="AJ3" s="1165" t="s">
        <v>184</v>
      </c>
      <c r="AK3" s="1166"/>
      <c r="AL3" s="1167"/>
      <c r="AM3" s="1168" t="s">
        <v>169</v>
      </c>
      <c r="AN3" s="1169"/>
      <c r="AO3" s="1170"/>
      <c r="AP3" s="1171" t="s">
        <v>177</v>
      </c>
      <c r="AQ3" s="1172"/>
      <c r="AR3" s="1173"/>
      <c r="AS3" s="1174" t="s">
        <v>171</v>
      </c>
      <c r="AT3" s="1175"/>
      <c r="AU3" s="1176"/>
      <c r="AV3" s="1177" t="s">
        <v>172</v>
      </c>
      <c r="AW3" s="1178"/>
      <c r="AX3" s="1179"/>
      <c r="AY3" s="1160" t="s">
        <v>260</v>
      </c>
      <c r="AZ3" s="1161"/>
      <c r="BA3" s="1161"/>
      <c r="BB3" s="1158" t="s">
        <v>261</v>
      </c>
      <c r="BC3" s="1158"/>
      <c r="BD3" s="1159"/>
      <c r="BE3" s="1180" t="s">
        <v>173</v>
      </c>
      <c r="BF3" s="1181"/>
      <c r="BG3" s="1182"/>
      <c r="BH3" s="1183" t="s">
        <v>174</v>
      </c>
      <c r="BI3" s="1184"/>
      <c r="BJ3" s="1185"/>
      <c r="BK3" s="1186" t="s">
        <v>175</v>
      </c>
      <c r="BL3" s="1187"/>
      <c r="BM3" s="1188"/>
      <c r="BN3" s="1189" t="s">
        <v>178</v>
      </c>
      <c r="BO3" s="1190"/>
      <c r="BP3" s="1191"/>
      <c r="BQ3" s="1162" t="s">
        <v>183</v>
      </c>
      <c r="BR3" s="1163"/>
      <c r="BS3" s="1164"/>
    </row>
    <row r="4" spans="1:71" ht="45">
      <c r="A4" s="1198"/>
      <c r="B4" s="1199"/>
      <c r="C4" s="1198"/>
      <c r="D4" s="1200"/>
      <c r="E4" s="1200" t="s">
        <v>179</v>
      </c>
      <c r="F4" s="137" t="s">
        <v>5</v>
      </c>
      <c r="G4" s="138" t="s">
        <v>6</v>
      </c>
      <c r="H4" s="137" t="s">
        <v>180</v>
      </c>
      <c r="I4" s="139" t="s">
        <v>5</v>
      </c>
      <c r="J4" s="140" t="s">
        <v>6</v>
      </c>
      <c r="K4" s="141" t="s">
        <v>180</v>
      </c>
      <c r="L4" s="142" t="s">
        <v>5</v>
      </c>
      <c r="M4" s="143" t="s">
        <v>6</v>
      </c>
      <c r="N4" s="142" t="s">
        <v>180</v>
      </c>
      <c r="O4" s="144" t="s">
        <v>5</v>
      </c>
      <c r="P4" s="145" t="s">
        <v>6</v>
      </c>
      <c r="Q4" s="144" t="s">
        <v>180</v>
      </c>
      <c r="R4" s="146" t="s">
        <v>5</v>
      </c>
      <c r="S4" s="147" t="s">
        <v>6</v>
      </c>
      <c r="T4" s="146" t="s">
        <v>180</v>
      </c>
      <c r="U4" s="148" t="s">
        <v>5</v>
      </c>
      <c r="V4" s="149" t="s">
        <v>6</v>
      </c>
      <c r="W4" s="148" t="s">
        <v>180</v>
      </c>
      <c r="X4" s="137" t="s">
        <v>5</v>
      </c>
      <c r="Y4" s="150" t="s">
        <v>6</v>
      </c>
      <c r="Z4" s="151" t="s">
        <v>180</v>
      </c>
      <c r="AA4" s="152" t="s">
        <v>5</v>
      </c>
      <c r="AB4" s="153" t="s">
        <v>6</v>
      </c>
      <c r="AC4" s="154" t="s">
        <v>180</v>
      </c>
      <c r="AD4" s="155" t="s">
        <v>5</v>
      </c>
      <c r="AE4" s="156" t="s">
        <v>6</v>
      </c>
      <c r="AF4" s="157" t="s">
        <v>180</v>
      </c>
      <c r="AG4" s="158" t="s">
        <v>5</v>
      </c>
      <c r="AH4" s="159" t="s">
        <v>6</v>
      </c>
      <c r="AI4" s="160" t="s">
        <v>180</v>
      </c>
      <c r="AJ4" s="161" t="s">
        <v>5</v>
      </c>
      <c r="AK4" s="162" t="s">
        <v>6</v>
      </c>
      <c r="AL4" s="163" t="s">
        <v>180</v>
      </c>
      <c r="AM4" s="164" t="s">
        <v>5</v>
      </c>
      <c r="AN4" s="165" t="s">
        <v>6</v>
      </c>
      <c r="AO4" s="166" t="s">
        <v>180</v>
      </c>
      <c r="AP4" s="144" t="s">
        <v>5</v>
      </c>
      <c r="AQ4" s="167" t="s">
        <v>6</v>
      </c>
      <c r="AR4" s="168" t="s">
        <v>180</v>
      </c>
      <c r="AS4" s="169" t="s">
        <v>5</v>
      </c>
      <c r="AT4" s="170" t="s">
        <v>6</v>
      </c>
      <c r="AU4" s="171" t="s">
        <v>180</v>
      </c>
      <c r="AV4" s="172" t="s">
        <v>5</v>
      </c>
      <c r="AW4" s="173" t="s">
        <v>6</v>
      </c>
      <c r="AX4" s="174" t="s">
        <v>180</v>
      </c>
      <c r="AY4" s="146" t="s">
        <v>5</v>
      </c>
      <c r="AZ4" s="147" t="s">
        <v>6</v>
      </c>
      <c r="BA4" s="146" t="s">
        <v>180</v>
      </c>
      <c r="BB4" s="148" t="s">
        <v>5</v>
      </c>
      <c r="BC4" s="149" t="s">
        <v>6</v>
      </c>
      <c r="BD4" s="148" t="s">
        <v>180</v>
      </c>
      <c r="BE4" s="175" t="s">
        <v>5</v>
      </c>
      <c r="BF4" s="176" t="s">
        <v>6</v>
      </c>
      <c r="BG4" s="177" t="s">
        <v>180</v>
      </c>
      <c r="BH4" s="178" t="s">
        <v>5</v>
      </c>
      <c r="BI4" s="179" t="s">
        <v>6</v>
      </c>
      <c r="BJ4" s="180" t="s">
        <v>180</v>
      </c>
      <c r="BK4" s="181" t="s">
        <v>5</v>
      </c>
      <c r="BL4" s="182" t="s">
        <v>6</v>
      </c>
      <c r="BM4" s="183" t="s">
        <v>180</v>
      </c>
      <c r="BN4" s="184" t="s">
        <v>5</v>
      </c>
      <c r="BO4" s="185" t="s">
        <v>6</v>
      </c>
      <c r="BP4" s="186" t="s">
        <v>180</v>
      </c>
      <c r="BQ4" s="187" t="s">
        <v>5</v>
      </c>
      <c r="BR4" s="188" t="s">
        <v>6</v>
      </c>
      <c r="BS4" s="189" t="s">
        <v>180</v>
      </c>
    </row>
    <row r="5" spans="1:71">
      <c r="A5" s="190">
        <v>1</v>
      </c>
      <c r="B5" s="190">
        <v>2</v>
      </c>
      <c r="C5" s="190">
        <v>3</v>
      </c>
      <c r="D5" s="190">
        <v>4</v>
      </c>
      <c r="E5" s="190">
        <v>5</v>
      </c>
      <c r="F5" s="190">
        <v>6</v>
      </c>
      <c r="G5" s="190">
        <v>7</v>
      </c>
      <c r="H5" s="190">
        <v>8</v>
      </c>
      <c r="I5" s="190">
        <v>9</v>
      </c>
      <c r="J5" s="190">
        <v>10</v>
      </c>
      <c r="K5" s="190">
        <v>11</v>
      </c>
      <c r="L5" s="190">
        <v>12</v>
      </c>
      <c r="M5" s="190">
        <v>13</v>
      </c>
      <c r="N5" s="190">
        <v>14</v>
      </c>
      <c r="O5" s="190">
        <v>15</v>
      </c>
      <c r="P5" s="190">
        <v>16</v>
      </c>
      <c r="Q5" s="190">
        <v>17</v>
      </c>
      <c r="R5" s="190">
        <v>18</v>
      </c>
      <c r="S5" s="190">
        <v>19</v>
      </c>
      <c r="T5" s="190">
        <v>20</v>
      </c>
      <c r="U5" s="190">
        <v>21</v>
      </c>
      <c r="V5" s="190">
        <v>22</v>
      </c>
      <c r="W5" s="190">
        <v>23</v>
      </c>
      <c r="X5" s="190">
        <v>24</v>
      </c>
      <c r="Y5" s="190">
        <v>25</v>
      </c>
      <c r="Z5" s="190">
        <v>26</v>
      </c>
      <c r="AA5" s="190">
        <v>27</v>
      </c>
      <c r="AB5" s="190">
        <v>28</v>
      </c>
      <c r="AC5" s="190">
        <v>29</v>
      </c>
      <c r="AD5" s="190">
        <v>30</v>
      </c>
      <c r="AE5" s="190">
        <v>31</v>
      </c>
      <c r="AF5" s="190">
        <v>32</v>
      </c>
      <c r="AG5" s="190">
        <v>33</v>
      </c>
      <c r="AH5" s="190">
        <v>34</v>
      </c>
      <c r="AI5" s="190">
        <v>35</v>
      </c>
      <c r="AJ5" s="190">
        <v>36</v>
      </c>
      <c r="AK5" s="190">
        <v>37</v>
      </c>
      <c r="AL5" s="190">
        <v>38</v>
      </c>
      <c r="AM5" s="190">
        <v>39</v>
      </c>
      <c r="AN5" s="190">
        <v>40</v>
      </c>
      <c r="AO5" s="190">
        <v>41</v>
      </c>
      <c r="AP5" s="190">
        <v>42</v>
      </c>
      <c r="AQ5" s="190">
        <v>43</v>
      </c>
      <c r="AR5" s="190">
        <v>44</v>
      </c>
      <c r="AS5" s="190">
        <v>45</v>
      </c>
      <c r="AT5" s="190">
        <v>46</v>
      </c>
      <c r="AU5" s="190">
        <v>47</v>
      </c>
      <c r="AV5" s="190">
        <v>48</v>
      </c>
      <c r="AW5" s="190">
        <v>49</v>
      </c>
      <c r="AX5" s="190">
        <v>50</v>
      </c>
      <c r="AY5" s="190">
        <v>51</v>
      </c>
      <c r="AZ5" s="190">
        <v>52</v>
      </c>
      <c r="BA5" s="190">
        <v>53</v>
      </c>
      <c r="BB5" s="190">
        <v>54</v>
      </c>
      <c r="BC5" s="190">
        <v>55</v>
      </c>
      <c r="BD5" s="190">
        <v>56</v>
      </c>
      <c r="BE5" s="190">
        <v>57</v>
      </c>
      <c r="BF5" s="190">
        <v>58</v>
      </c>
      <c r="BG5" s="190">
        <v>59</v>
      </c>
      <c r="BH5" s="190">
        <v>60</v>
      </c>
      <c r="BI5" s="190">
        <v>61</v>
      </c>
      <c r="BJ5" s="190">
        <v>62</v>
      </c>
      <c r="BK5" s="190">
        <v>63</v>
      </c>
      <c r="BL5" s="190">
        <v>64</v>
      </c>
      <c r="BM5" s="190">
        <v>65</v>
      </c>
      <c r="BN5" s="190">
        <v>66</v>
      </c>
      <c r="BO5" s="190">
        <v>67</v>
      </c>
      <c r="BP5" s="190">
        <v>68</v>
      </c>
      <c r="BQ5" s="190">
        <v>69</v>
      </c>
      <c r="BR5" s="190">
        <v>70</v>
      </c>
      <c r="BS5" s="190">
        <v>71</v>
      </c>
    </row>
    <row r="6" spans="1:71" ht="129.94999999999999" customHeight="1">
      <c r="A6" s="191">
        <v>1</v>
      </c>
      <c r="B6" s="191">
        <f>SISWA!B6</f>
        <v>4822</v>
      </c>
      <c r="C6" s="192" t="str">
        <f>SISWA!C6</f>
        <v>Anak 1</v>
      </c>
      <c r="D6" s="193" t="str">
        <f>SPIRIT!Q5</f>
        <v xml:space="preserve">Ananda Anak 1 baik dalam  ketaatan beribadah,  berperilaku syukur,  berdoa sebelum dan sesudah melakukan kegiatan,  toleransi dalam beribadah, </v>
      </c>
      <c r="E6" s="193" t="str">
        <f>SOSIAL!W5</f>
        <v xml:space="preserve">Ananda Anak 1 baik dalam sikap jujur, disiplin, tanggung jawab, peduli, percaya diri, kerja sama, dan sudah mampu meningkatkan sikap santun, </v>
      </c>
      <c r="F6" s="194">
        <f>'PAI3'!DU6</f>
        <v>92</v>
      </c>
      <c r="G6" s="194" t="str">
        <f>'PAI3'!DV6</f>
        <v>A</v>
      </c>
      <c r="H6" s="195" t="str">
        <f>'PAI3'!EA6</f>
        <v>Anak 1 sangat baik  dalam memahami manfaat gemar membaca, dan  cukup baik  dalam memahami makna ibadah salat</v>
      </c>
      <c r="I6" s="194">
        <f>'PKN3'!AI5</f>
        <v>93</v>
      </c>
      <c r="J6" s="194" t="str">
        <f>'PKN3'!AJ5</f>
        <v>A</v>
      </c>
      <c r="K6" s="193" t="str">
        <f>'PKN3'!AO5</f>
        <v>Anak 1 sangat baik  dalam mengidentifikasi berbagai bentuk keragaman suku bangsa, sosial, dan budaya di Indonesia yang terikat persatuan dan kesatuan., dan  baik  dalam mengidentifikasi pelaksanaan kewajiban dan hak sebagai warga masyarakat dalam kehidupan sehari-hari.</v>
      </c>
      <c r="L6" s="196">
        <f>BIND3!AU5</f>
        <v>85</v>
      </c>
      <c r="M6" s="196" t="str">
        <f>BIND3!AV5</f>
        <v>B</v>
      </c>
      <c r="N6" s="195" t="str">
        <f>BIND3!BA5</f>
        <v>Anak 1 baik  dalam menggali informasi dari seorang tokoh melalui wawancara menggunakan daftar pertanyaan., dan  cukup baik  dalam menggali isi dan amanat puisi yang disajikan secara lisan dan tulis dengan tujuan untuk kesenangan.</v>
      </c>
      <c r="O6" s="196">
        <f>'MTK3'!BC5</f>
        <v>79</v>
      </c>
      <c r="P6" s="196" t="str">
        <f>'MTK3'!BD5</f>
        <v>C</v>
      </c>
      <c r="Q6" s="195" t="str">
        <f>'MTK3'!BI5</f>
        <v>Anak 1 baik  dalam menjelaskan berbagai bentuk pecahan (biasa, campuran, desimal, dan persen) dan hubungan di antaranya, dan  cukup baik  dalam menjelaskan pecahan-pecahan senilai dengan gambar dan model konkret</v>
      </c>
      <c r="R6" s="196">
        <f>'IPA3'!AM5</f>
        <v>93</v>
      </c>
      <c r="S6" s="196" t="str">
        <f>'IPA3'!AN5</f>
        <v>A</v>
      </c>
      <c r="T6" s="195" t="str">
        <f>'IPA3'!AS5</f>
        <v>Anak 1 sangat baik  dalam mengidentifikasi berbagai sumber energi, perubahan bentuk energi, dan sumber energi alternatif (angin, air, matahari, panas bumi, bahan bakar organik, dan nuklir) dalam kehidupan sehari-hari., dan  baik  dalam membandingkan siklus hidup beberapa jenis makhluk hidup serta mengaitkan dengan upaya pelestariannya.</v>
      </c>
      <c r="U6" s="196">
        <f>'IPS3'!AN5</f>
        <v>88</v>
      </c>
      <c r="V6" s="196" t="str">
        <f>'IPS3'!AO5</f>
        <v>B</v>
      </c>
      <c r="W6" s="195" t="str">
        <f>'IPS3'!AT5</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X6" s="196">
        <f>SBDP3!AN5</f>
        <v>95</v>
      </c>
      <c r="Y6" s="196" t="str">
        <f>SBDP3!AO5</f>
        <v>A</v>
      </c>
      <c r="Z6" s="195" t="str">
        <f>SBDP3!AT5</f>
        <v>Anak 1 sangat baik  dalam mengetahui gambar dan bentuk tiga dimensi., dan  baik  dalam mengetahui tanda tempo dan tinggi rendah nada.</v>
      </c>
      <c r="AA6" s="196">
        <f>PJOK3!AV5</f>
        <v>86</v>
      </c>
      <c r="AB6" s="196" t="str">
        <f>PJOK3!AW5</f>
        <v>B</v>
      </c>
      <c r="AC6" s="195" t="str">
        <f>PJOK3!BB5</f>
        <v>Anak 1 sangat baik  dalam memahami konsep berbagai aktifitas kebugaran jasmani untuk mencapai tinggi dan berat badan ideal, dan  cukup baik  dalam memahami konsep variasi dan kombinasi gerak dasar lokomotor,non lokomotor, dan manipulative dalam berbagai permainan dan atau olahraga tradisional bola kecii.</v>
      </c>
      <c r="AD6" s="196">
        <f>'MLK1-3'!AT5</f>
        <v>80</v>
      </c>
      <c r="AE6" s="196" t="str">
        <f>'MLK1-3'!AU5</f>
        <v>C</v>
      </c>
      <c r="AF6" s="197" t="str">
        <f>'MLK1-3'!AZ5</f>
        <v>Anak 1 baik  dalam mengenal, memahami, dan mengidentifikasi kata berimbuhan dalam teks sesuai kaidah, dan  cukup baik  dalam mengenal dan memahmi teks tembang dolanan</v>
      </c>
      <c r="AG6" s="196">
        <f>'MLK2-3'!AP5</f>
        <v>81</v>
      </c>
      <c r="AH6" s="196" t="str">
        <f>'MLK2-3'!AQ5</f>
        <v>B</v>
      </c>
      <c r="AI6" s="195" t="str">
        <f>'MLK2-3'!AV5</f>
        <v>Anak 1 baik  dalam mengenal dan mengidentifikasi benda-benda di dapur dan nama-nama bunga, dan  cukup baik  dalam mengenal, memahami dan mengidentifikasi macam-macam kalimat (order, request, and prengenal obyek-obyek wisata dan memahami penggunaan kalimat ungkapan terima kasih</v>
      </c>
      <c r="AJ6" s="196">
        <f>'MLK3-3'!AP5</f>
        <v>72</v>
      </c>
      <c r="AK6" s="196" t="str">
        <f>'MLK3-3'!AQ5</f>
        <v>C</v>
      </c>
      <c r="AL6" s="197" t="str">
        <f>'MLK3-3'!AV5</f>
        <v>Anak 1 cukup baik  dalam mengenal dan memahami penggunaan microsoft  word., dan  cukup baik  dalam memahami pembuatan dokumen di microsoft  word</v>
      </c>
      <c r="AM6" s="196">
        <f>'PAI4'!CI6</f>
        <v>88</v>
      </c>
      <c r="AN6" s="196" t="str">
        <f>'PAI4'!CJ6</f>
        <v>B</v>
      </c>
      <c r="AO6" s="197" t="str">
        <f>'PAI4'!CO6</f>
        <v>Anak 1 baik  dalam membaca Q.S. al- Falaq dan Q.S.al-Fil dengan tartil</v>
      </c>
      <c r="AP6" s="196">
        <f>'PKN4'!AD5</f>
        <v>84</v>
      </c>
      <c r="AQ6" s="196" t="str">
        <f>'PKN4'!AE5</f>
        <v>B</v>
      </c>
      <c r="AR6" s="195" t="str">
        <f>'PKN4'!AJ5</f>
        <v>Anak 1 sangat baik  dalam mengemukakan manfaat keberagaman karakteristik individu dalam kehidupan sehari-hari., dan  perlu bimbingan  dalam menyajikan hasil identifikasi pelaksanaan kewajiban dan hak sebagai warga masyarakat dalam kehidupan sehari-hari.</v>
      </c>
      <c r="AS6" s="196">
        <f>BIND4!AP5</f>
        <v>87</v>
      </c>
      <c r="AT6" s="196" t="str">
        <f>BIND4!AQ5</f>
        <v>B</v>
      </c>
      <c r="AU6" s="195" t="str">
        <f>BIND4!AV5</f>
        <v>Anak 1 sangat baik  dalam melaporkan hasil wawancara menggunakan kosakata baku dan kalimat efektif dalam bentuk teks tulis., dan  cukup baik  dalam 0</v>
      </c>
      <c r="AV6" s="196">
        <f>'MTK4'!AP5</f>
        <v>85</v>
      </c>
      <c r="AW6" s="196" t="str">
        <f>'MTK4'!AQ5</f>
        <v>B</v>
      </c>
      <c r="AX6" s="195" t="str">
        <f>'MTK4'!AV5</f>
        <v>Anak 1 sangat baik  dalam mengidentifikasi pecahan-pecahan senilai dengan gambar dan model konkret, dan  cukup baik  dalam menyelesaikan masalah yang berkaitan dengan faktor persekutuan, faktor persekutuan terbesar (FPB), kelipatan persekutuan, dan kelipatan persekutuan terkecil (KPK) dari dua bilangan berkaitan dengan kehidupan sehari-hari</v>
      </c>
      <c r="AY6" s="196">
        <f>'IPA4'!AJ5</f>
        <v>87</v>
      </c>
      <c r="AZ6" s="196" t="str">
        <f>'IPA4'!AK5</f>
        <v>B</v>
      </c>
      <c r="BA6" s="195" t="str">
        <f>'IPA4'!AP5</f>
        <v>Anak 1 sangat baik  dalam membuat skema siklus hidup beberapa jenis makhluk hidup yang ada di lingkungan sekitarnya, dan slogan upaya pelestariannya., dan  cukup baik  dalam 0</v>
      </c>
      <c r="BB6" s="196">
        <f>'IPS4'!AG5</f>
        <v>89</v>
      </c>
      <c r="BC6" s="196" t="str">
        <f>'IPS4'!AH5</f>
        <v>B</v>
      </c>
      <c r="BD6" s="195" t="str">
        <f>'IPS4'!AM5</f>
        <v>Anak 1 sangat baik  dalam menyajikan hasil identifikasi karakteristik ruang dan pemanfaatan sumber daya alam untuk kesejahteraan masyarakat dari tingkat kota/kabupaten sampai tingkat provinsi., dan  baik  dalam 0</v>
      </c>
      <c r="BE6" s="196">
        <f>SBDP4!AG5</f>
        <v>83</v>
      </c>
      <c r="BF6" s="196" t="str">
        <f>SBDP4!AH5</f>
        <v>B</v>
      </c>
      <c r="BG6" s="195" t="str">
        <f>SBDP4!AM5</f>
        <v>Anak 1 baik  dalam menyanyikan lagu dengan memperhatikan tempo dan tinggi rendah nada., dan  cukup baik  dalam menggambar dan membentuk tiga dimensi</v>
      </c>
      <c r="BH6" s="196">
        <f>PJOK4!AJ5</f>
        <v>87</v>
      </c>
      <c r="BI6" s="196" t="str">
        <f>PJOK4!AK5</f>
        <v>B</v>
      </c>
      <c r="BJ6" s="197" t="str">
        <f>PJOK4!AP5</f>
        <v>Anak 1 sangat baik  dalam mempraktikkan kombinasi pola gerak dasar lokomotor untuk membentuk gerakan dasar atletik jalan cepat dan lari yang dilandasi konsep gerak melalui permainan dan atau olahraga tradisional., dan  cukup baik  dalam mempraktikkan penggunaan kombinasi pola gerak dasar lokomotor, nonlokomotor dan manipulatif sesuai dengan irama (ketukan) tanpa/dengan musik dalam aktivitas gerak rimtik.</v>
      </c>
      <c r="BK6" s="196">
        <f>'MLK1-4'!AG5</f>
        <v>84</v>
      </c>
      <c r="BL6" s="196" t="str">
        <f>'MLK1-4'!AH5</f>
        <v>B</v>
      </c>
      <c r="BM6" s="195" t="str">
        <f>'MLK1-4'!AM5</f>
        <v>Anak 1 baik  dalam menulis kalimat dengan huruf latin dan huruf Jawa menggunakan sandhangan aksar Jawa., dan  cukup baik  dalam melagukan dan mengapresiasi tembang dolanan.</v>
      </c>
      <c r="BN6" s="196">
        <f>'MLK2-4'!AG5</f>
        <v>83</v>
      </c>
      <c r="BO6" s="196" t="str">
        <f>'MLK2-4'!AH5</f>
        <v>B</v>
      </c>
      <c r="BP6" s="195" t="str">
        <f>'MLK2-4'!AM5</f>
        <v>Anak 1 baik  dalam melakukan percakapan yang menunjukkan letak suatu tempat, dan  cukup baik  dalam melakukan praktik menyebutkan tempat obyek wisata dan menyajikan kalimat tentang ungkapan terima kasih</v>
      </c>
      <c r="BQ6" s="196">
        <f>'MLK3-4'!AG5</f>
        <v>82</v>
      </c>
      <c r="BR6" s="196" t="str">
        <f>'MLK3-4'!AH5</f>
        <v>B</v>
      </c>
      <c r="BS6" s="195" t="str">
        <f>'MLK3-4'!AM5</f>
        <v>Anak 1 baik  dalam mempraktikkan membuat dokumen " Cerita Dongeng", dan  cukup baik  dalam mempraktikkan membuat karangan yang berjudul" Letusan Gunung Berapi"</v>
      </c>
    </row>
    <row r="7" spans="1:71" ht="129.94999999999999" customHeight="1">
      <c r="A7" s="191">
        <v>2</v>
      </c>
      <c r="B7" s="191">
        <f>SISWA!B7</f>
        <v>0</v>
      </c>
      <c r="C7" s="192" t="str">
        <f>SISWA!C7</f>
        <v>Anak 2</v>
      </c>
      <c r="D7" s="193" t="str">
        <f>SPIRIT!Q6</f>
        <v xml:space="preserve">Ananda Anak 2 sangat baik dalam  berdoa sebelum dan sesudah melakukan kegiatan, baik dalam  ketaatan beribadah,  berperilaku syukur,  toleransi dalam beribadah, </v>
      </c>
      <c r="E7" s="193" t="str">
        <f>SOSIAL!W6</f>
        <v xml:space="preserve">Ananda Anak 2 sangat tanggung jawab, baik dalam sikap jujur, disiplin, santun, peduli, percaya diri, kerja sama, </v>
      </c>
      <c r="F7" s="194">
        <f>'PAI3'!DU7</f>
        <v>99</v>
      </c>
      <c r="G7" s="194" t="str">
        <f>'PAI3'!DV7</f>
        <v>A</v>
      </c>
      <c r="H7" s="195" t="str">
        <f>'PAI3'!EA7</f>
        <v>Anak 2 sangat baik  dalam memahami Q.S. al- Falaq dan Q.S. al- Fil dengan baik dan benar</v>
      </c>
      <c r="I7" s="194">
        <f>'PKN3'!AI6</f>
        <v>97</v>
      </c>
      <c r="J7" s="194" t="str">
        <f>'PKN3'!AJ6</f>
        <v>A</v>
      </c>
      <c r="K7" s="193" t="str">
        <f>'PKN3'!AO6</f>
        <v>Anak 2 sangat baik  dalam mengidentifikasi pelaksanaan kewajiban dan hak sebagai warga masyarakat dalam kehidupan sehari-hari., dan  sangat baik  dalam mengidentifikasi berbagai bentuk keragaman suku bangsa, sosial, dan budaya di Indonesia yang terikat persatuan dan kesatuan.</v>
      </c>
      <c r="L7" s="196">
        <f>BIND3!AU6</f>
        <v>99</v>
      </c>
      <c r="M7" s="196" t="str">
        <f>BIND3!AV6</f>
        <v>A</v>
      </c>
      <c r="N7" s="195" t="str">
        <f>BIND3!BA6</f>
        <v>Anak 2 sangat baik  dalam menggali pengetahuan baru yang terdapat pada teks nonfiksi., dan  sangat baik  dalam menggali informasi dari seorang tokoh melalui wawancara menggunakan daftar pertanyaan.</v>
      </c>
      <c r="O7" s="196">
        <f>'MTK3'!BC6</f>
        <v>71</v>
      </c>
      <c r="P7" s="196" t="str">
        <f>'MTK3'!BD6</f>
        <v>C</v>
      </c>
      <c r="Q7" s="195" t="str">
        <f>'MTK3'!BI6</f>
        <v>Anak 2 cukup baik  dalam menjelaskan berbagai bentuk pecahan (biasa, campuran, desimal, dan persen) dan hubungan di antaranya, dan  perlu bimbingan  dalam menjelaskan dan melakukan penaksiran dari jumlah, selisih, hasil kali, dan hasil bagi dua bilangan cacah maupun pecahan dan desimal</v>
      </c>
      <c r="R7" s="196">
        <f>'IPA3'!AM6</f>
        <v>93</v>
      </c>
      <c r="S7" s="196" t="str">
        <f>'IPA3'!AN6</f>
        <v>A</v>
      </c>
      <c r="T7" s="195" t="str">
        <f>'IPA3'!AS6</f>
        <v>Anak 2 sangat baik  dalam menghubungkan gaya dengan gerak pada peristiwa di lingkungan sekitar., dan  baik  dalam membandingkan siklus hidup beberapa jenis makhluk hidup serta mengaitkan dengan upaya pelestariannya.</v>
      </c>
      <c r="U7" s="196">
        <f>'IPS3'!AN6</f>
        <v>91</v>
      </c>
      <c r="V7" s="196" t="str">
        <f>'IPS3'!AO6</f>
        <v>A</v>
      </c>
      <c r="W7" s="195" t="str">
        <f>'IPS3'!AT6</f>
        <v>Anak 2 sangat baik  dalam mengidentifikasi kegiatan ekonomi dan hubungannya dengan berbagai bidang pekerjaan serta kehidupan sosial dan budaya di lingkungan sekitar sampai provinsi., dan  baik  dalam mengidentifikasi karakteristik ruang dan pemanfaatan sumberdaya alam untuk kesejahteraan masyarakat dari tingkatkota/kabupaten sampai tingkat provinsi.</v>
      </c>
      <c r="X7" s="196">
        <f>SBDP3!AN6</f>
        <v>93</v>
      </c>
      <c r="Y7" s="196" t="str">
        <f>SBDP3!AO6</f>
        <v>A</v>
      </c>
      <c r="Z7" s="195" t="str">
        <f>SBDP3!AT6</f>
        <v>Anak 2 sangat baik  dalam mengetahui karya seni rupa teknik tempel., dan  baik  dalam mengetahui gambar dan bentuk tiga dimensi.</v>
      </c>
      <c r="AA7" s="196">
        <f>PJOK3!AV6</f>
        <v>90</v>
      </c>
      <c r="AB7" s="196" t="str">
        <f>PJOK3!AW6</f>
        <v>B</v>
      </c>
      <c r="AC7" s="195" t="str">
        <f>PJOK3!BB6</f>
        <v>Anak 2 sangat baik  dalam memahami konsep variasi dan kombinasi pola gerak dasar lokomotorr dan nonlokomotor untuk membentuk gerakan dasar atletik jalan cepat dan lari melalui permainan dan atau olahraga tradisional, dan  baik  dalam mengetahui konsep penggunaan kombinasi pola gerak dasar lokomotor, non-lokomotor dan manipulatif sesuai dengan irama (ketukan) tanpa/denganmusik dalam aktivitas gerak ritmik.</v>
      </c>
      <c r="AD7" s="196">
        <f>'MLK1-3'!AT6</f>
        <v>91</v>
      </c>
      <c r="AE7" s="196" t="str">
        <f>'MLK1-3'!AU6</f>
        <v>A</v>
      </c>
      <c r="AF7" s="197" t="str">
        <f>'MLK1-3'!AZ6</f>
        <v>Anak 2 sangat baik  dalam mengenal, memahami, dan mengidentifikasi kata berimbuhan dalam teks sesuai kaidah, dan  baik  dalam mengenal dan memahmi teks tembang dolanan</v>
      </c>
      <c r="AG7" s="196">
        <f>'MLK2-3'!AP6</f>
        <v>89</v>
      </c>
      <c r="AH7" s="196" t="str">
        <f>'MLK2-3'!AQ6</f>
        <v>B</v>
      </c>
      <c r="AI7" s="195" t="str">
        <f>'MLK2-3'!AV6</f>
        <v>Anak 2 sangat baik  dalam memahami penggunaan waktu, tanggal, bulan, dan tahun, dan  baik  dalam mengenal, memahami dan mengidentifikasi macam-macam kalimat (order, request, and prengenal obyek-obyek wisata dan memahami penggunaan kalimat ungkapan terima kasih</v>
      </c>
      <c r="AJ7" s="196">
        <f>'MLK3-3'!AP6</f>
        <v>91</v>
      </c>
      <c r="AK7" s="196" t="str">
        <f>'MLK3-3'!AQ6</f>
        <v>A</v>
      </c>
      <c r="AL7" s="197" t="str">
        <f>'MLK3-3'!AV6</f>
        <v>Anak 2 sangat baik  dalam mengenal dan memahami penggunaan microsoft  word.</v>
      </c>
      <c r="AM7" s="196">
        <f>'PAI4'!CI7</f>
        <v>78</v>
      </c>
      <c r="AN7" s="196" t="str">
        <f>'PAI4'!CJ7</f>
        <v>C</v>
      </c>
      <c r="AO7" s="197" t="str">
        <f>'PAI4'!CO7</f>
        <v>Anak 2 cukup baik  dalam menulis kalimat- kalimat dalam Q.S. al-Falaq dan Q.S. al-Fil dengan benar</v>
      </c>
      <c r="AP7" s="196">
        <f>'PKN4'!AD6</f>
        <v>77</v>
      </c>
      <c r="AQ7" s="196" t="str">
        <f>'PKN4'!AE6</f>
        <v>C</v>
      </c>
      <c r="AR7" s="195" t="str">
        <f>'PKN4'!AJ6</f>
        <v>Anak 2 baik  dalam menyajikan berbagai bentuk keragaman suku bangsa, sosial, dan budaya di Indonesia yang terikat persatuan dan kesatuan., dan  perlu bimbingan  dalam mengemukakan manfaat keberagaman karakteristik individu dalam kehidupan sehari-hari.</v>
      </c>
      <c r="AS7" s="196">
        <f>BIND4!AP6</f>
        <v>87</v>
      </c>
      <c r="AT7" s="196" t="str">
        <f>BIND4!AQ6</f>
        <v>B</v>
      </c>
      <c r="AU7" s="195" t="str">
        <f>BIND4!AV6</f>
        <v>Anak 2 baik  dalam melaporkan hasil wawancara menggunakan kosakata baku dan kalimat efektif dalam bentuk teks tulis.</v>
      </c>
      <c r="AV7" s="196">
        <f>'MTK4'!AP6</f>
        <v>77</v>
      </c>
      <c r="AW7" s="196" t="str">
        <f>'MTK4'!AQ6</f>
        <v>C</v>
      </c>
      <c r="AX7" s="195" t="str">
        <f>'MTK4'!AV6</f>
        <v>Anak 2 baik  dalam mengidentifikasi pecahan-pecahan senilai dengan gambar dan model konkret, dan  perlu bimbingan  dalam menyelesaikan masalah yang berkaitan dengan faktor persekutuan, faktor persekutuan terbesar (FPB), kelipatan persekutuan, dan kelipatan persekutuan terkecil (KPK) dari dua bilangan berkaitan dengan kehidupan sehari-hari</v>
      </c>
      <c r="AY7" s="196">
        <f>'IPA4'!AJ6</f>
        <v>87</v>
      </c>
      <c r="AZ7" s="196" t="str">
        <f>'IPA4'!AK6</f>
        <v>B</v>
      </c>
      <c r="BA7" s="195" t="str">
        <f>'IPA4'!AP6</f>
        <v>Anak 2 baik  dalam membuat skema siklus hidup beberapa jenis makhluk hidup yang ada di lingkungan sekitarnya, dan slogan upaya pelestariannya.</v>
      </c>
      <c r="BB7" s="196">
        <f>'IPS4'!AG6</f>
        <v>87</v>
      </c>
      <c r="BC7" s="196" t="str">
        <f>'IPS4'!AH6</f>
        <v>B</v>
      </c>
      <c r="BD7" s="195" t="str">
        <f>'IPS4'!AM6</f>
        <v>Anak 2 baik  dalam menyajikan hasil identifikasi karakteristik ruang dan pemanfaatan sumber daya alam untuk kesejahteraan masyarakat dari tingkat kota/kabupaten sampai tingkat provinsi.</v>
      </c>
      <c r="BE7" s="196">
        <f>SBDP4!AG6</f>
        <v>83</v>
      </c>
      <c r="BF7" s="196" t="str">
        <f>SBDP4!AH6</f>
        <v>B</v>
      </c>
      <c r="BG7" s="195" t="str">
        <f>SBDP4!AM6</f>
        <v>Anak 2 baik  dalam meragakan gerak tari kreasi daerah., dan  cukup baik  dalam menggambar dan membentuk tiga dimensi</v>
      </c>
      <c r="BH7" s="196">
        <f>PJOK4!AJ6</f>
        <v>87</v>
      </c>
      <c r="BI7" s="196" t="str">
        <f>PJOK4!AK6</f>
        <v>B</v>
      </c>
      <c r="BJ7" s="197" t="str">
        <f>PJOK4!AP6</f>
        <v>Anak 2 baik  dalam mempraktikkan kombinasi pola gerak dasar lokomotor untuk membentuk gerakan dasar atletik jalan cepat dan lari yang dilandasi konsep gerak melalui permainan dan atau olahraga tradisional.</v>
      </c>
      <c r="BK7" s="196">
        <f>'MLK1-4'!AG6</f>
        <v>83</v>
      </c>
      <c r="BL7" s="196" t="str">
        <f>'MLK1-4'!AH6</f>
        <v>B</v>
      </c>
      <c r="BM7" s="195" t="str">
        <f>'MLK1-4'!AM6</f>
        <v>Anak 2 baik  dalam menulis kalimat menggunakan kata berimbuhan., dan  cukup baik  dalam melagukan dan mengapresiasi tembang dolanan.</v>
      </c>
      <c r="BN7" s="196">
        <f>'MLK2-4'!AG6</f>
        <v>83</v>
      </c>
      <c r="BO7" s="196" t="str">
        <f>'MLK2-4'!AH6</f>
        <v>B</v>
      </c>
      <c r="BP7" s="195" t="str">
        <f>'MLK2-4'!AM6</f>
        <v>Anak 2 baik  dalam melakukan percakapan tentang penggunaan waktu, tanggal, bulan, dan tahun, dan  cukup baik  dalam melakukan praktik menyebutkan tempat obyek wisata dan menyajikan kalimat tentang ungkapan terima kasih</v>
      </c>
      <c r="BQ7" s="196">
        <f>'MLK3-4'!AG6</f>
        <v>77</v>
      </c>
      <c r="BR7" s="196" t="str">
        <f>'MLK3-4'!AH6</f>
        <v>C</v>
      </c>
      <c r="BS7" s="195" t="str">
        <f>'MLK3-4'!AM6</f>
        <v>Anak 2 cukup baik  dalam mempraktikkan membuat karangan yang berjudul" Letusan Gunung Berapi"</v>
      </c>
    </row>
    <row r="8" spans="1:71" ht="129.94999999999999" customHeight="1">
      <c r="A8" s="191">
        <v>3</v>
      </c>
      <c r="B8" s="191">
        <f>SISWA!B8</f>
        <v>0</v>
      </c>
      <c r="C8" s="192" t="str">
        <f>SISWA!C8</f>
        <v>Anak 3</v>
      </c>
      <c r="D8" s="193" t="str">
        <f>SPIRIT!Q7</f>
        <v xml:space="preserve">Ananda Anak 3 sangat baik dalam  berperilaku syukur, baik dalam  ketaatan beribadah,  berdoa sebelum dan sesudah melakukan kegiatan,  toleransi dalam beribadah, </v>
      </c>
      <c r="E8" s="193" t="str">
        <f>SOSIAL!W7</f>
        <v xml:space="preserve">Ananda Anak 3 baik dalam sikap jujur, disiplin, tanggung jawab, santun, peduli, percaya diri, kerja sama, </v>
      </c>
      <c r="F8" s="194">
        <f>'PAI3'!DU8</f>
        <v>99</v>
      </c>
      <c r="G8" s="194" t="str">
        <f>'PAI3'!DV8</f>
        <v>A</v>
      </c>
      <c r="H8" s="195" t="str">
        <f>'PAI3'!EA8</f>
        <v>Anak 3 sangat baik  dalam memahami Q.S. al- Falaq dan Q.S. al- Fil dengan baik dan benar</v>
      </c>
      <c r="I8" s="194">
        <f>'PKN3'!AI7</f>
        <v>97</v>
      </c>
      <c r="J8" s="194" t="str">
        <f>'PKN3'!AJ7</f>
        <v>A</v>
      </c>
      <c r="K8" s="193" t="str">
        <f>'PKN3'!AO7</f>
        <v>Anak 3 sangat baik  dalam mengidentifikasi pelaksanaan kewajiban dan hak sebagai warga masyarakat dalam kehidupan sehari-hari., dan  sangat baik  dalam mengidentifikasi berbagai bentuk keragaman suku bangsa, sosial, dan budaya di Indonesia yang terikat persatuan dan kesatuan.</v>
      </c>
      <c r="L8" s="196">
        <f>BIND3!AU7</f>
        <v>98</v>
      </c>
      <c r="M8" s="196" t="str">
        <f>BIND3!AV7</f>
        <v>A</v>
      </c>
      <c r="N8" s="195" t="str">
        <f>BIND3!BA7</f>
        <v>Anak 3 sangat baik  dalam menggali pengetahuan baru yang terdapat pada teks nonfiksi., dan  sangat baik  dalam menggali isi dan amanat puisi yang disajikan secara lisan dan tulis dengan tujuan untuk kesenangan.</v>
      </c>
      <c r="O8" s="196">
        <f>'MTK3'!BC7</f>
        <v>97</v>
      </c>
      <c r="P8" s="196" t="str">
        <f>'MTK3'!BD7</f>
        <v>A</v>
      </c>
      <c r="Q8" s="195" t="str">
        <f>'MTK3'!BI7</f>
        <v>Anak 3 sangat baik  dalam menjelaskan dan melakukan penaksiran dari jumlah, selisih, hasil kali, dan hasil bagi dua bilangan cacah maupun pecahan dan desimal, dan  sangat baik  dalam menjelaskan berbagai bentuk pecahan (biasa, campuran, desimal, dan persen) dan hubungan di antaranya</v>
      </c>
      <c r="R8" s="196">
        <f>'IPA3'!AM7</f>
        <v>99</v>
      </c>
      <c r="S8" s="196" t="str">
        <f>'IPA3'!AN7</f>
        <v>A</v>
      </c>
      <c r="T8" s="195" t="str">
        <f>'IPA3'!AS7</f>
        <v>Anak 3 sangat baik  dalam membandingkan siklus hidup beberapa jenis makhluk hidup serta mengaitkan dengan upaya pelestariannya.</v>
      </c>
      <c r="U8" s="196">
        <f>'IPS3'!AN7</f>
        <v>99</v>
      </c>
      <c r="V8" s="196" t="str">
        <f>'IPS3'!AO7</f>
        <v>A</v>
      </c>
      <c r="W8" s="195" t="str">
        <f>'IPS3'!AT7</f>
        <v>Anak 3 sangat baik  dalam mengidentifikasi karakteristik ruang dan pemanfaatan sumberdaya alam untuk kesejahteraan masyarakat dari tingkatkota/kabupaten sampai tingkat provinsi.</v>
      </c>
      <c r="X8" s="196">
        <f>SBDP3!AN7</f>
        <v>93</v>
      </c>
      <c r="Y8" s="196" t="str">
        <f>SBDP3!AO7</f>
        <v>A</v>
      </c>
      <c r="Z8" s="195" t="str">
        <f>SBDP3!AT7</f>
        <v>Anak 3 sangat baik  dalam mengetahui karya seni rupa teknik tempel., dan  baik  dalam mengetahui gambar dan bentuk tiga dimensi.</v>
      </c>
      <c r="AA8" s="196">
        <f>PJOK3!AV7</f>
        <v>97</v>
      </c>
      <c r="AB8" s="196" t="str">
        <f>PJOK3!AW7</f>
        <v>A</v>
      </c>
      <c r="AC8" s="195" t="str">
        <f>PJOK3!BB7</f>
        <v>Anak 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8" s="196">
        <f>'MLK1-3'!AT7</f>
        <v>94</v>
      </c>
      <c r="AE8" s="196" t="str">
        <f>'MLK1-3'!AU7</f>
        <v>A</v>
      </c>
      <c r="AF8" s="197" t="str">
        <f>'MLK1-3'!AZ7</f>
        <v>Anak 3 sangat baik  dalam mengenal dan memahmi teks tembang dolanan, dan  sangat baik  dalam mengenal, memahami, dan mengidentifikasi kata berimbuhan dalam teks sesuai kaidah</v>
      </c>
      <c r="AG8" s="196">
        <f>'MLK2-3'!AP7</f>
        <v>95</v>
      </c>
      <c r="AH8" s="196" t="str">
        <f>'MLK2-3'!AQ7</f>
        <v>A</v>
      </c>
      <c r="AI8" s="195" t="str">
        <f>'MLK2-3'!AV7</f>
        <v>Anak 3 sangat baik  dalam mengenal dan mengidentifikasi benda-benda di dapur dan nama-nama bunga, dan  sangat baik  dalam memahami penggunaan waktu, tanggal, bulan, dan tahun</v>
      </c>
      <c r="AJ8" s="196">
        <f>'MLK3-3'!AP7</f>
        <v>93</v>
      </c>
      <c r="AK8" s="196" t="str">
        <f>'MLK3-3'!AQ7</f>
        <v>A</v>
      </c>
      <c r="AL8" s="197" t="str">
        <f>'MLK3-3'!AV7</f>
        <v>Anak 3 sangat baik  dalam mengenal dan memahami penggunaan microsoft  word., dan  baik  dalam memahami pembuatan dokumen di microsoft  word</v>
      </c>
      <c r="AM8" s="196">
        <f>'PAI4'!CI8</f>
        <v>89</v>
      </c>
      <c r="AN8" s="196" t="str">
        <f>'PAI4'!CJ8</f>
        <v>B</v>
      </c>
      <c r="AO8" s="197" t="str">
        <f>'PAI4'!CO8</f>
        <v>Anak 3 baik  dalam menulis kalimat- kalimat dalam Q.S. al-Falaq dan Q.S. al-Fil dengan benar</v>
      </c>
      <c r="AP8" s="196" t="e">
        <f>'PKN4'!AD7</f>
        <v>#DIV/0!</v>
      </c>
      <c r="AQ8" s="196" t="e">
        <f>'PKN4'!AE7</f>
        <v>#DIV/0!</v>
      </c>
      <c r="AR8" s="195" t="str">
        <f>'PKN4'!AJ7</f>
        <v xml:space="preserve"> </v>
      </c>
      <c r="AS8" s="196">
        <f>BIND4!AP7</f>
        <v>88</v>
      </c>
      <c r="AT8" s="196" t="str">
        <f>BIND4!AQ7</f>
        <v>B</v>
      </c>
      <c r="AU8" s="195" t="str">
        <f>BIND4!AV7</f>
        <v>Anak 3 baik  dalam melisankan puisi hasil karya pribadi dengan lafal, intonasi, dan ekspresi yang tepat sebagai bentuk ungkapan diri.</v>
      </c>
      <c r="AV8" s="196">
        <f>'MTK4'!AP7</f>
        <v>88</v>
      </c>
      <c r="AW8" s="196" t="str">
        <f>'MTK4'!AQ7</f>
        <v>B</v>
      </c>
      <c r="AX8" s="195" t="str">
        <f>'MTK4'!AV7</f>
        <v>Anak 3 baik  dalam mengidentifikasi berbagai bentuk pecahan (biasa, campuran, desimal, dan persen) dan hubungan di antaranya</v>
      </c>
      <c r="AY8" s="196" t="e">
        <f>'IPA4'!AJ7</f>
        <v>#DIV/0!</v>
      </c>
      <c r="AZ8" s="196" t="e">
        <f>'IPA4'!AK7</f>
        <v>#DIV/0!</v>
      </c>
      <c r="BA8" s="195" t="str">
        <f>'IPA4'!AP7</f>
        <v xml:space="preserve"> </v>
      </c>
      <c r="BB8" s="196">
        <f>'IPS4'!AG7</f>
        <v>88</v>
      </c>
      <c r="BC8" s="196" t="str">
        <f>'IPS4'!AH7</f>
        <v>B</v>
      </c>
      <c r="BD8" s="195" t="str">
        <f>'IPS4'!AM7</f>
        <v>Anak 3 baik  dalam menyajikan hasil identifikasi kegiatan ekonomi dan hubungannya dengan berbagai bidang pekerjaan, serta kehidupan sosial dan budaya di lingkungan sekitar sampai provinsi.</v>
      </c>
      <c r="BE8" s="196">
        <f>SBDP4!AG7</f>
        <v>88</v>
      </c>
      <c r="BF8" s="196" t="str">
        <f>SBDP4!AH7</f>
        <v>B</v>
      </c>
      <c r="BG8" s="195" t="str">
        <f>SBDP4!AM7</f>
        <v>Anak 3 baik  dalam meragakan gerak tari kreasi daerah.</v>
      </c>
      <c r="BH8" s="196" t="e">
        <f>PJOK4!AJ7</f>
        <v>#DIV/0!</v>
      </c>
      <c r="BI8" s="196" t="e">
        <f>PJOK4!AK7</f>
        <v>#DIV/0!</v>
      </c>
      <c r="BJ8" s="197" t="str">
        <f>PJOK4!AP7</f>
        <v xml:space="preserve"> </v>
      </c>
      <c r="BK8" s="196">
        <f>'MLK1-4'!AG7</f>
        <v>88</v>
      </c>
      <c r="BL8" s="196" t="str">
        <f>'MLK1-4'!AH7</f>
        <v>B</v>
      </c>
      <c r="BM8" s="195" t="str">
        <f>'MLK1-4'!AM7</f>
        <v>Anak 3 baik  dalam menulis kalimat menggunakan kata berimbuhan.</v>
      </c>
      <c r="BN8" s="196">
        <f>'MLK2-4'!AG7</f>
        <v>88</v>
      </c>
      <c r="BO8" s="196" t="str">
        <f>'MLK2-4'!AH7</f>
        <v>B</v>
      </c>
      <c r="BP8" s="195" t="str">
        <f>'MLK2-4'!AM7</f>
        <v>Anak 3 baik  dalam melakukan percakapan tentang penggunaan waktu, tanggal, bulan, dan tahun</v>
      </c>
      <c r="BQ8" s="196" t="e">
        <f>'MLK3-4'!AG7</f>
        <v>#DIV/0!</v>
      </c>
      <c r="BR8" s="196" t="e">
        <f>'MLK3-4'!AH7</f>
        <v>#DIV/0!</v>
      </c>
      <c r="BS8" s="195" t="str">
        <f>'MLK3-4'!AM7</f>
        <v xml:space="preserve"> </v>
      </c>
    </row>
    <row r="9" spans="1:71" ht="129.94999999999999" customHeight="1">
      <c r="A9" s="191">
        <v>4</v>
      </c>
      <c r="B9" s="191">
        <f>SISWA!B9</f>
        <v>0</v>
      </c>
      <c r="C9" s="192" t="str">
        <f>SISWA!C9</f>
        <v>Anak 4</v>
      </c>
      <c r="D9" s="193" t="str">
        <f>SPIRIT!Q8</f>
        <v xml:space="preserve">Ananda Anak 4 baik dalam  ketaatan beribadah,  berdoa sebelum dan sesudah melakukan kegiatan, dan sudah mampu meningkatkan sikap  berperilaku syukur,  toleransi dalam beribadah, </v>
      </c>
      <c r="E9" s="193" t="str">
        <f>SOSIAL!W8</f>
        <v xml:space="preserve">Ananda Anak 4 baik dalam sikap jujur, disiplin, tanggung jawab, santun, peduli, percaya diri, kerja sama, </v>
      </c>
      <c r="F9" s="194">
        <f>'PAI3'!DU9</f>
        <v>99</v>
      </c>
      <c r="G9" s="194" t="str">
        <f>'PAI3'!DV9</f>
        <v>A</v>
      </c>
      <c r="H9" s="195" t="str">
        <f>'PAI3'!EA9</f>
        <v>Anak 4 sangat baik  dalam memahami Q.S. al- Falaq dan Q.S. al- Fil dengan baik dan benar</v>
      </c>
      <c r="I9" s="194">
        <f>'PKN3'!AI8</f>
        <v>96</v>
      </c>
      <c r="J9" s="194" t="str">
        <f>'PKN3'!AJ8</f>
        <v>A</v>
      </c>
      <c r="K9" s="193" t="str">
        <f>'PKN3'!AO8</f>
        <v>Anak 4 sangat baik  dalam mengidentifikasi pelaksanaan kewajiban dan hak sebagai warga masyarakat dalam kehidupan sehari-hari., dan  sangat baik  dalam menjelaskan manfaat keberagaman karakteristik individu dalam kehidupan sehari-hari.</v>
      </c>
      <c r="L9" s="196">
        <f>BIND3!AU8</f>
        <v>87</v>
      </c>
      <c r="M9" s="196" t="str">
        <f>BIND3!AV8</f>
        <v>B</v>
      </c>
      <c r="N9" s="195" t="str">
        <f>BIND3!BA8</f>
        <v>Anak 4 sangat baik  dalam mencermati tokoh-tokoh yang terdapat pada teks fiksi., dan  cukup baik  dalam menggali informasi dari seorang tokoh melalui wawancara menggunakan daftar pertanyaan.</v>
      </c>
      <c r="O9" s="196">
        <f>'MTK3'!BC8</f>
        <v>97</v>
      </c>
      <c r="P9" s="196" t="str">
        <f>'MTK3'!BD8</f>
        <v>A</v>
      </c>
      <c r="Q9" s="195" t="str">
        <f>'MTK3'!BI8</f>
        <v>Anak 4 sangat baik  dalam menjelaskan dan melakukan penaksiran dari jumlah, selisih, hasil kali, dan hasil bagi dua bilangan cacah maupun pecahan dan desimal, dan  baik  dalam menjelaskan berbagai bentuk pecahan (biasa, campuran, desimal, dan persen) dan hubungan di antaranya</v>
      </c>
      <c r="R9" s="196">
        <f>'IPA3'!AM8</f>
        <v>78</v>
      </c>
      <c r="S9" s="196" t="str">
        <f>'IPA3'!AN8</f>
        <v>C</v>
      </c>
      <c r="T9" s="195" t="str">
        <f>'IPA3'!AS8</f>
        <v>Anak 4 baik  dalam mengidentifikasi berbagai sumber energi, perubahan bentuk energi, dan sumber energi alternatif (angin, air, matahari, panas bumi, bahan bakar organik, dan nuklir) dalam kehidupan sehari-hari., dan  perlu bimbingan  dalam membandingkan siklus hidup beberapa jenis makhluk hidup serta mengaitkan dengan upaya pelestariannya.</v>
      </c>
      <c r="U9" s="196">
        <f>'IPS3'!AN8</f>
        <v>99</v>
      </c>
      <c r="V9" s="196" t="str">
        <f>'IPS3'!AO8</f>
        <v>A</v>
      </c>
      <c r="W9" s="195" t="str">
        <f>'IPS3'!AT8</f>
        <v>Anak 4 sangat baik  dalam mengidentifikasi karakteristik ruang dan pemanfaatan sumberdaya alam untuk kesejahteraan masyarakat dari tingkatkota/kabupaten sampai tingkat provinsi.</v>
      </c>
      <c r="X9" s="196">
        <f>SBDP3!AN8</f>
        <v>98</v>
      </c>
      <c r="Y9" s="196" t="str">
        <f>SBDP3!AO8</f>
        <v>A</v>
      </c>
      <c r="Z9" s="195" t="str">
        <f>SBDP3!AT8</f>
        <v>Anak 4 sangat baik  dalam mengetahui gambar dan bentuk tiga dimensi., dan  sangat baik  dalam mengetahui gerak tari kreasi daerah.</v>
      </c>
      <c r="AA9" s="196">
        <f>PJOK3!AV8</f>
        <v>95</v>
      </c>
      <c r="AB9" s="196" t="str">
        <f>PJOK3!AW8</f>
        <v>A</v>
      </c>
      <c r="AC9" s="195" t="str">
        <f>PJOK3!BB8</f>
        <v>Anak 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9" s="196">
        <f>'MLK1-3'!AT8</f>
        <v>91</v>
      </c>
      <c r="AE9" s="196" t="str">
        <f>'MLK1-3'!AU8</f>
        <v>A</v>
      </c>
      <c r="AF9" s="197" t="str">
        <f>'MLK1-3'!AZ8</f>
        <v>Anak 4 sangat baik  dalam mengenal dan memahmi teks tembang dolanan, dan  baik  dalam mengenal dan memahami sandhangan aksara Jawa.</v>
      </c>
      <c r="AG9" s="196">
        <f>'MLK2-3'!AP8</f>
        <v>93</v>
      </c>
      <c r="AH9" s="196" t="str">
        <f>'MLK2-3'!AQ8</f>
        <v>A</v>
      </c>
      <c r="AI9" s="195" t="str">
        <f>'MLK2-3'!AV8</f>
        <v>Anak 4 sangat baik  dalam mengenal dan mengidentifikasi benda-benda di dapur dan nama-nama bunga, dan  baik  dalam memahami penggunaan kalimat yang menunjukkan letak suatu tempat</v>
      </c>
      <c r="AJ9" s="196">
        <f>'MLK3-3'!AP8</f>
        <v>89</v>
      </c>
      <c r="AK9" s="196" t="str">
        <f>'MLK3-3'!AQ8</f>
        <v>B</v>
      </c>
      <c r="AL9" s="197" t="str">
        <f>'MLK3-3'!AV8</f>
        <v>Anak 4 baik  dalam mengenal dan memahami penggunaan microsoft  word.</v>
      </c>
      <c r="AM9" s="196" t="e">
        <f>'PAI4'!CI9</f>
        <v>#DIV/0!</v>
      </c>
      <c r="AN9" s="196" t="e">
        <f>'PAI4'!CJ9</f>
        <v>#DIV/0!</v>
      </c>
      <c r="AO9" s="197" t="str">
        <f>'PAI4'!CO9</f>
        <v xml:space="preserve"> </v>
      </c>
      <c r="AP9" s="196" t="e">
        <f>'PKN4'!AD8</f>
        <v>#DIV/0!</v>
      </c>
      <c r="AQ9" s="196" t="e">
        <f>'PKN4'!AE8</f>
        <v>#DIV/0!</v>
      </c>
      <c r="AR9" s="195" t="str">
        <f>'PKN4'!AJ8</f>
        <v xml:space="preserve"> </v>
      </c>
      <c r="AS9" s="196">
        <f>BIND4!AP8</f>
        <v>87</v>
      </c>
      <c r="AT9" s="196" t="str">
        <f>BIND4!AQ8</f>
        <v>B</v>
      </c>
      <c r="AU9" s="195" t="str">
        <f>BIND4!AV8</f>
        <v>Anak 4 baik  dalam menyampaikan pengetahuan baru dari teks nonfiksi ke dalam tulisan dengan bahasa sendiri.</v>
      </c>
      <c r="AV9" s="196">
        <f>'MTK4'!AP8</f>
        <v>87</v>
      </c>
      <c r="AW9" s="196" t="str">
        <f>'MTK4'!AQ8</f>
        <v>B</v>
      </c>
      <c r="AX9" s="195" t="str">
        <f>'MTK4'!AV8</f>
        <v>Anak 4 baik  dalam menyelesaikan masalah penaksiran dari jumlah, selisih, hasil kali, dan hasil bagi dua bilangan cacah maupun pecahan dan desimal</v>
      </c>
      <c r="AY9" s="196">
        <f>'IPA4'!AJ8</f>
        <v>87</v>
      </c>
      <c r="AZ9" s="196" t="str">
        <f>'IPA4'!AK8</f>
        <v>B</v>
      </c>
      <c r="BA9" s="195" t="str">
        <f>'IPA4'!AP8</f>
        <v>Anak 4 baik  dalam menyajikan hasil percobaan tentang hubungan antara gaya dan gerak.</v>
      </c>
      <c r="BB9" s="196">
        <f>'IPS4'!AG8</f>
        <v>87</v>
      </c>
      <c r="BC9" s="196" t="str">
        <f>'IPS4'!AH8</f>
        <v>B</v>
      </c>
      <c r="BD9" s="195" t="str">
        <f>'IPS4'!AM8</f>
        <v>Anak 4 baik  dalam menyajikan hasil identifikasi kegiatan ekonomi dan hubungannya dengan berbagai bidang pekerjaan, serta kehidupan sosial dan budaya di lingkungan sekitar sampai provinsi.</v>
      </c>
      <c r="BE9" s="196">
        <f>SBDP4!AG8</f>
        <v>87</v>
      </c>
      <c r="BF9" s="196" t="str">
        <f>SBDP4!AH8</f>
        <v>B</v>
      </c>
      <c r="BG9" s="195" t="str">
        <f>SBDP4!AM8</f>
        <v>Anak 4 baik  dalam meragakan gerak tari kreasi daerah.</v>
      </c>
      <c r="BH9" s="196">
        <f>PJOK4!AJ8</f>
        <v>87</v>
      </c>
      <c r="BI9" s="196" t="str">
        <f>PJOK4!AK8</f>
        <v>B</v>
      </c>
      <c r="BJ9" s="197" t="str">
        <f>PJOK4!AP8</f>
        <v>Anak 4 baik  dalam mempraktikkan kombinasi pola gerak dasar dominan statis dan dinamis untuk membentuk keterampilan/ teknik dasar senam (seperti: handstand, kayang, meroda, dsb).</v>
      </c>
      <c r="BK9" s="196">
        <f>'MLK1-4'!AG8</f>
        <v>87</v>
      </c>
      <c r="BL9" s="196" t="str">
        <f>'MLK1-4'!AH8</f>
        <v>B</v>
      </c>
      <c r="BM9" s="195" t="str">
        <f>'MLK1-4'!AM8</f>
        <v>Anak 4 baik  dalam menulis kalimat menggunakan kata berimbuhan.</v>
      </c>
      <c r="BN9" s="196">
        <f>'MLK2-4'!AG8</f>
        <v>87</v>
      </c>
      <c r="BO9" s="196" t="str">
        <f>'MLK2-4'!AH8</f>
        <v>B</v>
      </c>
      <c r="BP9" s="195" t="str">
        <f>'MLK2-4'!AM8</f>
        <v>Anak 4 baik  dalam melakukan percakapan tentang penggunaan waktu, tanggal, bulan, dan tahun</v>
      </c>
      <c r="BQ9" s="196" t="e">
        <f>'MLK3-4'!AG8</f>
        <v>#DIV/0!</v>
      </c>
      <c r="BR9" s="196" t="e">
        <f>'MLK3-4'!AH8</f>
        <v>#DIV/0!</v>
      </c>
      <c r="BS9" s="195" t="str">
        <f>'MLK3-4'!AM8</f>
        <v xml:space="preserve"> </v>
      </c>
    </row>
    <row r="10" spans="1:71" ht="129.94999999999999" customHeight="1">
      <c r="A10" s="191">
        <v>5</v>
      </c>
      <c r="B10" s="191">
        <f>SISWA!B10</f>
        <v>0</v>
      </c>
      <c r="C10" s="192" t="str">
        <f>SISWA!C10</f>
        <v>Anak 5</v>
      </c>
      <c r="D10" s="193" t="str">
        <f>SPIRIT!Q9</f>
        <v xml:space="preserve">Ananda Anak 5 baik dalam  ketaatan beribadah,  berperilaku syukur,  berdoa sebelum dan sesudah melakukan kegiatan,  toleransi dalam beribadah, </v>
      </c>
      <c r="E10" s="193" t="str">
        <f>SOSIAL!W9</f>
        <v xml:space="preserve">Ananda Anak 5 baik dalam sikap jujur, disiplin, tanggung jawab, santun, peduli, percaya diri, kerja sama, </v>
      </c>
      <c r="F10" s="194">
        <f>'PAI3'!DU10</f>
        <v>99</v>
      </c>
      <c r="G10" s="194" t="str">
        <f>'PAI3'!DV10</f>
        <v>A</v>
      </c>
      <c r="H10" s="195" t="str">
        <f>'PAI3'!EA10</f>
        <v>Anak 5 sangat baik  dalam memahami Q.S. al- Falaq dan Q.S. al- Fil dengan baik dan benar</v>
      </c>
      <c r="I10" s="194">
        <f>'PKN3'!AI9</f>
        <v>96</v>
      </c>
      <c r="J10" s="194" t="str">
        <f>'PKN3'!AJ9</f>
        <v>A</v>
      </c>
      <c r="K10" s="193" t="str">
        <f>'PKN3'!AO9</f>
        <v>Anak 5 sangat baik  dalam mengidentifikasi pelaksanaan kewajiban dan hak sebagai warga masyarakat dalam kehidupan sehari-hari., dan  sangat baik  dalam menjelaskan manfaat keberagaman karakteristik individu dalam kehidupan sehari-hari.</v>
      </c>
      <c r="L10" s="196">
        <f>BIND3!AU9</f>
        <v>97</v>
      </c>
      <c r="M10" s="196" t="str">
        <f>BIND3!AV9</f>
        <v>A</v>
      </c>
      <c r="N10" s="195" t="str">
        <f>BIND3!BA9</f>
        <v>Anak 5 sangat baik  dalam menggali pengetahuan baru yang terdapat pada teks nonfiksi., dan  sangat baik  dalam menggali informasi dari seorang tokoh melalui wawancara menggunakan daftar pertanyaan.</v>
      </c>
      <c r="O10" s="196">
        <f>'MTK3'!BC9</f>
        <v>97</v>
      </c>
      <c r="P10" s="196" t="str">
        <f>'MTK3'!BD9</f>
        <v>A</v>
      </c>
      <c r="Q10" s="195" t="str">
        <f>'MTK3'!BI9</f>
        <v>Anak 5 sangat baik  dalam menjelaskan dan melakukan penaksiran dari jumlah, selisih, hasil kali, dan hasil bagi dua bilangan cacah maupun pecahan dan desimal, dan  baik  dalam menjelaskan berbagai bentuk pecahan (biasa, campuran, desimal, dan persen) dan hubungan di antaranya</v>
      </c>
      <c r="R10" s="196">
        <f>'IPA3'!AM9</f>
        <v>99</v>
      </c>
      <c r="S10" s="196" t="str">
        <f>'IPA3'!AN9</f>
        <v>A</v>
      </c>
      <c r="T10" s="195" t="str">
        <f>'IPA3'!AS9</f>
        <v>Anak 5 sangat baik  dalam membandingkan siklus hidup beberapa jenis makhluk hidup serta mengaitkan dengan upaya pelestariannya.</v>
      </c>
      <c r="U10" s="196">
        <f>'IPS3'!AN9</f>
        <v>99</v>
      </c>
      <c r="V10" s="196" t="str">
        <f>'IPS3'!AO9</f>
        <v>A</v>
      </c>
      <c r="W10" s="195" t="str">
        <f>'IPS3'!AT9</f>
        <v>Anak 5 sangat baik  dalam mengidentifikasi karakteristik ruang dan pemanfaatan sumberdaya alam untuk kesejahteraan masyarakat dari tingkatkota/kabupaten sampai tingkat provinsi.</v>
      </c>
      <c r="X10" s="196">
        <f>SBDP3!AN9</f>
        <v>99</v>
      </c>
      <c r="Y10" s="196" t="str">
        <f>SBDP3!AO9</f>
        <v>A</v>
      </c>
      <c r="Z10" s="195" t="str">
        <f>SBDP3!AT9</f>
        <v>Anak 5 sangat baik  dalam mengetahui gambar dan bentuk tiga dimensi.</v>
      </c>
      <c r="AA10" s="196">
        <f>PJOK3!AV9</f>
        <v>95</v>
      </c>
      <c r="AB10" s="196" t="str">
        <f>PJOK3!AW9</f>
        <v>A</v>
      </c>
      <c r="AC10" s="195" t="str">
        <f>PJOK3!BB9</f>
        <v>Anak 5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0" s="196">
        <f>'MLK1-3'!AT9</f>
        <v>91</v>
      </c>
      <c r="AE10" s="196" t="str">
        <f>'MLK1-3'!AU9</f>
        <v>A</v>
      </c>
      <c r="AF10" s="197" t="str">
        <f>'MLK1-3'!AZ9</f>
        <v>Anak 5 sangat baik  dalam mengenal dan memahmi teks tembang dolanan, dan  baik  dalam mengenal dan memahami sandhangan aksara Jawa.</v>
      </c>
      <c r="AG10" s="196">
        <f>'MLK2-3'!AP9</f>
        <v>93</v>
      </c>
      <c r="AH10" s="196" t="str">
        <f>'MLK2-3'!AQ9</f>
        <v>A</v>
      </c>
      <c r="AI10" s="195" t="str">
        <f>'MLK2-3'!AV9</f>
        <v>Anak 5 sangat baik  dalam mengenal dan mengidentifikasi benda-benda di dapur dan nama-nama bunga, dan  baik  dalam memahami penggunaan kalimat yang menunjukkan letak suatu tempat</v>
      </c>
      <c r="AJ10" s="196">
        <f>'MLK3-3'!AP9</f>
        <v>89</v>
      </c>
      <c r="AK10" s="196" t="str">
        <f>'MLK3-3'!AQ9</f>
        <v>B</v>
      </c>
      <c r="AL10" s="197" t="str">
        <f>'MLK3-3'!AV9</f>
        <v>Anak 5 baik  dalam mengenal dan memahami penggunaan microsoft  word.</v>
      </c>
      <c r="AM10" s="196" t="e">
        <f>'PAI4'!CI10</f>
        <v>#DIV/0!</v>
      </c>
      <c r="AN10" s="196" t="e">
        <f>'PAI4'!CJ10</f>
        <v>#DIV/0!</v>
      </c>
      <c r="AO10" s="197" t="str">
        <f>'PAI4'!CO10</f>
        <v xml:space="preserve"> </v>
      </c>
      <c r="AP10" s="196" t="e">
        <f>'PKN4'!AD9</f>
        <v>#DIV/0!</v>
      </c>
      <c r="AQ10" s="196" t="e">
        <f>'PKN4'!AE9</f>
        <v>#DIV/0!</v>
      </c>
      <c r="AR10" s="195" t="str">
        <f>'PKN4'!AJ9</f>
        <v xml:space="preserve"> </v>
      </c>
      <c r="AS10" s="196">
        <f>BIND4!AP9</f>
        <v>88</v>
      </c>
      <c r="AT10" s="196" t="str">
        <f>BIND4!AQ9</f>
        <v>B</v>
      </c>
      <c r="AU10" s="195" t="str">
        <f>BIND4!AV9</f>
        <v>Anak 5 baik  dalam menyampaikan hasil identifikasi tokoh-tokoh yang terdapat pada teks fiksi secara lisan, tulis, dan visual.</v>
      </c>
      <c r="AV10" s="196">
        <f>'MTK4'!AP9</f>
        <v>88</v>
      </c>
      <c r="AW10" s="196" t="str">
        <f>'MTK4'!AQ9</f>
        <v>B</v>
      </c>
      <c r="AX10" s="195" t="str">
        <f>'MTK4'!AV9</f>
        <v xml:space="preserve">Anak 5 baik  dalam mengidentifikasi  faktor dan kelipatan suatu bilangan </v>
      </c>
      <c r="AY10" s="196">
        <f>'IPA4'!AJ9</f>
        <v>88</v>
      </c>
      <c r="AZ10" s="196" t="str">
        <f>'IPA4'!AK9</f>
        <v>B</v>
      </c>
      <c r="BA10" s="195" t="str">
        <f>'IPA4'!AP9</f>
        <v>Anak 5 baik  dalam menyajikan laporan hasil pengamatan dan penelusuran informasi tentang berbagai perubahan bentuk energi.</v>
      </c>
      <c r="BB10" s="196">
        <f>'IPS4'!AG9</f>
        <v>88</v>
      </c>
      <c r="BC10" s="196" t="str">
        <f>'IPS4'!AH9</f>
        <v>B</v>
      </c>
      <c r="BD10" s="195" t="str">
        <f>'IPS4'!AM9</f>
        <v>Anak 5 baik  dalam 0</v>
      </c>
      <c r="BE10" s="196">
        <f>SBDP4!AG9</f>
        <v>88</v>
      </c>
      <c r="BF10" s="196" t="str">
        <f>SBDP4!AH9</f>
        <v>B</v>
      </c>
      <c r="BG10" s="195" t="str">
        <f>SBDP4!AM9</f>
        <v>Anak 5 baik  dalam membuat karya kolase, montase, aplikasi, dan mozaik.</v>
      </c>
      <c r="BH10" s="196">
        <f>PJOK4!AJ9</f>
        <v>88</v>
      </c>
      <c r="BI10" s="196" t="str">
        <f>PJOK4!AK9</f>
        <v>B</v>
      </c>
      <c r="BJ10" s="197" t="str">
        <f>PJOK4!AP9</f>
        <v>Anak 5 baik  dalam mempraktikkan berbagai aktivitas kebugaran jasmani untuk mencapai tinggi dan berat badan ideal</v>
      </c>
      <c r="BK10" s="196" t="e">
        <f>'MLK1-4'!AG9</f>
        <v>#DIV/0!</v>
      </c>
      <c r="BL10" s="196" t="e">
        <f>'MLK1-4'!AH9</f>
        <v>#DIV/0!</v>
      </c>
      <c r="BM10" s="195" t="str">
        <f>'MLK1-4'!AM9</f>
        <v xml:space="preserve"> </v>
      </c>
      <c r="BN10" s="196">
        <f>'MLK2-4'!AG9</f>
        <v>88</v>
      </c>
      <c r="BO10" s="196" t="str">
        <f>'MLK2-4'!AH9</f>
        <v>B</v>
      </c>
      <c r="BP10" s="195" t="str">
        <f>'MLK2-4'!AM9</f>
        <v>Anak 5 baik  dalam menyajikan data tentang benda-benda di dapur beserta kegunaannya dan nama- nama bunga beserta ciri-cirinya</v>
      </c>
      <c r="BQ10" s="196" t="e">
        <f>'MLK3-4'!AG9</f>
        <v>#DIV/0!</v>
      </c>
      <c r="BR10" s="196" t="e">
        <f>'MLK3-4'!AH9</f>
        <v>#DIV/0!</v>
      </c>
      <c r="BS10" s="195" t="str">
        <f>'MLK3-4'!AM9</f>
        <v xml:space="preserve"> </v>
      </c>
    </row>
    <row r="11" spans="1:71" ht="129.94999999999999" customHeight="1">
      <c r="A11" s="191">
        <v>6</v>
      </c>
      <c r="B11" s="191">
        <f>SISWA!B11</f>
        <v>0</v>
      </c>
      <c r="C11" s="192" t="str">
        <f>SISWA!C11</f>
        <v>Anak 6</v>
      </c>
      <c r="D11" s="193" t="str">
        <f>SPIRIT!Q10</f>
        <v xml:space="preserve">Ananda Anak 6 baik dalam  ketaatan beribadah,  berperilaku syukur,  berdoa sebelum dan sesudah melakukan kegiatan,  toleransi dalam beribadah, </v>
      </c>
      <c r="E11" s="193" t="str">
        <f>SOSIAL!W10</f>
        <v xml:space="preserve">Ananda Anak 6 sangat kerja sama, dan sudah mampu meningkatkan sikap tanggung jawab, </v>
      </c>
      <c r="F11" s="194">
        <f>'PAI3'!DU11</f>
        <v>99</v>
      </c>
      <c r="G11" s="194" t="str">
        <f>'PAI3'!DV11</f>
        <v>A</v>
      </c>
      <c r="H11" s="195" t="str">
        <f>'PAI3'!EA11</f>
        <v>Anak 6 sangat baik  dalam memahami Q.S. al- Falaq dan Q.S. al- Fil dengan baik dan benar</v>
      </c>
      <c r="I11" s="194">
        <f>'PKN3'!AI10</f>
        <v>95</v>
      </c>
      <c r="J11" s="194" t="str">
        <f>'PKN3'!AJ10</f>
        <v>A</v>
      </c>
      <c r="K11" s="193" t="str">
        <f>'PKN3'!AO10</f>
        <v>Anak 6 sangat baik  dalam mengidentifikasi pelaksanaan kewajiban dan hak sebagai warga masyarakat dalam kehidupan sehari-hari., dan  sangat baik  dalam mengidentifikasi berbagai bentuk keragaman suku bangsa, sosial, dan budaya di Indonesia yang terikat persatuan dan kesatuan.</v>
      </c>
      <c r="L11" s="196">
        <f>BIND3!AU10</f>
        <v>96</v>
      </c>
      <c r="M11" s="196" t="str">
        <f>BIND3!AV10</f>
        <v>A</v>
      </c>
      <c r="N11" s="195" t="str">
        <f>BIND3!BA10</f>
        <v>Anak 6 sangat baik  dalam menggali pengetahuan baru yang terdapat pada teks nonfiksi., dan  sangat baik  dalam menggali isi dan amanat puisi yang disajikan secara lisan dan tulis dengan tujuan untuk kesenangan.</v>
      </c>
      <c r="O11" s="196">
        <f>'MTK3'!BC10</f>
        <v>96</v>
      </c>
      <c r="P11" s="196" t="str">
        <f>'MTK3'!BD10</f>
        <v>A</v>
      </c>
      <c r="Q11" s="195" t="str">
        <f>'MTK3'!BI10</f>
        <v>Anak 6 sangat baik  dalam menjelaskan dan melakukan penaksiran dari jumlah, selisih, hasil kali, dan hasil bagi dua bilangan cacah maupun pecahan dan desimal, dan  baik  dalam menjelaskan berbagai bentuk pecahan (biasa, campuran, desimal, dan persen) dan hubungan di antaranya</v>
      </c>
      <c r="R11" s="196">
        <f>'IPA3'!AM10</f>
        <v>99</v>
      </c>
      <c r="S11" s="196" t="str">
        <f>'IPA3'!AN10</f>
        <v>A</v>
      </c>
      <c r="T11" s="195" t="str">
        <f>'IPA3'!AS10</f>
        <v>Anak 6 sangat baik  dalam membandingkan siklus hidup beberapa jenis makhluk hidup serta mengaitkan dengan upaya pelestariannya.</v>
      </c>
      <c r="U11" s="196">
        <f>'IPS3'!AN10</f>
        <v>99</v>
      </c>
      <c r="V11" s="196" t="str">
        <f>'IPS3'!AO10</f>
        <v>A</v>
      </c>
      <c r="W11" s="195" t="str">
        <f>'IPS3'!AT10</f>
        <v>Anak 6 sangat baik  dalam mengidentifikasi karakteristik ruang dan pemanfaatan sumberdaya alam untuk kesejahteraan masyarakat dari tingkatkota/kabupaten sampai tingkat provinsi.</v>
      </c>
      <c r="X11" s="196">
        <f>SBDP3!AN10</f>
        <v>99</v>
      </c>
      <c r="Y11" s="196" t="str">
        <f>SBDP3!AO10</f>
        <v>A</v>
      </c>
      <c r="Z11" s="195" t="str">
        <f>SBDP3!AT10</f>
        <v>Anak 6 sangat baik  dalam mengetahui gambar dan bentuk tiga dimensi.</v>
      </c>
      <c r="AA11" s="196">
        <f>PJOK3!AV10</f>
        <v>94</v>
      </c>
      <c r="AB11" s="196" t="str">
        <f>PJOK3!AW10</f>
        <v>A</v>
      </c>
      <c r="AC11" s="195" t="str">
        <f>PJOK3!BB10</f>
        <v>Anak 6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11" s="196">
        <f>'MLK1-3'!AT10</f>
        <v>89</v>
      </c>
      <c r="AE11" s="196" t="str">
        <f>'MLK1-3'!AU10</f>
        <v>B</v>
      </c>
      <c r="AF11" s="197" t="str">
        <f>'MLK1-3'!AZ10</f>
        <v>Anak 6 sangat baik  dalam mengenal dan memahmi teks tembang dolanan, dan  baik  dalam mengenal dan memahami sandhangan aksara Jawa.</v>
      </c>
      <c r="AG11" s="196">
        <f>'MLK2-3'!AP10</f>
        <v>92</v>
      </c>
      <c r="AH11" s="196" t="str">
        <f>'MLK2-3'!AQ10</f>
        <v>A</v>
      </c>
      <c r="AI11" s="195" t="str">
        <f>'MLK2-3'!AV10</f>
        <v>Anak 6 sangat baik  dalam mengenal dan mengidentifikasi benda-benda di dapur dan nama-nama bunga, dan  baik  dalam memahami penggunaan kalimat yang menunjukkan letak suatu tempat</v>
      </c>
      <c r="AJ11" s="196">
        <f>'MLK3-3'!AP10</f>
        <v>86</v>
      </c>
      <c r="AK11" s="196" t="str">
        <f>'MLK3-3'!AQ10</f>
        <v>B</v>
      </c>
      <c r="AL11" s="197" t="str">
        <f>'MLK3-3'!AV10</f>
        <v>Anak 6 baik  dalam mengenal dan memahami penggunaan microsoft  word., dan  baik  dalam memahami pembuatan dokumen di microsoft  word</v>
      </c>
      <c r="AM11" s="196" t="e">
        <f>'PAI4'!CI11</f>
        <v>#DIV/0!</v>
      </c>
      <c r="AN11" s="196" t="e">
        <f>'PAI4'!CJ11</f>
        <v>#DIV/0!</v>
      </c>
      <c r="AO11" s="197" t="str">
        <f>'PAI4'!CO11</f>
        <v xml:space="preserve"> </v>
      </c>
      <c r="AP11" s="196" t="e">
        <f>'PKN4'!AD10</f>
        <v>#DIV/0!</v>
      </c>
      <c r="AQ11" s="196" t="e">
        <f>'PKN4'!AE10</f>
        <v>#DIV/0!</v>
      </c>
      <c r="AR11" s="195" t="str">
        <f>'PKN4'!AJ10</f>
        <v xml:space="preserve"> </v>
      </c>
      <c r="AS11" s="196">
        <f>BIND4!AP10</f>
        <v>77</v>
      </c>
      <c r="AT11" s="196" t="str">
        <f>BIND4!AQ10</f>
        <v>C</v>
      </c>
      <c r="AU11" s="195" t="str">
        <f>BIND4!AV10</f>
        <v>Anak 6 cukup baik  dalam menyajikan hasil membandingkan watak setiap tokoh pada teks fiksi secara lisan, tulis, dan visual.</v>
      </c>
      <c r="AV11" s="196">
        <f>'MTK4'!AP10</f>
        <v>77</v>
      </c>
      <c r="AW11" s="196" t="str">
        <f>'MTK4'!AQ10</f>
        <v>C</v>
      </c>
      <c r="AX11" s="195" t="str">
        <f>'MTK4'!AV10</f>
        <v xml:space="preserve">Anak 6 cukup baik  dalam mengidentifikasi bilangan prima </v>
      </c>
      <c r="AY11" s="196">
        <f>'IPA4'!AJ10</f>
        <v>77</v>
      </c>
      <c r="AZ11" s="196" t="str">
        <f>'IPA4'!AK10</f>
        <v>C</v>
      </c>
      <c r="BA11" s="195" t="str">
        <f>'IPA4'!AP10</f>
        <v>Anak 6 cukup baik  dalam 0</v>
      </c>
      <c r="BB11" s="196" t="e">
        <f>'IPS4'!AG10</f>
        <v>#DIV/0!</v>
      </c>
      <c r="BC11" s="196" t="e">
        <f>'IPS4'!AH10</f>
        <v>#DIV/0!</v>
      </c>
      <c r="BD11" s="195" t="str">
        <f>'IPS4'!AM10</f>
        <v xml:space="preserve"> </v>
      </c>
      <c r="BE11" s="196" t="e">
        <f>SBDP4!AG10</f>
        <v>#DIV/0!</v>
      </c>
      <c r="BF11" s="196" t="e">
        <f>SBDP4!AH10</f>
        <v>#DIV/0!</v>
      </c>
      <c r="BG11" s="195" t="str">
        <f>SBDP4!AM10</f>
        <v xml:space="preserve"> </v>
      </c>
      <c r="BH11" s="196">
        <f>PJOK4!AJ10</f>
        <v>77</v>
      </c>
      <c r="BI11" s="196" t="str">
        <f>PJOK4!AK10</f>
        <v>C</v>
      </c>
      <c r="BJ11" s="197" t="str">
        <f>PJOK4!AP10</f>
        <v>Anak 6 cukup baik  dalam mempraktikkan penggunaan kombinasi pola gerak dasar lokomotor, nonlokomotor dan manipulatif sesuai dengan irama (ketukan) tanpa/dengan musik dalam aktivitas gerak rimtik.</v>
      </c>
      <c r="BK11" s="196" t="e">
        <f>'MLK1-4'!AG10</f>
        <v>#DIV/0!</v>
      </c>
      <c r="BL11" s="196" t="e">
        <f>'MLK1-4'!AH10</f>
        <v>#DIV/0!</v>
      </c>
      <c r="BM11" s="195" t="str">
        <f>'MLK1-4'!AM10</f>
        <v xml:space="preserve"> </v>
      </c>
      <c r="BN11" s="196" t="e">
        <f>'MLK2-4'!AG10</f>
        <v>#DIV/0!</v>
      </c>
      <c r="BO11" s="196" t="e">
        <f>'MLK2-4'!AH10</f>
        <v>#DIV/0!</v>
      </c>
      <c r="BP11" s="195" t="str">
        <f>'MLK2-4'!AM10</f>
        <v xml:space="preserve"> </v>
      </c>
      <c r="BQ11" s="196" t="e">
        <f>'MLK3-4'!AG10</f>
        <v>#DIV/0!</v>
      </c>
      <c r="BR11" s="196" t="e">
        <f>'MLK3-4'!AH10</f>
        <v>#DIV/0!</v>
      </c>
      <c r="BS11" s="195" t="str">
        <f>'MLK3-4'!AM10</f>
        <v xml:space="preserve"> </v>
      </c>
    </row>
    <row r="12" spans="1:71" ht="129.94999999999999" customHeight="1">
      <c r="A12" s="191">
        <v>7</v>
      </c>
      <c r="B12" s="191">
        <f>SISWA!B12</f>
        <v>0</v>
      </c>
      <c r="C12" s="192" t="str">
        <f>SISWA!C12</f>
        <v>Anak 7</v>
      </c>
      <c r="D12" s="193" t="str">
        <f>SPIRIT!Q11</f>
        <v xml:space="preserve">Ananda Anak 7 sangat baik dalam  ketaatan beribadah, baik dalam  berperilaku syukur,  berdoa sebelum dan sesudah melakukan kegiatan,  toleransi dalam beribadah, </v>
      </c>
      <c r="E12" s="193" t="str">
        <f>SOSIAL!W11</f>
        <v xml:space="preserve">Ananda Anak 7 baik dalam sikap jujur, disiplin, tanggung jawab, santun, peduli, percaya diri, kerja sama, </v>
      </c>
      <c r="F12" s="194">
        <f>'PAI3'!DU12</f>
        <v>99</v>
      </c>
      <c r="G12" s="194" t="str">
        <f>'PAI3'!DV12</f>
        <v>A</v>
      </c>
      <c r="H12" s="195" t="str">
        <f>'PAI3'!EA12</f>
        <v>Anak 7 sangat baik  dalam memahami Q.S. al- Falaq dan Q.S. al- Fil dengan baik dan benar</v>
      </c>
      <c r="I12" s="194">
        <f>'PKN3'!AI11</f>
        <v>94</v>
      </c>
      <c r="J12" s="194" t="str">
        <f>'PKN3'!AJ11</f>
        <v>A</v>
      </c>
      <c r="K12" s="193" t="str">
        <f>'PKN3'!AO11</f>
        <v>Anak 7 sangat baik  dalam mengidentifikasi pelaksanaan kewajiban dan hak sebagai warga masyarakat dalam kehidupan sehari-hari., dan  sangat baik  dalam menjelaskan manfaat keberagaman karakteristik individu dalam kehidupan sehari-hari.</v>
      </c>
      <c r="L12" s="196">
        <f>BIND3!AU11</f>
        <v>95</v>
      </c>
      <c r="M12" s="196" t="str">
        <f>BIND3!AV11</f>
        <v>A</v>
      </c>
      <c r="N12" s="195" t="str">
        <f>BIND3!BA11</f>
        <v>Anak 7 sangat baik  dalam menggali pengetahuan baru yang terdapat pada teks nonfiksi., dan  baik  dalam menggali informasi dari seorang tokoh melalui wawancara menggunakan daftar pertanyaan.</v>
      </c>
      <c r="O12" s="196">
        <f>'MTK3'!BC11</f>
        <v>96</v>
      </c>
      <c r="P12" s="196" t="str">
        <f>'MTK3'!BD11</f>
        <v>A</v>
      </c>
      <c r="Q12" s="195" t="str">
        <f>'MTK3'!BI11</f>
        <v>Anak 7 sangat baik  dalam menjelaskan dan melakukan penaksiran dari jumlah, selisih, hasil kali, dan hasil bagi dua bilangan cacah maupun pecahan dan desimal, dan  baik  dalam menjelaskan berbagai bentuk pecahan (biasa, campuran, desimal, dan persen) dan hubungan di antaranya</v>
      </c>
      <c r="R12" s="196">
        <f>'IPA3'!AM11</f>
        <v>99</v>
      </c>
      <c r="S12" s="196" t="str">
        <f>'IPA3'!AN11</f>
        <v>A</v>
      </c>
      <c r="T12" s="195" t="str">
        <f>'IPA3'!AS11</f>
        <v>Anak 7 sangat baik  dalam membandingkan siklus hidup beberapa jenis makhluk hidup serta mengaitkan dengan upaya pelestariannya.</v>
      </c>
      <c r="U12" s="196">
        <f>'IPS3'!AN11</f>
        <v>99</v>
      </c>
      <c r="V12" s="196" t="str">
        <f>'IPS3'!AO11</f>
        <v>A</v>
      </c>
      <c r="W12" s="195" t="str">
        <f>'IPS3'!AT11</f>
        <v>Anak 7 sangat baik  dalam mengidentifikasi karakteristik ruang dan pemanfaatan sumberdaya alam untuk kesejahteraan masyarakat dari tingkatkota/kabupaten sampai tingkat provinsi.</v>
      </c>
      <c r="X12" s="196">
        <f>SBDP3!AN11</f>
        <v>99</v>
      </c>
      <c r="Y12" s="196" t="str">
        <f>SBDP3!AO11</f>
        <v>A</v>
      </c>
      <c r="Z12" s="195" t="str">
        <f>SBDP3!AT11</f>
        <v>Anak 7 sangat baik  dalam mengetahui gambar dan bentuk tiga dimensi.</v>
      </c>
      <c r="AA12" s="196">
        <f>PJOK3!AV11</f>
        <v>93</v>
      </c>
      <c r="AB12" s="196" t="str">
        <f>PJOK3!AW11</f>
        <v>A</v>
      </c>
      <c r="AC12" s="195" t="str">
        <f>PJOK3!BB11</f>
        <v>Anak 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2" s="196">
        <f>'MLK1-3'!AT11</f>
        <v>87</v>
      </c>
      <c r="AE12" s="196" t="str">
        <f>'MLK1-3'!AU11</f>
        <v>B</v>
      </c>
      <c r="AF12" s="197" t="str">
        <f>'MLK1-3'!AZ11</f>
        <v>Anak 7 baik  dalam mengenal, memahami, dan mengidentifikasi kata berimbuhan dalam teks sesuai kaidah, dan  baik  dalam mengenal dan memahami sandhangan aksara Jawa.</v>
      </c>
      <c r="AG12" s="196">
        <f>'MLK2-3'!AP11</f>
        <v>90</v>
      </c>
      <c r="AH12" s="196" t="str">
        <f>'MLK2-3'!AQ11</f>
        <v>B</v>
      </c>
      <c r="AI12" s="195" t="str">
        <f>'MLK2-3'!AV11</f>
        <v>Anak 7 sangat baik  dalam mengenal dan mengidentifikasi benda-benda di dapur dan nama-nama bunga, dan  baik  dalam memahami penggunaan kalimat yang menunjukkan letak suatu tempat</v>
      </c>
      <c r="AJ12" s="196">
        <f>'MLK3-3'!AP11</f>
        <v>84</v>
      </c>
      <c r="AK12" s="196" t="str">
        <f>'MLK3-3'!AQ11</f>
        <v>B</v>
      </c>
      <c r="AL12" s="197" t="str">
        <f>'MLK3-3'!AV11</f>
        <v>Anak 7 baik  dalam memahami pembuatan dokumen di microsoft  word, dan  baik  dalam mengenal dan memahami penggunaan microsoft  word.</v>
      </c>
      <c r="AM12" s="196" t="e">
        <f>'PAI4'!CI12</f>
        <v>#DIV/0!</v>
      </c>
      <c r="AN12" s="196" t="e">
        <f>'PAI4'!CJ12</f>
        <v>#DIV/0!</v>
      </c>
      <c r="AO12" s="197" t="str">
        <f>'PAI4'!CO12</f>
        <v xml:space="preserve"> </v>
      </c>
      <c r="AP12" s="196" t="e">
        <f>'PKN4'!AD11</f>
        <v>#DIV/0!</v>
      </c>
      <c r="AQ12" s="196" t="e">
        <f>'PKN4'!AE11</f>
        <v>#DIV/0!</v>
      </c>
      <c r="AR12" s="195" t="str">
        <f>'PKN4'!AJ11</f>
        <v xml:space="preserve"> </v>
      </c>
      <c r="AS12" s="196">
        <f>BIND4!AP11</f>
        <v>77</v>
      </c>
      <c r="AT12" s="196" t="str">
        <f>BIND4!AQ11</f>
        <v>C</v>
      </c>
      <c r="AU12" s="195" t="str">
        <f>BIND4!AV11</f>
        <v>Anak 7 cukup baik  dalam 0</v>
      </c>
      <c r="AV12" s="196">
        <f>'MTK4'!AP11</f>
        <v>77</v>
      </c>
      <c r="AW12" s="196" t="str">
        <f>'MTK4'!AQ11</f>
        <v>C</v>
      </c>
      <c r="AX12" s="195" t="str">
        <f>'MTK4'!AV11</f>
        <v>Anak 7 cukup baik  dalam menyelesaikan masalah yang berkaitan dengan faktor persekutuan, faktor persekutuan terbesar (FPB), kelipatan persekutuan, dan kelipatan persekutuan terkecil (KPK) dari dua bilangan berkaitan dengan kehidupan sehari-hari</v>
      </c>
      <c r="AY12" s="196" t="e">
        <f>'IPA4'!AJ11</f>
        <v>#DIV/0!</v>
      </c>
      <c r="AZ12" s="196" t="e">
        <f>'IPA4'!AK11</f>
        <v>#DIV/0!</v>
      </c>
      <c r="BA12" s="195" t="str">
        <f>'IPA4'!AP11</f>
        <v xml:space="preserve"> </v>
      </c>
      <c r="BB12" s="196" t="e">
        <f>'IPS4'!AG11</f>
        <v>#DIV/0!</v>
      </c>
      <c r="BC12" s="196" t="e">
        <f>'IPS4'!AH11</f>
        <v>#DIV/0!</v>
      </c>
      <c r="BD12" s="195" t="str">
        <f>'IPS4'!AM11</f>
        <v xml:space="preserve"> </v>
      </c>
      <c r="BE12" s="196" t="e">
        <f>SBDP4!AG11</f>
        <v>#DIV/0!</v>
      </c>
      <c r="BF12" s="196" t="e">
        <f>SBDP4!AH11</f>
        <v>#DIV/0!</v>
      </c>
      <c r="BG12" s="195" t="str">
        <f>SBDP4!AM11</f>
        <v xml:space="preserve"> </v>
      </c>
      <c r="BH12" s="196" t="e">
        <f>PJOK4!AJ11</f>
        <v>#DIV/0!</v>
      </c>
      <c r="BI12" s="196" t="e">
        <f>PJOK4!AK11</f>
        <v>#DIV/0!</v>
      </c>
      <c r="BJ12" s="197" t="str">
        <f>PJOK4!AP11</f>
        <v xml:space="preserve"> </v>
      </c>
      <c r="BK12" s="196" t="e">
        <f>'MLK1-4'!AG11</f>
        <v>#DIV/0!</v>
      </c>
      <c r="BL12" s="196" t="e">
        <f>'MLK1-4'!AH11</f>
        <v>#DIV/0!</v>
      </c>
      <c r="BM12" s="195" t="str">
        <f>'MLK1-4'!AM11</f>
        <v xml:space="preserve"> </v>
      </c>
      <c r="BN12" s="196" t="e">
        <f>'MLK2-4'!AG11</f>
        <v>#DIV/0!</v>
      </c>
      <c r="BO12" s="196" t="e">
        <f>'MLK2-4'!AH11</f>
        <v>#DIV/0!</v>
      </c>
      <c r="BP12" s="195" t="str">
        <f>'MLK2-4'!AM11</f>
        <v xml:space="preserve"> </v>
      </c>
      <c r="BQ12" s="196" t="e">
        <f>'MLK3-4'!AG11</f>
        <v>#DIV/0!</v>
      </c>
      <c r="BR12" s="196" t="e">
        <f>'MLK3-4'!AH11</f>
        <v>#DIV/0!</v>
      </c>
      <c r="BS12" s="195" t="str">
        <f>'MLK3-4'!AM11</f>
        <v xml:space="preserve"> </v>
      </c>
    </row>
    <row r="13" spans="1:71" ht="129.94999999999999" customHeight="1">
      <c r="A13" s="191">
        <v>8</v>
      </c>
      <c r="B13" s="191">
        <f>SISWA!B13</f>
        <v>0</v>
      </c>
      <c r="C13" s="192" t="str">
        <f>SISWA!C13</f>
        <v>Anak 8</v>
      </c>
      <c r="D13" s="193" t="str">
        <f>SPIRIT!Q12</f>
        <v xml:space="preserve">Ananda Anak 8 baik dalam  ketaatan beribadah,  berperilaku syukur,  berdoa sebelum dan sesudah melakukan kegiatan,  toleransi dalam beribadah, </v>
      </c>
      <c r="E13" s="193" t="str">
        <f>SOSIAL!W12</f>
        <v xml:space="preserve">Ananda Anak 8 baik dalam sikap jujur, disiplin, tanggung jawab, santun, peduli, percaya diri, kerja sama, </v>
      </c>
      <c r="F13" s="194">
        <f>'PAI3'!DU13</f>
        <v>99</v>
      </c>
      <c r="G13" s="194" t="str">
        <f>'PAI3'!DV13</f>
        <v>A</v>
      </c>
      <c r="H13" s="195" t="str">
        <f>'PAI3'!EA13</f>
        <v>Anak 8 sangat baik  dalam memahami Q.S. al- Falaq dan Q.S. al- Fil dengan baik dan benar</v>
      </c>
      <c r="I13" s="194">
        <f>'PKN3'!AI12</f>
        <v>95</v>
      </c>
      <c r="J13" s="194" t="str">
        <f>'PKN3'!AJ12</f>
        <v>A</v>
      </c>
      <c r="K13" s="193" t="str">
        <f>'PKN3'!AO12</f>
        <v>Anak 8 sangat baik  dalam mengidentifikasi pelaksanaan kewajiban dan hak sebagai warga masyarakat dalam kehidupan sehari-hari., dan  sangat baik  dalam menjelaskan manfaat keberagaman karakteristik individu dalam kehidupan sehari-hari.</v>
      </c>
      <c r="L13" s="196">
        <f>BIND3!AU12</f>
        <v>96</v>
      </c>
      <c r="M13" s="196" t="str">
        <f>BIND3!AV12</f>
        <v>A</v>
      </c>
      <c r="N13" s="195" t="str">
        <f>BIND3!BA12</f>
        <v>Anak 8 sangat baik  dalam menggali pengetahuan baru yang terdapat pada teks nonfiksi., dan  baik  dalam menggali informasi dari seorang tokoh melalui wawancara menggunakan daftar pertanyaan.</v>
      </c>
      <c r="O13" s="196">
        <f>'MTK3'!BC12</f>
        <v>96</v>
      </c>
      <c r="P13" s="196" t="str">
        <f>'MTK3'!BD12</f>
        <v>A</v>
      </c>
      <c r="Q13" s="195" t="str">
        <f>'MTK3'!BI12</f>
        <v>Anak 8 sangat baik  dalam menjelaskan dan melakukan penaksiran dari jumlah, selisih, hasil kali, dan hasil bagi dua bilangan cacah maupun pecahan dan desimal, dan  baik  dalam menjelaskan berbagai bentuk pecahan (biasa, campuran, desimal, dan persen) dan hubungan di antaranya</v>
      </c>
      <c r="R13" s="196">
        <f>'IPA3'!AM12</f>
        <v>99</v>
      </c>
      <c r="S13" s="196" t="str">
        <f>'IPA3'!AN12</f>
        <v>A</v>
      </c>
      <c r="T13" s="195" t="str">
        <f>'IPA3'!AS12</f>
        <v>Anak 8 sangat baik  dalam membandingkan siklus hidup beberapa jenis makhluk hidup serta mengaitkan dengan upaya pelestariannya.</v>
      </c>
      <c r="U13" s="196">
        <f>'IPS3'!AN12</f>
        <v>99</v>
      </c>
      <c r="V13" s="196" t="str">
        <f>'IPS3'!AO12</f>
        <v>A</v>
      </c>
      <c r="W13" s="195" t="str">
        <f>'IPS3'!AT12</f>
        <v>Anak 8 sangat baik  dalam mengidentifikasi karakteristik ruang dan pemanfaatan sumberdaya alam untuk kesejahteraan masyarakat dari tingkatkota/kabupaten sampai tingkat provinsi.</v>
      </c>
      <c r="X13" s="196">
        <f>SBDP3!AN12</f>
        <v>99</v>
      </c>
      <c r="Y13" s="196" t="str">
        <f>SBDP3!AO12</f>
        <v>A</v>
      </c>
      <c r="Z13" s="195" t="str">
        <f>SBDP3!AT12</f>
        <v>Anak 8 sangat baik  dalam mengetahui gambar dan bentuk tiga dimensi.</v>
      </c>
      <c r="AA13" s="196">
        <f>PJOK3!AV12</f>
        <v>94</v>
      </c>
      <c r="AB13" s="196" t="str">
        <f>PJOK3!AW12</f>
        <v>A</v>
      </c>
      <c r="AC13" s="195" t="str">
        <f>PJOK3!BB12</f>
        <v>Anak 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3" s="196">
        <f>'MLK1-3'!AT12</f>
        <v>90</v>
      </c>
      <c r="AE13" s="196" t="str">
        <f>'MLK1-3'!AU12</f>
        <v>B</v>
      </c>
      <c r="AF13" s="197" t="str">
        <f>'MLK1-3'!AZ12</f>
        <v>Anak 8 sangat baik  dalam mengenal, memahami, dan mengidentifikasi kata berimbuhan dalam teks sesuai kaidah, dan  baik  dalam mengenal dan memahami sandhangan aksara Jawa.</v>
      </c>
      <c r="AG13" s="196">
        <f>'MLK2-3'!AP12</f>
        <v>92</v>
      </c>
      <c r="AH13" s="196" t="str">
        <f>'MLK2-3'!AQ12</f>
        <v>A</v>
      </c>
      <c r="AI13" s="195" t="str">
        <f>'MLK2-3'!AV12</f>
        <v>Anak 8 sangat baik  dalam mengenal dan mengidentifikasi benda-benda di dapur dan nama-nama bunga, dan  baik  dalam memahami penggunaan kalimat yang menunjukkan letak suatu tempat</v>
      </c>
      <c r="AJ13" s="196">
        <f>'MLK3-3'!AP12</f>
        <v>87</v>
      </c>
      <c r="AK13" s="196" t="str">
        <f>'MLK3-3'!AQ12</f>
        <v>B</v>
      </c>
      <c r="AL13" s="197" t="str">
        <f>'MLK3-3'!AV12</f>
        <v>Anak 8 baik  dalam memahami pembuatan dokumen di microsoft  word, dan  baik  dalam mengenal dan memahami penggunaan microsoft  word.</v>
      </c>
      <c r="AM13" s="196" t="e">
        <f>'PAI4'!CI13</f>
        <v>#DIV/0!</v>
      </c>
      <c r="AN13" s="196" t="e">
        <f>'PAI4'!CJ13</f>
        <v>#DIV/0!</v>
      </c>
      <c r="AO13" s="197" t="str">
        <f>'PAI4'!CO13</f>
        <v xml:space="preserve"> </v>
      </c>
      <c r="AP13" s="196" t="e">
        <f>'PKN4'!AD12</f>
        <v>#DIV/0!</v>
      </c>
      <c r="AQ13" s="196" t="e">
        <f>'PKN4'!AE12</f>
        <v>#DIV/0!</v>
      </c>
      <c r="AR13" s="195" t="str">
        <f>'PKN4'!AJ12</f>
        <v xml:space="preserve"> </v>
      </c>
      <c r="AS13" s="196">
        <f>BIND4!AP12</f>
        <v>88</v>
      </c>
      <c r="AT13" s="196" t="str">
        <f>BIND4!AQ12</f>
        <v>B</v>
      </c>
      <c r="AU13" s="195" t="str">
        <f>BIND4!AV12</f>
        <v>Anak 8 baik  dalam 0</v>
      </c>
      <c r="AV13" s="196" t="e">
        <f>'MTK4'!AP12</f>
        <v>#DIV/0!</v>
      </c>
      <c r="AW13" s="196" t="e">
        <f>'MTK4'!AQ12</f>
        <v>#DIV/0!</v>
      </c>
      <c r="AX13" s="195" t="str">
        <f>'MTK4'!AV12</f>
        <v xml:space="preserve"> </v>
      </c>
      <c r="AY13" s="196" t="e">
        <f>'IPA4'!AJ12</f>
        <v>#DIV/0!</v>
      </c>
      <c r="AZ13" s="196" t="e">
        <f>'IPA4'!AK12</f>
        <v>#DIV/0!</v>
      </c>
      <c r="BA13" s="195" t="str">
        <f>'IPA4'!AP12</f>
        <v xml:space="preserve"> </v>
      </c>
      <c r="BB13" s="196" t="e">
        <f>'IPS4'!AG12</f>
        <v>#DIV/0!</v>
      </c>
      <c r="BC13" s="196" t="e">
        <f>'IPS4'!AH12</f>
        <v>#DIV/0!</v>
      </c>
      <c r="BD13" s="195" t="str">
        <f>'IPS4'!AM12</f>
        <v xml:space="preserve"> </v>
      </c>
      <c r="BE13" s="196" t="e">
        <f>SBDP4!AG12</f>
        <v>#DIV/0!</v>
      </c>
      <c r="BF13" s="196" t="e">
        <f>SBDP4!AH12</f>
        <v>#DIV/0!</v>
      </c>
      <c r="BG13" s="195" t="str">
        <f>SBDP4!AM12</f>
        <v xml:space="preserve"> </v>
      </c>
      <c r="BH13" s="196" t="e">
        <f>PJOK4!AJ12</f>
        <v>#DIV/0!</v>
      </c>
      <c r="BI13" s="196" t="e">
        <f>PJOK4!AK12</f>
        <v>#DIV/0!</v>
      </c>
      <c r="BJ13" s="197" t="str">
        <f>PJOK4!AP12</f>
        <v xml:space="preserve"> </v>
      </c>
      <c r="BK13" s="196" t="e">
        <f>'MLK1-4'!AG12</f>
        <v>#DIV/0!</v>
      </c>
      <c r="BL13" s="196" t="e">
        <f>'MLK1-4'!AH12</f>
        <v>#DIV/0!</v>
      </c>
      <c r="BM13" s="195" t="str">
        <f>'MLK1-4'!AM12</f>
        <v xml:space="preserve"> </v>
      </c>
      <c r="BN13" s="196" t="e">
        <f>'MLK2-4'!AG12</f>
        <v>#DIV/0!</v>
      </c>
      <c r="BO13" s="196" t="e">
        <f>'MLK2-4'!AH12</f>
        <v>#DIV/0!</v>
      </c>
      <c r="BP13" s="195" t="str">
        <f>'MLK2-4'!AM12</f>
        <v xml:space="preserve"> </v>
      </c>
      <c r="BQ13" s="196" t="e">
        <f>'MLK3-4'!AG12</f>
        <v>#DIV/0!</v>
      </c>
      <c r="BR13" s="196" t="e">
        <f>'MLK3-4'!AH12</f>
        <v>#DIV/0!</v>
      </c>
      <c r="BS13" s="195" t="str">
        <f>'MLK3-4'!AM12</f>
        <v xml:space="preserve"> </v>
      </c>
    </row>
    <row r="14" spans="1:71" ht="129.94999999999999" customHeight="1">
      <c r="A14" s="191">
        <v>9</v>
      </c>
      <c r="B14" s="191">
        <f>SISWA!B14</f>
        <v>0</v>
      </c>
      <c r="C14" s="192" t="str">
        <f>SISWA!C14</f>
        <v>Anak 9</v>
      </c>
      <c r="D14" s="193" t="str">
        <f>SPIRIT!Q13</f>
        <v xml:space="preserve">Ananda Anak 9 baik dalam  ketaatan beribadah,  berperilaku syukur,  berdoa sebelum dan sesudah melakukan kegiatan,  toleransi dalam beribadah, </v>
      </c>
      <c r="E14" s="193" t="str">
        <f>SOSIAL!W13</f>
        <v>Ananda Anak 9 baik dalam sikap jujur, disiplin, tanggung jawab, santun, peduli, percaya diri, dan sudah mampu meningkatkan sikap kerja sama.</v>
      </c>
      <c r="F14" s="194">
        <f>'PAI3'!DU14</f>
        <v>99</v>
      </c>
      <c r="G14" s="194" t="str">
        <f>'PAI3'!DV14</f>
        <v>A</v>
      </c>
      <c r="H14" s="195" t="str">
        <f>'PAI3'!EA14</f>
        <v>Anak 9 sangat baik  dalam memahami Q.S. al- Falaq dan Q.S. al- Fil dengan baik dan benar</v>
      </c>
      <c r="I14" s="194">
        <f>'PKN3'!AI13</f>
        <v>95</v>
      </c>
      <c r="J14" s="194" t="str">
        <f>'PKN3'!AJ13</f>
        <v>A</v>
      </c>
      <c r="K14" s="193" t="str">
        <f>'PKN3'!AO13</f>
        <v>Anak 9 sangat baik  dalam mengidentifikasi pelaksanaan kewajiban dan hak sebagai warga masyarakat dalam kehidupan sehari-hari., dan  sangat baik  dalam mengidentifikasi berbagai bentuk keragaman suku bangsa, sosial, dan budaya di Indonesia yang terikat persatuan dan kesatuan.</v>
      </c>
      <c r="L14" s="196">
        <f>BIND3!AU13</f>
        <v>96</v>
      </c>
      <c r="M14" s="196" t="str">
        <f>BIND3!AV13</f>
        <v>A</v>
      </c>
      <c r="N14" s="195" t="str">
        <f>BIND3!BA13</f>
        <v>Anak 9 sangat baik  dalam menggali pengetahuan baru yang terdapat pada teks nonfiksi., dan  sangat baik  dalam menggali isi dan amanat puisi yang disajikan secara lisan dan tulis dengan tujuan untuk kesenangan.</v>
      </c>
      <c r="O14" s="196">
        <f>'MTK3'!BC13</f>
        <v>97</v>
      </c>
      <c r="P14" s="196" t="str">
        <f>'MTK3'!BD13</f>
        <v>A</v>
      </c>
      <c r="Q14" s="195" t="str">
        <f>'MTK3'!BI13</f>
        <v>Anak 9 sangat baik  dalam menjelaskan dan melakukan penaksiran dari jumlah, selisih, hasil kali, dan hasil bagi dua bilangan cacah maupun pecahan dan desimal, dan  baik  dalam menjelaskan berbagai bentuk pecahan (biasa, campuran, desimal, dan persen) dan hubungan di antaranya</v>
      </c>
      <c r="R14" s="196">
        <f>'IPA3'!AM13</f>
        <v>99</v>
      </c>
      <c r="S14" s="196" t="str">
        <f>'IPA3'!AN13</f>
        <v>A</v>
      </c>
      <c r="T14" s="195" t="str">
        <f>'IPA3'!AS13</f>
        <v>Anak 9 sangat baik  dalam membandingkan siklus hidup beberapa jenis makhluk hidup serta mengaitkan dengan upaya pelestariannya.</v>
      </c>
      <c r="U14" s="196">
        <f>'IPS3'!AN13</f>
        <v>99</v>
      </c>
      <c r="V14" s="196" t="str">
        <f>'IPS3'!AO13</f>
        <v>A</v>
      </c>
      <c r="W14" s="195" t="str">
        <f>'IPS3'!AT13</f>
        <v>Anak 9 sangat baik  dalam mengidentifikasi karakteristik ruang dan pemanfaatan sumberdaya alam untuk kesejahteraan masyarakat dari tingkatkota/kabupaten sampai tingkat provinsi.</v>
      </c>
      <c r="X14" s="196">
        <f>SBDP3!AN13</f>
        <v>99</v>
      </c>
      <c r="Y14" s="196" t="str">
        <f>SBDP3!AO13</f>
        <v>A</v>
      </c>
      <c r="Z14" s="195" t="str">
        <f>SBDP3!AT13</f>
        <v>Anak 9 sangat baik  dalam mengetahui gambar dan bentuk tiga dimensi.</v>
      </c>
      <c r="AA14" s="196">
        <f>PJOK3!AV13</f>
        <v>94</v>
      </c>
      <c r="AB14" s="196" t="str">
        <f>PJOK3!AW13</f>
        <v>A</v>
      </c>
      <c r="AC14" s="195" t="str">
        <f>PJOK3!BB13</f>
        <v>Anak 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14" s="196">
        <f>'MLK1-3'!AT13</f>
        <v>89</v>
      </c>
      <c r="AE14" s="196" t="str">
        <f>'MLK1-3'!AU13</f>
        <v>B</v>
      </c>
      <c r="AF14" s="197" t="str">
        <f>'MLK1-3'!AZ13</f>
        <v>Anak 9 sangat baik  dalam mengenal dan memahmi teks tembang dolanan, dan  baik  dalam mengenal dan memahami sandhangan aksara Jawa.</v>
      </c>
      <c r="AG14" s="196">
        <f>'MLK2-3'!AP13</f>
        <v>92</v>
      </c>
      <c r="AH14" s="196" t="str">
        <f>'MLK2-3'!AQ13</f>
        <v>A</v>
      </c>
      <c r="AI14" s="195" t="str">
        <f>'MLK2-3'!AV13</f>
        <v>Anak 9 sangat baik  dalam mengenal dan mengidentifikasi benda-benda di dapur dan nama-nama bunga, dan  baik  dalam memahami penggunaan kalimat yang menunjukkan letak suatu tempat</v>
      </c>
      <c r="AJ14" s="196">
        <f>'MLK3-3'!AP13</f>
        <v>87</v>
      </c>
      <c r="AK14" s="196" t="str">
        <f>'MLK3-3'!AQ13</f>
        <v>B</v>
      </c>
      <c r="AL14" s="197" t="str">
        <f>'MLK3-3'!AV13</f>
        <v>Anak 9 baik  dalam mengenal dan memahami penggunaan microsoft  word., dan  baik  dalam memahami pembuatan dokumen di microsoft  word</v>
      </c>
      <c r="AM14" s="196" t="e">
        <f>'PAI4'!CI14</f>
        <v>#DIV/0!</v>
      </c>
      <c r="AN14" s="196" t="e">
        <f>'PAI4'!CJ14</f>
        <v>#DIV/0!</v>
      </c>
      <c r="AO14" s="197" t="str">
        <f>'PAI4'!CO14</f>
        <v xml:space="preserve"> </v>
      </c>
      <c r="AP14" s="196" t="e">
        <f>'PKN4'!AD13</f>
        <v>#DIV/0!</v>
      </c>
      <c r="AQ14" s="196" t="e">
        <f>'PKN4'!AE13</f>
        <v>#DIV/0!</v>
      </c>
      <c r="AR14" s="195" t="str">
        <f>'PKN4'!AJ13</f>
        <v xml:space="preserve"> </v>
      </c>
      <c r="AS14" s="196" t="e">
        <f>BIND4!AP13</f>
        <v>#DIV/0!</v>
      </c>
      <c r="AT14" s="196" t="e">
        <f>BIND4!AQ13</f>
        <v>#DIV/0!</v>
      </c>
      <c r="AU14" s="195" t="str">
        <f>BIND4!AV13</f>
        <v xml:space="preserve"> </v>
      </c>
      <c r="AV14" s="196" t="e">
        <f>'MTK4'!AP13</f>
        <v>#DIV/0!</v>
      </c>
      <c r="AW14" s="196" t="e">
        <f>'MTK4'!AQ13</f>
        <v>#DIV/0!</v>
      </c>
      <c r="AX14" s="195" t="str">
        <f>'MTK4'!AV13</f>
        <v xml:space="preserve"> </v>
      </c>
      <c r="AY14" s="196" t="e">
        <f>'IPA4'!AJ13</f>
        <v>#DIV/0!</v>
      </c>
      <c r="AZ14" s="196" t="e">
        <f>'IPA4'!AK13</f>
        <v>#DIV/0!</v>
      </c>
      <c r="BA14" s="195" t="str">
        <f>'IPA4'!AP13</f>
        <v xml:space="preserve"> </v>
      </c>
      <c r="BB14" s="196" t="e">
        <f>'IPS4'!AG13</f>
        <v>#DIV/0!</v>
      </c>
      <c r="BC14" s="196" t="e">
        <f>'IPS4'!AH13</f>
        <v>#DIV/0!</v>
      </c>
      <c r="BD14" s="195" t="str">
        <f>'IPS4'!AM13</f>
        <v xml:space="preserve"> </v>
      </c>
      <c r="BE14" s="196" t="e">
        <f>SBDP4!AG13</f>
        <v>#DIV/0!</v>
      </c>
      <c r="BF14" s="196" t="e">
        <f>SBDP4!AH13</f>
        <v>#DIV/0!</v>
      </c>
      <c r="BG14" s="195" t="str">
        <f>SBDP4!AM13</f>
        <v xml:space="preserve"> </v>
      </c>
      <c r="BH14" s="196" t="e">
        <f>PJOK4!AJ13</f>
        <v>#DIV/0!</v>
      </c>
      <c r="BI14" s="196" t="e">
        <f>PJOK4!AK13</f>
        <v>#DIV/0!</v>
      </c>
      <c r="BJ14" s="197" t="str">
        <f>PJOK4!AP13</f>
        <v xml:space="preserve"> </v>
      </c>
      <c r="BK14" s="196" t="e">
        <f>'MLK1-4'!AG13</f>
        <v>#DIV/0!</v>
      </c>
      <c r="BL14" s="196" t="e">
        <f>'MLK1-4'!AH13</f>
        <v>#DIV/0!</v>
      </c>
      <c r="BM14" s="195" t="str">
        <f>'MLK1-4'!AM13</f>
        <v xml:space="preserve"> </v>
      </c>
      <c r="BN14" s="196" t="e">
        <f>'MLK2-4'!AG13</f>
        <v>#DIV/0!</v>
      </c>
      <c r="BO14" s="196" t="e">
        <f>'MLK2-4'!AH13</f>
        <v>#DIV/0!</v>
      </c>
      <c r="BP14" s="195" t="str">
        <f>'MLK2-4'!AM13</f>
        <v xml:space="preserve"> </v>
      </c>
      <c r="BQ14" s="196" t="e">
        <f>'MLK3-4'!AG13</f>
        <v>#DIV/0!</v>
      </c>
      <c r="BR14" s="196" t="e">
        <f>'MLK3-4'!AH13</f>
        <v>#DIV/0!</v>
      </c>
      <c r="BS14" s="195" t="str">
        <f>'MLK3-4'!AM13</f>
        <v xml:space="preserve"> </v>
      </c>
    </row>
    <row r="15" spans="1:71" ht="129.94999999999999" customHeight="1">
      <c r="A15" s="191">
        <v>10</v>
      </c>
      <c r="B15" s="191">
        <f>SISWA!B15</f>
        <v>0</v>
      </c>
      <c r="C15" s="192" t="str">
        <f>SISWA!C15</f>
        <v>Anak 10</v>
      </c>
      <c r="D15" s="193" t="str">
        <f>SPIRIT!Q14</f>
        <v xml:space="preserve">Ananda Anak 10 baik dalam  ketaatan beribadah,  berperilaku syukur,  berdoa sebelum dan sesudah melakukan kegiatan,  toleransi dalam beribadah, </v>
      </c>
      <c r="E15" s="193" t="str">
        <f>SOSIAL!W14</f>
        <v xml:space="preserve">Ananda Anak 10 baik dalam sikap jujur, disiplin, tanggung jawab, santun, peduli, percaya diri, kerja sama, </v>
      </c>
      <c r="F15" s="194">
        <f>'PAI3'!DU15</f>
        <v>99</v>
      </c>
      <c r="G15" s="194" t="str">
        <f>'PAI3'!DV15</f>
        <v>A</v>
      </c>
      <c r="H15" s="195" t="str">
        <f>'PAI3'!EA15</f>
        <v>Anak 10 sangat baik  dalam memahami Q.S. al- Falaq dan Q.S. al- Fil dengan baik dan benar</v>
      </c>
      <c r="I15" s="194">
        <f>'PKN3'!AI14</f>
        <v>94</v>
      </c>
      <c r="J15" s="194" t="str">
        <f>'PKN3'!AJ14</f>
        <v>A</v>
      </c>
      <c r="K15" s="193" t="str">
        <f>'PKN3'!AO14</f>
        <v>Anak 10 sangat baik  dalam mengidentifikasi pelaksanaan kewajiban dan hak sebagai warga masyarakat dalam kehidupan sehari-hari., dan  sangat baik  dalam menjelaskan manfaat keberagaman karakteristik individu dalam kehidupan sehari-hari.</v>
      </c>
      <c r="L15" s="196">
        <f>BIND3!AU14</f>
        <v>95</v>
      </c>
      <c r="M15" s="196" t="str">
        <f>BIND3!AV14</f>
        <v>A</v>
      </c>
      <c r="N15" s="195" t="str">
        <f>BIND3!BA14</f>
        <v>Anak 10 sangat baik  dalam menggali pengetahuan baru yang terdapat pada teks nonfiksi., dan  baik  dalam menggali informasi dari seorang tokoh melalui wawancara menggunakan daftar pertanyaan.</v>
      </c>
      <c r="O15" s="196">
        <f>'MTK3'!BC14</f>
        <v>96</v>
      </c>
      <c r="P15" s="196" t="str">
        <f>'MTK3'!BD14</f>
        <v>A</v>
      </c>
      <c r="Q15" s="195" t="str">
        <f>'MTK3'!BI14</f>
        <v>Anak 10 sangat baik  dalam menjelaskan dan melakukan penaksiran dari jumlah, selisih, hasil kali, dan hasil bagi dua bilangan cacah maupun pecahan dan desimal, dan  baik  dalam menjelaskan berbagai bentuk pecahan (biasa, campuran, desimal, dan persen) dan hubungan di antaranya</v>
      </c>
      <c r="R15" s="196">
        <f>'IPA3'!AM14</f>
        <v>99</v>
      </c>
      <c r="S15" s="196" t="str">
        <f>'IPA3'!AN14</f>
        <v>A</v>
      </c>
      <c r="T15" s="195" t="str">
        <f>'IPA3'!AS14</f>
        <v>Anak 10 sangat baik  dalam membandingkan siklus hidup beberapa jenis makhluk hidup serta mengaitkan dengan upaya pelestariannya.</v>
      </c>
      <c r="U15" s="196">
        <f>'IPS3'!AN14</f>
        <v>99</v>
      </c>
      <c r="V15" s="196" t="str">
        <f>'IPS3'!AO14</f>
        <v>A</v>
      </c>
      <c r="W15" s="195" t="str">
        <f>'IPS3'!AT14</f>
        <v>Anak 10 sangat baik  dalam mengidentifikasi karakteristik ruang dan pemanfaatan sumberdaya alam untuk kesejahteraan masyarakat dari tingkatkota/kabupaten sampai tingkat provinsi.</v>
      </c>
      <c r="X15" s="196">
        <f>SBDP3!AN14</f>
        <v>99</v>
      </c>
      <c r="Y15" s="196" t="str">
        <f>SBDP3!AO14</f>
        <v>A</v>
      </c>
      <c r="Z15" s="195" t="str">
        <f>SBDP3!AT14</f>
        <v>Anak 10 sangat baik  dalam mengetahui gambar dan bentuk tiga dimensi.</v>
      </c>
      <c r="AA15" s="196">
        <f>PJOK3!AV14</f>
        <v>93</v>
      </c>
      <c r="AB15" s="196" t="str">
        <f>PJOK3!AW14</f>
        <v>A</v>
      </c>
      <c r="AC15" s="195" t="str">
        <f>PJOK3!BB14</f>
        <v>Anak 10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5" s="196">
        <f>'MLK1-3'!AT14</f>
        <v>87</v>
      </c>
      <c r="AE15" s="196" t="str">
        <f>'MLK1-3'!AU14</f>
        <v>B</v>
      </c>
      <c r="AF15" s="197" t="str">
        <f>'MLK1-3'!AZ14</f>
        <v>Anak 10 baik  dalam mengenal, memahami, dan mengidentifikasi kata berimbuhan dalam teks sesuai kaidah, dan  baik  dalam mengenal dan memahami sandhangan aksara Jawa.</v>
      </c>
      <c r="AG15" s="196">
        <f>'MLK2-3'!AP14</f>
        <v>90</v>
      </c>
      <c r="AH15" s="196" t="str">
        <f>'MLK2-3'!AQ14</f>
        <v>B</v>
      </c>
      <c r="AI15" s="195" t="str">
        <f>'MLK2-3'!AV14</f>
        <v>Anak 10 sangat baik  dalam mengenal dan mengidentifikasi benda-benda di dapur dan nama-nama bunga, dan  baik  dalam memahami penggunaan kalimat yang menunjukkan letak suatu tempat</v>
      </c>
      <c r="AJ15" s="196">
        <f>'MLK3-3'!AP14</f>
        <v>84</v>
      </c>
      <c r="AK15" s="196" t="str">
        <f>'MLK3-3'!AQ14</f>
        <v>B</v>
      </c>
      <c r="AL15" s="197" t="str">
        <f>'MLK3-3'!AV14</f>
        <v>Anak 10 baik  dalam memahami pembuatan dokumen di microsoft  word, dan  baik  dalam mengenal dan memahami penggunaan microsoft  word.</v>
      </c>
      <c r="AM15" s="196" t="e">
        <f>'PAI4'!CI15</f>
        <v>#DIV/0!</v>
      </c>
      <c r="AN15" s="196" t="e">
        <f>'PAI4'!CJ15</f>
        <v>#DIV/0!</v>
      </c>
      <c r="AO15" s="197" t="str">
        <f>'PAI4'!CO15</f>
        <v xml:space="preserve"> </v>
      </c>
      <c r="AP15" s="196" t="e">
        <f>'PKN4'!AD14</f>
        <v>#DIV/0!</v>
      </c>
      <c r="AQ15" s="196" t="e">
        <f>'PKN4'!AE14</f>
        <v>#DIV/0!</v>
      </c>
      <c r="AR15" s="195" t="str">
        <f>'PKN4'!AJ14</f>
        <v xml:space="preserve"> </v>
      </c>
      <c r="AS15" s="196" t="e">
        <f>BIND4!AP14</f>
        <v>#DIV/0!</v>
      </c>
      <c r="AT15" s="196" t="e">
        <f>BIND4!AQ14</f>
        <v>#DIV/0!</v>
      </c>
      <c r="AU15" s="195" t="str">
        <f>BIND4!AV14</f>
        <v xml:space="preserve"> </v>
      </c>
      <c r="AV15" s="196" t="e">
        <f>'MTK4'!AP14</f>
        <v>#DIV/0!</v>
      </c>
      <c r="AW15" s="196" t="e">
        <f>'MTK4'!AQ14</f>
        <v>#DIV/0!</v>
      </c>
      <c r="AX15" s="195" t="str">
        <f>'MTK4'!AV14</f>
        <v xml:space="preserve"> </v>
      </c>
      <c r="AY15" s="196" t="e">
        <f>'IPA4'!AJ14</f>
        <v>#DIV/0!</v>
      </c>
      <c r="AZ15" s="196" t="e">
        <f>'IPA4'!AK14</f>
        <v>#DIV/0!</v>
      </c>
      <c r="BA15" s="195" t="str">
        <f>'IPA4'!AP14</f>
        <v xml:space="preserve"> </v>
      </c>
      <c r="BB15" s="196" t="e">
        <f>'IPS4'!AG14</f>
        <v>#DIV/0!</v>
      </c>
      <c r="BC15" s="196" t="e">
        <f>'IPS4'!AH14</f>
        <v>#DIV/0!</v>
      </c>
      <c r="BD15" s="195" t="str">
        <f>'IPS4'!AM14</f>
        <v xml:space="preserve"> </v>
      </c>
      <c r="BE15" s="196" t="e">
        <f>SBDP4!AG14</f>
        <v>#DIV/0!</v>
      </c>
      <c r="BF15" s="196" t="e">
        <f>SBDP4!AH14</f>
        <v>#DIV/0!</v>
      </c>
      <c r="BG15" s="195" t="str">
        <f>SBDP4!AM14</f>
        <v xml:space="preserve"> </v>
      </c>
      <c r="BH15" s="196" t="e">
        <f>PJOK4!AJ14</f>
        <v>#DIV/0!</v>
      </c>
      <c r="BI15" s="196" t="e">
        <f>PJOK4!AK14</f>
        <v>#DIV/0!</v>
      </c>
      <c r="BJ15" s="197" t="str">
        <f>PJOK4!AP14</f>
        <v xml:space="preserve"> </v>
      </c>
      <c r="BK15" s="196" t="e">
        <f>'MLK1-4'!AG14</f>
        <v>#DIV/0!</v>
      </c>
      <c r="BL15" s="196" t="e">
        <f>'MLK1-4'!AH14</f>
        <v>#DIV/0!</v>
      </c>
      <c r="BM15" s="195" t="str">
        <f>'MLK1-4'!AM14</f>
        <v xml:space="preserve"> </v>
      </c>
      <c r="BN15" s="196" t="e">
        <f>'MLK2-4'!AG14</f>
        <v>#DIV/0!</v>
      </c>
      <c r="BO15" s="196" t="e">
        <f>'MLK2-4'!AH14</f>
        <v>#DIV/0!</v>
      </c>
      <c r="BP15" s="195" t="str">
        <f>'MLK2-4'!AM14</f>
        <v xml:space="preserve"> </v>
      </c>
      <c r="BQ15" s="196" t="e">
        <f>'MLK3-4'!AG14</f>
        <v>#DIV/0!</v>
      </c>
      <c r="BR15" s="196" t="e">
        <f>'MLK3-4'!AH14</f>
        <v>#DIV/0!</v>
      </c>
      <c r="BS15" s="195" t="str">
        <f>'MLK3-4'!AM14</f>
        <v xml:space="preserve"> </v>
      </c>
    </row>
    <row r="16" spans="1:71" ht="129.94999999999999" customHeight="1">
      <c r="A16" s="191">
        <v>11</v>
      </c>
      <c r="B16" s="191">
        <f>SISWA!B16</f>
        <v>0</v>
      </c>
      <c r="C16" s="192" t="str">
        <f>SISWA!C16</f>
        <v>Anak 11</v>
      </c>
      <c r="D16" s="193" t="str">
        <f>SPIRIT!Q15</f>
        <v xml:space="preserve">Ananda Anak 11 baik dalam  ketaatan beribadah,  berperilaku syukur,  berdoa sebelum dan sesudah melakukan kegiatan,  toleransi dalam beribadah, </v>
      </c>
      <c r="E16" s="193" t="str">
        <f>SOSIAL!W15</f>
        <v xml:space="preserve">Ananda Anak 11 baik dalam sikap jujur, disiplin, tanggung jawab, santun, peduli, percaya diri, kerja sama, </v>
      </c>
      <c r="F16" s="194">
        <f>'PAI3'!DU16</f>
        <v>99</v>
      </c>
      <c r="G16" s="194" t="str">
        <f>'PAI3'!DV16</f>
        <v>A</v>
      </c>
      <c r="H16" s="195" t="str">
        <f>'PAI3'!EA16</f>
        <v>Anak 11 sangat baik  dalam memahami Q.S. al- Falaq dan Q.S. al- Fil dengan baik dan benar</v>
      </c>
      <c r="I16" s="194">
        <f>'PKN3'!AI15</f>
        <v>94</v>
      </c>
      <c r="J16" s="194" t="str">
        <f>'PKN3'!AJ15</f>
        <v>A</v>
      </c>
      <c r="K16" s="193" t="str">
        <f>'PKN3'!AO15</f>
        <v>Anak 11 sangat baik  dalam mengidentifikasi pelaksanaan kewajiban dan hak sebagai warga masyarakat dalam kehidupan sehari-hari., dan  sangat baik  dalam menjelaskan manfaat keberagaman karakteristik individu dalam kehidupan sehari-hari.</v>
      </c>
      <c r="L16" s="196">
        <f>BIND3!AU15</f>
        <v>96</v>
      </c>
      <c r="M16" s="196" t="str">
        <f>BIND3!AV15</f>
        <v>A</v>
      </c>
      <c r="N16" s="195" t="str">
        <f>BIND3!BA15</f>
        <v>Anak 11 sangat baik  dalam menggali pengetahuan baru yang terdapat pada teks nonfiksi., dan  baik  dalam menggali informasi dari seorang tokoh melalui wawancara menggunakan daftar pertanyaan.</v>
      </c>
      <c r="O16" s="196">
        <f>'MTK3'!BC15</f>
        <v>96</v>
      </c>
      <c r="P16" s="196" t="str">
        <f>'MTK3'!BD15</f>
        <v>A</v>
      </c>
      <c r="Q16" s="195" t="str">
        <f>'MTK3'!BI15</f>
        <v>Anak 11 sangat baik  dalam menjelaskan dan melakukan penaksiran dari jumlah, selisih, hasil kali, dan hasil bagi dua bilangan cacah maupun pecahan dan desimal, dan  baik  dalam menjelaskan berbagai bentuk pecahan (biasa, campuran, desimal, dan persen) dan hubungan di antaranya</v>
      </c>
      <c r="R16" s="196">
        <f>'IPA3'!AM15</f>
        <v>99</v>
      </c>
      <c r="S16" s="196" t="str">
        <f>'IPA3'!AN15</f>
        <v>A</v>
      </c>
      <c r="T16" s="195" t="str">
        <f>'IPA3'!AS15</f>
        <v>Anak 11 sangat baik  dalam membandingkan siklus hidup beberapa jenis makhluk hidup serta mengaitkan dengan upaya pelestariannya.</v>
      </c>
      <c r="U16" s="196">
        <f>'IPS3'!AN15</f>
        <v>99</v>
      </c>
      <c r="V16" s="196" t="str">
        <f>'IPS3'!AO15</f>
        <v>A</v>
      </c>
      <c r="W16" s="195" t="str">
        <f>'IPS3'!AT15</f>
        <v>Anak 11 sangat baik  dalam mengidentifikasi karakteristik ruang dan pemanfaatan sumberdaya alam untuk kesejahteraan masyarakat dari tingkatkota/kabupaten sampai tingkat provinsi.</v>
      </c>
      <c r="X16" s="196">
        <f>SBDP3!AN15</f>
        <v>99</v>
      </c>
      <c r="Y16" s="196" t="str">
        <f>SBDP3!AO15</f>
        <v>A</v>
      </c>
      <c r="Z16" s="195" t="str">
        <f>SBDP3!AT15</f>
        <v>Anak 11 sangat baik  dalam mengetahui gambar dan bentuk tiga dimensi.</v>
      </c>
      <c r="AA16" s="196">
        <f>PJOK3!AV15</f>
        <v>93</v>
      </c>
      <c r="AB16" s="196" t="str">
        <f>PJOK3!AW15</f>
        <v>A</v>
      </c>
      <c r="AC16" s="195" t="str">
        <f>PJOK3!BB15</f>
        <v>Anak 11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6" s="196">
        <f>'MLK1-3'!AT15</f>
        <v>88</v>
      </c>
      <c r="AE16" s="196" t="str">
        <f>'MLK1-3'!AU15</f>
        <v>B</v>
      </c>
      <c r="AF16" s="197" t="str">
        <f>'MLK1-3'!AZ15</f>
        <v>Anak 11 baik  dalam mengenal, memahami, dan mengidentifikasi kata berimbuhan dalam teks sesuai kaidah, dan  baik  dalam mengenal dan memahami sandhangan aksara Jawa.</v>
      </c>
      <c r="AG16" s="196">
        <f>'MLK2-3'!AP15</f>
        <v>91</v>
      </c>
      <c r="AH16" s="196" t="str">
        <f>'MLK2-3'!AQ15</f>
        <v>A</v>
      </c>
      <c r="AI16" s="195" t="str">
        <f>'MLK2-3'!AV15</f>
        <v>Anak 11 sangat baik  dalam mengenal dan mengidentifikasi benda-benda di dapur dan nama-nama bunga, dan  baik  dalam memahami penggunaan kalimat yang menunjukkan letak suatu tempat</v>
      </c>
      <c r="AJ16" s="196">
        <f>'MLK3-3'!AP15</f>
        <v>85</v>
      </c>
      <c r="AK16" s="196" t="str">
        <f>'MLK3-3'!AQ15</f>
        <v>B</v>
      </c>
      <c r="AL16" s="197" t="str">
        <f>'MLK3-3'!AV15</f>
        <v>Anak 11 baik  dalam memahami pembuatan dokumen di microsoft  word, dan  baik  dalam mengenal dan memahami penggunaan microsoft  word.</v>
      </c>
      <c r="AM16" s="196" t="e">
        <f>'PAI4'!CI16</f>
        <v>#DIV/0!</v>
      </c>
      <c r="AN16" s="196" t="e">
        <f>'PAI4'!CJ16</f>
        <v>#DIV/0!</v>
      </c>
      <c r="AO16" s="197" t="str">
        <f>'PAI4'!CO16</f>
        <v xml:space="preserve"> </v>
      </c>
      <c r="AP16" s="196" t="e">
        <f>'PKN4'!AD15</f>
        <v>#DIV/0!</v>
      </c>
      <c r="AQ16" s="196" t="e">
        <f>'PKN4'!AE15</f>
        <v>#DIV/0!</v>
      </c>
      <c r="AR16" s="195" t="str">
        <f>'PKN4'!AJ15</f>
        <v xml:space="preserve"> </v>
      </c>
      <c r="AS16" s="196" t="e">
        <f>BIND4!AP15</f>
        <v>#DIV/0!</v>
      </c>
      <c r="AT16" s="196" t="e">
        <f>BIND4!AQ15</f>
        <v>#DIV/0!</v>
      </c>
      <c r="AU16" s="195" t="str">
        <f>BIND4!AV15</f>
        <v xml:space="preserve"> </v>
      </c>
      <c r="AV16" s="196" t="e">
        <f>'MTK4'!AP15</f>
        <v>#DIV/0!</v>
      </c>
      <c r="AW16" s="196" t="e">
        <f>'MTK4'!AQ15</f>
        <v>#DIV/0!</v>
      </c>
      <c r="AX16" s="195" t="str">
        <f>'MTK4'!AV15</f>
        <v xml:space="preserve"> </v>
      </c>
      <c r="AY16" s="196" t="e">
        <f>'IPA4'!AJ15</f>
        <v>#DIV/0!</v>
      </c>
      <c r="AZ16" s="196" t="e">
        <f>'IPA4'!AK15</f>
        <v>#DIV/0!</v>
      </c>
      <c r="BA16" s="195" t="str">
        <f>'IPA4'!AP15</f>
        <v xml:space="preserve"> </v>
      </c>
      <c r="BB16" s="196" t="e">
        <f>'IPS4'!AG15</f>
        <v>#DIV/0!</v>
      </c>
      <c r="BC16" s="196" t="e">
        <f>'IPS4'!AH15</f>
        <v>#DIV/0!</v>
      </c>
      <c r="BD16" s="195" t="str">
        <f>'IPS4'!AM15</f>
        <v xml:space="preserve"> </v>
      </c>
      <c r="BE16" s="196" t="e">
        <f>SBDP4!AG15</f>
        <v>#DIV/0!</v>
      </c>
      <c r="BF16" s="196" t="e">
        <f>SBDP4!AH15</f>
        <v>#DIV/0!</v>
      </c>
      <c r="BG16" s="195" t="str">
        <f>SBDP4!AM15</f>
        <v xml:space="preserve"> </v>
      </c>
      <c r="BH16" s="196" t="e">
        <f>PJOK4!AJ15</f>
        <v>#DIV/0!</v>
      </c>
      <c r="BI16" s="196" t="e">
        <f>PJOK4!AK15</f>
        <v>#DIV/0!</v>
      </c>
      <c r="BJ16" s="197" t="str">
        <f>PJOK4!AP15</f>
        <v xml:space="preserve"> </v>
      </c>
      <c r="BK16" s="196" t="e">
        <f>'MLK1-4'!AG15</f>
        <v>#DIV/0!</v>
      </c>
      <c r="BL16" s="196" t="e">
        <f>'MLK1-4'!AH15</f>
        <v>#DIV/0!</v>
      </c>
      <c r="BM16" s="195" t="str">
        <f>'MLK1-4'!AM15</f>
        <v xml:space="preserve"> </v>
      </c>
      <c r="BN16" s="196" t="e">
        <f>'MLK2-4'!AG15</f>
        <v>#DIV/0!</v>
      </c>
      <c r="BO16" s="196" t="e">
        <f>'MLK2-4'!AH15</f>
        <v>#DIV/0!</v>
      </c>
      <c r="BP16" s="195" t="str">
        <f>'MLK2-4'!AM15</f>
        <v xml:space="preserve"> </v>
      </c>
      <c r="BQ16" s="196" t="e">
        <f>'MLK3-4'!AG15</f>
        <v>#DIV/0!</v>
      </c>
      <c r="BR16" s="196" t="e">
        <f>'MLK3-4'!AH15</f>
        <v>#DIV/0!</v>
      </c>
      <c r="BS16" s="195" t="str">
        <f>'MLK3-4'!AM15</f>
        <v xml:space="preserve"> </v>
      </c>
    </row>
    <row r="17" spans="1:71" ht="129.94999999999999" customHeight="1">
      <c r="A17" s="191">
        <v>12</v>
      </c>
      <c r="B17" s="191">
        <f>SISWA!B17</f>
        <v>0</v>
      </c>
      <c r="C17" s="192" t="str">
        <f>SISWA!C17</f>
        <v>Anak 12</v>
      </c>
      <c r="D17" s="193" t="str">
        <f>SPIRIT!Q16</f>
        <v xml:space="preserve">Ananda Anak 12 baik dalam  ketaatan beribadah,  berperilaku syukur,  berdoa sebelum dan sesudah melakukan kegiatan,  toleransi dalam beribadah, </v>
      </c>
      <c r="E17" s="193" t="str">
        <f>SOSIAL!W16</f>
        <v xml:space="preserve">Ananda Anak 12 baik dalam sikap jujur, disiplin, tanggung jawab, santun, peduli, percaya diri, kerja sama, </v>
      </c>
      <c r="F17" s="194">
        <f>'PAI3'!DU17</f>
        <v>99</v>
      </c>
      <c r="G17" s="194" t="str">
        <f>'PAI3'!DV17</f>
        <v>A</v>
      </c>
      <c r="H17" s="195" t="str">
        <f>'PAI3'!EA17</f>
        <v>Anak 12 sangat baik  dalam memahami Q.S. al- Falaq dan Q.S. al- Fil dengan baik dan benar</v>
      </c>
      <c r="I17" s="194">
        <f>'PKN3'!AI16</f>
        <v>95</v>
      </c>
      <c r="J17" s="194" t="str">
        <f>'PKN3'!AJ16</f>
        <v>A</v>
      </c>
      <c r="K17" s="193" t="str">
        <f>'PKN3'!AO16</f>
        <v>Anak 12 sangat baik  dalam mengidentifikasi pelaksanaan kewajiban dan hak sebagai warga masyarakat dalam kehidupan sehari-hari., dan  sangat baik  dalam menjelaskan manfaat keberagaman karakteristik individu dalam kehidupan sehari-hari.</v>
      </c>
      <c r="L17" s="196">
        <f>BIND3!AU16</f>
        <v>96</v>
      </c>
      <c r="M17" s="196" t="str">
        <f>BIND3!AV16</f>
        <v>A</v>
      </c>
      <c r="N17" s="195" t="str">
        <f>BIND3!BA16</f>
        <v>Anak 12 sangat baik  dalam menggali pengetahuan baru yang terdapat pada teks nonfiksi., dan  baik  dalam menggali informasi dari seorang tokoh melalui wawancara menggunakan daftar pertanyaan.</v>
      </c>
      <c r="O17" s="196">
        <f>'MTK3'!BC16</f>
        <v>96</v>
      </c>
      <c r="P17" s="196" t="str">
        <f>'MTK3'!BD16</f>
        <v>A</v>
      </c>
      <c r="Q17" s="195" t="str">
        <f>'MTK3'!BI16</f>
        <v>Anak 12 sangat baik  dalam menjelaskan dan melakukan penaksiran dari jumlah, selisih, hasil kali, dan hasil bagi dua bilangan cacah maupun pecahan dan desimal, dan  baik  dalam menjelaskan berbagai bentuk pecahan (biasa, campuran, desimal, dan persen) dan hubungan di antaranya</v>
      </c>
      <c r="R17" s="196">
        <f>'IPA3'!AM16</f>
        <v>99</v>
      </c>
      <c r="S17" s="196" t="str">
        <f>'IPA3'!AN16</f>
        <v>A</v>
      </c>
      <c r="T17" s="195" t="str">
        <f>'IPA3'!AS16</f>
        <v>Anak 12 sangat baik  dalam membandingkan siklus hidup beberapa jenis makhluk hidup serta mengaitkan dengan upaya pelestariannya.</v>
      </c>
      <c r="U17" s="196">
        <f>'IPS3'!AN16</f>
        <v>99</v>
      </c>
      <c r="V17" s="196" t="str">
        <f>'IPS3'!AO16</f>
        <v>A</v>
      </c>
      <c r="W17" s="195" t="str">
        <f>'IPS3'!AT16</f>
        <v>Anak 12 sangat baik  dalam mengidentifikasi karakteristik ruang dan pemanfaatan sumberdaya alam untuk kesejahteraan masyarakat dari tingkatkota/kabupaten sampai tingkat provinsi.</v>
      </c>
      <c r="X17" s="196">
        <f>SBDP3!AN16</f>
        <v>99</v>
      </c>
      <c r="Y17" s="196" t="str">
        <f>SBDP3!AO16</f>
        <v>A</v>
      </c>
      <c r="Z17" s="195" t="str">
        <f>SBDP3!AT16</f>
        <v>Anak 12 sangat baik  dalam mengetahui gambar dan bentuk tiga dimensi.</v>
      </c>
      <c r="AA17" s="196">
        <f>PJOK3!AV16</f>
        <v>95</v>
      </c>
      <c r="AB17" s="196" t="str">
        <f>PJOK3!AW16</f>
        <v>A</v>
      </c>
      <c r="AC17" s="195" t="str">
        <f>PJOK3!BB16</f>
        <v>Anak 12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7" s="196">
        <f>'MLK1-3'!AT16</f>
        <v>91</v>
      </c>
      <c r="AE17" s="196" t="str">
        <f>'MLK1-3'!AU16</f>
        <v>A</v>
      </c>
      <c r="AF17" s="197" t="str">
        <f>'MLK1-3'!AZ16</f>
        <v>Anak 12 sangat baik  dalam mengenal, memahami, dan mengidentifikasi kata berimbuhan dalam teks sesuai kaidah, dan  baik  dalam mengenal dan memahami sandhangan aksara Jawa.</v>
      </c>
      <c r="AG17" s="196">
        <f>'MLK2-3'!AP16</f>
        <v>93</v>
      </c>
      <c r="AH17" s="196" t="str">
        <f>'MLK2-3'!AQ16</f>
        <v>A</v>
      </c>
      <c r="AI17" s="195" t="str">
        <f>'MLK2-3'!AV16</f>
        <v>Anak 12 sangat baik  dalam mengenal dan mengidentifikasi benda-benda di dapur dan nama-nama bunga, dan  baik  dalam memahami penggunaan kalimat yang menunjukkan letak suatu tempat</v>
      </c>
      <c r="AJ17" s="196">
        <f>'MLK3-3'!AP16</f>
        <v>88</v>
      </c>
      <c r="AK17" s="196" t="str">
        <f>'MLK3-3'!AQ16</f>
        <v>B</v>
      </c>
      <c r="AL17" s="197" t="str">
        <f>'MLK3-3'!AV16</f>
        <v>Anak 12 sangat baik  dalam memahami pembuatan dokumen di microsoft  word, dan  baik  dalam mengenal dan memahami penggunaan microsoft  word.</v>
      </c>
      <c r="AM17" s="196" t="e">
        <f>'PAI4'!CI17</f>
        <v>#DIV/0!</v>
      </c>
      <c r="AN17" s="196" t="e">
        <f>'PAI4'!CJ17</f>
        <v>#DIV/0!</v>
      </c>
      <c r="AO17" s="197" t="str">
        <f>'PAI4'!CO17</f>
        <v xml:space="preserve"> </v>
      </c>
      <c r="AP17" s="196" t="e">
        <f>'PKN4'!AD16</f>
        <v>#DIV/0!</v>
      </c>
      <c r="AQ17" s="196" t="e">
        <f>'PKN4'!AE16</f>
        <v>#DIV/0!</v>
      </c>
      <c r="AR17" s="195" t="str">
        <f>'PKN4'!AJ16</f>
        <v xml:space="preserve"> </v>
      </c>
      <c r="AS17" s="196" t="e">
        <f>BIND4!AP16</f>
        <v>#DIV/0!</v>
      </c>
      <c r="AT17" s="196" t="e">
        <f>BIND4!AQ16</f>
        <v>#DIV/0!</v>
      </c>
      <c r="AU17" s="195" t="str">
        <f>BIND4!AV16</f>
        <v xml:space="preserve"> </v>
      </c>
      <c r="AV17" s="196" t="e">
        <f>'MTK4'!AP16</f>
        <v>#DIV/0!</v>
      </c>
      <c r="AW17" s="196" t="e">
        <f>'MTK4'!AQ16</f>
        <v>#DIV/0!</v>
      </c>
      <c r="AX17" s="195" t="str">
        <f>'MTK4'!AV16</f>
        <v xml:space="preserve"> </v>
      </c>
      <c r="AY17" s="196" t="e">
        <f>'IPA4'!AJ16</f>
        <v>#DIV/0!</v>
      </c>
      <c r="AZ17" s="196" t="e">
        <f>'IPA4'!AK16</f>
        <v>#DIV/0!</v>
      </c>
      <c r="BA17" s="195" t="str">
        <f>'IPA4'!AP16</f>
        <v xml:space="preserve"> </v>
      </c>
      <c r="BB17" s="196" t="e">
        <f>'IPS4'!AG16</f>
        <v>#DIV/0!</v>
      </c>
      <c r="BC17" s="196" t="e">
        <f>'IPS4'!AH16</f>
        <v>#DIV/0!</v>
      </c>
      <c r="BD17" s="195" t="str">
        <f>'IPS4'!AM16</f>
        <v xml:space="preserve"> </v>
      </c>
      <c r="BE17" s="196" t="e">
        <f>SBDP4!AG16</f>
        <v>#DIV/0!</v>
      </c>
      <c r="BF17" s="196" t="e">
        <f>SBDP4!AH16</f>
        <v>#DIV/0!</v>
      </c>
      <c r="BG17" s="195" t="str">
        <f>SBDP4!AM16</f>
        <v xml:space="preserve"> </v>
      </c>
      <c r="BH17" s="196" t="e">
        <f>PJOK4!AJ16</f>
        <v>#DIV/0!</v>
      </c>
      <c r="BI17" s="196" t="e">
        <f>PJOK4!AK16</f>
        <v>#DIV/0!</v>
      </c>
      <c r="BJ17" s="197" t="str">
        <f>PJOK4!AP16</f>
        <v xml:space="preserve"> </v>
      </c>
      <c r="BK17" s="196" t="e">
        <f>'MLK1-4'!AG16</f>
        <v>#DIV/0!</v>
      </c>
      <c r="BL17" s="196" t="e">
        <f>'MLK1-4'!AH16</f>
        <v>#DIV/0!</v>
      </c>
      <c r="BM17" s="195" t="str">
        <f>'MLK1-4'!AM16</f>
        <v xml:space="preserve"> </v>
      </c>
      <c r="BN17" s="196" t="e">
        <f>'MLK2-4'!AG16</f>
        <v>#DIV/0!</v>
      </c>
      <c r="BO17" s="196" t="e">
        <f>'MLK2-4'!AH16</f>
        <v>#DIV/0!</v>
      </c>
      <c r="BP17" s="195" t="str">
        <f>'MLK2-4'!AM16</f>
        <v xml:space="preserve"> </v>
      </c>
      <c r="BQ17" s="196" t="e">
        <f>'MLK3-4'!AG16</f>
        <v>#DIV/0!</v>
      </c>
      <c r="BR17" s="196" t="e">
        <f>'MLK3-4'!AH16</f>
        <v>#DIV/0!</v>
      </c>
      <c r="BS17" s="195" t="str">
        <f>'MLK3-4'!AM16</f>
        <v xml:space="preserve"> </v>
      </c>
    </row>
    <row r="18" spans="1:71" ht="129.94999999999999" customHeight="1">
      <c r="A18" s="191">
        <v>13</v>
      </c>
      <c r="B18" s="191">
        <f>SISWA!B18</f>
        <v>0</v>
      </c>
      <c r="C18" s="192" t="str">
        <f>SISWA!C18</f>
        <v>Anak 13</v>
      </c>
      <c r="D18" s="193" t="str">
        <f>SPIRIT!Q17</f>
        <v xml:space="preserve">Ananda Anak 13 baik dalam  ketaatan beribadah,  berperilaku syukur,  berdoa sebelum dan sesudah melakukan kegiatan,  toleransi dalam beribadah, </v>
      </c>
      <c r="E18" s="193" t="str">
        <f>SOSIAL!W17</f>
        <v xml:space="preserve">Ananda Anak 13 baik dalam sikap jujur, disiplin, tanggung jawab, santun, peduli, percaya diri, kerja sama, </v>
      </c>
      <c r="F18" s="194">
        <f>'PAI3'!DU18</f>
        <v>99</v>
      </c>
      <c r="G18" s="194" t="str">
        <f>'PAI3'!DV18</f>
        <v>A</v>
      </c>
      <c r="H18" s="195" t="str">
        <f>'PAI3'!EA18</f>
        <v>Anak 13 sangat baik  dalam memahami Q.S. al- Falaq dan Q.S. al- Fil dengan baik dan benar</v>
      </c>
      <c r="I18" s="194">
        <f>'PKN3'!AI17</f>
        <v>96</v>
      </c>
      <c r="J18" s="194" t="str">
        <f>'PKN3'!AJ17</f>
        <v>A</v>
      </c>
      <c r="K18" s="193" t="str">
        <f>'PKN3'!AO17</f>
        <v>Anak 13 sangat baik  dalam mengidentifikasi pelaksanaan kewajiban dan hak sebagai warga masyarakat dalam kehidupan sehari-hari., dan  sangat baik  dalam mengidentifikasi berbagai bentuk keragaman suku bangsa, sosial, dan budaya di Indonesia yang terikat persatuan dan kesatuan.</v>
      </c>
      <c r="L18" s="196">
        <f>BIND3!AU17</f>
        <v>97</v>
      </c>
      <c r="M18" s="196" t="str">
        <f>BIND3!AV17</f>
        <v>A</v>
      </c>
      <c r="N18" s="195" t="str">
        <f>BIND3!BA17</f>
        <v>Anak 13 sangat baik  dalam menggali pengetahuan baru yang terdapat pada teks nonfiksi., dan  sangat baik  dalam menggali isi dan amanat puisi yang disajikan secara lisan dan tulis dengan tujuan untuk kesenangan.</v>
      </c>
      <c r="O18" s="196">
        <f>'MTK3'!BC17</f>
        <v>97</v>
      </c>
      <c r="P18" s="196" t="str">
        <f>'MTK3'!BD17</f>
        <v>A</v>
      </c>
      <c r="Q18" s="195" t="str">
        <f>'MTK3'!BI17</f>
        <v>Anak 13 sangat baik  dalam menjelaskan dan melakukan penaksiran dari jumlah, selisih, hasil kali, dan hasil bagi dua bilangan cacah maupun pecahan dan desimal, dan  baik  dalam menjelaskan berbagai bentuk pecahan (biasa, campuran, desimal, dan persen) dan hubungan di antaranya</v>
      </c>
      <c r="R18" s="196">
        <f>'IPA3'!AM17</f>
        <v>99</v>
      </c>
      <c r="S18" s="196" t="str">
        <f>'IPA3'!AN17</f>
        <v>A</v>
      </c>
      <c r="T18" s="195" t="str">
        <f>'IPA3'!AS17</f>
        <v>Anak 13 sangat baik  dalam membandingkan siklus hidup beberapa jenis makhluk hidup serta mengaitkan dengan upaya pelestariannya.</v>
      </c>
      <c r="U18" s="196">
        <f>'IPS3'!AN17</f>
        <v>99</v>
      </c>
      <c r="V18" s="196" t="str">
        <f>'IPS3'!AO17</f>
        <v>A</v>
      </c>
      <c r="W18" s="195" t="str">
        <f>'IPS3'!AT17</f>
        <v>Anak 13 sangat baik  dalam mengidentifikasi karakteristik ruang dan pemanfaatan sumberdaya alam untuk kesejahteraan masyarakat dari tingkatkota/kabupaten sampai tingkat provinsi.</v>
      </c>
      <c r="X18" s="196">
        <f>SBDP3!AN17</f>
        <v>99</v>
      </c>
      <c r="Y18" s="196" t="str">
        <f>SBDP3!AO17</f>
        <v>A</v>
      </c>
      <c r="Z18" s="195" t="str">
        <f>SBDP3!AT17</f>
        <v>Anak 13 sangat baik  dalam mengetahui gambar dan bentuk tiga dimensi.</v>
      </c>
      <c r="AA18" s="196">
        <f>PJOK3!AV17</f>
        <v>95</v>
      </c>
      <c r="AB18" s="196" t="str">
        <f>PJOK3!AW17</f>
        <v>A</v>
      </c>
      <c r="AC18" s="195" t="str">
        <f>PJOK3!BB17</f>
        <v>Anak 13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18" s="196">
        <f>'MLK1-3'!AT17</f>
        <v>91</v>
      </c>
      <c r="AE18" s="196" t="str">
        <f>'MLK1-3'!AU17</f>
        <v>A</v>
      </c>
      <c r="AF18" s="197" t="str">
        <f>'MLK1-3'!AZ17</f>
        <v>Anak 13 sangat baik  dalam mengenal dan memahmi teks tembang dolanan, dan  baik  dalam mengenal dan memahami sandhangan aksara Jawa.</v>
      </c>
      <c r="AG18" s="196">
        <f>'MLK2-3'!AP17</f>
        <v>93</v>
      </c>
      <c r="AH18" s="196" t="str">
        <f>'MLK2-3'!AQ17</f>
        <v>A</v>
      </c>
      <c r="AI18" s="195" t="str">
        <f>'MLK2-3'!AV17</f>
        <v>Anak 13 sangat baik  dalam mengenal dan mengidentifikasi benda-benda di dapur dan nama-nama bunga, dan  baik  dalam memahami penggunaan kalimat yang menunjukkan letak suatu tempat</v>
      </c>
      <c r="AJ18" s="196">
        <f>'MLK3-3'!AP17</f>
        <v>89</v>
      </c>
      <c r="AK18" s="196" t="str">
        <f>'MLK3-3'!AQ17</f>
        <v>B</v>
      </c>
      <c r="AL18" s="197" t="str">
        <f>'MLK3-3'!AV17</f>
        <v>Anak 13 sangat baik  dalam mengenal dan memahami penggunaan microsoft  word., dan  baik  dalam memahami pembuatan dokumen di microsoft  word</v>
      </c>
      <c r="AM18" s="196" t="e">
        <f>'PAI4'!CI18</f>
        <v>#DIV/0!</v>
      </c>
      <c r="AN18" s="196" t="e">
        <f>'PAI4'!CJ18</f>
        <v>#DIV/0!</v>
      </c>
      <c r="AO18" s="197" t="str">
        <f>'PAI4'!CO18</f>
        <v xml:space="preserve"> </v>
      </c>
      <c r="AP18" s="196" t="e">
        <f>'PKN4'!AD17</f>
        <v>#DIV/0!</v>
      </c>
      <c r="AQ18" s="196" t="e">
        <f>'PKN4'!AE17</f>
        <v>#DIV/0!</v>
      </c>
      <c r="AR18" s="195" t="str">
        <f>'PKN4'!AJ17</f>
        <v xml:space="preserve"> </v>
      </c>
      <c r="AS18" s="196" t="e">
        <f>BIND4!AP17</f>
        <v>#DIV/0!</v>
      </c>
      <c r="AT18" s="196" t="e">
        <f>BIND4!AQ17</f>
        <v>#DIV/0!</v>
      </c>
      <c r="AU18" s="195" t="str">
        <f>BIND4!AV17</f>
        <v xml:space="preserve"> </v>
      </c>
      <c r="AV18" s="196" t="e">
        <f>'MTK4'!AP17</f>
        <v>#DIV/0!</v>
      </c>
      <c r="AW18" s="196" t="e">
        <f>'MTK4'!AQ17</f>
        <v>#DIV/0!</v>
      </c>
      <c r="AX18" s="195" t="str">
        <f>'MTK4'!AV17</f>
        <v xml:space="preserve"> </v>
      </c>
      <c r="AY18" s="196" t="e">
        <f>'IPA4'!AJ17</f>
        <v>#DIV/0!</v>
      </c>
      <c r="AZ18" s="196" t="e">
        <f>'IPA4'!AK17</f>
        <v>#DIV/0!</v>
      </c>
      <c r="BA18" s="195" t="str">
        <f>'IPA4'!AP17</f>
        <v xml:space="preserve"> </v>
      </c>
      <c r="BB18" s="196" t="e">
        <f>'IPS4'!AG17</f>
        <v>#DIV/0!</v>
      </c>
      <c r="BC18" s="196" t="e">
        <f>'IPS4'!AH17</f>
        <v>#DIV/0!</v>
      </c>
      <c r="BD18" s="195" t="str">
        <f>'IPS4'!AM17</f>
        <v xml:space="preserve"> </v>
      </c>
      <c r="BE18" s="196" t="e">
        <f>SBDP4!AG17</f>
        <v>#DIV/0!</v>
      </c>
      <c r="BF18" s="196" t="e">
        <f>SBDP4!AH17</f>
        <v>#DIV/0!</v>
      </c>
      <c r="BG18" s="195" t="str">
        <f>SBDP4!AM17</f>
        <v xml:space="preserve"> </v>
      </c>
      <c r="BH18" s="196" t="e">
        <f>PJOK4!AJ17</f>
        <v>#DIV/0!</v>
      </c>
      <c r="BI18" s="196" t="e">
        <f>PJOK4!AK17</f>
        <v>#DIV/0!</v>
      </c>
      <c r="BJ18" s="197" t="str">
        <f>PJOK4!AP17</f>
        <v xml:space="preserve"> </v>
      </c>
      <c r="BK18" s="196" t="e">
        <f>'MLK1-4'!AG17</f>
        <v>#DIV/0!</v>
      </c>
      <c r="BL18" s="196" t="e">
        <f>'MLK1-4'!AH17</f>
        <v>#DIV/0!</v>
      </c>
      <c r="BM18" s="195" t="str">
        <f>'MLK1-4'!AM17</f>
        <v xml:space="preserve"> </v>
      </c>
      <c r="BN18" s="196" t="e">
        <f>'MLK2-4'!AG17</f>
        <v>#DIV/0!</v>
      </c>
      <c r="BO18" s="196" t="e">
        <f>'MLK2-4'!AH17</f>
        <v>#DIV/0!</v>
      </c>
      <c r="BP18" s="195" t="str">
        <f>'MLK2-4'!AM17</f>
        <v xml:space="preserve"> </v>
      </c>
      <c r="BQ18" s="196" t="e">
        <f>'MLK3-4'!AG17</f>
        <v>#DIV/0!</v>
      </c>
      <c r="BR18" s="196" t="e">
        <f>'MLK3-4'!AH17</f>
        <v>#DIV/0!</v>
      </c>
      <c r="BS18" s="195" t="str">
        <f>'MLK3-4'!AM17</f>
        <v xml:space="preserve"> </v>
      </c>
    </row>
    <row r="19" spans="1:71" ht="129.94999999999999" customHeight="1">
      <c r="A19" s="191">
        <v>14</v>
      </c>
      <c r="B19" s="191">
        <f>SISWA!B19</f>
        <v>0</v>
      </c>
      <c r="C19" s="192" t="str">
        <f>SISWA!C19</f>
        <v>Anak 14</v>
      </c>
      <c r="D19" s="193" t="str">
        <f>SPIRIT!Q18</f>
        <v xml:space="preserve">Ananda Anak 14 baik dalam  ketaatan beribadah,  berperilaku syukur,  berdoa sebelum dan sesudah melakukan kegiatan,  toleransi dalam beribadah, </v>
      </c>
      <c r="E19" s="193" t="str">
        <f>SOSIAL!W18</f>
        <v xml:space="preserve">Ananda Anak 14 baik dalam sikap jujur, disiplin, tanggung jawab, santun, peduli, percaya diri, kerja sama, </v>
      </c>
      <c r="F19" s="194">
        <f>'PAI3'!DU19</f>
        <v>99</v>
      </c>
      <c r="G19" s="194" t="str">
        <f>'PAI3'!DV19</f>
        <v>A</v>
      </c>
      <c r="H19" s="195" t="str">
        <f>'PAI3'!EA19</f>
        <v>Anak 14 sangat baik  dalam memahami Q.S. al- Falaq dan Q.S. al- Fil dengan baik dan benar</v>
      </c>
      <c r="I19" s="194">
        <f>'PKN3'!AI18</f>
        <v>95</v>
      </c>
      <c r="J19" s="194" t="str">
        <f>'PKN3'!AJ18</f>
        <v>A</v>
      </c>
      <c r="K19" s="193" t="str">
        <f>'PKN3'!AO18</f>
        <v>Anak 14 sangat baik  dalam mengidentifikasi pelaksanaan kewajiban dan hak sebagai warga masyarakat dalam kehidupan sehari-hari., dan  sangat baik  dalam menjelaskan manfaat keberagaman karakteristik individu dalam kehidupan sehari-hari.</v>
      </c>
      <c r="L19" s="196">
        <f>BIND3!AU18</f>
        <v>96</v>
      </c>
      <c r="M19" s="196" t="str">
        <f>BIND3!AV18</f>
        <v>A</v>
      </c>
      <c r="N19" s="195" t="str">
        <f>BIND3!BA18</f>
        <v>Anak 14 sangat baik  dalam menggali pengetahuan baru yang terdapat pada teks nonfiksi., dan  sangat baik  dalam menggali informasi dari seorang tokoh melalui wawancara menggunakan daftar pertanyaan.</v>
      </c>
      <c r="O19" s="196">
        <f>'MTK3'!BC18</f>
        <v>96</v>
      </c>
      <c r="P19" s="196" t="str">
        <f>'MTK3'!BD18</f>
        <v>A</v>
      </c>
      <c r="Q19" s="195" t="str">
        <f>'MTK3'!BI18</f>
        <v>Anak 14 sangat baik  dalam menjelaskan dan melakukan penaksiran dari jumlah, selisih, hasil kali, dan hasil bagi dua bilangan cacah maupun pecahan dan desimal, dan  baik  dalam menjelaskan berbagai bentuk pecahan (biasa, campuran, desimal, dan persen) dan hubungan di antaranya</v>
      </c>
      <c r="R19" s="196">
        <f>'IPA3'!AM18</f>
        <v>99</v>
      </c>
      <c r="S19" s="196" t="str">
        <f>'IPA3'!AN18</f>
        <v>A</v>
      </c>
      <c r="T19" s="195" t="str">
        <f>'IPA3'!AS18</f>
        <v>Anak 14 sangat baik  dalam membandingkan siklus hidup beberapa jenis makhluk hidup serta mengaitkan dengan upaya pelestariannya.</v>
      </c>
      <c r="U19" s="196">
        <f>'IPS3'!AN18</f>
        <v>99</v>
      </c>
      <c r="V19" s="196" t="str">
        <f>'IPS3'!AO18</f>
        <v>A</v>
      </c>
      <c r="W19" s="195" t="str">
        <f>'IPS3'!AT18</f>
        <v>Anak 14 sangat baik  dalam mengidentifikasi karakteristik ruang dan pemanfaatan sumberdaya alam untuk kesejahteraan masyarakat dari tingkatkota/kabupaten sampai tingkat provinsi.</v>
      </c>
      <c r="X19" s="196">
        <f>SBDP3!AN18</f>
        <v>99</v>
      </c>
      <c r="Y19" s="196" t="str">
        <f>SBDP3!AO18</f>
        <v>A</v>
      </c>
      <c r="Z19" s="195" t="str">
        <f>SBDP3!AT18</f>
        <v>Anak 14 sangat baik  dalam mengetahui gambar dan bentuk tiga dimensi.</v>
      </c>
      <c r="AA19" s="196">
        <f>PJOK3!AV18</f>
        <v>94</v>
      </c>
      <c r="AB19" s="196" t="str">
        <f>PJOK3!AW18</f>
        <v>A</v>
      </c>
      <c r="AC19" s="195" t="str">
        <f>PJOK3!BB18</f>
        <v>Anak 14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9" s="196">
        <f>'MLK1-3'!AT18</f>
        <v>90</v>
      </c>
      <c r="AE19" s="196" t="str">
        <f>'MLK1-3'!AU18</f>
        <v>B</v>
      </c>
      <c r="AF19" s="197" t="str">
        <f>'MLK1-3'!AZ18</f>
        <v>Anak 14 sangat baik  dalam mengenal, memahami, dan mengidentifikasi kata berimbuhan dalam teks sesuai kaidah, dan  baik  dalam mengenal dan memahami sandhangan aksara Jawa.</v>
      </c>
      <c r="AG19" s="196">
        <f>'MLK2-3'!AP18</f>
        <v>92</v>
      </c>
      <c r="AH19" s="196" t="str">
        <f>'MLK2-3'!AQ18</f>
        <v>A</v>
      </c>
      <c r="AI19" s="195" t="str">
        <f>'MLK2-3'!AV18</f>
        <v>Anak 14 sangat baik  dalam mengenal dan mengidentifikasi benda-benda di dapur dan nama-nama bunga, dan  baik  dalam memahami penggunaan kalimat yang menunjukkan letak suatu tempat</v>
      </c>
      <c r="AJ19" s="196">
        <f>'MLK3-3'!AP18</f>
        <v>88</v>
      </c>
      <c r="AK19" s="196" t="str">
        <f>'MLK3-3'!AQ18</f>
        <v>B</v>
      </c>
      <c r="AL19" s="197" t="str">
        <f>'MLK3-3'!AV18</f>
        <v>Anak 14 baik  dalam memahami pembuatan dokumen di microsoft  word, dan  baik  dalam mengenal dan memahami penggunaan microsoft  word.</v>
      </c>
      <c r="AM19" s="196" t="e">
        <f>'PAI4'!CI19</f>
        <v>#DIV/0!</v>
      </c>
      <c r="AN19" s="196" t="e">
        <f>'PAI4'!CJ19</f>
        <v>#DIV/0!</v>
      </c>
      <c r="AO19" s="197" t="str">
        <f>'PAI4'!CO19</f>
        <v xml:space="preserve"> </v>
      </c>
      <c r="AP19" s="196" t="e">
        <f>'PKN4'!AD18</f>
        <v>#DIV/0!</v>
      </c>
      <c r="AQ19" s="196" t="e">
        <f>'PKN4'!AE18</f>
        <v>#DIV/0!</v>
      </c>
      <c r="AR19" s="195" t="str">
        <f>'PKN4'!AJ18</f>
        <v xml:space="preserve"> </v>
      </c>
      <c r="AS19" s="196" t="e">
        <f>BIND4!AP18</f>
        <v>#DIV/0!</v>
      </c>
      <c r="AT19" s="196" t="e">
        <f>BIND4!AQ18</f>
        <v>#DIV/0!</v>
      </c>
      <c r="AU19" s="195" t="str">
        <f>BIND4!AV18</f>
        <v xml:space="preserve"> </v>
      </c>
      <c r="AV19" s="196" t="e">
        <f>'MTK4'!AP18</f>
        <v>#DIV/0!</v>
      </c>
      <c r="AW19" s="196" t="e">
        <f>'MTK4'!AQ18</f>
        <v>#DIV/0!</v>
      </c>
      <c r="AX19" s="195" t="str">
        <f>'MTK4'!AV18</f>
        <v xml:space="preserve"> </v>
      </c>
      <c r="AY19" s="196" t="e">
        <f>'IPA4'!AJ18</f>
        <v>#DIV/0!</v>
      </c>
      <c r="AZ19" s="196" t="e">
        <f>'IPA4'!AK18</f>
        <v>#DIV/0!</v>
      </c>
      <c r="BA19" s="195" t="str">
        <f>'IPA4'!AP18</f>
        <v xml:space="preserve"> </v>
      </c>
      <c r="BB19" s="196" t="e">
        <f>'IPS4'!AG18</f>
        <v>#DIV/0!</v>
      </c>
      <c r="BC19" s="196" t="e">
        <f>'IPS4'!AH18</f>
        <v>#DIV/0!</v>
      </c>
      <c r="BD19" s="195" t="str">
        <f>'IPS4'!AM18</f>
        <v xml:space="preserve"> </v>
      </c>
      <c r="BE19" s="196" t="e">
        <f>SBDP4!AG18</f>
        <v>#DIV/0!</v>
      </c>
      <c r="BF19" s="196" t="e">
        <f>SBDP4!AH18</f>
        <v>#DIV/0!</v>
      </c>
      <c r="BG19" s="195" t="str">
        <f>SBDP4!AM18</f>
        <v xml:space="preserve"> </v>
      </c>
      <c r="BH19" s="196" t="e">
        <f>PJOK4!AJ18</f>
        <v>#DIV/0!</v>
      </c>
      <c r="BI19" s="196" t="e">
        <f>PJOK4!AK18</f>
        <v>#DIV/0!</v>
      </c>
      <c r="BJ19" s="197" t="str">
        <f>PJOK4!AP18</f>
        <v xml:space="preserve"> </v>
      </c>
      <c r="BK19" s="196" t="e">
        <f>'MLK1-4'!AG18</f>
        <v>#DIV/0!</v>
      </c>
      <c r="BL19" s="196" t="e">
        <f>'MLK1-4'!AH18</f>
        <v>#DIV/0!</v>
      </c>
      <c r="BM19" s="195" t="str">
        <f>'MLK1-4'!AM18</f>
        <v xml:space="preserve"> </v>
      </c>
      <c r="BN19" s="196" t="e">
        <f>'MLK2-4'!AG18</f>
        <v>#DIV/0!</v>
      </c>
      <c r="BO19" s="196" t="e">
        <f>'MLK2-4'!AH18</f>
        <v>#DIV/0!</v>
      </c>
      <c r="BP19" s="195" t="str">
        <f>'MLK2-4'!AM18</f>
        <v xml:space="preserve"> </v>
      </c>
      <c r="BQ19" s="196" t="e">
        <f>'MLK3-4'!AG18</f>
        <v>#DIV/0!</v>
      </c>
      <c r="BR19" s="196" t="e">
        <f>'MLK3-4'!AH18</f>
        <v>#DIV/0!</v>
      </c>
      <c r="BS19" s="195" t="str">
        <f>'MLK3-4'!AM18</f>
        <v xml:space="preserve"> </v>
      </c>
    </row>
    <row r="20" spans="1:71" ht="129.94999999999999" customHeight="1">
      <c r="A20" s="191">
        <v>15</v>
      </c>
      <c r="B20" s="191">
        <f>SISWA!B20</f>
        <v>0</v>
      </c>
      <c r="C20" s="192" t="str">
        <f>SISWA!C20</f>
        <v>Anak 15</v>
      </c>
      <c r="D20" s="193" t="str">
        <f>SPIRIT!Q19</f>
        <v xml:space="preserve">Ananda Anak 15 baik dalam  ketaatan beribadah,  berperilaku syukur,  berdoa sebelum dan sesudah melakukan kegiatan,  toleransi dalam beribadah, </v>
      </c>
      <c r="E20" s="193" t="str">
        <f>SOSIAL!W19</f>
        <v xml:space="preserve">Ananda Anak 15 baik dalam sikap jujur, disiplin, tanggung jawab, santun, peduli, percaya diri, kerja sama, </v>
      </c>
      <c r="F20" s="194">
        <f>'PAI3'!DU20</f>
        <v>99</v>
      </c>
      <c r="G20" s="194" t="str">
        <f>'PAI3'!DV20</f>
        <v>A</v>
      </c>
      <c r="H20" s="195" t="str">
        <f>'PAI3'!EA20</f>
        <v>Anak 15 sangat baik  dalam memahami Q.S. al- Falaq dan Q.S. al- Fil dengan baik dan benar</v>
      </c>
      <c r="I20" s="194">
        <f>'PKN3'!AI19</f>
        <v>96</v>
      </c>
      <c r="J20" s="194" t="str">
        <f>'PKN3'!AJ19</f>
        <v>A</v>
      </c>
      <c r="K20" s="193" t="str">
        <f>'PKN3'!AO19</f>
        <v>Anak 15 sangat baik  dalam mengidentifikasi pelaksanaan kewajiban dan hak sebagai warga masyarakat dalam kehidupan sehari-hari., dan  sangat baik  dalam mengidentifikasi berbagai bentuk keragaman suku bangsa, sosial, dan budaya di Indonesia yang terikat persatuan dan kesatuan.</v>
      </c>
      <c r="L20" s="196">
        <f>BIND3!AU19</f>
        <v>97</v>
      </c>
      <c r="M20" s="196" t="str">
        <f>BIND3!AV19</f>
        <v>A</v>
      </c>
      <c r="N20" s="195" t="str">
        <f>BIND3!BA19</f>
        <v>Anak 15 sangat baik  dalam menggali pengetahuan baru yang terdapat pada teks nonfiksi., dan  sangat baik  dalam menggali informasi dari seorang tokoh melalui wawancara menggunakan daftar pertanyaan.</v>
      </c>
      <c r="O20" s="196">
        <f>'MTK3'!BC19</f>
        <v>97</v>
      </c>
      <c r="P20" s="196" t="str">
        <f>'MTK3'!BD19</f>
        <v>A</v>
      </c>
      <c r="Q20" s="195" t="str">
        <f>'MTK3'!BI19</f>
        <v>Anak 15 sangat baik  dalam menjelaskan dan melakukan penaksiran dari jumlah, selisih, hasil kali, dan hasil bagi dua bilangan cacah maupun pecahan dan desimal, dan  baik  dalam menjelaskan berbagai bentuk pecahan (biasa, campuran, desimal, dan persen) dan hubungan di antaranya</v>
      </c>
      <c r="R20" s="196">
        <f>'IPA3'!AM19</f>
        <v>99</v>
      </c>
      <c r="S20" s="196" t="str">
        <f>'IPA3'!AN19</f>
        <v>A</v>
      </c>
      <c r="T20" s="195" t="str">
        <f>'IPA3'!AS19</f>
        <v>Anak 15 sangat baik  dalam membandingkan siklus hidup beberapa jenis makhluk hidup serta mengaitkan dengan upaya pelestariannya.</v>
      </c>
      <c r="U20" s="196">
        <f>'IPS3'!AN19</f>
        <v>99</v>
      </c>
      <c r="V20" s="196" t="str">
        <f>'IPS3'!AO19</f>
        <v>A</v>
      </c>
      <c r="W20" s="195" t="str">
        <f>'IPS3'!AT19</f>
        <v>Anak 15 sangat baik  dalam mengidentifikasi karakteristik ruang dan pemanfaatan sumberdaya alam untuk kesejahteraan masyarakat dari tingkatkota/kabupaten sampai tingkat provinsi.</v>
      </c>
      <c r="X20" s="196">
        <f>SBDP3!AN19</f>
        <v>99</v>
      </c>
      <c r="Y20" s="196" t="str">
        <f>SBDP3!AO19</f>
        <v>A</v>
      </c>
      <c r="Z20" s="195" t="str">
        <f>SBDP3!AT19</f>
        <v>Anak 15 sangat baik  dalam mengetahui gambar dan bentuk tiga dimensi.</v>
      </c>
      <c r="AA20" s="196">
        <f>PJOK3!AV19</f>
        <v>95</v>
      </c>
      <c r="AB20" s="196" t="str">
        <f>PJOK3!AW19</f>
        <v>A</v>
      </c>
      <c r="AC20" s="195" t="str">
        <f>PJOK3!BB19</f>
        <v>Anak 15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20" s="196">
        <f>'MLK1-3'!AT19</f>
        <v>92</v>
      </c>
      <c r="AE20" s="196" t="str">
        <f>'MLK1-3'!AU19</f>
        <v>A</v>
      </c>
      <c r="AF20" s="197" t="str">
        <f>'MLK1-3'!AZ19</f>
        <v>Anak 15 sangat baik  dalam mengenal dan memahmi teks tembang dolanan, dan  baik  dalam mengenal dan memahami sandhangan aksara Jawa.</v>
      </c>
      <c r="AG20" s="196">
        <f>'MLK2-3'!AP19</f>
        <v>93</v>
      </c>
      <c r="AH20" s="196" t="str">
        <f>'MLK2-3'!AQ19</f>
        <v>A</v>
      </c>
      <c r="AI20" s="195" t="str">
        <f>'MLK2-3'!AV19</f>
        <v>Anak 15 sangat baik  dalam mengenal dan mengidentifikasi benda-benda di dapur dan nama-nama bunga, dan  baik  dalam memahami penggunaan kalimat yang menunjukkan letak suatu tempat</v>
      </c>
      <c r="AJ20" s="196">
        <f>'MLK3-3'!AP19</f>
        <v>89</v>
      </c>
      <c r="AK20" s="196" t="str">
        <f>'MLK3-3'!AQ19</f>
        <v>B</v>
      </c>
      <c r="AL20" s="197" t="str">
        <f>'MLK3-3'!AV19</f>
        <v>Anak 15 baik  dalam mengenal dan memahami penggunaan microsoft  word., dan  baik  dalam memahami pembuatan dokumen di microsoft  word</v>
      </c>
      <c r="AM20" s="196" t="e">
        <f>'PAI4'!CI20</f>
        <v>#DIV/0!</v>
      </c>
      <c r="AN20" s="196" t="e">
        <f>'PAI4'!CJ20</f>
        <v>#DIV/0!</v>
      </c>
      <c r="AO20" s="197" t="str">
        <f>'PAI4'!CO20</f>
        <v xml:space="preserve"> </v>
      </c>
      <c r="AP20" s="196" t="e">
        <f>'PKN4'!AD19</f>
        <v>#DIV/0!</v>
      </c>
      <c r="AQ20" s="196" t="e">
        <f>'PKN4'!AE19</f>
        <v>#DIV/0!</v>
      </c>
      <c r="AR20" s="195" t="str">
        <f>'PKN4'!AJ19</f>
        <v xml:space="preserve"> </v>
      </c>
      <c r="AS20" s="196" t="e">
        <f>BIND4!AP19</f>
        <v>#DIV/0!</v>
      </c>
      <c r="AT20" s="196" t="e">
        <f>BIND4!AQ19</f>
        <v>#DIV/0!</v>
      </c>
      <c r="AU20" s="195" t="str">
        <f>BIND4!AV19</f>
        <v xml:space="preserve"> </v>
      </c>
      <c r="AV20" s="196" t="e">
        <f>'MTK4'!AP19</f>
        <v>#DIV/0!</v>
      </c>
      <c r="AW20" s="196" t="e">
        <f>'MTK4'!AQ19</f>
        <v>#DIV/0!</v>
      </c>
      <c r="AX20" s="195" t="str">
        <f>'MTK4'!AV19</f>
        <v xml:space="preserve"> </v>
      </c>
      <c r="AY20" s="196" t="e">
        <f>'IPA4'!AJ19</f>
        <v>#DIV/0!</v>
      </c>
      <c r="AZ20" s="196" t="e">
        <f>'IPA4'!AK19</f>
        <v>#DIV/0!</v>
      </c>
      <c r="BA20" s="195" t="str">
        <f>'IPA4'!AP19</f>
        <v xml:space="preserve"> </v>
      </c>
      <c r="BB20" s="196" t="e">
        <f>'IPS4'!AG19</f>
        <v>#DIV/0!</v>
      </c>
      <c r="BC20" s="196" t="e">
        <f>'IPS4'!AH19</f>
        <v>#DIV/0!</v>
      </c>
      <c r="BD20" s="195" t="str">
        <f>'IPS4'!AM19</f>
        <v xml:space="preserve"> </v>
      </c>
      <c r="BE20" s="196" t="e">
        <f>SBDP4!AG19</f>
        <v>#DIV/0!</v>
      </c>
      <c r="BF20" s="196" t="e">
        <f>SBDP4!AH19</f>
        <v>#DIV/0!</v>
      </c>
      <c r="BG20" s="195" t="str">
        <f>SBDP4!AM19</f>
        <v xml:space="preserve"> </v>
      </c>
      <c r="BH20" s="196" t="e">
        <f>PJOK4!AJ19</f>
        <v>#DIV/0!</v>
      </c>
      <c r="BI20" s="196" t="e">
        <f>PJOK4!AK19</f>
        <v>#DIV/0!</v>
      </c>
      <c r="BJ20" s="197" t="str">
        <f>PJOK4!AP19</f>
        <v xml:space="preserve"> </v>
      </c>
      <c r="BK20" s="196" t="e">
        <f>'MLK1-4'!AG19</f>
        <v>#DIV/0!</v>
      </c>
      <c r="BL20" s="196" t="e">
        <f>'MLK1-4'!AH19</f>
        <v>#DIV/0!</v>
      </c>
      <c r="BM20" s="195" t="str">
        <f>'MLK1-4'!AM19</f>
        <v xml:space="preserve"> </v>
      </c>
      <c r="BN20" s="196" t="e">
        <f>'MLK2-4'!AG19</f>
        <v>#DIV/0!</v>
      </c>
      <c r="BO20" s="196" t="e">
        <f>'MLK2-4'!AH19</f>
        <v>#DIV/0!</v>
      </c>
      <c r="BP20" s="195" t="str">
        <f>'MLK2-4'!AM19</f>
        <v xml:space="preserve"> </v>
      </c>
      <c r="BQ20" s="196" t="e">
        <f>'MLK3-4'!AG19</f>
        <v>#DIV/0!</v>
      </c>
      <c r="BR20" s="196" t="e">
        <f>'MLK3-4'!AH19</f>
        <v>#DIV/0!</v>
      </c>
      <c r="BS20" s="195" t="str">
        <f>'MLK3-4'!AM19</f>
        <v xml:space="preserve"> </v>
      </c>
    </row>
    <row r="21" spans="1:71" ht="129.94999999999999" customHeight="1">
      <c r="A21" s="191">
        <v>16</v>
      </c>
      <c r="B21" s="191">
        <f>SISWA!B21</f>
        <v>0</v>
      </c>
      <c r="C21" s="192" t="str">
        <f>SISWA!C21</f>
        <v>Anak 16</v>
      </c>
      <c r="D21" s="193" t="str">
        <f>SPIRIT!Q20</f>
        <v xml:space="preserve">Ananda Anak 16 baik dalam  ketaatan beribadah,  berperilaku syukur,  berdoa sebelum dan sesudah melakukan kegiatan,  toleransi dalam beribadah, </v>
      </c>
      <c r="E21" s="193" t="str">
        <f>SOSIAL!W20</f>
        <v xml:space="preserve">Ananda Anak 16 baik dalam sikap jujur, disiplin, tanggung jawab, santun, peduli, percaya diri, kerja sama, </v>
      </c>
      <c r="F21" s="194">
        <f>'PAI3'!DU21</f>
        <v>99</v>
      </c>
      <c r="G21" s="194" t="str">
        <f>'PAI3'!DV21</f>
        <v>A</v>
      </c>
      <c r="H21" s="195" t="str">
        <f>'PAI3'!EA21</f>
        <v>Anak 16 sangat baik  dalam memahami Q.S. al- Falaq dan Q.S. al- Fil dengan baik dan benar</v>
      </c>
      <c r="I21" s="194">
        <f>'PKN3'!AI20</f>
        <v>96</v>
      </c>
      <c r="J21" s="194" t="str">
        <f>'PKN3'!AJ20</f>
        <v>A</v>
      </c>
      <c r="K21" s="193" t="str">
        <f>'PKN3'!AO20</f>
        <v>Anak 16 sangat baik  dalam mengidentifikasi pelaksanaan kewajiban dan hak sebagai warga masyarakat dalam kehidupan sehari-hari., dan  sangat baik  dalam menjelaskan manfaat keberagaman karakteristik individu dalam kehidupan sehari-hari.</v>
      </c>
      <c r="L21" s="196">
        <f>BIND3!AU20</f>
        <v>97</v>
      </c>
      <c r="M21" s="196" t="str">
        <f>BIND3!AV20</f>
        <v>A</v>
      </c>
      <c r="N21" s="195" t="str">
        <f>BIND3!BA20</f>
        <v>Anak 16 sangat baik  dalam menggali pengetahuan baru yang terdapat pada teks nonfiksi., dan  sangat baik  dalam menggali informasi dari seorang tokoh melalui wawancara menggunakan daftar pertanyaan.</v>
      </c>
      <c r="O21" s="196">
        <f>'MTK3'!BC20</f>
        <v>97</v>
      </c>
      <c r="P21" s="196" t="str">
        <f>'MTK3'!BD20</f>
        <v>A</v>
      </c>
      <c r="Q21" s="195" t="str">
        <f>'MTK3'!BI20</f>
        <v>Anak 16 sangat baik  dalam menjelaskan dan melakukan penaksiran dari jumlah, selisih, hasil kali, dan hasil bagi dua bilangan cacah maupun pecahan dan desimal, dan  baik  dalam menjelaskan berbagai bentuk pecahan (biasa, campuran, desimal, dan persen) dan hubungan di antaranya</v>
      </c>
      <c r="R21" s="196">
        <f>'IPA3'!AM20</f>
        <v>99</v>
      </c>
      <c r="S21" s="196" t="str">
        <f>'IPA3'!AN20</f>
        <v>A</v>
      </c>
      <c r="T21" s="195" t="str">
        <f>'IPA3'!AS20</f>
        <v>Anak 16 sangat baik  dalam membandingkan siklus hidup beberapa jenis makhluk hidup serta mengaitkan dengan upaya pelestariannya.</v>
      </c>
      <c r="U21" s="196">
        <f>'IPS3'!AN20</f>
        <v>99</v>
      </c>
      <c r="V21" s="196" t="str">
        <f>'IPS3'!AO20</f>
        <v>A</v>
      </c>
      <c r="W21" s="195" t="str">
        <f>'IPS3'!AT20</f>
        <v>Anak 16 sangat baik  dalam mengidentifikasi karakteristik ruang dan pemanfaatan sumberdaya alam untuk kesejahteraan masyarakat dari tingkatkota/kabupaten sampai tingkat provinsi.</v>
      </c>
      <c r="X21" s="196">
        <f>SBDP3!AN20</f>
        <v>99</v>
      </c>
      <c r="Y21" s="196" t="str">
        <f>SBDP3!AO20</f>
        <v>A</v>
      </c>
      <c r="Z21" s="195" t="str">
        <f>SBDP3!AT20</f>
        <v>Anak 16 sangat baik  dalam mengetahui gambar dan bentuk tiga dimensi.</v>
      </c>
      <c r="AA21" s="196">
        <f>PJOK3!AV20</f>
        <v>95</v>
      </c>
      <c r="AB21" s="196" t="str">
        <f>PJOK3!AW20</f>
        <v>A</v>
      </c>
      <c r="AC21" s="195" t="str">
        <f>PJOK3!BB20</f>
        <v>Anak 16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1" s="196">
        <f>'MLK1-3'!AT20</f>
        <v>91</v>
      </c>
      <c r="AE21" s="196" t="str">
        <f>'MLK1-3'!AU20</f>
        <v>A</v>
      </c>
      <c r="AF21" s="197" t="str">
        <f>'MLK1-3'!AZ20</f>
        <v>Anak 16 sangat baik  dalam mengenal dan memahmi teks tembang dolanan, dan  baik  dalam mengenal dan memahami sandhangan aksara Jawa.</v>
      </c>
      <c r="AG21" s="196">
        <f>'MLK2-3'!AP20</f>
        <v>93</v>
      </c>
      <c r="AH21" s="196" t="str">
        <f>'MLK2-3'!AQ20</f>
        <v>A</v>
      </c>
      <c r="AI21" s="195" t="str">
        <f>'MLK2-3'!AV20</f>
        <v>Anak 16 sangat baik  dalam mengenal dan mengidentifikasi benda-benda di dapur dan nama-nama bunga, dan  baik  dalam memahami penggunaan kalimat yang menunjukkan letak suatu tempat</v>
      </c>
      <c r="AJ21" s="196">
        <f>'MLK3-3'!AP20</f>
        <v>89</v>
      </c>
      <c r="AK21" s="196" t="str">
        <f>'MLK3-3'!AQ20</f>
        <v>B</v>
      </c>
      <c r="AL21" s="197" t="str">
        <f>'MLK3-3'!AV20</f>
        <v>Anak 16 baik  dalam mengenal dan memahami penggunaan microsoft  word.</v>
      </c>
      <c r="AM21" s="196" t="e">
        <f>'PAI4'!CI21</f>
        <v>#DIV/0!</v>
      </c>
      <c r="AN21" s="196" t="e">
        <f>'PAI4'!CJ21</f>
        <v>#DIV/0!</v>
      </c>
      <c r="AO21" s="197" t="str">
        <f>'PAI4'!CO21</f>
        <v xml:space="preserve"> </v>
      </c>
      <c r="AP21" s="196" t="e">
        <f>'PKN4'!AD20</f>
        <v>#DIV/0!</v>
      </c>
      <c r="AQ21" s="196" t="e">
        <f>'PKN4'!AE20</f>
        <v>#DIV/0!</v>
      </c>
      <c r="AR21" s="195" t="str">
        <f>'PKN4'!AJ20</f>
        <v xml:space="preserve"> </v>
      </c>
      <c r="AS21" s="196" t="e">
        <f>BIND4!AP20</f>
        <v>#DIV/0!</v>
      </c>
      <c r="AT21" s="196" t="e">
        <f>BIND4!AQ20</f>
        <v>#DIV/0!</v>
      </c>
      <c r="AU21" s="195" t="str">
        <f>BIND4!AV20</f>
        <v xml:space="preserve"> </v>
      </c>
      <c r="AV21" s="196" t="e">
        <f>'MTK4'!AP20</f>
        <v>#DIV/0!</v>
      </c>
      <c r="AW21" s="196" t="e">
        <f>'MTK4'!AQ20</f>
        <v>#DIV/0!</v>
      </c>
      <c r="AX21" s="195" t="str">
        <f>'MTK4'!AV20</f>
        <v xml:space="preserve"> </v>
      </c>
      <c r="AY21" s="196" t="e">
        <f>'IPA4'!AJ20</f>
        <v>#DIV/0!</v>
      </c>
      <c r="AZ21" s="196" t="e">
        <f>'IPA4'!AK20</f>
        <v>#DIV/0!</v>
      </c>
      <c r="BA21" s="195" t="str">
        <f>'IPA4'!AP20</f>
        <v xml:space="preserve"> </v>
      </c>
      <c r="BB21" s="196" t="e">
        <f>'IPS4'!AG20</f>
        <v>#DIV/0!</v>
      </c>
      <c r="BC21" s="196" t="e">
        <f>'IPS4'!AH20</f>
        <v>#DIV/0!</v>
      </c>
      <c r="BD21" s="195" t="str">
        <f>'IPS4'!AM20</f>
        <v xml:space="preserve"> </v>
      </c>
      <c r="BE21" s="196" t="e">
        <f>SBDP4!AG20</f>
        <v>#DIV/0!</v>
      </c>
      <c r="BF21" s="196" t="e">
        <f>SBDP4!AH20</f>
        <v>#DIV/0!</v>
      </c>
      <c r="BG21" s="195" t="str">
        <f>SBDP4!AM20</f>
        <v xml:space="preserve"> </v>
      </c>
      <c r="BH21" s="196" t="e">
        <f>PJOK4!AJ20</f>
        <v>#DIV/0!</v>
      </c>
      <c r="BI21" s="196" t="e">
        <f>PJOK4!AK20</f>
        <v>#DIV/0!</v>
      </c>
      <c r="BJ21" s="197" t="str">
        <f>PJOK4!AP20</f>
        <v xml:space="preserve"> </v>
      </c>
      <c r="BK21" s="196" t="e">
        <f>'MLK1-4'!AG20</f>
        <v>#DIV/0!</v>
      </c>
      <c r="BL21" s="196" t="e">
        <f>'MLK1-4'!AH20</f>
        <v>#DIV/0!</v>
      </c>
      <c r="BM21" s="195" t="str">
        <f>'MLK1-4'!AM20</f>
        <v xml:space="preserve"> </v>
      </c>
      <c r="BN21" s="196" t="e">
        <f>'MLK2-4'!AG20</f>
        <v>#DIV/0!</v>
      </c>
      <c r="BO21" s="196" t="e">
        <f>'MLK2-4'!AH20</f>
        <v>#DIV/0!</v>
      </c>
      <c r="BP21" s="195" t="str">
        <f>'MLK2-4'!AM20</f>
        <v xml:space="preserve"> </v>
      </c>
      <c r="BQ21" s="196" t="e">
        <f>'MLK3-4'!AG20</f>
        <v>#DIV/0!</v>
      </c>
      <c r="BR21" s="196" t="e">
        <f>'MLK3-4'!AH20</f>
        <v>#DIV/0!</v>
      </c>
      <c r="BS21" s="195" t="str">
        <f>'MLK3-4'!AM20</f>
        <v xml:space="preserve"> </v>
      </c>
    </row>
    <row r="22" spans="1:71" ht="129.94999999999999" customHeight="1">
      <c r="A22" s="191">
        <v>17</v>
      </c>
      <c r="B22" s="191">
        <f>SISWA!B22</f>
        <v>0</v>
      </c>
      <c r="C22" s="192" t="str">
        <f>SISWA!C22</f>
        <v>Anak 17</v>
      </c>
      <c r="D22" s="193" t="str">
        <f>SPIRIT!Q21</f>
        <v xml:space="preserve">Ananda Anak 17 baik dalam  ketaatan beribadah,  berperilaku syukur,  berdoa sebelum dan sesudah melakukan kegiatan,  toleransi dalam beribadah, </v>
      </c>
      <c r="E22" s="193" t="str">
        <f>SOSIAL!W21</f>
        <v xml:space="preserve">Ananda Anak 17 baik dalam sikap jujur, disiplin, tanggung jawab, santun, peduli, percaya diri, kerja sama, </v>
      </c>
      <c r="F22" s="194">
        <f>'PAI3'!DU22</f>
        <v>99</v>
      </c>
      <c r="G22" s="194" t="str">
        <f>'PAI3'!DV22</f>
        <v>A</v>
      </c>
      <c r="H22" s="195" t="str">
        <f>'PAI3'!EA22</f>
        <v>Anak 17 sangat baik  dalam memahami Q.S. al- Falaq dan Q.S. al- Fil dengan baik dan benar</v>
      </c>
      <c r="I22" s="194">
        <f>'PKN3'!AI21</f>
        <v>96</v>
      </c>
      <c r="J22" s="194" t="str">
        <f>'PKN3'!AJ21</f>
        <v>A</v>
      </c>
      <c r="K22" s="193" t="str">
        <f>'PKN3'!AO21</f>
        <v>Anak 17 sangat baik  dalam mengidentifikasi pelaksanaan kewajiban dan hak sebagai warga masyarakat dalam kehidupan sehari-hari., dan  sangat baik  dalam menjelaskan manfaat keberagaman karakteristik individu dalam kehidupan sehari-hari.</v>
      </c>
      <c r="L22" s="196">
        <f>BIND3!AU21</f>
        <v>97</v>
      </c>
      <c r="M22" s="196" t="str">
        <f>BIND3!AV21</f>
        <v>A</v>
      </c>
      <c r="N22" s="195" t="str">
        <f>BIND3!BA21</f>
        <v>Anak 17 sangat baik  dalam menggali pengetahuan baru yang terdapat pada teks nonfiksi., dan  sangat baik  dalam menggali informasi dari seorang tokoh melalui wawancara menggunakan daftar pertanyaan.</v>
      </c>
      <c r="O22" s="196">
        <f>'MTK3'!BC21</f>
        <v>97</v>
      </c>
      <c r="P22" s="196" t="str">
        <f>'MTK3'!BD21</f>
        <v>A</v>
      </c>
      <c r="Q22" s="195" t="str">
        <f>'MTK3'!BI21</f>
        <v>Anak 17 sangat baik  dalam menjelaskan dan melakukan penaksiran dari jumlah, selisih, hasil kali, dan hasil bagi dua bilangan cacah maupun pecahan dan desimal, dan  baik  dalam menjelaskan berbagai bentuk pecahan (biasa, campuran, desimal, dan persen) dan hubungan di antaranya</v>
      </c>
      <c r="R22" s="196">
        <f>'IPA3'!AM21</f>
        <v>99</v>
      </c>
      <c r="S22" s="196" t="str">
        <f>'IPA3'!AN21</f>
        <v>A</v>
      </c>
      <c r="T22" s="195" t="str">
        <f>'IPA3'!AS21</f>
        <v>Anak 17 sangat baik  dalam membandingkan siklus hidup beberapa jenis makhluk hidup serta mengaitkan dengan upaya pelestariannya.</v>
      </c>
      <c r="U22" s="196">
        <f>'IPS3'!AN21</f>
        <v>99</v>
      </c>
      <c r="V22" s="196" t="str">
        <f>'IPS3'!AO21</f>
        <v>A</v>
      </c>
      <c r="W22" s="195" t="str">
        <f>'IPS3'!AT21</f>
        <v>Anak 17 sangat baik  dalam mengidentifikasi karakteristik ruang dan pemanfaatan sumberdaya alam untuk kesejahteraan masyarakat dari tingkatkota/kabupaten sampai tingkat provinsi.</v>
      </c>
      <c r="X22" s="196">
        <f>SBDP3!AN21</f>
        <v>99</v>
      </c>
      <c r="Y22" s="196" t="str">
        <f>SBDP3!AO21</f>
        <v>A</v>
      </c>
      <c r="Z22" s="195" t="str">
        <f>SBDP3!AT21</f>
        <v>Anak 17 sangat baik  dalam mengetahui gambar dan bentuk tiga dimensi.</v>
      </c>
      <c r="AA22" s="196">
        <f>PJOK3!AV21</f>
        <v>95</v>
      </c>
      <c r="AB22" s="196" t="str">
        <f>PJOK3!AW21</f>
        <v>A</v>
      </c>
      <c r="AC22" s="195" t="str">
        <f>PJOK3!BB21</f>
        <v>Anak 17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2" s="196">
        <f>'MLK1-3'!AT21</f>
        <v>91</v>
      </c>
      <c r="AE22" s="196" t="str">
        <f>'MLK1-3'!AU21</f>
        <v>A</v>
      </c>
      <c r="AF22" s="197" t="str">
        <f>'MLK1-3'!AZ21</f>
        <v>Anak 17 sangat baik  dalam mengenal dan memahmi teks tembang dolanan, dan  baik  dalam mengenal dan memahami sandhangan aksara Jawa.</v>
      </c>
      <c r="AG22" s="196">
        <f>'MLK2-3'!AP21</f>
        <v>93</v>
      </c>
      <c r="AH22" s="196" t="str">
        <f>'MLK2-3'!AQ21</f>
        <v>A</v>
      </c>
      <c r="AI22" s="195" t="str">
        <f>'MLK2-3'!AV21</f>
        <v>Anak 17 sangat baik  dalam mengenal dan mengidentifikasi benda-benda di dapur dan nama-nama bunga, dan  baik  dalam memahami penggunaan kalimat yang menunjukkan letak suatu tempat</v>
      </c>
      <c r="AJ22" s="196">
        <f>'MLK3-3'!AP21</f>
        <v>89</v>
      </c>
      <c r="AK22" s="196" t="str">
        <f>'MLK3-3'!AQ21</f>
        <v>B</v>
      </c>
      <c r="AL22" s="197" t="str">
        <f>'MLK3-3'!AV21</f>
        <v>Anak 17 baik  dalam mengenal dan memahami penggunaan microsoft  word.</v>
      </c>
      <c r="AM22" s="196" t="e">
        <f>'PAI4'!CI22</f>
        <v>#DIV/0!</v>
      </c>
      <c r="AN22" s="196" t="e">
        <f>'PAI4'!CJ22</f>
        <v>#DIV/0!</v>
      </c>
      <c r="AO22" s="197" t="str">
        <f>'PAI4'!CO22</f>
        <v xml:space="preserve"> </v>
      </c>
      <c r="AP22" s="196" t="e">
        <f>'PKN4'!AD21</f>
        <v>#DIV/0!</v>
      </c>
      <c r="AQ22" s="196" t="e">
        <f>'PKN4'!AE21</f>
        <v>#DIV/0!</v>
      </c>
      <c r="AR22" s="195" t="str">
        <f>'PKN4'!AJ21</f>
        <v xml:space="preserve"> </v>
      </c>
      <c r="AS22" s="196" t="e">
        <f>BIND4!AP21</f>
        <v>#DIV/0!</v>
      </c>
      <c r="AT22" s="196" t="e">
        <f>BIND4!AQ21</f>
        <v>#DIV/0!</v>
      </c>
      <c r="AU22" s="195" t="str">
        <f>BIND4!AV21</f>
        <v xml:space="preserve"> </v>
      </c>
      <c r="AV22" s="196" t="e">
        <f>'MTK4'!AP21</f>
        <v>#DIV/0!</v>
      </c>
      <c r="AW22" s="196" t="e">
        <f>'MTK4'!AQ21</f>
        <v>#DIV/0!</v>
      </c>
      <c r="AX22" s="195" t="str">
        <f>'MTK4'!AV21</f>
        <v xml:space="preserve"> </v>
      </c>
      <c r="AY22" s="196" t="e">
        <f>'IPA4'!AJ21</f>
        <v>#DIV/0!</v>
      </c>
      <c r="AZ22" s="196" t="e">
        <f>'IPA4'!AK21</f>
        <v>#DIV/0!</v>
      </c>
      <c r="BA22" s="195" t="str">
        <f>'IPA4'!AP21</f>
        <v xml:space="preserve"> </v>
      </c>
      <c r="BB22" s="196" t="e">
        <f>'IPS4'!AG21</f>
        <v>#DIV/0!</v>
      </c>
      <c r="BC22" s="196" t="e">
        <f>'IPS4'!AH21</f>
        <v>#DIV/0!</v>
      </c>
      <c r="BD22" s="195" t="str">
        <f>'IPS4'!AM21</f>
        <v xml:space="preserve"> </v>
      </c>
      <c r="BE22" s="196" t="e">
        <f>SBDP4!AG21</f>
        <v>#DIV/0!</v>
      </c>
      <c r="BF22" s="196" t="e">
        <f>SBDP4!AH21</f>
        <v>#DIV/0!</v>
      </c>
      <c r="BG22" s="195" t="str">
        <f>SBDP4!AM21</f>
        <v xml:space="preserve"> </v>
      </c>
      <c r="BH22" s="196" t="e">
        <f>PJOK4!AJ21</f>
        <v>#DIV/0!</v>
      </c>
      <c r="BI22" s="196" t="e">
        <f>PJOK4!AK21</f>
        <v>#DIV/0!</v>
      </c>
      <c r="BJ22" s="197" t="str">
        <f>PJOK4!AP21</f>
        <v xml:space="preserve"> </v>
      </c>
      <c r="BK22" s="196" t="e">
        <f>'MLK1-4'!AG21</f>
        <v>#DIV/0!</v>
      </c>
      <c r="BL22" s="196" t="e">
        <f>'MLK1-4'!AH21</f>
        <v>#DIV/0!</v>
      </c>
      <c r="BM22" s="195" t="str">
        <f>'MLK1-4'!AM21</f>
        <v xml:space="preserve"> </v>
      </c>
      <c r="BN22" s="196" t="e">
        <f>'MLK2-4'!AG21</f>
        <v>#DIV/0!</v>
      </c>
      <c r="BO22" s="196" t="e">
        <f>'MLK2-4'!AH21</f>
        <v>#DIV/0!</v>
      </c>
      <c r="BP22" s="195" t="str">
        <f>'MLK2-4'!AM21</f>
        <v xml:space="preserve"> </v>
      </c>
      <c r="BQ22" s="196" t="e">
        <f>'MLK3-4'!AG21</f>
        <v>#DIV/0!</v>
      </c>
      <c r="BR22" s="196" t="e">
        <f>'MLK3-4'!AH21</f>
        <v>#DIV/0!</v>
      </c>
      <c r="BS22" s="195" t="str">
        <f>'MLK3-4'!AM21</f>
        <v xml:space="preserve"> </v>
      </c>
    </row>
    <row r="23" spans="1:71" ht="129.94999999999999" customHeight="1">
      <c r="A23" s="191">
        <v>18</v>
      </c>
      <c r="B23" s="191">
        <f>SISWA!B23</f>
        <v>0</v>
      </c>
      <c r="C23" s="192" t="str">
        <f>SISWA!C23</f>
        <v>Anak 18</v>
      </c>
      <c r="D23" s="193" t="str">
        <f>SPIRIT!Q22</f>
        <v xml:space="preserve">Ananda Anak 18 baik dalam  ketaatan beribadah,  berperilaku syukur,  berdoa sebelum dan sesudah melakukan kegiatan,  toleransi dalam beribadah, </v>
      </c>
      <c r="E23" s="193" t="str">
        <f>SOSIAL!W22</f>
        <v xml:space="preserve">Ananda Anak 18 baik dalam sikap jujur, disiplin, tanggung jawab, santun, peduli, percaya diri, kerja sama, </v>
      </c>
      <c r="F23" s="194">
        <f>'PAI3'!DU23</f>
        <v>99</v>
      </c>
      <c r="G23" s="194" t="str">
        <f>'PAI3'!DV23</f>
        <v>A</v>
      </c>
      <c r="H23" s="195" t="str">
        <f>'PAI3'!EA23</f>
        <v>Anak 18 sangat baik  dalam memahami Q.S. al- Falaq dan Q.S. al- Fil dengan baik dan benar</v>
      </c>
      <c r="I23" s="194">
        <f>'PKN3'!AI22</f>
        <v>97</v>
      </c>
      <c r="J23" s="194" t="str">
        <f>'PKN3'!AJ22</f>
        <v>A</v>
      </c>
      <c r="K23" s="193" t="str">
        <f>'PKN3'!AO22</f>
        <v>Anak 18 sangat baik  dalam mengidentifikasi pelaksanaan kewajiban dan hak sebagai warga masyarakat dalam kehidupan sehari-hari., dan  sangat baik  dalam menjelaskan manfaat keberagaman karakteristik individu dalam kehidupan sehari-hari.</v>
      </c>
      <c r="L23" s="196">
        <f>BIND3!AU22</f>
        <v>97</v>
      </c>
      <c r="M23" s="196" t="str">
        <f>BIND3!AV22</f>
        <v>A</v>
      </c>
      <c r="N23" s="195" t="str">
        <f>BIND3!BA22</f>
        <v>Anak 18 sangat baik  dalam menggali pengetahuan baru yang terdapat pada teks nonfiksi., dan  sangat baik  dalam menggali informasi dari seorang tokoh melalui wawancara menggunakan daftar pertanyaan.</v>
      </c>
      <c r="O23" s="196">
        <f>'MTK3'!BC22</f>
        <v>97</v>
      </c>
      <c r="P23" s="196" t="str">
        <f>'MTK3'!BD22</f>
        <v>A</v>
      </c>
      <c r="Q23" s="195" t="str">
        <f>'MTK3'!BI22</f>
        <v>Anak 18 sangat baik  dalam menjelaskan dan melakukan penaksiran dari jumlah, selisih, hasil kali, dan hasil bagi dua bilangan cacah maupun pecahan dan desimal, dan  sangat baik  dalam menjelaskan berbagai bentuk pecahan (biasa, campuran, desimal, dan persen) dan hubungan di antaranya</v>
      </c>
      <c r="R23" s="196">
        <f>'IPA3'!AM22</f>
        <v>99</v>
      </c>
      <c r="S23" s="196" t="str">
        <f>'IPA3'!AN22</f>
        <v>A</v>
      </c>
      <c r="T23" s="195" t="str">
        <f>'IPA3'!AS22</f>
        <v>Anak 18 sangat baik  dalam membandingkan siklus hidup beberapa jenis makhluk hidup serta mengaitkan dengan upaya pelestariannya.</v>
      </c>
      <c r="U23" s="196">
        <f>'IPS3'!AN22</f>
        <v>99</v>
      </c>
      <c r="V23" s="196" t="str">
        <f>'IPS3'!AO22</f>
        <v>A</v>
      </c>
      <c r="W23" s="195" t="str">
        <f>'IPS3'!AT22</f>
        <v>Anak 18 sangat baik  dalam mengidentifikasi karakteristik ruang dan pemanfaatan sumberdaya alam untuk kesejahteraan masyarakat dari tingkatkota/kabupaten sampai tingkat provinsi.</v>
      </c>
      <c r="X23" s="196">
        <f>SBDP3!AN22</f>
        <v>99</v>
      </c>
      <c r="Y23" s="196" t="str">
        <f>SBDP3!AO22</f>
        <v>A</v>
      </c>
      <c r="Z23" s="195" t="str">
        <f>SBDP3!AT22</f>
        <v>Anak 18 sangat baik  dalam mengetahui gambar dan bentuk tiga dimensi.</v>
      </c>
      <c r="AA23" s="196">
        <f>PJOK3!AV22</f>
        <v>96</v>
      </c>
      <c r="AB23" s="196" t="str">
        <f>PJOK3!AW22</f>
        <v>A</v>
      </c>
      <c r="AC23" s="195" t="str">
        <f>PJOK3!BB22</f>
        <v>Anak 18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3" s="196">
        <f>'MLK1-3'!AT22</f>
        <v>93</v>
      </c>
      <c r="AE23" s="196" t="str">
        <f>'MLK1-3'!AU22</f>
        <v>A</v>
      </c>
      <c r="AF23" s="197" t="str">
        <f>'MLK1-3'!AZ22</f>
        <v>Anak 18 sangat baik  dalam mengenal, memahami, dan mengidentifikasi kata berimbuhan dalam teks sesuai kaidah, dan  sangat baik  dalam mengenal dan memahami sandhangan aksara Jawa.</v>
      </c>
      <c r="AG23" s="196">
        <f>'MLK2-3'!AP22</f>
        <v>95</v>
      </c>
      <c r="AH23" s="196" t="str">
        <f>'MLK2-3'!AQ22</f>
        <v>A</v>
      </c>
      <c r="AI23" s="195" t="str">
        <f>'MLK2-3'!AV22</f>
        <v>Anak 18 sangat baik  dalam mengenal dan mengidentifikasi benda-benda di dapur dan nama-nama bunga, dan  sangat baik  dalam memahami penggunaan kalimat yang menunjukkan letak suatu tempat</v>
      </c>
      <c r="AJ23" s="196">
        <f>'MLK3-3'!AP22</f>
        <v>92</v>
      </c>
      <c r="AK23" s="196" t="str">
        <f>'MLK3-3'!AQ22</f>
        <v>A</v>
      </c>
      <c r="AL23" s="197" t="str">
        <f>'MLK3-3'!AV22</f>
        <v>Anak 18 sangat baik  dalam memahami pembuatan dokumen di microsoft  word, dan  baik  dalam mengenal dan memahami penggunaan microsoft  word.</v>
      </c>
      <c r="AM23" s="196" t="e">
        <f>'PAI4'!CI23</f>
        <v>#DIV/0!</v>
      </c>
      <c r="AN23" s="196" t="e">
        <f>'PAI4'!CJ23</f>
        <v>#DIV/0!</v>
      </c>
      <c r="AO23" s="197" t="str">
        <f>'PAI4'!CO23</f>
        <v xml:space="preserve"> </v>
      </c>
      <c r="AP23" s="196" t="e">
        <f>'PKN4'!AD22</f>
        <v>#DIV/0!</v>
      </c>
      <c r="AQ23" s="196" t="e">
        <f>'PKN4'!AE22</f>
        <v>#DIV/0!</v>
      </c>
      <c r="AR23" s="195" t="str">
        <f>'PKN4'!AJ22</f>
        <v xml:space="preserve"> </v>
      </c>
      <c r="AS23" s="196" t="e">
        <f>BIND4!AP22</f>
        <v>#DIV/0!</v>
      </c>
      <c r="AT23" s="196" t="e">
        <f>BIND4!AQ22</f>
        <v>#DIV/0!</v>
      </c>
      <c r="AU23" s="195" t="str">
        <f>BIND4!AV22</f>
        <v xml:space="preserve"> </v>
      </c>
      <c r="AV23" s="196" t="e">
        <f>'MTK4'!AP22</f>
        <v>#DIV/0!</v>
      </c>
      <c r="AW23" s="196" t="e">
        <f>'MTK4'!AQ22</f>
        <v>#DIV/0!</v>
      </c>
      <c r="AX23" s="195" t="str">
        <f>'MTK4'!AV22</f>
        <v xml:space="preserve"> </v>
      </c>
      <c r="AY23" s="196" t="e">
        <f>'IPA4'!AJ22</f>
        <v>#DIV/0!</v>
      </c>
      <c r="AZ23" s="196" t="e">
        <f>'IPA4'!AK22</f>
        <v>#DIV/0!</v>
      </c>
      <c r="BA23" s="195" t="str">
        <f>'IPA4'!AP22</f>
        <v xml:space="preserve"> </v>
      </c>
      <c r="BB23" s="196" t="e">
        <f>'IPS4'!AG22</f>
        <v>#DIV/0!</v>
      </c>
      <c r="BC23" s="196" t="e">
        <f>'IPS4'!AH22</f>
        <v>#DIV/0!</v>
      </c>
      <c r="BD23" s="195" t="str">
        <f>'IPS4'!AM22</f>
        <v xml:space="preserve"> </v>
      </c>
      <c r="BE23" s="196" t="e">
        <f>SBDP4!AG22</f>
        <v>#DIV/0!</v>
      </c>
      <c r="BF23" s="196" t="e">
        <f>SBDP4!AH22</f>
        <v>#DIV/0!</v>
      </c>
      <c r="BG23" s="195" t="str">
        <f>SBDP4!AM22</f>
        <v xml:space="preserve"> </v>
      </c>
      <c r="BH23" s="196" t="e">
        <f>PJOK4!AJ22</f>
        <v>#DIV/0!</v>
      </c>
      <c r="BI23" s="196" t="e">
        <f>PJOK4!AK22</f>
        <v>#DIV/0!</v>
      </c>
      <c r="BJ23" s="197" t="str">
        <f>PJOK4!AP22</f>
        <v xml:space="preserve"> </v>
      </c>
      <c r="BK23" s="196" t="e">
        <f>'MLK1-4'!AG22</f>
        <v>#DIV/0!</v>
      </c>
      <c r="BL23" s="196" t="e">
        <f>'MLK1-4'!AH22</f>
        <v>#DIV/0!</v>
      </c>
      <c r="BM23" s="195" t="str">
        <f>'MLK1-4'!AM22</f>
        <v xml:space="preserve"> </v>
      </c>
      <c r="BN23" s="196" t="e">
        <f>'MLK2-4'!AG22</f>
        <v>#DIV/0!</v>
      </c>
      <c r="BO23" s="196" t="e">
        <f>'MLK2-4'!AH22</f>
        <v>#DIV/0!</v>
      </c>
      <c r="BP23" s="195" t="str">
        <f>'MLK2-4'!AM22</f>
        <v xml:space="preserve"> </v>
      </c>
      <c r="BQ23" s="196" t="e">
        <f>'MLK3-4'!AG22</f>
        <v>#DIV/0!</v>
      </c>
      <c r="BR23" s="196" t="e">
        <f>'MLK3-4'!AH22</f>
        <v>#DIV/0!</v>
      </c>
      <c r="BS23" s="195" t="str">
        <f>'MLK3-4'!AM22</f>
        <v xml:space="preserve"> </v>
      </c>
    </row>
    <row r="24" spans="1:71" ht="129.94999999999999" customHeight="1">
      <c r="A24" s="191">
        <v>19</v>
      </c>
      <c r="B24" s="191">
        <f>SISWA!B24</f>
        <v>0</v>
      </c>
      <c r="C24" s="192" t="str">
        <f>SISWA!C24</f>
        <v>Anak 19</v>
      </c>
      <c r="D24" s="193" t="str">
        <f>SPIRIT!Q23</f>
        <v xml:space="preserve">Ananda Anak 19 baik dalam  ketaatan beribadah,  berperilaku syukur,  berdoa sebelum dan sesudah melakukan kegiatan,  toleransi dalam beribadah, </v>
      </c>
      <c r="E24" s="193" t="str">
        <f>SOSIAL!W23</f>
        <v xml:space="preserve">Ananda Anak 19 baik dalam sikap jujur, disiplin, tanggung jawab, santun, peduli, percaya diri, kerja sama, </v>
      </c>
      <c r="F24" s="194">
        <f>'PAI3'!DU24</f>
        <v>99</v>
      </c>
      <c r="G24" s="194" t="str">
        <f>'PAI3'!DV24</f>
        <v>A</v>
      </c>
      <c r="H24" s="195" t="str">
        <f>'PAI3'!EA24</f>
        <v>Anak 19 sangat baik  dalam memahami Q.S. al- Falaq dan Q.S. al- Fil dengan baik dan benar</v>
      </c>
      <c r="I24" s="194">
        <f>'PKN3'!AI23</f>
        <v>97</v>
      </c>
      <c r="J24" s="194" t="str">
        <f>'PKN3'!AJ23</f>
        <v>A</v>
      </c>
      <c r="K24" s="193" t="str">
        <f>'PKN3'!AO23</f>
        <v>Anak 19 sangat baik  dalam mengidentifikasi pelaksanaan kewajiban dan hak sebagai warga masyarakat dalam kehidupan sehari-hari., dan  sangat baik  dalam mengidentifikasi berbagai bentuk keragaman suku bangsa, sosial, dan budaya di Indonesia yang terikat persatuan dan kesatuan.</v>
      </c>
      <c r="L24" s="196">
        <f>BIND3!AU23</f>
        <v>97</v>
      </c>
      <c r="M24" s="196" t="str">
        <f>BIND3!AV23</f>
        <v>A</v>
      </c>
      <c r="N24" s="195" t="str">
        <f>BIND3!BA23</f>
        <v>Anak 19 sangat baik  dalam menggali pengetahuan baru yang terdapat pada teks nonfiksi., dan  sangat baik  dalam menggali isi dan amanat puisi yang disajikan secara lisan dan tulis dengan tujuan untuk kesenangan.</v>
      </c>
      <c r="O24" s="196">
        <f>'MTK3'!BC23</f>
        <v>98</v>
      </c>
      <c r="P24" s="196" t="str">
        <f>'MTK3'!BD23</f>
        <v>A</v>
      </c>
      <c r="Q24" s="195" t="str">
        <f>'MTK3'!BI23</f>
        <v>Anak 19 sangat baik  dalam menjelaskan dan melakukan penaksiran dari jumlah, selisih, hasil kali, dan hasil bagi dua bilangan cacah maupun pecahan dan desimal, dan  sangat baik  dalam menjelaskan berbagai bentuk pecahan (biasa, campuran, desimal, dan persen) dan hubungan di antaranya</v>
      </c>
      <c r="R24" s="196">
        <f>'IPA3'!AM23</f>
        <v>99</v>
      </c>
      <c r="S24" s="196" t="str">
        <f>'IPA3'!AN23</f>
        <v>A</v>
      </c>
      <c r="T24" s="195" t="str">
        <f>'IPA3'!AS23</f>
        <v>Anak 19 sangat baik  dalam membandingkan siklus hidup beberapa jenis makhluk hidup serta mengaitkan dengan upaya pelestariannya.</v>
      </c>
      <c r="U24" s="196">
        <f>'IPS3'!AN23</f>
        <v>99</v>
      </c>
      <c r="V24" s="196" t="str">
        <f>'IPS3'!AO23</f>
        <v>A</v>
      </c>
      <c r="W24" s="195" t="str">
        <f>'IPS3'!AT23</f>
        <v>Anak 19 sangat baik  dalam mengidentifikasi karakteristik ruang dan pemanfaatan sumberdaya alam untuk kesejahteraan masyarakat dari tingkatkota/kabupaten sampai tingkat provinsi.</v>
      </c>
      <c r="X24" s="196">
        <f>SBDP3!AN23</f>
        <v>99</v>
      </c>
      <c r="Y24" s="196" t="str">
        <f>SBDP3!AO23</f>
        <v>A</v>
      </c>
      <c r="Z24" s="195" t="str">
        <f>SBDP3!AT23</f>
        <v>Anak 19 sangat baik  dalam mengetahui gambar dan bentuk tiga dimensi.</v>
      </c>
      <c r="AA24" s="196">
        <f>PJOK3!AV23</f>
        <v>96</v>
      </c>
      <c r="AB24" s="196" t="str">
        <f>PJOK3!AW23</f>
        <v>A</v>
      </c>
      <c r="AC24" s="195" t="str">
        <f>PJOK3!BB23</f>
        <v>Anak 19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24" s="196">
        <f>'MLK1-3'!AT23</f>
        <v>94</v>
      </c>
      <c r="AE24" s="196" t="str">
        <f>'MLK1-3'!AU23</f>
        <v>A</v>
      </c>
      <c r="AF24" s="197" t="str">
        <f>'MLK1-3'!AZ23</f>
        <v>Anak 19 sangat baik  dalam mengenal dan memahmi teks tembang dolanan, dan  sangat baik  dalam mengenal dan memahami sandhangan aksara Jawa.</v>
      </c>
      <c r="AG24" s="196">
        <f>'MLK2-3'!AP23</f>
        <v>95</v>
      </c>
      <c r="AH24" s="196" t="str">
        <f>'MLK2-3'!AQ23</f>
        <v>A</v>
      </c>
      <c r="AI24" s="195" t="str">
        <f>'MLK2-3'!AV23</f>
        <v>Anak 19 sangat baik  dalam mengenal dan mengidentifikasi benda-benda di dapur dan nama-nama bunga, dan  sangat baik  dalam memahami penggunaan kalimat yang menunjukkan letak suatu tempat</v>
      </c>
      <c r="AJ24" s="196">
        <f>'MLK3-3'!AP23</f>
        <v>92</v>
      </c>
      <c r="AK24" s="196" t="str">
        <f>'MLK3-3'!AQ23</f>
        <v>A</v>
      </c>
      <c r="AL24" s="197" t="str">
        <f>'MLK3-3'!AV23</f>
        <v>Anak 19 sangat baik  dalam mengenal dan memahami penggunaan microsoft  word., dan  baik  dalam memahami pembuatan dokumen di microsoft  word</v>
      </c>
      <c r="AM24" s="196" t="e">
        <f>'PAI4'!CI24</f>
        <v>#DIV/0!</v>
      </c>
      <c r="AN24" s="196" t="e">
        <f>'PAI4'!CJ24</f>
        <v>#DIV/0!</v>
      </c>
      <c r="AO24" s="197" t="str">
        <f>'PAI4'!CO24</f>
        <v xml:space="preserve"> </v>
      </c>
      <c r="AP24" s="196" t="e">
        <f>'PKN4'!AD23</f>
        <v>#DIV/0!</v>
      </c>
      <c r="AQ24" s="196" t="e">
        <f>'PKN4'!AE23</f>
        <v>#DIV/0!</v>
      </c>
      <c r="AR24" s="195" t="str">
        <f>'PKN4'!AJ23</f>
        <v xml:space="preserve"> </v>
      </c>
      <c r="AS24" s="196" t="e">
        <f>BIND4!AP23</f>
        <v>#DIV/0!</v>
      </c>
      <c r="AT24" s="196" t="e">
        <f>BIND4!AQ23</f>
        <v>#DIV/0!</v>
      </c>
      <c r="AU24" s="195" t="str">
        <f>BIND4!AV23</f>
        <v xml:space="preserve"> </v>
      </c>
      <c r="AV24" s="196" t="e">
        <f>'MTK4'!AP23</f>
        <v>#DIV/0!</v>
      </c>
      <c r="AW24" s="196" t="e">
        <f>'MTK4'!AQ23</f>
        <v>#DIV/0!</v>
      </c>
      <c r="AX24" s="195" t="str">
        <f>'MTK4'!AV23</f>
        <v xml:space="preserve"> </v>
      </c>
      <c r="AY24" s="196" t="e">
        <f>'IPA4'!AJ23</f>
        <v>#DIV/0!</v>
      </c>
      <c r="AZ24" s="196" t="e">
        <f>'IPA4'!AK23</f>
        <v>#DIV/0!</v>
      </c>
      <c r="BA24" s="195" t="str">
        <f>'IPA4'!AP23</f>
        <v xml:space="preserve"> </v>
      </c>
      <c r="BB24" s="196" t="e">
        <f>'IPS4'!AG23</f>
        <v>#DIV/0!</v>
      </c>
      <c r="BC24" s="196" t="e">
        <f>'IPS4'!AH23</f>
        <v>#DIV/0!</v>
      </c>
      <c r="BD24" s="195" t="str">
        <f>'IPS4'!AM23</f>
        <v xml:space="preserve"> </v>
      </c>
      <c r="BE24" s="196" t="e">
        <f>SBDP4!AG23</f>
        <v>#DIV/0!</v>
      </c>
      <c r="BF24" s="196" t="e">
        <f>SBDP4!AH23</f>
        <v>#DIV/0!</v>
      </c>
      <c r="BG24" s="195" t="str">
        <f>SBDP4!AM23</f>
        <v xml:space="preserve"> </v>
      </c>
      <c r="BH24" s="196" t="e">
        <f>PJOK4!AJ23</f>
        <v>#DIV/0!</v>
      </c>
      <c r="BI24" s="196" t="e">
        <f>PJOK4!AK23</f>
        <v>#DIV/0!</v>
      </c>
      <c r="BJ24" s="197" t="str">
        <f>PJOK4!AP23</f>
        <v xml:space="preserve"> </v>
      </c>
      <c r="BK24" s="196" t="e">
        <f>'MLK1-4'!AG23</f>
        <v>#DIV/0!</v>
      </c>
      <c r="BL24" s="196" t="e">
        <f>'MLK1-4'!AH23</f>
        <v>#DIV/0!</v>
      </c>
      <c r="BM24" s="195" t="str">
        <f>'MLK1-4'!AM23</f>
        <v xml:space="preserve"> </v>
      </c>
      <c r="BN24" s="196" t="e">
        <f>'MLK2-4'!AG23</f>
        <v>#DIV/0!</v>
      </c>
      <c r="BO24" s="196" t="e">
        <f>'MLK2-4'!AH23</f>
        <v>#DIV/0!</v>
      </c>
      <c r="BP24" s="195" t="str">
        <f>'MLK2-4'!AM23</f>
        <v xml:space="preserve"> </v>
      </c>
      <c r="BQ24" s="196" t="e">
        <f>'MLK3-4'!AG23</f>
        <v>#DIV/0!</v>
      </c>
      <c r="BR24" s="196" t="e">
        <f>'MLK3-4'!AH23</f>
        <v>#DIV/0!</v>
      </c>
      <c r="BS24" s="195" t="str">
        <f>'MLK3-4'!AM23</f>
        <v xml:space="preserve"> </v>
      </c>
    </row>
    <row r="25" spans="1:71" ht="129.94999999999999" customHeight="1">
      <c r="A25" s="191">
        <v>20</v>
      </c>
      <c r="B25" s="191">
        <f>SISWA!B25</f>
        <v>0</v>
      </c>
      <c r="C25" s="192" t="str">
        <f>SISWA!C25</f>
        <v>Anak 20</v>
      </c>
      <c r="D25" s="193" t="str">
        <f>SPIRIT!Q24</f>
        <v xml:space="preserve">Ananda Anak 20 baik dalam  ketaatan beribadah,  berperilaku syukur,  berdoa sebelum dan sesudah melakukan kegiatan,  toleransi dalam beribadah, </v>
      </c>
      <c r="E25" s="193" t="str">
        <f>SOSIAL!W24</f>
        <v xml:space="preserve">Ananda Anak 20 baik dalam sikap jujur, disiplin, tanggung jawab, santun, peduli, percaya diri, kerja sama, </v>
      </c>
      <c r="F25" s="194">
        <f>'PAI3'!DU25</f>
        <v>99</v>
      </c>
      <c r="G25" s="194" t="str">
        <f>'PAI3'!DV25</f>
        <v>A</v>
      </c>
      <c r="H25" s="195" t="str">
        <f>'PAI3'!EA25</f>
        <v>Anak 20 sangat baik  dalam memahami Q.S. al- Falaq dan Q.S. al- Fil dengan baik dan benar</v>
      </c>
      <c r="I25" s="194">
        <f>'PKN3'!AI24</f>
        <v>96</v>
      </c>
      <c r="J25" s="194" t="str">
        <f>'PKN3'!AJ24</f>
        <v>A</v>
      </c>
      <c r="K25" s="193" t="str">
        <f>'PKN3'!AO24</f>
        <v>Anak 20 sangat baik  dalam mengidentifikasi pelaksanaan kewajiban dan hak sebagai warga masyarakat dalam kehidupan sehari-hari., dan  sangat baik  dalam mengidentifikasi berbagai bentuk keragaman suku bangsa, sosial, dan budaya di Indonesia yang terikat persatuan dan kesatuan.</v>
      </c>
      <c r="L25" s="196">
        <f>BIND3!AU24</f>
        <v>97</v>
      </c>
      <c r="M25" s="196" t="str">
        <f>BIND3!AV24</f>
        <v>A</v>
      </c>
      <c r="N25" s="195" t="str">
        <f>BIND3!BA24</f>
        <v>Anak 20 sangat baik  dalam menggali pengetahuan baru yang terdapat pada teks nonfiksi., dan  sangat baik  dalam menggali informasi dari seorang tokoh melalui wawancara menggunakan daftar pertanyaan.</v>
      </c>
      <c r="O25" s="196">
        <f>'MTK3'!BC24</f>
        <v>97</v>
      </c>
      <c r="P25" s="196" t="str">
        <f>'MTK3'!BD24</f>
        <v>A</v>
      </c>
      <c r="Q25" s="195" t="str">
        <f>'MTK3'!BI24</f>
        <v>Anak 20 sangat baik  dalam menjelaskan dan melakukan penaksiran dari jumlah, selisih, hasil kali, dan hasil bagi dua bilangan cacah maupun pecahan dan desimal, dan  baik  dalam menjelaskan berbagai bentuk pecahan (biasa, campuran, desimal, dan persen) dan hubungan di antaranya</v>
      </c>
      <c r="R25" s="196">
        <f>'IPA3'!AM24</f>
        <v>99</v>
      </c>
      <c r="S25" s="196" t="str">
        <f>'IPA3'!AN24</f>
        <v>A</v>
      </c>
      <c r="T25" s="195" t="str">
        <f>'IPA3'!AS24</f>
        <v>Anak 20 sangat baik  dalam membandingkan siklus hidup beberapa jenis makhluk hidup serta mengaitkan dengan upaya pelestariannya.</v>
      </c>
      <c r="U25" s="196">
        <f>'IPS3'!AN24</f>
        <v>99</v>
      </c>
      <c r="V25" s="196" t="str">
        <f>'IPS3'!AO24</f>
        <v>A</v>
      </c>
      <c r="W25" s="195" t="str">
        <f>'IPS3'!AT24</f>
        <v>Anak 20 sangat baik  dalam mengidentifikasi karakteristik ruang dan pemanfaatan sumberdaya alam untuk kesejahteraan masyarakat dari tingkatkota/kabupaten sampai tingkat provinsi.</v>
      </c>
      <c r="X25" s="196">
        <f>SBDP3!AN24</f>
        <v>99</v>
      </c>
      <c r="Y25" s="196" t="str">
        <f>SBDP3!AO24</f>
        <v>A</v>
      </c>
      <c r="Z25" s="195" t="str">
        <f>SBDP3!AT24</f>
        <v>Anak 20 sangat baik  dalam mengetahui gambar dan bentuk tiga dimensi.</v>
      </c>
      <c r="AA25" s="196">
        <f>PJOK3!AV24</f>
        <v>95</v>
      </c>
      <c r="AB25" s="196" t="str">
        <f>PJOK3!AW24</f>
        <v>A</v>
      </c>
      <c r="AC25" s="195" t="str">
        <f>PJOK3!BB24</f>
        <v>Anak 20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25" s="196">
        <f>'MLK1-3'!AT24</f>
        <v>91</v>
      </c>
      <c r="AE25" s="196" t="str">
        <f>'MLK1-3'!AU24</f>
        <v>A</v>
      </c>
      <c r="AF25" s="197" t="str">
        <f>'MLK1-3'!AZ24</f>
        <v>Anak 20 sangat baik  dalam mengenal dan memahmi teks tembang dolanan, dan  baik  dalam mengenal dan memahami sandhangan aksara Jawa.</v>
      </c>
      <c r="AG25" s="196">
        <f>'MLK2-3'!AP24</f>
        <v>93</v>
      </c>
      <c r="AH25" s="196" t="str">
        <f>'MLK2-3'!AQ24</f>
        <v>A</v>
      </c>
      <c r="AI25" s="195" t="str">
        <f>'MLK2-3'!AV24</f>
        <v>Anak 20 sangat baik  dalam mengenal dan mengidentifikasi benda-benda di dapur dan nama-nama bunga, dan  baik  dalam memahami penggunaan kalimat yang menunjukkan letak suatu tempat</v>
      </c>
      <c r="AJ25" s="196">
        <f>'MLK3-3'!AP24</f>
        <v>89</v>
      </c>
      <c r="AK25" s="196" t="str">
        <f>'MLK3-3'!AQ24</f>
        <v>B</v>
      </c>
      <c r="AL25" s="197" t="str">
        <f>'MLK3-3'!AV24</f>
        <v>Anak 20 baik  dalam mengenal dan memahami penggunaan microsoft  word., dan  baik  dalam memahami pembuatan dokumen di microsoft  word</v>
      </c>
      <c r="AM25" s="196" t="e">
        <f>'PAI4'!CI25</f>
        <v>#DIV/0!</v>
      </c>
      <c r="AN25" s="196" t="e">
        <f>'PAI4'!CJ25</f>
        <v>#DIV/0!</v>
      </c>
      <c r="AO25" s="197" t="str">
        <f>'PAI4'!CO25</f>
        <v xml:space="preserve"> </v>
      </c>
      <c r="AP25" s="196" t="e">
        <f>'PKN4'!AD24</f>
        <v>#DIV/0!</v>
      </c>
      <c r="AQ25" s="196" t="e">
        <f>'PKN4'!AE24</f>
        <v>#DIV/0!</v>
      </c>
      <c r="AR25" s="195" t="str">
        <f>'PKN4'!AJ24</f>
        <v xml:space="preserve"> </v>
      </c>
      <c r="AS25" s="196" t="e">
        <f>BIND4!AP24</f>
        <v>#DIV/0!</v>
      </c>
      <c r="AT25" s="196" t="e">
        <f>BIND4!AQ24</f>
        <v>#DIV/0!</v>
      </c>
      <c r="AU25" s="195" t="str">
        <f>BIND4!AV24</f>
        <v xml:space="preserve"> </v>
      </c>
      <c r="AV25" s="196" t="e">
        <f>'MTK4'!AP24</f>
        <v>#DIV/0!</v>
      </c>
      <c r="AW25" s="196" t="e">
        <f>'MTK4'!AQ24</f>
        <v>#DIV/0!</v>
      </c>
      <c r="AX25" s="195" t="str">
        <f>'MTK4'!AV24</f>
        <v xml:space="preserve"> </v>
      </c>
      <c r="AY25" s="196" t="e">
        <f>'IPA4'!AJ24</f>
        <v>#DIV/0!</v>
      </c>
      <c r="AZ25" s="196" t="e">
        <f>'IPA4'!AK24</f>
        <v>#DIV/0!</v>
      </c>
      <c r="BA25" s="195" t="str">
        <f>'IPA4'!AP24</f>
        <v xml:space="preserve"> </v>
      </c>
      <c r="BB25" s="196" t="e">
        <f>'IPS4'!AG24</f>
        <v>#DIV/0!</v>
      </c>
      <c r="BC25" s="196" t="e">
        <f>'IPS4'!AH24</f>
        <v>#DIV/0!</v>
      </c>
      <c r="BD25" s="195" t="str">
        <f>'IPS4'!AM24</f>
        <v xml:space="preserve"> </v>
      </c>
      <c r="BE25" s="196" t="e">
        <f>SBDP4!AG24</f>
        <v>#DIV/0!</v>
      </c>
      <c r="BF25" s="196" t="e">
        <f>SBDP4!AH24</f>
        <v>#DIV/0!</v>
      </c>
      <c r="BG25" s="195" t="str">
        <f>SBDP4!AM24</f>
        <v xml:space="preserve"> </v>
      </c>
      <c r="BH25" s="196" t="e">
        <f>PJOK4!AJ24</f>
        <v>#DIV/0!</v>
      </c>
      <c r="BI25" s="196" t="e">
        <f>PJOK4!AK24</f>
        <v>#DIV/0!</v>
      </c>
      <c r="BJ25" s="197" t="str">
        <f>PJOK4!AP24</f>
        <v xml:space="preserve"> </v>
      </c>
      <c r="BK25" s="196" t="e">
        <f>'MLK1-4'!AG24</f>
        <v>#DIV/0!</v>
      </c>
      <c r="BL25" s="196" t="e">
        <f>'MLK1-4'!AH24</f>
        <v>#DIV/0!</v>
      </c>
      <c r="BM25" s="195" t="str">
        <f>'MLK1-4'!AM24</f>
        <v xml:space="preserve"> </v>
      </c>
      <c r="BN25" s="196" t="e">
        <f>'MLK2-4'!AG24</f>
        <v>#DIV/0!</v>
      </c>
      <c r="BO25" s="196" t="e">
        <f>'MLK2-4'!AH24</f>
        <v>#DIV/0!</v>
      </c>
      <c r="BP25" s="195" t="str">
        <f>'MLK2-4'!AM24</f>
        <v xml:space="preserve"> </v>
      </c>
      <c r="BQ25" s="196" t="e">
        <f>'MLK3-4'!AG24</f>
        <v>#DIV/0!</v>
      </c>
      <c r="BR25" s="196" t="e">
        <f>'MLK3-4'!AH24</f>
        <v>#DIV/0!</v>
      </c>
      <c r="BS25" s="195" t="str">
        <f>'MLK3-4'!AM24</f>
        <v xml:space="preserve"> </v>
      </c>
    </row>
    <row r="26" spans="1:71" ht="129.94999999999999" customHeight="1">
      <c r="A26" s="191">
        <v>21</v>
      </c>
      <c r="B26" s="191">
        <f>SISWA!B26</f>
        <v>0</v>
      </c>
      <c r="C26" s="192" t="str">
        <f>SISWA!C26</f>
        <v>Anak 21</v>
      </c>
      <c r="D26" s="193" t="str">
        <f>SPIRIT!Q25</f>
        <v xml:space="preserve">Ananda Anak 21 baik dalam  ketaatan beribadah,  berperilaku syukur,  berdoa sebelum dan sesudah melakukan kegiatan,  toleransi dalam beribadah, </v>
      </c>
      <c r="E26" s="193" t="str">
        <f>SOSIAL!W25</f>
        <v xml:space="preserve">Ananda Anak 21 baik dalam sikap jujur, disiplin, tanggung jawab, santun, peduli, percaya diri, kerja sama, </v>
      </c>
      <c r="F26" s="194">
        <f>'PAI3'!DU26</f>
        <v>99</v>
      </c>
      <c r="G26" s="194" t="str">
        <f>'PAI3'!DV26</f>
        <v>A</v>
      </c>
      <c r="H26" s="195" t="str">
        <f>'PAI3'!EA26</f>
        <v>Anak 21 sangat baik  dalam memahami Q.S. al- Falaq dan Q.S. al- Fil dengan baik dan benar</v>
      </c>
      <c r="I26" s="194">
        <f>'PKN3'!AI25</f>
        <v>96</v>
      </c>
      <c r="J26" s="194" t="str">
        <f>'PKN3'!AJ25</f>
        <v>A</v>
      </c>
      <c r="K26" s="193" t="str">
        <f>'PKN3'!AO25</f>
        <v>Anak 21 sangat baik  dalam mengidentifikasi pelaksanaan kewajiban dan hak sebagai warga masyarakat dalam kehidupan sehari-hari., dan  sangat baik  dalam menjelaskan manfaat keberagaman karakteristik individu dalam kehidupan sehari-hari.</v>
      </c>
      <c r="L26" s="196">
        <f>BIND3!AU25</f>
        <v>97</v>
      </c>
      <c r="M26" s="196" t="str">
        <f>BIND3!AV25</f>
        <v>A</v>
      </c>
      <c r="N26" s="195" t="str">
        <f>BIND3!BA25</f>
        <v>Anak 21 sangat baik  dalam menggali pengetahuan baru yang terdapat pada teks nonfiksi., dan  sangat baik  dalam menggali informasi dari seorang tokoh melalui wawancara menggunakan daftar pertanyaan.</v>
      </c>
      <c r="O26" s="196">
        <f>'MTK3'!BC25</f>
        <v>97</v>
      </c>
      <c r="P26" s="196" t="str">
        <f>'MTK3'!BD25</f>
        <v>A</v>
      </c>
      <c r="Q26" s="195" t="str">
        <f>'MTK3'!BI25</f>
        <v>Anak 21 sangat baik  dalam menjelaskan dan melakukan penaksiran dari jumlah, selisih, hasil kali, dan hasil bagi dua bilangan cacah maupun pecahan dan desimal, dan  sangat baik  dalam menjelaskan berbagai bentuk pecahan (biasa, campuran, desimal, dan persen) dan hubungan di antaranya</v>
      </c>
      <c r="R26" s="196">
        <f>'IPA3'!AM25</f>
        <v>99</v>
      </c>
      <c r="S26" s="196" t="str">
        <f>'IPA3'!AN25</f>
        <v>A</v>
      </c>
      <c r="T26" s="195" t="str">
        <f>'IPA3'!AS25</f>
        <v>Anak 21 sangat baik  dalam membandingkan siklus hidup beberapa jenis makhluk hidup serta mengaitkan dengan upaya pelestariannya.</v>
      </c>
      <c r="U26" s="196">
        <f>'IPS3'!AN25</f>
        <v>99</v>
      </c>
      <c r="V26" s="196" t="str">
        <f>'IPS3'!AO25</f>
        <v>A</v>
      </c>
      <c r="W26" s="195" t="str">
        <f>'IPS3'!AT25</f>
        <v>Anak 21 sangat baik  dalam mengidentifikasi karakteristik ruang dan pemanfaatan sumberdaya alam untuk kesejahteraan masyarakat dari tingkatkota/kabupaten sampai tingkat provinsi.</v>
      </c>
      <c r="X26" s="196">
        <f>SBDP3!AN25</f>
        <v>99</v>
      </c>
      <c r="Y26" s="196" t="str">
        <f>SBDP3!AO25</f>
        <v>A</v>
      </c>
      <c r="Z26" s="195" t="str">
        <f>SBDP3!AT25</f>
        <v>Anak 21 sangat baik  dalam mengetahui gambar dan bentuk tiga dimensi.</v>
      </c>
      <c r="AA26" s="196">
        <f>PJOK3!AV25</f>
        <v>96</v>
      </c>
      <c r="AB26" s="196" t="str">
        <f>PJOK3!AW25</f>
        <v>A</v>
      </c>
      <c r="AC26" s="195" t="str">
        <f>PJOK3!BB25</f>
        <v>Anak 21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6" s="196">
        <f>'MLK1-3'!AT25</f>
        <v>92</v>
      </c>
      <c r="AE26" s="196" t="str">
        <f>'MLK1-3'!AU25</f>
        <v>A</v>
      </c>
      <c r="AF26" s="197" t="str">
        <f>'MLK1-3'!AZ25</f>
        <v>Anak 21 sangat baik  dalam mengenal, memahami, dan mengidentifikasi kata berimbuhan dalam teks sesuai kaidah, dan  sangat baik  dalam mengenal dan memahami sandhangan aksara Jawa.</v>
      </c>
      <c r="AG26" s="196">
        <f>'MLK2-3'!AP25</f>
        <v>94</v>
      </c>
      <c r="AH26" s="196" t="str">
        <f>'MLK2-3'!AQ25</f>
        <v>A</v>
      </c>
      <c r="AI26" s="195" t="str">
        <f>'MLK2-3'!AV25</f>
        <v>Anak 21 sangat baik  dalam mengenal dan mengidentifikasi benda-benda di dapur dan nama-nama bunga, dan  sangat baik  dalam memahami penggunaan kalimat yang menunjukkan letak suatu tempat</v>
      </c>
      <c r="AJ26" s="196">
        <f>'MLK3-3'!AP25</f>
        <v>90</v>
      </c>
      <c r="AK26" s="196" t="str">
        <f>'MLK3-3'!AQ25</f>
        <v>B</v>
      </c>
      <c r="AL26" s="197" t="str">
        <f>'MLK3-3'!AV25</f>
        <v>Anak 21 sangat baik  dalam memahami pembuatan dokumen di microsoft  word, dan  baik  dalam mengenal dan memahami penggunaan microsoft  word.</v>
      </c>
      <c r="AM26" s="196" t="e">
        <f>'PAI4'!CI26</f>
        <v>#DIV/0!</v>
      </c>
      <c r="AN26" s="196" t="e">
        <f>'PAI4'!CJ26</f>
        <v>#DIV/0!</v>
      </c>
      <c r="AO26" s="197" t="str">
        <f>'PAI4'!CO26</f>
        <v xml:space="preserve"> </v>
      </c>
      <c r="AP26" s="196" t="e">
        <f>'PKN4'!AD25</f>
        <v>#DIV/0!</v>
      </c>
      <c r="AQ26" s="196" t="e">
        <f>'PKN4'!AE25</f>
        <v>#DIV/0!</v>
      </c>
      <c r="AR26" s="195" t="str">
        <f>'PKN4'!AJ25</f>
        <v xml:space="preserve"> </v>
      </c>
      <c r="AS26" s="196" t="e">
        <f>BIND4!AP25</f>
        <v>#DIV/0!</v>
      </c>
      <c r="AT26" s="196" t="e">
        <f>BIND4!AQ25</f>
        <v>#DIV/0!</v>
      </c>
      <c r="AU26" s="195" t="str">
        <f>BIND4!AV25</f>
        <v xml:space="preserve"> </v>
      </c>
      <c r="AV26" s="196" t="e">
        <f>'MTK4'!AP25</f>
        <v>#DIV/0!</v>
      </c>
      <c r="AW26" s="196" t="e">
        <f>'MTK4'!AQ25</f>
        <v>#DIV/0!</v>
      </c>
      <c r="AX26" s="195" t="str">
        <f>'MTK4'!AV25</f>
        <v xml:space="preserve"> </v>
      </c>
      <c r="AY26" s="196" t="e">
        <f>'IPA4'!AJ25</f>
        <v>#DIV/0!</v>
      </c>
      <c r="AZ26" s="196" t="e">
        <f>'IPA4'!AK25</f>
        <v>#DIV/0!</v>
      </c>
      <c r="BA26" s="195" t="str">
        <f>'IPA4'!AP25</f>
        <v xml:space="preserve"> </v>
      </c>
      <c r="BB26" s="196" t="e">
        <f>'IPS4'!AG25</f>
        <v>#DIV/0!</v>
      </c>
      <c r="BC26" s="196" t="e">
        <f>'IPS4'!AH25</f>
        <v>#DIV/0!</v>
      </c>
      <c r="BD26" s="195" t="str">
        <f>'IPS4'!AM25</f>
        <v xml:space="preserve"> </v>
      </c>
      <c r="BE26" s="196" t="e">
        <f>SBDP4!AG25</f>
        <v>#DIV/0!</v>
      </c>
      <c r="BF26" s="196" t="e">
        <f>SBDP4!AH25</f>
        <v>#DIV/0!</v>
      </c>
      <c r="BG26" s="195" t="str">
        <f>SBDP4!AM25</f>
        <v xml:space="preserve"> </v>
      </c>
      <c r="BH26" s="196" t="e">
        <f>PJOK4!AJ25</f>
        <v>#DIV/0!</v>
      </c>
      <c r="BI26" s="196" t="e">
        <f>PJOK4!AK25</f>
        <v>#DIV/0!</v>
      </c>
      <c r="BJ26" s="197" t="str">
        <f>PJOK4!AP25</f>
        <v xml:space="preserve"> </v>
      </c>
      <c r="BK26" s="196" t="e">
        <f>'MLK1-4'!AG25</f>
        <v>#DIV/0!</v>
      </c>
      <c r="BL26" s="196" t="e">
        <f>'MLK1-4'!AH25</f>
        <v>#DIV/0!</v>
      </c>
      <c r="BM26" s="195" t="str">
        <f>'MLK1-4'!AM25</f>
        <v xml:space="preserve"> </v>
      </c>
      <c r="BN26" s="196" t="e">
        <f>'MLK2-4'!AG25</f>
        <v>#DIV/0!</v>
      </c>
      <c r="BO26" s="196" t="e">
        <f>'MLK2-4'!AH25</f>
        <v>#DIV/0!</v>
      </c>
      <c r="BP26" s="195" t="str">
        <f>'MLK2-4'!AM25</f>
        <v xml:space="preserve"> </v>
      </c>
      <c r="BQ26" s="196" t="e">
        <f>'MLK3-4'!AG25</f>
        <v>#DIV/0!</v>
      </c>
      <c r="BR26" s="196" t="e">
        <f>'MLK3-4'!AH25</f>
        <v>#DIV/0!</v>
      </c>
      <c r="BS26" s="195" t="str">
        <f>'MLK3-4'!AM25</f>
        <v xml:space="preserve"> </v>
      </c>
    </row>
    <row r="27" spans="1:71" ht="129.94999999999999" customHeight="1">
      <c r="A27" s="191">
        <v>22</v>
      </c>
      <c r="B27" s="191">
        <f>SISWA!B27</f>
        <v>0</v>
      </c>
      <c r="C27" s="192" t="str">
        <f>SISWA!C27</f>
        <v>Anak 22</v>
      </c>
      <c r="D27" s="193" t="str">
        <f>SPIRIT!Q26</f>
        <v xml:space="preserve">Ananda Anak 22 baik dalam  ketaatan beribadah,  berperilaku syukur,  berdoa sebelum dan sesudah melakukan kegiatan,  toleransi dalam beribadah, </v>
      </c>
      <c r="E27" s="193" t="str">
        <f>SOSIAL!W26</f>
        <v xml:space="preserve">Ananda Anak 22 baik dalam sikap jujur, disiplin, tanggung jawab, santun, peduli, percaya diri, kerja sama, </v>
      </c>
      <c r="F27" s="194">
        <f>'PAI3'!DU27</f>
        <v>99</v>
      </c>
      <c r="G27" s="194" t="str">
        <f>'PAI3'!DV27</f>
        <v>A</v>
      </c>
      <c r="H27" s="195" t="str">
        <f>'PAI3'!EA27</f>
        <v>Anak 22 sangat baik  dalam memahami Q.S. al- Falaq dan Q.S. al- Fil dengan baik dan benar</v>
      </c>
      <c r="I27" s="194">
        <f>'PKN3'!AI26</f>
        <v>97</v>
      </c>
      <c r="J27" s="194" t="str">
        <f>'PKN3'!AJ26</f>
        <v>A</v>
      </c>
      <c r="K27" s="193" t="str">
        <f>'PKN3'!AO26</f>
        <v>Anak 22 sangat baik  dalam mengidentifikasi pelaksanaan kewajiban dan hak sebagai warga masyarakat dalam kehidupan sehari-hari., dan  sangat baik  dalam menjelaskan manfaat keberagaman karakteristik individu dalam kehidupan sehari-hari.</v>
      </c>
      <c r="L27" s="196">
        <f>BIND3!AU26</f>
        <v>98</v>
      </c>
      <c r="M27" s="196" t="str">
        <f>BIND3!AV26</f>
        <v>A</v>
      </c>
      <c r="N27" s="195" t="str">
        <f>BIND3!BA26</f>
        <v>Anak 22 sangat baik  dalam menggali pengetahuan baru yang terdapat pada teks nonfiksi., dan  sangat baik  dalam menggali informasi dari seorang tokoh melalui wawancara menggunakan daftar pertanyaan.</v>
      </c>
      <c r="O27" s="196">
        <f>'MTK3'!BC26</f>
        <v>98</v>
      </c>
      <c r="P27" s="196" t="str">
        <f>'MTK3'!BD26</f>
        <v>A</v>
      </c>
      <c r="Q27" s="195" t="str">
        <f>'MTK3'!BI26</f>
        <v>Anak 22 sangat baik  dalam menjelaskan dan melakukan penaksiran dari jumlah, selisih, hasil kali, dan hasil bagi dua bilangan cacah maupun pecahan dan desimal, dan  sangat baik  dalam menjelaskan berbagai bentuk pecahan (biasa, campuran, desimal, dan persen) dan hubungan di antaranya</v>
      </c>
      <c r="R27" s="196">
        <f>'IPA3'!AM26</f>
        <v>99</v>
      </c>
      <c r="S27" s="196" t="str">
        <f>'IPA3'!AN26</f>
        <v>A</v>
      </c>
      <c r="T27" s="195" t="str">
        <f>'IPA3'!AS26</f>
        <v>Anak 22 sangat baik  dalam membandingkan siklus hidup beberapa jenis makhluk hidup serta mengaitkan dengan upaya pelestariannya.</v>
      </c>
      <c r="U27" s="196">
        <f>'IPS3'!AN26</f>
        <v>99</v>
      </c>
      <c r="V27" s="196" t="str">
        <f>'IPS3'!AO26</f>
        <v>A</v>
      </c>
      <c r="W27" s="195" t="str">
        <f>'IPS3'!AT26</f>
        <v>Anak 22 sangat baik  dalam mengidentifikasi karakteristik ruang dan pemanfaatan sumberdaya alam untuk kesejahteraan masyarakat dari tingkatkota/kabupaten sampai tingkat provinsi.</v>
      </c>
      <c r="X27" s="196">
        <f>SBDP3!AN26</f>
        <v>99</v>
      </c>
      <c r="Y27" s="196" t="str">
        <f>SBDP3!AO26</f>
        <v>A</v>
      </c>
      <c r="Z27" s="195" t="str">
        <f>SBDP3!AT26</f>
        <v>Anak 22 sangat baik  dalam mengetahui gambar dan bentuk tiga dimensi.</v>
      </c>
      <c r="AA27" s="196">
        <f>PJOK3!AV26</f>
        <v>97</v>
      </c>
      <c r="AB27" s="196" t="str">
        <f>PJOK3!AW26</f>
        <v>A</v>
      </c>
      <c r="AC27" s="195" t="str">
        <f>PJOK3!BB26</f>
        <v>Anak 22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AD27" s="196">
        <f>'MLK1-3'!AT26</f>
        <v>95</v>
      </c>
      <c r="AE27" s="196" t="str">
        <f>'MLK1-3'!AU26</f>
        <v>A</v>
      </c>
      <c r="AF27" s="197" t="str">
        <f>'MLK1-3'!AZ26</f>
        <v>Anak 22 sangat baik  dalam mengenal, memahami, dan mengidentifikasi kata berimbuhan dalam teks sesuai kaidah, dan  sangat baik  dalam mengenal dan memahami sandhangan aksara Jawa.</v>
      </c>
      <c r="AG27" s="196">
        <f>'MLK2-3'!AP26</f>
        <v>96</v>
      </c>
      <c r="AH27" s="196" t="str">
        <f>'MLK2-3'!AQ26</f>
        <v>A</v>
      </c>
      <c r="AI27" s="195" t="str">
        <f>'MLK2-3'!AV26</f>
        <v>Anak 22 sangat baik  dalam mengenal dan mengidentifikasi benda-benda di dapur dan nama-nama bunga, dan  sangat baik  dalam memahami penggunaan kalimat yang menunjukkan letak suatu tempat</v>
      </c>
      <c r="AJ27" s="196">
        <f>'MLK3-3'!AP26</f>
        <v>94</v>
      </c>
      <c r="AK27" s="196" t="str">
        <f>'MLK3-3'!AQ26</f>
        <v>A</v>
      </c>
      <c r="AL27" s="197" t="str">
        <f>'MLK3-3'!AV26</f>
        <v>Anak 22 sangat baik  dalam memahami pembuatan dokumen di microsoft  word, dan  sangat baik  dalam mengenal dan memahami penggunaan microsoft  word.</v>
      </c>
      <c r="AM27" s="196" t="e">
        <f>'PAI4'!CI27</f>
        <v>#DIV/0!</v>
      </c>
      <c r="AN27" s="196" t="e">
        <f>'PAI4'!CJ27</f>
        <v>#DIV/0!</v>
      </c>
      <c r="AO27" s="197" t="str">
        <f>'PAI4'!CO27</f>
        <v xml:space="preserve"> </v>
      </c>
      <c r="AP27" s="196" t="e">
        <f>'PKN4'!AD26</f>
        <v>#DIV/0!</v>
      </c>
      <c r="AQ27" s="196" t="e">
        <f>'PKN4'!AE26</f>
        <v>#DIV/0!</v>
      </c>
      <c r="AR27" s="195" t="str">
        <f>'PKN4'!AJ26</f>
        <v xml:space="preserve"> </v>
      </c>
      <c r="AS27" s="196" t="e">
        <f>BIND4!AP26</f>
        <v>#DIV/0!</v>
      </c>
      <c r="AT27" s="196" t="e">
        <f>BIND4!AQ26</f>
        <v>#DIV/0!</v>
      </c>
      <c r="AU27" s="195" t="str">
        <f>BIND4!AV26</f>
        <v xml:space="preserve"> </v>
      </c>
      <c r="AV27" s="196" t="e">
        <f>'MTK4'!AP26</f>
        <v>#DIV/0!</v>
      </c>
      <c r="AW27" s="196" t="e">
        <f>'MTK4'!AQ26</f>
        <v>#DIV/0!</v>
      </c>
      <c r="AX27" s="195" t="str">
        <f>'MTK4'!AV26</f>
        <v xml:space="preserve"> </v>
      </c>
      <c r="AY27" s="196" t="e">
        <f>'IPA4'!AJ26</f>
        <v>#DIV/0!</v>
      </c>
      <c r="AZ27" s="196" t="e">
        <f>'IPA4'!AK26</f>
        <v>#DIV/0!</v>
      </c>
      <c r="BA27" s="195" t="str">
        <f>'IPA4'!AP26</f>
        <v xml:space="preserve"> </v>
      </c>
      <c r="BB27" s="196" t="e">
        <f>'IPS4'!AG26</f>
        <v>#DIV/0!</v>
      </c>
      <c r="BC27" s="196" t="e">
        <f>'IPS4'!AH26</f>
        <v>#DIV/0!</v>
      </c>
      <c r="BD27" s="195" t="str">
        <f>'IPS4'!AM26</f>
        <v xml:space="preserve"> </v>
      </c>
      <c r="BE27" s="196" t="e">
        <f>SBDP4!AG26</f>
        <v>#DIV/0!</v>
      </c>
      <c r="BF27" s="196" t="e">
        <f>SBDP4!AH26</f>
        <v>#DIV/0!</v>
      </c>
      <c r="BG27" s="195" t="str">
        <f>SBDP4!AM26</f>
        <v xml:space="preserve"> </v>
      </c>
      <c r="BH27" s="196" t="e">
        <f>PJOK4!AJ26</f>
        <v>#DIV/0!</v>
      </c>
      <c r="BI27" s="196" t="e">
        <f>PJOK4!AK26</f>
        <v>#DIV/0!</v>
      </c>
      <c r="BJ27" s="197" t="str">
        <f>PJOK4!AP26</f>
        <v xml:space="preserve"> </v>
      </c>
      <c r="BK27" s="196" t="e">
        <f>'MLK1-4'!AG26</f>
        <v>#DIV/0!</v>
      </c>
      <c r="BL27" s="196" t="e">
        <f>'MLK1-4'!AH26</f>
        <v>#DIV/0!</v>
      </c>
      <c r="BM27" s="195" t="str">
        <f>'MLK1-4'!AM26</f>
        <v xml:space="preserve"> </v>
      </c>
      <c r="BN27" s="196" t="e">
        <f>'MLK2-4'!AG26</f>
        <v>#DIV/0!</v>
      </c>
      <c r="BO27" s="196" t="e">
        <f>'MLK2-4'!AH26</f>
        <v>#DIV/0!</v>
      </c>
      <c r="BP27" s="195" t="str">
        <f>'MLK2-4'!AM26</f>
        <v xml:space="preserve"> </v>
      </c>
      <c r="BQ27" s="196" t="e">
        <f>'MLK3-4'!AG26</f>
        <v>#DIV/0!</v>
      </c>
      <c r="BR27" s="196" t="e">
        <f>'MLK3-4'!AH26</f>
        <v>#DIV/0!</v>
      </c>
      <c r="BS27" s="195" t="str">
        <f>'MLK3-4'!AM26</f>
        <v xml:space="preserve"> </v>
      </c>
    </row>
    <row r="28" spans="1:71" ht="129.94999999999999" customHeight="1">
      <c r="A28" s="191">
        <v>23</v>
      </c>
      <c r="B28" s="191">
        <f>SISWA!B28</f>
        <v>0</v>
      </c>
      <c r="C28" s="192" t="str">
        <f>SISWA!C28</f>
        <v>Anak 23</v>
      </c>
      <c r="D28" s="193" t="str">
        <f>SPIRIT!Q27</f>
        <v xml:space="preserve">Ananda Anak 23 baik dalam  ketaatan beribadah,  berperilaku syukur,  berdoa sebelum dan sesudah melakukan kegiatan,  toleransi dalam beribadah, </v>
      </c>
      <c r="E28" s="193" t="str">
        <f>SOSIAL!W27</f>
        <v xml:space="preserve">Ananda Anak 23 baik dalam sikap jujur, disiplin, tanggung jawab, santun, peduli, percaya diri, kerja sama, </v>
      </c>
      <c r="F28" s="194">
        <f>'PAI3'!DU28</f>
        <v>99</v>
      </c>
      <c r="G28" s="194" t="str">
        <f>'PAI3'!DV28</f>
        <v>A</v>
      </c>
      <c r="H28" s="195" t="str">
        <f>'PAI3'!EA28</f>
        <v>Anak 23 sangat baik  dalam memahami Q.S. al- Falaq dan Q.S. al- Fil dengan baik dan benar</v>
      </c>
      <c r="I28" s="194">
        <f>'PKN3'!AI27</f>
        <v>96</v>
      </c>
      <c r="J28" s="194" t="str">
        <f>'PKN3'!AJ27</f>
        <v>A</v>
      </c>
      <c r="K28" s="193" t="str">
        <f>'PKN3'!AO27</f>
        <v>Anak 23 sangat baik  dalam mengidentifikasi pelaksanaan kewajiban dan hak sebagai warga masyarakat dalam kehidupan sehari-hari., dan  sangat baik  dalam mengidentifikasi berbagai bentuk keragaman suku bangsa, sosial, dan budaya di Indonesia yang terikat persatuan dan kesatuan.</v>
      </c>
      <c r="L28" s="196">
        <f>BIND3!AU27</f>
        <v>97</v>
      </c>
      <c r="M28" s="196" t="str">
        <f>BIND3!AV27</f>
        <v>A</v>
      </c>
      <c r="N28" s="195" t="str">
        <f>BIND3!BA27</f>
        <v>Anak 23 sangat baik  dalam menggali pengetahuan baru yang terdapat pada teks nonfiksi., dan  sangat baik  dalam menggali isi dan amanat puisi yang disajikan secara lisan dan tulis dengan tujuan untuk kesenangan.</v>
      </c>
      <c r="O28" s="196">
        <f>'MTK3'!BC27</f>
        <v>98</v>
      </c>
      <c r="P28" s="196" t="str">
        <f>'MTK3'!BD27</f>
        <v>A</v>
      </c>
      <c r="Q28" s="195" t="str">
        <f>'MTK3'!BI27</f>
        <v>Anak 23 sangat baik  dalam menjelaskan dan melakukan penaksiran dari jumlah, selisih, hasil kali, dan hasil bagi dua bilangan cacah maupun pecahan dan desimal, dan  sangat baik  dalam menjelaskan berbagai bentuk pecahan (biasa, campuran, desimal, dan persen) dan hubungan di antaranya</v>
      </c>
      <c r="R28" s="196">
        <f>'IPA3'!AM27</f>
        <v>99</v>
      </c>
      <c r="S28" s="196" t="str">
        <f>'IPA3'!AN27</f>
        <v>A</v>
      </c>
      <c r="T28" s="195" t="str">
        <f>'IPA3'!AS27</f>
        <v>Anak 23 sangat baik  dalam membandingkan siklus hidup beberapa jenis makhluk hidup serta mengaitkan dengan upaya pelestariannya.</v>
      </c>
      <c r="U28" s="196">
        <f>'IPS3'!AN27</f>
        <v>99</v>
      </c>
      <c r="V28" s="196" t="str">
        <f>'IPS3'!AO27</f>
        <v>A</v>
      </c>
      <c r="W28" s="195" t="str">
        <f>'IPS3'!AT27</f>
        <v>Anak 23 sangat baik  dalam mengidentifikasi karakteristik ruang dan pemanfaatan sumberdaya alam untuk kesejahteraan masyarakat dari tingkatkota/kabupaten sampai tingkat provinsi.</v>
      </c>
      <c r="X28" s="196">
        <f>SBDP3!AN27</f>
        <v>99</v>
      </c>
      <c r="Y28" s="196" t="str">
        <f>SBDP3!AO27</f>
        <v>A</v>
      </c>
      <c r="Z28" s="195" t="str">
        <f>SBDP3!AT27</f>
        <v>Anak 23 sangat baik  dalam mengetahui gambar dan bentuk tiga dimensi.</v>
      </c>
      <c r="AA28" s="196">
        <f>PJOK3!AV27</f>
        <v>96</v>
      </c>
      <c r="AB28" s="196" t="str">
        <f>PJOK3!AW27</f>
        <v>A</v>
      </c>
      <c r="AC28" s="195" t="str">
        <f>PJOK3!BB27</f>
        <v>Anak 23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28" s="196">
        <f>'MLK1-3'!AT27</f>
        <v>93</v>
      </c>
      <c r="AE28" s="196" t="str">
        <f>'MLK1-3'!AU27</f>
        <v>A</v>
      </c>
      <c r="AF28" s="197" t="str">
        <f>'MLK1-3'!AZ27</f>
        <v>Anak 23 sangat baik  dalam mengenal dan memahmi teks tembang dolanan, dan  sangat baik  dalam mengenal dan memahami sandhangan aksara Jawa.</v>
      </c>
      <c r="AG28" s="196">
        <f>'MLK2-3'!AP27</f>
        <v>94</v>
      </c>
      <c r="AH28" s="196" t="str">
        <f>'MLK2-3'!AQ27</f>
        <v>A</v>
      </c>
      <c r="AI28" s="195" t="str">
        <f>'MLK2-3'!AV27</f>
        <v>Anak 23 sangat baik  dalam mengenal dan mengidentifikasi benda-benda di dapur dan nama-nama bunga, dan  sangat baik  dalam memahami penggunaan kalimat yang menunjukkan letak suatu tempat</v>
      </c>
      <c r="AJ28" s="196">
        <f>'MLK3-3'!AP27</f>
        <v>91</v>
      </c>
      <c r="AK28" s="196" t="str">
        <f>'MLK3-3'!AQ27</f>
        <v>A</v>
      </c>
      <c r="AL28" s="197" t="str">
        <f>'MLK3-3'!AV27</f>
        <v>Anak 23 sangat baik  dalam mengenal dan memahami penggunaan microsoft  word., dan  baik  dalam memahami pembuatan dokumen di microsoft  word</v>
      </c>
      <c r="AM28" s="196" t="e">
        <f>'PAI4'!CI28</f>
        <v>#DIV/0!</v>
      </c>
      <c r="AN28" s="196" t="e">
        <f>'PAI4'!CJ28</f>
        <v>#DIV/0!</v>
      </c>
      <c r="AO28" s="197" t="str">
        <f>'PAI4'!CO28</f>
        <v xml:space="preserve"> </v>
      </c>
      <c r="AP28" s="196" t="e">
        <f>'PKN4'!AD27</f>
        <v>#DIV/0!</v>
      </c>
      <c r="AQ28" s="196" t="e">
        <f>'PKN4'!AE27</f>
        <v>#DIV/0!</v>
      </c>
      <c r="AR28" s="195" t="str">
        <f>'PKN4'!AJ27</f>
        <v xml:space="preserve"> </v>
      </c>
      <c r="AS28" s="196" t="e">
        <f>BIND4!AP27</f>
        <v>#DIV/0!</v>
      </c>
      <c r="AT28" s="196" t="e">
        <f>BIND4!AQ27</f>
        <v>#DIV/0!</v>
      </c>
      <c r="AU28" s="195" t="str">
        <f>BIND4!AV27</f>
        <v xml:space="preserve"> </v>
      </c>
      <c r="AV28" s="196" t="e">
        <f>'MTK4'!AP27</f>
        <v>#DIV/0!</v>
      </c>
      <c r="AW28" s="196" t="e">
        <f>'MTK4'!AQ27</f>
        <v>#DIV/0!</v>
      </c>
      <c r="AX28" s="195" t="str">
        <f>'MTK4'!AV27</f>
        <v xml:space="preserve"> </v>
      </c>
      <c r="AY28" s="196" t="e">
        <f>'IPA4'!AJ27</f>
        <v>#DIV/0!</v>
      </c>
      <c r="AZ28" s="196" t="e">
        <f>'IPA4'!AK27</f>
        <v>#DIV/0!</v>
      </c>
      <c r="BA28" s="195" t="str">
        <f>'IPA4'!AP27</f>
        <v xml:space="preserve"> </v>
      </c>
      <c r="BB28" s="196" t="e">
        <f>'IPS4'!AG27</f>
        <v>#DIV/0!</v>
      </c>
      <c r="BC28" s="196" t="e">
        <f>'IPS4'!AH27</f>
        <v>#DIV/0!</v>
      </c>
      <c r="BD28" s="195" t="str">
        <f>'IPS4'!AM27</f>
        <v xml:space="preserve"> </v>
      </c>
      <c r="BE28" s="196" t="e">
        <f>SBDP4!AG27</f>
        <v>#DIV/0!</v>
      </c>
      <c r="BF28" s="196" t="e">
        <f>SBDP4!AH27</f>
        <v>#DIV/0!</v>
      </c>
      <c r="BG28" s="195" t="str">
        <f>SBDP4!AM27</f>
        <v xml:space="preserve"> </v>
      </c>
      <c r="BH28" s="196" t="e">
        <f>PJOK4!AJ27</f>
        <v>#DIV/0!</v>
      </c>
      <c r="BI28" s="196" t="e">
        <f>PJOK4!AK27</f>
        <v>#DIV/0!</v>
      </c>
      <c r="BJ28" s="197" t="str">
        <f>PJOK4!AP27</f>
        <v xml:space="preserve"> </v>
      </c>
      <c r="BK28" s="196" t="e">
        <f>'MLK1-4'!AG27</f>
        <v>#DIV/0!</v>
      </c>
      <c r="BL28" s="196" t="e">
        <f>'MLK1-4'!AH27</f>
        <v>#DIV/0!</v>
      </c>
      <c r="BM28" s="195" t="str">
        <f>'MLK1-4'!AM27</f>
        <v xml:space="preserve"> </v>
      </c>
      <c r="BN28" s="196" t="e">
        <f>'MLK2-4'!AG27</f>
        <v>#DIV/0!</v>
      </c>
      <c r="BO28" s="196" t="e">
        <f>'MLK2-4'!AH27</f>
        <v>#DIV/0!</v>
      </c>
      <c r="BP28" s="195" t="str">
        <f>'MLK2-4'!AM27</f>
        <v xml:space="preserve"> </v>
      </c>
      <c r="BQ28" s="196" t="e">
        <f>'MLK3-4'!AG27</f>
        <v>#DIV/0!</v>
      </c>
      <c r="BR28" s="196" t="e">
        <f>'MLK3-4'!AH27</f>
        <v>#DIV/0!</v>
      </c>
      <c r="BS28" s="195" t="str">
        <f>'MLK3-4'!AM27</f>
        <v xml:space="preserve"> </v>
      </c>
    </row>
    <row r="29" spans="1:71" ht="129.94999999999999" customHeight="1">
      <c r="A29" s="191">
        <v>24</v>
      </c>
      <c r="B29" s="191">
        <f>SISWA!B29</f>
        <v>0</v>
      </c>
      <c r="C29" s="192" t="str">
        <f>SISWA!C29</f>
        <v>Anak 24</v>
      </c>
      <c r="D29" s="193" t="str">
        <f>SPIRIT!Q28</f>
        <v xml:space="preserve">Ananda Anak 24 baik dalam  ketaatan beribadah,  berperilaku syukur,  berdoa sebelum dan sesudah melakukan kegiatan,  toleransi dalam beribadah, </v>
      </c>
      <c r="E29" s="193" t="str">
        <f>SOSIAL!W28</f>
        <v xml:space="preserve">Ananda Anak 24 baik dalam sikap jujur, disiplin, tanggung jawab, santun, peduli, percaya diri, kerja sama, </v>
      </c>
      <c r="F29" s="194">
        <f>'PAI3'!DU29</f>
        <v>96</v>
      </c>
      <c r="G29" s="194" t="str">
        <f>'PAI3'!DV29</f>
        <v>A</v>
      </c>
      <c r="H29" s="195" t="str">
        <f>'PAI3'!EA29</f>
        <v>Anak 24 sangat baik  dalam memahami Q.S. al- Falaq dan Q.S. al- Fil dengan baik dan benar, dan  baik  dalam memahami makna ibadah salat</v>
      </c>
      <c r="I29" s="194">
        <f>'PKN3'!AI28</f>
        <v>96</v>
      </c>
      <c r="J29" s="194" t="str">
        <f>'PKN3'!AJ28</f>
        <v>A</v>
      </c>
      <c r="K29" s="193" t="str">
        <f>'PKN3'!AO28</f>
        <v>Anak 24 sangat baik  dalam mengidentifikasi pelaksanaan kewajiban dan hak sebagai warga masyarakat dalam kehidupan sehari-hari., dan  sangat baik  dalam menjelaskan manfaat keberagaman karakteristik individu dalam kehidupan sehari-hari.</v>
      </c>
      <c r="L29" s="196">
        <f>BIND3!AU28</f>
        <v>97</v>
      </c>
      <c r="M29" s="196" t="str">
        <f>BIND3!AV28</f>
        <v>A</v>
      </c>
      <c r="N29" s="195" t="str">
        <f>BIND3!BA28</f>
        <v>Anak 24 sangat baik  dalam menggali pengetahuan baru yang terdapat pada teks nonfiksi., dan  sangat baik  dalam menggali informasi dari seorang tokoh melalui wawancara menggunakan daftar pertanyaan.</v>
      </c>
      <c r="O29" s="196">
        <f>'MTK3'!BC28</f>
        <v>97</v>
      </c>
      <c r="P29" s="196" t="str">
        <f>'MTK3'!BD28</f>
        <v>A</v>
      </c>
      <c r="Q29" s="195" t="str">
        <f>'MTK3'!BI28</f>
        <v>Anak 24 sangat baik  dalam menjelaskan dan melakukan penaksiran dari jumlah, selisih, hasil kali, dan hasil bagi dua bilangan cacah maupun pecahan dan desimal, dan  baik  dalam menjelaskan berbagai bentuk pecahan (biasa, campuran, desimal, dan persen) dan hubungan di antaranya</v>
      </c>
      <c r="R29" s="196">
        <f>'IPA3'!AM28</f>
        <v>99</v>
      </c>
      <c r="S29" s="196" t="str">
        <f>'IPA3'!AN28</f>
        <v>A</v>
      </c>
      <c r="T29" s="195" t="str">
        <f>'IPA3'!AS28</f>
        <v>Anak 24 sangat baik  dalam membandingkan siklus hidup beberapa jenis makhluk hidup serta mengaitkan dengan upaya pelestariannya.</v>
      </c>
      <c r="U29" s="196">
        <f>'IPS3'!AN28</f>
        <v>99</v>
      </c>
      <c r="V29" s="196" t="str">
        <f>'IPS3'!AO28</f>
        <v>A</v>
      </c>
      <c r="W29" s="195" t="str">
        <f>'IPS3'!AT28</f>
        <v>Anak 24 sangat baik  dalam mengidentifikasi karakteristik ruang dan pemanfaatan sumberdaya alam untuk kesejahteraan masyarakat dari tingkatkota/kabupaten sampai tingkat provinsi.</v>
      </c>
      <c r="X29" s="196">
        <f>SBDP3!AN28</f>
        <v>99</v>
      </c>
      <c r="Y29" s="196" t="str">
        <f>SBDP3!AO28</f>
        <v>A</v>
      </c>
      <c r="Z29" s="195" t="str">
        <f>SBDP3!AT28</f>
        <v>Anak 24 sangat baik  dalam mengetahui gambar dan bentuk tiga dimensi.</v>
      </c>
      <c r="AA29" s="196">
        <f>PJOK3!AV28</f>
        <v>95</v>
      </c>
      <c r="AB29" s="196" t="str">
        <f>PJOK3!AW28</f>
        <v>A</v>
      </c>
      <c r="AC29" s="195" t="str">
        <f>PJOK3!BB28</f>
        <v>Anak 24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9" s="196">
        <f>'MLK1-3'!AT28</f>
        <v>92</v>
      </c>
      <c r="AE29" s="196" t="str">
        <f>'MLK1-3'!AU28</f>
        <v>A</v>
      </c>
      <c r="AF29" s="197" t="str">
        <f>'MLK1-3'!AZ28</f>
        <v>Anak 24 sangat baik  dalam mengenal, memahami, dan mengidentifikasi kata berimbuhan dalam teks sesuai kaidah, dan  baik  dalam mengenal dan memahami sandhangan aksara Jawa.</v>
      </c>
      <c r="AG29" s="196">
        <f>'MLK2-3'!AP28</f>
        <v>93</v>
      </c>
      <c r="AH29" s="196" t="str">
        <f>'MLK2-3'!AQ28</f>
        <v>A</v>
      </c>
      <c r="AI29" s="195" t="str">
        <f>'MLK2-3'!AV28</f>
        <v>Anak 24 sangat baik  dalam mengenal dan mengidentifikasi benda-benda di dapur dan nama-nama bunga, dan  baik  dalam memahami penggunaan kalimat yang menunjukkan letak suatu tempat</v>
      </c>
      <c r="AJ29" s="196">
        <f>'MLK3-3'!AP28</f>
        <v>89</v>
      </c>
      <c r="AK29" s="196" t="str">
        <f>'MLK3-3'!AQ28</f>
        <v>B</v>
      </c>
      <c r="AL29" s="197" t="str">
        <f>'MLK3-3'!AV28</f>
        <v>Anak 24 sangat baik  dalam memahami pembuatan dokumen di microsoft  word, dan  baik  dalam mengenal dan memahami penggunaan microsoft  word.</v>
      </c>
      <c r="AM29" s="196" t="e">
        <f>'PAI4'!CI29</f>
        <v>#DIV/0!</v>
      </c>
      <c r="AN29" s="196" t="e">
        <f>'PAI4'!CJ29</f>
        <v>#DIV/0!</v>
      </c>
      <c r="AO29" s="197" t="str">
        <f>'PAI4'!CO29</f>
        <v xml:space="preserve"> </v>
      </c>
      <c r="AP29" s="196" t="e">
        <f>'PKN4'!AD28</f>
        <v>#DIV/0!</v>
      </c>
      <c r="AQ29" s="196" t="e">
        <f>'PKN4'!AE28</f>
        <v>#DIV/0!</v>
      </c>
      <c r="AR29" s="195" t="str">
        <f>'PKN4'!AJ28</f>
        <v xml:space="preserve"> </v>
      </c>
      <c r="AS29" s="196" t="e">
        <f>BIND4!AP28</f>
        <v>#DIV/0!</v>
      </c>
      <c r="AT29" s="196" t="e">
        <f>BIND4!AQ28</f>
        <v>#DIV/0!</v>
      </c>
      <c r="AU29" s="195" t="str">
        <f>BIND4!AV28</f>
        <v xml:space="preserve"> </v>
      </c>
      <c r="AV29" s="196" t="e">
        <f>'MTK4'!AP28</f>
        <v>#DIV/0!</v>
      </c>
      <c r="AW29" s="196" t="e">
        <f>'MTK4'!AQ28</f>
        <v>#DIV/0!</v>
      </c>
      <c r="AX29" s="195" t="str">
        <f>'MTK4'!AV28</f>
        <v xml:space="preserve"> </v>
      </c>
      <c r="AY29" s="196" t="e">
        <f>'IPA4'!AJ28</f>
        <v>#DIV/0!</v>
      </c>
      <c r="AZ29" s="196" t="e">
        <f>'IPA4'!AK28</f>
        <v>#DIV/0!</v>
      </c>
      <c r="BA29" s="195" t="str">
        <f>'IPA4'!AP28</f>
        <v xml:space="preserve"> </v>
      </c>
      <c r="BB29" s="196" t="e">
        <f>'IPS4'!AG28</f>
        <v>#DIV/0!</v>
      </c>
      <c r="BC29" s="196" t="e">
        <f>'IPS4'!AH28</f>
        <v>#DIV/0!</v>
      </c>
      <c r="BD29" s="195" t="str">
        <f>'IPS4'!AM28</f>
        <v xml:space="preserve"> </v>
      </c>
      <c r="BE29" s="196" t="e">
        <f>SBDP4!AG28</f>
        <v>#DIV/0!</v>
      </c>
      <c r="BF29" s="196" t="e">
        <f>SBDP4!AH28</f>
        <v>#DIV/0!</v>
      </c>
      <c r="BG29" s="195" t="str">
        <f>SBDP4!AM28</f>
        <v xml:space="preserve"> </v>
      </c>
      <c r="BH29" s="196" t="e">
        <f>PJOK4!AJ28</f>
        <v>#DIV/0!</v>
      </c>
      <c r="BI29" s="196" t="e">
        <f>PJOK4!AK28</f>
        <v>#DIV/0!</v>
      </c>
      <c r="BJ29" s="197" t="str">
        <f>PJOK4!AP28</f>
        <v xml:space="preserve"> </v>
      </c>
      <c r="BK29" s="196" t="e">
        <f>'MLK1-4'!AG28</f>
        <v>#DIV/0!</v>
      </c>
      <c r="BL29" s="196" t="e">
        <f>'MLK1-4'!AH28</f>
        <v>#DIV/0!</v>
      </c>
      <c r="BM29" s="195" t="str">
        <f>'MLK1-4'!AM28</f>
        <v xml:space="preserve"> </v>
      </c>
      <c r="BN29" s="196" t="e">
        <f>'MLK2-4'!AG28</f>
        <v>#DIV/0!</v>
      </c>
      <c r="BO29" s="196" t="e">
        <f>'MLK2-4'!AH28</f>
        <v>#DIV/0!</v>
      </c>
      <c r="BP29" s="195" t="str">
        <f>'MLK2-4'!AM28</f>
        <v xml:space="preserve"> </v>
      </c>
      <c r="BQ29" s="196" t="e">
        <f>'MLK3-4'!AG28</f>
        <v>#DIV/0!</v>
      </c>
      <c r="BR29" s="196" t="e">
        <f>'MLK3-4'!AH28</f>
        <v>#DIV/0!</v>
      </c>
      <c r="BS29" s="195" t="str">
        <f>'MLK3-4'!AM28</f>
        <v xml:space="preserve"> </v>
      </c>
    </row>
    <row r="30" spans="1:71" ht="129.94999999999999" customHeight="1">
      <c r="A30" s="191">
        <v>25</v>
      </c>
      <c r="B30" s="191">
        <f>SISWA!B30</f>
        <v>0</v>
      </c>
      <c r="C30" s="192" t="str">
        <f>SISWA!C30</f>
        <v>Anak 25</v>
      </c>
      <c r="D30" s="193" t="str">
        <f>SPIRIT!Q29</f>
        <v xml:space="preserve">Ananda Anak 25 baik dalam  ketaatan beribadah,  berperilaku syukur,  berdoa sebelum dan sesudah melakukan kegiatan,  toleransi dalam beribadah, </v>
      </c>
      <c r="E30" s="193" t="str">
        <f>SOSIAL!W29</f>
        <v xml:space="preserve">Ananda Anak 25 baik dalam sikap jujur, disiplin, tanggung jawab, santun, peduli, percaya diri, kerja sama, </v>
      </c>
      <c r="F30" s="194">
        <f>'PAI3'!DU30</f>
        <v>94</v>
      </c>
      <c r="G30" s="194" t="str">
        <f>'PAI3'!DV30</f>
        <v>A</v>
      </c>
      <c r="H30" s="195" t="str">
        <f>'PAI3'!EA30</f>
        <v>Anak 25 sangat baik  dalam memahami Q.S. al- Falaq dan Q.S. al- Fil dengan baik dan benar, dan  cukup baik  dalam memahami perilaku hemat</v>
      </c>
      <c r="I30" s="194">
        <f>'PKN3'!AI29</f>
        <v>96</v>
      </c>
      <c r="J30" s="194" t="str">
        <f>'PKN3'!AJ29</f>
        <v>A</v>
      </c>
      <c r="K30" s="193" t="str">
        <f>'PKN3'!AO29</f>
        <v>Anak 25 sangat baik  dalam mengidentifikasi pelaksanaan kewajiban dan hak sebagai warga masyarakat dalam kehidupan sehari-hari., dan  sangat baik  dalam mengidentifikasi berbagai bentuk keragaman suku bangsa, sosial, dan budaya di Indonesia yang terikat persatuan dan kesatuan.</v>
      </c>
      <c r="L30" s="196">
        <f>BIND3!AU29</f>
        <v>97</v>
      </c>
      <c r="M30" s="196" t="str">
        <f>BIND3!AV29</f>
        <v>A</v>
      </c>
      <c r="N30" s="195" t="str">
        <f>BIND3!BA29</f>
        <v>Anak 25 sangat baik  dalam menggali pengetahuan baru yang terdapat pada teks nonfiksi., dan  sangat baik  dalam menggali isi dan amanat puisi yang disajikan secara lisan dan tulis dengan tujuan untuk kesenangan.</v>
      </c>
      <c r="O30" s="196">
        <f>'MTK3'!BC29</f>
        <v>97</v>
      </c>
      <c r="P30" s="196" t="str">
        <f>'MTK3'!BD29</f>
        <v>A</v>
      </c>
      <c r="Q30" s="195" t="str">
        <f>'MTK3'!BI29</f>
        <v>Anak 25 sangat baik  dalam menjelaskan dan melakukan penaksiran dari jumlah, selisih, hasil kali, dan hasil bagi dua bilangan cacah maupun pecahan dan desimal, dan  baik  dalam menjelaskan berbagai bentuk pecahan (biasa, campuran, desimal, dan persen) dan hubungan di antaranya</v>
      </c>
      <c r="R30" s="196">
        <f>'IPA3'!AM29</f>
        <v>99</v>
      </c>
      <c r="S30" s="196" t="str">
        <f>'IPA3'!AN29</f>
        <v>A</v>
      </c>
      <c r="T30" s="195" t="str">
        <f>'IPA3'!AS29</f>
        <v>Anak 25 sangat baik  dalam membandingkan siklus hidup beberapa jenis makhluk hidup serta mengaitkan dengan upaya pelestariannya.</v>
      </c>
      <c r="U30" s="196">
        <f>'IPS3'!AN29</f>
        <v>99</v>
      </c>
      <c r="V30" s="196" t="str">
        <f>'IPS3'!AO29</f>
        <v>A</v>
      </c>
      <c r="W30" s="195" t="str">
        <f>'IPS3'!AT29</f>
        <v>Anak 25 sangat baik  dalam mengidentifikasi karakteristik ruang dan pemanfaatan sumberdaya alam untuk kesejahteraan masyarakat dari tingkatkota/kabupaten sampai tingkat provinsi.</v>
      </c>
      <c r="X30" s="196">
        <f>SBDP3!AN29</f>
        <v>99</v>
      </c>
      <c r="Y30" s="196" t="str">
        <f>SBDP3!AO29</f>
        <v>A</v>
      </c>
      <c r="Z30" s="195" t="str">
        <f>SBDP3!AT29</f>
        <v>Anak 25 sangat baik  dalam mengetahui gambar dan bentuk tiga dimensi.</v>
      </c>
      <c r="AA30" s="196">
        <f>PJOK3!AV29</f>
        <v>95</v>
      </c>
      <c r="AB30" s="196" t="str">
        <f>PJOK3!AW29</f>
        <v>A</v>
      </c>
      <c r="AC30" s="195" t="str">
        <f>PJOK3!BB29</f>
        <v>Anak 25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0" s="196">
        <f>'MLK1-3'!AT29</f>
        <v>91</v>
      </c>
      <c r="AE30" s="196" t="str">
        <f>'MLK1-3'!AU29</f>
        <v>A</v>
      </c>
      <c r="AF30" s="197" t="str">
        <f>'MLK1-3'!AZ29</f>
        <v>Anak 25 sangat baik  dalam mengenal dan memahmi teks tembang dolanan, dan  baik  dalam mengenal dan memahami sandhangan aksara Jawa.</v>
      </c>
      <c r="AG30" s="196">
        <f>'MLK2-3'!AP29</f>
        <v>93</v>
      </c>
      <c r="AH30" s="196" t="str">
        <f>'MLK2-3'!AQ29</f>
        <v>A</v>
      </c>
      <c r="AI30" s="195" t="str">
        <f>'MLK2-3'!AV29</f>
        <v>Anak 25 sangat baik  dalam mengenal dan mengidentifikasi benda-benda di dapur dan nama-nama bunga, dan  baik  dalam memahami penggunaan kalimat yang menunjukkan letak suatu tempat</v>
      </c>
      <c r="AJ30" s="196">
        <f>'MLK3-3'!AP29</f>
        <v>89</v>
      </c>
      <c r="AK30" s="196" t="str">
        <f>'MLK3-3'!AQ29</f>
        <v>B</v>
      </c>
      <c r="AL30" s="197" t="str">
        <f>'MLK3-3'!AV29</f>
        <v>Anak 25 sangat baik  dalam mengenal dan memahami penggunaan microsoft  word., dan  baik  dalam memahami pembuatan dokumen di microsoft  word</v>
      </c>
      <c r="AM30" s="196" t="e">
        <f>'PAI4'!CI30</f>
        <v>#DIV/0!</v>
      </c>
      <c r="AN30" s="196" t="e">
        <f>'PAI4'!CJ30</f>
        <v>#DIV/0!</v>
      </c>
      <c r="AO30" s="197" t="str">
        <f>'PAI4'!CO30</f>
        <v xml:space="preserve"> </v>
      </c>
      <c r="AP30" s="196" t="e">
        <f>'PKN4'!AD29</f>
        <v>#DIV/0!</v>
      </c>
      <c r="AQ30" s="196" t="e">
        <f>'PKN4'!AE29</f>
        <v>#DIV/0!</v>
      </c>
      <c r="AR30" s="195" t="str">
        <f>'PKN4'!AJ29</f>
        <v xml:space="preserve"> </v>
      </c>
      <c r="AS30" s="196" t="e">
        <f>BIND4!AP29</f>
        <v>#DIV/0!</v>
      </c>
      <c r="AT30" s="196" t="e">
        <f>BIND4!AQ29</f>
        <v>#DIV/0!</v>
      </c>
      <c r="AU30" s="195" t="str">
        <f>BIND4!AV29</f>
        <v xml:space="preserve"> </v>
      </c>
      <c r="AV30" s="196" t="e">
        <f>'MTK4'!AP29</f>
        <v>#DIV/0!</v>
      </c>
      <c r="AW30" s="196" t="e">
        <f>'MTK4'!AQ29</f>
        <v>#DIV/0!</v>
      </c>
      <c r="AX30" s="195" t="str">
        <f>'MTK4'!AV29</f>
        <v xml:space="preserve"> </v>
      </c>
      <c r="AY30" s="196" t="e">
        <f>'IPA4'!AJ29</f>
        <v>#DIV/0!</v>
      </c>
      <c r="AZ30" s="196" t="e">
        <f>'IPA4'!AK29</f>
        <v>#DIV/0!</v>
      </c>
      <c r="BA30" s="195" t="str">
        <f>'IPA4'!AP29</f>
        <v xml:space="preserve"> </v>
      </c>
      <c r="BB30" s="196" t="e">
        <f>'IPS4'!AG29</f>
        <v>#DIV/0!</v>
      </c>
      <c r="BC30" s="196" t="e">
        <f>'IPS4'!AH29</f>
        <v>#DIV/0!</v>
      </c>
      <c r="BD30" s="195" t="str">
        <f>'IPS4'!AM29</f>
        <v xml:space="preserve"> </v>
      </c>
      <c r="BE30" s="196" t="e">
        <f>SBDP4!AG29</f>
        <v>#DIV/0!</v>
      </c>
      <c r="BF30" s="196" t="e">
        <f>SBDP4!AH29</f>
        <v>#DIV/0!</v>
      </c>
      <c r="BG30" s="195" t="str">
        <f>SBDP4!AM29</f>
        <v xml:space="preserve"> </v>
      </c>
      <c r="BH30" s="196" t="e">
        <f>PJOK4!AJ29</f>
        <v>#DIV/0!</v>
      </c>
      <c r="BI30" s="196" t="e">
        <f>PJOK4!AK29</f>
        <v>#DIV/0!</v>
      </c>
      <c r="BJ30" s="197" t="str">
        <f>PJOK4!AP29</f>
        <v xml:space="preserve"> </v>
      </c>
      <c r="BK30" s="196" t="e">
        <f>'MLK1-4'!AG29</f>
        <v>#DIV/0!</v>
      </c>
      <c r="BL30" s="196" t="e">
        <f>'MLK1-4'!AH29</f>
        <v>#DIV/0!</v>
      </c>
      <c r="BM30" s="195" t="str">
        <f>'MLK1-4'!AM29</f>
        <v xml:space="preserve"> </v>
      </c>
      <c r="BN30" s="196" t="e">
        <f>'MLK2-4'!AG29</f>
        <v>#DIV/0!</v>
      </c>
      <c r="BO30" s="196" t="e">
        <f>'MLK2-4'!AH29</f>
        <v>#DIV/0!</v>
      </c>
      <c r="BP30" s="195" t="str">
        <f>'MLK2-4'!AM29</f>
        <v xml:space="preserve"> </v>
      </c>
      <c r="BQ30" s="196" t="e">
        <f>'MLK3-4'!AG29</f>
        <v>#DIV/0!</v>
      </c>
      <c r="BR30" s="196" t="e">
        <f>'MLK3-4'!AH29</f>
        <v>#DIV/0!</v>
      </c>
      <c r="BS30" s="195" t="str">
        <f>'MLK3-4'!AM29</f>
        <v xml:space="preserve"> </v>
      </c>
    </row>
    <row r="31" spans="1:71" ht="129.94999999999999" customHeight="1">
      <c r="A31" s="191">
        <v>26</v>
      </c>
      <c r="B31" s="191">
        <f>SISWA!B31</f>
        <v>0</v>
      </c>
      <c r="C31" s="192" t="str">
        <f>SISWA!C31</f>
        <v>Anak 26</v>
      </c>
      <c r="D31" s="193" t="str">
        <f>SPIRIT!Q30</f>
        <v xml:space="preserve">Ananda Anak 26 baik dalam  ketaatan beribadah,  berperilaku syukur,  berdoa sebelum dan sesudah melakukan kegiatan,  toleransi dalam beribadah, </v>
      </c>
      <c r="E31" s="193" t="str">
        <f>SOSIAL!W30</f>
        <v xml:space="preserve">Ananda Anak 26 baik dalam sikap jujur, disiplin, tanggung jawab, santun, peduli, percaya diri, kerja sama, </v>
      </c>
      <c r="F31" s="194">
        <f>'PAI3'!DU31</f>
        <v>99</v>
      </c>
      <c r="G31" s="194" t="str">
        <f>'PAI3'!DV31</f>
        <v>A</v>
      </c>
      <c r="H31" s="195" t="str">
        <f>'PAI3'!EA31</f>
        <v>Anak 26 sangat baik  dalam memahami Q.S. al- Falaq dan Q.S. al- Fil dengan baik dan benar</v>
      </c>
      <c r="I31" s="194">
        <f>'PKN3'!AI30</f>
        <v>95</v>
      </c>
      <c r="J31" s="194" t="str">
        <f>'PKN3'!AJ30</f>
        <v>A</v>
      </c>
      <c r="K31" s="193" t="str">
        <f>'PKN3'!AO30</f>
        <v>Anak 26 sangat baik  dalam mengidentifikasi pelaksanaan kewajiban dan hak sebagai warga masyarakat dalam kehidupan sehari-hari., dan  sangat baik  dalam menjelaskan manfaat keberagaman karakteristik individu dalam kehidupan sehari-hari.</v>
      </c>
      <c r="L31" s="196">
        <f>BIND3!AU30</f>
        <v>96</v>
      </c>
      <c r="M31" s="196" t="str">
        <f>BIND3!AV30</f>
        <v>A</v>
      </c>
      <c r="N31" s="195" t="str">
        <f>BIND3!BA30</f>
        <v>Anak 26 sangat baik  dalam menggali pengetahuan baru yang terdapat pada teks nonfiksi., dan  sangat baik  dalam menggali informasi dari seorang tokoh melalui wawancara menggunakan daftar pertanyaan.</v>
      </c>
      <c r="O31" s="196">
        <f>'MTK3'!BC30</f>
        <v>96</v>
      </c>
      <c r="P31" s="196" t="str">
        <f>'MTK3'!BD30</f>
        <v>A</v>
      </c>
      <c r="Q31" s="195" t="str">
        <f>'MTK3'!BI30</f>
        <v>Anak 26 sangat baik  dalam menjelaskan dan melakukan penaksiran dari jumlah, selisih, hasil kali, dan hasil bagi dua bilangan cacah maupun pecahan dan desimal, dan  baik  dalam menjelaskan berbagai bentuk pecahan (biasa, campuran, desimal, dan persen) dan hubungan di antaranya</v>
      </c>
      <c r="R31" s="196">
        <f>'IPA3'!AM30</f>
        <v>99</v>
      </c>
      <c r="S31" s="196" t="str">
        <f>'IPA3'!AN30</f>
        <v>A</v>
      </c>
      <c r="T31" s="195" t="str">
        <f>'IPA3'!AS30</f>
        <v>Anak 26 sangat baik  dalam membandingkan siklus hidup beberapa jenis makhluk hidup serta mengaitkan dengan upaya pelestariannya.</v>
      </c>
      <c r="U31" s="196">
        <f>'IPS3'!AN30</f>
        <v>99</v>
      </c>
      <c r="V31" s="196" t="str">
        <f>'IPS3'!AO30</f>
        <v>A</v>
      </c>
      <c r="W31" s="195" t="str">
        <f>'IPS3'!AT30</f>
        <v>Anak 26 sangat baik  dalam mengidentifikasi karakteristik ruang dan pemanfaatan sumberdaya alam untuk kesejahteraan masyarakat dari tingkatkota/kabupaten sampai tingkat provinsi.</v>
      </c>
      <c r="X31" s="196">
        <f>SBDP3!AN30</f>
        <v>99</v>
      </c>
      <c r="Y31" s="196" t="str">
        <f>SBDP3!AO30</f>
        <v>A</v>
      </c>
      <c r="Z31" s="195" t="str">
        <f>SBDP3!AT30</f>
        <v>Anak 26 sangat baik  dalam mengetahui gambar dan bentuk tiga dimensi.</v>
      </c>
      <c r="AA31" s="196">
        <f>PJOK3!AV30</f>
        <v>94</v>
      </c>
      <c r="AB31" s="196" t="str">
        <f>PJOK3!AW30</f>
        <v>A</v>
      </c>
      <c r="AC31" s="195" t="str">
        <f>PJOK3!BB30</f>
        <v>Anak 26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1" s="196">
        <f>'MLK1-3'!AT30</f>
        <v>89</v>
      </c>
      <c r="AE31" s="196" t="str">
        <f>'MLK1-3'!AU30</f>
        <v>B</v>
      </c>
      <c r="AF31" s="197" t="str">
        <f>'MLK1-3'!AZ30</f>
        <v>Anak 26 sangat baik  dalam mengenal dan memahmi teks tembang dolanan, dan  baik  dalam mengenal dan memahami sandhangan aksara Jawa.</v>
      </c>
      <c r="AG31" s="196">
        <f>'MLK2-3'!AP30</f>
        <v>92</v>
      </c>
      <c r="AH31" s="196" t="str">
        <f>'MLK2-3'!AQ30</f>
        <v>A</v>
      </c>
      <c r="AI31" s="195" t="str">
        <f>'MLK2-3'!AV30</f>
        <v>Anak 26 sangat baik  dalam mengenal dan mengidentifikasi benda-benda di dapur dan nama-nama bunga, dan  baik  dalam memahami penggunaan kalimat yang menunjukkan letak suatu tempat</v>
      </c>
      <c r="AJ31" s="196">
        <f>'MLK3-3'!AP30</f>
        <v>87</v>
      </c>
      <c r="AK31" s="196" t="str">
        <f>'MLK3-3'!AQ30</f>
        <v>B</v>
      </c>
      <c r="AL31" s="197" t="str">
        <f>'MLK3-3'!AV30</f>
        <v>Anak 26 baik  dalam mengenal dan memahami penggunaan microsoft  word.</v>
      </c>
      <c r="AM31" s="196" t="e">
        <f>'PAI4'!CI31</f>
        <v>#DIV/0!</v>
      </c>
      <c r="AN31" s="196" t="e">
        <f>'PAI4'!CJ31</f>
        <v>#DIV/0!</v>
      </c>
      <c r="AO31" s="197" t="str">
        <f>'PAI4'!CO31</f>
        <v xml:space="preserve"> </v>
      </c>
      <c r="AP31" s="196" t="e">
        <f>'PKN4'!AD30</f>
        <v>#DIV/0!</v>
      </c>
      <c r="AQ31" s="196" t="e">
        <f>'PKN4'!AE30</f>
        <v>#DIV/0!</v>
      </c>
      <c r="AR31" s="195" t="str">
        <f>'PKN4'!AJ30</f>
        <v xml:space="preserve"> </v>
      </c>
      <c r="AS31" s="196" t="e">
        <f>BIND4!AP30</f>
        <v>#DIV/0!</v>
      </c>
      <c r="AT31" s="196" t="e">
        <f>BIND4!AQ30</f>
        <v>#DIV/0!</v>
      </c>
      <c r="AU31" s="195" t="str">
        <f>BIND4!AV30</f>
        <v xml:space="preserve"> </v>
      </c>
      <c r="AV31" s="196" t="e">
        <f>'MTK4'!AP30</f>
        <v>#DIV/0!</v>
      </c>
      <c r="AW31" s="196" t="e">
        <f>'MTK4'!AQ30</f>
        <v>#DIV/0!</v>
      </c>
      <c r="AX31" s="195" t="str">
        <f>'MTK4'!AV30</f>
        <v xml:space="preserve"> </v>
      </c>
      <c r="AY31" s="196" t="e">
        <f>'IPA4'!AJ30</f>
        <v>#DIV/0!</v>
      </c>
      <c r="AZ31" s="196" t="e">
        <f>'IPA4'!AK30</f>
        <v>#DIV/0!</v>
      </c>
      <c r="BA31" s="195" t="str">
        <f>'IPA4'!AP30</f>
        <v xml:space="preserve"> </v>
      </c>
      <c r="BB31" s="196" t="e">
        <f>'IPS4'!AG30</f>
        <v>#DIV/0!</v>
      </c>
      <c r="BC31" s="196" t="e">
        <f>'IPS4'!AH30</f>
        <v>#DIV/0!</v>
      </c>
      <c r="BD31" s="195" t="str">
        <f>'IPS4'!AM30</f>
        <v xml:space="preserve"> </v>
      </c>
      <c r="BE31" s="196" t="e">
        <f>SBDP4!AG30</f>
        <v>#DIV/0!</v>
      </c>
      <c r="BF31" s="196" t="e">
        <f>SBDP4!AH30</f>
        <v>#DIV/0!</v>
      </c>
      <c r="BG31" s="195" t="str">
        <f>SBDP4!AM30</f>
        <v xml:space="preserve"> </v>
      </c>
      <c r="BH31" s="196" t="e">
        <f>PJOK4!AJ30</f>
        <v>#DIV/0!</v>
      </c>
      <c r="BI31" s="196" t="e">
        <f>PJOK4!AK30</f>
        <v>#DIV/0!</v>
      </c>
      <c r="BJ31" s="197" t="str">
        <f>PJOK4!AP30</f>
        <v xml:space="preserve"> </v>
      </c>
      <c r="BK31" s="196" t="e">
        <f>'MLK1-4'!AG30</f>
        <v>#DIV/0!</v>
      </c>
      <c r="BL31" s="196" t="e">
        <f>'MLK1-4'!AH30</f>
        <v>#DIV/0!</v>
      </c>
      <c r="BM31" s="195" t="str">
        <f>'MLK1-4'!AM30</f>
        <v xml:space="preserve"> </v>
      </c>
      <c r="BN31" s="196" t="e">
        <f>'MLK2-4'!AG30</f>
        <v>#DIV/0!</v>
      </c>
      <c r="BO31" s="196" t="e">
        <f>'MLK2-4'!AH30</f>
        <v>#DIV/0!</v>
      </c>
      <c r="BP31" s="195" t="str">
        <f>'MLK2-4'!AM30</f>
        <v xml:space="preserve"> </v>
      </c>
      <c r="BQ31" s="196" t="e">
        <f>'MLK3-4'!AG30</f>
        <v>#DIV/0!</v>
      </c>
      <c r="BR31" s="196" t="e">
        <f>'MLK3-4'!AH30</f>
        <v>#DIV/0!</v>
      </c>
      <c r="BS31" s="195" t="str">
        <f>'MLK3-4'!AM30</f>
        <v xml:space="preserve"> </v>
      </c>
    </row>
    <row r="32" spans="1:71" ht="129.94999999999999" customHeight="1">
      <c r="A32" s="191">
        <v>27</v>
      </c>
      <c r="B32" s="191">
        <f>SISWA!B32</f>
        <v>0</v>
      </c>
      <c r="C32" s="192" t="str">
        <f>SISWA!C32</f>
        <v>Anak 27</v>
      </c>
      <c r="D32" s="193" t="str">
        <f>SPIRIT!Q31</f>
        <v xml:space="preserve">Ananda Anak 27 baik dalam  ketaatan beribadah,  berperilaku syukur,  berdoa sebelum dan sesudah melakukan kegiatan,  toleransi dalam beribadah, </v>
      </c>
      <c r="E32" s="193" t="str">
        <f>SOSIAL!W31</f>
        <v xml:space="preserve">Ananda Anak 27 baik dalam sikap jujur, disiplin, tanggung jawab, santun, peduli, percaya diri, kerja sama, </v>
      </c>
      <c r="F32" s="194">
        <f>'PAI3'!DU32</f>
        <v>99</v>
      </c>
      <c r="G32" s="194" t="str">
        <f>'PAI3'!DV32</f>
        <v>A</v>
      </c>
      <c r="H32" s="195" t="str">
        <f>'PAI3'!EA32</f>
        <v>Anak 27 sangat baik  dalam memahami Q.S. al- Falaq dan Q.S. al- Fil dengan baik dan benar</v>
      </c>
      <c r="I32" s="194">
        <f>'PKN3'!AI31</f>
        <v>95</v>
      </c>
      <c r="J32" s="194" t="str">
        <f>'PKN3'!AJ31</f>
        <v>A</v>
      </c>
      <c r="K32" s="193" t="str">
        <f>'PKN3'!AO31</f>
        <v>Anak 27 sangat baik  dalam mengidentifikasi pelaksanaan kewajiban dan hak sebagai warga masyarakat dalam kehidupan sehari-hari., dan  sangat baik  dalam menjelaskan manfaat keberagaman karakteristik individu dalam kehidupan sehari-hari.</v>
      </c>
      <c r="L32" s="196">
        <f>BIND3!AU31</f>
        <v>96</v>
      </c>
      <c r="M32" s="196" t="str">
        <f>BIND3!AV31</f>
        <v>A</v>
      </c>
      <c r="N32" s="195" t="str">
        <f>BIND3!BA31</f>
        <v>Anak 27 sangat baik  dalam menggali pengetahuan baru yang terdapat pada teks nonfiksi., dan  sangat baik  dalam menggali informasi dari seorang tokoh melalui wawancara menggunakan daftar pertanyaan.</v>
      </c>
      <c r="O32" s="196">
        <f>'MTK3'!BC31</f>
        <v>96</v>
      </c>
      <c r="P32" s="196" t="str">
        <f>'MTK3'!BD31</f>
        <v>A</v>
      </c>
      <c r="Q32" s="195" t="str">
        <f>'MTK3'!BI31</f>
        <v>Anak 27 sangat baik  dalam menjelaskan dan melakukan penaksiran dari jumlah, selisih, hasil kali, dan hasil bagi dua bilangan cacah maupun pecahan dan desimal, dan  baik  dalam menjelaskan berbagai bentuk pecahan (biasa, campuran, desimal, dan persen) dan hubungan di antaranya</v>
      </c>
      <c r="R32" s="196">
        <f>'IPA3'!AM31</f>
        <v>99</v>
      </c>
      <c r="S32" s="196" t="str">
        <f>'IPA3'!AN31</f>
        <v>A</v>
      </c>
      <c r="T32" s="195" t="str">
        <f>'IPA3'!AS31</f>
        <v>Anak 27 sangat baik  dalam membandingkan siklus hidup beberapa jenis makhluk hidup serta mengaitkan dengan upaya pelestariannya.</v>
      </c>
      <c r="U32" s="196">
        <f>'IPS3'!AN31</f>
        <v>99</v>
      </c>
      <c r="V32" s="196" t="str">
        <f>'IPS3'!AO31</f>
        <v>A</v>
      </c>
      <c r="W32" s="195" t="str">
        <f>'IPS3'!AT31</f>
        <v>Anak 27 sangat baik  dalam mengidentifikasi karakteristik ruang dan pemanfaatan sumberdaya alam untuk kesejahteraan masyarakat dari tingkatkota/kabupaten sampai tingkat provinsi.</v>
      </c>
      <c r="X32" s="196">
        <f>SBDP3!AN31</f>
        <v>99</v>
      </c>
      <c r="Y32" s="196" t="str">
        <f>SBDP3!AO31</f>
        <v>A</v>
      </c>
      <c r="Z32" s="195" t="str">
        <f>SBDP3!AT31</f>
        <v>Anak 27 sangat baik  dalam mengetahui gambar dan bentuk tiga dimensi.</v>
      </c>
      <c r="AA32" s="196">
        <f>PJOK3!AV31</f>
        <v>94</v>
      </c>
      <c r="AB32" s="196" t="str">
        <f>PJOK3!AW31</f>
        <v>A</v>
      </c>
      <c r="AC32" s="195" t="str">
        <f>PJOK3!BB31</f>
        <v>Anak 27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2" s="196">
        <f>'MLK1-3'!AT31</f>
        <v>89</v>
      </c>
      <c r="AE32" s="196" t="str">
        <f>'MLK1-3'!AU31</f>
        <v>B</v>
      </c>
      <c r="AF32" s="197" t="str">
        <f>'MLK1-3'!AZ31</f>
        <v>Anak 27 sangat baik  dalam mengenal dan memahmi teks tembang dolanan, dan  baik  dalam mengenal dan memahami sandhangan aksara Jawa.</v>
      </c>
      <c r="AG32" s="196">
        <f>'MLK2-3'!AP31</f>
        <v>92</v>
      </c>
      <c r="AH32" s="196" t="str">
        <f>'MLK2-3'!AQ31</f>
        <v>A</v>
      </c>
      <c r="AI32" s="195" t="str">
        <f>'MLK2-3'!AV31</f>
        <v>Anak 27 sangat baik  dalam mengenal dan mengidentifikasi benda-benda di dapur dan nama-nama bunga, dan  baik  dalam memahami penggunaan kalimat yang menunjukkan letak suatu tempat</v>
      </c>
      <c r="AJ32" s="196">
        <f>'MLK3-3'!AP31</f>
        <v>87</v>
      </c>
      <c r="AK32" s="196" t="str">
        <f>'MLK3-3'!AQ31</f>
        <v>B</v>
      </c>
      <c r="AL32" s="197" t="str">
        <f>'MLK3-3'!AV31</f>
        <v>Anak 27 baik  dalam mengenal dan memahami penggunaan microsoft  word.</v>
      </c>
      <c r="AM32" s="196" t="e">
        <f>'PAI4'!CI32</f>
        <v>#DIV/0!</v>
      </c>
      <c r="AN32" s="196" t="e">
        <f>'PAI4'!CJ32</f>
        <v>#DIV/0!</v>
      </c>
      <c r="AO32" s="197" t="str">
        <f>'PAI4'!CO32</f>
        <v xml:space="preserve"> </v>
      </c>
      <c r="AP32" s="196" t="e">
        <f>'PKN4'!AD31</f>
        <v>#DIV/0!</v>
      </c>
      <c r="AQ32" s="196" t="e">
        <f>'PKN4'!AE31</f>
        <v>#DIV/0!</v>
      </c>
      <c r="AR32" s="195" t="str">
        <f>'PKN4'!AJ31</f>
        <v xml:space="preserve"> </v>
      </c>
      <c r="AS32" s="196" t="e">
        <f>BIND4!AP31</f>
        <v>#DIV/0!</v>
      </c>
      <c r="AT32" s="196" t="e">
        <f>BIND4!AQ31</f>
        <v>#DIV/0!</v>
      </c>
      <c r="AU32" s="195" t="str">
        <f>BIND4!AV31</f>
        <v xml:space="preserve"> </v>
      </c>
      <c r="AV32" s="196" t="e">
        <f>'MTK4'!AP31</f>
        <v>#DIV/0!</v>
      </c>
      <c r="AW32" s="196" t="e">
        <f>'MTK4'!AQ31</f>
        <v>#DIV/0!</v>
      </c>
      <c r="AX32" s="195" t="str">
        <f>'MTK4'!AV31</f>
        <v xml:space="preserve"> </v>
      </c>
      <c r="AY32" s="196" t="e">
        <f>'IPA4'!AJ31</f>
        <v>#DIV/0!</v>
      </c>
      <c r="AZ32" s="196" t="e">
        <f>'IPA4'!AK31</f>
        <v>#DIV/0!</v>
      </c>
      <c r="BA32" s="195" t="str">
        <f>'IPA4'!AP31</f>
        <v xml:space="preserve"> </v>
      </c>
      <c r="BB32" s="196" t="e">
        <f>'IPS4'!AG31</f>
        <v>#DIV/0!</v>
      </c>
      <c r="BC32" s="196" t="e">
        <f>'IPS4'!AH31</f>
        <v>#DIV/0!</v>
      </c>
      <c r="BD32" s="195" t="str">
        <f>'IPS4'!AM31</f>
        <v xml:space="preserve"> </v>
      </c>
      <c r="BE32" s="196" t="e">
        <f>SBDP4!AG31</f>
        <v>#DIV/0!</v>
      </c>
      <c r="BF32" s="196" t="e">
        <f>SBDP4!AH31</f>
        <v>#DIV/0!</v>
      </c>
      <c r="BG32" s="195" t="str">
        <f>SBDP4!AM31</f>
        <v xml:space="preserve"> </v>
      </c>
      <c r="BH32" s="196" t="e">
        <f>PJOK4!AJ31</f>
        <v>#DIV/0!</v>
      </c>
      <c r="BI32" s="196" t="e">
        <f>PJOK4!AK31</f>
        <v>#DIV/0!</v>
      </c>
      <c r="BJ32" s="197" t="str">
        <f>PJOK4!AP31</f>
        <v xml:space="preserve"> </v>
      </c>
      <c r="BK32" s="196" t="e">
        <f>'MLK1-4'!AG31</f>
        <v>#DIV/0!</v>
      </c>
      <c r="BL32" s="196" t="e">
        <f>'MLK1-4'!AH31</f>
        <v>#DIV/0!</v>
      </c>
      <c r="BM32" s="195" t="str">
        <f>'MLK1-4'!AM31</f>
        <v xml:space="preserve"> </v>
      </c>
      <c r="BN32" s="196" t="e">
        <f>'MLK2-4'!AG31</f>
        <v>#DIV/0!</v>
      </c>
      <c r="BO32" s="196" t="e">
        <f>'MLK2-4'!AH31</f>
        <v>#DIV/0!</v>
      </c>
      <c r="BP32" s="195" t="str">
        <f>'MLK2-4'!AM31</f>
        <v xml:space="preserve"> </v>
      </c>
      <c r="BQ32" s="196" t="e">
        <f>'MLK3-4'!AG31</f>
        <v>#DIV/0!</v>
      </c>
      <c r="BR32" s="196" t="e">
        <f>'MLK3-4'!AH31</f>
        <v>#DIV/0!</v>
      </c>
      <c r="BS32" s="195" t="str">
        <f>'MLK3-4'!AM31</f>
        <v xml:space="preserve"> </v>
      </c>
    </row>
    <row r="33" spans="1:71" ht="129.94999999999999" customHeight="1">
      <c r="A33" s="191">
        <v>28</v>
      </c>
      <c r="B33" s="191">
        <f>SISWA!B33</f>
        <v>0</v>
      </c>
      <c r="C33" s="192" t="str">
        <f>SISWA!C33</f>
        <v>Anak 28</v>
      </c>
      <c r="D33" s="193" t="str">
        <f>SPIRIT!Q32</f>
        <v xml:space="preserve">Ananda Anak 28 baik dalam  ketaatan beribadah,  berperilaku syukur,  berdoa sebelum dan sesudah melakukan kegiatan,  toleransi dalam beribadah, </v>
      </c>
      <c r="E33" s="193" t="str">
        <f>SOSIAL!W32</f>
        <v xml:space="preserve">Ananda Anak 28 baik dalam sikap jujur, disiplin, tanggung jawab, santun, peduli, percaya diri, kerja sama, </v>
      </c>
      <c r="F33" s="194">
        <f>'PAI3'!DU33</f>
        <v>99</v>
      </c>
      <c r="G33" s="194" t="str">
        <f>'PAI3'!DV33</f>
        <v>A</v>
      </c>
      <c r="H33" s="195" t="str">
        <f>'PAI3'!EA33</f>
        <v>Anak 28 sangat baik  dalam memahami Q.S. al- Falaq dan Q.S. al- Fil dengan baik dan benar</v>
      </c>
      <c r="I33" s="194">
        <f>'PKN3'!AI32</f>
        <v>96</v>
      </c>
      <c r="J33" s="194" t="str">
        <f>'PKN3'!AJ32</f>
        <v>A</v>
      </c>
      <c r="K33" s="193" t="str">
        <f>'PKN3'!AO32</f>
        <v>Anak 28 sangat baik  dalam mengidentifikasi pelaksanaan kewajiban dan hak sebagai warga masyarakat dalam kehidupan sehari-hari., dan  sangat baik  dalam menjelaskan manfaat keberagaman karakteristik individu dalam kehidupan sehari-hari.</v>
      </c>
      <c r="L33" s="196">
        <f>BIND3!AU32</f>
        <v>97</v>
      </c>
      <c r="M33" s="196" t="str">
        <f>BIND3!AV32</f>
        <v>A</v>
      </c>
      <c r="N33" s="195" t="str">
        <f>BIND3!BA32</f>
        <v>Anak 28 sangat baik  dalam menggali pengetahuan baru yang terdapat pada teks nonfiksi., dan  sangat baik  dalam menggali informasi dari seorang tokoh melalui wawancara menggunakan daftar pertanyaan.</v>
      </c>
      <c r="O33" s="196">
        <f>'MTK3'!BC32</f>
        <v>97</v>
      </c>
      <c r="P33" s="196" t="str">
        <f>'MTK3'!BD32</f>
        <v>A</v>
      </c>
      <c r="Q33" s="195" t="str">
        <f>'MTK3'!BI32</f>
        <v>Anak 28 sangat baik  dalam menjelaskan dan melakukan penaksiran dari jumlah, selisih, hasil kali, dan hasil bagi dua bilangan cacah maupun pecahan dan desimal, dan  baik  dalam menjelaskan berbagai bentuk pecahan (biasa, campuran, desimal, dan persen) dan hubungan di antaranya</v>
      </c>
      <c r="R33" s="196">
        <f>'IPA3'!AM32</f>
        <v>99</v>
      </c>
      <c r="S33" s="196" t="str">
        <f>'IPA3'!AN32</f>
        <v>A</v>
      </c>
      <c r="T33" s="195" t="str">
        <f>'IPA3'!AS32</f>
        <v>Anak 28 sangat baik  dalam membandingkan siklus hidup beberapa jenis makhluk hidup serta mengaitkan dengan upaya pelestariannya.</v>
      </c>
      <c r="U33" s="196">
        <f>'IPS3'!AN32</f>
        <v>99</v>
      </c>
      <c r="V33" s="196" t="str">
        <f>'IPS3'!AO32</f>
        <v>A</v>
      </c>
      <c r="W33" s="195" t="str">
        <f>'IPS3'!AT32</f>
        <v>Anak 28 sangat baik  dalam mengidentifikasi karakteristik ruang dan pemanfaatan sumberdaya alam untuk kesejahteraan masyarakat dari tingkatkota/kabupaten sampai tingkat provinsi.</v>
      </c>
      <c r="X33" s="196">
        <f>SBDP3!AN32</f>
        <v>99</v>
      </c>
      <c r="Y33" s="196" t="str">
        <f>SBDP3!AO32</f>
        <v>A</v>
      </c>
      <c r="Z33" s="195" t="str">
        <f>SBDP3!AT32</f>
        <v>Anak 28 sangat baik  dalam mengetahui gambar dan bentuk tiga dimensi.</v>
      </c>
      <c r="AA33" s="196">
        <f>PJOK3!AV32</f>
        <v>95</v>
      </c>
      <c r="AB33" s="196" t="str">
        <f>PJOK3!AW32</f>
        <v>A</v>
      </c>
      <c r="AC33" s="195" t="str">
        <f>PJOK3!BB32</f>
        <v>Anak 28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3" s="196">
        <f>'MLK1-3'!AT32</f>
        <v>91</v>
      </c>
      <c r="AE33" s="196" t="str">
        <f>'MLK1-3'!AU32</f>
        <v>A</v>
      </c>
      <c r="AF33" s="197" t="str">
        <f>'MLK1-3'!AZ32</f>
        <v>Anak 28 sangat baik  dalam mengenal, memahami, dan mengidentifikasi kata berimbuhan dalam teks sesuai kaidah, dan  baik  dalam mengenal dan memahami sandhangan aksara Jawa.</v>
      </c>
      <c r="AG33" s="196">
        <f>'MLK2-3'!AP32</f>
        <v>93</v>
      </c>
      <c r="AH33" s="196" t="str">
        <f>'MLK2-3'!AQ32</f>
        <v>A</v>
      </c>
      <c r="AI33" s="195" t="str">
        <f>'MLK2-3'!AV32</f>
        <v>Anak 28 sangat baik  dalam mengenal dan mengidentifikasi benda-benda di dapur dan nama-nama bunga, dan  baik  dalam memahami penggunaan kalimat yang menunjukkan letak suatu tempat</v>
      </c>
      <c r="AJ33" s="196">
        <f>'MLK3-3'!AP32</f>
        <v>89</v>
      </c>
      <c r="AK33" s="196" t="str">
        <f>'MLK3-3'!AQ32</f>
        <v>B</v>
      </c>
      <c r="AL33" s="197" t="str">
        <f>'MLK3-3'!AV32</f>
        <v>Anak 28 sangat baik  dalam memahami pembuatan dokumen di microsoft  word, dan  baik  dalam mengenal dan memahami penggunaan microsoft  word.</v>
      </c>
      <c r="AM33" s="196" t="e">
        <f>'PAI4'!CI33</f>
        <v>#DIV/0!</v>
      </c>
      <c r="AN33" s="196" t="e">
        <f>'PAI4'!CJ33</f>
        <v>#DIV/0!</v>
      </c>
      <c r="AO33" s="197" t="str">
        <f>'PAI4'!CO33</f>
        <v xml:space="preserve"> </v>
      </c>
      <c r="AP33" s="196" t="e">
        <f>'PKN4'!AD32</f>
        <v>#DIV/0!</v>
      </c>
      <c r="AQ33" s="196" t="e">
        <f>'PKN4'!AE32</f>
        <v>#DIV/0!</v>
      </c>
      <c r="AR33" s="195" t="str">
        <f>'PKN4'!AJ32</f>
        <v xml:space="preserve"> </v>
      </c>
      <c r="AS33" s="196" t="e">
        <f>BIND4!AP32</f>
        <v>#DIV/0!</v>
      </c>
      <c r="AT33" s="196" t="e">
        <f>BIND4!AQ32</f>
        <v>#DIV/0!</v>
      </c>
      <c r="AU33" s="195" t="str">
        <f>BIND4!AV32</f>
        <v xml:space="preserve"> </v>
      </c>
      <c r="AV33" s="196" t="e">
        <f>'MTK4'!AP32</f>
        <v>#DIV/0!</v>
      </c>
      <c r="AW33" s="196" t="e">
        <f>'MTK4'!AQ32</f>
        <v>#DIV/0!</v>
      </c>
      <c r="AX33" s="195" t="str">
        <f>'MTK4'!AV32</f>
        <v xml:space="preserve"> </v>
      </c>
      <c r="AY33" s="196" t="e">
        <f>'IPA4'!AJ32</f>
        <v>#DIV/0!</v>
      </c>
      <c r="AZ33" s="196" t="e">
        <f>'IPA4'!AK32</f>
        <v>#DIV/0!</v>
      </c>
      <c r="BA33" s="195" t="str">
        <f>'IPA4'!AP32</f>
        <v xml:space="preserve"> </v>
      </c>
      <c r="BB33" s="196" t="e">
        <f>'IPS4'!AG32</f>
        <v>#DIV/0!</v>
      </c>
      <c r="BC33" s="196" t="e">
        <f>'IPS4'!AH32</f>
        <v>#DIV/0!</v>
      </c>
      <c r="BD33" s="195" t="str">
        <f>'IPS4'!AM32</f>
        <v xml:space="preserve"> </v>
      </c>
      <c r="BE33" s="196" t="e">
        <f>SBDP4!AG32</f>
        <v>#DIV/0!</v>
      </c>
      <c r="BF33" s="196" t="e">
        <f>SBDP4!AH32</f>
        <v>#DIV/0!</v>
      </c>
      <c r="BG33" s="195" t="str">
        <f>SBDP4!AM32</f>
        <v xml:space="preserve"> </v>
      </c>
      <c r="BH33" s="196" t="e">
        <f>PJOK4!AJ32</f>
        <v>#DIV/0!</v>
      </c>
      <c r="BI33" s="196" t="e">
        <f>PJOK4!AK32</f>
        <v>#DIV/0!</v>
      </c>
      <c r="BJ33" s="197" t="str">
        <f>PJOK4!AP32</f>
        <v xml:space="preserve"> </v>
      </c>
      <c r="BK33" s="196" t="e">
        <f>'MLK1-4'!AG32</f>
        <v>#DIV/0!</v>
      </c>
      <c r="BL33" s="196" t="e">
        <f>'MLK1-4'!AH32</f>
        <v>#DIV/0!</v>
      </c>
      <c r="BM33" s="195" t="str">
        <f>'MLK1-4'!AM32</f>
        <v xml:space="preserve"> </v>
      </c>
      <c r="BN33" s="196" t="e">
        <f>'MLK2-4'!AG32</f>
        <v>#DIV/0!</v>
      </c>
      <c r="BO33" s="196" t="e">
        <f>'MLK2-4'!AH32</f>
        <v>#DIV/0!</v>
      </c>
      <c r="BP33" s="195" t="str">
        <f>'MLK2-4'!AM32</f>
        <v xml:space="preserve"> </v>
      </c>
      <c r="BQ33" s="196" t="e">
        <f>'MLK3-4'!AG32</f>
        <v>#DIV/0!</v>
      </c>
      <c r="BR33" s="196" t="e">
        <f>'MLK3-4'!AH32</f>
        <v>#DIV/0!</v>
      </c>
      <c r="BS33" s="195" t="str">
        <f>'MLK3-4'!AM32</f>
        <v xml:space="preserve"> </v>
      </c>
    </row>
    <row r="34" spans="1:71" ht="129.94999999999999" customHeight="1">
      <c r="A34" s="191">
        <v>29</v>
      </c>
      <c r="B34" s="191">
        <f>SISWA!B34</f>
        <v>0</v>
      </c>
      <c r="C34" s="192" t="str">
        <f>SISWA!C34</f>
        <v>Anak 29</v>
      </c>
      <c r="D34" s="193" t="str">
        <f>SPIRIT!Q33</f>
        <v xml:space="preserve">Ananda Anak 29 baik dalam  ketaatan beribadah,  berperilaku syukur,  berdoa sebelum dan sesudah melakukan kegiatan,  toleransi dalam beribadah, </v>
      </c>
      <c r="E34" s="193" t="str">
        <f>SOSIAL!W33</f>
        <v xml:space="preserve">Ananda Anak 29 baik dalam sikap jujur, disiplin, tanggung jawab, santun, peduli, percaya diri, kerja sama, </v>
      </c>
      <c r="F34" s="194">
        <f>'PAI3'!DU34</f>
        <v>99</v>
      </c>
      <c r="G34" s="194" t="str">
        <f>'PAI3'!DV34</f>
        <v>A</v>
      </c>
      <c r="H34" s="195" t="str">
        <f>'PAI3'!EA34</f>
        <v>Anak 29 sangat baik  dalam memahami Q.S. al- Falaq dan Q.S. al- Fil dengan baik dan benar</v>
      </c>
      <c r="I34" s="194">
        <f>'PKN3'!AI33</f>
        <v>95</v>
      </c>
      <c r="J34" s="194" t="str">
        <f>'PKN3'!AJ33</f>
        <v>A</v>
      </c>
      <c r="K34" s="193" t="str">
        <f>'PKN3'!AO33</f>
        <v>Anak 29 sangat baik  dalam mengidentifikasi pelaksanaan kewajiban dan hak sebagai warga masyarakat dalam kehidupan sehari-hari., dan  sangat baik  dalam mengidentifikasi berbagai bentuk keragaman suku bangsa, sosial, dan budaya di Indonesia yang terikat persatuan dan kesatuan.</v>
      </c>
      <c r="L34" s="196">
        <f>BIND3!AU33</f>
        <v>96</v>
      </c>
      <c r="M34" s="196" t="str">
        <f>BIND3!AV33</f>
        <v>A</v>
      </c>
      <c r="N34" s="195" t="str">
        <f>BIND3!BA33</f>
        <v>Anak 29 sangat baik  dalam menggali pengetahuan baru yang terdapat pada teks nonfiksi., dan  sangat baik  dalam menggali isi dan amanat puisi yang disajikan secara lisan dan tulis dengan tujuan untuk kesenangan.</v>
      </c>
      <c r="O34" s="196">
        <f>'MTK3'!BC33</f>
        <v>97</v>
      </c>
      <c r="P34" s="196" t="str">
        <f>'MTK3'!BD33</f>
        <v>A</v>
      </c>
      <c r="Q34" s="195" t="str">
        <f>'MTK3'!BI33</f>
        <v>Anak 29 sangat baik  dalam menjelaskan dan melakukan penaksiran dari jumlah, selisih, hasil kali, dan hasil bagi dua bilangan cacah maupun pecahan dan desimal, dan  baik  dalam menjelaskan berbagai bentuk pecahan (biasa, campuran, desimal, dan persen) dan hubungan di antaranya</v>
      </c>
      <c r="R34" s="196">
        <f>'IPA3'!AM33</f>
        <v>99</v>
      </c>
      <c r="S34" s="196" t="str">
        <f>'IPA3'!AN33</f>
        <v>A</v>
      </c>
      <c r="T34" s="195" t="str">
        <f>'IPA3'!AS33</f>
        <v>Anak 29 sangat baik  dalam membandingkan siklus hidup beberapa jenis makhluk hidup serta mengaitkan dengan upaya pelestariannya.</v>
      </c>
      <c r="U34" s="196">
        <f>'IPS3'!AN33</f>
        <v>99</v>
      </c>
      <c r="V34" s="196" t="str">
        <f>'IPS3'!AO33</f>
        <v>A</v>
      </c>
      <c r="W34" s="195" t="str">
        <f>'IPS3'!AT33</f>
        <v>Anak 29 sangat baik  dalam mengidentifikasi karakteristik ruang dan pemanfaatan sumberdaya alam untuk kesejahteraan masyarakat dari tingkatkota/kabupaten sampai tingkat provinsi.</v>
      </c>
      <c r="X34" s="196">
        <f>SBDP3!AN33</f>
        <v>99</v>
      </c>
      <c r="Y34" s="196" t="str">
        <f>SBDP3!AO33</f>
        <v>A</v>
      </c>
      <c r="Z34" s="195" t="str">
        <f>SBDP3!AT33</f>
        <v>Anak 29 sangat baik  dalam mengetahui gambar dan bentuk tiga dimensi.</v>
      </c>
      <c r="AA34" s="196">
        <f>PJOK3!AV33</f>
        <v>94</v>
      </c>
      <c r="AB34" s="196" t="str">
        <f>PJOK3!AW33</f>
        <v>A</v>
      </c>
      <c r="AC34" s="195" t="str">
        <f>PJOK3!BB33</f>
        <v>Anak 29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4" s="196">
        <f>'MLK1-3'!AT33</f>
        <v>90</v>
      </c>
      <c r="AE34" s="196" t="str">
        <f>'MLK1-3'!AU33</f>
        <v>B</v>
      </c>
      <c r="AF34" s="197" t="str">
        <f>'MLK1-3'!AZ33</f>
        <v>Anak 29 sangat baik  dalam mengenal dan memahmi teks tembang dolanan, dan  baik  dalam mengenal dan memahami sandhangan aksara Jawa.</v>
      </c>
      <c r="AG34" s="196">
        <f>'MLK2-3'!AP33</f>
        <v>92</v>
      </c>
      <c r="AH34" s="196" t="str">
        <f>'MLK2-3'!AQ33</f>
        <v>A</v>
      </c>
      <c r="AI34" s="195" t="str">
        <f>'MLK2-3'!AV33</f>
        <v>Anak 29 sangat baik  dalam mengenal dan mengidentifikasi benda-benda di dapur dan nama-nama bunga, dan  baik  dalam memahami penggunaan kalimat yang menunjukkan letak suatu tempat</v>
      </c>
      <c r="AJ34" s="196">
        <f>'MLK3-3'!AP33</f>
        <v>88</v>
      </c>
      <c r="AK34" s="196" t="str">
        <f>'MLK3-3'!AQ33</f>
        <v>B</v>
      </c>
      <c r="AL34" s="197" t="str">
        <f>'MLK3-3'!AV33</f>
        <v>Anak 29 sangat baik  dalam mengenal dan memahami penggunaan microsoft  word., dan  baik  dalam memahami pembuatan dokumen di microsoft  word</v>
      </c>
      <c r="AM34" s="196" t="e">
        <f>'PAI4'!CI34</f>
        <v>#DIV/0!</v>
      </c>
      <c r="AN34" s="196" t="e">
        <f>'PAI4'!CJ34</f>
        <v>#DIV/0!</v>
      </c>
      <c r="AO34" s="197" t="str">
        <f>'PAI4'!CO34</f>
        <v xml:space="preserve"> </v>
      </c>
      <c r="AP34" s="196" t="e">
        <f>'PKN4'!AD33</f>
        <v>#DIV/0!</v>
      </c>
      <c r="AQ34" s="196" t="e">
        <f>'PKN4'!AE33</f>
        <v>#DIV/0!</v>
      </c>
      <c r="AR34" s="195" t="str">
        <f>'PKN4'!AJ33</f>
        <v xml:space="preserve"> </v>
      </c>
      <c r="AS34" s="196" t="e">
        <f>BIND4!AP33</f>
        <v>#DIV/0!</v>
      </c>
      <c r="AT34" s="196" t="e">
        <f>BIND4!AQ33</f>
        <v>#DIV/0!</v>
      </c>
      <c r="AU34" s="195" t="str">
        <f>BIND4!AV33</f>
        <v xml:space="preserve"> </v>
      </c>
      <c r="AV34" s="196" t="e">
        <f>'MTK4'!AP33</f>
        <v>#DIV/0!</v>
      </c>
      <c r="AW34" s="196" t="e">
        <f>'MTK4'!AQ33</f>
        <v>#DIV/0!</v>
      </c>
      <c r="AX34" s="195" t="str">
        <f>'MTK4'!AV33</f>
        <v xml:space="preserve"> </v>
      </c>
      <c r="AY34" s="196" t="e">
        <f>'IPA4'!AJ33</f>
        <v>#DIV/0!</v>
      </c>
      <c r="AZ34" s="196" t="e">
        <f>'IPA4'!AK33</f>
        <v>#DIV/0!</v>
      </c>
      <c r="BA34" s="195" t="str">
        <f>'IPA4'!AP33</f>
        <v xml:space="preserve"> </v>
      </c>
      <c r="BB34" s="196" t="e">
        <f>'IPS4'!AG33</f>
        <v>#DIV/0!</v>
      </c>
      <c r="BC34" s="196" t="e">
        <f>'IPS4'!AH33</f>
        <v>#DIV/0!</v>
      </c>
      <c r="BD34" s="195" t="str">
        <f>'IPS4'!AM33</f>
        <v xml:space="preserve"> </v>
      </c>
      <c r="BE34" s="196" t="e">
        <f>SBDP4!AG33</f>
        <v>#DIV/0!</v>
      </c>
      <c r="BF34" s="196" t="e">
        <f>SBDP4!AH33</f>
        <v>#DIV/0!</v>
      </c>
      <c r="BG34" s="195" t="str">
        <f>SBDP4!AM33</f>
        <v xml:space="preserve"> </v>
      </c>
      <c r="BH34" s="196" t="e">
        <f>PJOK4!AJ33</f>
        <v>#DIV/0!</v>
      </c>
      <c r="BI34" s="196" t="e">
        <f>PJOK4!AK33</f>
        <v>#DIV/0!</v>
      </c>
      <c r="BJ34" s="197" t="str">
        <f>PJOK4!AP33</f>
        <v xml:space="preserve"> </v>
      </c>
      <c r="BK34" s="196" t="e">
        <f>'MLK1-4'!AG33</f>
        <v>#DIV/0!</v>
      </c>
      <c r="BL34" s="196" t="e">
        <f>'MLK1-4'!AH33</f>
        <v>#DIV/0!</v>
      </c>
      <c r="BM34" s="195" t="str">
        <f>'MLK1-4'!AM33</f>
        <v xml:space="preserve"> </v>
      </c>
      <c r="BN34" s="196" t="e">
        <f>'MLK2-4'!AG33</f>
        <v>#DIV/0!</v>
      </c>
      <c r="BO34" s="196" t="e">
        <f>'MLK2-4'!AH33</f>
        <v>#DIV/0!</v>
      </c>
      <c r="BP34" s="195" t="str">
        <f>'MLK2-4'!AM33</f>
        <v xml:space="preserve"> </v>
      </c>
      <c r="BQ34" s="196" t="e">
        <f>'MLK3-4'!AG33</f>
        <v>#DIV/0!</v>
      </c>
      <c r="BR34" s="196" t="e">
        <f>'MLK3-4'!AH33</f>
        <v>#DIV/0!</v>
      </c>
      <c r="BS34" s="195" t="str">
        <f>'MLK3-4'!AM33</f>
        <v xml:space="preserve"> </v>
      </c>
    </row>
    <row r="35" spans="1:71" ht="129.94999999999999" customHeight="1">
      <c r="A35" s="191">
        <v>30</v>
      </c>
      <c r="B35" s="191">
        <f>SISWA!B35</f>
        <v>0</v>
      </c>
      <c r="C35" s="192" t="str">
        <f>SISWA!C35</f>
        <v>Anak 30</v>
      </c>
      <c r="D35" s="193" t="str">
        <f>SPIRIT!Q34</f>
        <v xml:space="preserve">Ananda Anak 30 baik dalam  ketaatan beribadah,  berperilaku syukur,  berdoa sebelum dan sesudah melakukan kegiatan,  toleransi dalam beribadah, </v>
      </c>
      <c r="E35" s="193" t="str">
        <f>SOSIAL!W34</f>
        <v xml:space="preserve">Ananda Anak 30 baik dalam sikap jujur, disiplin, tanggung jawab, santun, peduli, percaya diri, kerja sama, </v>
      </c>
      <c r="F35" s="194">
        <f>'PAI3'!DU35</f>
        <v>99</v>
      </c>
      <c r="G35" s="194" t="str">
        <f>'PAI3'!DV35</f>
        <v>A</v>
      </c>
      <c r="H35" s="195" t="str">
        <f>'PAI3'!EA35</f>
        <v>Anak 30 sangat baik  dalam memahami Q.S. al- Falaq dan Q.S. al- Fil dengan baik dan benar</v>
      </c>
      <c r="I35" s="194">
        <f>'PKN3'!AI34</f>
        <v>95</v>
      </c>
      <c r="J35" s="194" t="str">
        <f>'PKN3'!AJ34</f>
        <v>A</v>
      </c>
      <c r="K35" s="193" t="str">
        <f>'PKN3'!AO34</f>
        <v>Anak 30 sangat baik  dalam mengidentifikasi pelaksanaan kewajiban dan hak sebagai warga masyarakat dalam kehidupan sehari-hari., dan  sangat baik  dalam mengidentifikasi berbagai bentuk keragaman suku bangsa, sosial, dan budaya di Indonesia yang terikat persatuan dan kesatuan.</v>
      </c>
      <c r="L35" s="196">
        <f>BIND3!AU34</f>
        <v>97</v>
      </c>
      <c r="M35" s="196" t="str">
        <f>BIND3!AV34</f>
        <v>A</v>
      </c>
      <c r="N35" s="195" t="str">
        <f>BIND3!BA34</f>
        <v>Anak 30 sangat baik  dalam menggali pengetahuan baru yang terdapat pada teks nonfiksi., dan  sangat baik  dalam menggali isi dan amanat puisi yang disajikan secara lisan dan tulis dengan tujuan untuk kesenangan.</v>
      </c>
      <c r="O35" s="196">
        <f>'MTK3'!BC34</f>
        <v>97</v>
      </c>
      <c r="P35" s="196" t="str">
        <f>'MTK3'!BD34</f>
        <v>A</v>
      </c>
      <c r="Q35" s="195" t="str">
        <f>'MTK3'!BI34</f>
        <v>Anak 30 sangat baik  dalam menjelaskan dan melakukan penaksiran dari jumlah, selisih, hasil kali, dan hasil bagi dua bilangan cacah maupun pecahan dan desimal, dan  baik  dalam menjelaskan berbagai bentuk pecahan (biasa, campuran, desimal, dan persen) dan hubungan di antaranya</v>
      </c>
      <c r="R35" s="196">
        <f>'IPA3'!AM34</f>
        <v>99</v>
      </c>
      <c r="S35" s="196" t="str">
        <f>'IPA3'!AN34</f>
        <v>A</v>
      </c>
      <c r="T35" s="195" t="str">
        <f>'IPA3'!AS34</f>
        <v>Anak 30 sangat baik  dalam membandingkan siklus hidup beberapa jenis makhluk hidup serta mengaitkan dengan upaya pelestariannya.</v>
      </c>
      <c r="U35" s="196">
        <f>'IPS3'!AN34</f>
        <v>99</v>
      </c>
      <c r="V35" s="196" t="str">
        <f>'IPS3'!AO34</f>
        <v>A</v>
      </c>
      <c r="W35" s="195" t="str">
        <f>'IPS3'!AT34</f>
        <v>Anak 30 sangat baik  dalam mengidentifikasi karakteristik ruang dan pemanfaatan sumberdaya alam untuk kesejahteraan masyarakat dari tingkatkota/kabupaten sampai tingkat provinsi.</v>
      </c>
      <c r="X35" s="196">
        <f>SBDP3!AN34</f>
        <v>99</v>
      </c>
      <c r="Y35" s="196" t="str">
        <f>SBDP3!AO34</f>
        <v>A</v>
      </c>
      <c r="Z35" s="195" t="str">
        <f>SBDP3!AT34</f>
        <v>Anak 30 sangat baik  dalam mengetahui gambar dan bentuk tiga dimensi.</v>
      </c>
      <c r="AA35" s="196">
        <f>PJOK3!AV34</f>
        <v>95</v>
      </c>
      <c r="AB35" s="196" t="str">
        <f>PJOK3!AW34</f>
        <v>A</v>
      </c>
      <c r="AC35" s="195" t="str">
        <f>PJOK3!BB34</f>
        <v>Anak 30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5" s="196">
        <f>'MLK1-3'!AT34</f>
        <v>90</v>
      </c>
      <c r="AE35" s="196" t="str">
        <f>'MLK1-3'!AU34</f>
        <v>B</v>
      </c>
      <c r="AF35" s="197" t="str">
        <f>'MLK1-3'!AZ34</f>
        <v>Anak 30 sangat baik  dalam mengenal dan memahmi teks tembang dolanan, dan  baik  dalam mengenal dan memahami sandhangan aksara Jawa.</v>
      </c>
      <c r="AG35" s="196">
        <f>'MLK2-3'!AP34</f>
        <v>93</v>
      </c>
      <c r="AH35" s="196" t="str">
        <f>'MLK2-3'!AQ34</f>
        <v>A</v>
      </c>
      <c r="AI35" s="195" t="str">
        <f>'MLK2-3'!AV34</f>
        <v>Anak 30 sangat baik  dalam mengenal dan mengidentifikasi benda-benda di dapur dan nama-nama bunga, dan  baik  dalam memahami penggunaan kalimat yang menunjukkan letak suatu tempat</v>
      </c>
      <c r="AJ35" s="196">
        <f>'MLK3-3'!AP34</f>
        <v>88</v>
      </c>
      <c r="AK35" s="196" t="str">
        <f>'MLK3-3'!AQ34</f>
        <v>B</v>
      </c>
      <c r="AL35" s="197" t="str">
        <f>'MLK3-3'!AV34</f>
        <v>Anak 30 sangat baik  dalam mengenal dan memahami penggunaan microsoft  word., dan  baik  dalam memahami pembuatan dokumen di microsoft  word</v>
      </c>
      <c r="AM35" s="196" t="e">
        <f>'PAI4'!CI35</f>
        <v>#DIV/0!</v>
      </c>
      <c r="AN35" s="196" t="e">
        <f>'PAI4'!CJ35</f>
        <v>#DIV/0!</v>
      </c>
      <c r="AO35" s="197" t="str">
        <f>'PAI4'!CO35</f>
        <v xml:space="preserve"> </v>
      </c>
      <c r="AP35" s="196" t="e">
        <f>'PKN4'!AD34</f>
        <v>#DIV/0!</v>
      </c>
      <c r="AQ35" s="196" t="e">
        <f>'PKN4'!AE34</f>
        <v>#DIV/0!</v>
      </c>
      <c r="AR35" s="195" t="str">
        <f>'PKN4'!AJ34</f>
        <v xml:space="preserve"> </v>
      </c>
      <c r="AS35" s="196" t="e">
        <f>BIND4!AP34</f>
        <v>#DIV/0!</v>
      </c>
      <c r="AT35" s="196" t="e">
        <f>BIND4!AQ34</f>
        <v>#DIV/0!</v>
      </c>
      <c r="AU35" s="195" t="str">
        <f>BIND4!AV34</f>
        <v xml:space="preserve"> </v>
      </c>
      <c r="AV35" s="196" t="e">
        <f>'MTK4'!AP34</f>
        <v>#DIV/0!</v>
      </c>
      <c r="AW35" s="196" t="e">
        <f>'MTK4'!AQ34</f>
        <v>#DIV/0!</v>
      </c>
      <c r="AX35" s="195" t="str">
        <f>'MTK4'!AV34</f>
        <v xml:space="preserve"> </v>
      </c>
      <c r="AY35" s="196" t="e">
        <f>'IPA4'!AJ34</f>
        <v>#DIV/0!</v>
      </c>
      <c r="AZ35" s="196" t="e">
        <f>'IPA4'!AK34</f>
        <v>#DIV/0!</v>
      </c>
      <c r="BA35" s="195" t="str">
        <f>'IPA4'!AP34</f>
        <v xml:space="preserve"> </v>
      </c>
      <c r="BB35" s="196" t="e">
        <f>'IPS4'!AG34</f>
        <v>#DIV/0!</v>
      </c>
      <c r="BC35" s="196" t="e">
        <f>'IPS4'!AH34</f>
        <v>#DIV/0!</v>
      </c>
      <c r="BD35" s="195" t="str">
        <f>'IPS4'!AM34</f>
        <v xml:space="preserve"> </v>
      </c>
      <c r="BE35" s="196" t="e">
        <f>SBDP4!AG34</f>
        <v>#DIV/0!</v>
      </c>
      <c r="BF35" s="196" t="e">
        <f>SBDP4!AH34</f>
        <v>#DIV/0!</v>
      </c>
      <c r="BG35" s="195" t="str">
        <f>SBDP4!AM34</f>
        <v xml:space="preserve"> </v>
      </c>
      <c r="BH35" s="196" t="e">
        <f>PJOK4!AJ34</f>
        <v>#DIV/0!</v>
      </c>
      <c r="BI35" s="196" t="e">
        <f>PJOK4!AK34</f>
        <v>#DIV/0!</v>
      </c>
      <c r="BJ35" s="197" t="str">
        <f>PJOK4!AP34</f>
        <v xml:space="preserve"> </v>
      </c>
      <c r="BK35" s="196" t="e">
        <f>'MLK1-4'!AG34</f>
        <v>#DIV/0!</v>
      </c>
      <c r="BL35" s="196" t="e">
        <f>'MLK1-4'!AH34</f>
        <v>#DIV/0!</v>
      </c>
      <c r="BM35" s="195" t="str">
        <f>'MLK1-4'!AM34</f>
        <v xml:space="preserve"> </v>
      </c>
      <c r="BN35" s="196" t="e">
        <f>'MLK2-4'!AG34</f>
        <v>#DIV/0!</v>
      </c>
      <c r="BO35" s="196" t="e">
        <f>'MLK2-4'!AH34</f>
        <v>#DIV/0!</v>
      </c>
      <c r="BP35" s="195" t="str">
        <f>'MLK2-4'!AM34</f>
        <v xml:space="preserve"> </v>
      </c>
      <c r="BQ35" s="196" t="e">
        <f>'MLK3-4'!AG34</f>
        <v>#DIV/0!</v>
      </c>
      <c r="BR35" s="196" t="e">
        <f>'MLK3-4'!AH34</f>
        <v>#DIV/0!</v>
      </c>
      <c r="BS35" s="195" t="str">
        <f>'MLK3-4'!AM34</f>
        <v xml:space="preserve"> </v>
      </c>
    </row>
    <row r="36" spans="1:71" ht="129.94999999999999" customHeight="1">
      <c r="A36" s="191">
        <v>31</v>
      </c>
      <c r="B36" s="191">
        <f>SISWA!B36</f>
        <v>0</v>
      </c>
      <c r="C36" s="192" t="str">
        <f>SISWA!C36</f>
        <v>Anak 31</v>
      </c>
      <c r="D36" s="193" t="str">
        <f>SPIRIT!Q35</f>
        <v xml:space="preserve">Ananda Anak 31 baik dalam  ketaatan beribadah,  berperilaku syukur,  berdoa sebelum dan sesudah melakukan kegiatan,  toleransi dalam beribadah, </v>
      </c>
      <c r="E36" s="193" t="str">
        <f>SOSIAL!W35</f>
        <v xml:space="preserve">Ananda Anak 31 baik dalam sikap jujur, disiplin, tanggung jawab, santun, peduli, percaya diri, kerja sama, </v>
      </c>
      <c r="F36" s="194">
        <f>'PAI3'!DU36</f>
        <v>99</v>
      </c>
      <c r="G36" s="194" t="str">
        <f>'PAI3'!DV36</f>
        <v>A</v>
      </c>
      <c r="H36" s="195" t="str">
        <f>'PAI3'!EA36</f>
        <v>Anak 31 sangat baik  dalam memahami Q.S. al- Falaq dan Q.S. al- Fil dengan baik dan benar</v>
      </c>
      <c r="I36" s="194">
        <f>'PKN3'!AI35</f>
        <v>95</v>
      </c>
      <c r="J36" s="194" t="str">
        <f>'PKN3'!AJ35</f>
        <v>A</v>
      </c>
      <c r="K36" s="193" t="str">
        <f>'PKN3'!AO35</f>
        <v>Anak 31 sangat baik  dalam mengidentifikasi pelaksanaan kewajiban dan hak sebagai warga masyarakat dalam kehidupan sehari-hari., dan  sangat baik  dalam menjelaskan manfaat keberagaman karakteristik individu dalam kehidupan sehari-hari.</v>
      </c>
      <c r="L36" s="196">
        <f>BIND3!AU35</f>
        <v>96</v>
      </c>
      <c r="M36" s="196" t="str">
        <f>BIND3!AV35</f>
        <v>A</v>
      </c>
      <c r="N36" s="195" t="str">
        <f>BIND3!BA35</f>
        <v>Anak 31 sangat baik  dalam menggali pengetahuan baru yang terdapat pada teks nonfiksi., dan  sangat baik  dalam menggali informasi dari seorang tokoh melalui wawancara menggunakan daftar pertanyaan.</v>
      </c>
      <c r="O36" s="196">
        <f>'MTK3'!BC35</f>
        <v>96</v>
      </c>
      <c r="P36" s="196" t="str">
        <f>'MTK3'!BD35</f>
        <v>A</v>
      </c>
      <c r="Q36" s="195" t="str">
        <f>'MTK3'!BI35</f>
        <v>Anak 31 sangat baik  dalam menjelaskan dan melakukan penaksiran dari jumlah, selisih, hasil kali, dan hasil bagi dua bilangan cacah maupun pecahan dan desimal, dan  baik  dalam menjelaskan berbagai bentuk pecahan (biasa, campuran, desimal, dan persen) dan hubungan di antaranya</v>
      </c>
      <c r="R36" s="196">
        <f>'IPA3'!AM35</f>
        <v>99</v>
      </c>
      <c r="S36" s="196" t="str">
        <f>'IPA3'!AN35</f>
        <v>A</v>
      </c>
      <c r="T36" s="195" t="str">
        <f>'IPA3'!AS35</f>
        <v>Anak 31 sangat baik  dalam membandingkan siklus hidup beberapa jenis makhluk hidup serta mengaitkan dengan upaya pelestariannya.</v>
      </c>
      <c r="U36" s="196">
        <f>'IPS3'!AN35</f>
        <v>99</v>
      </c>
      <c r="V36" s="196" t="str">
        <f>'IPS3'!AO35</f>
        <v>A</v>
      </c>
      <c r="W36" s="195" t="str">
        <f>'IPS3'!AT35</f>
        <v>Anak 31 sangat baik  dalam mengidentifikasi karakteristik ruang dan pemanfaatan sumberdaya alam untuk kesejahteraan masyarakat dari tingkatkota/kabupaten sampai tingkat provinsi.</v>
      </c>
      <c r="X36" s="196">
        <f>SBDP3!AN35</f>
        <v>99</v>
      </c>
      <c r="Y36" s="196" t="str">
        <f>SBDP3!AO35</f>
        <v>A</v>
      </c>
      <c r="Z36" s="195" t="str">
        <f>SBDP3!AT35</f>
        <v>Anak 31 sangat baik  dalam mengetahui gambar dan bentuk tiga dimensi.</v>
      </c>
      <c r="AA36" s="196">
        <f>PJOK3!AV35</f>
        <v>94</v>
      </c>
      <c r="AB36" s="196" t="str">
        <f>PJOK3!AW35</f>
        <v>A</v>
      </c>
      <c r="AC36" s="195" t="str">
        <f>PJOK3!BB35</f>
        <v>Anak 31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6" s="196">
        <f>'MLK1-3'!AT35</f>
        <v>90</v>
      </c>
      <c r="AE36" s="196" t="str">
        <f>'MLK1-3'!AU35</f>
        <v>B</v>
      </c>
      <c r="AF36" s="197" t="str">
        <f>'MLK1-3'!AZ35</f>
        <v>Anak 31 sangat baik  dalam mengenal, memahami, dan mengidentifikasi kata berimbuhan dalam teks sesuai kaidah, dan  baik  dalam mengenal dan memahami sandhangan aksara Jawa.</v>
      </c>
      <c r="AG36" s="196">
        <f>'MLK2-3'!AP35</f>
        <v>92</v>
      </c>
      <c r="AH36" s="196" t="str">
        <f>'MLK2-3'!AQ35</f>
        <v>A</v>
      </c>
      <c r="AI36" s="195" t="str">
        <f>'MLK2-3'!AV35</f>
        <v>Anak 31 sangat baik  dalam mengenal dan mengidentifikasi benda-benda di dapur dan nama-nama bunga, dan  baik  dalam memahami penggunaan kalimat yang menunjukkan letak suatu tempat</v>
      </c>
      <c r="AJ36" s="196">
        <f>'MLK3-3'!AP35</f>
        <v>87</v>
      </c>
      <c r="AK36" s="196" t="str">
        <f>'MLK3-3'!AQ35</f>
        <v>B</v>
      </c>
      <c r="AL36" s="197" t="str">
        <f>'MLK3-3'!AV35</f>
        <v>Anak 31 baik  dalam memahami pembuatan dokumen di microsoft  word, dan  baik  dalam mengenal dan memahami penggunaan microsoft  word.</v>
      </c>
      <c r="AM36" s="196" t="e">
        <f>'PAI4'!CI36</f>
        <v>#DIV/0!</v>
      </c>
      <c r="AN36" s="196" t="e">
        <f>'PAI4'!CJ36</f>
        <v>#DIV/0!</v>
      </c>
      <c r="AO36" s="197" t="str">
        <f>'PAI4'!CO36</f>
        <v xml:space="preserve"> </v>
      </c>
      <c r="AP36" s="196" t="e">
        <f>'PKN4'!AD35</f>
        <v>#DIV/0!</v>
      </c>
      <c r="AQ36" s="196" t="e">
        <f>'PKN4'!AE35</f>
        <v>#DIV/0!</v>
      </c>
      <c r="AR36" s="195" t="str">
        <f>'PKN4'!AJ35</f>
        <v xml:space="preserve"> </v>
      </c>
      <c r="AS36" s="196" t="e">
        <f>BIND4!AP35</f>
        <v>#DIV/0!</v>
      </c>
      <c r="AT36" s="196" t="e">
        <f>BIND4!AQ35</f>
        <v>#DIV/0!</v>
      </c>
      <c r="AU36" s="195" t="str">
        <f>BIND4!AV35</f>
        <v xml:space="preserve"> </v>
      </c>
      <c r="AV36" s="196" t="e">
        <f>'MTK4'!AP35</f>
        <v>#DIV/0!</v>
      </c>
      <c r="AW36" s="196" t="e">
        <f>'MTK4'!AQ35</f>
        <v>#DIV/0!</v>
      </c>
      <c r="AX36" s="195" t="str">
        <f>'MTK4'!AV35</f>
        <v xml:space="preserve"> </v>
      </c>
      <c r="AY36" s="196" t="e">
        <f>'IPA4'!AJ35</f>
        <v>#DIV/0!</v>
      </c>
      <c r="AZ36" s="196" t="e">
        <f>'IPA4'!AK35</f>
        <v>#DIV/0!</v>
      </c>
      <c r="BA36" s="195" t="str">
        <f>'IPA4'!AP35</f>
        <v xml:space="preserve"> </v>
      </c>
      <c r="BB36" s="196" t="e">
        <f>'IPS4'!AG35</f>
        <v>#DIV/0!</v>
      </c>
      <c r="BC36" s="196" t="e">
        <f>'IPS4'!AH35</f>
        <v>#DIV/0!</v>
      </c>
      <c r="BD36" s="195" t="str">
        <f>'IPS4'!AM35</f>
        <v xml:space="preserve"> </v>
      </c>
      <c r="BE36" s="196" t="e">
        <f>SBDP4!AG35</f>
        <v>#DIV/0!</v>
      </c>
      <c r="BF36" s="196" t="e">
        <f>SBDP4!AH35</f>
        <v>#DIV/0!</v>
      </c>
      <c r="BG36" s="195" t="str">
        <f>SBDP4!AM35</f>
        <v xml:space="preserve"> </v>
      </c>
      <c r="BH36" s="196" t="e">
        <f>PJOK4!AJ35</f>
        <v>#DIV/0!</v>
      </c>
      <c r="BI36" s="196" t="e">
        <f>PJOK4!AK35</f>
        <v>#DIV/0!</v>
      </c>
      <c r="BJ36" s="197" t="str">
        <f>PJOK4!AP35</f>
        <v xml:space="preserve"> </v>
      </c>
      <c r="BK36" s="196" t="e">
        <f>'MLK1-4'!AG35</f>
        <v>#DIV/0!</v>
      </c>
      <c r="BL36" s="196" t="e">
        <f>'MLK1-4'!AH35</f>
        <v>#DIV/0!</v>
      </c>
      <c r="BM36" s="195" t="str">
        <f>'MLK1-4'!AM35</f>
        <v xml:space="preserve"> </v>
      </c>
      <c r="BN36" s="196" t="e">
        <f>'MLK2-4'!AG35</f>
        <v>#DIV/0!</v>
      </c>
      <c r="BO36" s="196" t="e">
        <f>'MLK2-4'!AH35</f>
        <v>#DIV/0!</v>
      </c>
      <c r="BP36" s="195" t="str">
        <f>'MLK2-4'!AM35</f>
        <v xml:space="preserve"> </v>
      </c>
      <c r="BQ36" s="196" t="e">
        <f>'MLK3-4'!AG35</f>
        <v>#DIV/0!</v>
      </c>
      <c r="BR36" s="196" t="e">
        <f>'MLK3-4'!AH35</f>
        <v>#DIV/0!</v>
      </c>
      <c r="BS36" s="195" t="str">
        <f>'MLK3-4'!AM35</f>
        <v xml:space="preserve"> </v>
      </c>
    </row>
    <row r="37" spans="1:71" ht="129.94999999999999" customHeight="1">
      <c r="A37" s="191">
        <v>32</v>
      </c>
      <c r="B37" s="191">
        <f>SISWA!B37</f>
        <v>0</v>
      </c>
      <c r="C37" s="192" t="str">
        <f>SISWA!C37</f>
        <v>Anak 32</v>
      </c>
      <c r="D37" s="193" t="str">
        <f>SPIRIT!Q36</f>
        <v xml:space="preserve">Ananda Anak 32 baik dalam  ketaatan beribadah,  berperilaku syukur,  berdoa sebelum dan sesudah melakukan kegiatan,  toleransi dalam beribadah, </v>
      </c>
      <c r="E37" s="193" t="str">
        <f>SOSIAL!W36</f>
        <v xml:space="preserve">Ananda Anak 32 baik dalam sikap jujur, disiplin, tanggung jawab, santun, peduli, percaya diri, kerja sama, </v>
      </c>
      <c r="F37" s="194">
        <f>'PAI3'!DU37</f>
        <v>99</v>
      </c>
      <c r="G37" s="194" t="str">
        <f>'PAI3'!DV37</f>
        <v>A</v>
      </c>
      <c r="H37" s="195" t="str">
        <f>'PAI3'!EA37</f>
        <v>Anak 32 sangat baik  dalam memahami Q.S. al- Falaq dan Q.S. al- Fil dengan baik dan benar</v>
      </c>
      <c r="I37" s="194">
        <f>'PKN3'!AI36</f>
        <v>95</v>
      </c>
      <c r="J37" s="194" t="str">
        <f>'PKN3'!AJ36</f>
        <v>A</v>
      </c>
      <c r="K37" s="193" t="str">
        <f>'PKN3'!AO36</f>
        <v>Anak 32 sangat baik  dalam mengidentifikasi pelaksanaan kewajiban dan hak sebagai warga masyarakat dalam kehidupan sehari-hari., dan  sangat baik  dalam mengidentifikasi berbagai bentuk keragaman suku bangsa, sosial, dan budaya di Indonesia yang terikat persatuan dan kesatuan.</v>
      </c>
      <c r="L37" s="196">
        <f>BIND3!AU36</f>
        <v>96</v>
      </c>
      <c r="M37" s="196" t="str">
        <f>BIND3!AV36</f>
        <v>A</v>
      </c>
      <c r="N37" s="195" t="str">
        <f>BIND3!BA36</f>
        <v>Anak 32 sangat baik  dalam menggali pengetahuan baru yang terdapat pada teks nonfiksi., dan  sangat baik  dalam menggali isi dan amanat puisi yang disajikan secara lisan dan tulis dengan tujuan untuk kesenangan.</v>
      </c>
      <c r="O37" s="196">
        <f>'MTK3'!BC36</f>
        <v>97</v>
      </c>
      <c r="P37" s="196" t="str">
        <f>'MTK3'!BD36</f>
        <v>A</v>
      </c>
      <c r="Q37" s="195" t="str">
        <f>'MTK3'!BI36</f>
        <v>Anak 32 sangat baik  dalam menjelaskan dan melakukan penaksiran dari jumlah, selisih, hasil kali, dan hasil bagi dua bilangan cacah maupun pecahan dan desimal, dan  baik  dalam menjelaskan berbagai bentuk pecahan (biasa, campuran, desimal, dan persen) dan hubungan di antaranya</v>
      </c>
      <c r="R37" s="196">
        <f>'IPA3'!AM36</f>
        <v>99</v>
      </c>
      <c r="S37" s="196" t="str">
        <f>'IPA3'!AN36</f>
        <v>A</v>
      </c>
      <c r="T37" s="195" t="str">
        <f>'IPA3'!AS36</f>
        <v>Anak 32 sangat baik  dalam membandingkan siklus hidup beberapa jenis makhluk hidup serta mengaitkan dengan upaya pelestariannya.</v>
      </c>
      <c r="U37" s="196">
        <f>'IPS3'!AN36</f>
        <v>99</v>
      </c>
      <c r="V37" s="196" t="str">
        <f>'IPS3'!AO36</f>
        <v>A</v>
      </c>
      <c r="W37" s="195" t="str">
        <f>'IPS3'!AT36</f>
        <v>Anak 32 sangat baik  dalam mengidentifikasi karakteristik ruang dan pemanfaatan sumberdaya alam untuk kesejahteraan masyarakat dari tingkatkota/kabupaten sampai tingkat provinsi.</v>
      </c>
      <c r="X37" s="196">
        <f>SBDP3!AN36</f>
        <v>99</v>
      </c>
      <c r="Y37" s="196" t="str">
        <f>SBDP3!AO36</f>
        <v>A</v>
      </c>
      <c r="Z37" s="195" t="str">
        <f>SBDP3!AT36</f>
        <v>Anak 32 sangat baik  dalam mengetahui gambar dan bentuk tiga dimensi.</v>
      </c>
      <c r="AA37" s="196">
        <f>PJOK3!AV36</f>
        <v>94</v>
      </c>
      <c r="AB37" s="196" t="str">
        <f>PJOK3!AW36</f>
        <v>A</v>
      </c>
      <c r="AC37" s="195" t="str">
        <f>PJOK3!BB36</f>
        <v>Anak 32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7" s="196">
        <f>'MLK1-3'!AT36</f>
        <v>90</v>
      </c>
      <c r="AE37" s="196" t="str">
        <f>'MLK1-3'!AU36</f>
        <v>B</v>
      </c>
      <c r="AF37" s="197" t="str">
        <f>'MLK1-3'!AZ36</f>
        <v>Anak 32 sangat baik  dalam mengenal dan memahmi teks tembang dolanan, dan  baik  dalam mengenal dan memahami sandhangan aksara Jawa.</v>
      </c>
      <c r="AG37" s="196">
        <f>'MLK2-3'!AP36</f>
        <v>92</v>
      </c>
      <c r="AH37" s="196" t="str">
        <f>'MLK2-3'!AQ36</f>
        <v>A</v>
      </c>
      <c r="AI37" s="195" t="str">
        <f>'MLK2-3'!AV36</f>
        <v>Anak 32 sangat baik  dalam mengenal dan mengidentifikasi benda-benda di dapur dan nama-nama bunga, dan  baik  dalam memahami penggunaan kalimat yang menunjukkan letak suatu tempat</v>
      </c>
      <c r="AJ37" s="196">
        <f>'MLK3-3'!AP36</f>
        <v>87</v>
      </c>
      <c r="AK37" s="196" t="str">
        <f>'MLK3-3'!AQ36</f>
        <v>B</v>
      </c>
      <c r="AL37" s="197" t="str">
        <f>'MLK3-3'!AV36</f>
        <v>Anak 32 baik  dalam mengenal dan memahami penggunaan microsoft  word., dan  baik  dalam memahami pembuatan dokumen di microsoft  word</v>
      </c>
      <c r="AM37" s="196" t="e">
        <f>'PAI4'!CI37</f>
        <v>#DIV/0!</v>
      </c>
      <c r="AN37" s="196" t="e">
        <f>'PAI4'!CJ37</f>
        <v>#DIV/0!</v>
      </c>
      <c r="AO37" s="197" t="str">
        <f>'PAI4'!CO37</f>
        <v xml:space="preserve"> </v>
      </c>
      <c r="AP37" s="196" t="e">
        <f>'PKN4'!AD36</f>
        <v>#DIV/0!</v>
      </c>
      <c r="AQ37" s="196" t="e">
        <f>'PKN4'!AE36</f>
        <v>#DIV/0!</v>
      </c>
      <c r="AR37" s="195" t="str">
        <f>'PKN4'!AJ36</f>
        <v xml:space="preserve"> </v>
      </c>
      <c r="AS37" s="196" t="e">
        <f>BIND4!AP36</f>
        <v>#DIV/0!</v>
      </c>
      <c r="AT37" s="196" t="e">
        <f>BIND4!AQ36</f>
        <v>#DIV/0!</v>
      </c>
      <c r="AU37" s="195" t="str">
        <f>BIND4!AV36</f>
        <v xml:space="preserve"> </v>
      </c>
      <c r="AV37" s="196" t="e">
        <f>'MTK4'!AP36</f>
        <v>#DIV/0!</v>
      </c>
      <c r="AW37" s="196" t="e">
        <f>'MTK4'!AQ36</f>
        <v>#DIV/0!</v>
      </c>
      <c r="AX37" s="195" t="str">
        <f>'MTK4'!AV36</f>
        <v xml:space="preserve"> </v>
      </c>
      <c r="AY37" s="196" t="e">
        <f>'IPA4'!AJ36</f>
        <v>#DIV/0!</v>
      </c>
      <c r="AZ37" s="196" t="e">
        <f>'IPA4'!AK36</f>
        <v>#DIV/0!</v>
      </c>
      <c r="BA37" s="195" t="str">
        <f>'IPA4'!AP36</f>
        <v xml:space="preserve"> </v>
      </c>
      <c r="BB37" s="196" t="e">
        <f>'IPS4'!AG36</f>
        <v>#DIV/0!</v>
      </c>
      <c r="BC37" s="196" t="e">
        <f>'IPS4'!AH36</f>
        <v>#DIV/0!</v>
      </c>
      <c r="BD37" s="195" t="str">
        <f>'IPS4'!AM36</f>
        <v xml:space="preserve"> </v>
      </c>
      <c r="BE37" s="196" t="e">
        <f>SBDP4!AG36</f>
        <v>#DIV/0!</v>
      </c>
      <c r="BF37" s="196" t="e">
        <f>SBDP4!AH36</f>
        <v>#DIV/0!</v>
      </c>
      <c r="BG37" s="195" t="str">
        <f>SBDP4!AM36</f>
        <v xml:space="preserve"> </v>
      </c>
      <c r="BH37" s="196" t="e">
        <f>PJOK4!AJ36</f>
        <v>#DIV/0!</v>
      </c>
      <c r="BI37" s="196" t="e">
        <f>PJOK4!AK36</f>
        <v>#DIV/0!</v>
      </c>
      <c r="BJ37" s="197" t="str">
        <f>PJOK4!AP36</f>
        <v xml:space="preserve"> </v>
      </c>
      <c r="BK37" s="196" t="e">
        <f>'MLK1-4'!AG36</f>
        <v>#DIV/0!</v>
      </c>
      <c r="BL37" s="196" t="e">
        <f>'MLK1-4'!AH36</f>
        <v>#DIV/0!</v>
      </c>
      <c r="BM37" s="195" t="str">
        <f>'MLK1-4'!AM36</f>
        <v xml:space="preserve"> </v>
      </c>
      <c r="BN37" s="196" t="e">
        <f>'MLK2-4'!AG36</f>
        <v>#DIV/0!</v>
      </c>
      <c r="BO37" s="196" t="e">
        <f>'MLK2-4'!AH36</f>
        <v>#DIV/0!</v>
      </c>
      <c r="BP37" s="195" t="str">
        <f>'MLK2-4'!AM36</f>
        <v xml:space="preserve"> </v>
      </c>
      <c r="BQ37" s="196" t="e">
        <f>'MLK3-4'!AG36</f>
        <v>#DIV/0!</v>
      </c>
      <c r="BR37" s="196" t="e">
        <f>'MLK3-4'!AH36</f>
        <v>#DIV/0!</v>
      </c>
      <c r="BS37" s="195" t="str">
        <f>'MLK3-4'!AM36</f>
        <v xml:space="preserve"> </v>
      </c>
    </row>
    <row r="38" spans="1:71" ht="129.94999999999999" customHeight="1">
      <c r="A38" s="191">
        <v>33</v>
      </c>
      <c r="B38" s="191">
        <f>SISWA!B38</f>
        <v>0</v>
      </c>
      <c r="C38" s="192" t="str">
        <f>SISWA!C38</f>
        <v>Anak 33</v>
      </c>
      <c r="D38" s="193" t="str">
        <f>SPIRIT!Q37</f>
        <v xml:space="preserve">Ananda Anak 33 baik dalam  ketaatan beribadah,  berperilaku syukur,  berdoa sebelum dan sesudah melakukan kegiatan,  toleransi dalam beribadah, </v>
      </c>
      <c r="E38" s="193" t="str">
        <f>SOSIAL!W37</f>
        <v xml:space="preserve">Ananda Anak 33 baik dalam sikap jujur, disiplin, tanggung jawab, santun, peduli, percaya diri, kerja sama, </v>
      </c>
      <c r="F38" s="194">
        <f>'PAI3'!DU38</f>
        <v>96</v>
      </c>
      <c r="G38" s="194" t="str">
        <f>'PAI3'!DV38</f>
        <v>A</v>
      </c>
      <c r="H38" s="195" t="str">
        <f>'PAI3'!EA38</f>
        <v>Anak 33 sangat baik  dalam memahami Q.S. al- Falaq dan Q.S. al- Fil dengan baik dan benar, dan  sangat baik  dalam memahami makna iman kepada malaikat-malaikat Allah berdasar kan pengamatan terha dap dirinya dan alam sekitar</v>
      </c>
      <c r="I38" s="194">
        <f>'PKN3'!AI37</f>
        <v>95</v>
      </c>
      <c r="J38" s="194" t="str">
        <f>'PKN3'!AJ37</f>
        <v>A</v>
      </c>
      <c r="K38" s="193" t="str">
        <f>'PKN3'!AO37</f>
        <v>Anak 33 sangat baik  dalam mengidentifikasi pelaksanaan kewajiban dan hak sebagai warga masyarakat dalam kehidupan sehari-hari., dan  sangat baik  dalam mengidentifikasi berbagai bentuk keragaman suku bangsa, sosial, dan budaya di Indonesia yang terikat persatuan dan kesatuan.</v>
      </c>
      <c r="L38" s="196">
        <f>BIND3!AU37</f>
        <v>97</v>
      </c>
      <c r="M38" s="196" t="str">
        <f>BIND3!AV37</f>
        <v>A</v>
      </c>
      <c r="N38" s="195" t="str">
        <f>BIND3!BA37</f>
        <v>Anak 33 sangat baik  dalam menggali pengetahuan baru yang terdapat pada teks nonfiksi., dan  sangat baik  dalam menggali informasi dari seorang tokoh melalui wawancara menggunakan daftar pertanyaan.</v>
      </c>
      <c r="O38" s="196">
        <f>'MTK3'!BC37</f>
        <v>97</v>
      </c>
      <c r="P38" s="196" t="str">
        <f>'MTK3'!BD37</f>
        <v>A</v>
      </c>
      <c r="Q38" s="195" t="str">
        <f>'MTK3'!BI37</f>
        <v>Anak 33 sangat baik  dalam menjelaskan dan melakukan penaksiran dari jumlah, selisih, hasil kali, dan hasil bagi dua bilangan cacah maupun pecahan dan desimal, dan  baik  dalam menjelaskan berbagai bentuk pecahan (biasa, campuran, desimal, dan persen) dan hubungan di antaranya</v>
      </c>
      <c r="R38" s="196">
        <f>'IPA3'!AM37</f>
        <v>99</v>
      </c>
      <c r="S38" s="196" t="str">
        <f>'IPA3'!AN37</f>
        <v>A</v>
      </c>
      <c r="T38" s="195" t="str">
        <f>'IPA3'!AS37</f>
        <v>Anak 33 sangat baik  dalam membandingkan siklus hidup beberapa jenis makhluk hidup serta mengaitkan dengan upaya pelestariannya.</v>
      </c>
      <c r="U38" s="196">
        <f>'IPS3'!AN37</f>
        <v>99</v>
      </c>
      <c r="V38" s="196" t="str">
        <f>'IPS3'!AO37</f>
        <v>A</v>
      </c>
      <c r="W38" s="195" t="str">
        <f>'IPS3'!AT37</f>
        <v>Anak 33 sangat baik  dalam mengidentifikasi karakteristik ruang dan pemanfaatan sumberdaya alam untuk kesejahteraan masyarakat dari tingkatkota/kabupaten sampai tingkat provinsi.</v>
      </c>
      <c r="X38" s="196">
        <f>SBDP3!AN37</f>
        <v>99</v>
      </c>
      <c r="Y38" s="196" t="str">
        <f>SBDP3!AO37</f>
        <v>A</v>
      </c>
      <c r="Z38" s="195" t="str">
        <f>SBDP3!AT37</f>
        <v>Anak 33 sangat baik  dalam mengetahui gambar dan bentuk tiga dimensi.</v>
      </c>
      <c r="AA38" s="196">
        <f>PJOK3!AV37</f>
        <v>95</v>
      </c>
      <c r="AB38" s="196" t="str">
        <f>PJOK3!AW37</f>
        <v>A</v>
      </c>
      <c r="AC38" s="195" t="str">
        <f>PJOK3!BB37</f>
        <v>Anak 33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8" s="196">
        <f>'MLK1-3'!AT37</f>
        <v>91</v>
      </c>
      <c r="AE38" s="196" t="str">
        <f>'MLK1-3'!AU37</f>
        <v>A</v>
      </c>
      <c r="AF38" s="197" t="str">
        <f>'MLK1-3'!AZ37</f>
        <v>Anak 33 sangat baik  dalam mengenal dan memahmi teks tembang dolanan, dan  baik  dalam mengenal dan memahami sandhangan aksara Jawa.</v>
      </c>
      <c r="AG38" s="196">
        <f>'MLK2-3'!AP37</f>
        <v>93</v>
      </c>
      <c r="AH38" s="196" t="str">
        <f>'MLK2-3'!AQ37</f>
        <v>A</v>
      </c>
      <c r="AI38" s="195" t="str">
        <f>'MLK2-3'!AV37</f>
        <v>Anak 33 sangat baik  dalam mengenal dan mengidentifikasi benda-benda di dapur dan nama-nama bunga, dan  baik  dalam memahami penggunaan kalimat yang menunjukkan letak suatu tempat</v>
      </c>
      <c r="AJ38" s="196">
        <f>'MLK3-3'!AP37</f>
        <v>88</v>
      </c>
      <c r="AK38" s="196" t="str">
        <f>'MLK3-3'!AQ37</f>
        <v>B</v>
      </c>
      <c r="AL38" s="197" t="str">
        <f>'MLK3-3'!AV37</f>
        <v>Anak 33 baik  dalam mengenal dan memahami penggunaan microsoft  word., dan  baik  dalam memahami pembuatan dokumen di microsoft  word</v>
      </c>
      <c r="AM38" s="196" t="e">
        <f>'PAI4'!CI38</f>
        <v>#DIV/0!</v>
      </c>
      <c r="AN38" s="196" t="e">
        <f>'PAI4'!CJ38</f>
        <v>#DIV/0!</v>
      </c>
      <c r="AO38" s="197" t="str">
        <f>'PAI4'!CO38</f>
        <v xml:space="preserve"> </v>
      </c>
      <c r="AP38" s="196" t="e">
        <f>'PKN4'!AD37</f>
        <v>#DIV/0!</v>
      </c>
      <c r="AQ38" s="196" t="e">
        <f>'PKN4'!AE37</f>
        <v>#DIV/0!</v>
      </c>
      <c r="AR38" s="195" t="str">
        <f>'PKN4'!AJ37</f>
        <v xml:space="preserve"> </v>
      </c>
      <c r="AS38" s="196" t="e">
        <f>BIND4!AP37</f>
        <v>#DIV/0!</v>
      </c>
      <c r="AT38" s="196" t="e">
        <f>BIND4!AQ37</f>
        <v>#DIV/0!</v>
      </c>
      <c r="AU38" s="195" t="str">
        <f>BIND4!AV37</f>
        <v xml:space="preserve"> </v>
      </c>
      <c r="AV38" s="196" t="e">
        <f>'MTK4'!AP37</f>
        <v>#DIV/0!</v>
      </c>
      <c r="AW38" s="196" t="e">
        <f>'MTK4'!AQ37</f>
        <v>#DIV/0!</v>
      </c>
      <c r="AX38" s="195" t="str">
        <f>'MTK4'!AV37</f>
        <v xml:space="preserve"> </v>
      </c>
      <c r="AY38" s="196" t="e">
        <f>'IPA4'!AJ37</f>
        <v>#DIV/0!</v>
      </c>
      <c r="AZ38" s="196" t="e">
        <f>'IPA4'!AK37</f>
        <v>#DIV/0!</v>
      </c>
      <c r="BA38" s="195" t="str">
        <f>'IPA4'!AP37</f>
        <v xml:space="preserve"> </v>
      </c>
      <c r="BB38" s="196" t="e">
        <f>'IPS4'!AG37</f>
        <v>#DIV/0!</v>
      </c>
      <c r="BC38" s="196" t="e">
        <f>'IPS4'!AH37</f>
        <v>#DIV/0!</v>
      </c>
      <c r="BD38" s="195" t="str">
        <f>'IPS4'!AM37</f>
        <v xml:space="preserve"> </v>
      </c>
      <c r="BE38" s="196" t="e">
        <f>SBDP4!AG37</f>
        <v>#DIV/0!</v>
      </c>
      <c r="BF38" s="196" t="e">
        <f>SBDP4!AH37</f>
        <v>#DIV/0!</v>
      </c>
      <c r="BG38" s="195" t="str">
        <f>SBDP4!AM37</f>
        <v xml:space="preserve"> </v>
      </c>
      <c r="BH38" s="196" t="e">
        <f>PJOK4!AJ37</f>
        <v>#DIV/0!</v>
      </c>
      <c r="BI38" s="196" t="e">
        <f>PJOK4!AK37</f>
        <v>#DIV/0!</v>
      </c>
      <c r="BJ38" s="197" t="str">
        <f>PJOK4!AP37</f>
        <v xml:space="preserve"> </v>
      </c>
      <c r="BK38" s="196" t="e">
        <f>'MLK1-4'!AG37</f>
        <v>#DIV/0!</v>
      </c>
      <c r="BL38" s="196" t="e">
        <f>'MLK1-4'!AH37</f>
        <v>#DIV/0!</v>
      </c>
      <c r="BM38" s="195" t="str">
        <f>'MLK1-4'!AM37</f>
        <v xml:space="preserve"> </v>
      </c>
      <c r="BN38" s="196" t="e">
        <f>'MLK2-4'!AG37</f>
        <v>#DIV/0!</v>
      </c>
      <c r="BO38" s="196" t="e">
        <f>'MLK2-4'!AH37</f>
        <v>#DIV/0!</v>
      </c>
      <c r="BP38" s="195" t="str">
        <f>'MLK2-4'!AM37</f>
        <v xml:space="preserve"> </v>
      </c>
      <c r="BQ38" s="196" t="e">
        <f>'MLK3-4'!AG37</f>
        <v>#DIV/0!</v>
      </c>
      <c r="BR38" s="196" t="e">
        <f>'MLK3-4'!AH37</f>
        <v>#DIV/0!</v>
      </c>
      <c r="BS38" s="195" t="str">
        <f>'MLK3-4'!AM37</f>
        <v xml:space="preserve"> </v>
      </c>
    </row>
    <row r="39" spans="1:71" ht="129.94999999999999" customHeight="1">
      <c r="A39" s="191">
        <v>34</v>
      </c>
      <c r="B39" s="191">
        <f>SISWA!B39</f>
        <v>0</v>
      </c>
      <c r="C39" s="192" t="str">
        <f>SISWA!C39</f>
        <v>Anak 34</v>
      </c>
      <c r="D39" s="193" t="str">
        <f>SPIRIT!Q38</f>
        <v xml:space="preserve">Ananda Anak 34 baik dalam  ketaatan beribadah,  berperilaku syukur,  berdoa sebelum dan sesudah melakukan kegiatan,  toleransi dalam beribadah, </v>
      </c>
      <c r="E39" s="193" t="str">
        <f>SOSIAL!W38</f>
        <v xml:space="preserve">Ananda Anak 34 baik dalam sikap jujur, disiplin, tanggung jawab, santun, peduli, percaya diri, kerja sama, </v>
      </c>
      <c r="F39" s="194">
        <f>'PAI3'!DU39</f>
        <v>99</v>
      </c>
      <c r="G39" s="194" t="str">
        <f>'PAI3'!DV39</f>
        <v>A</v>
      </c>
      <c r="H39" s="195" t="str">
        <f>'PAI3'!EA39</f>
        <v>Anak 34 sangat baik  dalam memahami Q.S. al- Falaq dan Q.S. al- Fil dengan baik dan benar</v>
      </c>
      <c r="I39" s="194">
        <f>'PKN3'!AI38</f>
        <v>96</v>
      </c>
      <c r="J39" s="194" t="str">
        <f>'PKN3'!AJ38</f>
        <v>A</v>
      </c>
      <c r="K39" s="193" t="str">
        <f>'PKN3'!AO38</f>
        <v>Anak 34 sangat baik  dalam mengidentifikasi pelaksanaan kewajiban dan hak sebagai warga masyarakat dalam kehidupan sehari-hari., dan  sangat baik  dalam menjelaskan manfaat keberagaman karakteristik individu dalam kehidupan sehari-hari.</v>
      </c>
      <c r="L39" s="196">
        <f>BIND3!AU38</f>
        <v>97</v>
      </c>
      <c r="M39" s="196" t="str">
        <f>BIND3!AV38</f>
        <v>A</v>
      </c>
      <c r="N39" s="195" t="str">
        <f>BIND3!BA38</f>
        <v>Anak 34 sangat baik  dalam menggali pengetahuan baru yang terdapat pada teks nonfiksi., dan  sangat baik  dalam menggali informasi dari seorang tokoh melalui wawancara menggunakan daftar pertanyaan.</v>
      </c>
      <c r="O39" s="196">
        <f>'MTK3'!BC38</f>
        <v>97</v>
      </c>
      <c r="P39" s="196" t="str">
        <f>'MTK3'!BD38</f>
        <v>A</v>
      </c>
      <c r="Q39" s="195" t="str">
        <f>'MTK3'!BI38</f>
        <v>Anak 34 sangat baik  dalam menjelaskan dan melakukan penaksiran dari jumlah, selisih, hasil kali, dan hasil bagi dua bilangan cacah maupun pecahan dan desimal, dan  sangat baik  dalam menjelaskan berbagai bentuk pecahan (biasa, campuran, desimal, dan persen) dan hubungan di antaranya</v>
      </c>
      <c r="R39" s="196">
        <f>'IPA3'!AM38</f>
        <v>99</v>
      </c>
      <c r="S39" s="196" t="str">
        <f>'IPA3'!AN38</f>
        <v>A</v>
      </c>
      <c r="T39" s="195" t="str">
        <f>'IPA3'!AS38</f>
        <v>Anak 34 sangat baik  dalam membandingkan siklus hidup beberapa jenis makhluk hidup serta mengaitkan dengan upaya pelestariannya.</v>
      </c>
      <c r="U39" s="196">
        <f>'IPS3'!AN38</f>
        <v>99</v>
      </c>
      <c r="V39" s="196" t="str">
        <f>'IPS3'!AO38</f>
        <v>A</v>
      </c>
      <c r="W39" s="195" t="str">
        <f>'IPS3'!AT38</f>
        <v>Anak 34 sangat baik  dalam mengidentifikasi karakteristik ruang dan pemanfaatan sumberdaya alam untuk kesejahteraan masyarakat dari tingkatkota/kabupaten sampai tingkat provinsi.</v>
      </c>
      <c r="X39" s="196">
        <f>SBDP3!AN38</f>
        <v>99</v>
      </c>
      <c r="Y39" s="196" t="str">
        <f>SBDP3!AO38</f>
        <v>A</v>
      </c>
      <c r="Z39" s="195" t="str">
        <f>SBDP3!AT38</f>
        <v>Anak 34 sangat baik  dalam mengetahui gambar dan bentuk tiga dimensi.</v>
      </c>
      <c r="AA39" s="196">
        <f>PJOK3!AV38</f>
        <v>95</v>
      </c>
      <c r="AB39" s="196" t="str">
        <f>PJOK3!AW38</f>
        <v>A</v>
      </c>
      <c r="AC39" s="195" t="str">
        <f>PJOK3!BB38</f>
        <v>Anak 34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9" s="196">
        <f>'MLK1-3'!AT38</f>
        <v>92</v>
      </c>
      <c r="AE39" s="196" t="str">
        <f>'MLK1-3'!AU38</f>
        <v>A</v>
      </c>
      <c r="AF39" s="197" t="str">
        <f>'MLK1-3'!AZ38</f>
        <v>Anak 34 sangat baik  dalam mengenal, memahami, dan mengidentifikasi kata berimbuhan dalam teks sesuai kaidah, dan  sangat baik  dalam mengenal dan memahami sandhangan aksara Jawa.</v>
      </c>
      <c r="AG39" s="196">
        <f>'MLK2-3'!AP38</f>
        <v>94</v>
      </c>
      <c r="AH39" s="196" t="str">
        <f>'MLK2-3'!AQ38</f>
        <v>A</v>
      </c>
      <c r="AI39" s="195" t="str">
        <f>'MLK2-3'!AV38</f>
        <v>Anak 34 sangat baik  dalam mengenal dan mengidentifikasi benda-benda di dapur dan nama-nama bunga, dan  sangat baik  dalam memahami penggunaan kalimat yang menunjukkan letak suatu tempat</v>
      </c>
      <c r="AJ39" s="196">
        <f>'MLK3-3'!AP38</f>
        <v>90</v>
      </c>
      <c r="AK39" s="196" t="str">
        <f>'MLK3-3'!AQ38</f>
        <v>B</v>
      </c>
      <c r="AL39" s="197" t="str">
        <f>'MLK3-3'!AV38</f>
        <v>Anak 34 sangat baik  dalam memahami pembuatan dokumen di microsoft  word, dan  baik  dalam mengenal dan memahami penggunaan microsoft  word.</v>
      </c>
      <c r="AM39" s="196" t="e">
        <f>'PAI4'!CI39</f>
        <v>#DIV/0!</v>
      </c>
      <c r="AN39" s="196" t="e">
        <f>'PAI4'!CJ39</f>
        <v>#DIV/0!</v>
      </c>
      <c r="AO39" s="197" t="str">
        <f>'PAI4'!CO39</f>
        <v xml:space="preserve"> </v>
      </c>
      <c r="AP39" s="196" t="e">
        <f>'PKN4'!AD38</f>
        <v>#DIV/0!</v>
      </c>
      <c r="AQ39" s="196" t="e">
        <f>'PKN4'!AE38</f>
        <v>#DIV/0!</v>
      </c>
      <c r="AR39" s="195" t="str">
        <f>'PKN4'!AJ38</f>
        <v xml:space="preserve"> </v>
      </c>
      <c r="AS39" s="196" t="e">
        <f>BIND4!AP38</f>
        <v>#DIV/0!</v>
      </c>
      <c r="AT39" s="196" t="e">
        <f>BIND4!AQ38</f>
        <v>#DIV/0!</v>
      </c>
      <c r="AU39" s="195" t="str">
        <f>BIND4!AV38</f>
        <v xml:space="preserve"> </v>
      </c>
      <c r="AV39" s="196" t="e">
        <f>'MTK4'!AP38</f>
        <v>#DIV/0!</v>
      </c>
      <c r="AW39" s="196" t="e">
        <f>'MTK4'!AQ38</f>
        <v>#DIV/0!</v>
      </c>
      <c r="AX39" s="195" t="str">
        <f>'MTK4'!AV38</f>
        <v xml:space="preserve"> </v>
      </c>
      <c r="AY39" s="196" t="e">
        <f>'IPA4'!AJ38</f>
        <v>#DIV/0!</v>
      </c>
      <c r="AZ39" s="196" t="e">
        <f>'IPA4'!AK38</f>
        <v>#DIV/0!</v>
      </c>
      <c r="BA39" s="195" t="str">
        <f>'IPA4'!AP38</f>
        <v xml:space="preserve"> </v>
      </c>
      <c r="BB39" s="196" t="e">
        <f>'IPS4'!AG38</f>
        <v>#DIV/0!</v>
      </c>
      <c r="BC39" s="196" t="e">
        <f>'IPS4'!AH38</f>
        <v>#DIV/0!</v>
      </c>
      <c r="BD39" s="195" t="str">
        <f>'IPS4'!AM38</f>
        <v xml:space="preserve"> </v>
      </c>
      <c r="BE39" s="196" t="e">
        <f>SBDP4!AG38</f>
        <v>#DIV/0!</v>
      </c>
      <c r="BF39" s="196" t="e">
        <f>SBDP4!AH38</f>
        <v>#DIV/0!</v>
      </c>
      <c r="BG39" s="195" t="str">
        <f>SBDP4!AM38</f>
        <v xml:space="preserve"> </v>
      </c>
      <c r="BH39" s="196" t="e">
        <f>PJOK4!AJ38</f>
        <v>#DIV/0!</v>
      </c>
      <c r="BI39" s="196" t="e">
        <f>PJOK4!AK38</f>
        <v>#DIV/0!</v>
      </c>
      <c r="BJ39" s="197" t="str">
        <f>PJOK4!AP38</f>
        <v xml:space="preserve"> </v>
      </c>
      <c r="BK39" s="196" t="e">
        <f>'MLK1-4'!AG38</f>
        <v>#DIV/0!</v>
      </c>
      <c r="BL39" s="196" t="e">
        <f>'MLK1-4'!AH38</f>
        <v>#DIV/0!</v>
      </c>
      <c r="BM39" s="195" t="str">
        <f>'MLK1-4'!AM38</f>
        <v xml:space="preserve"> </v>
      </c>
      <c r="BN39" s="196" t="e">
        <f>'MLK2-4'!AG38</f>
        <v>#DIV/0!</v>
      </c>
      <c r="BO39" s="196" t="e">
        <f>'MLK2-4'!AH38</f>
        <v>#DIV/0!</v>
      </c>
      <c r="BP39" s="195" t="str">
        <f>'MLK2-4'!AM38</f>
        <v xml:space="preserve"> </v>
      </c>
      <c r="BQ39" s="196" t="e">
        <f>'MLK3-4'!AG38</f>
        <v>#DIV/0!</v>
      </c>
      <c r="BR39" s="196" t="e">
        <f>'MLK3-4'!AH38</f>
        <v>#DIV/0!</v>
      </c>
      <c r="BS39" s="195" t="str">
        <f>'MLK3-4'!AM38</f>
        <v xml:space="preserve"> </v>
      </c>
    </row>
    <row r="40" spans="1:71" ht="129.94999999999999" customHeight="1">
      <c r="A40" s="191">
        <v>35</v>
      </c>
      <c r="B40" s="191">
        <f>SISWA!B40</f>
        <v>0</v>
      </c>
      <c r="C40" s="192" t="str">
        <f>SISWA!C40</f>
        <v>Anak 35</v>
      </c>
      <c r="D40" s="193" t="str">
        <f>SPIRIT!Q39</f>
        <v xml:space="preserve">Ananda Anak 35 baik dalam  ketaatan beribadah,  berperilaku syukur,  berdoa sebelum dan sesudah melakukan kegiatan,  toleransi dalam beribadah, </v>
      </c>
      <c r="E40" s="193" t="str">
        <f>SOSIAL!W39</f>
        <v xml:space="preserve">Ananda Anak 35 baik dalam sikap jujur, disiplin, tanggung jawab, santun, peduli, percaya diri, kerja sama, </v>
      </c>
      <c r="F40" s="194">
        <f>'PAI3'!DU40</f>
        <v>99</v>
      </c>
      <c r="G40" s="194" t="str">
        <f>'PAI3'!DV40</f>
        <v>A</v>
      </c>
      <c r="H40" s="195" t="str">
        <f>'PAI3'!EA40</f>
        <v>Anak 35 sangat baik  dalam memahami Q.S. al- Falaq dan Q.S. al- Fil dengan baik dan benar</v>
      </c>
      <c r="I40" s="194">
        <f>'PKN3'!AI39</f>
        <v>95</v>
      </c>
      <c r="J40" s="194" t="str">
        <f>'PKN3'!AJ39</f>
        <v>A</v>
      </c>
      <c r="K40" s="193" t="str">
        <f>'PKN3'!AO39</f>
        <v>Anak 35 sangat baik  dalam mengidentifikasi pelaksanaan kewajiban dan hak sebagai warga masyarakat dalam kehidupan sehari-hari., dan  sangat baik  dalam mengidentifikasi berbagai bentuk keragaman suku bangsa, sosial, dan budaya di Indonesia yang terikat persatuan dan kesatuan.</v>
      </c>
      <c r="L40" s="196">
        <f>BIND3!AU39</f>
        <v>96</v>
      </c>
      <c r="M40" s="196" t="str">
        <f>BIND3!AV39</f>
        <v>A</v>
      </c>
      <c r="N40" s="195" t="str">
        <f>BIND3!BA39</f>
        <v>Anak 35 sangat baik  dalam menggali pengetahuan baru yang terdapat pada teks nonfiksi., dan  sangat baik  dalam menggali informasi dari seorang tokoh melalui wawancara menggunakan daftar pertanyaan.</v>
      </c>
      <c r="O40" s="196">
        <f>'MTK3'!BC39</f>
        <v>97</v>
      </c>
      <c r="P40" s="196" t="str">
        <f>'MTK3'!BD39</f>
        <v>A</v>
      </c>
      <c r="Q40" s="195" t="str">
        <f>'MTK3'!BI39</f>
        <v>Anak 35 sangat baik  dalam menjelaskan dan melakukan penaksiran dari jumlah, selisih, hasil kali, dan hasil bagi dua bilangan cacah maupun pecahan dan desimal, dan  baik  dalam menjelaskan berbagai bentuk pecahan (biasa, campuran, desimal, dan persen) dan hubungan di antaranya</v>
      </c>
      <c r="R40" s="196">
        <f>'IPA3'!AM39</f>
        <v>99</v>
      </c>
      <c r="S40" s="196" t="str">
        <f>'IPA3'!AN39</f>
        <v>A</v>
      </c>
      <c r="T40" s="195" t="str">
        <f>'IPA3'!AS39</f>
        <v>Anak 35 sangat baik  dalam membandingkan siklus hidup beberapa jenis makhluk hidup serta mengaitkan dengan upaya pelestariannya.</v>
      </c>
      <c r="U40" s="196">
        <f>'IPS3'!AN39</f>
        <v>99</v>
      </c>
      <c r="V40" s="196" t="str">
        <f>'IPS3'!AO39</f>
        <v>A</v>
      </c>
      <c r="W40" s="195" t="str">
        <f>'IPS3'!AT39</f>
        <v>Anak 35 sangat baik  dalam mengidentifikasi karakteristik ruang dan pemanfaatan sumberdaya alam untuk kesejahteraan masyarakat dari tingkatkota/kabupaten sampai tingkat provinsi.</v>
      </c>
      <c r="X40" s="196">
        <f>SBDP3!AN39</f>
        <v>99</v>
      </c>
      <c r="Y40" s="196" t="str">
        <f>SBDP3!AO39</f>
        <v>A</v>
      </c>
      <c r="Z40" s="195" t="str">
        <f>SBDP3!AT39</f>
        <v>Anak 35 sangat baik  dalam mengetahui gambar dan bentuk tiga dimensi.</v>
      </c>
      <c r="AA40" s="196">
        <f>PJOK3!AV39</f>
        <v>95</v>
      </c>
      <c r="AB40" s="196" t="str">
        <f>PJOK3!AW39</f>
        <v>A</v>
      </c>
      <c r="AC40" s="195" t="str">
        <f>PJOK3!BB39</f>
        <v>Anak 35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0" s="196">
        <f>'MLK1-3'!AT39</f>
        <v>90</v>
      </c>
      <c r="AE40" s="196" t="str">
        <f>'MLK1-3'!AU39</f>
        <v>B</v>
      </c>
      <c r="AF40" s="197" t="str">
        <f>'MLK1-3'!AZ39</f>
        <v>Anak 35 sangat baik  dalam mengenal dan memahmi teks tembang dolanan, dan  baik  dalam mengenal dan memahami sandhangan aksara Jawa.</v>
      </c>
      <c r="AG40" s="196">
        <f>'MLK2-3'!AP39</f>
        <v>93</v>
      </c>
      <c r="AH40" s="196" t="str">
        <f>'MLK2-3'!AQ39</f>
        <v>A</v>
      </c>
      <c r="AI40" s="195" t="str">
        <f>'MLK2-3'!AV39</f>
        <v>Anak 35 sangat baik  dalam mengenal dan mengidentifikasi benda-benda di dapur dan nama-nama bunga, dan  baik  dalam memahami penggunaan kalimat yang menunjukkan letak suatu tempat</v>
      </c>
      <c r="AJ40" s="196">
        <f>'MLK3-3'!AP39</f>
        <v>88</v>
      </c>
      <c r="AK40" s="196" t="str">
        <f>'MLK3-3'!AQ39</f>
        <v>B</v>
      </c>
      <c r="AL40" s="197" t="str">
        <f>'MLK3-3'!AV39</f>
        <v>Anak 35 baik  dalam mengenal dan memahami penggunaan microsoft  word., dan  baik  dalam memahami pembuatan dokumen di microsoft  word</v>
      </c>
      <c r="AM40" s="196" t="e">
        <f>'PAI4'!CI40</f>
        <v>#DIV/0!</v>
      </c>
      <c r="AN40" s="196" t="e">
        <f>'PAI4'!CJ40</f>
        <v>#DIV/0!</v>
      </c>
      <c r="AO40" s="197" t="str">
        <f>'PAI4'!CO40</f>
        <v xml:space="preserve"> </v>
      </c>
      <c r="AP40" s="196" t="e">
        <f>'PKN4'!AD39</f>
        <v>#DIV/0!</v>
      </c>
      <c r="AQ40" s="196" t="e">
        <f>'PKN4'!AE39</f>
        <v>#DIV/0!</v>
      </c>
      <c r="AR40" s="195" t="str">
        <f>'PKN4'!AJ39</f>
        <v xml:space="preserve"> </v>
      </c>
      <c r="AS40" s="196" t="e">
        <f>BIND4!AP39</f>
        <v>#DIV/0!</v>
      </c>
      <c r="AT40" s="196" t="e">
        <f>BIND4!AQ39</f>
        <v>#DIV/0!</v>
      </c>
      <c r="AU40" s="195" t="str">
        <f>BIND4!AV39</f>
        <v xml:space="preserve"> </v>
      </c>
      <c r="AV40" s="196" t="e">
        <f>'MTK4'!AP39</f>
        <v>#DIV/0!</v>
      </c>
      <c r="AW40" s="196" t="e">
        <f>'MTK4'!AQ39</f>
        <v>#DIV/0!</v>
      </c>
      <c r="AX40" s="195" t="str">
        <f>'MTK4'!AV39</f>
        <v xml:space="preserve"> </v>
      </c>
      <c r="AY40" s="196" t="e">
        <f>'IPA4'!AJ39</f>
        <v>#DIV/0!</v>
      </c>
      <c r="AZ40" s="196" t="e">
        <f>'IPA4'!AK39</f>
        <v>#DIV/0!</v>
      </c>
      <c r="BA40" s="195" t="str">
        <f>'IPA4'!AP39</f>
        <v xml:space="preserve"> </v>
      </c>
      <c r="BB40" s="196" t="e">
        <f>'IPS4'!AG39</f>
        <v>#DIV/0!</v>
      </c>
      <c r="BC40" s="196" t="e">
        <f>'IPS4'!AH39</f>
        <v>#DIV/0!</v>
      </c>
      <c r="BD40" s="195" t="str">
        <f>'IPS4'!AM39</f>
        <v xml:space="preserve"> </v>
      </c>
      <c r="BE40" s="196" t="e">
        <f>SBDP4!AG39</f>
        <v>#DIV/0!</v>
      </c>
      <c r="BF40" s="196" t="e">
        <f>SBDP4!AH39</f>
        <v>#DIV/0!</v>
      </c>
      <c r="BG40" s="195" t="str">
        <f>SBDP4!AM39</f>
        <v xml:space="preserve"> </v>
      </c>
      <c r="BH40" s="196" t="e">
        <f>PJOK4!AJ39</f>
        <v>#DIV/0!</v>
      </c>
      <c r="BI40" s="196" t="e">
        <f>PJOK4!AK39</f>
        <v>#DIV/0!</v>
      </c>
      <c r="BJ40" s="197" t="str">
        <f>PJOK4!AP39</f>
        <v xml:space="preserve"> </v>
      </c>
      <c r="BK40" s="196" t="e">
        <f>'MLK1-4'!AG39</f>
        <v>#DIV/0!</v>
      </c>
      <c r="BL40" s="196" t="e">
        <f>'MLK1-4'!AH39</f>
        <v>#DIV/0!</v>
      </c>
      <c r="BM40" s="195" t="str">
        <f>'MLK1-4'!AM39</f>
        <v xml:space="preserve"> </v>
      </c>
      <c r="BN40" s="196" t="e">
        <f>'MLK2-4'!AG39</f>
        <v>#DIV/0!</v>
      </c>
      <c r="BO40" s="196" t="e">
        <f>'MLK2-4'!AH39</f>
        <v>#DIV/0!</v>
      </c>
      <c r="BP40" s="195" t="str">
        <f>'MLK2-4'!AM39</f>
        <v xml:space="preserve"> </v>
      </c>
      <c r="BQ40" s="196" t="e">
        <f>'MLK3-4'!AG39</f>
        <v>#DIV/0!</v>
      </c>
      <c r="BR40" s="196" t="e">
        <f>'MLK3-4'!AH39</f>
        <v>#DIV/0!</v>
      </c>
      <c r="BS40" s="195" t="str">
        <f>'MLK3-4'!AM39</f>
        <v xml:space="preserve"> </v>
      </c>
    </row>
    <row r="41" spans="1:71" ht="129.94999999999999" customHeight="1">
      <c r="A41" s="191">
        <v>36</v>
      </c>
      <c r="B41" s="191">
        <f>SISWA!B41</f>
        <v>0</v>
      </c>
      <c r="C41" s="192" t="str">
        <f>SISWA!C41</f>
        <v>Anak 36</v>
      </c>
      <c r="D41" s="193" t="str">
        <f>SPIRIT!Q40</f>
        <v xml:space="preserve">Ananda Anak 36 baik dalam  ketaatan beribadah,  berperilaku syukur,  berdoa sebelum dan sesudah melakukan kegiatan,  toleransi dalam beribadah, </v>
      </c>
      <c r="E41" s="193" t="str">
        <f>SOSIAL!W40</f>
        <v xml:space="preserve">Ananda Anak 36 baik dalam sikap jujur, disiplin, tanggung jawab, santun, peduli, percaya diri, kerja sama, </v>
      </c>
      <c r="F41" s="194">
        <f>'PAI3'!DU41</f>
        <v>99</v>
      </c>
      <c r="G41" s="194" t="str">
        <f>'PAI3'!DV41</f>
        <v>A</v>
      </c>
      <c r="H41" s="195" t="str">
        <f>'PAI3'!EA41</f>
        <v>Anak 36 sangat baik  dalam memahami Q.S. al- Falaq dan Q.S. al- Fil dengan baik dan benar</v>
      </c>
      <c r="I41" s="194">
        <f>'PKN3'!AI40</f>
        <v>96</v>
      </c>
      <c r="J41" s="194" t="str">
        <f>'PKN3'!AJ40</f>
        <v>A</v>
      </c>
      <c r="K41" s="193" t="str">
        <f>'PKN3'!AO40</f>
        <v>Anak 36 sangat baik  dalam mengidentifikasi pelaksanaan kewajiban dan hak sebagai warga masyarakat dalam kehidupan sehari-hari., dan  sangat baik  dalam mengidentifikasi berbagai bentuk keragaman suku bangsa, sosial, dan budaya di Indonesia yang terikat persatuan dan kesatuan.</v>
      </c>
      <c r="L41" s="196">
        <f>BIND3!AU40</f>
        <v>97</v>
      </c>
      <c r="M41" s="196" t="str">
        <f>BIND3!AV40</f>
        <v>A</v>
      </c>
      <c r="N41" s="195" t="str">
        <f>BIND3!BA40</f>
        <v>Anak 36 sangat baik  dalam menggali pengetahuan baru yang terdapat pada teks nonfiksi., dan  sangat baik  dalam menggali isi dan amanat puisi yang disajikan secara lisan dan tulis dengan tujuan untuk kesenangan.</v>
      </c>
      <c r="O41" s="196">
        <f>'MTK3'!BC40</f>
        <v>97</v>
      </c>
      <c r="P41" s="196" t="str">
        <f>'MTK3'!BD40</f>
        <v>A</v>
      </c>
      <c r="Q41" s="195" t="str">
        <f>'MTK3'!BI40</f>
        <v>Anak 36 sangat baik  dalam menjelaskan dan melakukan penaksiran dari jumlah, selisih, hasil kali, dan hasil bagi dua bilangan cacah maupun pecahan dan desimal, dan  sangat baik  dalam menjelaskan berbagai bentuk pecahan (biasa, campuran, desimal, dan persen) dan hubungan di antaranya</v>
      </c>
      <c r="R41" s="196">
        <f>'IPA3'!AM40</f>
        <v>99</v>
      </c>
      <c r="S41" s="196" t="str">
        <f>'IPA3'!AN40</f>
        <v>A</v>
      </c>
      <c r="T41" s="195" t="str">
        <f>'IPA3'!AS40</f>
        <v>Anak 36 sangat baik  dalam membandingkan siklus hidup beberapa jenis makhluk hidup serta mengaitkan dengan upaya pelestariannya.</v>
      </c>
      <c r="U41" s="196">
        <f>'IPS3'!AN40</f>
        <v>99</v>
      </c>
      <c r="V41" s="196" t="str">
        <f>'IPS3'!AO40</f>
        <v>A</v>
      </c>
      <c r="W41" s="195" t="str">
        <f>'IPS3'!AT40</f>
        <v>Anak 36 sangat baik  dalam mengidentifikasi karakteristik ruang dan pemanfaatan sumberdaya alam untuk kesejahteraan masyarakat dari tingkatkota/kabupaten sampai tingkat provinsi.</v>
      </c>
      <c r="X41" s="196">
        <f>SBDP3!AN40</f>
        <v>99</v>
      </c>
      <c r="Y41" s="196" t="str">
        <f>SBDP3!AO40</f>
        <v>A</v>
      </c>
      <c r="Z41" s="195" t="str">
        <f>SBDP3!AT40</f>
        <v>Anak 36 sangat baik  dalam mengetahui gambar dan bentuk tiga dimensi.</v>
      </c>
      <c r="AA41" s="196">
        <f>PJOK3!AV40</f>
        <v>96</v>
      </c>
      <c r="AB41" s="196" t="str">
        <f>PJOK3!AW40</f>
        <v>A</v>
      </c>
      <c r="AC41" s="195" t="str">
        <f>PJOK3!BB40</f>
        <v>Anak 36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1" s="196">
        <f>'MLK1-3'!AT40</f>
        <v>92</v>
      </c>
      <c r="AE41" s="196" t="str">
        <f>'MLK1-3'!AU40</f>
        <v>A</v>
      </c>
      <c r="AF41" s="197" t="str">
        <f>'MLK1-3'!AZ40</f>
        <v>Anak 36 sangat baik  dalam mengenal dan memahmi teks tembang dolanan, dan  sangat baik  dalam mengenal dan memahami sandhangan aksara Jawa.</v>
      </c>
      <c r="AG41" s="196">
        <f>'MLK2-3'!AP40</f>
        <v>94</v>
      </c>
      <c r="AH41" s="196" t="str">
        <f>'MLK2-3'!AQ40</f>
        <v>A</v>
      </c>
      <c r="AI41" s="195" t="str">
        <f>'MLK2-3'!AV40</f>
        <v>Anak 36 sangat baik  dalam mengenal dan mengidentifikasi benda-benda di dapur dan nama-nama bunga, dan  sangat baik  dalam memahami penggunaan kalimat yang menunjukkan letak suatu tempat</v>
      </c>
      <c r="AJ41" s="196">
        <f>'MLK3-3'!AP40</f>
        <v>91</v>
      </c>
      <c r="AK41" s="196" t="str">
        <f>'MLK3-3'!AQ40</f>
        <v>A</v>
      </c>
      <c r="AL41" s="197" t="str">
        <f>'MLK3-3'!AV40</f>
        <v>Anak 36 sangat baik  dalam mengenal dan memahami penggunaan microsoft  word., dan  baik  dalam memahami pembuatan dokumen di microsoft  word</v>
      </c>
      <c r="AM41" s="196" t="e">
        <f>'PAI4'!CI41</f>
        <v>#DIV/0!</v>
      </c>
      <c r="AN41" s="196" t="e">
        <f>'PAI4'!CJ41</f>
        <v>#DIV/0!</v>
      </c>
      <c r="AO41" s="197" t="str">
        <f>'PAI4'!CO41</f>
        <v xml:space="preserve"> </v>
      </c>
      <c r="AP41" s="196" t="e">
        <f>'PKN4'!AD40</f>
        <v>#DIV/0!</v>
      </c>
      <c r="AQ41" s="196" t="e">
        <f>'PKN4'!AE40</f>
        <v>#DIV/0!</v>
      </c>
      <c r="AR41" s="195" t="str">
        <f>'PKN4'!AJ40</f>
        <v xml:space="preserve"> </v>
      </c>
      <c r="AS41" s="196" t="e">
        <f>BIND4!AP40</f>
        <v>#DIV/0!</v>
      </c>
      <c r="AT41" s="196" t="e">
        <f>BIND4!AQ40</f>
        <v>#DIV/0!</v>
      </c>
      <c r="AU41" s="195" t="str">
        <f>BIND4!AV40</f>
        <v xml:space="preserve"> </v>
      </c>
      <c r="AV41" s="196" t="e">
        <f>'MTK4'!AP40</f>
        <v>#DIV/0!</v>
      </c>
      <c r="AW41" s="196" t="e">
        <f>'MTK4'!AQ40</f>
        <v>#DIV/0!</v>
      </c>
      <c r="AX41" s="195" t="str">
        <f>'MTK4'!AV40</f>
        <v xml:space="preserve"> </v>
      </c>
      <c r="AY41" s="196" t="e">
        <f>'IPA4'!AJ40</f>
        <v>#DIV/0!</v>
      </c>
      <c r="AZ41" s="196" t="e">
        <f>'IPA4'!AK40</f>
        <v>#DIV/0!</v>
      </c>
      <c r="BA41" s="195" t="str">
        <f>'IPA4'!AP40</f>
        <v xml:space="preserve"> </v>
      </c>
      <c r="BB41" s="196" t="e">
        <f>'IPS4'!AG40</f>
        <v>#DIV/0!</v>
      </c>
      <c r="BC41" s="196" t="e">
        <f>'IPS4'!AH40</f>
        <v>#DIV/0!</v>
      </c>
      <c r="BD41" s="195" t="str">
        <f>'IPS4'!AM40</f>
        <v xml:space="preserve"> </v>
      </c>
      <c r="BE41" s="196" t="e">
        <f>SBDP4!AG40</f>
        <v>#DIV/0!</v>
      </c>
      <c r="BF41" s="196" t="e">
        <f>SBDP4!AH40</f>
        <v>#DIV/0!</v>
      </c>
      <c r="BG41" s="195" t="str">
        <f>SBDP4!AM40</f>
        <v xml:space="preserve"> </v>
      </c>
      <c r="BH41" s="196" t="e">
        <f>PJOK4!AJ40</f>
        <v>#DIV/0!</v>
      </c>
      <c r="BI41" s="196" t="e">
        <f>PJOK4!AK40</f>
        <v>#DIV/0!</v>
      </c>
      <c r="BJ41" s="197" t="str">
        <f>PJOK4!AP40</f>
        <v xml:space="preserve"> </v>
      </c>
      <c r="BK41" s="196" t="e">
        <f>'MLK1-4'!AG40</f>
        <v>#DIV/0!</v>
      </c>
      <c r="BL41" s="196" t="e">
        <f>'MLK1-4'!AH40</f>
        <v>#DIV/0!</v>
      </c>
      <c r="BM41" s="195" t="str">
        <f>'MLK1-4'!AM40</f>
        <v xml:space="preserve"> </v>
      </c>
      <c r="BN41" s="196" t="e">
        <f>'MLK2-4'!AG40</f>
        <v>#DIV/0!</v>
      </c>
      <c r="BO41" s="196" t="e">
        <f>'MLK2-4'!AH40</f>
        <v>#DIV/0!</v>
      </c>
      <c r="BP41" s="195" t="str">
        <f>'MLK2-4'!AM40</f>
        <v xml:space="preserve"> </v>
      </c>
      <c r="BQ41" s="196" t="e">
        <f>'MLK3-4'!AG40</f>
        <v>#DIV/0!</v>
      </c>
      <c r="BR41" s="196" t="e">
        <f>'MLK3-4'!AH40</f>
        <v>#DIV/0!</v>
      </c>
      <c r="BS41" s="195" t="str">
        <f>'MLK3-4'!AM40</f>
        <v xml:space="preserve"> </v>
      </c>
    </row>
    <row r="42" spans="1:71" ht="163.5" customHeight="1">
      <c r="A42" s="191">
        <v>37</v>
      </c>
      <c r="B42" s="191">
        <f>SISWA!B42</f>
        <v>0</v>
      </c>
      <c r="C42" s="192" t="str">
        <f>SISWA!C42</f>
        <v>Anak 37</v>
      </c>
      <c r="D42" s="193" t="str">
        <f>SPIRIT!Q41</f>
        <v xml:space="preserve">Ananda Anak 37 baik dalam  ketaatan beribadah,  berperilaku syukur,  berdoa sebelum dan sesudah melakukan kegiatan,  toleransi dalam beribadah, </v>
      </c>
      <c r="E42" s="193" t="str">
        <f>SOSIAL!W41</f>
        <v xml:space="preserve">Ananda Anak 37 baik dalam sikap jujur, disiplin, tanggung jawab, santun, peduli, percaya diri, kerja sama, </v>
      </c>
      <c r="F42" s="194">
        <f>'PAI3'!DU42</f>
        <v>99</v>
      </c>
      <c r="G42" s="194" t="str">
        <f>'PAI3'!DV42</f>
        <v>A</v>
      </c>
      <c r="H42" s="195" t="str">
        <f>'PAI3'!EA42</f>
        <v>Anak 37 sangat baik  dalam memahami Q.S. al- Falaq dan Q.S. al- Fil dengan baik dan benar</v>
      </c>
      <c r="I42" s="194">
        <f>'PKN3'!AI41</f>
        <v>96</v>
      </c>
      <c r="J42" s="194" t="str">
        <f>'PKN3'!AJ41</f>
        <v>A</v>
      </c>
      <c r="K42" s="193" t="str">
        <f>'PKN3'!AO41</f>
        <v>Anak 37 sangat baik  dalam mengidentifikasi pelaksanaan kewajiban dan hak sebagai warga masyarakat dalam kehidupan sehari-hari., dan  sangat baik  dalam mengidentifikasi berbagai bentuk keragaman suku bangsa, sosial, dan budaya di Indonesia yang terikat persatuan dan kesatuan.</v>
      </c>
      <c r="L42" s="196">
        <f>BIND3!AU41</f>
        <v>97</v>
      </c>
      <c r="M42" s="196" t="str">
        <f>BIND3!AV41</f>
        <v>A</v>
      </c>
      <c r="N42" s="195" t="str">
        <f>BIND3!BA41</f>
        <v>Anak 37 sangat baik  dalam menggali pengetahuan baru yang terdapat pada teks nonfiksi., dan  sangat baik  dalam menggali informasi dari seorang tokoh melalui wawancara menggunakan daftar pertanyaan.</v>
      </c>
      <c r="O42" s="196">
        <f>'MTK3'!BC41</f>
        <v>97</v>
      </c>
      <c r="P42" s="196" t="str">
        <f>'MTK3'!BD41</f>
        <v>A</v>
      </c>
      <c r="Q42" s="195" t="str">
        <f>'MTK3'!BI41</f>
        <v>Anak 37 sangat baik  dalam menjelaskan dan melakukan penaksiran dari jumlah, selisih, hasil kali, dan hasil bagi dua bilangan cacah maupun pecahan dan desimal, dan  baik  dalam menjelaskan berbagai bentuk pecahan (biasa, campuran, desimal, dan persen) dan hubungan di antaranya</v>
      </c>
      <c r="R42" s="196">
        <f>'IPA3'!AM41</f>
        <v>99</v>
      </c>
      <c r="S42" s="196" t="str">
        <f>'IPA3'!AN41</f>
        <v>A</v>
      </c>
      <c r="T42" s="195" t="str">
        <f>'IPA3'!AS41</f>
        <v>Anak 37 sangat baik  dalam membandingkan siklus hidup beberapa jenis makhluk hidup serta mengaitkan dengan upaya pelestariannya.</v>
      </c>
      <c r="U42" s="196">
        <f>'IPS3'!AN41</f>
        <v>99</v>
      </c>
      <c r="V42" s="196" t="str">
        <f>'IPS3'!AO41</f>
        <v>A</v>
      </c>
      <c r="W42" s="195" t="str">
        <f>'IPS3'!AT41</f>
        <v>Anak 37 sangat baik  dalam mengidentifikasi karakteristik ruang dan pemanfaatan sumberdaya alam untuk kesejahteraan masyarakat dari tingkatkota/kabupaten sampai tingkat provinsi.</v>
      </c>
      <c r="X42" s="196">
        <f>SBDP3!AN41</f>
        <v>99</v>
      </c>
      <c r="Y42" s="196" t="str">
        <f>SBDP3!AO41</f>
        <v>A</v>
      </c>
      <c r="Z42" s="195" t="str">
        <f>SBDP3!AT41</f>
        <v>Anak 37 sangat baik  dalam mengetahui gambar dan bentuk tiga dimensi.</v>
      </c>
      <c r="AA42" s="196">
        <f>PJOK3!AV41</f>
        <v>95</v>
      </c>
      <c r="AB42" s="196" t="str">
        <f>PJOK3!AW41</f>
        <v>A</v>
      </c>
      <c r="AC42" s="195" t="str">
        <f>PJOK3!BB41</f>
        <v>Anak 37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2" s="196">
        <f>'MLK1-3'!AT41</f>
        <v>92</v>
      </c>
      <c r="AE42" s="196" t="str">
        <f>'MLK1-3'!AU41</f>
        <v>A</v>
      </c>
      <c r="AF42" s="197" t="str">
        <f>'MLK1-3'!AZ41</f>
        <v>Anak 37 sangat baik  dalam mengenal dan memahmi teks tembang dolanan, dan  baik  dalam mengenal dan memahami sandhangan aksara Jawa.</v>
      </c>
      <c r="AG42" s="196">
        <f>'MLK2-3'!AP41</f>
        <v>94</v>
      </c>
      <c r="AH42" s="196" t="str">
        <f>'MLK2-3'!AQ41</f>
        <v>A</v>
      </c>
      <c r="AI42" s="195" t="str">
        <f>'MLK2-3'!AV41</f>
        <v>Anak 37 sangat baik  dalam mengenal dan mengidentifikasi benda-benda di dapur dan nama-nama bunga, dan  baik  dalam memahami penggunaan kalimat yang menunjukkan letak suatu tempat</v>
      </c>
      <c r="AJ42" s="196">
        <f>'MLK3-3'!AP41</f>
        <v>90</v>
      </c>
      <c r="AK42" s="196" t="str">
        <f>'MLK3-3'!AQ41</f>
        <v>B</v>
      </c>
      <c r="AL42" s="197" t="str">
        <f>'MLK3-3'!AV41</f>
        <v>Anak 37 baik  dalam mengenal dan memahami penggunaan microsoft  word., dan  baik  dalam memahami pembuatan dokumen di microsoft  word</v>
      </c>
      <c r="AM42" s="196" t="e">
        <f>'PAI4'!CI42</f>
        <v>#DIV/0!</v>
      </c>
      <c r="AN42" s="196" t="e">
        <f>'PAI4'!CJ42</f>
        <v>#DIV/0!</v>
      </c>
      <c r="AO42" s="197" t="str">
        <f>'PAI4'!CO42</f>
        <v xml:space="preserve"> </v>
      </c>
      <c r="AP42" s="196" t="e">
        <f>'PKN4'!AD41</f>
        <v>#DIV/0!</v>
      </c>
      <c r="AQ42" s="196" t="e">
        <f>'PKN4'!AE41</f>
        <v>#DIV/0!</v>
      </c>
      <c r="AR42" s="195" t="str">
        <f>'PKN4'!AJ41</f>
        <v xml:space="preserve"> </v>
      </c>
      <c r="AS42" s="196" t="e">
        <f>BIND4!AP41</f>
        <v>#DIV/0!</v>
      </c>
      <c r="AT42" s="196" t="e">
        <f>BIND4!AQ41</f>
        <v>#DIV/0!</v>
      </c>
      <c r="AU42" s="195" t="str">
        <f>BIND4!AV41</f>
        <v xml:space="preserve"> </v>
      </c>
      <c r="AV42" s="196" t="e">
        <f>'MTK4'!AP41</f>
        <v>#DIV/0!</v>
      </c>
      <c r="AW42" s="196" t="e">
        <f>'MTK4'!AQ41</f>
        <v>#DIV/0!</v>
      </c>
      <c r="AX42" s="195" t="str">
        <f>'MTK4'!AV41</f>
        <v xml:space="preserve"> </v>
      </c>
      <c r="AY42" s="196" t="e">
        <f>'IPA4'!AJ41</f>
        <v>#DIV/0!</v>
      </c>
      <c r="AZ42" s="196" t="e">
        <f>'IPA4'!AK41</f>
        <v>#DIV/0!</v>
      </c>
      <c r="BA42" s="195" t="str">
        <f>'IPA4'!AP41</f>
        <v xml:space="preserve"> </v>
      </c>
      <c r="BB42" s="196" t="e">
        <f>'IPS4'!AG41</f>
        <v>#DIV/0!</v>
      </c>
      <c r="BC42" s="196" t="e">
        <f>'IPS4'!AH41</f>
        <v>#DIV/0!</v>
      </c>
      <c r="BD42" s="195" t="str">
        <f>'IPS4'!AM41</f>
        <v xml:space="preserve"> </v>
      </c>
      <c r="BE42" s="196" t="e">
        <f>SBDP4!AG41</f>
        <v>#DIV/0!</v>
      </c>
      <c r="BF42" s="196" t="e">
        <f>SBDP4!AH41</f>
        <v>#DIV/0!</v>
      </c>
      <c r="BG42" s="195" t="str">
        <f>SBDP4!AM41</f>
        <v xml:space="preserve"> </v>
      </c>
      <c r="BH42" s="196" t="e">
        <f>PJOK4!AJ41</f>
        <v>#DIV/0!</v>
      </c>
      <c r="BI42" s="196" t="e">
        <f>PJOK4!AK41</f>
        <v>#DIV/0!</v>
      </c>
      <c r="BJ42" s="197" t="str">
        <f>PJOK4!AP41</f>
        <v xml:space="preserve"> </v>
      </c>
      <c r="BK42" s="196" t="e">
        <f>'MLK1-4'!AG41</f>
        <v>#DIV/0!</v>
      </c>
      <c r="BL42" s="196" t="e">
        <f>'MLK1-4'!AH41</f>
        <v>#DIV/0!</v>
      </c>
      <c r="BM42" s="195" t="str">
        <f>'MLK1-4'!AM41</f>
        <v xml:space="preserve"> </v>
      </c>
      <c r="BN42" s="196" t="e">
        <f>'MLK2-4'!AG41</f>
        <v>#DIV/0!</v>
      </c>
      <c r="BO42" s="196" t="e">
        <f>'MLK2-4'!AH41</f>
        <v>#DIV/0!</v>
      </c>
      <c r="BP42" s="195" t="str">
        <f>'MLK2-4'!AM41</f>
        <v xml:space="preserve"> </v>
      </c>
      <c r="BQ42" s="196" t="e">
        <f>'MLK3-4'!AG41</f>
        <v>#DIV/0!</v>
      </c>
      <c r="BR42" s="196" t="e">
        <f>'MLK3-4'!AH41</f>
        <v>#DIV/0!</v>
      </c>
      <c r="BS42" s="195" t="str">
        <f>'MLK3-4'!AM41</f>
        <v xml:space="preserve"> </v>
      </c>
    </row>
    <row r="43" spans="1:71" ht="108.75" customHeight="1">
      <c r="A43" s="191">
        <v>38</v>
      </c>
      <c r="B43" s="191">
        <f>SISWA!B43</f>
        <v>0</v>
      </c>
      <c r="C43" s="192" t="str">
        <f>SISWA!C43</f>
        <v>Anak 38</v>
      </c>
      <c r="D43" s="193" t="str">
        <f>SPIRIT!Q42</f>
        <v xml:space="preserve">Ananda Anak 38 baik dalam  ketaatan beribadah,  berperilaku syukur,  berdoa sebelum dan sesudah melakukan kegiatan,  toleransi dalam beribadah, </v>
      </c>
      <c r="E43" s="193" t="str">
        <f>SOSIAL!W42</f>
        <v xml:space="preserve">Ananda Anak 38 baik dalam sikap jujur, disiplin, tanggung jawab, santun, peduli, percaya diri, kerja sama, </v>
      </c>
      <c r="F43" s="194">
        <f>'PAI3'!DU43</f>
        <v>99</v>
      </c>
      <c r="G43" s="194" t="str">
        <f>'PAI3'!DV43</f>
        <v>A</v>
      </c>
      <c r="H43" s="195" t="str">
        <f>'PAI3'!EA43</f>
        <v>Anak 38 sangat baik  dalam memahami Q.S. al- Falaq dan Q.S. al- Fil dengan baik dan benar</v>
      </c>
      <c r="I43" s="194">
        <f>'PKN3'!AI42</f>
        <v>96</v>
      </c>
      <c r="J43" s="194" t="str">
        <f>'PKN3'!AJ42</f>
        <v>A</v>
      </c>
      <c r="K43" s="193" t="str">
        <f>'PKN3'!AO42</f>
        <v>Anak 38 sangat baik  dalam mengidentifikasi pelaksanaan kewajiban dan hak sebagai warga masyarakat dalam kehidupan sehari-hari., dan  sangat baik  dalam menjelaskan manfaat keberagaman karakteristik individu dalam kehidupan sehari-hari.</v>
      </c>
      <c r="L43" s="196">
        <f>BIND3!AU42</f>
        <v>97</v>
      </c>
      <c r="M43" s="196" t="str">
        <f>BIND3!AV42</f>
        <v>A</v>
      </c>
      <c r="N43" s="195" t="str">
        <f>BIND3!BA42</f>
        <v>Anak 38 sangat baik  dalam menggali pengetahuan baru yang terdapat pada teks nonfiksi., dan  sangat baik  dalam menggali informasi dari seorang tokoh melalui wawancara menggunakan daftar pertanyaan.</v>
      </c>
      <c r="O43" s="196">
        <f>'MTK3'!BC42</f>
        <v>97</v>
      </c>
      <c r="P43" s="196" t="str">
        <f>'MTK3'!BD42</f>
        <v>A</v>
      </c>
      <c r="Q43" s="195" t="str">
        <f>'MTK3'!BI42</f>
        <v>Anak 38 sangat baik  dalam menjelaskan dan melakukan penaksiran dari jumlah, selisih, hasil kali, dan hasil bagi dua bilangan cacah maupun pecahan dan desimal, dan  sangat baik  dalam menjelaskan berbagai bentuk pecahan (biasa, campuran, desimal, dan persen) dan hubungan di antaranya</v>
      </c>
      <c r="R43" s="196">
        <f>'IPA3'!AM42</f>
        <v>99</v>
      </c>
      <c r="S43" s="196" t="str">
        <f>'IPA3'!AN42</f>
        <v>A</v>
      </c>
      <c r="T43" s="195" t="str">
        <f>'IPA3'!AS42</f>
        <v>Anak 38 sangat baik  dalam membandingkan siklus hidup beberapa jenis makhluk hidup serta mengaitkan dengan upaya pelestariannya.</v>
      </c>
      <c r="U43" s="196">
        <f>'IPS3'!AN42</f>
        <v>99</v>
      </c>
      <c r="V43" s="196" t="str">
        <f>'IPS3'!AO42</f>
        <v>A</v>
      </c>
      <c r="W43" s="195" t="str">
        <f>'IPS3'!AT42</f>
        <v>Anak 38 sangat baik  dalam mengidentifikasi karakteristik ruang dan pemanfaatan sumberdaya alam untuk kesejahteraan masyarakat dari tingkatkota/kabupaten sampai tingkat provinsi.</v>
      </c>
      <c r="X43" s="196">
        <f>SBDP3!AN42</f>
        <v>99</v>
      </c>
      <c r="Y43" s="196" t="str">
        <f>SBDP3!AO42</f>
        <v>A</v>
      </c>
      <c r="Z43" s="195" t="str">
        <f>SBDP3!AT42</f>
        <v>Anak 38 sangat baik  dalam mengetahui gambar dan bentuk tiga dimensi.</v>
      </c>
      <c r="AA43" s="196">
        <f>PJOK3!AV42</f>
        <v>96</v>
      </c>
      <c r="AB43" s="196" t="str">
        <f>PJOK3!AW42</f>
        <v>A</v>
      </c>
      <c r="AC43" s="195" t="str">
        <f>PJOK3!BB42</f>
        <v>Anak 38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43" s="196">
        <f>'MLK1-3'!AT42</f>
        <v>92</v>
      </c>
      <c r="AE43" s="196" t="str">
        <f>'MLK1-3'!AU42</f>
        <v>A</v>
      </c>
      <c r="AF43" s="197" t="str">
        <f>'MLK1-3'!AZ42</f>
        <v>Anak 38 sangat baik  dalam mengenal, memahami, dan mengidentifikasi kata berimbuhan dalam teks sesuai kaidah, dan  sangat baik  dalam mengenal dan memahami sandhangan aksara Jawa.</v>
      </c>
      <c r="AG43" s="196">
        <f>'MLK2-3'!AP42</f>
        <v>94</v>
      </c>
      <c r="AH43" s="196" t="str">
        <f>'MLK2-3'!AQ42</f>
        <v>A</v>
      </c>
      <c r="AI43" s="195" t="str">
        <f>'MLK2-3'!AV42</f>
        <v>Anak 38 sangat baik  dalam mengenal dan mengidentifikasi benda-benda di dapur dan nama-nama bunga, dan  sangat baik  dalam memahami penggunaan kalimat yang menunjukkan letak suatu tempat</v>
      </c>
      <c r="AJ43" s="196">
        <f>'MLK3-3'!AP42</f>
        <v>90</v>
      </c>
      <c r="AK43" s="196" t="str">
        <f>'MLK3-3'!AQ42</f>
        <v>B</v>
      </c>
      <c r="AL43" s="197" t="str">
        <f>'MLK3-3'!AV42</f>
        <v>Anak 38 sangat baik  dalam memahami pembuatan dokumen di microsoft  word, dan  baik  dalam mengenal dan memahami penggunaan microsoft  word.</v>
      </c>
      <c r="AM43" s="196" t="e">
        <f>'PAI4'!CI43</f>
        <v>#DIV/0!</v>
      </c>
      <c r="AN43" s="196" t="e">
        <f>'PAI4'!CJ43</f>
        <v>#DIV/0!</v>
      </c>
      <c r="AO43" s="197" t="str">
        <f>'PAI4'!CO43</f>
        <v xml:space="preserve"> </v>
      </c>
      <c r="AP43" s="196" t="e">
        <f>'PKN4'!AD42</f>
        <v>#DIV/0!</v>
      </c>
      <c r="AQ43" s="196" t="e">
        <f>'PKN4'!AE42</f>
        <v>#DIV/0!</v>
      </c>
      <c r="AR43" s="195" t="str">
        <f>'PKN4'!AJ42</f>
        <v xml:space="preserve"> </v>
      </c>
      <c r="AS43" s="196" t="e">
        <f>BIND4!AP42</f>
        <v>#DIV/0!</v>
      </c>
      <c r="AT43" s="196" t="e">
        <f>BIND4!AQ42</f>
        <v>#DIV/0!</v>
      </c>
      <c r="AU43" s="195" t="str">
        <f>BIND4!AV42</f>
        <v xml:space="preserve"> </v>
      </c>
      <c r="AV43" s="196" t="e">
        <f>'MTK4'!AP42</f>
        <v>#DIV/0!</v>
      </c>
      <c r="AW43" s="196" t="e">
        <f>'MTK4'!AQ42</f>
        <v>#DIV/0!</v>
      </c>
      <c r="AX43" s="195" t="str">
        <f>'MTK4'!AV42</f>
        <v xml:space="preserve"> </v>
      </c>
      <c r="AY43" s="196" t="e">
        <f>'IPA4'!AJ42</f>
        <v>#DIV/0!</v>
      </c>
      <c r="AZ43" s="196" t="e">
        <f>'IPA4'!AK42</f>
        <v>#DIV/0!</v>
      </c>
      <c r="BA43" s="195" t="str">
        <f>'IPA4'!AP42</f>
        <v xml:space="preserve"> </v>
      </c>
      <c r="BB43" s="196" t="e">
        <f>'IPS4'!AG42</f>
        <v>#DIV/0!</v>
      </c>
      <c r="BC43" s="196" t="e">
        <f>'IPS4'!AH42</f>
        <v>#DIV/0!</v>
      </c>
      <c r="BD43" s="195" t="str">
        <f>'IPS4'!AM42</f>
        <v xml:space="preserve"> </v>
      </c>
      <c r="BE43" s="196" t="e">
        <f>SBDP4!AG42</f>
        <v>#DIV/0!</v>
      </c>
      <c r="BF43" s="196" t="e">
        <f>SBDP4!AH42</f>
        <v>#DIV/0!</v>
      </c>
      <c r="BG43" s="195" t="str">
        <f>SBDP4!AM42</f>
        <v xml:space="preserve"> </v>
      </c>
      <c r="BH43" s="196" t="e">
        <f>PJOK4!AJ42</f>
        <v>#DIV/0!</v>
      </c>
      <c r="BI43" s="196" t="e">
        <f>PJOK4!AK42</f>
        <v>#DIV/0!</v>
      </c>
      <c r="BJ43" s="197" t="str">
        <f>PJOK4!AP42</f>
        <v xml:space="preserve"> </v>
      </c>
      <c r="BK43" s="196" t="e">
        <f>'MLK1-4'!AG42</f>
        <v>#DIV/0!</v>
      </c>
      <c r="BL43" s="196" t="e">
        <f>'MLK1-4'!AH42</f>
        <v>#DIV/0!</v>
      </c>
      <c r="BM43" s="195" t="str">
        <f>'MLK1-4'!AM42</f>
        <v xml:space="preserve"> </v>
      </c>
      <c r="BN43" s="196" t="e">
        <f>'MLK2-4'!AG42</f>
        <v>#DIV/0!</v>
      </c>
      <c r="BO43" s="196" t="e">
        <f>'MLK2-4'!AH42</f>
        <v>#DIV/0!</v>
      </c>
      <c r="BP43" s="195" t="str">
        <f>'MLK2-4'!AM42</f>
        <v xml:space="preserve"> </v>
      </c>
      <c r="BQ43" s="196" t="e">
        <f>'MLK3-4'!AG42</f>
        <v>#DIV/0!</v>
      </c>
      <c r="BR43" s="196" t="e">
        <f>'MLK3-4'!AH42</f>
        <v>#DIV/0!</v>
      </c>
      <c r="BS43" s="195" t="str">
        <f>'MLK3-4'!AM42</f>
        <v xml:space="preserve"> </v>
      </c>
    </row>
    <row r="44" spans="1:71" ht="108.75" customHeight="1">
      <c r="A44" s="191">
        <v>39</v>
      </c>
      <c r="B44" s="191">
        <f>SISWA!B44</f>
        <v>0</v>
      </c>
      <c r="C44" s="192" t="str">
        <f>SISWA!C44</f>
        <v>Anak 39</v>
      </c>
      <c r="D44" s="193" t="str">
        <f>SPIRIT!Q43</f>
        <v xml:space="preserve">Ananda Anak 39 baik dalam  ketaatan beribadah,  berperilaku syukur,  berdoa sebelum dan sesudah melakukan kegiatan,  toleransi dalam beribadah, </v>
      </c>
      <c r="E44" s="193" t="str">
        <f>SOSIAL!W43</f>
        <v xml:space="preserve">Ananda Anak 39 baik dalam sikap jujur, disiplin, tanggung jawab, santun, peduli, percaya diri, kerja sama, </v>
      </c>
      <c r="F44" s="194">
        <f>'PAI3'!DU44</f>
        <v>99</v>
      </c>
      <c r="G44" s="194" t="str">
        <f>'PAI3'!DV44</f>
        <v>A</v>
      </c>
      <c r="H44" s="195" t="str">
        <f>'PAI3'!EA44</f>
        <v>Anak 39 sangat baik  dalam memahami Q.S. al- Falaq dan Q.S. al- Fil dengan baik dan benar</v>
      </c>
      <c r="I44" s="194">
        <f>'PKN3'!AI43</f>
        <v>96</v>
      </c>
      <c r="J44" s="194" t="str">
        <f>'PKN3'!AJ43</f>
        <v>A</v>
      </c>
      <c r="K44" s="193" t="str">
        <f>'PKN3'!AO43</f>
        <v>Anak 39 sangat baik  dalam mengidentifikasi pelaksanaan kewajiban dan hak sebagai warga masyarakat dalam kehidupan sehari-hari., dan  sangat baik  dalam mengidentifikasi berbagai bentuk keragaman suku bangsa, sosial, dan budaya di Indonesia yang terikat persatuan dan kesatuan.</v>
      </c>
      <c r="L44" s="196">
        <f>BIND3!AU43</f>
        <v>97</v>
      </c>
      <c r="M44" s="196" t="str">
        <f>BIND3!AV43</f>
        <v>A</v>
      </c>
      <c r="N44" s="195" t="str">
        <f>BIND3!BA43</f>
        <v>Anak 39 sangat baik  dalam menggali pengetahuan baru yang terdapat pada teks nonfiksi., dan  sangat baik  dalam menggali isi dan amanat puisi yang disajikan secara lisan dan tulis dengan tujuan untuk kesenangan.</v>
      </c>
      <c r="O44" s="196">
        <f>'MTK3'!BC43</f>
        <v>97</v>
      </c>
      <c r="P44" s="196" t="str">
        <f>'MTK3'!BD43</f>
        <v>A</v>
      </c>
      <c r="Q44" s="195" t="str">
        <f>'MTK3'!BI43</f>
        <v>Anak 39 sangat baik  dalam menjelaskan dan melakukan penaksiran dari jumlah, selisih, hasil kali, dan hasil bagi dua bilangan cacah maupun pecahan dan desimal, dan  sangat baik  dalam menjelaskan berbagai bentuk pecahan (biasa, campuran, desimal, dan persen) dan hubungan di antaranya</v>
      </c>
      <c r="R44" s="196">
        <f>'IPA3'!AM43</f>
        <v>99</v>
      </c>
      <c r="S44" s="196" t="str">
        <f>'IPA3'!AN43</f>
        <v>A</v>
      </c>
      <c r="T44" s="195" t="str">
        <f>'IPA3'!AS43</f>
        <v>Anak 39 sangat baik  dalam membandingkan siklus hidup beberapa jenis makhluk hidup serta mengaitkan dengan upaya pelestariannya.</v>
      </c>
      <c r="U44" s="196">
        <f>'IPS3'!AN43</f>
        <v>99</v>
      </c>
      <c r="V44" s="196" t="str">
        <f>'IPS3'!AO43</f>
        <v>A</v>
      </c>
      <c r="W44" s="195" t="str">
        <f>'IPS3'!AT43</f>
        <v>Anak 39 sangat baik  dalam mengidentifikasi karakteristik ruang dan pemanfaatan sumberdaya alam untuk kesejahteraan masyarakat dari tingkatkota/kabupaten sampai tingkat provinsi.</v>
      </c>
      <c r="X44" s="196">
        <f>SBDP3!AN43</f>
        <v>99</v>
      </c>
      <c r="Y44" s="196" t="str">
        <f>SBDP3!AO43</f>
        <v>A</v>
      </c>
      <c r="Z44" s="195" t="str">
        <f>SBDP3!AT43</f>
        <v>Anak 39 sangat baik  dalam mengetahui gambar dan bentuk tiga dimensi.</v>
      </c>
      <c r="AA44" s="196">
        <f>PJOK3!AV43</f>
        <v>96</v>
      </c>
      <c r="AB44" s="196" t="str">
        <f>PJOK3!AW43</f>
        <v>A</v>
      </c>
      <c r="AC44" s="195" t="str">
        <f>PJOK3!BB43</f>
        <v>Anak 39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4" s="196">
        <f>'MLK1-3'!AT43</f>
        <v>92</v>
      </c>
      <c r="AE44" s="196" t="str">
        <f>'MLK1-3'!AU43</f>
        <v>A</v>
      </c>
      <c r="AF44" s="197" t="str">
        <f>'MLK1-3'!AZ43</f>
        <v>Anak 39 sangat baik  dalam mengenal dan memahmi teks tembang dolanan, dan  sangat baik  dalam mengenal dan memahami sandhangan aksara Jawa.</v>
      </c>
      <c r="AG44" s="196">
        <f>'MLK2-3'!AP43</f>
        <v>94</v>
      </c>
      <c r="AH44" s="196" t="str">
        <f>'MLK2-3'!AQ43</f>
        <v>A</v>
      </c>
      <c r="AI44" s="195" t="str">
        <f>'MLK2-3'!AV43</f>
        <v>Anak 39 sangat baik  dalam mengenal dan mengidentifikasi benda-benda di dapur dan nama-nama bunga, dan  sangat baik  dalam memahami penggunaan kalimat yang menunjukkan letak suatu tempat</v>
      </c>
      <c r="AJ44" s="196">
        <f>'MLK3-3'!AP43</f>
        <v>90</v>
      </c>
      <c r="AK44" s="196" t="str">
        <f>'MLK3-3'!AQ43</f>
        <v>B</v>
      </c>
      <c r="AL44" s="197" t="str">
        <f>'MLK3-3'!AV43</f>
        <v>Anak 39 sangat baik  dalam mengenal dan memahami penggunaan microsoft  word., dan  baik  dalam memahami pembuatan dokumen di microsoft  word</v>
      </c>
      <c r="AM44" s="196" t="e">
        <f>'PAI4'!CI44</f>
        <v>#DIV/0!</v>
      </c>
      <c r="AN44" s="196" t="e">
        <f>'PAI4'!CJ44</f>
        <v>#DIV/0!</v>
      </c>
      <c r="AO44" s="197" t="str">
        <f>'PAI4'!CO44</f>
        <v xml:space="preserve"> </v>
      </c>
      <c r="AP44" s="196" t="e">
        <f>'PKN4'!AD43</f>
        <v>#DIV/0!</v>
      </c>
      <c r="AQ44" s="196" t="e">
        <f>'PKN4'!AE43</f>
        <v>#DIV/0!</v>
      </c>
      <c r="AR44" s="195" t="str">
        <f>'PKN4'!AJ43</f>
        <v xml:space="preserve"> </v>
      </c>
      <c r="AS44" s="196" t="e">
        <f>BIND4!AP43</f>
        <v>#DIV/0!</v>
      </c>
      <c r="AT44" s="196" t="e">
        <f>BIND4!AQ43</f>
        <v>#DIV/0!</v>
      </c>
      <c r="AU44" s="195" t="str">
        <f>BIND4!AV43</f>
        <v xml:space="preserve"> </v>
      </c>
      <c r="AV44" s="196" t="e">
        <f>'MTK4'!AP43</f>
        <v>#DIV/0!</v>
      </c>
      <c r="AW44" s="196" t="e">
        <f>'MTK4'!AQ43</f>
        <v>#DIV/0!</v>
      </c>
      <c r="AX44" s="195" t="str">
        <f>'MTK4'!AV43</f>
        <v xml:space="preserve"> </v>
      </c>
      <c r="AY44" s="196" t="e">
        <f>'IPA4'!AJ43</f>
        <v>#DIV/0!</v>
      </c>
      <c r="AZ44" s="196" t="e">
        <f>'IPA4'!AK43</f>
        <v>#DIV/0!</v>
      </c>
      <c r="BA44" s="195" t="str">
        <f>'IPA4'!AP43</f>
        <v xml:space="preserve"> </v>
      </c>
      <c r="BB44" s="196" t="e">
        <f>'IPS4'!AG43</f>
        <v>#DIV/0!</v>
      </c>
      <c r="BC44" s="196" t="e">
        <f>'IPS4'!AH43</f>
        <v>#DIV/0!</v>
      </c>
      <c r="BD44" s="195" t="str">
        <f>'IPS4'!AM43</f>
        <v xml:space="preserve"> </v>
      </c>
      <c r="BE44" s="196" t="e">
        <f>SBDP4!AG43</f>
        <v>#DIV/0!</v>
      </c>
      <c r="BF44" s="196" t="e">
        <f>SBDP4!AH43</f>
        <v>#DIV/0!</v>
      </c>
      <c r="BG44" s="195" t="str">
        <f>SBDP4!AM43</f>
        <v xml:space="preserve"> </v>
      </c>
      <c r="BH44" s="196" t="e">
        <f>PJOK4!AJ43</f>
        <v>#DIV/0!</v>
      </c>
      <c r="BI44" s="196" t="e">
        <f>PJOK4!AK43</f>
        <v>#DIV/0!</v>
      </c>
      <c r="BJ44" s="197" t="str">
        <f>PJOK4!AP43</f>
        <v xml:space="preserve"> </v>
      </c>
      <c r="BK44" s="196" t="e">
        <f>'MLK1-4'!AG43</f>
        <v>#DIV/0!</v>
      </c>
      <c r="BL44" s="196" t="e">
        <f>'MLK1-4'!AH43</f>
        <v>#DIV/0!</v>
      </c>
      <c r="BM44" s="195" t="str">
        <f>'MLK1-4'!AM43</f>
        <v xml:space="preserve"> </v>
      </c>
      <c r="BN44" s="196" t="e">
        <f>'MLK2-4'!AG43</f>
        <v>#DIV/0!</v>
      </c>
      <c r="BO44" s="196" t="e">
        <f>'MLK2-4'!AH43</f>
        <v>#DIV/0!</v>
      </c>
      <c r="BP44" s="195" t="str">
        <f>'MLK2-4'!AM43</f>
        <v xml:space="preserve"> </v>
      </c>
      <c r="BQ44" s="196" t="e">
        <f>'MLK3-4'!AG43</f>
        <v>#DIV/0!</v>
      </c>
      <c r="BR44" s="196" t="e">
        <f>'MLK3-4'!AH43</f>
        <v>#DIV/0!</v>
      </c>
      <c r="BS44" s="195" t="str">
        <f>'MLK3-4'!AM43</f>
        <v xml:space="preserve"> </v>
      </c>
    </row>
    <row r="45" spans="1:71" ht="108.75" customHeight="1">
      <c r="A45" s="191">
        <v>40</v>
      </c>
      <c r="B45" s="191">
        <f>SISWA!B45</f>
        <v>0</v>
      </c>
      <c r="C45" s="192" t="str">
        <f>SISWA!C45</f>
        <v>Anak 40</v>
      </c>
      <c r="D45" s="193" t="str">
        <f>SPIRIT!Q44</f>
        <v xml:space="preserve">Ananda Anak 40 baik dalam  ketaatan beribadah,  berperilaku syukur,  berdoa sebelum dan sesudah melakukan kegiatan,  toleransi dalam beribadah, </v>
      </c>
      <c r="E45" s="193" t="str">
        <f>SOSIAL!W44</f>
        <v xml:space="preserve">Ananda Anak 40 baik dalam sikap jujur, disiplin, tanggung jawab, santun, peduli, percaya diri, kerja sama, </v>
      </c>
      <c r="F45" s="194">
        <f>'PAI3'!DU45</f>
        <v>99</v>
      </c>
      <c r="G45" s="194" t="str">
        <f>'PAI3'!DV45</f>
        <v>A</v>
      </c>
      <c r="H45" s="195" t="str">
        <f>'PAI3'!EA45</f>
        <v>Anak 40 sangat baik  dalam memahami Q.S. al- Falaq dan Q.S. al- Fil dengan baik dan benar</v>
      </c>
      <c r="I45" s="194">
        <f>'PKN3'!AI44</f>
        <v>96</v>
      </c>
      <c r="J45" s="194" t="str">
        <f>'PKN3'!AJ44</f>
        <v>A</v>
      </c>
      <c r="K45" s="193" t="str">
        <f>'PKN3'!AO44</f>
        <v>Anak 40 sangat baik  dalam mengidentifikasi pelaksanaan kewajiban dan hak sebagai warga masyarakat dalam kehidupan sehari-hari., dan  sangat baik  dalam mengidentifikasi berbagai bentuk keragaman suku bangsa, sosial, dan budaya di Indonesia yang terikat persatuan dan kesatuan.</v>
      </c>
      <c r="L45" s="196">
        <f>BIND3!AU44</f>
        <v>97</v>
      </c>
      <c r="M45" s="196" t="str">
        <f>BIND3!AV44</f>
        <v>A</v>
      </c>
      <c r="N45" s="195" t="str">
        <f>BIND3!BA44</f>
        <v>Anak 40 sangat baik  dalam menggali pengetahuan baru yang terdapat pada teks nonfiksi., dan  sangat baik  dalam menggali isi dan amanat puisi yang disajikan secara lisan dan tulis dengan tujuan untuk kesenangan.</v>
      </c>
      <c r="O45" s="196">
        <f>'MTK3'!BC44</f>
        <v>98</v>
      </c>
      <c r="P45" s="196" t="str">
        <f>'MTK3'!BD44</f>
        <v>A</v>
      </c>
      <c r="Q45" s="195" t="str">
        <f>'MTK3'!BI44</f>
        <v>Anak 40 sangat baik  dalam menjelaskan dan melakukan penaksiran dari jumlah, selisih, hasil kali, dan hasil bagi dua bilangan cacah maupun pecahan dan desimal, dan  sangat baik  dalam menjelaskan berbagai bentuk pecahan (biasa, campuran, desimal, dan persen) dan hubungan di antaranya</v>
      </c>
      <c r="R45" s="196">
        <f>'IPA3'!AM44</f>
        <v>99</v>
      </c>
      <c r="S45" s="196" t="str">
        <f>'IPA3'!AN44</f>
        <v>A</v>
      </c>
      <c r="T45" s="195" t="str">
        <f>'IPA3'!AS44</f>
        <v>Anak 40 sangat baik  dalam membandingkan siklus hidup beberapa jenis makhluk hidup serta mengaitkan dengan upaya pelestariannya.</v>
      </c>
      <c r="U45" s="196">
        <f>'IPS3'!AN44</f>
        <v>99</v>
      </c>
      <c r="V45" s="196" t="str">
        <f>'IPS3'!AO44</f>
        <v>A</v>
      </c>
      <c r="W45" s="195" t="str">
        <f>'IPS3'!AT44</f>
        <v>Anak 40 sangat baik  dalam mengidentifikasi karakteristik ruang dan pemanfaatan sumberdaya alam untuk kesejahteraan masyarakat dari tingkatkota/kabupaten sampai tingkat provinsi.</v>
      </c>
      <c r="X45" s="196">
        <f>SBDP3!AN44</f>
        <v>99</v>
      </c>
      <c r="Y45" s="196" t="str">
        <f>SBDP3!AO44</f>
        <v>A</v>
      </c>
      <c r="Z45" s="195" t="str">
        <f>SBDP3!AT44</f>
        <v>Anak 40 sangat baik  dalam mengetahui gambar dan bentuk tiga dimensi.</v>
      </c>
      <c r="AA45" s="196">
        <f>PJOK3!AV44</f>
        <v>96</v>
      </c>
      <c r="AB45" s="196" t="str">
        <f>PJOK3!AW44</f>
        <v>A</v>
      </c>
      <c r="AC45" s="195" t="str">
        <f>PJOK3!BB44</f>
        <v>Anak 40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5" s="196">
        <f>'MLK1-3'!AT44</f>
        <v>93</v>
      </c>
      <c r="AE45" s="196" t="str">
        <f>'MLK1-3'!AU44</f>
        <v>A</v>
      </c>
      <c r="AF45" s="197" t="str">
        <f>'MLK1-3'!AZ44</f>
        <v>Anak 40 sangat baik  dalam mengenal dan memahmi teks tembang dolanan, dan  sangat baik  dalam mengenal dan memahami sandhangan aksara Jawa.</v>
      </c>
      <c r="AG45" s="196">
        <f>'MLK2-3'!AP44</f>
        <v>95</v>
      </c>
      <c r="AH45" s="196" t="str">
        <f>'MLK2-3'!AQ44</f>
        <v>A</v>
      </c>
      <c r="AI45" s="195" t="str">
        <f>'MLK2-3'!AV44</f>
        <v>Anak 40 sangat baik  dalam mengenal dan mengidentifikasi benda-benda di dapur dan nama-nama bunga, dan  sangat baik  dalam memahami penggunaan kalimat yang menunjukkan letak suatu tempat</v>
      </c>
      <c r="AJ45" s="196">
        <f>'MLK3-3'!AP44</f>
        <v>91</v>
      </c>
      <c r="AK45" s="196" t="str">
        <f>'MLK3-3'!AQ44</f>
        <v>A</v>
      </c>
      <c r="AL45" s="197" t="str">
        <f>'MLK3-3'!AV44</f>
        <v>Anak 40 sangat baik  dalam mengenal dan memahami penggunaan microsoft  word., dan  baik  dalam memahami pembuatan dokumen di microsoft  word</v>
      </c>
      <c r="AM45" s="196" t="e">
        <f>'PAI4'!CI45</f>
        <v>#DIV/0!</v>
      </c>
      <c r="AN45" s="196" t="e">
        <f>'PAI4'!CJ45</f>
        <v>#DIV/0!</v>
      </c>
      <c r="AO45" s="197" t="str">
        <f>'PAI4'!CO45</f>
        <v xml:space="preserve"> </v>
      </c>
      <c r="AP45" s="196" t="e">
        <f>'PKN4'!AD44</f>
        <v>#DIV/0!</v>
      </c>
      <c r="AQ45" s="196" t="e">
        <f>'PKN4'!AE44</f>
        <v>#DIV/0!</v>
      </c>
      <c r="AR45" s="195" t="str">
        <f>'PKN4'!AJ44</f>
        <v xml:space="preserve"> </v>
      </c>
      <c r="AS45" s="196" t="e">
        <f>BIND4!AP44</f>
        <v>#DIV/0!</v>
      </c>
      <c r="AT45" s="196" t="e">
        <f>BIND4!AQ44</f>
        <v>#DIV/0!</v>
      </c>
      <c r="AU45" s="195" t="str">
        <f>BIND4!AV44</f>
        <v xml:space="preserve"> </v>
      </c>
      <c r="AV45" s="196" t="e">
        <f>'MTK4'!AP44</f>
        <v>#DIV/0!</v>
      </c>
      <c r="AW45" s="196" t="e">
        <f>'MTK4'!AQ44</f>
        <v>#DIV/0!</v>
      </c>
      <c r="AX45" s="195" t="str">
        <f>'MTK4'!AV44</f>
        <v xml:space="preserve"> </v>
      </c>
      <c r="AY45" s="196" t="e">
        <f>'IPA4'!AJ44</f>
        <v>#DIV/0!</v>
      </c>
      <c r="AZ45" s="196" t="e">
        <f>'IPA4'!AK44</f>
        <v>#DIV/0!</v>
      </c>
      <c r="BA45" s="195" t="str">
        <f>'IPA4'!AP44</f>
        <v xml:space="preserve"> </v>
      </c>
      <c r="BB45" s="196" t="e">
        <f>'IPS4'!AG44</f>
        <v>#DIV/0!</v>
      </c>
      <c r="BC45" s="196" t="e">
        <f>'IPS4'!AH44</f>
        <v>#DIV/0!</v>
      </c>
      <c r="BD45" s="195" t="str">
        <f>'IPS4'!AM44</f>
        <v xml:space="preserve"> </v>
      </c>
      <c r="BE45" s="196" t="e">
        <f>SBDP4!AG44</f>
        <v>#DIV/0!</v>
      </c>
      <c r="BF45" s="196" t="e">
        <f>SBDP4!AH44</f>
        <v>#DIV/0!</v>
      </c>
      <c r="BG45" s="195" t="str">
        <f>SBDP4!AM44</f>
        <v xml:space="preserve"> </v>
      </c>
      <c r="BH45" s="196" t="e">
        <f>PJOK4!AJ44</f>
        <v>#DIV/0!</v>
      </c>
      <c r="BI45" s="196" t="e">
        <f>PJOK4!AK44</f>
        <v>#DIV/0!</v>
      </c>
      <c r="BJ45" s="197" t="str">
        <f>PJOK4!AP44</f>
        <v xml:space="preserve"> </v>
      </c>
      <c r="BK45" s="196" t="e">
        <f>'MLK1-4'!AG44</f>
        <v>#DIV/0!</v>
      </c>
      <c r="BL45" s="196" t="e">
        <f>'MLK1-4'!AH44</f>
        <v>#DIV/0!</v>
      </c>
      <c r="BM45" s="195" t="str">
        <f>'MLK1-4'!AM44</f>
        <v xml:space="preserve"> </v>
      </c>
      <c r="BN45" s="196" t="e">
        <f>'MLK2-4'!AG44</f>
        <v>#DIV/0!</v>
      </c>
      <c r="BO45" s="196" t="e">
        <f>'MLK2-4'!AH44</f>
        <v>#DIV/0!</v>
      </c>
      <c r="BP45" s="195" t="str">
        <f>'MLK2-4'!AM44</f>
        <v xml:space="preserve"> </v>
      </c>
      <c r="BQ45" s="196" t="e">
        <f>'MLK3-4'!AG44</f>
        <v>#DIV/0!</v>
      </c>
      <c r="BR45" s="196" t="e">
        <f>'MLK3-4'!AH44</f>
        <v>#DIV/0!</v>
      </c>
      <c r="BS45" s="195" t="str">
        <f>'MLK3-4'!AM44</f>
        <v xml:space="preserve"> </v>
      </c>
    </row>
    <row r="46" spans="1:71" ht="108.75" customHeight="1">
      <c r="A46" s="191">
        <v>41</v>
      </c>
      <c r="B46" s="191">
        <f>SISWA!B46</f>
        <v>0</v>
      </c>
      <c r="C46" s="192" t="str">
        <f>SISWA!C46</f>
        <v>Anak 41</v>
      </c>
      <c r="D46" s="193" t="str">
        <f>SPIRIT!Q45</f>
        <v xml:space="preserve">Ananda Anak 41 baik dalam  ketaatan beribadah,  berperilaku syukur,  berdoa sebelum dan sesudah melakukan kegiatan,  toleransi dalam beribadah, </v>
      </c>
      <c r="E46" s="193" t="str">
        <f>SOSIAL!W45</f>
        <v xml:space="preserve">Ananda Anak 41 baik dalam sikap jujur, disiplin, tanggung jawab, santun, peduli, percaya diri, kerja sama, </v>
      </c>
      <c r="F46" s="194">
        <f>'PAI3'!DU46</f>
        <v>99</v>
      </c>
      <c r="G46" s="194" t="str">
        <f>'PAI3'!DV46</f>
        <v>A</v>
      </c>
      <c r="H46" s="195" t="str">
        <f>'PAI3'!EA46</f>
        <v>Anak 41 sangat baik  dalam memahami Q.S. al- Falaq dan Q.S. al- Fil dengan baik dan benar</v>
      </c>
      <c r="I46" s="194">
        <f>'PKN3'!AI45</f>
        <v>96</v>
      </c>
      <c r="J46" s="194" t="str">
        <f>'PKN3'!AJ45</f>
        <v>A</v>
      </c>
      <c r="K46" s="193" t="str">
        <f>'PKN3'!AO45</f>
        <v>Anak 41 sangat baik  dalam mengidentifikasi pelaksanaan kewajiban dan hak sebagai warga masyarakat dalam kehidupan sehari-hari., dan  sangat baik  dalam menjelaskan manfaat keberagaman karakteristik individu dalam kehidupan sehari-hari.</v>
      </c>
      <c r="L46" s="196">
        <f>BIND3!AU45</f>
        <v>97</v>
      </c>
      <c r="M46" s="196" t="str">
        <f>BIND3!AV45</f>
        <v>A</v>
      </c>
      <c r="N46" s="195" t="str">
        <f>BIND3!BA45</f>
        <v>Anak 41 sangat baik  dalam menggali pengetahuan baru yang terdapat pada teks nonfiksi., dan  sangat baik  dalam menggali informasi dari seorang tokoh melalui wawancara menggunakan daftar pertanyaan.</v>
      </c>
      <c r="O46" s="196">
        <f>'MTK3'!BC45</f>
        <v>97</v>
      </c>
      <c r="P46" s="196" t="str">
        <f>'MTK3'!BD45</f>
        <v>A</v>
      </c>
      <c r="Q46" s="195" t="str">
        <f>'MTK3'!BI45</f>
        <v>Anak 41 sangat baik  dalam menjelaskan dan melakukan penaksiran dari jumlah, selisih, hasil kali, dan hasil bagi dua bilangan cacah maupun pecahan dan desimal, dan  sangat baik  dalam menjelaskan berbagai bentuk pecahan (biasa, campuran, desimal, dan persen) dan hubungan di antaranya</v>
      </c>
      <c r="R46" s="196">
        <f>'IPA3'!AM45</f>
        <v>99</v>
      </c>
      <c r="S46" s="196" t="str">
        <f>'IPA3'!AN45</f>
        <v>A</v>
      </c>
      <c r="T46" s="195" t="str">
        <f>'IPA3'!AS45</f>
        <v>Anak 41 sangat baik  dalam membandingkan siklus hidup beberapa jenis makhluk hidup serta mengaitkan dengan upaya pelestariannya.</v>
      </c>
      <c r="U46" s="196">
        <f>'IPS3'!AN45</f>
        <v>99</v>
      </c>
      <c r="V46" s="196" t="str">
        <f>'IPS3'!AO45</f>
        <v>A</v>
      </c>
      <c r="W46" s="195" t="str">
        <f>'IPS3'!AT45</f>
        <v>Anak 41 sangat baik  dalam mengidentifikasi karakteristik ruang dan pemanfaatan sumberdaya alam untuk kesejahteraan masyarakat dari tingkatkota/kabupaten sampai tingkat provinsi.</v>
      </c>
      <c r="X46" s="196">
        <f>SBDP3!AN45</f>
        <v>99</v>
      </c>
      <c r="Y46" s="196" t="str">
        <f>SBDP3!AO45</f>
        <v>A</v>
      </c>
      <c r="Z46" s="195" t="str">
        <f>SBDP3!AT45</f>
        <v>Anak 41 sangat baik  dalam mengetahui gambar dan bentuk tiga dimensi.</v>
      </c>
      <c r="AA46" s="196">
        <f>PJOK3!AV45</f>
        <v>96</v>
      </c>
      <c r="AB46" s="196" t="str">
        <f>PJOK3!AW45</f>
        <v>A</v>
      </c>
      <c r="AC46" s="195" t="str">
        <f>PJOK3!BB45</f>
        <v>Anak 41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46" s="196">
        <f>'MLK1-3'!AT45</f>
        <v>93</v>
      </c>
      <c r="AE46" s="196" t="str">
        <f>'MLK1-3'!AU45</f>
        <v>A</v>
      </c>
      <c r="AF46" s="197" t="str">
        <f>'MLK1-3'!AZ45</f>
        <v>Anak 41 sangat baik  dalam mengenal, memahami, dan mengidentifikasi kata berimbuhan dalam teks sesuai kaidah, dan  sangat baik  dalam mengenal dan memahami sandhangan aksara Jawa.</v>
      </c>
      <c r="AG46" s="196">
        <f>'MLK2-3'!AP45</f>
        <v>94</v>
      </c>
      <c r="AH46" s="196" t="str">
        <f>'MLK2-3'!AQ45</f>
        <v>A</v>
      </c>
      <c r="AI46" s="195" t="str">
        <f>'MLK2-3'!AV45</f>
        <v>Anak 41 sangat baik  dalam mengenal dan mengidentifikasi benda-benda di dapur dan nama-nama bunga, dan  sangat baik  dalam memahami penggunaan kalimat yang menunjukkan letak suatu tempat</v>
      </c>
      <c r="AJ46" s="196">
        <f>'MLK3-3'!AP45</f>
        <v>91</v>
      </c>
      <c r="AK46" s="196" t="str">
        <f>'MLK3-3'!AQ45</f>
        <v>A</v>
      </c>
      <c r="AL46" s="197" t="str">
        <f>'MLK3-3'!AV45</f>
        <v>Anak 41 sangat baik  dalam memahami pembuatan dokumen di microsoft  word, dan  baik  dalam mengenal dan memahami penggunaan microsoft  word.</v>
      </c>
      <c r="AM46" s="196" t="e">
        <f>'PAI4'!CI46</f>
        <v>#DIV/0!</v>
      </c>
      <c r="AN46" s="196" t="e">
        <f>'PAI4'!CJ46</f>
        <v>#DIV/0!</v>
      </c>
      <c r="AO46" s="197" t="str">
        <f>'PAI4'!CO46</f>
        <v xml:space="preserve"> </v>
      </c>
      <c r="AP46" s="196" t="e">
        <f>'PKN4'!AD45</f>
        <v>#DIV/0!</v>
      </c>
      <c r="AQ46" s="196" t="e">
        <f>'PKN4'!AE45</f>
        <v>#DIV/0!</v>
      </c>
      <c r="AR46" s="195" t="str">
        <f>'PKN4'!AJ45</f>
        <v xml:space="preserve"> </v>
      </c>
      <c r="AS46" s="196" t="e">
        <f>BIND4!AP45</f>
        <v>#DIV/0!</v>
      </c>
      <c r="AT46" s="196" t="e">
        <f>BIND4!AQ45</f>
        <v>#DIV/0!</v>
      </c>
      <c r="AU46" s="195" t="str">
        <f>BIND4!AV45</f>
        <v xml:space="preserve"> </v>
      </c>
      <c r="AV46" s="196" t="e">
        <f>'MTK4'!AP45</f>
        <v>#DIV/0!</v>
      </c>
      <c r="AW46" s="196" t="e">
        <f>'MTK4'!AQ45</f>
        <v>#DIV/0!</v>
      </c>
      <c r="AX46" s="195" t="str">
        <f>'MTK4'!AV45</f>
        <v xml:space="preserve"> </v>
      </c>
      <c r="AY46" s="196" t="e">
        <f>'IPA4'!AJ45</f>
        <v>#DIV/0!</v>
      </c>
      <c r="AZ46" s="196" t="e">
        <f>'IPA4'!AK45</f>
        <v>#DIV/0!</v>
      </c>
      <c r="BA46" s="195" t="str">
        <f>'IPA4'!AP45</f>
        <v xml:space="preserve"> </v>
      </c>
      <c r="BB46" s="196" t="e">
        <f>'IPS4'!AG45</f>
        <v>#DIV/0!</v>
      </c>
      <c r="BC46" s="196" t="e">
        <f>'IPS4'!AH45</f>
        <v>#DIV/0!</v>
      </c>
      <c r="BD46" s="195" t="str">
        <f>'IPS4'!AM45</f>
        <v xml:space="preserve"> </v>
      </c>
      <c r="BE46" s="196" t="e">
        <f>SBDP4!AG45</f>
        <v>#DIV/0!</v>
      </c>
      <c r="BF46" s="196" t="e">
        <f>SBDP4!AH45</f>
        <v>#DIV/0!</v>
      </c>
      <c r="BG46" s="195" t="str">
        <f>SBDP4!AM45</f>
        <v xml:space="preserve"> </v>
      </c>
      <c r="BH46" s="196" t="e">
        <f>PJOK4!AJ45</f>
        <v>#DIV/0!</v>
      </c>
      <c r="BI46" s="196" t="e">
        <f>PJOK4!AK45</f>
        <v>#DIV/0!</v>
      </c>
      <c r="BJ46" s="197" t="str">
        <f>PJOK4!AP45</f>
        <v xml:space="preserve"> </v>
      </c>
      <c r="BK46" s="196" t="e">
        <f>'MLK1-4'!AG45</f>
        <v>#DIV/0!</v>
      </c>
      <c r="BL46" s="196" t="e">
        <f>'MLK1-4'!AH45</f>
        <v>#DIV/0!</v>
      </c>
      <c r="BM46" s="195" t="str">
        <f>'MLK1-4'!AM45</f>
        <v xml:space="preserve"> </v>
      </c>
      <c r="BN46" s="196" t="e">
        <f>'MLK2-4'!AG45</f>
        <v>#DIV/0!</v>
      </c>
      <c r="BO46" s="196" t="e">
        <f>'MLK2-4'!AH45</f>
        <v>#DIV/0!</v>
      </c>
      <c r="BP46" s="195" t="str">
        <f>'MLK2-4'!AM45</f>
        <v xml:space="preserve"> </v>
      </c>
      <c r="BQ46" s="196" t="e">
        <f>'MLK3-4'!AG45</f>
        <v>#DIV/0!</v>
      </c>
      <c r="BR46" s="196" t="e">
        <f>'MLK3-4'!AH45</f>
        <v>#DIV/0!</v>
      </c>
      <c r="BS46" s="195" t="str">
        <f>'MLK3-4'!AM45</f>
        <v xml:space="preserve"> </v>
      </c>
    </row>
    <row r="47" spans="1:71" ht="108.75" customHeight="1">
      <c r="A47" s="191">
        <v>42</v>
      </c>
      <c r="B47" s="191">
        <f>SISWA!B47</f>
        <v>0</v>
      </c>
      <c r="C47" s="192" t="str">
        <f>SISWA!C47</f>
        <v>Anak 42</v>
      </c>
      <c r="D47" s="193" t="str">
        <f>SPIRIT!Q46</f>
        <v xml:space="preserve">Ananda Anak 42 baik dalam  ketaatan beribadah,  berperilaku syukur,  berdoa sebelum dan sesudah melakukan kegiatan,  toleransi dalam beribadah, </v>
      </c>
      <c r="E47" s="193" t="str">
        <f>SOSIAL!W46</f>
        <v xml:space="preserve">Ananda Anak 42 baik dalam sikap jujur, disiplin, tanggung jawab, santun, peduli, percaya diri, kerja sama, </v>
      </c>
      <c r="F47" s="194">
        <f>'PAI3'!DU47</f>
        <v>99</v>
      </c>
      <c r="G47" s="194" t="str">
        <f>'PAI3'!DV47</f>
        <v>A</v>
      </c>
      <c r="H47" s="195" t="str">
        <f>'PAI3'!EA47</f>
        <v>Anak 42 sangat baik  dalam memahami Q.S. al- Falaq dan Q.S. al- Fil dengan baik dan benar</v>
      </c>
      <c r="I47" s="194">
        <f>'PKN3'!AI46</f>
        <v>97</v>
      </c>
      <c r="J47" s="194" t="str">
        <f>'PKN3'!AJ46</f>
        <v>A</v>
      </c>
      <c r="K47" s="193" t="str">
        <f>'PKN3'!AO46</f>
        <v>Anak 42 sangat baik  dalam mengidentifikasi pelaksanaan kewajiban dan hak sebagai warga masyarakat dalam kehidupan sehari-hari., dan  sangat baik  dalam menjelaskan manfaat keberagaman karakteristik individu dalam kehidupan sehari-hari.</v>
      </c>
      <c r="L47" s="196">
        <f>BIND3!AU46</f>
        <v>97</v>
      </c>
      <c r="M47" s="196" t="str">
        <f>BIND3!AV46</f>
        <v>A</v>
      </c>
      <c r="N47" s="195" t="str">
        <f>BIND3!BA46</f>
        <v>Anak 42 sangat baik  dalam menggali pengetahuan baru yang terdapat pada teks nonfiksi., dan  sangat baik  dalam menggali informasi dari seorang tokoh melalui wawancara menggunakan daftar pertanyaan.</v>
      </c>
      <c r="O47" s="196">
        <f>'MTK3'!BC46</f>
        <v>97</v>
      </c>
      <c r="P47" s="196" t="str">
        <f>'MTK3'!BD46</f>
        <v>A</v>
      </c>
      <c r="Q47" s="195" t="str">
        <f>'MTK3'!BI46</f>
        <v>Anak 42 sangat baik  dalam menjelaskan dan melakukan penaksiran dari jumlah, selisih, hasil kali, dan hasil bagi dua bilangan cacah maupun pecahan dan desimal, dan  sangat baik  dalam menjelaskan berbagai bentuk pecahan (biasa, campuran, desimal, dan persen) dan hubungan di antaranya</v>
      </c>
      <c r="R47" s="196">
        <f>'IPA3'!AM46</f>
        <v>99</v>
      </c>
      <c r="S47" s="196" t="str">
        <f>'IPA3'!AN46</f>
        <v>A</v>
      </c>
      <c r="T47" s="195" t="str">
        <f>'IPA3'!AS46</f>
        <v>Anak 42 sangat baik  dalam membandingkan siklus hidup beberapa jenis makhluk hidup serta mengaitkan dengan upaya pelestariannya.</v>
      </c>
      <c r="U47" s="196">
        <f>'IPS3'!AN46</f>
        <v>99</v>
      </c>
      <c r="V47" s="196" t="str">
        <f>'IPS3'!AO46</f>
        <v>A</v>
      </c>
      <c r="W47" s="195" t="str">
        <f>'IPS3'!AT46</f>
        <v>Anak 42 sangat baik  dalam mengidentifikasi karakteristik ruang dan pemanfaatan sumberdaya alam untuk kesejahteraan masyarakat dari tingkatkota/kabupaten sampai tingkat provinsi.</v>
      </c>
      <c r="X47" s="196">
        <f>SBDP3!AN46</f>
        <v>99</v>
      </c>
      <c r="Y47" s="196" t="str">
        <f>SBDP3!AO46</f>
        <v>A</v>
      </c>
      <c r="Z47" s="195" t="str">
        <f>SBDP3!AT46</f>
        <v>Anak 42 sangat baik  dalam mengetahui gambar dan bentuk tiga dimensi.</v>
      </c>
      <c r="AA47" s="196">
        <f>PJOK3!AV46</f>
        <v>96</v>
      </c>
      <c r="AB47" s="196" t="str">
        <f>PJOK3!AW46</f>
        <v>A</v>
      </c>
      <c r="AC47" s="195" t="str">
        <f>PJOK3!BB46</f>
        <v>Anak 42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AD47" s="196">
        <f>'MLK1-3'!AT46</f>
        <v>94</v>
      </c>
      <c r="AE47" s="196" t="str">
        <f>'MLK1-3'!AU46</f>
        <v>A</v>
      </c>
      <c r="AF47" s="197" t="str">
        <f>'MLK1-3'!AZ46</f>
        <v>Anak 42 sangat baik  dalam mengenal, memahami, dan mengidentifikasi kata berimbuhan dalam teks sesuai kaidah, dan  sangat baik  dalam mengenal dan memahami sandhangan aksara Jawa.</v>
      </c>
      <c r="AG47" s="196">
        <f>'MLK2-3'!AP46</f>
        <v>95</v>
      </c>
      <c r="AH47" s="196" t="str">
        <f>'MLK2-3'!AQ46</f>
        <v>A</v>
      </c>
      <c r="AI47" s="195" t="str">
        <f>'MLK2-3'!AV46</f>
        <v>Anak 42 sangat baik  dalam mengenal dan mengidentifikasi benda-benda di dapur dan nama-nama bunga, dan  sangat baik  dalam memahami penggunaan kalimat yang menunjukkan letak suatu tempat</v>
      </c>
      <c r="AJ47" s="196">
        <f>'MLK3-3'!AP46</f>
        <v>92</v>
      </c>
      <c r="AK47" s="196" t="str">
        <f>'MLK3-3'!AQ46</f>
        <v>A</v>
      </c>
      <c r="AL47" s="197" t="str">
        <f>'MLK3-3'!AV46</f>
        <v>Anak 42 sangat baik  dalam memahami pembuatan dokumen di microsoft  word, dan  sangat baik  dalam mengenal dan memahami penggunaan microsoft  word.</v>
      </c>
      <c r="AM47" s="196" t="e">
        <f>'PAI4'!CI47</f>
        <v>#DIV/0!</v>
      </c>
      <c r="AN47" s="196" t="e">
        <f>'PAI4'!CJ47</f>
        <v>#DIV/0!</v>
      </c>
      <c r="AO47" s="197" t="str">
        <f>'PAI4'!CO47</f>
        <v xml:space="preserve"> </v>
      </c>
      <c r="AP47" s="196" t="e">
        <f>'PKN4'!AD46</f>
        <v>#DIV/0!</v>
      </c>
      <c r="AQ47" s="196" t="e">
        <f>'PKN4'!AE46</f>
        <v>#DIV/0!</v>
      </c>
      <c r="AR47" s="195" t="str">
        <f>'PKN4'!AJ46</f>
        <v xml:space="preserve"> </v>
      </c>
      <c r="AS47" s="196" t="e">
        <f>BIND4!AP46</f>
        <v>#DIV/0!</v>
      </c>
      <c r="AT47" s="196" t="e">
        <f>BIND4!AQ46</f>
        <v>#DIV/0!</v>
      </c>
      <c r="AU47" s="195" t="str">
        <f>BIND4!AV46</f>
        <v xml:space="preserve"> </v>
      </c>
      <c r="AV47" s="196" t="e">
        <f>'MTK4'!AP46</f>
        <v>#DIV/0!</v>
      </c>
      <c r="AW47" s="196" t="e">
        <f>'MTK4'!AQ46</f>
        <v>#DIV/0!</v>
      </c>
      <c r="AX47" s="195" t="str">
        <f>'MTK4'!AV46</f>
        <v xml:space="preserve"> </v>
      </c>
      <c r="AY47" s="196" t="e">
        <f>'IPA4'!AJ46</f>
        <v>#DIV/0!</v>
      </c>
      <c r="AZ47" s="196" t="e">
        <f>'IPA4'!AK46</f>
        <v>#DIV/0!</v>
      </c>
      <c r="BA47" s="195" t="str">
        <f>'IPA4'!AP46</f>
        <v xml:space="preserve"> </v>
      </c>
      <c r="BB47" s="196" t="e">
        <f>'IPS4'!AG46</f>
        <v>#DIV/0!</v>
      </c>
      <c r="BC47" s="196" t="e">
        <f>'IPS4'!AH46</f>
        <v>#DIV/0!</v>
      </c>
      <c r="BD47" s="195" t="str">
        <f>'IPS4'!AM46</f>
        <v xml:space="preserve"> </v>
      </c>
      <c r="BE47" s="196" t="e">
        <f>SBDP4!AG46</f>
        <v>#DIV/0!</v>
      </c>
      <c r="BF47" s="196" t="e">
        <f>SBDP4!AH46</f>
        <v>#DIV/0!</v>
      </c>
      <c r="BG47" s="195" t="str">
        <f>SBDP4!AM46</f>
        <v xml:space="preserve"> </v>
      </c>
      <c r="BH47" s="196" t="e">
        <f>PJOK4!AJ46</f>
        <v>#DIV/0!</v>
      </c>
      <c r="BI47" s="196" t="e">
        <f>PJOK4!AK46</f>
        <v>#DIV/0!</v>
      </c>
      <c r="BJ47" s="197" t="str">
        <f>PJOK4!AP46</f>
        <v xml:space="preserve"> </v>
      </c>
      <c r="BK47" s="196" t="e">
        <f>'MLK1-4'!AG46</f>
        <v>#DIV/0!</v>
      </c>
      <c r="BL47" s="196" t="e">
        <f>'MLK1-4'!AH46</f>
        <v>#DIV/0!</v>
      </c>
      <c r="BM47" s="195" t="str">
        <f>'MLK1-4'!AM46</f>
        <v xml:space="preserve"> </v>
      </c>
      <c r="BN47" s="196" t="e">
        <f>'MLK2-4'!AG46</f>
        <v>#DIV/0!</v>
      </c>
      <c r="BO47" s="196" t="e">
        <f>'MLK2-4'!AH46</f>
        <v>#DIV/0!</v>
      </c>
      <c r="BP47" s="195" t="str">
        <f>'MLK2-4'!AM46</f>
        <v xml:space="preserve"> </v>
      </c>
      <c r="BQ47" s="196" t="e">
        <f>'MLK3-4'!AG46</f>
        <v>#DIV/0!</v>
      </c>
      <c r="BR47" s="196" t="e">
        <f>'MLK3-4'!AH46</f>
        <v>#DIV/0!</v>
      </c>
      <c r="BS47" s="195" t="str">
        <f>'MLK3-4'!AM46</f>
        <v xml:space="preserve"> </v>
      </c>
    </row>
    <row r="48" spans="1:71" ht="108.75" customHeight="1">
      <c r="A48" s="191">
        <v>43</v>
      </c>
      <c r="B48" s="191">
        <f>SISWA!B48</f>
        <v>0</v>
      </c>
      <c r="C48" s="192" t="str">
        <f>SISWA!C48</f>
        <v>Anak 43</v>
      </c>
      <c r="D48" s="193" t="str">
        <f>SPIRIT!Q47</f>
        <v xml:space="preserve">Ananda Anak 43 baik dalam  ketaatan beribadah,  berperilaku syukur,  berdoa sebelum dan sesudah melakukan kegiatan,  toleransi dalam beribadah, </v>
      </c>
      <c r="E48" s="193" t="str">
        <f>SOSIAL!W47</f>
        <v xml:space="preserve">Ananda Anak 43 baik dalam sikap jujur, disiplin, tanggung jawab, santun, peduli, percaya diri, kerja sama, </v>
      </c>
      <c r="F48" s="194">
        <f>'PAI3'!DU48</f>
        <v>99</v>
      </c>
      <c r="G48" s="194" t="str">
        <f>'PAI3'!DV48</f>
        <v>A</v>
      </c>
      <c r="H48" s="195" t="str">
        <f>'PAI3'!EA48</f>
        <v>Anak 43 sangat baik  dalam memahami Q.S. al- Falaq dan Q.S. al- Fil dengan baik dan benar</v>
      </c>
      <c r="I48" s="194">
        <f>'PKN3'!AI47</f>
        <v>95</v>
      </c>
      <c r="J48" s="194" t="str">
        <f>'PKN3'!AJ47</f>
        <v>A</v>
      </c>
      <c r="K48" s="193" t="str">
        <f>'PKN3'!AO47</f>
        <v>Anak 43 sangat baik  dalam mengidentifikasi pelaksanaan kewajiban dan hak sebagai warga masyarakat dalam kehidupan sehari-hari., dan  sangat baik  dalam menjelaskan manfaat keberagaman karakteristik individu dalam kehidupan sehari-hari.</v>
      </c>
      <c r="L48" s="196">
        <f>BIND3!AU47</f>
        <v>96</v>
      </c>
      <c r="M48" s="196" t="str">
        <f>BIND3!AV47</f>
        <v>A</v>
      </c>
      <c r="N48" s="195" t="str">
        <f>BIND3!BA47</f>
        <v>Anak 43 sangat baik  dalam menggali pengetahuan baru yang terdapat pada teks nonfiksi., dan  sangat baik  dalam menggali informasi dari seorang tokoh melalui wawancara menggunakan daftar pertanyaan.</v>
      </c>
      <c r="O48" s="196">
        <f>'MTK3'!BC47</f>
        <v>96</v>
      </c>
      <c r="P48" s="196" t="str">
        <f>'MTK3'!BD47</f>
        <v>A</v>
      </c>
      <c r="Q48" s="195" t="str">
        <f>'MTK3'!BI47</f>
        <v>Anak 43 sangat baik  dalam menjelaskan dan melakukan penaksiran dari jumlah, selisih, hasil kali, dan hasil bagi dua bilangan cacah maupun pecahan dan desimal, dan  baik  dalam menjelaskan berbagai bentuk pecahan (biasa, campuran, desimal, dan persen) dan hubungan di antaranya</v>
      </c>
      <c r="R48" s="196">
        <f>'IPA3'!AM47</f>
        <v>99</v>
      </c>
      <c r="S48" s="196" t="str">
        <f>'IPA3'!AN47</f>
        <v>A</v>
      </c>
      <c r="T48" s="195" t="str">
        <f>'IPA3'!AS47</f>
        <v>Anak 43 sangat baik  dalam membandingkan siklus hidup beberapa jenis makhluk hidup serta mengaitkan dengan upaya pelestariannya.</v>
      </c>
      <c r="U48" s="196">
        <f>'IPS3'!AN47</f>
        <v>99</v>
      </c>
      <c r="V48" s="196" t="str">
        <f>'IPS3'!AO47</f>
        <v>A</v>
      </c>
      <c r="W48" s="195" t="str">
        <f>'IPS3'!AT47</f>
        <v>Anak 43 sangat baik  dalam mengidentifikasi karakteristik ruang dan pemanfaatan sumberdaya alam untuk kesejahteraan masyarakat dari tingkatkota/kabupaten sampai tingkat provinsi.</v>
      </c>
      <c r="X48" s="196">
        <f>SBDP3!AN47</f>
        <v>99</v>
      </c>
      <c r="Y48" s="196" t="str">
        <f>SBDP3!AO47</f>
        <v>A</v>
      </c>
      <c r="Z48" s="195" t="str">
        <f>SBDP3!AT47</f>
        <v>Anak 43 sangat baik  dalam mengetahui gambar dan bentuk tiga dimensi.</v>
      </c>
      <c r="AA48" s="196">
        <f>PJOK3!AV47</f>
        <v>94</v>
      </c>
      <c r="AB48" s="196" t="str">
        <f>PJOK3!AW47</f>
        <v>A</v>
      </c>
      <c r="AC48" s="195" t="str">
        <f>PJOK3!BB47</f>
        <v>Anak 43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48" s="196">
        <f>'MLK1-3'!AT47</f>
        <v>90</v>
      </c>
      <c r="AE48" s="196" t="str">
        <f>'MLK1-3'!AU47</f>
        <v>B</v>
      </c>
      <c r="AF48" s="197" t="str">
        <f>'MLK1-3'!AZ47</f>
        <v>Anak 43 sangat baik  dalam mengenal, memahami, dan mengidentifikasi kata berimbuhan dalam teks sesuai kaidah, dan  baik  dalam mengenal dan memahami sandhangan aksara Jawa.</v>
      </c>
      <c r="AG48" s="196">
        <f>'MLK2-3'!AP47</f>
        <v>92</v>
      </c>
      <c r="AH48" s="196" t="str">
        <f>'MLK2-3'!AQ47</f>
        <v>A</v>
      </c>
      <c r="AI48" s="195" t="str">
        <f>'MLK2-3'!AV47</f>
        <v>Anak 43 sangat baik  dalam mengenal dan mengidentifikasi benda-benda di dapur dan nama-nama bunga, dan  baik  dalam memahami penggunaan kalimat yang menunjukkan letak suatu tempat</v>
      </c>
      <c r="AJ48" s="196">
        <f>'MLK3-3'!AP47</f>
        <v>88</v>
      </c>
      <c r="AK48" s="196" t="str">
        <f>'MLK3-3'!AQ47</f>
        <v>B</v>
      </c>
      <c r="AL48" s="197" t="str">
        <f>'MLK3-3'!AV47</f>
        <v>Anak 43 baik  dalam memahami pembuatan dokumen di microsoft  word, dan  baik  dalam mengenal dan memahami penggunaan microsoft  word.</v>
      </c>
      <c r="AM48" s="196" t="e">
        <f>'PAI4'!CI48</f>
        <v>#DIV/0!</v>
      </c>
      <c r="AN48" s="196" t="e">
        <f>'PAI4'!CJ48</f>
        <v>#DIV/0!</v>
      </c>
      <c r="AO48" s="197" t="str">
        <f>'PAI4'!CO48</f>
        <v xml:space="preserve"> </v>
      </c>
      <c r="AP48" s="196" t="e">
        <f>'PKN4'!AD47</f>
        <v>#DIV/0!</v>
      </c>
      <c r="AQ48" s="196" t="e">
        <f>'PKN4'!AE47</f>
        <v>#DIV/0!</v>
      </c>
      <c r="AR48" s="195" t="str">
        <f>'PKN4'!AJ47</f>
        <v xml:space="preserve"> </v>
      </c>
      <c r="AS48" s="196" t="e">
        <f>BIND4!AP47</f>
        <v>#DIV/0!</v>
      </c>
      <c r="AT48" s="196" t="e">
        <f>BIND4!AQ47</f>
        <v>#DIV/0!</v>
      </c>
      <c r="AU48" s="195" t="str">
        <f>BIND4!AV47</f>
        <v xml:space="preserve"> </v>
      </c>
      <c r="AV48" s="196" t="e">
        <f>'MTK4'!AP47</f>
        <v>#DIV/0!</v>
      </c>
      <c r="AW48" s="196" t="e">
        <f>'MTK4'!AQ47</f>
        <v>#DIV/0!</v>
      </c>
      <c r="AX48" s="195" t="str">
        <f>'MTK4'!AV47</f>
        <v xml:space="preserve"> </v>
      </c>
      <c r="AY48" s="196" t="e">
        <f>'IPA4'!AJ47</f>
        <v>#DIV/0!</v>
      </c>
      <c r="AZ48" s="196" t="e">
        <f>'IPA4'!AK47</f>
        <v>#DIV/0!</v>
      </c>
      <c r="BA48" s="195" t="str">
        <f>'IPA4'!AP47</f>
        <v xml:space="preserve"> </v>
      </c>
      <c r="BB48" s="196" t="e">
        <f>'IPS4'!AG47</f>
        <v>#DIV/0!</v>
      </c>
      <c r="BC48" s="196" t="e">
        <f>'IPS4'!AH47</f>
        <v>#DIV/0!</v>
      </c>
      <c r="BD48" s="195" t="str">
        <f>'IPS4'!AM47</f>
        <v xml:space="preserve"> </v>
      </c>
      <c r="BE48" s="196" t="e">
        <f>SBDP4!AG47</f>
        <v>#DIV/0!</v>
      </c>
      <c r="BF48" s="196" t="e">
        <f>SBDP4!AH47</f>
        <v>#DIV/0!</v>
      </c>
      <c r="BG48" s="195" t="str">
        <f>SBDP4!AM47</f>
        <v xml:space="preserve"> </v>
      </c>
      <c r="BH48" s="196" t="e">
        <f>PJOK4!AJ47</f>
        <v>#DIV/0!</v>
      </c>
      <c r="BI48" s="196" t="e">
        <f>PJOK4!AK47</f>
        <v>#DIV/0!</v>
      </c>
      <c r="BJ48" s="197" t="str">
        <f>PJOK4!AP47</f>
        <v xml:space="preserve"> </v>
      </c>
      <c r="BK48" s="196" t="e">
        <f>'MLK1-4'!AG47</f>
        <v>#DIV/0!</v>
      </c>
      <c r="BL48" s="196" t="e">
        <f>'MLK1-4'!AH47</f>
        <v>#DIV/0!</v>
      </c>
      <c r="BM48" s="195" t="str">
        <f>'MLK1-4'!AM47</f>
        <v xml:space="preserve"> </v>
      </c>
      <c r="BN48" s="196" t="e">
        <f>'MLK2-4'!AG47</f>
        <v>#DIV/0!</v>
      </c>
      <c r="BO48" s="196" t="e">
        <f>'MLK2-4'!AH47</f>
        <v>#DIV/0!</v>
      </c>
      <c r="BP48" s="195" t="str">
        <f>'MLK2-4'!AM47</f>
        <v xml:space="preserve"> </v>
      </c>
      <c r="BQ48" s="196" t="e">
        <f>'MLK3-4'!AG47</f>
        <v>#DIV/0!</v>
      </c>
      <c r="BR48" s="196" t="e">
        <f>'MLK3-4'!AH47</f>
        <v>#DIV/0!</v>
      </c>
      <c r="BS48" s="195" t="str">
        <f>'MLK3-4'!AM47</f>
        <v xml:space="preserve"> </v>
      </c>
    </row>
    <row r="49" spans="1:71" ht="108.75" customHeight="1">
      <c r="A49" s="191">
        <v>44</v>
      </c>
      <c r="B49" s="191">
        <f>SISWA!B49</f>
        <v>0</v>
      </c>
      <c r="C49" s="192" t="str">
        <f>SISWA!C49</f>
        <v>Anak 44</v>
      </c>
      <c r="D49" s="193" t="str">
        <f>SPIRIT!Q48</f>
        <v xml:space="preserve">Ananda Anak 44 baik dalam  ketaatan beribadah,  berperilaku syukur,  berdoa sebelum dan sesudah melakukan kegiatan,  toleransi dalam beribadah, </v>
      </c>
      <c r="E49" s="193" t="str">
        <f>SOSIAL!W48</f>
        <v xml:space="preserve">Ananda Anak 44 baik dalam sikap jujur, disiplin, tanggung jawab, santun, peduli, percaya diri, kerja sama, </v>
      </c>
      <c r="F49" s="194">
        <f>'PAI3'!DU49</f>
        <v>99</v>
      </c>
      <c r="G49" s="194" t="str">
        <f>'PAI3'!DV49</f>
        <v>A</v>
      </c>
      <c r="H49" s="195" t="str">
        <f>'PAI3'!EA49</f>
        <v>Anak 44 sangat baik  dalam memahami Q.S. al- Falaq dan Q.S. al- Fil dengan baik dan benar</v>
      </c>
      <c r="I49" s="194">
        <f>'PKN3'!AI48</f>
        <v>95</v>
      </c>
      <c r="J49" s="194" t="str">
        <f>'PKN3'!AJ48</f>
        <v>A</v>
      </c>
      <c r="K49" s="193" t="str">
        <f>'PKN3'!AO48</f>
        <v>Anak 44 sangat baik  dalam mengidentifikasi pelaksanaan kewajiban dan hak sebagai warga masyarakat dalam kehidupan sehari-hari., dan  sangat baik  dalam menjelaskan manfaat keberagaman karakteristik individu dalam kehidupan sehari-hari.</v>
      </c>
      <c r="L49" s="196">
        <f>BIND3!AU48</f>
        <v>96</v>
      </c>
      <c r="M49" s="196" t="str">
        <f>BIND3!AV48</f>
        <v>A</v>
      </c>
      <c r="N49" s="195" t="str">
        <f>BIND3!BA48</f>
        <v>Anak 44 sangat baik  dalam menggali pengetahuan baru yang terdapat pada teks nonfiksi., dan  sangat baik  dalam menggali informasi dari seorang tokoh melalui wawancara menggunakan daftar pertanyaan.</v>
      </c>
      <c r="O49" s="196">
        <f>'MTK3'!BC48</f>
        <v>97</v>
      </c>
      <c r="P49" s="196" t="str">
        <f>'MTK3'!BD48</f>
        <v>A</v>
      </c>
      <c r="Q49" s="195" t="str">
        <f>'MTK3'!BI48</f>
        <v>Anak 44 sangat baik  dalam menjelaskan dan melakukan penaksiran dari jumlah, selisih, hasil kali, dan hasil bagi dua bilangan cacah maupun pecahan dan desimal, dan  baik  dalam menjelaskan berbagai bentuk pecahan (biasa, campuran, desimal, dan persen) dan hubungan di antaranya</v>
      </c>
      <c r="R49" s="196">
        <f>'IPA3'!AM48</f>
        <v>99</v>
      </c>
      <c r="S49" s="196" t="str">
        <f>'IPA3'!AN48</f>
        <v>A</v>
      </c>
      <c r="T49" s="195" t="str">
        <f>'IPA3'!AS48</f>
        <v>Anak 44 sangat baik  dalam membandingkan siklus hidup beberapa jenis makhluk hidup serta mengaitkan dengan upaya pelestariannya.</v>
      </c>
      <c r="U49" s="196">
        <f>'IPS3'!AN48</f>
        <v>99</v>
      </c>
      <c r="V49" s="196" t="str">
        <f>'IPS3'!AO48</f>
        <v>A</v>
      </c>
      <c r="W49" s="195" t="str">
        <f>'IPS3'!AT48</f>
        <v>Anak 44 sangat baik  dalam mengidentifikasi karakteristik ruang dan pemanfaatan sumberdaya alam untuk kesejahteraan masyarakat dari tingkatkota/kabupaten sampai tingkat provinsi.</v>
      </c>
      <c r="X49" s="196">
        <f>SBDP3!AN48</f>
        <v>99</v>
      </c>
      <c r="Y49" s="196" t="str">
        <f>SBDP3!AO48</f>
        <v>A</v>
      </c>
      <c r="Z49" s="195" t="str">
        <f>SBDP3!AT48</f>
        <v>Anak 44 sangat baik  dalam mengetahui gambar dan bentuk tiga dimensi.</v>
      </c>
      <c r="AA49" s="196">
        <f>PJOK3!AV48</f>
        <v>95</v>
      </c>
      <c r="AB49" s="196" t="str">
        <f>PJOK3!AW48</f>
        <v>A</v>
      </c>
      <c r="AC49" s="195" t="str">
        <f>PJOK3!BB48</f>
        <v>Anak 44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49" s="196">
        <f>'MLK1-3'!AT48</f>
        <v>91</v>
      </c>
      <c r="AE49" s="196" t="str">
        <f>'MLK1-3'!AU48</f>
        <v>A</v>
      </c>
      <c r="AF49" s="197" t="str">
        <f>'MLK1-3'!AZ48</f>
        <v>Anak 44 sangat baik  dalam mengenal, memahami, dan mengidentifikasi kata berimbuhan dalam teks sesuai kaidah, dan  baik  dalam mengenal dan memahami sandhangan aksara Jawa.</v>
      </c>
      <c r="AG49" s="196">
        <f>'MLK2-3'!AP48</f>
        <v>93</v>
      </c>
      <c r="AH49" s="196" t="str">
        <f>'MLK2-3'!AQ48</f>
        <v>A</v>
      </c>
      <c r="AI49" s="195" t="str">
        <f>'MLK2-3'!AV48</f>
        <v>Anak 44 sangat baik  dalam mengenal dan mengidentifikasi benda-benda di dapur dan nama-nama bunga, dan  baik  dalam memahami penggunaan kalimat yang menunjukkan letak suatu tempat</v>
      </c>
      <c r="AJ49" s="196">
        <f>'MLK3-3'!AP48</f>
        <v>88</v>
      </c>
      <c r="AK49" s="196" t="str">
        <f>'MLK3-3'!AQ48</f>
        <v>B</v>
      </c>
      <c r="AL49" s="197" t="str">
        <f>'MLK3-3'!AV48</f>
        <v>Anak 44 baik  dalam memahami pembuatan dokumen di microsoft  word, dan  baik  dalam mengenal dan memahami penggunaan microsoft  word.</v>
      </c>
      <c r="AM49" s="196" t="e">
        <f>'PAI4'!CI49</f>
        <v>#DIV/0!</v>
      </c>
      <c r="AN49" s="196" t="e">
        <f>'PAI4'!CJ49</f>
        <v>#DIV/0!</v>
      </c>
      <c r="AO49" s="197" t="str">
        <f>'PAI4'!CO49</f>
        <v xml:space="preserve"> </v>
      </c>
      <c r="AP49" s="196" t="e">
        <f>'PKN4'!AD48</f>
        <v>#DIV/0!</v>
      </c>
      <c r="AQ49" s="196" t="e">
        <f>'PKN4'!AE48</f>
        <v>#DIV/0!</v>
      </c>
      <c r="AR49" s="195" t="str">
        <f>'PKN4'!AJ48</f>
        <v xml:space="preserve"> </v>
      </c>
      <c r="AS49" s="196" t="e">
        <f>BIND4!AP48</f>
        <v>#DIV/0!</v>
      </c>
      <c r="AT49" s="196" t="e">
        <f>BIND4!AQ48</f>
        <v>#DIV/0!</v>
      </c>
      <c r="AU49" s="195" t="str">
        <f>BIND4!AV48</f>
        <v xml:space="preserve"> </v>
      </c>
      <c r="AV49" s="196" t="e">
        <f>'MTK4'!AP48</f>
        <v>#DIV/0!</v>
      </c>
      <c r="AW49" s="196" t="e">
        <f>'MTK4'!AQ48</f>
        <v>#DIV/0!</v>
      </c>
      <c r="AX49" s="195" t="str">
        <f>'MTK4'!AV48</f>
        <v xml:space="preserve"> </v>
      </c>
      <c r="AY49" s="196" t="e">
        <f>'IPA4'!AJ48</f>
        <v>#DIV/0!</v>
      </c>
      <c r="AZ49" s="196" t="e">
        <f>'IPA4'!AK48</f>
        <v>#DIV/0!</v>
      </c>
      <c r="BA49" s="195" t="str">
        <f>'IPA4'!AP48</f>
        <v xml:space="preserve"> </v>
      </c>
      <c r="BB49" s="196" t="e">
        <f>'IPS4'!AG48</f>
        <v>#DIV/0!</v>
      </c>
      <c r="BC49" s="196" t="e">
        <f>'IPS4'!AH48</f>
        <v>#DIV/0!</v>
      </c>
      <c r="BD49" s="195" t="str">
        <f>'IPS4'!AM48</f>
        <v xml:space="preserve"> </v>
      </c>
      <c r="BE49" s="196" t="e">
        <f>SBDP4!AG48</f>
        <v>#DIV/0!</v>
      </c>
      <c r="BF49" s="196" t="e">
        <f>SBDP4!AH48</f>
        <v>#DIV/0!</v>
      </c>
      <c r="BG49" s="195" t="str">
        <f>SBDP4!AM48</f>
        <v xml:space="preserve"> </v>
      </c>
      <c r="BH49" s="196" t="e">
        <f>PJOK4!AJ48</f>
        <v>#DIV/0!</v>
      </c>
      <c r="BI49" s="196" t="e">
        <f>PJOK4!AK48</f>
        <v>#DIV/0!</v>
      </c>
      <c r="BJ49" s="197" t="str">
        <f>PJOK4!AP48</f>
        <v xml:space="preserve"> </v>
      </c>
      <c r="BK49" s="196" t="e">
        <f>'MLK1-4'!AG48</f>
        <v>#DIV/0!</v>
      </c>
      <c r="BL49" s="196" t="e">
        <f>'MLK1-4'!AH48</f>
        <v>#DIV/0!</v>
      </c>
      <c r="BM49" s="195" t="str">
        <f>'MLK1-4'!AM48</f>
        <v xml:space="preserve"> </v>
      </c>
      <c r="BN49" s="196" t="e">
        <f>'MLK2-4'!AG48</f>
        <v>#DIV/0!</v>
      </c>
      <c r="BO49" s="196" t="e">
        <f>'MLK2-4'!AH48</f>
        <v>#DIV/0!</v>
      </c>
      <c r="BP49" s="195" t="str">
        <f>'MLK2-4'!AM48</f>
        <v xml:space="preserve"> </v>
      </c>
      <c r="BQ49" s="196" t="e">
        <f>'MLK3-4'!AG48</f>
        <v>#DIV/0!</v>
      </c>
      <c r="BR49" s="196" t="e">
        <f>'MLK3-4'!AH48</f>
        <v>#DIV/0!</v>
      </c>
      <c r="BS49" s="195" t="str">
        <f>'MLK3-4'!AM48</f>
        <v xml:space="preserve"> </v>
      </c>
    </row>
    <row r="50" spans="1:71" ht="108.75" customHeight="1">
      <c r="A50" s="191">
        <v>45</v>
      </c>
      <c r="B50" s="191">
        <f>SISWA!B50</f>
        <v>0</v>
      </c>
      <c r="C50" s="192" t="str">
        <f>SISWA!C50</f>
        <v>Anak 45</v>
      </c>
      <c r="D50" s="193" t="str">
        <f>SPIRIT!Q49</f>
        <v xml:space="preserve">Ananda Anak 45 baik dalam  ketaatan beribadah,  berperilaku syukur,  berdoa sebelum dan sesudah melakukan kegiatan,  toleransi dalam beribadah, </v>
      </c>
      <c r="E50" s="193" t="str">
        <f>SOSIAL!W49</f>
        <v xml:space="preserve">Ananda Anak 45 baik dalam sikap jujur, disiplin, tanggung jawab, santun, peduli, percaya diri, kerja sama, </v>
      </c>
      <c r="F50" s="194">
        <f>'PAI3'!DU50</f>
        <v>99</v>
      </c>
      <c r="G50" s="194" t="str">
        <f>'PAI3'!DV50</f>
        <v>A</v>
      </c>
      <c r="H50" s="195" t="str">
        <f>'PAI3'!EA50</f>
        <v>Anak 45 sangat baik  dalam memahami Q.S. al- Falaq dan Q.S. al- Fil dengan baik dan benar</v>
      </c>
      <c r="I50" s="194">
        <f>'PKN3'!AI49</f>
        <v>95</v>
      </c>
      <c r="J50" s="194" t="str">
        <f>'PKN3'!AJ49</f>
        <v>A</v>
      </c>
      <c r="K50" s="193" t="str">
        <f>'PKN3'!AO49</f>
        <v>Anak 45 sangat baik  dalam mengidentifikasi pelaksanaan kewajiban dan hak sebagai warga masyarakat dalam kehidupan sehari-hari., dan  sangat baik  dalam mengidentifikasi berbagai bentuk keragaman suku bangsa, sosial, dan budaya di Indonesia yang terikat persatuan dan kesatuan.</v>
      </c>
      <c r="L50" s="196">
        <f>BIND3!AU49</f>
        <v>96</v>
      </c>
      <c r="M50" s="196" t="str">
        <f>BIND3!AV49</f>
        <v>A</v>
      </c>
      <c r="N50" s="195" t="str">
        <f>BIND3!BA49</f>
        <v>Anak 45 sangat baik  dalam menggali pengetahuan baru yang terdapat pada teks nonfiksi., dan  sangat baik  dalam menggali informasi dari seorang tokoh melalui wawancara menggunakan daftar pertanyaan.</v>
      </c>
      <c r="O50" s="196">
        <f>'MTK3'!BC49</f>
        <v>96</v>
      </c>
      <c r="P50" s="196" t="str">
        <f>'MTK3'!BD49</f>
        <v>A</v>
      </c>
      <c r="Q50" s="195" t="str">
        <f>'MTK3'!BI49</f>
        <v>Anak 45 sangat baik  dalam menjelaskan dan melakukan penaksiran dari jumlah, selisih, hasil kali, dan hasil bagi dua bilangan cacah maupun pecahan dan desimal, dan  baik  dalam menjelaskan berbagai bentuk pecahan (biasa, campuran, desimal, dan persen) dan hubungan di antaranya</v>
      </c>
      <c r="R50" s="196">
        <f>'IPA3'!AM49</f>
        <v>99</v>
      </c>
      <c r="S50" s="196" t="str">
        <f>'IPA3'!AN49</f>
        <v>A</v>
      </c>
      <c r="T50" s="195" t="str">
        <f>'IPA3'!AS49</f>
        <v>Anak 45 sangat baik  dalam membandingkan siklus hidup beberapa jenis makhluk hidup serta mengaitkan dengan upaya pelestariannya.</v>
      </c>
      <c r="U50" s="196">
        <f>'IPS3'!AN49</f>
        <v>99</v>
      </c>
      <c r="V50" s="196" t="str">
        <f>'IPS3'!AO49</f>
        <v>A</v>
      </c>
      <c r="W50" s="195" t="str">
        <f>'IPS3'!AT49</f>
        <v>Anak 45 sangat baik  dalam mengidentifikasi karakteristik ruang dan pemanfaatan sumberdaya alam untuk kesejahteraan masyarakat dari tingkatkota/kabupaten sampai tingkat provinsi.</v>
      </c>
      <c r="X50" s="196">
        <f>SBDP3!AN49</f>
        <v>99</v>
      </c>
      <c r="Y50" s="196" t="str">
        <f>SBDP3!AO49</f>
        <v>A</v>
      </c>
      <c r="Z50" s="195" t="str">
        <f>SBDP3!AT49</f>
        <v>Anak 45 sangat baik  dalam mengetahui gambar dan bentuk tiga dimensi.</v>
      </c>
      <c r="AA50" s="196">
        <f>PJOK3!AV49</f>
        <v>94</v>
      </c>
      <c r="AB50" s="196" t="str">
        <f>PJOK3!AW49</f>
        <v>A</v>
      </c>
      <c r="AC50" s="195" t="str">
        <f>PJOK3!BB49</f>
        <v>Anak 45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50" s="196">
        <f>'MLK1-3'!AT49</f>
        <v>89</v>
      </c>
      <c r="AE50" s="196" t="str">
        <f>'MLK1-3'!AU49</f>
        <v>B</v>
      </c>
      <c r="AF50" s="197" t="str">
        <f>'MLK1-3'!AZ49</f>
        <v>Anak 45 sangat baik  dalam mengenal dan memahmi teks tembang dolanan, dan  baik  dalam mengenal dan memahami sandhangan aksara Jawa.</v>
      </c>
      <c r="AG50" s="196">
        <f>'MLK2-3'!AP49</f>
        <v>92</v>
      </c>
      <c r="AH50" s="196" t="str">
        <f>'MLK2-3'!AQ49</f>
        <v>A</v>
      </c>
      <c r="AI50" s="195" t="str">
        <f>'MLK2-3'!AV49</f>
        <v>Anak 45 sangat baik  dalam mengenal dan mengidentifikasi benda-benda di dapur dan nama-nama bunga, dan  baik  dalam memahami penggunaan kalimat yang menunjukkan letak suatu tempat</v>
      </c>
      <c r="AJ50" s="196">
        <f>'MLK3-3'!AP49</f>
        <v>86</v>
      </c>
      <c r="AK50" s="196" t="str">
        <f>'MLK3-3'!AQ49</f>
        <v>B</v>
      </c>
      <c r="AL50" s="197" t="str">
        <f>'MLK3-3'!AV49</f>
        <v>Anak 45 baik  dalam mengenal dan memahami penggunaan microsoft  word., dan  baik  dalam memahami pembuatan dokumen di microsoft  word</v>
      </c>
      <c r="AM50" s="196" t="e">
        <f>'PAI4'!CI50</f>
        <v>#DIV/0!</v>
      </c>
      <c r="AN50" s="196" t="e">
        <f>'PAI4'!CJ50</f>
        <v>#DIV/0!</v>
      </c>
      <c r="AO50" s="197" t="str">
        <f>'PAI4'!CO50</f>
        <v xml:space="preserve"> </v>
      </c>
      <c r="AP50" s="196" t="e">
        <f>'PKN4'!AD49</f>
        <v>#DIV/0!</v>
      </c>
      <c r="AQ50" s="196" t="e">
        <f>'PKN4'!AE49</f>
        <v>#DIV/0!</v>
      </c>
      <c r="AR50" s="195" t="str">
        <f>'PKN4'!AJ49</f>
        <v xml:space="preserve"> </v>
      </c>
      <c r="AS50" s="196" t="e">
        <f>BIND4!AP49</f>
        <v>#DIV/0!</v>
      </c>
      <c r="AT50" s="196" t="e">
        <f>BIND4!AQ49</f>
        <v>#DIV/0!</v>
      </c>
      <c r="AU50" s="195" t="str">
        <f>BIND4!AV49</f>
        <v xml:space="preserve"> </v>
      </c>
      <c r="AV50" s="196" t="e">
        <f>'MTK4'!AP49</f>
        <v>#DIV/0!</v>
      </c>
      <c r="AW50" s="196" t="e">
        <f>'MTK4'!AQ49</f>
        <v>#DIV/0!</v>
      </c>
      <c r="AX50" s="195" t="str">
        <f>'MTK4'!AV49</f>
        <v xml:space="preserve"> </v>
      </c>
      <c r="AY50" s="196" t="e">
        <f>'IPA4'!AJ49</f>
        <v>#DIV/0!</v>
      </c>
      <c r="AZ50" s="196" t="e">
        <f>'IPA4'!AK49</f>
        <v>#DIV/0!</v>
      </c>
      <c r="BA50" s="195" t="str">
        <f>'IPA4'!AP49</f>
        <v xml:space="preserve"> </v>
      </c>
      <c r="BB50" s="196" t="e">
        <f>'IPS4'!AG49</f>
        <v>#DIV/0!</v>
      </c>
      <c r="BC50" s="196" t="e">
        <f>'IPS4'!AH49</f>
        <v>#DIV/0!</v>
      </c>
      <c r="BD50" s="195" t="str">
        <f>'IPS4'!AM49</f>
        <v xml:space="preserve"> </v>
      </c>
      <c r="BE50" s="196" t="e">
        <f>SBDP4!AG49</f>
        <v>#DIV/0!</v>
      </c>
      <c r="BF50" s="196" t="e">
        <f>SBDP4!AH49</f>
        <v>#DIV/0!</v>
      </c>
      <c r="BG50" s="195" t="str">
        <f>SBDP4!AM49</f>
        <v xml:space="preserve"> </v>
      </c>
      <c r="BH50" s="196" t="e">
        <f>PJOK4!AJ49</f>
        <v>#DIV/0!</v>
      </c>
      <c r="BI50" s="196" t="e">
        <f>PJOK4!AK49</f>
        <v>#DIV/0!</v>
      </c>
      <c r="BJ50" s="197" t="str">
        <f>PJOK4!AP49</f>
        <v xml:space="preserve"> </v>
      </c>
      <c r="BK50" s="196" t="e">
        <f>'MLK1-4'!AG49</f>
        <v>#DIV/0!</v>
      </c>
      <c r="BL50" s="196" t="e">
        <f>'MLK1-4'!AH49</f>
        <v>#DIV/0!</v>
      </c>
      <c r="BM50" s="195" t="str">
        <f>'MLK1-4'!AM49</f>
        <v xml:space="preserve"> </v>
      </c>
      <c r="BN50" s="196" t="e">
        <f>'MLK2-4'!AG49</f>
        <v>#DIV/0!</v>
      </c>
      <c r="BO50" s="196" t="e">
        <f>'MLK2-4'!AH49</f>
        <v>#DIV/0!</v>
      </c>
      <c r="BP50" s="195" t="str">
        <f>'MLK2-4'!AM49</f>
        <v xml:space="preserve"> </v>
      </c>
      <c r="BQ50" s="196" t="e">
        <f>'MLK3-4'!AG49</f>
        <v>#DIV/0!</v>
      </c>
      <c r="BR50" s="196" t="e">
        <f>'MLK3-4'!AH49</f>
        <v>#DIV/0!</v>
      </c>
      <c r="BS50" s="195" t="str">
        <f>'MLK3-4'!AM49</f>
        <v xml:space="preserve"> </v>
      </c>
    </row>
    <row r="51" spans="1:71" ht="108.75" customHeight="1">
      <c r="A51" s="191">
        <v>46</v>
      </c>
      <c r="B51" s="191">
        <f>SISWA!B51</f>
        <v>0</v>
      </c>
      <c r="C51" s="192" t="str">
        <f>SISWA!C51</f>
        <v>Anak 46</v>
      </c>
      <c r="D51" s="193" t="str">
        <f>SPIRIT!Q50</f>
        <v xml:space="preserve">Ananda Anak 46 baik dalam  ketaatan beribadah,  berperilaku syukur,  berdoa sebelum dan sesudah melakukan kegiatan,  toleransi dalam beribadah, </v>
      </c>
      <c r="E51" s="193" t="str">
        <f>SOSIAL!W50</f>
        <v xml:space="preserve">Ananda Anak 46 baik dalam sikap jujur, disiplin, tanggung jawab, santun, peduli, percaya diri, kerja sama, </v>
      </c>
      <c r="F51" s="194">
        <f>'PAI3'!DU51</f>
        <v>99</v>
      </c>
      <c r="G51" s="194" t="str">
        <f>'PAI3'!DV51</f>
        <v>A</v>
      </c>
      <c r="H51" s="195" t="str">
        <f>'PAI3'!EA51</f>
        <v>Anak 46 sangat baik  dalam memahami Q.S. al- Falaq dan Q.S. al- Fil dengan baik dan benar</v>
      </c>
      <c r="I51" s="194">
        <f>'PKN3'!AI50</f>
        <v>97</v>
      </c>
      <c r="J51" s="194" t="str">
        <f>'PKN3'!AJ50</f>
        <v>A</v>
      </c>
      <c r="K51" s="193" t="str">
        <f>'PKN3'!AO50</f>
        <v>Anak 46 sangat baik  dalam mengidentifikasi pelaksanaan kewajiban dan hak sebagai warga masyarakat dalam kehidupan sehari-hari., dan  sangat baik  dalam menjelaskan manfaat keberagaman karakteristik individu dalam kehidupan sehari-hari.</v>
      </c>
      <c r="L51" s="196">
        <f>BIND3!AU50</f>
        <v>97</v>
      </c>
      <c r="M51" s="196" t="str">
        <f>BIND3!AV50</f>
        <v>A</v>
      </c>
      <c r="N51" s="195" t="str">
        <f>BIND3!BA50</f>
        <v>Anak 46 sangat baik  dalam menggali pengetahuan baru yang terdapat pada teks nonfiksi., dan  sangat baik  dalam menggali informasi dari seorang tokoh melalui wawancara menggunakan daftar pertanyaan.</v>
      </c>
      <c r="O51" s="196">
        <f>'MTK3'!BC50</f>
        <v>97</v>
      </c>
      <c r="P51" s="196" t="str">
        <f>'MTK3'!BD50</f>
        <v>A</v>
      </c>
      <c r="Q51" s="195" t="str">
        <f>'MTK3'!BI50</f>
        <v>Anak 46 sangat baik  dalam menjelaskan dan melakukan penaksiran dari jumlah, selisih, hasil kali, dan hasil bagi dua bilangan cacah maupun pecahan dan desimal, dan  sangat baik  dalam menjelaskan berbagai bentuk pecahan (biasa, campuran, desimal, dan persen) dan hubungan di antaranya</v>
      </c>
      <c r="R51" s="196">
        <f>'IPA3'!AM50</f>
        <v>99</v>
      </c>
      <c r="S51" s="196" t="str">
        <f>'IPA3'!AN50</f>
        <v>A</v>
      </c>
      <c r="T51" s="195" t="str">
        <f>'IPA3'!AS50</f>
        <v>Anak 46 sangat baik  dalam membandingkan siklus hidup beberapa jenis makhluk hidup serta mengaitkan dengan upaya pelestariannya.</v>
      </c>
      <c r="U51" s="196">
        <f>'IPS3'!AN50</f>
        <v>99</v>
      </c>
      <c r="V51" s="196" t="str">
        <f>'IPS3'!AO50</f>
        <v>A</v>
      </c>
      <c r="W51" s="195" t="str">
        <f>'IPS3'!AT50</f>
        <v>Anak 46 sangat baik  dalam mengidentifikasi karakteristik ruang dan pemanfaatan sumberdaya alam untuk kesejahteraan masyarakat dari tingkatkota/kabupaten sampai tingkat provinsi.</v>
      </c>
      <c r="X51" s="196">
        <f>SBDP3!AN50</f>
        <v>99</v>
      </c>
      <c r="Y51" s="196" t="str">
        <f>SBDP3!AO50</f>
        <v>A</v>
      </c>
      <c r="Z51" s="195" t="str">
        <f>SBDP3!AT50</f>
        <v>Anak 46 sangat baik  dalam mengetahui gambar dan bentuk tiga dimensi.</v>
      </c>
      <c r="AA51" s="196">
        <f>PJOK3!AV50</f>
        <v>96</v>
      </c>
      <c r="AB51" s="196" t="str">
        <f>PJOK3!AW50</f>
        <v>A</v>
      </c>
      <c r="AC51" s="195" t="str">
        <f>PJOK3!BB50</f>
        <v>Anak 46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AD51" s="196">
        <f>'MLK1-3'!AT50</f>
        <v>93</v>
      </c>
      <c r="AE51" s="196" t="str">
        <f>'MLK1-3'!AU50</f>
        <v>A</v>
      </c>
      <c r="AF51" s="197" t="str">
        <f>'MLK1-3'!AZ50</f>
        <v>Anak 46 sangat baik  dalam mengenal dan memahmi teks tembang dolanan, dan  sangat baik  dalam mengenal dan memahami sandhangan aksara Jawa.</v>
      </c>
      <c r="AG51" s="196">
        <f>'MLK2-3'!AP50</f>
        <v>95</v>
      </c>
      <c r="AH51" s="196" t="str">
        <f>'MLK2-3'!AQ50</f>
        <v>A</v>
      </c>
      <c r="AI51" s="195" t="str">
        <f>'MLK2-3'!AV50</f>
        <v>Anak 46 sangat baik  dalam mengenal dan mengidentifikasi benda-benda di dapur dan nama-nama bunga, dan  sangat baik  dalam memahami penggunaan kalimat yang menunjukkan letak suatu tempat</v>
      </c>
      <c r="AJ51" s="196">
        <f>'MLK3-3'!AP50</f>
        <v>92</v>
      </c>
      <c r="AK51" s="196" t="str">
        <f>'MLK3-3'!AQ50</f>
        <v>A</v>
      </c>
      <c r="AL51" s="197" t="str">
        <f>'MLK3-3'!AV50</f>
        <v>Anak 46 sangat baik  dalam mengenal dan memahami penggunaan microsoft  word.</v>
      </c>
      <c r="AM51" s="196" t="e">
        <f>'PAI4'!CI51</f>
        <v>#DIV/0!</v>
      </c>
      <c r="AN51" s="196" t="e">
        <f>'PAI4'!CJ51</f>
        <v>#DIV/0!</v>
      </c>
      <c r="AO51" s="197" t="str">
        <f>'PAI4'!CO51</f>
        <v xml:space="preserve"> </v>
      </c>
      <c r="AP51" s="196" t="e">
        <f>'PKN4'!AD50</f>
        <v>#DIV/0!</v>
      </c>
      <c r="AQ51" s="196" t="e">
        <f>'PKN4'!AE50</f>
        <v>#DIV/0!</v>
      </c>
      <c r="AR51" s="195" t="str">
        <f>'PKN4'!AJ50</f>
        <v xml:space="preserve"> </v>
      </c>
      <c r="AS51" s="196" t="e">
        <f>BIND4!AP50</f>
        <v>#DIV/0!</v>
      </c>
      <c r="AT51" s="196" t="e">
        <f>BIND4!AQ50</f>
        <v>#DIV/0!</v>
      </c>
      <c r="AU51" s="195" t="str">
        <f>BIND4!AV50</f>
        <v xml:space="preserve"> </v>
      </c>
      <c r="AV51" s="196" t="e">
        <f>'MTK4'!AP50</f>
        <v>#DIV/0!</v>
      </c>
      <c r="AW51" s="196" t="e">
        <f>'MTK4'!AQ50</f>
        <v>#DIV/0!</v>
      </c>
      <c r="AX51" s="195" t="str">
        <f>'MTK4'!AV50</f>
        <v xml:space="preserve"> </v>
      </c>
      <c r="AY51" s="196" t="e">
        <f>'IPA4'!AJ50</f>
        <v>#DIV/0!</v>
      </c>
      <c r="AZ51" s="196" t="e">
        <f>'IPA4'!AK50</f>
        <v>#DIV/0!</v>
      </c>
      <c r="BA51" s="195" t="str">
        <f>'IPA4'!AP50</f>
        <v xml:space="preserve"> </v>
      </c>
      <c r="BB51" s="196" t="e">
        <f>'IPS4'!AG50</f>
        <v>#DIV/0!</v>
      </c>
      <c r="BC51" s="196" t="e">
        <f>'IPS4'!AH50</f>
        <v>#DIV/0!</v>
      </c>
      <c r="BD51" s="195" t="str">
        <f>'IPS4'!AM50</f>
        <v xml:space="preserve"> </v>
      </c>
      <c r="BE51" s="196" t="e">
        <f>SBDP4!AG50</f>
        <v>#DIV/0!</v>
      </c>
      <c r="BF51" s="196" t="e">
        <f>SBDP4!AH50</f>
        <v>#DIV/0!</v>
      </c>
      <c r="BG51" s="195" t="str">
        <f>SBDP4!AM50</f>
        <v xml:space="preserve"> </v>
      </c>
      <c r="BH51" s="196" t="e">
        <f>PJOK4!AJ50</f>
        <v>#DIV/0!</v>
      </c>
      <c r="BI51" s="196" t="e">
        <f>PJOK4!AK50</f>
        <v>#DIV/0!</v>
      </c>
      <c r="BJ51" s="197" t="str">
        <f>PJOK4!AP50</f>
        <v xml:space="preserve"> </v>
      </c>
      <c r="BK51" s="196" t="e">
        <f>'MLK1-4'!AG50</f>
        <v>#DIV/0!</v>
      </c>
      <c r="BL51" s="196" t="e">
        <f>'MLK1-4'!AH50</f>
        <v>#DIV/0!</v>
      </c>
      <c r="BM51" s="195" t="str">
        <f>'MLK1-4'!AM50</f>
        <v xml:space="preserve"> </v>
      </c>
      <c r="BN51" s="196" t="e">
        <f>'MLK2-4'!AG50</f>
        <v>#DIV/0!</v>
      </c>
      <c r="BO51" s="196" t="e">
        <f>'MLK2-4'!AH50</f>
        <v>#DIV/0!</v>
      </c>
      <c r="BP51" s="195" t="str">
        <f>'MLK2-4'!AM50</f>
        <v xml:space="preserve"> </v>
      </c>
      <c r="BQ51" s="196" t="e">
        <f>'MLK3-4'!AG50</f>
        <v>#DIV/0!</v>
      </c>
      <c r="BR51" s="196" t="e">
        <f>'MLK3-4'!AH50</f>
        <v>#DIV/0!</v>
      </c>
      <c r="BS51" s="195" t="str">
        <f>'MLK3-4'!AM50</f>
        <v xml:space="preserve"> </v>
      </c>
    </row>
    <row r="52" spans="1:71" ht="108.75" customHeight="1">
      <c r="A52" s="191">
        <v>47</v>
      </c>
      <c r="B52" s="191">
        <f>SISWA!B52</f>
        <v>0</v>
      </c>
      <c r="C52" s="192" t="str">
        <f>SISWA!C52</f>
        <v>Anak 47</v>
      </c>
      <c r="D52" s="193" t="str">
        <f>SPIRIT!Q51</f>
        <v xml:space="preserve">Ananda Anak 47 baik dalam  ketaatan beribadah,  berperilaku syukur,  berdoa sebelum dan sesudah melakukan kegiatan,  toleransi dalam beribadah, </v>
      </c>
      <c r="E52" s="193" t="str">
        <f>SOSIAL!W51</f>
        <v xml:space="preserve">Ananda Anak 47 baik dalam sikap jujur, disiplin, tanggung jawab, santun, peduli, percaya diri, kerja sama, </v>
      </c>
      <c r="F52" s="194">
        <f>'PAI3'!DU52</f>
        <v>99</v>
      </c>
      <c r="G52" s="194" t="str">
        <f>'PAI3'!DV52</f>
        <v>A</v>
      </c>
      <c r="H52" s="195" t="str">
        <f>'PAI3'!EA52</f>
        <v>Anak 47 sangat baik  dalam memahami Q.S. al- Falaq dan Q.S. al- Fil dengan baik dan benar</v>
      </c>
      <c r="I52" s="194">
        <f>'PKN3'!AI51</f>
        <v>94</v>
      </c>
      <c r="J52" s="194" t="str">
        <f>'PKN3'!AJ51</f>
        <v>A</v>
      </c>
      <c r="K52" s="193" t="str">
        <f>'PKN3'!AO51</f>
        <v>Anak 47 sangat baik  dalam mengidentifikasi pelaksanaan kewajiban dan hak sebagai warga masyarakat dalam kehidupan sehari-hari., dan  sangat baik  dalam menjelaskan manfaat keberagaman karakteristik individu dalam kehidupan sehari-hari.</v>
      </c>
      <c r="L52" s="196">
        <f>BIND3!AU51</f>
        <v>95</v>
      </c>
      <c r="M52" s="196" t="str">
        <f>BIND3!AV51</f>
        <v>A</v>
      </c>
      <c r="N52" s="195" t="str">
        <f>BIND3!BA51</f>
        <v>Anak 47 sangat baik  dalam menggali pengetahuan baru yang terdapat pada teks nonfiksi., dan  baik  dalam menggali informasi dari seorang tokoh melalui wawancara menggunakan daftar pertanyaan.</v>
      </c>
      <c r="O52" s="196">
        <f>'MTK3'!BC51</f>
        <v>96</v>
      </c>
      <c r="P52" s="196" t="str">
        <f>'MTK3'!BD51</f>
        <v>A</v>
      </c>
      <c r="Q52" s="195" t="str">
        <f>'MTK3'!BI51</f>
        <v>Anak 47 sangat baik  dalam menjelaskan dan melakukan penaksiran dari jumlah, selisih, hasil kali, dan hasil bagi dua bilangan cacah maupun pecahan dan desimal, dan  baik  dalam menjelaskan berbagai bentuk pecahan (biasa, campuran, desimal, dan persen) dan hubungan di antaranya</v>
      </c>
      <c r="R52" s="196">
        <f>'IPA3'!AM51</f>
        <v>99</v>
      </c>
      <c r="S52" s="196" t="str">
        <f>'IPA3'!AN51</f>
        <v>A</v>
      </c>
      <c r="T52" s="195" t="str">
        <f>'IPA3'!AS51</f>
        <v>Anak 47 sangat baik  dalam membandingkan siklus hidup beberapa jenis makhluk hidup serta mengaitkan dengan upaya pelestariannya.</v>
      </c>
      <c r="U52" s="196">
        <f>'IPS3'!AN51</f>
        <v>99</v>
      </c>
      <c r="V52" s="196" t="str">
        <f>'IPS3'!AO51</f>
        <v>A</v>
      </c>
      <c r="W52" s="195" t="str">
        <f>'IPS3'!AT51</f>
        <v>Anak 47 sangat baik  dalam mengidentifikasi karakteristik ruang dan pemanfaatan sumberdaya alam untuk kesejahteraan masyarakat dari tingkatkota/kabupaten sampai tingkat provinsi.</v>
      </c>
      <c r="X52" s="196">
        <f>SBDP3!AN51</f>
        <v>99</v>
      </c>
      <c r="Y52" s="196" t="str">
        <f>SBDP3!AO51</f>
        <v>A</v>
      </c>
      <c r="Z52" s="195" t="str">
        <f>SBDP3!AT51</f>
        <v>Anak 47 sangat baik  dalam mengetahui gambar dan bentuk tiga dimensi.</v>
      </c>
      <c r="AA52" s="196">
        <f>PJOK3!AV51</f>
        <v>93</v>
      </c>
      <c r="AB52" s="196" t="str">
        <f>PJOK3!AW51</f>
        <v>A</v>
      </c>
      <c r="AC52" s="195" t="str">
        <f>PJOK3!BB51</f>
        <v>Anak 47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52" s="196">
        <f>'MLK1-3'!AT51</f>
        <v>87</v>
      </c>
      <c r="AE52" s="196" t="str">
        <f>'MLK1-3'!AU51</f>
        <v>B</v>
      </c>
      <c r="AF52" s="197" t="str">
        <f>'MLK1-3'!AZ51</f>
        <v>Anak 47 baik  dalam mengenal dan memahmi teks tembang dolanan, dan  baik  dalam mengenal dan memahami sandhangan aksara Jawa.</v>
      </c>
      <c r="AG52" s="196">
        <f>'MLK2-3'!AP51</f>
        <v>90</v>
      </c>
      <c r="AH52" s="196" t="str">
        <f>'MLK2-3'!AQ51</f>
        <v>B</v>
      </c>
      <c r="AI52" s="195" t="str">
        <f>'MLK2-3'!AV51</f>
        <v>Anak 47 sangat baik  dalam mengenal dan mengidentifikasi benda-benda di dapur dan nama-nama bunga, dan  baik  dalam memahami penggunaan kalimat yang menunjukkan letak suatu tempat</v>
      </c>
      <c r="AJ52" s="196">
        <f>'MLK3-3'!AP51</f>
        <v>84</v>
      </c>
      <c r="AK52" s="196" t="str">
        <f>'MLK3-3'!AQ51</f>
        <v>B</v>
      </c>
      <c r="AL52" s="197" t="str">
        <f>'MLK3-3'!AV51</f>
        <v>Anak 47 baik  dalam mengenal dan memahami penggunaan microsoft  word.</v>
      </c>
      <c r="AM52" s="196" t="e">
        <f>'PAI4'!CI52</f>
        <v>#DIV/0!</v>
      </c>
      <c r="AN52" s="196" t="e">
        <f>'PAI4'!CJ52</f>
        <v>#DIV/0!</v>
      </c>
      <c r="AO52" s="197" t="str">
        <f>'PAI4'!CO52</f>
        <v xml:space="preserve"> </v>
      </c>
      <c r="AP52" s="196" t="e">
        <f>'PKN4'!AD51</f>
        <v>#DIV/0!</v>
      </c>
      <c r="AQ52" s="196" t="e">
        <f>'PKN4'!AE51</f>
        <v>#DIV/0!</v>
      </c>
      <c r="AR52" s="195" t="str">
        <f>'PKN4'!AJ51</f>
        <v xml:space="preserve"> </v>
      </c>
      <c r="AS52" s="196" t="e">
        <f>BIND4!AP51</f>
        <v>#DIV/0!</v>
      </c>
      <c r="AT52" s="196" t="e">
        <f>BIND4!AQ51</f>
        <v>#DIV/0!</v>
      </c>
      <c r="AU52" s="195" t="str">
        <f>BIND4!AV51</f>
        <v xml:space="preserve"> </v>
      </c>
      <c r="AV52" s="196" t="e">
        <f>'MTK4'!AP51</f>
        <v>#DIV/0!</v>
      </c>
      <c r="AW52" s="196" t="e">
        <f>'MTK4'!AQ51</f>
        <v>#DIV/0!</v>
      </c>
      <c r="AX52" s="195" t="str">
        <f>'MTK4'!AV51</f>
        <v xml:space="preserve"> </v>
      </c>
      <c r="AY52" s="196" t="e">
        <f>'IPA4'!AJ51</f>
        <v>#DIV/0!</v>
      </c>
      <c r="AZ52" s="196" t="e">
        <f>'IPA4'!AK51</f>
        <v>#DIV/0!</v>
      </c>
      <c r="BA52" s="195" t="str">
        <f>'IPA4'!AP51</f>
        <v xml:space="preserve"> </v>
      </c>
      <c r="BB52" s="196" t="e">
        <f>'IPS4'!AG51</f>
        <v>#DIV/0!</v>
      </c>
      <c r="BC52" s="196" t="e">
        <f>'IPS4'!AH51</f>
        <v>#DIV/0!</v>
      </c>
      <c r="BD52" s="195" t="str">
        <f>'IPS4'!AM51</f>
        <v xml:space="preserve"> </v>
      </c>
      <c r="BE52" s="196" t="e">
        <f>SBDP4!AG51</f>
        <v>#DIV/0!</v>
      </c>
      <c r="BF52" s="196" t="e">
        <f>SBDP4!AH51</f>
        <v>#DIV/0!</v>
      </c>
      <c r="BG52" s="195" t="str">
        <f>SBDP4!AM51</f>
        <v xml:space="preserve"> </v>
      </c>
      <c r="BH52" s="196" t="e">
        <f>PJOK4!AJ51</f>
        <v>#DIV/0!</v>
      </c>
      <c r="BI52" s="196" t="e">
        <f>PJOK4!AK51</f>
        <v>#DIV/0!</v>
      </c>
      <c r="BJ52" s="197" t="str">
        <f>PJOK4!AP51</f>
        <v xml:space="preserve"> </v>
      </c>
      <c r="BK52" s="196" t="e">
        <f>'MLK1-4'!AG51</f>
        <v>#DIV/0!</v>
      </c>
      <c r="BL52" s="196" t="e">
        <f>'MLK1-4'!AH51</f>
        <v>#DIV/0!</v>
      </c>
      <c r="BM52" s="195" t="str">
        <f>'MLK1-4'!AM51</f>
        <v xml:space="preserve"> </v>
      </c>
      <c r="BN52" s="196" t="e">
        <f>'MLK2-4'!AG51</f>
        <v>#DIV/0!</v>
      </c>
      <c r="BO52" s="196" t="e">
        <f>'MLK2-4'!AH51</f>
        <v>#DIV/0!</v>
      </c>
      <c r="BP52" s="195" t="str">
        <f>'MLK2-4'!AM51</f>
        <v xml:space="preserve"> </v>
      </c>
      <c r="BQ52" s="196" t="e">
        <f>'MLK3-4'!AG51</f>
        <v>#DIV/0!</v>
      </c>
      <c r="BR52" s="196" t="e">
        <f>'MLK3-4'!AH51</f>
        <v>#DIV/0!</v>
      </c>
      <c r="BS52" s="195" t="str">
        <f>'MLK3-4'!AM51</f>
        <v xml:space="preserve"> </v>
      </c>
    </row>
    <row r="53" spans="1:71" ht="108.75" customHeight="1">
      <c r="A53" s="191">
        <v>48</v>
      </c>
      <c r="B53" s="191">
        <f>SISWA!B53</f>
        <v>0</v>
      </c>
      <c r="C53" s="192" t="str">
        <f>SISWA!C53</f>
        <v>Anak 48</v>
      </c>
      <c r="D53" s="193" t="str">
        <f>SPIRIT!Q52</f>
        <v xml:space="preserve">Ananda Anak 48 baik dalam  ketaatan beribadah,  berperilaku syukur,  berdoa sebelum dan sesudah melakukan kegiatan,  toleransi dalam beribadah, </v>
      </c>
      <c r="E53" s="193" t="str">
        <f>SOSIAL!W52</f>
        <v xml:space="preserve">Ananda Anak 48 baik dalam sikap jujur, disiplin, tanggung jawab, santun, peduli, percaya diri, kerja sama, </v>
      </c>
      <c r="F53" s="194">
        <f>'PAI3'!DU53</f>
        <v>99</v>
      </c>
      <c r="G53" s="194" t="str">
        <f>'PAI3'!DV53</f>
        <v>A</v>
      </c>
      <c r="H53" s="195" t="str">
        <f>'PAI3'!EA53</f>
        <v>Anak 48 sangat baik  dalam memahami Q.S. al- Falaq dan Q.S. al- Fil dengan baik dan benar</v>
      </c>
      <c r="I53" s="194">
        <f>'PKN3'!AI52</f>
        <v>94</v>
      </c>
      <c r="J53" s="194" t="str">
        <f>'PKN3'!AJ52</f>
        <v>A</v>
      </c>
      <c r="K53" s="193" t="str">
        <f>'PKN3'!AO52</f>
        <v>Anak 48 sangat baik  dalam mengidentifikasi pelaksanaan kewajiban dan hak sebagai warga masyarakat dalam kehidupan sehari-hari., dan  sangat baik  dalam menjelaskan manfaat keberagaman karakteristik individu dalam kehidupan sehari-hari.</v>
      </c>
      <c r="L53" s="196">
        <f>BIND3!AU52</f>
        <v>96</v>
      </c>
      <c r="M53" s="196" t="str">
        <f>BIND3!AV52</f>
        <v>A</v>
      </c>
      <c r="N53" s="195" t="str">
        <f>BIND3!BA52</f>
        <v>Anak 48 sangat baik  dalam menggali pengetahuan baru yang terdapat pada teks nonfiksi., dan  baik  dalam menggali informasi dari seorang tokoh melalui wawancara menggunakan daftar pertanyaan.</v>
      </c>
      <c r="O53" s="196">
        <f>'MTK3'!BC52</f>
        <v>96</v>
      </c>
      <c r="P53" s="196" t="str">
        <f>'MTK3'!BD52</f>
        <v>A</v>
      </c>
      <c r="Q53" s="195" t="str">
        <f>'MTK3'!BI52</f>
        <v>Anak 48 sangat baik  dalam menjelaskan dan melakukan penaksiran dari jumlah, selisih, hasil kali, dan hasil bagi dua bilangan cacah maupun pecahan dan desimal, dan  baik  dalam menjelaskan berbagai bentuk pecahan (biasa, campuran, desimal, dan persen) dan hubungan di antaranya</v>
      </c>
      <c r="R53" s="196">
        <f>'IPA3'!AM52</f>
        <v>99</v>
      </c>
      <c r="S53" s="196" t="str">
        <f>'IPA3'!AN52</f>
        <v>A</v>
      </c>
      <c r="T53" s="195" t="str">
        <f>'IPA3'!AS52</f>
        <v>Anak 48 sangat baik  dalam membandingkan siklus hidup beberapa jenis makhluk hidup serta mengaitkan dengan upaya pelestariannya.</v>
      </c>
      <c r="U53" s="196">
        <f>'IPS3'!AN52</f>
        <v>99</v>
      </c>
      <c r="V53" s="196" t="str">
        <f>'IPS3'!AO52</f>
        <v>A</v>
      </c>
      <c r="W53" s="195" t="str">
        <f>'IPS3'!AT52</f>
        <v>Anak 48 sangat baik  dalam mengidentifikasi karakteristik ruang dan pemanfaatan sumberdaya alam untuk kesejahteraan masyarakat dari tingkatkota/kabupaten sampai tingkat provinsi.</v>
      </c>
      <c r="X53" s="196">
        <f>SBDP3!AN52</f>
        <v>99</v>
      </c>
      <c r="Y53" s="196" t="str">
        <f>SBDP3!AO52</f>
        <v>A</v>
      </c>
      <c r="Z53" s="195" t="str">
        <f>SBDP3!AT52</f>
        <v>Anak 48 sangat baik  dalam mengetahui gambar dan bentuk tiga dimensi.</v>
      </c>
      <c r="AA53" s="196">
        <f>PJOK3!AV52</f>
        <v>93</v>
      </c>
      <c r="AB53" s="196" t="str">
        <f>PJOK3!AW52</f>
        <v>A</v>
      </c>
      <c r="AC53" s="195" t="str">
        <f>PJOK3!BB52</f>
        <v>Anak 48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53" s="196">
        <f>'MLK1-3'!AT52</f>
        <v>88</v>
      </c>
      <c r="AE53" s="196" t="str">
        <f>'MLK1-3'!AU52</f>
        <v>B</v>
      </c>
      <c r="AF53" s="197" t="str">
        <f>'MLK1-3'!AZ52</f>
        <v>Anak 48 baik  dalam mengenal dan memahmi teks tembang dolanan, dan  baik  dalam mengenal dan memahami sandhangan aksara Jawa.</v>
      </c>
      <c r="AG53" s="196">
        <f>'MLK2-3'!AP52</f>
        <v>90</v>
      </c>
      <c r="AH53" s="196" t="str">
        <f>'MLK2-3'!AQ52</f>
        <v>B</v>
      </c>
      <c r="AI53" s="195" t="str">
        <f>'MLK2-3'!AV52</f>
        <v>Anak 48 sangat baik  dalam mengenal dan mengidentifikasi benda-benda di dapur dan nama-nama bunga, dan  baik  dalam memahami penggunaan kalimat yang menunjukkan letak suatu tempat</v>
      </c>
      <c r="AJ53" s="196">
        <f>'MLK3-3'!AP52</f>
        <v>84</v>
      </c>
      <c r="AK53" s="196" t="str">
        <f>'MLK3-3'!AQ52</f>
        <v>B</v>
      </c>
      <c r="AL53" s="197" t="str">
        <f>'MLK3-3'!AV52</f>
        <v>Anak 48 baik  dalam mengenal dan memahami penggunaan microsoft  word.</v>
      </c>
      <c r="AM53" s="196" t="e">
        <f>'PAI4'!CI53</f>
        <v>#DIV/0!</v>
      </c>
      <c r="AN53" s="196" t="e">
        <f>'PAI4'!CJ53</f>
        <v>#DIV/0!</v>
      </c>
      <c r="AO53" s="197" t="str">
        <f>'PAI4'!CO53</f>
        <v xml:space="preserve"> </v>
      </c>
      <c r="AP53" s="196" t="e">
        <f>'PKN4'!AD52</f>
        <v>#DIV/0!</v>
      </c>
      <c r="AQ53" s="196" t="e">
        <f>'PKN4'!AE52</f>
        <v>#DIV/0!</v>
      </c>
      <c r="AR53" s="195" t="str">
        <f>'PKN4'!AJ52</f>
        <v xml:space="preserve"> </v>
      </c>
      <c r="AS53" s="196" t="e">
        <f>BIND4!AP52</f>
        <v>#DIV/0!</v>
      </c>
      <c r="AT53" s="196" t="e">
        <f>BIND4!AQ52</f>
        <v>#DIV/0!</v>
      </c>
      <c r="AU53" s="195" t="str">
        <f>BIND4!AV52</f>
        <v xml:space="preserve"> </v>
      </c>
      <c r="AV53" s="196" t="e">
        <f>'MTK4'!AP52</f>
        <v>#DIV/0!</v>
      </c>
      <c r="AW53" s="196" t="e">
        <f>'MTK4'!AQ52</f>
        <v>#DIV/0!</v>
      </c>
      <c r="AX53" s="195" t="str">
        <f>'MTK4'!AV52</f>
        <v xml:space="preserve"> </v>
      </c>
      <c r="AY53" s="196" t="e">
        <f>'IPA4'!AJ52</f>
        <v>#DIV/0!</v>
      </c>
      <c r="AZ53" s="196" t="e">
        <f>'IPA4'!AK52</f>
        <v>#DIV/0!</v>
      </c>
      <c r="BA53" s="195" t="str">
        <f>'IPA4'!AP52</f>
        <v xml:space="preserve"> </v>
      </c>
      <c r="BB53" s="196" t="e">
        <f>'IPS4'!AG52</f>
        <v>#DIV/0!</v>
      </c>
      <c r="BC53" s="196" t="e">
        <f>'IPS4'!AH52</f>
        <v>#DIV/0!</v>
      </c>
      <c r="BD53" s="195" t="str">
        <f>'IPS4'!AM52</f>
        <v xml:space="preserve"> </v>
      </c>
      <c r="BE53" s="196" t="e">
        <f>SBDP4!AG52</f>
        <v>#DIV/0!</v>
      </c>
      <c r="BF53" s="196" t="e">
        <f>SBDP4!AH52</f>
        <v>#DIV/0!</v>
      </c>
      <c r="BG53" s="195" t="str">
        <f>SBDP4!AM52</f>
        <v xml:space="preserve"> </v>
      </c>
      <c r="BH53" s="196" t="e">
        <f>PJOK4!AJ52</f>
        <v>#DIV/0!</v>
      </c>
      <c r="BI53" s="196" t="e">
        <f>PJOK4!AK52</f>
        <v>#DIV/0!</v>
      </c>
      <c r="BJ53" s="197" t="str">
        <f>PJOK4!AP52</f>
        <v xml:space="preserve"> </v>
      </c>
      <c r="BK53" s="196" t="e">
        <f>'MLK1-4'!AG52</f>
        <v>#DIV/0!</v>
      </c>
      <c r="BL53" s="196" t="e">
        <f>'MLK1-4'!AH52</f>
        <v>#DIV/0!</v>
      </c>
      <c r="BM53" s="195" t="str">
        <f>'MLK1-4'!AM52</f>
        <v xml:space="preserve"> </v>
      </c>
      <c r="BN53" s="196" t="e">
        <f>'MLK2-4'!AG52</f>
        <v>#DIV/0!</v>
      </c>
      <c r="BO53" s="196" t="e">
        <f>'MLK2-4'!AH52</f>
        <v>#DIV/0!</v>
      </c>
      <c r="BP53" s="195" t="str">
        <f>'MLK2-4'!AM52</f>
        <v xml:space="preserve"> </v>
      </c>
      <c r="BQ53" s="196" t="e">
        <f>'MLK3-4'!AG52</f>
        <v>#DIV/0!</v>
      </c>
      <c r="BR53" s="196" t="e">
        <f>'MLK3-4'!AH52</f>
        <v>#DIV/0!</v>
      </c>
      <c r="BS53" s="195" t="str">
        <f>'MLK3-4'!AM52</f>
        <v xml:space="preserve"> </v>
      </c>
    </row>
    <row r="54" spans="1:71" ht="108.75" customHeight="1">
      <c r="A54" s="191">
        <v>49</v>
      </c>
      <c r="B54" s="191">
        <f>SISWA!B54</f>
        <v>0</v>
      </c>
      <c r="C54" s="192" t="str">
        <f>SISWA!C54</f>
        <v>Anak 49</v>
      </c>
      <c r="D54" s="193" t="str">
        <f>SPIRIT!Q53</f>
        <v xml:space="preserve">Ananda Anak 49 baik dalam  ketaatan beribadah,  berperilaku syukur,  berdoa sebelum dan sesudah melakukan kegiatan,  toleransi dalam beribadah, </v>
      </c>
      <c r="E54" s="193" t="str">
        <f>SOSIAL!W53</f>
        <v xml:space="preserve">Ananda Anak 49 baik dalam sikap jujur, disiplin, tanggung jawab, santun, peduli, percaya diri, kerja sama, </v>
      </c>
      <c r="F54" s="194">
        <f>'PAI3'!DU54</f>
        <v>99</v>
      </c>
      <c r="G54" s="194" t="str">
        <f>'PAI3'!DV54</f>
        <v>A</v>
      </c>
      <c r="H54" s="195" t="str">
        <f>'PAI3'!EA54</f>
        <v>Anak 49 sangat baik  dalam memahami Q.S. al- Falaq dan Q.S. al- Fil dengan baik dan benar</v>
      </c>
      <c r="I54" s="194">
        <f>'PKN3'!AI53</f>
        <v>96</v>
      </c>
      <c r="J54" s="194" t="str">
        <f>'PKN3'!AJ53</f>
        <v>A</v>
      </c>
      <c r="K54" s="193" t="str">
        <f>'PKN3'!AO53</f>
        <v>Anak 49 sangat baik  dalam mengidentifikasi pelaksanaan kewajiban dan hak sebagai warga masyarakat dalam kehidupan sehari-hari., dan  sangat baik  dalam mengidentifikasi berbagai bentuk keragaman suku bangsa, sosial, dan budaya di Indonesia yang terikat persatuan dan kesatuan.</v>
      </c>
      <c r="L54" s="196">
        <f>BIND3!AU53</f>
        <v>97</v>
      </c>
      <c r="M54" s="196" t="str">
        <f>BIND3!AV53</f>
        <v>A</v>
      </c>
      <c r="N54" s="195" t="str">
        <f>BIND3!BA53</f>
        <v>Anak 49 sangat baik  dalam menggali pengetahuan baru yang terdapat pada teks nonfiksi., dan  sangat baik  dalam menggali isi dan amanat puisi yang disajikan secara lisan dan tulis dengan tujuan untuk kesenangan.</v>
      </c>
      <c r="O54" s="196">
        <f>'MTK3'!BC53</f>
        <v>98</v>
      </c>
      <c r="P54" s="196" t="str">
        <f>'MTK3'!BD53</f>
        <v>A</v>
      </c>
      <c r="Q54" s="195" t="str">
        <f>'MTK3'!BI53</f>
        <v>Anak 49 sangat baik  dalam menjelaskan dan melakukan penaksiran dari jumlah, selisih, hasil kali, dan hasil bagi dua bilangan cacah maupun pecahan dan desimal, dan  sangat baik  dalam menjelaskan berbagai bentuk pecahan (biasa, campuran, desimal, dan persen) dan hubungan di antaranya</v>
      </c>
      <c r="R54" s="196">
        <f>'IPA3'!AM53</f>
        <v>99</v>
      </c>
      <c r="S54" s="196" t="str">
        <f>'IPA3'!AN53</f>
        <v>A</v>
      </c>
      <c r="T54" s="195" t="str">
        <f>'IPA3'!AS53</f>
        <v>Anak 49 sangat baik  dalam membandingkan siklus hidup beberapa jenis makhluk hidup serta mengaitkan dengan upaya pelestariannya.</v>
      </c>
      <c r="U54" s="196">
        <f>'IPS3'!AN53</f>
        <v>99</v>
      </c>
      <c r="V54" s="196" t="str">
        <f>'IPS3'!AO53</f>
        <v>A</v>
      </c>
      <c r="W54" s="195" t="str">
        <f>'IPS3'!AT53</f>
        <v>Anak 49 sangat baik  dalam mengidentifikasi karakteristik ruang dan pemanfaatan sumberdaya alam untuk kesejahteraan masyarakat dari tingkatkota/kabupaten sampai tingkat provinsi.</v>
      </c>
      <c r="X54" s="196">
        <f>SBDP3!AN53</f>
        <v>99</v>
      </c>
      <c r="Y54" s="196" t="str">
        <f>SBDP3!AO53</f>
        <v>A</v>
      </c>
      <c r="Z54" s="195" t="str">
        <f>SBDP3!AT53</f>
        <v>Anak 49 sangat baik  dalam mengetahui gambar dan bentuk tiga dimensi.</v>
      </c>
      <c r="AA54" s="196">
        <f>PJOK3!AV53</f>
        <v>96</v>
      </c>
      <c r="AB54" s="196" t="str">
        <f>PJOK3!AW53</f>
        <v>A</v>
      </c>
      <c r="AC54" s="195" t="str">
        <f>PJOK3!BB53</f>
        <v>Anak 49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54" s="196">
        <f>'MLK1-3'!AT53</f>
        <v>93</v>
      </c>
      <c r="AE54" s="196" t="str">
        <f>'MLK1-3'!AU53</f>
        <v>A</v>
      </c>
      <c r="AF54" s="197" t="str">
        <f>'MLK1-3'!AZ53</f>
        <v>Anak 49 sangat baik  dalam mengenal dan memahmi teks tembang dolanan, dan  sangat baik  dalam mengenal dan memahami sandhangan aksara Jawa.</v>
      </c>
      <c r="AG54" s="196">
        <f>'MLK2-3'!AP53</f>
        <v>95</v>
      </c>
      <c r="AH54" s="196" t="str">
        <f>'MLK2-3'!AQ53</f>
        <v>A</v>
      </c>
      <c r="AI54" s="195" t="str">
        <f>'MLK2-3'!AV53</f>
        <v>Anak 49 sangat baik  dalam mengenal dan mengidentifikasi benda-benda di dapur dan nama-nama bunga, dan  sangat baik  dalam memahami penggunaan kalimat yang menunjukkan letak suatu tempat</v>
      </c>
      <c r="AJ54" s="196">
        <f>'MLK3-3'!AP53</f>
        <v>91</v>
      </c>
      <c r="AK54" s="196" t="str">
        <f>'MLK3-3'!AQ53</f>
        <v>A</v>
      </c>
      <c r="AL54" s="197" t="str">
        <f>'MLK3-3'!AV53</f>
        <v>Anak 49 sangat baik  dalam mengenal dan memahami penggunaan microsoft  word., dan  baik  dalam memahami pembuatan dokumen di microsoft  word</v>
      </c>
      <c r="AM54" s="196" t="e">
        <f>'PAI4'!CI54</f>
        <v>#DIV/0!</v>
      </c>
      <c r="AN54" s="196" t="e">
        <f>'PAI4'!CJ54</f>
        <v>#DIV/0!</v>
      </c>
      <c r="AO54" s="197" t="str">
        <f>'PAI4'!CO54</f>
        <v xml:space="preserve"> </v>
      </c>
      <c r="AP54" s="196" t="e">
        <f>'PKN4'!AD53</f>
        <v>#DIV/0!</v>
      </c>
      <c r="AQ54" s="196" t="e">
        <f>'PKN4'!AE53</f>
        <v>#DIV/0!</v>
      </c>
      <c r="AR54" s="195" t="str">
        <f>'PKN4'!AJ53</f>
        <v xml:space="preserve"> </v>
      </c>
      <c r="AS54" s="196" t="e">
        <f>BIND4!AP53</f>
        <v>#DIV/0!</v>
      </c>
      <c r="AT54" s="196" t="e">
        <f>BIND4!AQ53</f>
        <v>#DIV/0!</v>
      </c>
      <c r="AU54" s="195" t="str">
        <f>BIND4!AV53</f>
        <v xml:space="preserve"> </v>
      </c>
      <c r="AV54" s="196" t="e">
        <f>'MTK4'!AP53</f>
        <v>#DIV/0!</v>
      </c>
      <c r="AW54" s="196" t="e">
        <f>'MTK4'!AQ53</f>
        <v>#DIV/0!</v>
      </c>
      <c r="AX54" s="195" t="str">
        <f>'MTK4'!AV53</f>
        <v xml:space="preserve"> </v>
      </c>
      <c r="AY54" s="196" t="e">
        <f>'IPA4'!AJ53</f>
        <v>#DIV/0!</v>
      </c>
      <c r="AZ54" s="196" t="e">
        <f>'IPA4'!AK53</f>
        <v>#DIV/0!</v>
      </c>
      <c r="BA54" s="195" t="str">
        <f>'IPA4'!AP53</f>
        <v xml:space="preserve"> </v>
      </c>
      <c r="BB54" s="196" t="e">
        <f>'IPS4'!AG53</f>
        <v>#DIV/0!</v>
      </c>
      <c r="BC54" s="196" t="e">
        <f>'IPS4'!AH53</f>
        <v>#DIV/0!</v>
      </c>
      <c r="BD54" s="195" t="str">
        <f>'IPS4'!AM53</f>
        <v xml:space="preserve"> </v>
      </c>
      <c r="BE54" s="196" t="e">
        <f>SBDP4!AG53</f>
        <v>#DIV/0!</v>
      </c>
      <c r="BF54" s="196" t="e">
        <f>SBDP4!AH53</f>
        <v>#DIV/0!</v>
      </c>
      <c r="BG54" s="195" t="str">
        <f>SBDP4!AM53</f>
        <v xml:space="preserve"> </v>
      </c>
      <c r="BH54" s="196" t="e">
        <f>PJOK4!AJ53</f>
        <v>#DIV/0!</v>
      </c>
      <c r="BI54" s="196" t="e">
        <f>PJOK4!AK53</f>
        <v>#DIV/0!</v>
      </c>
      <c r="BJ54" s="197" t="str">
        <f>PJOK4!AP53</f>
        <v xml:space="preserve"> </v>
      </c>
      <c r="BK54" s="196" t="e">
        <f>'MLK1-4'!AG53</f>
        <v>#DIV/0!</v>
      </c>
      <c r="BL54" s="196" t="e">
        <f>'MLK1-4'!AH53</f>
        <v>#DIV/0!</v>
      </c>
      <c r="BM54" s="195" t="str">
        <f>'MLK1-4'!AM53</f>
        <v xml:space="preserve"> </v>
      </c>
      <c r="BN54" s="196" t="e">
        <f>'MLK2-4'!AG53</f>
        <v>#DIV/0!</v>
      </c>
      <c r="BO54" s="196" t="e">
        <f>'MLK2-4'!AH53</f>
        <v>#DIV/0!</v>
      </c>
      <c r="BP54" s="195" t="str">
        <f>'MLK2-4'!AM53</f>
        <v xml:space="preserve"> </v>
      </c>
      <c r="BQ54" s="196" t="e">
        <f>'MLK3-4'!AG53</f>
        <v>#DIV/0!</v>
      </c>
      <c r="BR54" s="196" t="e">
        <f>'MLK3-4'!AH53</f>
        <v>#DIV/0!</v>
      </c>
      <c r="BS54" s="195" t="str">
        <f>'MLK3-4'!AM53</f>
        <v xml:space="preserve"> </v>
      </c>
    </row>
    <row r="55" spans="1:71" ht="108.75" customHeight="1">
      <c r="A55" s="191">
        <v>50</v>
      </c>
      <c r="B55" s="191">
        <f>SISWA!B55</f>
        <v>0</v>
      </c>
      <c r="C55" s="192" t="str">
        <f>SISWA!C55</f>
        <v>Anak 50</v>
      </c>
      <c r="D55" s="193" t="str">
        <f>SPIRIT!Q54</f>
        <v xml:space="preserve">Ananda Anak 50 baik dalam  ketaatan beribadah,  berperilaku syukur,  berdoa sebelum dan sesudah melakukan kegiatan,  toleransi dalam beribadah, </v>
      </c>
      <c r="E55" s="193" t="str">
        <f>SOSIAL!W54</f>
        <v xml:space="preserve">Ananda Anak 50 baik dalam sikap jujur, disiplin, tanggung jawab, santun, peduli, percaya diri, kerja sama, </v>
      </c>
      <c r="F55" s="194">
        <f>'PAI3'!DU55</f>
        <v>99</v>
      </c>
      <c r="G55" s="194" t="str">
        <f>'PAI3'!DV55</f>
        <v>A</v>
      </c>
      <c r="H55" s="195" t="str">
        <f>'PAI3'!EA55</f>
        <v>Anak 50 sangat baik  dalam memahami Q.S. al- Falaq dan Q.S. al- Fil dengan baik dan benar</v>
      </c>
      <c r="I55" s="194">
        <f>'PKN3'!AI54</f>
        <v>96</v>
      </c>
      <c r="J55" s="194" t="str">
        <f>'PKN3'!AJ54</f>
        <v>A</v>
      </c>
      <c r="K55" s="193" t="str">
        <f>'PKN3'!AO54</f>
        <v>Anak 50 sangat baik  dalam mengidentifikasi pelaksanaan kewajiban dan hak sebagai warga masyarakat dalam kehidupan sehari-hari., dan  sangat baik  dalam mengidentifikasi berbagai bentuk keragaman suku bangsa, sosial, dan budaya di Indonesia yang terikat persatuan dan kesatuan.</v>
      </c>
      <c r="L55" s="196">
        <f>BIND3!AU54</f>
        <v>97</v>
      </c>
      <c r="M55" s="196" t="str">
        <f>BIND3!AV54</f>
        <v>A</v>
      </c>
      <c r="N55" s="195" t="str">
        <f>BIND3!BA54</f>
        <v>Anak 50 sangat baik  dalam menggali pengetahuan baru yang terdapat pada teks nonfiksi., dan  sangat baik  dalam menggali isi dan amanat puisi yang disajikan secara lisan dan tulis dengan tujuan untuk kesenangan.</v>
      </c>
      <c r="O55" s="196">
        <f>'MTK3'!BC54</f>
        <v>97</v>
      </c>
      <c r="P55" s="196" t="str">
        <f>'MTK3'!BD54</f>
        <v>A</v>
      </c>
      <c r="Q55" s="195" t="str">
        <f>'MTK3'!BI54</f>
        <v>Anak 50 sangat baik  dalam menjelaskan dan melakukan penaksiran dari jumlah, selisih, hasil kali, dan hasil bagi dua bilangan cacah maupun pecahan dan desimal, dan  baik  dalam menjelaskan berbagai bentuk pecahan (biasa, campuran, desimal, dan persen) dan hubungan di antaranya</v>
      </c>
      <c r="R55" s="196">
        <f>'IPA3'!AM54</f>
        <v>99</v>
      </c>
      <c r="S55" s="196" t="str">
        <f>'IPA3'!AN54</f>
        <v>A</v>
      </c>
      <c r="T55" s="195" t="str">
        <f>'IPA3'!AS54</f>
        <v>Anak 50 sangat baik  dalam membandingkan siklus hidup beberapa jenis makhluk hidup serta mengaitkan dengan upaya pelestariannya.</v>
      </c>
      <c r="U55" s="196">
        <f>'IPS3'!AN54</f>
        <v>99</v>
      </c>
      <c r="V55" s="196" t="str">
        <f>'IPS3'!AO54</f>
        <v>A</v>
      </c>
      <c r="W55" s="195" t="str">
        <f>'IPS3'!AT54</f>
        <v>Anak 50 sangat baik  dalam mengidentifikasi karakteristik ruang dan pemanfaatan sumberdaya alam untuk kesejahteraan masyarakat dari tingkatkota/kabupaten sampai tingkat provinsi.</v>
      </c>
      <c r="X55" s="196">
        <f>SBDP3!AN54</f>
        <v>99</v>
      </c>
      <c r="Y55" s="196" t="str">
        <f>SBDP3!AO54</f>
        <v>A</v>
      </c>
      <c r="Z55" s="195" t="str">
        <f>SBDP3!AT54</f>
        <v>Anak 50 sangat baik  dalam mengetahui gambar dan bentuk tiga dimensi.</v>
      </c>
      <c r="AA55" s="196">
        <f>PJOK3!AV54</f>
        <v>95</v>
      </c>
      <c r="AB55" s="196" t="str">
        <f>PJOK3!AW54</f>
        <v>A</v>
      </c>
      <c r="AC55" s="195" t="str">
        <f>PJOK3!BB54</f>
        <v>Anak 50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55" s="196">
        <f>'MLK1-3'!AT54</f>
        <v>91</v>
      </c>
      <c r="AE55" s="196" t="str">
        <f>'MLK1-3'!AU54</f>
        <v>A</v>
      </c>
      <c r="AF55" s="197" t="str">
        <f>'MLK1-3'!AZ54</f>
        <v>Anak 50 sangat baik  dalam mengenal dan memahmi teks tembang dolanan, dan  baik  dalam mengenal dan memahami sandhangan aksara Jawa.</v>
      </c>
      <c r="AG55" s="196">
        <f>'MLK2-3'!AP54</f>
        <v>93</v>
      </c>
      <c r="AH55" s="196" t="str">
        <f>'MLK2-3'!AQ54</f>
        <v>A</v>
      </c>
      <c r="AI55" s="195" t="str">
        <f>'MLK2-3'!AV54</f>
        <v>Anak 50 sangat baik  dalam mengenal dan mengidentifikasi benda-benda di dapur dan nama-nama bunga, dan  baik  dalam memahami penggunaan kalimat yang menunjukkan letak suatu tempat</v>
      </c>
      <c r="AJ55" s="196">
        <f>'MLK3-3'!AP54</f>
        <v>89</v>
      </c>
      <c r="AK55" s="196" t="str">
        <f>'MLK3-3'!AQ54</f>
        <v>B</v>
      </c>
      <c r="AL55" s="197" t="str">
        <f>'MLK3-3'!AV54</f>
        <v>Anak 50 sangat baik  dalam mengenal dan memahami penggunaan microsoft  word., dan  baik  dalam memahami pembuatan dokumen di microsoft  word</v>
      </c>
      <c r="AM55" s="196" t="e">
        <f>'PAI4'!CI55</f>
        <v>#DIV/0!</v>
      </c>
      <c r="AN55" s="196" t="e">
        <f>'PAI4'!CJ55</f>
        <v>#DIV/0!</v>
      </c>
      <c r="AO55" s="197" t="str">
        <f>'PAI4'!CO55</f>
        <v xml:space="preserve"> </v>
      </c>
      <c r="AP55" s="196" t="e">
        <f>'PKN4'!AD54</f>
        <v>#DIV/0!</v>
      </c>
      <c r="AQ55" s="196" t="e">
        <f>'PKN4'!AE54</f>
        <v>#DIV/0!</v>
      </c>
      <c r="AR55" s="195" t="str">
        <f>'PKN4'!AJ54</f>
        <v xml:space="preserve"> </v>
      </c>
      <c r="AS55" s="196" t="e">
        <f>BIND4!AP54</f>
        <v>#DIV/0!</v>
      </c>
      <c r="AT55" s="196" t="e">
        <f>BIND4!AQ54</f>
        <v>#DIV/0!</v>
      </c>
      <c r="AU55" s="195" t="str">
        <f>BIND4!AV54</f>
        <v xml:space="preserve"> </v>
      </c>
      <c r="AV55" s="196" t="e">
        <f>'MTK4'!AP54</f>
        <v>#DIV/0!</v>
      </c>
      <c r="AW55" s="196" t="e">
        <f>'MTK4'!AQ54</f>
        <v>#DIV/0!</v>
      </c>
      <c r="AX55" s="195" t="str">
        <f>'MTK4'!AV54</f>
        <v xml:space="preserve"> </v>
      </c>
      <c r="AY55" s="196" t="e">
        <f>'IPA4'!AJ54</f>
        <v>#DIV/0!</v>
      </c>
      <c r="AZ55" s="196" t="e">
        <f>'IPA4'!AK54</f>
        <v>#DIV/0!</v>
      </c>
      <c r="BA55" s="195" t="str">
        <f>'IPA4'!AP54</f>
        <v xml:space="preserve"> </v>
      </c>
      <c r="BB55" s="196" t="e">
        <f>'IPS4'!AG54</f>
        <v>#DIV/0!</v>
      </c>
      <c r="BC55" s="196" t="e">
        <f>'IPS4'!AH54</f>
        <v>#DIV/0!</v>
      </c>
      <c r="BD55" s="195" t="str">
        <f>'IPS4'!AM54</f>
        <v xml:space="preserve"> </v>
      </c>
      <c r="BE55" s="196" t="e">
        <f>SBDP4!AG54</f>
        <v>#DIV/0!</v>
      </c>
      <c r="BF55" s="196" t="e">
        <f>SBDP4!AH54</f>
        <v>#DIV/0!</v>
      </c>
      <c r="BG55" s="195" t="str">
        <f>SBDP4!AM54</f>
        <v xml:space="preserve"> </v>
      </c>
      <c r="BH55" s="196" t="e">
        <f>PJOK4!AJ54</f>
        <v>#DIV/0!</v>
      </c>
      <c r="BI55" s="196" t="e">
        <f>PJOK4!AK54</f>
        <v>#DIV/0!</v>
      </c>
      <c r="BJ55" s="197" t="str">
        <f>PJOK4!AP54</f>
        <v xml:space="preserve"> </v>
      </c>
      <c r="BK55" s="196" t="e">
        <f>'MLK1-4'!AG54</f>
        <v>#DIV/0!</v>
      </c>
      <c r="BL55" s="196" t="e">
        <f>'MLK1-4'!AH54</f>
        <v>#DIV/0!</v>
      </c>
      <c r="BM55" s="195" t="str">
        <f>'MLK1-4'!AM54</f>
        <v xml:space="preserve"> </v>
      </c>
      <c r="BN55" s="196" t="e">
        <f>'MLK2-4'!AG54</f>
        <v>#DIV/0!</v>
      </c>
      <c r="BO55" s="196" t="e">
        <f>'MLK2-4'!AH54</f>
        <v>#DIV/0!</v>
      </c>
      <c r="BP55" s="195" t="str">
        <f>'MLK2-4'!AM54</f>
        <v xml:space="preserve"> </v>
      </c>
      <c r="BQ55" s="196" t="e">
        <f>'MLK3-4'!AG54</f>
        <v>#DIV/0!</v>
      </c>
      <c r="BR55" s="196" t="e">
        <f>'MLK3-4'!AH54</f>
        <v>#DIV/0!</v>
      </c>
      <c r="BS55" s="195" t="str">
        <f>'MLK3-4'!AM54</f>
        <v xml:space="preserve"> </v>
      </c>
    </row>
  </sheetData>
  <sheetProtection algorithmName="SHA-512" hashValue="3IifRyiYEjLZyDYkogQyiEWNdOr8fw1HZOx7B+FUGG0R4F0tv1y3/AR7LgEmZ6OHdV4n+8V5LNijg46On624BA==" saltValue="5EuPQ1/GPlnIMZ1wapl8Fg==" spinCount="100000" sheet="1" objects="1" scenarios="1"/>
  <mergeCells count="30">
    <mergeCell ref="A1:AL1"/>
    <mergeCell ref="F2:AL2"/>
    <mergeCell ref="AM2:BS2"/>
    <mergeCell ref="A3:A4"/>
    <mergeCell ref="B3:B4"/>
    <mergeCell ref="C3:C4"/>
    <mergeCell ref="D3:D4"/>
    <mergeCell ref="E3:E4"/>
    <mergeCell ref="F3:H3"/>
    <mergeCell ref="I3:K3"/>
    <mergeCell ref="L3:N3"/>
    <mergeCell ref="O3:Q3"/>
    <mergeCell ref="X3:Z3"/>
    <mergeCell ref="AA3:AC3"/>
    <mergeCell ref="AD3:AF3"/>
    <mergeCell ref="R3:T3"/>
    <mergeCell ref="U3:W3"/>
    <mergeCell ref="AY3:BA3"/>
    <mergeCell ref="BB3:BD3"/>
    <mergeCell ref="BQ3:BS3"/>
    <mergeCell ref="AJ3:AL3"/>
    <mergeCell ref="AM3:AO3"/>
    <mergeCell ref="AP3:AR3"/>
    <mergeCell ref="AS3:AU3"/>
    <mergeCell ref="AV3:AX3"/>
    <mergeCell ref="BE3:BG3"/>
    <mergeCell ref="BH3:BJ3"/>
    <mergeCell ref="BK3:BM3"/>
    <mergeCell ref="BN3:BP3"/>
    <mergeCell ref="AG3:AI3"/>
  </mergeCells>
  <pageMargins left="0.7" right="0.7" top="0.75" bottom="0.75" header="0.3" footer="0.3"/>
  <pageSetup paperSize="256" orientation="portrait" horizontalDpi="4294967293" verticalDpi="0"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BZ56"/>
  <sheetViews>
    <sheetView zoomScale="70" zoomScaleNormal="70" workbookViewId="0">
      <pane xSplit="5" ySplit="5" topLeftCell="F6" activePane="bottomRight" state="frozen"/>
      <selection pane="topRight" activeCell="F1" sqref="F1"/>
      <selection pane="bottomLeft" activeCell="A6" sqref="A6"/>
      <selection pane="bottomRight" activeCell="C12" sqref="C12"/>
    </sheetView>
  </sheetViews>
  <sheetFormatPr defaultColWidth="0" defaultRowHeight="15" zeroHeight="1"/>
  <cols>
    <col min="1" max="1" width="4.85546875" style="104" customWidth="1"/>
    <col min="2" max="2" width="9.140625" style="405" customWidth="1"/>
    <col min="3" max="3" width="31" style="104" customWidth="1"/>
    <col min="4" max="4" width="23.140625" style="104" hidden="1" customWidth="1"/>
    <col min="5" max="5" width="20.140625" style="104" hidden="1" customWidth="1"/>
    <col min="6" max="6" width="4.28515625" style="104" customWidth="1"/>
    <col min="7" max="7" width="4.7109375" style="104" customWidth="1"/>
    <col min="8" max="8" width="20.140625" style="104" hidden="1" customWidth="1"/>
    <col min="9" max="10" width="4.7109375" style="104" customWidth="1"/>
    <col min="11" max="11" width="16.7109375" style="104" hidden="1" customWidth="1"/>
    <col min="12" max="13" width="4.7109375" style="104" customWidth="1"/>
    <col min="14" max="14" width="16.7109375" style="104" hidden="1" customWidth="1"/>
    <col min="15" max="16" width="4.7109375" style="104" customWidth="1"/>
    <col min="17" max="17" width="16.7109375" style="104" hidden="1" customWidth="1"/>
    <col min="18" max="19" width="4.5703125" style="104" customWidth="1"/>
    <col min="20" max="20" width="16.7109375" style="104" hidden="1" customWidth="1"/>
    <col min="21" max="22" width="5" style="104" customWidth="1"/>
    <col min="23" max="23" width="16.7109375" style="104" hidden="1" customWidth="1"/>
    <col min="24" max="25" width="4.7109375" style="104" customWidth="1"/>
    <col min="26" max="26" width="16.7109375" style="104" hidden="1" customWidth="1"/>
    <col min="27" max="28" width="4.7109375" style="104" customWidth="1"/>
    <col min="29" max="29" width="16.7109375" style="104" hidden="1" customWidth="1"/>
    <col min="30" max="31" width="4.7109375" style="104" customWidth="1"/>
    <col min="32" max="32" width="16.7109375" style="104" hidden="1" customWidth="1"/>
    <col min="33" max="34" width="4.7109375" style="104" customWidth="1"/>
    <col min="35" max="35" width="16.7109375" style="104" hidden="1" customWidth="1"/>
    <col min="36" max="37" width="4.7109375" style="104" customWidth="1"/>
    <col min="38" max="38" width="16.7109375" style="104" hidden="1" customWidth="1"/>
    <col min="39" max="39" width="5.7109375" style="104" customWidth="1"/>
    <col min="40" max="40" width="4.7109375" style="104" customWidth="1"/>
    <col min="41" max="41" width="16.7109375" style="104" hidden="1" customWidth="1"/>
    <col min="42" max="43" width="4.7109375" style="104" customWidth="1"/>
    <col min="44" max="44" width="16.7109375" style="104" hidden="1" customWidth="1"/>
    <col min="45" max="46" width="4.7109375" style="104" customWidth="1"/>
    <col min="47" max="47" width="16.7109375" style="104" hidden="1" customWidth="1"/>
    <col min="48" max="49" width="4.7109375" style="104" customWidth="1"/>
    <col min="50" max="50" width="16.7109375" style="104" hidden="1" customWidth="1"/>
    <col min="51" max="52" width="6" style="104" customWidth="1"/>
    <col min="53" max="53" width="16.7109375" style="104" hidden="1" customWidth="1"/>
    <col min="54" max="55" width="4.5703125" style="104" customWidth="1"/>
    <col min="56" max="56" width="16.7109375" style="104" hidden="1" customWidth="1"/>
    <col min="57" max="57" width="5" style="104" customWidth="1"/>
    <col min="58" max="58" width="4.7109375" style="104" customWidth="1"/>
    <col min="59" max="59" width="16.7109375" style="104" hidden="1" customWidth="1"/>
    <col min="60" max="61" width="4.7109375" style="104" customWidth="1"/>
    <col min="62" max="62" width="16.7109375" style="104" hidden="1" customWidth="1"/>
    <col min="63" max="64" width="4.7109375" style="104" customWidth="1"/>
    <col min="65" max="65" width="16.7109375" style="104" hidden="1" customWidth="1"/>
    <col min="66" max="67" width="4.7109375" style="104" customWidth="1"/>
    <col min="68" max="68" width="16.7109375" style="104" hidden="1" customWidth="1"/>
    <col min="69" max="70" width="4.7109375" style="104" customWidth="1"/>
    <col min="71" max="71" width="16.7109375" style="104" hidden="1" customWidth="1"/>
    <col min="72" max="72" width="8" style="104" customWidth="1"/>
    <col min="73" max="73" width="12.85546875" style="104" hidden="1" customWidth="1"/>
    <col min="74" max="75" width="9.140625" style="104" customWidth="1"/>
    <col min="76" max="76" width="0" style="104" hidden="1" customWidth="1"/>
    <col min="77" max="78" width="9.140625" style="104" customWidth="1"/>
    <col min="79" max="16384" width="9.140625" style="104" hidden="1"/>
  </cols>
  <sheetData>
    <row r="1" spans="1:76" ht="42.75" customHeight="1">
      <c r="A1" s="1216" t="s">
        <v>459</v>
      </c>
      <c r="B1" s="1216"/>
      <c r="C1" s="1216"/>
      <c r="D1" s="1216"/>
      <c r="E1" s="1216"/>
      <c r="F1" s="1216"/>
      <c r="G1" s="1216"/>
      <c r="H1" s="1216"/>
      <c r="I1" s="1216"/>
      <c r="J1" s="1216"/>
      <c r="K1" s="1216"/>
      <c r="L1" s="1216"/>
      <c r="M1" s="1216"/>
      <c r="N1" s="1216"/>
      <c r="O1" s="1216"/>
      <c r="P1" s="1216"/>
      <c r="Q1" s="1216"/>
      <c r="R1" s="1216"/>
      <c r="S1" s="1216"/>
      <c r="T1" s="1216"/>
      <c r="U1" s="1216"/>
      <c r="V1" s="1216"/>
      <c r="W1" s="1216"/>
      <c r="X1" s="1216"/>
      <c r="Y1" s="1216"/>
      <c r="Z1" s="1216"/>
      <c r="AA1" s="1216"/>
      <c r="AB1" s="1216"/>
      <c r="AC1" s="1216"/>
      <c r="AD1" s="1216"/>
      <c r="AE1" s="1216"/>
      <c r="AF1" s="1216"/>
      <c r="AG1" s="1216"/>
      <c r="AH1" s="1216"/>
      <c r="AI1" s="1216"/>
      <c r="AJ1" s="1216"/>
      <c r="AK1" s="1216"/>
      <c r="AL1" s="1216"/>
    </row>
    <row r="2" spans="1:76" ht="23.25">
      <c r="F2" s="1217" t="s">
        <v>165</v>
      </c>
      <c r="G2" s="1217"/>
      <c r="H2" s="1217"/>
      <c r="I2" s="1217"/>
      <c r="J2" s="1217"/>
      <c r="K2" s="1217"/>
      <c r="L2" s="1217"/>
      <c r="M2" s="1217"/>
      <c r="N2" s="1217"/>
      <c r="O2" s="1217"/>
      <c r="P2" s="1217"/>
      <c r="Q2" s="1217"/>
      <c r="R2" s="1217"/>
      <c r="S2" s="1217"/>
      <c r="T2" s="1217"/>
      <c r="U2" s="1217"/>
      <c r="V2" s="1217"/>
      <c r="W2" s="1217"/>
      <c r="X2" s="1217"/>
      <c r="Y2" s="1217"/>
      <c r="Z2" s="1217"/>
      <c r="AA2" s="1217"/>
      <c r="AB2" s="1217"/>
      <c r="AC2" s="1217"/>
      <c r="AD2" s="1217"/>
      <c r="AE2" s="1217"/>
      <c r="AF2" s="1217"/>
      <c r="AG2" s="1217"/>
      <c r="AH2" s="1217"/>
      <c r="AI2" s="1217"/>
      <c r="AJ2" s="1217"/>
      <c r="AK2" s="1217"/>
      <c r="AL2" s="1217"/>
      <c r="AM2" s="1218" t="s">
        <v>166</v>
      </c>
      <c r="AN2" s="1218"/>
      <c r="AO2" s="1218"/>
      <c r="AP2" s="1218"/>
      <c r="AQ2" s="1218"/>
      <c r="AR2" s="1218"/>
      <c r="AS2" s="1218"/>
      <c r="AT2" s="1218"/>
      <c r="AU2" s="1218"/>
      <c r="AV2" s="1218"/>
      <c r="AW2" s="1218"/>
      <c r="AX2" s="1218"/>
      <c r="AY2" s="1218"/>
      <c r="AZ2" s="1218"/>
      <c r="BA2" s="1218"/>
      <c r="BB2" s="1218"/>
      <c r="BC2" s="1218"/>
      <c r="BD2" s="1218"/>
      <c r="BE2" s="1218"/>
      <c r="BF2" s="1218"/>
      <c r="BG2" s="1218"/>
      <c r="BH2" s="1218"/>
      <c r="BI2" s="1218"/>
      <c r="BJ2" s="1218"/>
      <c r="BK2" s="1218"/>
      <c r="BL2" s="1218"/>
      <c r="BM2" s="1218"/>
      <c r="BN2" s="1218"/>
      <c r="BO2" s="1218"/>
      <c r="BP2" s="1218"/>
      <c r="BQ2" s="1218"/>
      <c r="BR2" s="1218"/>
      <c r="BS2" s="1219"/>
      <c r="BT2" s="1230" t="s">
        <v>471</v>
      </c>
      <c r="BU2" s="1222" t="s">
        <v>460</v>
      </c>
      <c r="BV2" s="1222" t="s">
        <v>460</v>
      </c>
      <c r="BW2" s="1222" t="s">
        <v>461</v>
      </c>
      <c r="BX2" s="405">
        <f>DEPAN!G5</f>
        <v>8</v>
      </c>
    </row>
    <row r="3" spans="1:76">
      <c r="A3" s="1220" t="s">
        <v>2</v>
      </c>
      <c r="B3" s="1221" t="s">
        <v>3</v>
      </c>
      <c r="C3" s="1220" t="s">
        <v>4</v>
      </c>
      <c r="D3" s="1222" t="s">
        <v>167</v>
      </c>
      <c r="E3" s="1222" t="s">
        <v>168</v>
      </c>
      <c r="F3" s="1223" t="s">
        <v>169</v>
      </c>
      <c r="G3" s="1224"/>
      <c r="H3" s="1225"/>
      <c r="I3" s="1226" t="s">
        <v>170</v>
      </c>
      <c r="J3" s="1227"/>
      <c r="K3" s="1227"/>
      <c r="L3" s="1229" t="s">
        <v>171</v>
      </c>
      <c r="M3" s="1229"/>
      <c r="N3" s="1229"/>
      <c r="O3" s="1226" t="s">
        <v>172</v>
      </c>
      <c r="P3" s="1227"/>
      <c r="Q3" s="1228"/>
      <c r="R3" s="1226" t="s">
        <v>260</v>
      </c>
      <c r="S3" s="1227"/>
      <c r="T3" s="1227"/>
      <c r="U3" s="1227" t="s">
        <v>261</v>
      </c>
      <c r="V3" s="1227"/>
      <c r="W3" s="1228"/>
      <c r="X3" s="1226" t="s">
        <v>173</v>
      </c>
      <c r="Y3" s="1227"/>
      <c r="Z3" s="1228"/>
      <c r="AA3" s="1226" t="s">
        <v>174</v>
      </c>
      <c r="AB3" s="1227"/>
      <c r="AC3" s="1228"/>
      <c r="AD3" s="1226" t="s">
        <v>175</v>
      </c>
      <c r="AE3" s="1227"/>
      <c r="AF3" s="1228"/>
      <c r="AG3" s="1226" t="s">
        <v>176</v>
      </c>
      <c r="AH3" s="1227"/>
      <c r="AI3" s="1228"/>
      <c r="AJ3" s="1226" t="s">
        <v>184</v>
      </c>
      <c r="AK3" s="1227"/>
      <c r="AL3" s="1228"/>
      <c r="AM3" s="1226" t="s">
        <v>169</v>
      </c>
      <c r="AN3" s="1227"/>
      <c r="AO3" s="1228"/>
      <c r="AP3" s="1226" t="s">
        <v>177</v>
      </c>
      <c r="AQ3" s="1227"/>
      <c r="AR3" s="1228"/>
      <c r="AS3" s="1226" t="s">
        <v>171</v>
      </c>
      <c r="AT3" s="1227"/>
      <c r="AU3" s="1228"/>
      <c r="AV3" s="1226" t="s">
        <v>172</v>
      </c>
      <c r="AW3" s="1227"/>
      <c r="AX3" s="1228"/>
      <c r="AY3" s="1226" t="s">
        <v>260</v>
      </c>
      <c r="AZ3" s="1227"/>
      <c r="BA3" s="1227"/>
      <c r="BB3" s="1227" t="s">
        <v>261</v>
      </c>
      <c r="BC3" s="1227"/>
      <c r="BD3" s="1228"/>
      <c r="BE3" s="1226" t="s">
        <v>173</v>
      </c>
      <c r="BF3" s="1227"/>
      <c r="BG3" s="1228"/>
      <c r="BH3" s="1226" t="s">
        <v>174</v>
      </c>
      <c r="BI3" s="1227"/>
      <c r="BJ3" s="1228"/>
      <c r="BK3" s="1226" t="s">
        <v>175</v>
      </c>
      <c r="BL3" s="1227"/>
      <c r="BM3" s="1228"/>
      <c r="BN3" s="1226" t="s">
        <v>178</v>
      </c>
      <c r="BO3" s="1227"/>
      <c r="BP3" s="1228"/>
      <c r="BQ3" s="1226" t="s">
        <v>183</v>
      </c>
      <c r="BR3" s="1227"/>
      <c r="BS3" s="1227"/>
      <c r="BT3" s="1230"/>
      <c r="BU3" s="1222"/>
      <c r="BV3" s="1222"/>
      <c r="BW3" s="1222"/>
      <c r="BX3" s="445">
        <f>DEPAN!J5</f>
        <v>3</v>
      </c>
    </row>
    <row r="4" spans="1:76" ht="45">
      <c r="A4" s="1220"/>
      <c r="B4" s="1221"/>
      <c r="C4" s="1220"/>
      <c r="D4" s="1222"/>
      <c r="E4" s="1222" t="s">
        <v>179</v>
      </c>
      <c r="F4" s="112" t="s">
        <v>5</v>
      </c>
      <c r="G4" s="406" t="s">
        <v>6</v>
      </c>
      <c r="H4" s="112" t="s">
        <v>180</v>
      </c>
      <c r="I4" s="112" t="s">
        <v>5</v>
      </c>
      <c r="J4" s="406" t="s">
        <v>6</v>
      </c>
      <c r="K4" s="407" t="s">
        <v>180</v>
      </c>
      <c r="L4" s="112" t="s">
        <v>5</v>
      </c>
      <c r="M4" s="406" t="s">
        <v>6</v>
      </c>
      <c r="N4" s="112" t="s">
        <v>180</v>
      </c>
      <c r="O4" s="112" t="s">
        <v>5</v>
      </c>
      <c r="P4" s="406" t="s">
        <v>6</v>
      </c>
      <c r="Q4" s="112" t="s">
        <v>180</v>
      </c>
      <c r="R4" s="112" t="s">
        <v>5</v>
      </c>
      <c r="S4" s="406" t="s">
        <v>6</v>
      </c>
      <c r="T4" s="112" t="s">
        <v>180</v>
      </c>
      <c r="U4" s="112" t="s">
        <v>5</v>
      </c>
      <c r="V4" s="406" t="s">
        <v>6</v>
      </c>
      <c r="W4" s="112" t="s">
        <v>180</v>
      </c>
      <c r="X4" s="112" t="s">
        <v>5</v>
      </c>
      <c r="Y4" s="116" t="s">
        <v>6</v>
      </c>
      <c r="Z4" s="408" t="s">
        <v>180</v>
      </c>
      <c r="AA4" s="112" t="s">
        <v>5</v>
      </c>
      <c r="AB4" s="116" t="s">
        <v>6</v>
      </c>
      <c r="AC4" s="408" t="s">
        <v>180</v>
      </c>
      <c r="AD4" s="112" t="s">
        <v>5</v>
      </c>
      <c r="AE4" s="116" t="s">
        <v>6</v>
      </c>
      <c r="AF4" s="408" t="s">
        <v>180</v>
      </c>
      <c r="AG4" s="112" t="s">
        <v>5</v>
      </c>
      <c r="AH4" s="116" t="s">
        <v>6</v>
      </c>
      <c r="AI4" s="408" t="s">
        <v>180</v>
      </c>
      <c r="AJ4" s="112" t="s">
        <v>5</v>
      </c>
      <c r="AK4" s="116" t="s">
        <v>6</v>
      </c>
      <c r="AL4" s="408" t="s">
        <v>180</v>
      </c>
      <c r="AM4" s="112" t="s">
        <v>5</v>
      </c>
      <c r="AN4" s="116" t="s">
        <v>6</v>
      </c>
      <c r="AO4" s="408" t="s">
        <v>180</v>
      </c>
      <c r="AP4" s="112" t="s">
        <v>5</v>
      </c>
      <c r="AQ4" s="116" t="s">
        <v>6</v>
      </c>
      <c r="AR4" s="408" t="s">
        <v>180</v>
      </c>
      <c r="AS4" s="112" t="s">
        <v>5</v>
      </c>
      <c r="AT4" s="116" t="s">
        <v>6</v>
      </c>
      <c r="AU4" s="408" t="s">
        <v>180</v>
      </c>
      <c r="AV4" s="112" t="s">
        <v>5</v>
      </c>
      <c r="AW4" s="116" t="s">
        <v>6</v>
      </c>
      <c r="AX4" s="408" t="s">
        <v>180</v>
      </c>
      <c r="AY4" s="112" t="s">
        <v>5</v>
      </c>
      <c r="AZ4" s="406" t="s">
        <v>6</v>
      </c>
      <c r="BA4" s="112" t="s">
        <v>180</v>
      </c>
      <c r="BB4" s="112" t="s">
        <v>5</v>
      </c>
      <c r="BC4" s="406" t="s">
        <v>6</v>
      </c>
      <c r="BD4" s="112" t="s">
        <v>180</v>
      </c>
      <c r="BE4" s="112" t="s">
        <v>5</v>
      </c>
      <c r="BF4" s="116" t="s">
        <v>6</v>
      </c>
      <c r="BG4" s="408" t="s">
        <v>180</v>
      </c>
      <c r="BH4" s="112" t="s">
        <v>5</v>
      </c>
      <c r="BI4" s="116" t="s">
        <v>6</v>
      </c>
      <c r="BJ4" s="408" t="s">
        <v>180</v>
      </c>
      <c r="BK4" s="112" t="s">
        <v>5</v>
      </c>
      <c r="BL4" s="116" t="s">
        <v>6</v>
      </c>
      <c r="BM4" s="408" t="s">
        <v>180</v>
      </c>
      <c r="BN4" s="112" t="s">
        <v>5</v>
      </c>
      <c r="BO4" s="116" t="s">
        <v>6</v>
      </c>
      <c r="BP4" s="408" t="s">
        <v>180</v>
      </c>
      <c r="BQ4" s="112" t="s">
        <v>5</v>
      </c>
      <c r="BR4" s="116" t="s">
        <v>6</v>
      </c>
      <c r="BS4" s="408" t="s">
        <v>180</v>
      </c>
      <c r="BT4" s="1230"/>
      <c r="BU4" s="1222"/>
      <c r="BV4" s="1222"/>
      <c r="BW4" s="1222"/>
      <c r="BX4" s="408">
        <f>(BX2+BX3)*2</f>
        <v>22</v>
      </c>
    </row>
    <row r="5" spans="1:76">
      <c r="A5" s="409">
        <v>1</v>
      </c>
      <c r="B5" s="409">
        <v>2</v>
      </c>
      <c r="C5" s="409">
        <v>3</v>
      </c>
      <c r="D5" s="409">
        <v>4</v>
      </c>
      <c r="E5" s="409">
        <v>5</v>
      </c>
      <c r="F5" s="409">
        <v>6</v>
      </c>
      <c r="G5" s="409">
        <v>7</v>
      </c>
      <c r="H5" s="409">
        <v>8</v>
      </c>
      <c r="I5" s="409">
        <v>9</v>
      </c>
      <c r="J5" s="409">
        <v>10</v>
      </c>
      <c r="K5" s="409">
        <v>11</v>
      </c>
      <c r="L5" s="409">
        <v>12</v>
      </c>
      <c r="M5" s="409">
        <v>13</v>
      </c>
      <c r="N5" s="409">
        <v>14</v>
      </c>
      <c r="O5" s="409">
        <v>15</v>
      </c>
      <c r="P5" s="409">
        <v>16</v>
      </c>
      <c r="Q5" s="409">
        <v>17</v>
      </c>
      <c r="R5" s="409">
        <v>18</v>
      </c>
      <c r="S5" s="409">
        <v>19</v>
      </c>
      <c r="T5" s="409">
        <v>20</v>
      </c>
      <c r="U5" s="409">
        <v>21</v>
      </c>
      <c r="V5" s="409">
        <v>22</v>
      </c>
      <c r="W5" s="409">
        <v>23</v>
      </c>
      <c r="X5" s="409">
        <v>24</v>
      </c>
      <c r="Y5" s="409">
        <v>25</v>
      </c>
      <c r="Z5" s="409">
        <v>26</v>
      </c>
      <c r="AA5" s="409">
        <v>27</v>
      </c>
      <c r="AB5" s="409">
        <v>28</v>
      </c>
      <c r="AC5" s="409">
        <v>29</v>
      </c>
      <c r="AD5" s="409">
        <v>30</v>
      </c>
      <c r="AE5" s="409">
        <v>31</v>
      </c>
      <c r="AF5" s="409">
        <v>32</v>
      </c>
      <c r="AG5" s="409">
        <v>33</v>
      </c>
      <c r="AH5" s="409">
        <v>34</v>
      </c>
      <c r="AI5" s="409">
        <v>35</v>
      </c>
      <c r="AJ5" s="409">
        <v>36</v>
      </c>
      <c r="AK5" s="409">
        <v>37</v>
      </c>
      <c r="AL5" s="409">
        <v>38</v>
      </c>
      <c r="AM5" s="409">
        <v>39</v>
      </c>
      <c r="AN5" s="409">
        <v>40</v>
      </c>
      <c r="AO5" s="409">
        <v>41</v>
      </c>
      <c r="AP5" s="409">
        <v>42</v>
      </c>
      <c r="AQ5" s="409">
        <v>43</v>
      </c>
      <c r="AR5" s="409">
        <v>44</v>
      </c>
      <c r="AS5" s="409">
        <v>45</v>
      </c>
      <c r="AT5" s="409">
        <v>46</v>
      </c>
      <c r="AU5" s="409">
        <v>47</v>
      </c>
      <c r="AV5" s="409">
        <v>48</v>
      </c>
      <c r="AW5" s="409">
        <v>49</v>
      </c>
      <c r="AX5" s="409">
        <v>50</v>
      </c>
      <c r="AY5" s="409">
        <v>51</v>
      </c>
      <c r="AZ5" s="409">
        <v>52</v>
      </c>
      <c r="BA5" s="409">
        <v>53</v>
      </c>
      <c r="BB5" s="409">
        <v>54</v>
      </c>
      <c r="BC5" s="409">
        <v>55</v>
      </c>
      <c r="BD5" s="409">
        <v>56</v>
      </c>
      <c r="BE5" s="409">
        <v>57</v>
      </c>
      <c r="BF5" s="409">
        <v>58</v>
      </c>
      <c r="BG5" s="409">
        <v>59</v>
      </c>
      <c r="BH5" s="409">
        <v>60</v>
      </c>
      <c r="BI5" s="409">
        <v>61</v>
      </c>
      <c r="BJ5" s="409">
        <v>62</v>
      </c>
      <c r="BK5" s="409">
        <v>63</v>
      </c>
      <c r="BL5" s="409">
        <v>64</v>
      </c>
      <c r="BM5" s="409">
        <v>65</v>
      </c>
      <c r="BN5" s="409">
        <v>66</v>
      </c>
      <c r="BO5" s="409">
        <v>67</v>
      </c>
      <c r="BP5" s="409">
        <v>68</v>
      </c>
      <c r="BQ5" s="409">
        <v>69</v>
      </c>
      <c r="BR5" s="409">
        <v>70</v>
      </c>
      <c r="BS5" s="409">
        <v>71</v>
      </c>
      <c r="BT5" s="443"/>
    </row>
    <row r="6" spans="1:76" ht="20.25" customHeight="1">
      <c r="A6" s="113">
        <v>1</v>
      </c>
      <c r="B6" s="113">
        <f>SISWA!B6</f>
        <v>4822</v>
      </c>
      <c r="C6" s="410" t="str">
        <f>SISWA!C6</f>
        <v>Anak 1</v>
      </c>
      <c r="D6" s="411" t="str">
        <f>SPIRIT!Q5</f>
        <v xml:space="preserve">Ananda Anak 1 baik dalam  ketaatan beribadah,  berperilaku syukur,  berdoa sebelum dan sesudah melakukan kegiatan,  toleransi dalam beribadah, </v>
      </c>
      <c r="E6" s="411" t="str">
        <f>SOSIAL!W5</f>
        <v xml:space="preserve">Ananda Anak 1 baik dalam sikap jujur, disiplin, tanggung jawab, peduli, percaya diri, kerja sama, dan sudah mampu meningkatkan sikap santun, </v>
      </c>
      <c r="F6" s="412">
        <f>IFERROR('PAI3'!DU6,"")</f>
        <v>92</v>
      </c>
      <c r="G6" s="412" t="str">
        <f>IFERROR('PAI3'!DV6,"")</f>
        <v>A</v>
      </c>
      <c r="H6" s="413" t="str">
        <f>'PAI3'!EA6</f>
        <v>Anak 1 sangat baik  dalam memahami manfaat gemar membaca, dan  cukup baik  dalam memahami makna ibadah salat</v>
      </c>
      <c r="I6" s="412">
        <f>IFERROR('PKN3'!AI5,"")</f>
        <v>93</v>
      </c>
      <c r="J6" s="412" t="str">
        <f>IFERROR('PKN3'!AJ5,"")</f>
        <v>A</v>
      </c>
      <c r="K6" s="411" t="str">
        <f>'PKN3'!AO5</f>
        <v>Anak 1 sangat baik  dalam mengidentifikasi berbagai bentuk keragaman suku bangsa, sosial, dan budaya di Indonesia yang terikat persatuan dan kesatuan., dan  baik  dalam mengidentifikasi pelaksanaan kewajiban dan hak sebagai warga masyarakat dalam kehidupan sehari-hari.</v>
      </c>
      <c r="L6" s="414">
        <f>IFERROR(BIND3!AU5,"")</f>
        <v>85</v>
      </c>
      <c r="M6" s="414" t="str">
        <f>IFERROR(BIND3!AV5,"")</f>
        <v>B</v>
      </c>
      <c r="N6" s="413" t="str">
        <f>BIND3!BA5</f>
        <v>Anak 1 baik  dalam menggali informasi dari seorang tokoh melalui wawancara menggunakan daftar pertanyaan., dan  cukup baik  dalam menggali isi dan amanat puisi yang disajikan secara lisan dan tulis dengan tujuan untuk kesenangan.</v>
      </c>
      <c r="O6" s="414">
        <f>IFERROR('MTK3'!BC5,"")</f>
        <v>79</v>
      </c>
      <c r="P6" s="414" t="str">
        <f>IFERROR('MTK3'!BD5,"")</f>
        <v>C</v>
      </c>
      <c r="Q6" s="413" t="str">
        <f>'MTK3'!BI5</f>
        <v>Anak 1 baik  dalam menjelaskan berbagai bentuk pecahan (biasa, campuran, desimal, dan persen) dan hubungan di antaranya, dan  cukup baik  dalam menjelaskan pecahan-pecahan senilai dengan gambar dan model konkret</v>
      </c>
      <c r="R6" s="414">
        <f>IFERROR('IPA3'!AM5,"")</f>
        <v>93</v>
      </c>
      <c r="S6" s="414" t="str">
        <f>IFERROR('IPA3'!AN5,"")</f>
        <v>A</v>
      </c>
      <c r="T6" s="413" t="str">
        <f>'IPA3'!AS5</f>
        <v>Anak 1 sangat baik  dalam mengidentifikasi berbagai sumber energi, perubahan bentuk energi, dan sumber energi alternatif (angin, air, matahari, panas bumi, bahan bakar organik, dan nuklir) dalam kehidupan sehari-hari., dan  baik  dalam membandingkan siklus hidup beberapa jenis makhluk hidup serta mengaitkan dengan upaya pelestariannya.</v>
      </c>
      <c r="U6" s="414">
        <f>IFERROR('IPS3'!AN5,"")</f>
        <v>88</v>
      </c>
      <c r="V6" s="414" t="str">
        <f>IFERROR('IPS3'!AO5,"")</f>
        <v>B</v>
      </c>
      <c r="W6" s="413" t="str">
        <f>'IPS3'!AT5</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X6" s="414">
        <f>IFERROR(SBDP3!AN5,"")</f>
        <v>95</v>
      </c>
      <c r="Y6" s="414" t="str">
        <f>IFERROR(SBDP3!AO5,"")</f>
        <v>A</v>
      </c>
      <c r="Z6" s="413" t="str">
        <f>SBDP3!AT5</f>
        <v>Anak 1 sangat baik  dalam mengetahui gambar dan bentuk tiga dimensi., dan  baik  dalam mengetahui tanda tempo dan tinggi rendah nada.</v>
      </c>
      <c r="AA6" s="414">
        <f>IFERROR(PJOK3!AV5,"")</f>
        <v>86</v>
      </c>
      <c r="AB6" s="414" t="str">
        <f>IFERROR(PJOK3!AW5,"")</f>
        <v>B</v>
      </c>
      <c r="AC6" s="413" t="str">
        <f>PJOK3!BB5</f>
        <v>Anak 1 sangat baik  dalam memahami konsep berbagai aktifitas kebugaran jasmani untuk mencapai tinggi dan berat badan ideal, dan  cukup baik  dalam memahami konsep variasi dan kombinasi gerak dasar lokomotor,non lokomotor, dan manipulative dalam berbagai permainan dan atau olahraga tradisional bola kecii.</v>
      </c>
      <c r="AD6" s="414">
        <f>IFERROR('MLK1-3'!AT5,"")</f>
        <v>80</v>
      </c>
      <c r="AE6" s="414" t="str">
        <f>IFERROR('MLK1-3'!AU5,"")</f>
        <v>C</v>
      </c>
      <c r="AF6" s="415" t="str">
        <f>'MLK1-3'!AZ5</f>
        <v>Anak 1 baik  dalam mengenal, memahami, dan mengidentifikasi kata berimbuhan dalam teks sesuai kaidah, dan  cukup baik  dalam mengenal dan memahmi teks tembang dolanan</v>
      </c>
      <c r="AG6" s="414">
        <f>IFERROR('MLK2-3'!AP5,"")</f>
        <v>81</v>
      </c>
      <c r="AH6" s="414" t="str">
        <f>IFERROR('MLK2-3'!AQ5,"")</f>
        <v>B</v>
      </c>
      <c r="AI6" s="413" t="str">
        <f>'MLK2-3'!AV5</f>
        <v>Anak 1 baik  dalam mengenal dan mengidentifikasi benda-benda di dapur dan nama-nama bunga, dan  cukup baik  dalam mengenal, memahami dan mengidentifikasi macam-macam kalimat (order, request, and prengenal obyek-obyek wisata dan memahami penggunaan kalimat ungkapan terima kasih</v>
      </c>
      <c r="AJ6" s="414">
        <f>IFERROR('MLK3-3'!AP5,"")</f>
        <v>72</v>
      </c>
      <c r="AK6" s="414" t="str">
        <f>IFERROR('MLK3-3'!AQ5,"")</f>
        <v>C</v>
      </c>
      <c r="AL6" s="415" t="str">
        <f>'MLK3-3'!AV5</f>
        <v>Anak 1 cukup baik  dalam mengenal dan memahami penggunaan microsoft  word., dan  cukup baik  dalam memahami pembuatan dokumen di microsoft  word</v>
      </c>
      <c r="AM6" s="414">
        <f>IFERROR('PAI4'!CI6,"")</f>
        <v>88</v>
      </c>
      <c r="AN6" s="414" t="str">
        <f>IFERROR('PAI4'!CJ6,"")</f>
        <v>B</v>
      </c>
      <c r="AO6" s="415" t="str">
        <f>'PAI4'!CO6</f>
        <v>Anak 1 baik  dalam membaca Q.S. al- Falaq dan Q.S.al-Fil dengan tartil</v>
      </c>
      <c r="AP6" s="414">
        <f>IFERROR('PKN4'!AD5,"")</f>
        <v>84</v>
      </c>
      <c r="AQ6" s="414" t="str">
        <f>IFERROR('PKN4'!AE5,"")</f>
        <v>B</v>
      </c>
      <c r="AR6" s="413" t="str">
        <f>'PKN4'!AJ5</f>
        <v>Anak 1 sangat baik  dalam mengemukakan manfaat keberagaman karakteristik individu dalam kehidupan sehari-hari., dan  perlu bimbingan  dalam menyajikan hasil identifikasi pelaksanaan kewajiban dan hak sebagai warga masyarakat dalam kehidupan sehari-hari.</v>
      </c>
      <c r="AS6" s="414">
        <f>IFERROR(BIND4!AP5,"")</f>
        <v>87</v>
      </c>
      <c r="AT6" s="414" t="str">
        <f>IFERROR(BIND4!AQ5,"")</f>
        <v>B</v>
      </c>
      <c r="AU6" s="413" t="str">
        <f>BIND4!AV5</f>
        <v>Anak 1 sangat baik  dalam melaporkan hasil wawancara menggunakan kosakata baku dan kalimat efektif dalam bentuk teks tulis., dan  cukup baik  dalam 0</v>
      </c>
      <c r="AV6" s="414">
        <f>IFERROR('MTK4'!AP5,"")</f>
        <v>85</v>
      </c>
      <c r="AW6" s="414" t="str">
        <f>IFERROR('MTK4'!AQ5,"")</f>
        <v>B</v>
      </c>
      <c r="AX6" s="413" t="str">
        <f>'MTK4'!AV5</f>
        <v>Anak 1 sangat baik  dalam mengidentifikasi pecahan-pecahan senilai dengan gambar dan model konkret, dan  cukup baik  dalam menyelesaikan masalah yang berkaitan dengan faktor persekutuan, faktor persekutuan terbesar (FPB), kelipatan persekutuan, dan kelipatan persekutuan terkecil (KPK) dari dua bilangan berkaitan dengan kehidupan sehari-hari</v>
      </c>
      <c r="AY6" s="414">
        <f>IFERROR('IPA4'!AJ5,"")</f>
        <v>87</v>
      </c>
      <c r="AZ6" s="414" t="str">
        <f>IFERROR('IPA4'!AK5,"")</f>
        <v>B</v>
      </c>
      <c r="BA6" s="413" t="str">
        <f>'IPA4'!AP5</f>
        <v>Anak 1 sangat baik  dalam membuat skema siklus hidup beberapa jenis makhluk hidup yang ada di lingkungan sekitarnya, dan slogan upaya pelestariannya., dan  cukup baik  dalam 0</v>
      </c>
      <c r="BB6" s="414">
        <f>IFERROR('IPS4'!AG5,"")</f>
        <v>89</v>
      </c>
      <c r="BC6" s="414" t="str">
        <f>IFERROR('IPS4'!AH5,"")</f>
        <v>B</v>
      </c>
      <c r="BD6" s="413" t="str">
        <f>'IPS4'!AM5</f>
        <v>Anak 1 sangat baik  dalam menyajikan hasil identifikasi karakteristik ruang dan pemanfaatan sumber daya alam untuk kesejahteraan masyarakat dari tingkat kota/kabupaten sampai tingkat provinsi., dan  baik  dalam 0</v>
      </c>
      <c r="BE6" s="414">
        <f>IFERROR(SBDP4!AG5,"")</f>
        <v>83</v>
      </c>
      <c r="BF6" s="414" t="str">
        <f>IFERROR(SBDP4!AH5,"")</f>
        <v>B</v>
      </c>
      <c r="BG6" s="413" t="str">
        <f>SBDP4!AM5</f>
        <v>Anak 1 baik  dalam menyanyikan lagu dengan memperhatikan tempo dan tinggi rendah nada., dan  cukup baik  dalam menggambar dan membentuk tiga dimensi</v>
      </c>
      <c r="BH6" s="414">
        <f>IFERROR(PJOK4!AJ5,"")</f>
        <v>87</v>
      </c>
      <c r="BI6" s="414" t="str">
        <f>IFERROR(PJOK4!AK5,"")</f>
        <v>B</v>
      </c>
      <c r="BJ6" s="415" t="str">
        <f>PJOK4!AP5</f>
        <v>Anak 1 sangat baik  dalam mempraktikkan kombinasi pola gerak dasar lokomotor untuk membentuk gerakan dasar atletik jalan cepat dan lari yang dilandasi konsep gerak melalui permainan dan atau olahraga tradisional., dan  cukup baik  dalam mempraktikkan penggunaan kombinasi pola gerak dasar lokomotor, nonlokomotor dan manipulatif sesuai dengan irama (ketukan) tanpa/dengan musik dalam aktivitas gerak rimtik.</v>
      </c>
      <c r="BK6" s="414">
        <f>IFERROR('MLK1-4'!AG5,"")</f>
        <v>84</v>
      </c>
      <c r="BL6" s="414" t="str">
        <f>IFERROR('MLK1-4'!AH5,"")</f>
        <v>B</v>
      </c>
      <c r="BM6" s="413" t="str">
        <f>'MLK1-4'!AM5</f>
        <v>Anak 1 baik  dalam menulis kalimat dengan huruf latin dan huruf Jawa menggunakan sandhangan aksar Jawa., dan  cukup baik  dalam melagukan dan mengapresiasi tembang dolanan.</v>
      </c>
      <c r="BN6" s="414">
        <f>IFERROR('MLK2-4'!AG5,"")</f>
        <v>83</v>
      </c>
      <c r="BO6" s="414" t="str">
        <f>IFERROR('MLK2-4'!AH5,"")</f>
        <v>B</v>
      </c>
      <c r="BP6" s="413" t="str">
        <f>'MLK2-4'!AM5</f>
        <v>Anak 1 baik  dalam melakukan percakapan yang menunjukkan letak suatu tempat, dan  cukup baik  dalam melakukan praktik menyebutkan tempat obyek wisata dan menyajikan kalimat tentang ungkapan terima kasih</v>
      </c>
      <c r="BQ6" s="414">
        <f>IFERROR('MLK3-4'!AG5,"")</f>
        <v>82</v>
      </c>
      <c r="BR6" s="414" t="str">
        <f>IFERROR('MLK3-4'!AH5,"")</f>
        <v>B</v>
      </c>
      <c r="BS6" s="413" t="str">
        <f>'MLK3-4'!AM5</f>
        <v>Anak 1 baik  dalam mempraktikkan membuat dokumen " Cerita Dongeng", dan  cukup baik  dalam mempraktikkan membuat karangan yang berjudul" Letusan Gunung Berapi"</v>
      </c>
      <c r="BT6" s="414">
        <f>IFERROR(BU6/$BX$4,"")</f>
        <v>85.590909090909093</v>
      </c>
      <c r="BU6" s="444">
        <f>SUM(F6,I6,L6,O6,R6,U6,X6,AA6,AD6,AG6,AJ6,AM6,AP6,AS6,AV6,AY6,BB6,BE6,BH6,BK6,BN6,BQ6)</f>
        <v>1883</v>
      </c>
      <c r="BV6" s="416">
        <f>IFERROR(BU6,"")</f>
        <v>1883</v>
      </c>
      <c r="BW6" s="417">
        <f>IFERROR(RANK(BV6,$BV$6:$BV$55,0),"")</f>
        <v>2</v>
      </c>
    </row>
    <row r="7" spans="1:76" ht="20.25" customHeight="1">
      <c r="A7" s="113">
        <v>2</v>
      </c>
      <c r="B7" s="113">
        <f>SISWA!B7</f>
        <v>0</v>
      </c>
      <c r="C7" s="410" t="str">
        <f>SISWA!C7</f>
        <v>Anak 2</v>
      </c>
      <c r="D7" s="411" t="str">
        <f>SPIRIT!Q6</f>
        <v xml:space="preserve">Ananda Anak 2 sangat baik dalam  berdoa sebelum dan sesudah melakukan kegiatan, baik dalam  ketaatan beribadah,  berperilaku syukur,  toleransi dalam beribadah, </v>
      </c>
      <c r="E7" s="411" t="str">
        <f>SOSIAL!W6</f>
        <v xml:space="preserve">Ananda Anak 2 sangat tanggung jawab, baik dalam sikap jujur, disiplin, santun, peduli, percaya diri, kerja sama, </v>
      </c>
      <c r="F7" s="412">
        <f>IFERROR('PAI3'!DU7,"")</f>
        <v>99</v>
      </c>
      <c r="G7" s="412" t="str">
        <f>IFERROR('PAI3'!DV7,"")</f>
        <v>A</v>
      </c>
      <c r="H7" s="413" t="str">
        <f>'PAI3'!EA7</f>
        <v>Anak 2 sangat baik  dalam memahami Q.S. al- Falaq dan Q.S. al- Fil dengan baik dan benar</v>
      </c>
      <c r="I7" s="412">
        <f>IFERROR('PKN3'!AI6,"")</f>
        <v>97</v>
      </c>
      <c r="J7" s="412" t="str">
        <f>IFERROR('PKN3'!AJ6,"")</f>
        <v>A</v>
      </c>
      <c r="K7" s="411" t="str">
        <f>'PKN3'!AO6</f>
        <v>Anak 2 sangat baik  dalam mengidentifikasi pelaksanaan kewajiban dan hak sebagai warga masyarakat dalam kehidupan sehari-hari., dan  sangat baik  dalam mengidentifikasi berbagai bentuk keragaman suku bangsa, sosial, dan budaya di Indonesia yang terikat persatuan dan kesatuan.</v>
      </c>
      <c r="L7" s="414">
        <f>IFERROR(BIND3!AU6,"")</f>
        <v>99</v>
      </c>
      <c r="M7" s="414" t="str">
        <f>IFERROR(BIND3!AV6,"")</f>
        <v>A</v>
      </c>
      <c r="N7" s="413" t="str">
        <f>BIND3!BA6</f>
        <v>Anak 2 sangat baik  dalam menggali pengetahuan baru yang terdapat pada teks nonfiksi., dan  sangat baik  dalam menggali informasi dari seorang tokoh melalui wawancara menggunakan daftar pertanyaan.</v>
      </c>
      <c r="O7" s="414">
        <f>IFERROR('MTK3'!BC6,"")</f>
        <v>71</v>
      </c>
      <c r="P7" s="414" t="str">
        <f>IFERROR('MTK3'!BD6,"")</f>
        <v>C</v>
      </c>
      <c r="Q7" s="413" t="str">
        <f>'MTK3'!BI6</f>
        <v>Anak 2 cukup baik  dalam menjelaskan berbagai bentuk pecahan (biasa, campuran, desimal, dan persen) dan hubungan di antaranya, dan  perlu bimbingan  dalam menjelaskan dan melakukan penaksiran dari jumlah, selisih, hasil kali, dan hasil bagi dua bilangan cacah maupun pecahan dan desimal</v>
      </c>
      <c r="R7" s="414">
        <f>IFERROR('IPA3'!AM6,"")</f>
        <v>93</v>
      </c>
      <c r="S7" s="414" t="str">
        <f>IFERROR('IPA3'!AN6,"")</f>
        <v>A</v>
      </c>
      <c r="T7" s="413" t="str">
        <f>'IPA3'!AS6</f>
        <v>Anak 2 sangat baik  dalam menghubungkan gaya dengan gerak pada peristiwa di lingkungan sekitar., dan  baik  dalam membandingkan siklus hidup beberapa jenis makhluk hidup serta mengaitkan dengan upaya pelestariannya.</v>
      </c>
      <c r="U7" s="414">
        <f>IFERROR('IPS3'!AN6,"")</f>
        <v>91</v>
      </c>
      <c r="V7" s="414" t="str">
        <f>IFERROR('IPS3'!AO6,"")</f>
        <v>A</v>
      </c>
      <c r="W7" s="413" t="str">
        <f>'IPS3'!AT6</f>
        <v>Anak 2 sangat baik  dalam mengidentifikasi kegiatan ekonomi dan hubungannya dengan berbagai bidang pekerjaan serta kehidupan sosial dan budaya di lingkungan sekitar sampai provinsi., dan  baik  dalam mengidentifikasi karakteristik ruang dan pemanfaatan sumberdaya alam untuk kesejahteraan masyarakat dari tingkatkota/kabupaten sampai tingkat provinsi.</v>
      </c>
      <c r="X7" s="414">
        <f>IFERROR(SBDP3!AN6,"")</f>
        <v>93</v>
      </c>
      <c r="Y7" s="414" t="str">
        <f>IFERROR(SBDP3!AO6,"")</f>
        <v>A</v>
      </c>
      <c r="Z7" s="413" t="str">
        <f>SBDP3!AT6</f>
        <v>Anak 2 sangat baik  dalam mengetahui karya seni rupa teknik tempel., dan  baik  dalam mengetahui gambar dan bentuk tiga dimensi.</v>
      </c>
      <c r="AA7" s="414">
        <f>IFERROR(PJOK3!AV6,"")</f>
        <v>90</v>
      </c>
      <c r="AB7" s="414" t="str">
        <f>IFERROR(PJOK3!AW6,"")</f>
        <v>B</v>
      </c>
      <c r="AC7" s="413" t="str">
        <f>PJOK3!BB6</f>
        <v>Anak 2 sangat baik  dalam memahami konsep variasi dan kombinasi pola gerak dasar lokomotorr dan nonlokomotor untuk membentuk gerakan dasar atletik jalan cepat dan lari melalui permainan dan atau olahraga tradisional, dan  baik  dalam mengetahui konsep penggunaan kombinasi pola gerak dasar lokomotor, non-lokomotor dan manipulatif sesuai dengan irama (ketukan) tanpa/denganmusik dalam aktivitas gerak ritmik.</v>
      </c>
      <c r="AD7" s="414">
        <f>IFERROR('MLK1-3'!AT6,"")</f>
        <v>91</v>
      </c>
      <c r="AE7" s="414" t="str">
        <f>IFERROR('MLK1-3'!AU6,"")</f>
        <v>A</v>
      </c>
      <c r="AF7" s="415" t="str">
        <f>'MLK1-3'!AZ6</f>
        <v>Anak 2 sangat baik  dalam mengenal, memahami, dan mengidentifikasi kata berimbuhan dalam teks sesuai kaidah, dan  baik  dalam mengenal dan memahmi teks tembang dolanan</v>
      </c>
      <c r="AG7" s="414">
        <f>IFERROR('MLK2-3'!AP6,"")</f>
        <v>89</v>
      </c>
      <c r="AH7" s="414" t="str">
        <f>IFERROR('MLK2-3'!AQ6,"")</f>
        <v>B</v>
      </c>
      <c r="AI7" s="413" t="str">
        <f>'MLK2-3'!AV6</f>
        <v>Anak 2 sangat baik  dalam memahami penggunaan waktu, tanggal, bulan, dan tahun, dan  baik  dalam mengenal, memahami dan mengidentifikasi macam-macam kalimat (order, request, and prengenal obyek-obyek wisata dan memahami penggunaan kalimat ungkapan terima kasih</v>
      </c>
      <c r="AJ7" s="414">
        <f>IFERROR('MLK3-3'!AP6,"")</f>
        <v>91</v>
      </c>
      <c r="AK7" s="414" t="str">
        <f>IFERROR('MLK3-3'!AQ6,"")</f>
        <v>A</v>
      </c>
      <c r="AL7" s="415" t="str">
        <f>'MLK3-3'!AV6</f>
        <v>Anak 2 sangat baik  dalam mengenal dan memahami penggunaan microsoft  word.</v>
      </c>
      <c r="AM7" s="414">
        <f>IFERROR('PAI4'!CI7,"")</f>
        <v>78</v>
      </c>
      <c r="AN7" s="414" t="str">
        <f>IFERROR('PAI4'!CJ7,"")</f>
        <v>C</v>
      </c>
      <c r="AO7" s="415" t="str">
        <f>'PAI4'!CO7</f>
        <v>Anak 2 cukup baik  dalam menulis kalimat- kalimat dalam Q.S. al-Falaq dan Q.S. al-Fil dengan benar</v>
      </c>
      <c r="AP7" s="414">
        <f>IFERROR('PKN4'!AD6,"")</f>
        <v>77</v>
      </c>
      <c r="AQ7" s="414" t="str">
        <f>IFERROR('PKN4'!AE6,"")</f>
        <v>C</v>
      </c>
      <c r="AR7" s="413" t="str">
        <f>'PKN4'!AJ6</f>
        <v>Anak 2 baik  dalam menyajikan berbagai bentuk keragaman suku bangsa, sosial, dan budaya di Indonesia yang terikat persatuan dan kesatuan., dan  perlu bimbingan  dalam mengemukakan manfaat keberagaman karakteristik individu dalam kehidupan sehari-hari.</v>
      </c>
      <c r="AS7" s="414">
        <f>IFERROR(BIND4!AP6,"")</f>
        <v>87</v>
      </c>
      <c r="AT7" s="414" t="str">
        <f>IFERROR(BIND4!AQ6,"")</f>
        <v>B</v>
      </c>
      <c r="AU7" s="413" t="str">
        <f>BIND4!AV6</f>
        <v>Anak 2 baik  dalam melaporkan hasil wawancara menggunakan kosakata baku dan kalimat efektif dalam bentuk teks tulis.</v>
      </c>
      <c r="AV7" s="414">
        <f>IFERROR('MTK4'!AP6,"")</f>
        <v>77</v>
      </c>
      <c r="AW7" s="414" t="str">
        <f>IFERROR('MTK4'!AQ6,"")</f>
        <v>C</v>
      </c>
      <c r="AX7" s="413" t="str">
        <f>'MTK4'!AV6</f>
        <v>Anak 2 baik  dalam mengidentifikasi pecahan-pecahan senilai dengan gambar dan model konkret, dan  perlu bimbingan  dalam menyelesaikan masalah yang berkaitan dengan faktor persekutuan, faktor persekutuan terbesar (FPB), kelipatan persekutuan, dan kelipatan persekutuan terkecil (KPK) dari dua bilangan berkaitan dengan kehidupan sehari-hari</v>
      </c>
      <c r="AY7" s="414">
        <f>IFERROR('IPA4'!AJ6,"")</f>
        <v>87</v>
      </c>
      <c r="AZ7" s="414" t="str">
        <f>IFERROR('IPA4'!AK6,"")</f>
        <v>B</v>
      </c>
      <c r="BA7" s="413" t="str">
        <f>'IPA4'!AP6</f>
        <v>Anak 2 baik  dalam membuat skema siklus hidup beberapa jenis makhluk hidup yang ada di lingkungan sekitarnya, dan slogan upaya pelestariannya.</v>
      </c>
      <c r="BB7" s="414">
        <f>IFERROR('IPS4'!AG6,"")</f>
        <v>87</v>
      </c>
      <c r="BC7" s="414" t="str">
        <f>IFERROR('IPS4'!AH6,"")</f>
        <v>B</v>
      </c>
      <c r="BD7" s="413" t="str">
        <f>'IPS4'!AM6</f>
        <v>Anak 2 baik  dalam menyajikan hasil identifikasi karakteristik ruang dan pemanfaatan sumber daya alam untuk kesejahteraan masyarakat dari tingkat kota/kabupaten sampai tingkat provinsi.</v>
      </c>
      <c r="BE7" s="414">
        <f>IFERROR(SBDP4!AG6,"")</f>
        <v>83</v>
      </c>
      <c r="BF7" s="414" t="str">
        <f>IFERROR(SBDP4!AH6,"")</f>
        <v>B</v>
      </c>
      <c r="BG7" s="413" t="str">
        <f>SBDP4!AM6</f>
        <v>Anak 2 baik  dalam meragakan gerak tari kreasi daerah., dan  cukup baik  dalam menggambar dan membentuk tiga dimensi</v>
      </c>
      <c r="BH7" s="414">
        <f>IFERROR(PJOK4!AJ6,"")</f>
        <v>87</v>
      </c>
      <c r="BI7" s="414" t="str">
        <f>IFERROR(PJOK4!AK6,"")</f>
        <v>B</v>
      </c>
      <c r="BJ7" s="415" t="str">
        <f>PJOK4!AP6</f>
        <v>Anak 2 baik  dalam mempraktikkan kombinasi pola gerak dasar lokomotor untuk membentuk gerakan dasar atletik jalan cepat dan lari yang dilandasi konsep gerak melalui permainan dan atau olahraga tradisional.</v>
      </c>
      <c r="BK7" s="414">
        <f>IFERROR('MLK1-4'!AG6,"")</f>
        <v>83</v>
      </c>
      <c r="BL7" s="414" t="str">
        <f>IFERROR('MLK1-4'!AH6,"")</f>
        <v>B</v>
      </c>
      <c r="BM7" s="413" t="str">
        <f>'MLK1-4'!AM6</f>
        <v>Anak 2 baik  dalam menulis kalimat menggunakan kata berimbuhan., dan  cukup baik  dalam melagukan dan mengapresiasi tembang dolanan.</v>
      </c>
      <c r="BN7" s="414">
        <f>IFERROR('MLK2-4'!AG6,"")</f>
        <v>83</v>
      </c>
      <c r="BO7" s="414" t="str">
        <f>IFERROR('MLK2-4'!AH6,"")</f>
        <v>B</v>
      </c>
      <c r="BP7" s="413" t="str">
        <f>'MLK2-4'!AM6</f>
        <v>Anak 2 baik  dalam melakukan percakapan tentang penggunaan waktu, tanggal, bulan, dan tahun, dan  cukup baik  dalam melakukan praktik menyebutkan tempat obyek wisata dan menyajikan kalimat tentang ungkapan terima kasih</v>
      </c>
      <c r="BQ7" s="414">
        <f>IFERROR('MLK3-4'!AG6,"")</f>
        <v>77</v>
      </c>
      <c r="BR7" s="414" t="str">
        <f>IFERROR('MLK3-4'!AH6,"")</f>
        <v>C</v>
      </c>
      <c r="BS7" s="413" t="str">
        <f>'MLK3-4'!AM6</f>
        <v>Anak 2 cukup baik  dalam mempraktikkan membuat karangan yang berjudul" Letusan Gunung Berapi"</v>
      </c>
      <c r="BT7" s="414">
        <f t="shared" ref="BT7:BT55" si="0">IFERROR(BU7/$BX$4,"")</f>
        <v>86.818181818181813</v>
      </c>
      <c r="BU7" s="444">
        <f t="shared" ref="BU7:BU55" si="1">SUM(F7,I7,L7,O7,R7,U7,X7,AA7,AD7,AG7,AJ7,AM7,AP7,AS7,AV7,AY7,BB7,BE7,BH7,BK7,BN7,BQ7)</f>
        <v>1910</v>
      </c>
      <c r="BV7" s="416">
        <f t="shared" ref="BV7:BV55" si="2">IFERROR(BU7,"")</f>
        <v>1910</v>
      </c>
      <c r="BW7" s="417">
        <f t="shared" ref="BW7:BW55" si="3">IFERROR(RANK(BV7,$BV$6:$BV$55,0),"")</f>
        <v>1</v>
      </c>
    </row>
    <row r="8" spans="1:76" ht="20.25" customHeight="1">
      <c r="A8" s="113">
        <v>3</v>
      </c>
      <c r="B8" s="113">
        <f>SISWA!B8</f>
        <v>0</v>
      </c>
      <c r="C8" s="410" t="str">
        <f>SISWA!C8</f>
        <v>Anak 3</v>
      </c>
      <c r="D8" s="411" t="str">
        <f>SPIRIT!Q7</f>
        <v xml:space="preserve">Ananda Anak 3 sangat baik dalam  berperilaku syukur, baik dalam  ketaatan beribadah,  berdoa sebelum dan sesudah melakukan kegiatan,  toleransi dalam beribadah, </v>
      </c>
      <c r="E8" s="411" t="str">
        <f>SOSIAL!W7</f>
        <v xml:space="preserve">Ananda Anak 3 baik dalam sikap jujur, disiplin, tanggung jawab, santun, peduli, percaya diri, kerja sama, </v>
      </c>
      <c r="F8" s="412">
        <f>IFERROR('PAI3'!DU8,"")</f>
        <v>99</v>
      </c>
      <c r="G8" s="412" t="str">
        <f>IFERROR('PAI3'!DV8,"")</f>
        <v>A</v>
      </c>
      <c r="H8" s="413" t="str">
        <f>'PAI3'!EA8</f>
        <v>Anak 3 sangat baik  dalam memahami Q.S. al- Falaq dan Q.S. al- Fil dengan baik dan benar</v>
      </c>
      <c r="I8" s="412">
        <f>IFERROR('PKN3'!AI7,"")</f>
        <v>97</v>
      </c>
      <c r="J8" s="412" t="str">
        <f>IFERROR('PKN3'!AJ7,"")</f>
        <v>A</v>
      </c>
      <c r="K8" s="411" t="str">
        <f>'PKN3'!AO7</f>
        <v>Anak 3 sangat baik  dalam mengidentifikasi pelaksanaan kewajiban dan hak sebagai warga masyarakat dalam kehidupan sehari-hari., dan  sangat baik  dalam mengidentifikasi berbagai bentuk keragaman suku bangsa, sosial, dan budaya di Indonesia yang terikat persatuan dan kesatuan.</v>
      </c>
      <c r="L8" s="414">
        <f>IFERROR(BIND3!AU7,"")</f>
        <v>98</v>
      </c>
      <c r="M8" s="414" t="str">
        <f>IFERROR(BIND3!AV7,"")</f>
        <v>A</v>
      </c>
      <c r="N8" s="413" t="str">
        <f>BIND3!BA7</f>
        <v>Anak 3 sangat baik  dalam menggali pengetahuan baru yang terdapat pada teks nonfiksi., dan  sangat baik  dalam menggali isi dan amanat puisi yang disajikan secara lisan dan tulis dengan tujuan untuk kesenangan.</v>
      </c>
      <c r="O8" s="414">
        <f>IFERROR('MTK3'!BC7,"")</f>
        <v>97</v>
      </c>
      <c r="P8" s="414" t="str">
        <f>IFERROR('MTK3'!BD7,"")</f>
        <v>A</v>
      </c>
      <c r="Q8" s="413" t="str">
        <f>'MTK3'!BI7</f>
        <v>Anak 3 sangat baik  dalam menjelaskan dan melakukan penaksiran dari jumlah, selisih, hasil kali, dan hasil bagi dua bilangan cacah maupun pecahan dan desimal, dan  sangat baik  dalam menjelaskan berbagai bentuk pecahan (biasa, campuran, desimal, dan persen) dan hubungan di antaranya</v>
      </c>
      <c r="R8" s="414">
        <f>IFERROR('IPA3'!AM7,"")</f>
        <v>99</v>
      </c>
      <c r="S8" s="414" t="str">
        <f>IFERROR('IPA3'!AN7,"")</f>
        <v>A</v>
      </c>
      <c r="T8" s="413" t="str">
        <f>'IPA3'!AS7</f>
        <v>Anak 3 sangat baik  dalam membandingkan siklus hidup beberapa jenis makhluk hidup serta mengaitkan dengan upaya pelestariannya.</v>
      </c>
      <c r="U8" s="414">
        <f>IFERROR('IPS3'!AN7,"")</f>
        <v>99</v>
      </c>
      <c r="V8" s="414" t="str">
        <f>IFERROR('IPS3'!AO7,"")</f>
        <v>A</v>
      </c>
      <c r="W8" s="413" t="str">
        <f>'IPS3'!AT7</f>
        <v>Anak 3 sangat baik  dalam mengidentifikasi karakteristik ruang dan pemanfaatan sumberdaya alam untuk kesejahteraan masyarakat dari tingkatkota/kabupaten sampai tingkat provinsi.</v>
      </c>
      <c r="X8" s="414">
        <f>IFERROR(SBDP3!AN7,"")</f>
        <v>93</v>
      </c>
      <c r="Y8" s="414" t="str">
        <f>IFERROR(SBDP3!AO7,"")</f>
        <v>A</v>
      </c>
      <c r="Z8" s="413" t="str">
        <f>SBDP3!AT7</f>
        <v>Anak 3 sangat baik  dalam mengetahui karya seni rupa teknik tempel., dan  baik  dalam mengetahui gambar dan bentuk tiga dimensi.</v>
      </c>
      <c r="AA8" s="414">
        <f>IFERROR(PJOK3!AV7,"")</f>
        <v>97</v>
      </c>
      <c r="AB8" s="414" t="str">
        <f>IFERROR(PJOK3!AW7,"")</f>
        <v>A</v>
      </c>
      <c r="AC8" s="413" t="str">
        <f>PJOK3!BB7</f>
        <v>Anak 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8" s="414">
        <f>IFERROR('MLK1-3'!AT7,"")</f>
        <v>94</v>
      </c>
      <c r="AE8" s="414" t="str">
        <f>IFERROR('MLK1-3'!AU7,"")</f>
        <v>A</v>
      </c>
      <c r="AF8" s="415" t="str">
        <f>'MLK1-3'!AZ7</f>
        <v>Anak 3 sangat baik  dalam mengenal dan memahmi teks tembang dolanan, dan  sangat baik  dalam mengenal, memahami, dan mengidentifikasi kata berimbuhan dalam teks sesuai kaidah</v>
      </c>
      <c r="AG8" s="414">
        <f>IFERROR('MLK2-3'!AP7,"")</f>
        <v>95</v>
      </c>
      <c r="AH8" s="414" t="str">
        <f>IFERROR('MLK2-3'!AQ7,"")</f>
        <v>A</v>
      </c>
      <c r="AI8" s="413" t="str">
        <f>'MLK2-3'!AV7</f>
        <v>Anak 3 sangat baik  dalam mengenal dan mengidentifikasi benda-benda di dapur dan nama-nama bunga, dan  sangat baik  dalam memahami penggunaan waktu, tanggal, bulan, dan tahun</v>
      </c>
      <c r="AJ8" s="414">
        <f>IFERROR('MLK3-3'!AP7,"")</f>
        <v>93</v>
      </c>
      <c r="AK8" s="414" t="str">
        <f>IFERROR('MLK3-3'!AQ7,"")</f>
        <v>A</v>
      </c>
      <c r="AL8" s="415" t="str">
        <f>'MLK3-3'!AV7</f>
        <v>Anak 3 sangat baik  dalam mengenal dan memahami penggunaan microsoft  word., dan  baik  dalam memahami pembuatan dokumen di microsoft  word</v>
      </c>
      <c r="AM8" s="414">
        <f>IFERROR('PAI4'!CI8,"")</f>
        <v>89</v>
      </c>
      <c r="AN8" s="414" t="str">
        <f>IFERROR('PAI4'!CJ8,"")</f>
        <v>B</v>
      </c>
      <c r="AO8" s="415" t="str">
        <f>'PAI4'!CO8</f>
        <v>Anak 3 baik  dalam menulis kalimat- kalimat dalam Q.S. al-Falaq dan Q.S. al-Fil dengan benar</v>
      </c>
      <c r="AP8" s="414" t="str">
        <f>IFERROR('PKN4'!AD7,"")</f>
        <v/>
      </c>
      <c r="AQ8" s="414" t="str">
        <f>IFERROR('PKN4'!AE7,"")</f>
        <v/>
      </c>
      <c r="AR8" s="413" t="str">
        <f>'PKN4'!AJ7</f>
        <v xml:space="preserve"> </v>
      </c>
      <c r="AS8" s="414">
        <f>IFERROR(BIND4!AP7,"")</f>
        <v>88</v>
      </c>
      <c r="AT8" s="414" t="str">
        <f>IFERROR(BIND4!AQ7,"")</f>
        <v>B</v>
      </c>
      <c r="AU8" s="413" t="str">
        <f>BIND4!AV7</f>
        <v>Anak 3 baik  dalam melisankan puisi hasil karya pribadi dengan lafal, intonasi, dan ekspresi yang tepat sebagai bentuk ungkapan diri.</v>
      </c>
      <c r="AV8" s="414">
        <f>IFERROR('MTK4'!AP7,"")</f>
        <v>88</v>
      </c>
      <c r="AW8" s="414" t="str">
        <f>IFERROR('MTK4'!AQ7,"")</f>
        <v>B</v>
      </c>
      <c r="AX8" s="413" t="str">
        <f>'MTK4'!AV7</f>
        <v>Anak 3 baik  dalam mengidentifikasi berbagai bentuk pecahan (biasa, campuran, desimal, dan persen) dan hubungan di antaranya</v>
      </c>
      <c r="AY8" s="414" t="str">
        <f>IFERROR('IPA4'!AJ7,"")</f>
        <v/>
      </c>
      <c r="AZ8" s="414" t="str">
        <f>IFERROR('IPA4'!AK7,"")</f>
        <v/>
      </c>
      <c r="BA8" s="413" t="str">
        <f>'IPA4'!AP7</f>
        <v xml:space="preserve"> </v>
      </c>
      <c r="BB8" s="414">
        <f>IFERROR('IPS4'!AG7,"")</f>
        <v>88</v>
      </c>
      <c r="BC8" s="414" t="str">
        <f>IFERROR('IPS4'!AH7,"")</f>
        <v>B</v>
      </c>
      <c r="BD8" s="413" t="str">
        <f>'IPS4'!AM7</f>
        <v>Anak 3 baik  dalam menyajikan hasil identifikasi kegiatan ekonomi dan hubungannya dengan berbagai bidang pekerjaan, serta kehidupan sosial dan budaya di lingkungan sekitar sampai provinsi.</v>
      </c>
      <c r="BE8" s="414">
        <f>IFERROR(SBDP4!AG7,"")</f>
        <v>88</v>
      </c>
      <c r="BF8" s="414" t="str">
        <f>IFERROR(SBDP4!AH7,"")</f>
        <v>B</v>
      </c>
      <c r="BG8" s="413" t="str">
        <f>SBDP4!AM7</f>
        <v>Anak 3 baik  dalam meragakan gerak tari kreasi daerah.</v>
      </c>
      <c r="BH8" s="414" t="str">
        <f>IFERROR(PJOK4!AJ7,"")</f>
        <v/>
      </c>
      <c r="BI8" s="414" t="str">
        <f>IFERROR(PJOK4!AK7,"")</f>
        <v/>
      </c>
      <c r="BJ8" s="415" t="str">
        <f>PJOK4!AP7</f>
        <v xml:space="preserve"> </v>
      </c>
      <c r="BK8" s="414">
        <f>IFERROR('MLK1-4'!AG7,"")</f>
        <v>88</v>
      </c>
      <c r="BL8" s="414" t="str">
        <f>IFERROR('MLK1-4'!AH7,"")</f>
        <v>B</v>
      </c>
      <c r="BM8" s="413" t="str">
        <f>'MLK1-4'!AM7</f>
        <v>Anak 3 baik  dalam menulis kalimat menggunakan kata berimbuhan.</v>
      </c>
      <c r="BN8" s="414">
        <f>IFERROR('MLK2-4'!AG7,"")</f>
        <v>88</v>
      </c>
      <c r="BO8" s="414" t="str">
        <f>IFERROR('MLK2-4'!AH7,"")</f>
        <v>B</v>
      </c>
      <c r="BP8" s="413" t="str">
        <f>'MLK2-4'!AM7</f>
        <v>Anak 3 baik  dalam melakukan percakapan tentang penggunaan waktu, tanggal, bulan, dan tahun</v>
      </c>
      <c r="BQ8" s="414" t="str">
        <f>IFERROR('MLK3-4'!AG7,"")</f>
        <v/>
      </c>
      <c r="BR8" s="414" t="str">
        <f>IFERROR('MLK3-4'!AH7,"")</f>
        <v/>
      </c>
      <c r="BS8" s="413" t="str">
        <f>'MLK3-4'!AM7</f>
        <v xml:space="preserve"> </v>
      </c>
      <c r="BT8" s="414">
        <f t="shared" si="0"/>
        <v>76.272727272727266</v>
      </c>
      <c r="BU8" s="444">
        <f t="shared" si="1"/>
        <v>1678</v>
      </c>
      <c r="BV8" s="416">
        <f t="shared" si="2"/>
        <v>1678</v>
      </c>
      <c r="BW8" s="417">
        <f t="shared" si="3"/>
        <v>4</v>
      </c>
    </row>
    <row r="9" spans="1:76" ht="20.25" customHeight="1">
      <c r="A9" s="113">
        <v>4</v>
      </c>
      <c r="B9" s="113">
        <f>SISWA!B9</f>
        <v>0</v>
      </c>
      <c r="C9" s="410" t="str">
        <f>SISWA!C9</f>
        <v>Anak 4</v>
      </c>
      <c r="D9" s="411" t="str">
        <f>SPIRIT!Q8</f>
        <v xml:space="preserve">Ananda Anak 4 baik dalam  ketaatan beribadah,  berdoa sebelum dan sesudah melakukan kegiatan, dan sudah mampu meningkatkan sikap  berperilaku syukur,  toleransi dalam beribadah, </v>
      </c>
      <c r="E9" s="411" t="str">
        <f>SOSIAL!W8</f>
        <v xml:space="preserve">Ananda Anak 4 baik dalam sikap jujur, disiplin, tanggung jawab, santun, peduli, percaya diri, kerja sama, </v>
      </c>
      <c r="F9" s="412">
        <f>IFERROR('PAI3'!DU9,"")</f>
        <v>99</v>
      </c>
      <c r="G9" s="412" t="str">
        <f>IFERROR('PAI3'!DV9,"")</f>
        <v>A</v>
      </c>
      <c r="H9" s="413" t="str">
        <f>'PAI3'!EA9</f>
        <v>Anak 4 sangat baik  dalam memahami Q.S. al- Falaq dan Q.S. al- Fil dengan baik dan benar</v>
      </c>
      <c r="I9" s="412">
        <f>IFERROR('PKN3'!AI8,"")</f>
        <v>96</v>
      </c>
      <c r="J9" s="412" t="str">
        <f>IFERROR('PKN3'!AJ8,"")</f>
        <v>A</v>
      </c>
      <c r="K9" s="411" t="str">
        <f>'PKN3'!AO8</f>
        <v>Anak 4 sangat baik  dalam mengidentifikasi pelaksanaan kewajiban dan hak sebagai warga masyarakat dalam kehidupan sehari-hari., dan  sangat baik  dalam menjelaskan manfaat keberagaman karakteristik individu dalam kehidupan sehari-hari.</v>
      </c>
      <c r="L9" s="414">
        <f>IFERROR(BIND3!AU8,"")</f>
        <v>87</v>
      </c>
      <c r="M9" s="414" t="str">
        <f>IFERROR(BIND3!AV8,"")</f>
        <v>B</v>
      </c>
      <c r="N9" s="413" t="str">
        <f>BIND3!BA8</f>
        <v>Anak 4 sangat baik  dalam mencermati tokoh-tokoh yang terdapat pada teks fiksi., dan  cukup baik  dalam menggali informasi dari seorang tokoh melalui wawancara menggunakan daftar pertanyaan.</v>
      </c>
      <c r="O9" s="414">
        <f>IFERROR('MTK3'!BC8,"")</f>
        <v>97</v>
      </c>
      <c r="P9" s="414" t="str">
        <f>IFERROR('MTK3'!BD8,"")</f>
        <v>A</v>
      </c>
      <c r="Q9" s="413" t="str">
        <f>'MTK3'!BI8</f>
        <v>Anak 4 sangat baik  dalam menjelaskan dan melakukan penaksiran dari jumlah, selisih, hasil kali, dan hasil bagi dua bilangan cacah maupun pecahan dan desimal, dan  baik  dalam menjelaskan berbagai bentuk pecahan (biasa, campuran, desimal, dan persen) dan hubungan di antaranya</v>
      </c>
      <c r="R9" s="414">
        <f>IFERROR('IPA3'!AM8,"")</f>
        <v>78</v>
      </c>
      <c r="S9" s="414" t="str">
        <f>IFERROR('IPA3'!AN8,"")</f>
        <v>C</v>
      </c>
      <c r="T9" s="413" t="str">
        <f>'IPA3'!AS8</f>
        <v>Anak 4 baik  dalam mengidentifikasi berbagai sumber energi, perubahan bentuk energi, dan sumber energi alternatif (angin, air, matahari, panas bumi, bahan bakar organik, dan nuklir) dalam kehidupan sehari-hari., dan  perlu bimbingan  dalam membandingkan siklus hidup beberapa jenis makhluk hidup serta mengaitkan dengan upaya pelestariannya.</v>
      </c>
      <c r="U9" s="414">
        <f>IFERROR('IPS3'!AN8,"")</f>
        <v>99</v>
      </c>
      <c r="V9" s="414" t="str">
        <f>IFERROR('IPS3'!AO8,"")</f>
        <v>A</v>
      </c>
      <c r="W9" s="413" t="str">
        <f>'IPS3'!AT8</f>
        <v>Anak 4 sangat baik  dalam mengidentifikasi karakteristik ruang dan pemanfaatan sumberdaya alam untuk kesejahteraan masyarakat dari tingkatkota/kabupaten sampai tingkat provinsi.</v>
      </c>
      <c r="X9" s="414">
        <f>IFERROR(SBDP3!AN8,"")</f>
        <v>98</v>
      </c>
      <c r="Y9" s="414" t="str">
        <f>IFERROR(SBDP3!AO8,"")</f>
        <v>A</v>
      </c>
      <c r="Z9" s="413" t="str">
        <f>SBDP3!AT8</f>
        <v>Anak 4 sangat baik  dalam mengetahui gambar dan bentuk tiga dimensi., dan  sangat baik  dalam mengetahui gerak tari kreasi daerah.</v>
      </c>
      <c r="AA9" s="414">
        <f>IFERROR(PJOK3!AV8,"")</f>
        <v>95</v>
      </c>
      <c r="AB9" s="414" t="str">
        <f>IFERROR(PJOK3!AW8,"")</f>
        <v>A</v>
      </c>
      <c r="AC9" s="413" t="str">
        <f>PJOK3!BB8</f>
        <v>Anak 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9" s="414">
        <f>IFERROR('MLK1-3'!AT8,"")</f>
        <v>91</v>
      </c>
      <c r="AE9" s="414" t="str">
        <f>IFERROR('MLK1-3'!AU8,"")</f>
        <v>A</v>
      </c>
      <c r="AF9" s="415" t="str">
        <f>'MLK1-3'!AZ8</f>
        <v>Anak 4 sangat baik  dalam mengenal dan memahmi teks tembang dolanan, dan  baik  dalam mengenal dan memahami sandhangan aksara Jawa.</v>
      </c>
      <c r="AG9" s="414">
        <f>IFERROR('MLK2-3'!AP8,"")</f>
        <v>93</v>
      </c>
      <c r="AH9" s="414" t="str">
        <f>IFERROR('MLK2-3'!AQ8,"")</f>
        <v>A</v>
      </c>
      <c r="AI9" s="413" t="str">
        <f>'MLK2-3'!AV8</f>
        <v>Anak 4 sangat baik  dalam mengenal dan mengidentifikasi benda-benda di dapur dan nama-nama bunga, dan  baik  dalam memahami penggunaan kalimat yang menunjukkan letak suatu tempat</v>
      </c>
      <c r="AJ9" s="414">
        <f>IFERROR('MLK3-3'!AP8,"")</f>
        <v>89</v>
      </c>
      <c r="AK9" s="414" t="str">
        <f>IFERROR('MLK3-3'!AQ8,"")</f>
        <v>B</v>
      </c>
      <c r="AL9" s="415" t="str">
        <f>'MLK3-3'!AV8</f>
        <v>Anak 4 baik  dalam mengenal dan memahami penggunaan microsoft  word.</v>
      </c>
      <c r="AM9" s="414" t="str">
        <f>IFERROR('PAI4'!CI9,"")</f>
        <v/>
      </c>
      <c r="AN9" s="414" t="str">
        <f>IFERROR('PAI4'!CJ9,"")</f>
        <v/>
      </c>
      <c r="AO9" s="415" t="str">
        <f>'PAI4'!CO9</f>
        <v xml:space="preserve"> </v>
      </c>
      <c r="AP9" s="414" t="str">
        <f>IFERROR('PKN4'!AD8,"")</f>
        <v/>
      </c>
      <c r="AQ9" s="414" t="str">
        <f>IFERROR('PKN4'!AE8,"")</f>
        <v/>
      </c>
      <c r="AR9" s="413" t="str">
        <f>'PKN4'!AJ8</f>
        <v xml:space="preserve"> </v>
      </c>
      <c r="AS9" s="414">
        <f>IFERROR(BIND4!AP8,"")</f>
        <v>87</v>
      </c>
      <c r="AT9" s="414" t="str">
        <f>IFERROR(BIND4!AQ8,"")</f>
        <v>B</v>
      </c>
      <c r="AU9" s="413" t="str">
        <f>BIND4!AV8</f>
        <v>Anak 4 baik  dalam menyampaikan pengetahuan baru dari teks nonfiksi ke dalam tulisan dengan bahasa sendiri.</v>
      </c>
      <c r="AV9" s="414">
        <f>IFERROR('MTK4'!AP8,"")</f>
        <v>87</v>
      </c>
      <c r="AW9" s="414" t="str">
        <f>IFERROR('MTK4'!AQ8,"")</f>
        <v>B</v>
      </c>
      <c r="AX9" s="413" t="str">
        <f>'MTK4'!AV8</f>
        <v>Anak 4 baik  dalam menyelesaikan masalah penaksiran dari jumlah, selisih, hasil kali, dan hasil bagi dua bilangan cacah maupun pecahan dan desimal</v>
      </c>
      <c r="AY9" s="414">
        <f>IFERROR('IPA4'!AJ8,"")</f>
        <v>87</v>
      </c>
      <c r="AZ9" s="414" t="str">
        <f>IFERROR('IPA4'!AK8,"")</f>
        <v>B</v>
      </c>
      <c r="BA9" s="413" t="str">
        <f>'IPA4'!AP8</f>
        <v>Anak 4 baik  dalam menyajikan hasil percobaan tentang hubungan antara gaya dan gerak.</v>
      </c>
      <c r="BB9" s="414">
        <f>IFERROR('IPS4'!AG8,"")</f>
        <v>87</v>
      </c>
      <c r="BC9" s="414" t="str">
        <f>IFERROR('IPS4'!AH8,"")</f>
        <v>B</v>
      </c>
      <c r="BD9" s="413" t="str">
        <f>'IPS4'!AM8</f>
        <v>Anak 4 baik  dalam menyajikan hasil identifikasi kegiatan ekonomi dan hubungannya dengan berbagai bidang pekerjaan, serta kehidupan sosial dan budaya di lingkungan sekitar sampai provinsi.</v>
      </c>
      <c r="BE9" s="414">
        <f>IFERROR(SBDP4!AG8,"")</f>
        <v>87</v>
      </c>
      <c r="BF9" s="414" t="str">
        <f>IFERROR(SBDP4!AH8,"")</f>
        <v>B</v>
      </c>
      <c r="BG9" s="413" t="str">
        <f>SBDP4!AM8</f>
        <v>Anak 4 baik  dalam meragakan gerak tari kreasi daerah.</v>
      </c>
      <c r="BH9" s="414">
        <f>IFERROR(PJOK4!AJ8,"")</f>
        <v>87</v>
      </c>
      <c r="BI9" s="414" t="str">
        <f>IFERROR(PJOK4!AK8,"")</f>
        <v>B</v>
      </c>
      <c r="BJ9" s="415" t="str">
        <f>PJOK4!AP8</f>
        <v>Anak 4 baik  dalam mempraktikkan kombinasi pola gerak dasar dominan statis dan dinamis untuk membentuk keterampilan/ teknik dasar senam (seperti: handstand, kayang, meroda, dsb).</v>
      </c>
      <c r="BK9" s="414">
        <f>IFERROR('MLK1-4'!AG8,"")</f>
        <v>87</v>
      </c>
      <c r="BL9" s="414" t="str">
        <f>IFERROR('MLK1-4'!AH8,"")</f>
        <v>B</v>
      </c>
      <c r="BM9" s="413" t="str">
        <f>'MLK1-4'!AM8</f>
        <v>Anak 4 baik  dalam menulis kalimat menggunakan kata berimbuhan.</v>
      </c>
      <c r="BN9" s="414">
        <f>IFERROR('MLK2-4'!AG8,"")</f>
        <v>87</v>
      </c>
      <c r="BO9" s="414" t="str">
        <f>IFERROR('MLK2-4'!AH8,"")</f>
        <v>B</v>
      </c>
      <c r="BP9" s="413" t="str">
        <f>'MLK2-4'!AM8</f>
        <v>Anak 4 baik  dalam melakukan percakapan tentang penggunaan waktu, tanggal, bulan, dan tahun</v>
      </c>
      <c r="BQ9" s="414" t="str">
        <f>IFERROR('MLK3-4'!AG8,"")</f>
        <v/>
      </c>
      <c r="BR9" s="414" t="str">
        <f>IFERROR('MLK3-4'!AH8,"")</f>
        <v/>
      </c>
      <c r="BS9" s="413" t="str">
        <f>'MLK3-4'!AM8</f>
        <v xml:space="preserve"> </v>
      </c>
      <c r="BT9" s="414">
        <f t="shared" si="0"/>
        <v>78.090909090909093</v>
      </c>
      <c r="BU9" s="444">
        <f t="shared" si="1"/>
        <v>1718</v>
      </c>
      <c r="BV9" s="416">
        <f t="shared" si="2"/>
        <v>1718</v>
      </c>
      <c r="BW9" s="417">
        <f t="shared" si="3"/>
        <v>3</v>
      </c>
    </row>
    <row r="10" spans="1:76" ht="20.25" customHeight="1">
      <c r="A10" s="113">
        <v>5</v>
      </c>
      <c r="B10" s="113">
        <f>SISWA!B10</f>
        <v>0</v>
      </c>
      <c r="C10" s="410" t="str">
        <f>SISWA!C10</f>
        <v>Anak 5</v>
      </c>
      <c r="D10" s="411" t="str">
        <f>SPIRIT!Q9</f>
        <v xml:space="preserve">Ananda Anak 5 baik dalam  ketaatan beribadah,  berperilaku syukur,  berdoa sebelum dan sesudah melakukan kegiatan,  toleransi dalam beribadah, </v>
      </c>
      <c r="E10" s="411" t="str">
        <f>SOSIAL!W9</f>
        <v xml:space="preserve">Ananda Anak 5 baik dalam sikap jujur, disiplin, tanggung jawab, santun, peduli, percaya diri, kerja sama, </v>
      </c>
      <c r="F10" s="412">
        <f>IFERROR('PAI3'!DU10,"")</f>
        <v>99</v>
      </c>
      <c r="G10" s="412" t="str">
        <f>IFERROR('PAI3'!DV10,"")</f>
        <v>A</v>
      </c>
      <c r="H10" s="413" t="str">
        <f>'PAI3'!EA10</f>
        <v>Anak 5 sangat baik  dalam memahami Q.S. al- Falaq dan Q.S. al- Fil dengan baik dan benar</v>
      </c>
      <c r="I10" s="412">
        <f>IFERROR('PKN3'!AI9,"")</f>
        <v>96</v>
      </c>
      <c r="J10" s="412" t="str">
        <f>IFERROR('PKN3'!AJ9,"")</f>
        <v>A</v>
      </c>
      <c r="K10" s="411" t="str">
        <f>'PKN3'!AO9</f>
        <v>Anak 5 sangat baik  dalam mengidentifikasi pelaksanaan kewajiban dan hak sebagai warga masyarakat dalam kehidupan sehari-hari., dan  sangat baik  dalam menjelaskan manfaat keberagaman karakteristik individu dalam kehidupan sehari-hari.</v>
      </c>
      <c r="L10" s="414">
        <f>IFERROR(BIND3!AU9,"")</f>
        <v>97</v>
      </c>
      <c r="M10" s="414" t="str">
        <f>IFERROR(BIND3!AV9,"")</f>
        <v>A</v>
      </c>
      <c r="N10" s="413" t="str">
        <f>BIND3!BA9</f>
        <v>Anak 5 sangat baik  dalam menggali pengetahuan baru yang terdapat pada teks nonfiksi., dan  sangat baik  dalam menggali informasi dari seorang tokoh melalui wawancara menggunakan daftar pertanyaan.</v>
      </c>
      <c r="O10" s="414">
        <f>IFERROR('MTK3'!BC9,"")</f>
        <v>97</v>
      </c>
      <c r="P10" s="414" t="str">
        <f>IFERROR('MTK3'!BD9,"")</f>
        <v>A</v>
      </c>
      <c r="Q10" s="413" t="str">
        <f>'MTK3'!BI9</f>
        <v>Anak 5 sangat baik  dalam menjelaskan dan melakukan penaksiran dari jumlah, selisih, hasil kali, dan hasil bagi dua bilangan cacah maupun pecahan dan desimal, dan  baik  dalam menjelaskan berbagai bentuk pecahan (biasa, campuran, desimal, dan persen) dan hubungan di antaranya</v>
      </c>
      <c r="R10" s="414">
        <f>IFERROR('IPA3'!AM9,"")</f>
        <v>99</v>
      </c>
      <c r="S10" s="414" t="str">
        <f>IFERROR('IPA3'!AN9,"")</f>
        <v>A</v>
      </c>
      <c r="T10" s="413" t="str">
        <f>'IPA3'!AS9</f>
        <v>Anak 5 sangat baik  dalam membandingkan siklus hidup beberapa jenis makhluk hidup serta mengaitkan dengan upaya pelestariannya.</v>
      </c>
      <c r="U10" s="414">
        <f>IFERROR('IPS3'!AN9,"")</f>
        <v>99</v>
      </c>
      <c r="V10" s="414" t="str">
        <f>IFERROR('IPS3'!AO9,"")</f>
        <v>A</v>
      </c>
      <c r="W10" s="413" t="str">
        <f>'IPS3'!AT9</f>
        <v>Anak 5 sangat baik  dalam mengidentifikasi karakteristik ruang dan pemanfaatan sumberdaya alam untuk kesejahteraan masyarakat dari tingkatkota/kabupaten sampai tingkat provinsi.</v>
      </c>
      <c r="X10" s="414">
        <f>IFERROR(SBDP3!AN9,"")</f>
        <v>99</v>
      </c>
      <c r="Y10" s="414" t="str">
        <f>IFERROR(SBDP3!AO9,"")</f>
        <v>A</v>
      </c>
      <c r="Z10" s="413" t="str">
        <f>SBDP3!AT9</f>
        <v>Anak 5 sangat baik  dalam mengetahui gambar dan bentuk tiga dimensi.</v>
      </c>
      <c r="AA10" s="414">
        <f>IFERROR(PJOK3!AV9,"")</f>
        <v>95</v>
      </c>
      <c r="AB10" s="414" t="str">
        <f>IFERROR(PJOK3!AW9,"")</f>
        <v>A</v>
      </c>
      <c r="AC10" s="413" t="str">
        <f>PJOK3!BB9</f>
        <v>Anak 5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0" s="414">
        <f>IFERROR('MLK1-3'!AT9,"")</f>
        <v>91</v>
      </c>
      <c r="AE10" s="414" t="str">
        <f>IFERROR('MLK1-3'!AU9,"")</f>
        <v>A</v>
      </c>
      <c r="AF10" s="415" t="str">
        <f>'MLK1-3'!AZ9</f>
        <v>Anak 5 sangat baik  dalam mengenal dan memahmi teks tembang dolanan, dan  baik  dalam mengenal dan memahami sandhangan aksara Jawa.</v>
      </c>
      <c r="AG10" s="414">
        <f>IFERROR('MLK2-3'!AP9,"")</f>
        <v>93</v>
      </c>
      <c r="AH10" s="414" t="str">
        <f>IFERROR('MLK2-3'!AQ9,"")</f>
        <v>A</v>
      </c>
      <c r="AI10" s="413" t="str">
        <f>'MLK2-3'!AV9</f>
        <v>Anak 5 sangat baik  dalam mengenal dan mengidentifikasi benda-benda di dapur dan nama-nama bunga, dan  baik  dalam memahami penggunaan kalimat yang menunjukkan letak suatu tempat</v>
      </c>
      <c r="AJ10" s="414">
        <f>IFERROR('MLK3-3'!AP9,"")</f>
        <v>89</v>
      </c>
      <c r="AK10" s="414" t="str">
        <f>IFERROR('MLK3-3'!AQ9,"")</f>
        <v>B</v>
      </c>
      <c r="AL10" s="415" t="str">
        <f>'MLK3-3'!AV9</f>
        <v>Anak 5 baik  dalam mengenal dan memahami penggunaan microsoft  word.</v>
      </c>
      <c r="AM10" s="414" t="str">
        <f>IFERROR('PAI4'!CI10,"")</f>
        <v/>
      </c>
      <c r="AN10" s="414" t="str">
        <f>IFERROR('PAI4'!CJ10,"")</f>
        <v/>
      </c>
      <c r="AO10" s="415" t="str">
        <f>'PAI4'!CO10</f>
        <v xml:space="preserve"> </v>
      </c>
      <c r="AP10" s="414" t="str">
        <f>IFERROR('PKN4'!AD9,"")</f>
        <v/>
      </c>
      <c r="AQ10" s="414" t="str">
        <f>IFERROR('PKN4'!AE9,"")</f>
        <v/>
      </c>
      <c r="AR10" s="413" t="str">
        <f>'PKN4'!AJ9</f>
        <v xml:space="preserve"> </v>
      </c>
      <c r="AS10" s="414">
        <f>IFERROR(BIND4!AP9,"")</f>
        <v>88</v>
      </c>
      <c r="AT10" s="414" t="str">
        <f>IFERROR(BIND4!AQ9,"")</f>
        <v>B</v>
      </c>
      <c r="AU10" s="413" t="str">
        <f>BIND4!AV9</f>
        <v>Anak 5 baik  dalam menyampaikan hasil identifikasi tokoh-tokoh yang terdapat pada teks fiksi secara lisan, tulis, dan visual.</v>
      </c>
      <c r="AV10" s="414">
        <f>IFERROR('MTK4'!AP9,"")</f>
        <v>88</v>
      </c>
      <c r="AW10" s="414" t="str">
        <f>IFERROR('MTK4'!AQ9,"")</f>
        <v>B</v>
      </c>
      <c r="AX10" s="413" t="str">
        <f>'MTK4'!AV9</f>
        <v xml:space="preserve">Anak 5 baik  dalam mengidentifikasi  faktor dan kelipatan suatu bilangan </v>
      </c>
      <c r="AY10" s="414">
        <f>IFERROR('IPA4'!AJ9,"")</f>
        <v>88</v>
      </c>
      <c r="AZ10" s="414" t="str">
        <f>IFERROR('IPA4'!AK9,"")</f>
        <v>B</v>
      </c>
      <c r="BA10" s="413" t="str">
        <f>'IPA4'!AP9</f>
        <v>Anak 5 baik  dalam menyajikan laporan hasil pengamatan dan penelusuran informasi tentang berbagai perubahan bentuk energi.</v>
      </c>
      <c r="BB10" s="414">
        <f>IFERROR('IPS4'!AG9,"")</f>
        <v>88</v>
      </c>
      <c r="BC10" s="414" t="str">
        <f>IFERROR('IPS4'!AH9,"")</f>
        <v>B</v>
      </c>
      <c r="BD10" s="413" t="str">
        <f>'IPS4'!AM9</f>
        <v>Anak 5 baik  dalam 0</v>
      </c>
      <c r="BE10" s="414">
        <f>IFERROR(SBDP4!AG9,"")</f>
        <v>88</v>
      </c>
      <c r="BF10" s="414" t="str">
        <f>IFERROR(SBDP4!AH9,"")</f>
        <v>B</v>
      </c>
      <c r="BG10" s="413" t="str">
        <f>SBDP4!AM9</f>
        <v>Anak 5 baik  dalam membuat karya kolase, montase, aplikasi, dan mozaik.</v>
      </c>
      <c r="BH10" s="414">
        <f>IFERROR(PJOK4!AJ9,"")</f>
        <v>88</v>
      </c>
      <c r="BI10" s="414" t="str">
        <f>IFERROR(PJOK4!AK9,"")</f>
        <v>B</v>
      </c>
      <c r="BJ10" s="415" t="str">
        <f>PJOK4!AP9</f>
        <v>Anak 5 baik  dalam mempraktikkan berbagai aktivitas kebugaran jasmani untuk mencapai tinggi dan berat badan ideal</v>
      </c>
      <c r="BK10" s="414" t="str">
        <f>IFERROR('MLK1-4'!AG9,"")</f>
        <v/>
      </c>
      <c r="BL10" s="414" t="str">
        <f>IFERROR('MLK1-4'!AH9,"")</f>
        <v/>
      </c>
      <c r="BM10" s="413" t="str">
        <f>'MLK1-4'!AM9</f>
        <v xml:space="preserve"> </v>
      </c>
      <c r="BN10" s="414">
        <f>IFERROR('MLK2-4'!AG9,"")</f>
        <v>88</v>
      </c>
      <c r="BO10" s="414" t="str">
        <f>IFERROR('MLK2-4'!AH9,"")</f>
        <v>B</v>
      </c>
      <c r="BP10" s="413" t="str">
        <f>'MLK2-4'!AM9</f>
        <v>Anak 5 baik  dalam menyajikan data tentang benda-benda di dapur beserta kegunaannya dan nama- nama bunga beserta ciri-cirinya</v>
      </c>
      <c r="BQ10" s="414" t="str">
        <f>IFERROR('MLK3-4'!AG9,"")</f>
        <v/>
      </c>
      <c r="BR10" s="414" t="str">
        <f>IFERROR('MLK3-4'!AH9,"")</f>
        <v/>
      </c>
      <c r="BS10" s="413" t="str">
        <f>'MLK3-4'!AM9</f>
        <v xml:space="preserve"> </v>
      </c>
      <c r="BT10" s="414">
        <f t="shared" si="0"/>
        <v>75.909090909090907</v>
      </c>
      <c r="BU10" s="444">
        <f t="shared" si="1"/>
        <v>1670</v>
      </c>
      <c r="BV10" s="416">
        <f t="shared" si="2"/>
        <v>1670</v>
      </c>
      <c r="BW10" s="417">
        <f t="shared" si="3"/>
        <v>5</v>
      </c>
    </row>
    <row r="11" spans="1:76" ht="20.25" customHeight="1">
      <c r="A11" s="113">
        <v>6</v>
      </c>
      <c r="B11" s="113">
        <f>SISWA!B11</f>
        <v>0</v>
      </c>
      <c r="C11" s="410" t="str">
        <f>SISWA!C11</f>
        <v>Anak 6</v>
      </c>
      <c r="D11" s="411" t="str">
        <f>SPIRIT!Q10</f>
        <v xml:space="preserve">Ananda Anak 6 baik dalam  ketaatan beribadah,  berperilaku syukur,  berdoa sebelum dan sesudah melakukan kegiatan,  toleransi dalam beribadah, </v>
      </c>
      <c r="E11" s="411" t="str">
        <f>SOSIAL!W10</f>
        <v xml:space="preserve">Ananda Anak 6 sangat kerja sama, dan sudah mampu meningkatkan sikap tanggung jawab, </v>
      </c>
      <c r="F11" s="412">
        <f>IFERROR('PAI3'!DU11,"")</f>
        <v>99</v>
      </c>
      <c r="G11" s="412" t="str">
        <f>IFERROR('PAI3'!DV11,"")</f>
        <v>A</v>
      </c>
      <c r="H11" s="413" t="str">
        <f>'PAI3'!EA11</f>
        <v>Anak 6 sangat baik  dalam memahami Q.S. al- Falaq dan Q.S. al- Fil dengan baik dan benar</v>
      </c>
      <c r="I11" s="412">
        <f>IFERROR('PKN3'!AI10,"")</f>
        <v>95</v>
      </c>
      <c r="J11" s="412" t="str">
        <f>IFERROR('PKN3'!AJ10,"")</f>
        <v>A</v>
      </c>
      <c r="K11" s="411" t="str">
        <f>'PKN3'!AO10</f>
        <v>Anak 6 sangat baik  dalam mengidentifikasi pelaksanaan kewajiban dan hak sebagai warga masyarakat dalam kehidupan sehari-hari., dan  sangat baik  dalam mengidentifikasi berbagai bentuk keragaman suku bangsa, sosial, dan budaya di Indonesia yang terikat persatuan dan kesatuan.</v>
      </c>
      <c r="L11" s="414">
        <f>IFERROR(BIND3!AU10,"")</f>
        <v>96</v>
      </c>
      <c r="M11" s="414" t="str">
        <f>IFERROR(BIND3!AV10,"")</f>
        <v>A</v>
      </c>
      <c r="N11" s="413" t="str">
        <f>BIND3!BA10</f>
        <v>Anak 6 sangat baik  dalam menggali pengetahuan baru yang terdapat pada teks nonfiksi., dan  sangat baik  dalam menggali isi dan amanat puisi yang disajikan secara lisan dan tulis dengan tujuan untuk kesenangan.</v>
      </c>
      <c r="O11" s="414">
        <f>IFERROR('MTK3'!BC10,"")</f>
        <v>96</v>
      </c>
      <c r="P11" s="414" t="str">
        <f>IFERROR('MTK3'!BD10,"")</f>
        <v>A</v>
      </c>
      <c r="Q11" s="413" t="str">
        <f>'MTK3'!BI10</f>
        <v>Anak 6 sangat baik  dalam menjelaskan dan melakukan penaksiran dari jumlah, selisih, hasil kali, dan hasil bagi dua bilangan cacah maupun pecahan dan desimal, dan  baik  dalam menjelaskan berbagai bentuk pecahan (biasa, campuran, desimal, dan persen) dan hubungan di antaranya</v>
      </c>
      <c r="R11" s="414">
        <f>IFERROR('IPA3'!AM10,"")</f>
        <v>99</v>
      </c>
      <c r="S11" s="414" t="str">
        <f>IFERROR('IPA3'!AN10,"")</f>
        <v>A</v>
      </c>
      <c r="T11" s="413" t="str">
        <f>'IPA3'!AS10</f>
        <v>Anak 6 sangat baik  dalam membandingkan siklus hidup beberapa jenis makhluk hidup serta mengaitkan dengan upaya pelestariannya.</v>
      </c>
      <c r="U11" s="414">
        <f>IFERROR('IPS3'!AN10,"")</f>
        <v>99</v>
      </c>
      <c r="V11" s="414" t="str">
        <f>IFERROR('IPS3'!AO10,"")</f>
        <v>A</v>
      </c>
      <c r="W11" s="413" t="str">
        <f>'IPS3'!AT10</f>
        <v>Anak 6 sangat baik  dalam mengidentifikasi karakteristik ruang dan pemanfaatan sumberdaya alam untuk kesejahteraan masyarakat dari tingkatkota/kabupaten sampai tingkat provinsi.</v>
      </c>
      <c r="X11" s="414">
        <f>IFERROR(SBDP3!AN10,"")</f>
        <v>99</v>
      </c>
      <c r="Y11" s="414" t="str">
        <f>IFERROR(SBDP3!AO10,"")</f>
        <v>A</v>
      </c>
      <c r="Z11" s="413" t="str">
        <f>SBDP3!AT10</f>
        <v>Anak 6 sangat baik  dalam mengetahui gambar dan bentuk tiga dimensi.</v>
      </c>
      <c r="AA11" s="414">
        <f>IFERROR(PJOK3!AV10,"")</f>
        <v>94</v>
      </c>
      <c r="AB11" s="414" t="str">
        <f>IFERROR(PJOK3!AW10,"")</f>
        <v>A</v>
      </c>
      <c r="AC11" s="413" t="str">
        <f>PJOK3!BB10</f>
        <v>Anak 6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11" s="414">
        <f>IFERROR('MLK1-3'!AT10,"")</f>
        <v>89</v>
      </c>
      <c r="AE11" s="414" t="str">
        <f>IFERROR('MLK1-3'!AU10,"")</f>
        <v>B</v>
      </c>
      <c r="AF11" s="415" t="str">
        <f>'MLK1-3'!AZ10</f>
        <v>Anak 6 sangat baik  dalam mengenal dan memahmi teks tembang dolanan, dan  baik  dalam mengenal dan memahami sandhangan aksara Jawa.</v>
      </c>
      <c r="AG11" s="414">
        <f>IFERROR('MLK2-3'!AP10,"")</f>
        <v>92</v>
      </c>
      <c r="AH11" s="414" t="str">
        <f>IFERROR('MLK2-3'!AQ10,"")</f>
        <v>A</v>
      </c>
      <c r="AI11" s="413" t="str">
        <f>'MLK2-3'!AV10</f>
        <v>Anak 6 sangat baik  dalam mengenal dan mengidentifikasi benda-benda di dapur dan nama-nama bunga, dan  baik  dalam memahami penggunaan kalimat yang menunjukkan letak suatu tempat</v>
      </c>
      <c r="AJ11" s="414">
        <f>IFERROR('MLK3-3'!AP10,"")</f>
        <v>86</v>
      </c>
      <c r="AK11" s="414" t="str">
        <f>IFERROR('MLK3-3'!AQ10,"")</f>
        <v>B</v>
      </c>
      <c r="AL11" s="415" t="str">
        <f>'MLK3-3'!AV10</f>
        <v>Anak 6 baik  dalam mengenal dan memahami penggunaan microsoft  word., dan  baik  dalam memahami pembuatan dokumen di microsoft  word</v>
      </c>
      <c r="AM11" s="414" t="str">
        <f>IFERROR('PAI4'!CI11,"")</f>
        <v/>
      </c>
      <c r="AN11" s="414" t="str">
        <f>IFERROR('PAI4'!CJ11,"")</f>
        <v/>
      </c>
      <c r="AO11" s="415" t="str">
        <f>'PAI4'!CO11</f>
        <v xml:space="preserve"> </v>
      </c>
      <c r="AP11" s="414" t="str">
        <f>IFERROR('PKN4'!AD10,"")</f>
        <v/>
      </c>
      <c r="AQ11" s="414" t="str">
        <f>IFERROR('PKN4'!AE10,"")</f>
        <v/>
      </c>
      <c r="AR11" s="413" t="str">
        <f>'PKN4'!AJ10</f>
        <v xml:space="preserve"> </v>
      </c>
      <c r="AS11" s="414">
        <f>IFERROR(BIND4!AP10,"")</f>
        <v>77</v>
      </c>
      <c r="AT11" s="414" t="str">
        <f>IFERROR(BIND4!AQ10,"")</f>
        <v>C</v>
      </c>
      <c r="AU11" s="413" t="str">
        <f>BIND4!AV10</f>
        <v>Anak 6 cukup baik  dalam menyajikan hasil membandingkan watak setiap tokoh pada teks fiksi secara lisan, tulis, dan visual.</v>
      </c>
      <c r="AV11" s="414">
        <f>IFERROR('MTK4'!AP10,"")</f>
        <v>77</v>
      </c>
      <c r="AW11" s="414" t="str">
        <f>IFERROR('MTK4'!AQ10,"")</f>
        <v>C</v>
      </c>
      <c r="AX11" s="413" t="str">
        <f>'MTK4'!AV10</f>
        <v xml:space="preserve">Anak 6 cukup baik  dalam mengidentifikasi bilangan prima </v>
      </c>
      <c r="AY11" s="414">
        <f>IFERROR('IPA4'!AJ10,"")</f>
        <v>77</v>
      </c>
      <c r="AZ11" s="414" t="str">
        <f>IFERROR('IPA4'!AK10,"")</f>
        <v>C</v>
      </c>
      <c r="BA11" s="413" t="str">
        <f>'IPA4'!AP10</f>
        <v>Anak 6 cukup baik  dalam 0</v>
      </c>
      <c r="BB11" s="414" t="str">
        <f>IFERROR('IPS4'!AG10,"")</f>
        <v/>
      </c>
      <c r="BC11" s="414" t="str">
        <f>IFERROR('IPS4'!AH10,"")</f>
        <v/>
      </c>
      <c r="BD11" s="413" t="str">
        <f>'IPS4'!AM10</f>
        <v xml:space="preserve"> </v>
      </c>
      <c r="BE11" s="414" t="str">
        <f>IFERROR(SBDP4!AG10,"")</f>
        <v/>
      </c>
      <c r="BF11" s="414" t="str">
        <f>IFERROR(SBDP4!AH10,"")</f>
        <v/>
      </c>
      <c r="BG11" s="413" t="str">
        <f>SBDP4!AM10</f>
        <v xml:space="preserve"> </v>
      </c>
      <c r="BH11" s="414">
        <f>IFERROR(PJOK4!AJ10,"")</f>
        <v>77</v>
      </c>
      <c r="BI11" s="414" t="str">
        <f>IFERROR(PJOK4!AK10,"")</f>
        <v>C</v>
      </c>
      <c r="BJ11" s="415" t="str">
        <f>PJOK4!AP10</f>
        <v>Anak 6 cukup baik  dalam mempraktikkan penggunaan kombinasi pola gerak dasar lokomotor, nonlokomotor dan manipulatif sesuai dengan irama (ketukan) tanpa/dengan musik dalam aktivitas gerak rimtik.</v>
      </c>
      <c r="BK11" s="414" t="str">
        <f>IFERROR('MLK1-4'!AG10,"")</f>
        <v/>
      </c>
      <c r="BL11" s="414" t="str">
        <f>IFERROR('MLK1-4'!AH10,"")</f>
        <v/>
      </c>
      <c r="BM11" s="413" t="str">
        <f>'MLK1-4'!AM10</f>
        <v xml:space="preserve"> </v>
      </c>
      <c r="BN11" s="414" t="str">
        <f>IFERROR('MLK2-4'!AG10,"")</f>
        <v/>
      </c>
      <c r="BO11" s="414" t="str">
        <f>IFERROR('MLK2-4'!AH10,"")</f>
        <v/>
      </c>
      <c r="BP11" s="413" t="str">
        <f>'MLK2-4'!AM10</f>
        <v xml:space="preserve"> </v>
      </c>
      <c r="BQ11" s="414" t="str">
        <f>IFERROR('MLK3-4'!AG10,"")</f>
        <v/>
      </c>
      <c r="BR11" s="414" t="str">
        <f>IFERROR('MLK3-4'!AH10,"")</f>
        <v/>
      </c>
      <c r="BS11" s="413" t="str">
        <f>'MLK3-4'!AM10</f>
        <v xml:space="preserve"> </v>
      </c>
      <c r="BT11" s="414">
        <f t="shared" si="0"/>
        <v>61.454545454545453</v>
      </c>
      <c r="BU11" s="444">
        <f t="shared" si="1"/>
        <v>1352</v>
      </c>
      <c r="BV11" s="416">
        <f t="shared" si="2"/>
        <v>1352</v>
      </c>
      <c r="BW11" s="417">
        <f t="shared" si="3"/>
        <v>6</v>
      </c>
    </row>
    <row r="12" spans="1:76" ht="20.25" customHeight="1">
      <c r="A12" s="113">
        <v>7</v>
      </c>
      <c r="B12" s="113">
        <f>SISWA!B12</f>
        <v>0</v>
      </c>
      <c r="C12" s="410" t="str">
        <f>SISWA!C12</f>
        <v>Anak 7</v>
      </c>
      <c r="D12" s="411" t="str">
        <f>SPIRIT!Q11</f>
        <v xml:space="preserve">Ananda Anak 7 sangat baik dalam  ketaatan beribadah, baik dalam  berperilaku syukur,  berdoa sebelum dan sesudah melakukan kegiatan,  toleransi dalam beribadah, </v>
      </c>
      <c r="E12" s="411" t="str">
        <f>SOSIAL!W11</f>
        <v xml:space="preserve">Ananda Anak 7 baik dalam sikap jujur, disiplin, tanggung jawab, santun, peduli, percaya diri, kerja sama, </v>
      </c>
      <c r="F12" s="412">
        <f>IFERROR('PAI3'!DU12,"")</f>
        <v>99</v>
      </c>
      <c r="G12" s="412" t="str">
        <f>IFERROR('PAI3'!DV12,"")</f>
        <v>A</v>
      </c>
      <c r="H12" s="413" t="str">
        <f>'PAI3'!EA12</f>
        <v>Anak 7 sangat baik  dalam memahami Q.S. al- Falaq dan Q.S. al- Fil dengan baik dan benar</v>
      </c>
      <c r="I12" s="412">
        <f>IFERROR('PKN3'!AI11,"")</f>
        <v>94</v>
      </c>
      <c r="J12" s="412" t="str">
        <f>IFERROR('PKN3'!AJ11,"")</f>
        <v>A</v>
      </c>
      <c r="K12" s="411" t="str">
        <f>'PKN3'!AO11</f>
        <v>Anak 7 sangat baik  dalam mengidentifikasi pelaksanaan kewajiban dan hak sebagai warga masyarakat dalam kehidupan sehari-hari., dan  sangat baik  dalam menjelaskan manfaat keberagaman karakteristik individu dalam kehidupan sehari-hari.</v>
      </c>
      <c r="L12" s="414">
        <f>IFERROR(BIND3!AU11,"")</f>
        <v>95</v>
      </c>
      <c r="M12" s="414" t="str">
        <f>IFERROR(BIND3!AV11,"")</f>
        <v>A</v>
      </c>
      <c r="N12" s="413" t="str">
        <f>BIND3!BA11</f>
        <v>Anak 7 sangat baik  dalam menggali pengetahuan baru yang terdapat pada teks nonfiksi., dan  baik  dalam menggali informasi dari seorang tokoh melalui wawancara menggunakan daftar pertanyaan.</v>
      </c>
      <c r="O12" s="414">
        <f>IFERROR('MTK3'!BC11,"")</f>
        <v>96</v>
      </c>
      <c r="P12" s="414" t="str">
        <f>IFERROR('MTK3'!BD11,"")</f>
        <v>A</v>
      </c>
      <c r="Q12" s="413" t="str">
        <f>'MTK3'!BI11</f>
        <v>Anak 7 sangat baik  dalam menjelaskan dan melakukan penaksiran dari jumlah, selisih, hasil kali, dan hasil bagi dua bilangan cacah maupun pecahan dan desimal, dan  baik  dalam menjelaskan berbagai bentuk pecahan (biasa, campuran, desimal, dan persen) dan hubungan di antaranya</v>
      </c>
      <c r="R12" s="414">
        <f>IFERROR('IPA3'!AM11,"")</f>
        <v>99</v>
      </c>
      <c r="S12" s="414" t="str">
        <f>IFERROR('IPA3'!AN11,"")</f>
        <v>A</v>
      </c>
      <c r="T12" s="413" t="str">
        <f>'IPA3'!AS11</f>
        <v>Anak 7 sangat baik  dalam membandingkan siklus hidup beberapa jenis makhluk hidup serta mengaitkan dengan upaya pelestariannya.</v>
      </c>
      <c r="U12" s="414">
        <f>IFERROR('IPS3'!AN11,"")</f>
        <v>99</v>
      </c>
      <c r="V12" s="414" t="str">
        <f>IFERROR('IPS3'!AO11,"")</f>
        <v>A</v>
      </c>
      <c r="W12" s="413" t="str">
        <f>'IPS3'!AT11</f>
        <v>Anak 7 sangat baik  dalam mengidentifikasi karakteristik ruang dan pemanfaatan sumberdaya alam untuk kesejahteraan masyarakat dari tingkatkota/kabupaten sampai tingkat provinsi.</v>
      </c>
      <c r="X12" s="414">
        <f>IFERROR(SBDP3!AN11,"")</f>
        <v>99</v>
      </c>
      <c r="Y12" s="414" t="str">
        <f>IFERROR(SBDP3!AO11,"")</f>
        <v>A</v>
      </c>
      <c r="Z12" s="413" t="str">
        <f>SBDP3!AT11</f>
        <v>Anak 7 sangat baik  dalam mengetahui gambar dan bentuk tiga dimensi.</v>
      </c>
      <c r="AA12" s="414">
        <f>IFERROR(PJOK3!AV11,"")</f>
        <v>93</v>
      </c>
      <c r="AB12" s="414" t="str">
        <f>IFERROR(PJOK3!AW11,"")</f>
        <v>A</v>
      </c>
      <c r="AC12" s="413" t="str">
        <f>PJOK3!BB11</f>
        <v>Anak 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2" s="414">
        <f>IFERROR('MLK1-3'!AT11,"")</f>
        <v>87</v>
      </c>
      <c r="AE12" s="414" t="str">
        <f>IFERROR('MLK1-3'!AU11,"")</f>
        <v>B</v>
      </c>
      <c r="AF12" s="415" t="str">
        <f>'MLK1-3'!AZ11</f>
        <v>Anak 7 baik  dalam mengenal, memahami, dan mengidentifikasi kata berimbuhan dalam teks sesuai kaidah, dan  baik  dalam mengenal dan memahami sandhangan aksara Jawa.</v>
      </c>
      <c r="AG12" s="414">
        <f>IFERROR('MLK2-3'!AP11,"")</f>
        <v>90</v>
      </c>
      <c r="AH12" s="414" t="str">
        <f>IFERROR('MLK2-3'!AQ11,"")</f>
        <v>B</v>
      </c>
      <c r="AI12" s="413" t="str">
        <f>'MLK2-3'!AV11</f>
        <v>Anak 7 sangat baik  dalam mengenal dan mengidentifikasi benda-benda di dapur dan nama-nama bunga, dan  baik  dalam memahami penggunaan kalimat yang menunjukkan letak suatu tempat</v>
      </c>
      <c r="AJ12" s="414">
        <f>IFERROR('MLK3-3'!AP11,"")</f>
        <v>84</v>
      </c>
      <c r="AK12" s="414" t="str">
        <f>IFERROR('MLK3-3'!AQ11,"")</f>
        <v>B</v>
      </c>
      <c r="AL12" s="415" t="str">
        <f>'MLK3-3'!AV11</f>
        <v>Anak 7 baik  dalam memahami pembuatan dokumen di microsoft  word, dan  baik  dalam mengenal dan memahami penggunaan microsoft  word.</v>
      </c>
      <c r="AM12" s="414" t="str">
        <f>IFERROR('PAI4'!CI12,"")</f>
        <v/>
      </c>
      <c r="AN12" s="414" t="str">
        <f>IFERROR('PAI4'!CJ12,"")</f>
        <v/>
      </c>
      <c r="AO12" s="415" t="str">
        <f>'PAI4'!CO12</f>
        <v xml:space="preserve"> </v>
      </c>
      <c r="AP12" s="414" t="str">
        <f>IFERROR('PKN4'!AD11,"")</f>
        <v/>
      </c>
      <c r="AQ12" s="414" t="str">
        <f>IFERROR('PKN4'!AE11,"")</f>
        <v/>
      </c>
      <c r="AR12" s="413" t="str">
        <f>'PKN4'!AJ11</f>
        <v xml:space="preserve"> </v>
      </c>
      <c r="AS12" s="414">
        <f>IFERROR(BIND4!AP11,"")</f>
        <v>77</v>
      </c>
      <c r="AT12" s="414" t="str">
        <f>IFERROR(BIND4!AQ11,"")</f>
        <v>C</v>
      </c>
      <c r="AU12" s="413" t="str">
        <f>BIND4!AV11</f>
        <v>Anak 7 cukup baik  dalam 0</v>
      </c>
      <c r="AV12" s="414">
        <f>IFERROR('MTK4'!AP11,"")</f>
        <v>77</v>
      </c>
      <c r="AW12" s="414" t="str">
        <f>IFERROR('MTK4'!AQ11,"")</f>
        <v>C</v>
      </c>
      <c r="AX12" s="413" t="str">
        <f>'MTK4'!AV11</f>
        <v>Anak 7 cukup baik  dalam menyelesaikan masalah yang berkaitan dengan faktor persekutuan, faktor persekutuan terbesar (FPB), kelipatan persekutuan, dan kelipatan persekutuan terkecil (KPK) dari dua bilangan berkaitan dengan kehidupan sehari-hari</v>
      </c>
      <c r="AY12" s="414" t="str">
        <f>IFERROR('IPA4'!AJ11,"")</f>
        <v/>
      </c>
      <c r="AZ12" s="414" t="str">
        <f>IFERROR('IPA4'!AK11,"")</f>
        <v/>
      </c>
      <c r="BA12" s="413" t="str">
        <f>'IPA4'!AP11</f>
        <v xml:space="preserve"> </v>
      </c>
      <c r="BB12" s="414" t="str">
        <f>IFERROR('IPS4'!AG11,"")</f>
        <v/>
      </c>
      <c r="BC12" s="414" t="str">
        <f>IFERROR('IPS4'!AH11,"")</f>
        <v/>
      </c>
      <c r="BD12" s="413" t="str">
        <f>'IPS4'!AM11</f>
        <v xml:space="preserve"> </v>
      </c>
      <c r="BE12" s="414" t="str">
        <f>IFERROR(SBDP4!AG11,"")</f>
        <v/>
      </c>
      <c r="BF12" s="414" t="str">
        <f>IFERROR(SBDP4!AH11,"")</f>
        <v/>
      </c>
      <c r="BG12" s="413" t="str">
        <f>SBDP4!AM11</f>
        <v xml:space="preserve"> </v>
      </c>
      <c r="BH12" s="414" t="str">
        <f>IFERROR(PJOK4!AJ11,"")</f>
        <v/>
      </c>
      <c r="BI12" s="414" t="str">
        <f>IFERROR(PJOK4!AK11,"")</f>
        <v/>
      </c>
      <c r="BJ12" s="415" t="str">
        <f>PJOK4!AP11</f>
        <v xml:space="preserve"> </v>
      </c>
      <c r="BK12" s="414" t="str">
        <f>IFERROR('MLK1-4'!AG11,"")</f>
        <v/>
      </c>
      <c r="BL12" s="414" t="str">
        <f>IFERROR('MLK1-4'!AH11,"")</f>
        <v/>
      </c>
      <c r="BM12" s="413" t="str">
        <f>'MLK1-4'!AM11</f>
        <v xml:space="preserve"> </v>
      </c>
      <c r="BN12" s="414" t="str">
        <f>IFERROR('MLK2-4'!AG11,"")</f>
        <v/>
      </c>
      <c r="BO12" s="414" t="str">
        <f>IFERROR('MLK2-4'!AH11,"")</f>
        <v/>
      </c>
      <c r="BP12" s="413" t="str">
        <f>'MLK2-4'!AM11</f>
        <v xml:space="preserve"> </v>
      </c>
      <c r="BQ12" s="414" t="str">
        <f>IFERROR('MLK3-4'!AG11,"")</f>
        <v/>
      </c>
      <c r="BR12" s="414" t="str">
        <f>IFERROR('MLK3-4'!AH11,"")</f>
        <v/>
      </c>
      <c r="BS12" s="413" t="str">
        <f>'MLK3-4'!AM11</f>
        <v xml:space="preserve"> </v>
      </c>
      <c r="BT12" s="414">
        <f t="shared" si="0"/>
        <v>54.045454545454547</v>
      </c>
      <c r="BU12" s="444">
        <f t="shared" si="1"/>
        <v>1189</v>
      </c>
      <c r="BV12" s="416">
        <f t="shared" si="2"/>
        <v>1189</v>
      </c>
      <c r="BW12" s="417">
        <f t="shared" si="3"/>
        <v>7</v>
      </c>
    </row>
    <row r="13" spans="1:76" ht="20.25" customHeight="1">
      <c r="A13" s="113">
        <v>8</v>
      </c>
      <c r="B13" s="113">
        <f>SISWA!B13</f>
        <v>0</v>
      </c>
      <c r="C13" s="410" t="str">
        <f>SISWA!C13</f>
        <v>Anak 8</v>
      </c>
      <c r="D13" s="411" t="str">
        <f>SPIRIT!Q12</f>
        <v xml:space="preserve">Ananda Anak 8 baik dalam  ketaatan beribadah,  berperilaku syukur,  berdoa sebelum dan sesudah melakukan kegiatan,  toleransi dalam beribadah, </v>
      </c>
      <c r="E13" s="411" t="str">
        <f>SOSIAL!W12</f>
        <v xml:space="preserve">Ananda Anak 8 baik dalam sikap jujur, disiplin, tanggung jawab, santun, peduli, percaya diri, kerja sama, </v>
      </c>
      <c r="F13" s="412">
        <f>IFERROR('PAI3'!DU13,"")</f>
        <v>99</v>
      </c>
      <c r="G13" s="412" t="str">
        <f>IFERROR('PAI3'!DV13,"")</f>
        <v>A</v>
      </c>
      <c r="H13" s="413" t="str">
        <f>'PAI3'!EA13</f>
        <v>Anak 8 sangat baik  dalam memahami Q.S. al- Falaq dan Q.S. al- Fil dengan baik dan benar</v>
      </c>
      <c r="I13" s="412">
        <f>IFERROR('PKN3'!AI12,"")</f>
        <v>95</v>
      </c>
      <c r="J13" s="412" t="str">
        <f>IFERROR('PKN3'!AJ12,"")</f>
        <v>A</v>
      </c>
      <c r="K13" s="411" t="str">
        <f>'PKN3'!AO12</f>
        <v>Anak 8 sangat baik  dalam mengidentifikasi pelaksanaan kewajiban dan hak sebagai warga masyarakat dalam kehidupan sehari-hari., dan  sangat baik  dalam menjelaskan manfaat keberagaman karakteristik individu dalam kehidupan sehari-hari.</v>
      </c>
      <c r="L13" s="414">
        <f>IFERROR(BIND3!AU12,"")</f>
        <v>96</v>
      </c>
      <c r="M13" s="414" t="str">
        <f>IFERROR(BIND3!AV12,"")</f>
        <v>A</v>
      </c>
      <c r="N13" s="413" t="str">
        <f>BIND3!BA12</f>
        <v>Anak 8 sangat baik  dalam menggali pengetahuan baru yang terdapat pada teks nonfiksi., dan  baik  dalam menggali informasi dari seorang tokoh melalui wawancara menggunakan daftar pertanyaan.</v>
      </c>
      <c r="O13" s="414">
        <f>IFERROR('MTK3'!BC12,"")</f>
        <v>96</v>
      </c>
      <c r="P13" s="414" t="str">
        <f>IFERROR('MTK3'!BD12,"")</f>
        <v>A</v>
      </c>
      <c r="Q13" s="413" t="str">
        <f>'MTK3'!BI12</f>
        <v>Anak 8 sangat baik  dalam menjelaskan dan melakukan penaksiran dari jumlah, selisih, hasil kali, dan hasil bagi dua bilangan cacah maupun pecahan dan desimal, dan  baik  dalam menjelaskan berbagai bentuk pecahan (biasa, campuran, desimal, dan persen) dan hubungan di antaranya</v>
      </c>
      <c r="R13" s="414">
        <f>IFERROR('IPA3'!AM12,"")</f>
        <v>99</v>
      </c>
      <c r="S13" s="414" t="str">
        <f>IFERROR('IPA3'!AN12,"")</f>
        <v>A</v>
      </c>
      <c r="T13" s="413" t="str">
        <f>'IPA3'!AS12</f>
        <v>Anak 8 sangat baik  dalam membandingkan siklus hidup beberapa jenis makhluk hidup serta mengaitkan dengan upaya pelestariannya.</v>
      </c>
      <c r="U13" s="414">
        <f>IFERROR('IPS3'!AN12,"")</f>
        <v>99</v>
      </c>
      <c r="V13" s="414" t="str">
        <f>IFERROR('IPS3'!AO12,"")</f>
        <v>A</v>
      </c>
      <c r="W13" s="413" t="str">
        <f>'IPS3'!AT12</f>
        <v>Anak 8 sangat baik  dalam mengidentifikasi karakteristik ruang dan pemanfaatan sumberdaya alam untuk kesejahteraan masyarakat dari tingkatkota/kabupaten sampai tingkat provinsi.</v>
      </c>
      <c r="X13" s="414">
        <f>IFERROR(SBDP3!AN12,"")</f>
        <v>99</v>
      </c>
      <c r="Y13" s="414" t="str">
        <f>IFERROR(SBDP3!AO12,"")</f>
        <v>A</v>
      </c>
      <c r="Z13" s="413" t="str">
        <f>SBDP3!AT12</f>
        <v>Anak 8 sangat baik  dalam mengetahui gambar dan bentuk tiga dimensi.</v>
      </c>
      <c r="AA13" s="414">
        <f>IFERROR(PJOK3!AV12,"")</f>
        <v>94</v>
      </c>
      <c r="AB13" s="414" t="str">
        <f>IFERROR(PJOK3!AW12,"")</f>
        <v>A</v>
      </c>
      <c r="AC13" s="413" t="str">
        <f>PJOK3!BB12</f>
        <v>Anak 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3" s="414">
        <f>IFERROR('MLK1-3'!AT12,"")</f>
        <v>90</v>
      </c>
      <c r="AE13" s="414" t="str">
        <f>IFERROR('MLK1-3'!AU12,"")</f>
        <v>B</v>
      </c>
      <c r="AF13" s="415" t="str">
        <f>'MLK1-3'!AZ12</f>
        <v>Anak 8 sangat baik  dalam mengenal, memahami, dan mengidentifikasi kata berimbuhan dalam teks sesuai kaidah, dan  baik  dalam mengenal dan memahami sandhangan aksara Jawa.</v>
      </c>
      <c r="AG13" s="414">
        <f>IFERROR('MLK2-3'!AP12,"")</f>
        <v>92</v>
      </c>
      <c r="AH13" s="414" t="str">
        <f>IFERROR('MLK2-3'!AQ12,"")</f>
        <v>A</v>
      </c>
      <c r="AI13" s="413" t="str">
        <f>'MLK2-3'!AV12</f>
        <v>Anak 8 sangat baik  dalam mengenal dan mengidentifikasi benda-benda di dapur dan nama-nama bunga, dan  baik  dalam memahami penggunaan kalimat yang menunjukkan letak suatu tempat</v>
      </c>
      <c r="AJ13" s="414">
        <f>IFERROR('MLK3-3'!AP12,"")</f>
        <v>87</v>
      </c>
      <c r="AK13" s="414" t="str">
        <f>IFERROR('MLK3-3'!AQ12,"")</f>
        <v>B</v>
      </c>
      <c r="AL13" s="415" t="str">
        <f>'MLK3-3'!AV12</f>
        <v>Anak 8 baik  dalam memahami pembuatan dokumen di microsoft  word, dan  baik  dalam mengenal dan memahami penggunaan microsoft  word.</v>
      </c>
      <c r="AM13" s="414" t="str">
        <f>IFERROR('PAI4'!CI13,"")</f>
        <v/>
      </c>
      <c r="AN13" s="414" t="str">
        <f>IFERROR('PAI4'!CJ13,"")</f>
        <v/>
      </c>
      <c r="AO13" s="415" t="str">
        <f>'PAI4'!CO13</f>
        <v xml:space="preserve"> </v>
      </c>
      <c r="AP13" s="414" t="str">
        <f>IFERROR('PKN4'!AD12,"")</f>
        <v/>
      </c>
      <c r="AQ13" s="414" t="str">
        <f>IFERROR('PKN4'!AE12,"")</f>
        <v/>
      </c>
      <c r="AR13" s="413" t="str">
        <f>'PKN4'!AJ12</f>
        <v xml:space="preserve"> </v>
      </c>
      <c r="AS13" s="414">
        <f>IFERROR(BIND4!AP12,"")</f>
        <v>88</v>
      </c>
      <c r="AT13" s="414" t="str">
        <f>IFERROR(BIND4!AQ12,"")</f>
        <v>B</v>
      </c>
      <c r="AU13" s="413" t="str">
        <f>BIND4!AV12</f>
        <v>Anak 8 baik  dalam 0</v>
      </c>
      <c r="AV13" s="414" t="str">
        <f>IFERROR('MTK4'!AP12,"")</f>
        <v/>
      </c>
      <c r="AW13" s="414" t="str">
        <f>IFERROR('MTK4'!AQ12,"")</f>
        <v/>
      </c>
      <c r="AX13" s="413" t="str">
        <f>'MTK4'!AV12</f>
        <v xml:space="preserve"> </v>
      </c>
      <c r="AY13" s="414" t="str">
        <f>IFERROR('IPA4'!AJ12,"")</f>
        <v/>
      </c>
      <c r="AZ13" s="414" t="str">
        <f>IFERROR('IPA4'!AK12,"")</f>
        <v/>
      </c>
      <c r="BA13" s="413" t="str">
        <f>'IPA4'!AP12</f>
        <v xml:space="preserve"> </v>
      </c>
      <c r="BB13" s="414" t="str">
        <f>IFERROR('IPS4'!AG12,"")</f>
        <v/>
      </c>
      <c r="BC13" s="414" t="str">
        <f>IFERROR('IPS4'!AH12,"")</f>
        <v/>
      </c>
      <c r="BD13" s="413" t="str">
        <f>'IPS4'!AM12</f>
        <v xml:space="preserve"> </v>
      </c>
      <c r="BE13" s="414" t="str">
        <f>IFERROR(SBDP4!AG12,"")</f>
        <v/>
      </c>
      <c r="BF13" s="414" t="str">
        <f>IFERROR(SBDP4!AH12,"")</f>
        <v/>
      </c>
      <c r="BG13" s="413" t="str">
        <f>SBDP4!AM12</f>
        <v xml:space="preserve"> </v>
      </c>
      <c r="BH13" s="414" t="str">
        <f>IFERROR(PJOK4!AJ12,"")</f>
        <v/>
      </c>
      <c r="BI13" s="414" t="str">
        <f>IFERROR(PJOK4!AK12,"")</f>
        <v/>
      </c>
      <c r="BJ13" s="415" t="str">
        <f>PJOK4!AP12</f>
        <v xml:space="preserve"> </v>
      </c>
      <c r="BK13" s="414" t="str">
        <f>IFERROR('MLK1-4'!AG12,"")</f>
        <v/>
      </c>
      <c r="BL13" s="414" t="str">
        <f>IFERROR('MLK1-4'!AH12,"")</f>
        <v/>
      </c>
      <c r="BM13" s="413" t="str">
        <f>'MLK1-4'!AM12</f>
        <v xml:space="preserve"> </v>
      </c>
      <c r="BN13" s="414" t="str">
        <f>IFERROR('MLK2-4'!AG12,"")</f>
        <v/>
      </c>
      <c r="BO13" s="414" t="str">
        <f>IFERROR('MLK2-4'!AH12,"")</f>
        <v/>
      </c>
      <c r="BP13" s="413" t="str">
        <f>'MLK2-4'!AM12</f>
        <v xml:space="preserve"> </v>
      </c>
      <c r="BQ13" s="414" t="str">
        <f>IFERROR('MLK3-4'!AG12,"")</f>
        <v/>
      </c>
      <c r="BR13" s="414" t="str">
        <f>IFERROR('MLK3-4'!AH12,"")</f>
        <v/>
      </c>
      <c r="BS13" s="413" t="str">
        <f>'MLK3-4'!AM12</f>
        <v xml:space="preserve"> </v>
      </c>
      <c r="BT13" s="414">
        <f t="shared" si="0"/>
        <v>51.545454545454547</v>
      </c>
      <c r="BU13" s="444">
        <f t="shared" si="1"/>
        <v>1134</v>
      </c>
      <c r="BV13" s="416">
        <f t="shared" si="2"/>
        <v>1134</v>
      </c>
      <c r="BW13" s="417">
        <f t="shared" si="3"/>
        <v>8</v>
      </c>
    </row>
    <row r="14" spans="1:76" ht="20.25" customHeight="1">
      <c r="A14" s="113">
        <v>9</v>
      </c>
      <c r="B14" s="113">
        <f>SISWA!B14</f>
        <v>0</v>
      </c>
      <c r="C14" s="410" t="str">
        <f>SISWA!C14</f>
        <v>Anak 9</v>
      </c>
      <c r="D14" s="411" t="str">
        <f>SPIRIT!Q13</f>
        <v xml:space="preserve">Ananda Anak 9 baik dalam  ketaatan beribadah,  berperilaku syukur,  berdoa sebelum dan sesudah melakukan kegiatan,  toleransi dalam beribadah, </v>
      </c>
      <c r="E14" s="411" t="str">
        <f>SOSIAL!W13</f>
        <v>Ananda Anak 9 baik dalam sikap jujur, disiplin, tanggung jawab, santun, peduli, percaya diri, dan sudah mampu meningkatkan sikap kerja sama.</v>
      </c>
      <c r="F14" s="412">
        <f>IFERROR('PAI3'!DU14,"")</f>
        <v>99</v>
      </c>
      <c r="G14" s="412" t="str">
        <f>IFERROR('PAI3'!DV14,"")</f>
        <v>A</v>
      </c>
      <c r="H14" s="413" t="str">
        <f>'PAI3'!EA14</f>
        <v>Anak 9 sangat baik  dalam memahami Q.S. al- Falaq dan Q.S. al- Fil dengan baik dan benar</v>
      </c>
      <c r="I14" s="412">
        <f>IFERROR('PKN3'!AI13,"")</f>
        <v>95</v>
      </c>
      <c r="J14" s="412" t="str">
        <f>IFERROR('PKN3'!AJ13,"")</f>
        <v>A</v>
      </c>
      <c r="K14" s="411" t="str">
        <f>'PKN3'!AO13</f>
        <v>Anak 9 sangat baik  dalam mengidentifikasi pelaksanaan kewajiban dan hak sebagai warga masyarakat dalam kehidupan sehari-hari., dan  sangat baik  dalam mengidentifikasi berbagai bentuk keragaman suku bangsa, sosial, dan budaya di Indonesia yang terikat persatuan dan kesatuan.</v>
      </c>
      <c r="L14" s="414">
        <f>IFERROR(BIND3!AU13,"")</f>
        <v>96</v>
      </c>
      <c r="M14" s="414" t="str">
        <f>IFERROR(BIND3!AV13,"")</f>
        <v>A</v>
      </c>
      <c r="N14" s="413" t="str">
        <f>BIND3!BA13</f>
        <v>Anak 9 sangat baik  dalam menggali pengetahuan baru yang terdapat pada teks nonfiksi., dan  sangat baik  dalam menggali isi dan amanat puisi yang disajikan secara lisan dan tulis dengan tujuan untuk kesenangan.</v>
      </c>
      <c r="O14" s="414">
        <f>IFERROR('MTK3'!BC13,"")</f>
        <v>97</v>
      </c>
      <c r="P14" s="414" t="str">
        <f>IFERROR('MTK3'!BD13,"")</f>
        <v>A</v>
      </c>
      <c r="Q14" s="413" t="str">
        <f>'MTK3'!BI13</f>
        <v>Anak 9 sangat baik  dalam menjelaskan dan melakukan penaksiran dari jumlah, selisih, hasil kali, dan hasil bagi dua bilangan cacah maupun pecahan dan desimal, dan  baik  dalam menjelaskan berbagai bentuk pecahan (biasa, campuran, desimal, dan persen) dan hubungan di antaranya</v>
      </c>
      <c r="R14" s="414">
        <f>IFERROR('IPA3'!AM13,"")</f>
        <v>99</v>
      </c>
      <c r="S14" s="414" t="str">
        <f>IFERROR('IPA3'!AN13,"")</f>
        <v>A</v>
      </c>
      <c r="T14" s="413" t="str">
        <f>'IPA3'!AS13</f>
        <v>Anak 9 sangat baik  dalam membandingkan siklus hidup beberapa jenis makhluk hidup serta mengaitkan dengan upaya pelestariannya.</v>
      </c>
      <c r="U14" s="414">
        <f>IFERROR('IPS3'!AN13,"")</f>
        <v>99</v>
      </c>
      <c r="V14" s="414" t="str">
        <f>IFERROR('IPS3'!AO13,"")</f>
        <v>A</v>
      </c>
      <c r="W14" s="413" t="str">
        <f>'IPS3'!AT13</f>
        <v>Anak 9 sangat baik  dalam mengidentifikasi karakteristik ruang dan pemanfaatan sumberdaya alam untuk kesejahteraan masyarakat dari tingkatkota/kabupaten sampai tingkat provinsi.</v>
      </c>
      <c r="X14" s="414">
        <f>IFERROR(SBDP3!AN13,"")</f>
        <v>99</v>
      </c>
      <c r="Y14" s="414" t="str">
        <f>IFERROR(SBDP3!AO13,"")</f>
        <v>A</v>
      </c>
      <c r="Z14" s="413" t="str">
        <f>SBDP3!AT13</f>
        <v>Anak 9 sangat baik  dalam mengetahui gambar dan bentuk tiga dimensi.</v>
      </c>
      <c r="AA14" s="414">
        <f>IFERROR(PJOK3!AV13,"")</f>
        <v>94</v>
      </c>
      <c r="AB14" s="414" t="str">
        <f>IFERROR(PJOK3!AW13,"")</f>
        <v>A</v>
      </c>
      <c r="AC14" s="413" t="str">
        <f>PJOK3!BB13</f>
        <v>Anak 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14" s="414">
        <f>IFERROR('MLK1-3'!AT13,"")</f>
        <v>89</v>
      </c>
      <c r="AE14" s="414" t="str">
        <f>IFERROR('MLK1-3'!AU13,"")</f>
        <v>B</v>
      </c>
      <c r="AF14" s="415" t="str">
        <f>'MLK1-3'!AZ13</f>
        <v>Anak 9 sangat baik  dalam mengenal dan memahmi teks tembang dolanan, dan  baik  dalam mengenal dan memahami sandhangan aksara Jawa.</v>
      </c>
      <c r="AG14" s="414">
        <f>IFERROR('MLK2-3'!AP13,"")</f>
        <v>92</v>
      </c>
      <c r="AH14" s="414" t="str">
        <f>IFERROR('MLK2-3'!AQ13,"")</f>
        <v>A</v>
      </c>
      <c r="AI14" s="413" t="str">
        <f>'MLK2-3'!AV13</f>
        <v>Anak 9 sangat baik  dalam mengenal dan mengidentifikasi benda-benda di dapur dan nama-nama bunga, dan  baik  dalam memahami penggunaan kalimat yang menunjukkan letak suatu tempat</v>
      </c>
      <c r="AJ14" s="414">
        <f>IFERROR('MLK3-3'!AP13,"")</f>
        <v>87</v>
      </c>
      <c r="AK14" s="414" t="str">
        <f>IFERROR('MLK3-3'!AQ13,"")</f>
        <v>B</v>
      </c>
      <c r="AL14" s="415" t="str">
        <f>'MLK3-3'!AV13</f>
        <v>Anak 9 baik  dalam mengenal dan memahami penggunaan microsoft  word., dan  baik  dalam memahami pembuatan dokumen di microsoft  word</v>
      </c>
      <c r="AM14" s="414" t="str">
        <f>IFERROR('PAI4'!CI14,"")</f>
        <v/>
      </c>
      <c r="AN14" s="414" t="str">
        <f>IFERROR('PAI4'!CJ14,"")</f>
        <v/>
      </c>
      <c r="AO14" s="415" t="str">
        <f>'PAI4'!CO14</f>
        <v xml:space="preserve"> </v>
      </c>
      <c r="AP14" s="414" t="str">
        <f>IFERROR('PKN4'!AD13,"")</f>
        <v/>
      </c>
      <c r="AQ14" s="414" t="str">
        <f>IFERROR('PKN4'!AE13,"")</f>
        <v/>
      </c>
      <c r="AR14" s="413" t="str">
        <f>'PKN4'!AJ13</f>
        <v xml:space="preserve"> </v>
      </c>
      <c r="AS14" s="414" t="str">
        <f>IFERROR(BIND4!AP13,"")</f>
        <v/>
      </c>
      <c r="AT14" s="414" t="str">
        <f>IFERROR(BIND4!AQ13,"")</f>
        <v/>
      </c>
      <c r="AU14" s="413" t="str">
        <f>BIND4!AV13</f>
        <v xml:space="preserve"> </v>
      </c>
      <c r="AV14" s="414" t="str">
        <f>IFERROR('MTK4'!AP13,"")</f>
        <v/>
      </c>
      <c r="AW14" s="414" t="str">
        <f>IFERROR('MTK4'!AQ13,"")</f>
        <v/>
      </c>
      <c r="AX14" s="413" t="str">
        <f>'MTK4'!AV13</f>
        <v xml:space="preserve"> </v>
      </c>
      <c r="AY14" s="414" t="str">
        <f>IFERROR('IPA4'!AJ13,"")</f>
        <v/>
      </c>
      <c r="AZ14" s="414" t="str">
        <f>IFERROR('IPA4'!AK13,"")</f>
        <v/>
      </c>
      <c r="BA14" s="413" t="str">
        <f>'IPA4'!AP13</f>
        <v xml:space="preserve"> </v>
      </c>
      <c r="BB14" s="414" t="str">
        <f>IFERROR('IPS4'!AG13,"")</f>
        <v/>
      </c>
      <c r="BC14" s="414" t="str">
        <f>IFERROR('IPS4'!AH13,"")</f>
        <v/>
      </c>
      <c r="BD14" s="413" t="str">
        <f>'IPS4'!AM13</f>
        <v xml:space="preserve"> </v>
      </c>
      <c r="BE14" s="414" t="str">
        <f>IFERROR(SBDP4!AG13,"")</f>
        <v/>
      </c>
      <c r="BF14" s="414" t="str">
        <f>IFERROR(SBDP4!AH13,"")</f>
        <v/>
      </c>
      <c r="BG14" s="413" t="str">
        <f>SBDP4!AM13</f>
        <v xml:space="preserve"> </v>
      </c>
      <c r="BH14" s="414" t="str">
        <f>IFERROR(PJOK4!AJ13,"")</f>
        <v/>
      </c>
      <c r="BI14" s="414" t="str">
        <f>IFERROR(PJOK4!AK13,"")</f>
        <v/>
      </c>
      <c r="BJ14" s="415" t="str">
        <f>PJOK4!AP13</f>
        <v xml:space="preserve"> </v>
      </c>
      <c r="BK14" s="414" t="str">
        <f>IFERROR('MLK1-4'!AG13,"")</f>
        <v/>
      </c>
      <c r="BL14" s="414" t="str">
        <f>IFERROR('MLK1-4'!AH13,"")</f>
        <v/>
      </c>
      <c r="BM14" s="413" t="str">
        <f>'MLK1-4'!AM13</f>
        <v xml:space="preserve"> </v>
      </c>
      <c r="BN14" s="414" t="str">
        <f>IFERROR('MLK2-4'!AG13,"")</f>
        <v/>
      </c>
      <c r="BO14" s="414" t="str">
        <f>IFERROR('MLK2-4'!AH13,"")</f>
        <v/>
      </c>
      <c r="BP14" s="413" t="str">
        <f>'MLK2-4'!AM13</f>
        <v xml:space="preserve"> </v>
      </c>
      <c r="BQ14" s="414" t="str">
        <f>IFERROR('MLK3-4'!AG13,"")</f>
        <v/>
      </c>
      <c r="BR14" s="414" t="str">
        <f>IFERROR('MLK3-4'!AH13,"")</f>
        <v/>
      </c>
      <c r="BS14" s="413" t="str">
        <f>'MLK3-4'!AM13</f>
        <v xml:space="preserve"> </v>
      </c>
      <c r="BT14" s="414">
        <f t="shared" si="0"/>
        <v>47.545454545454547</v>
      </c>
      <c r="BU14" s="444">
        <f t="shared" si="1"/>
        <v>1046</v>
      </c>
      <c r="BV14" s="416">
        <f t="shared" si="2"/>
        <v>1046</v>
      </c>
      <c r="BW14" s="417">
        <f t="shared" si="3"/>
        <v>42</v>
      </c>
    </row>
    <row r="15" spans="1:76" ht="20.25" customHeight="1">
      <c r="A15" s="113">
        <v>10</v>
      </c>
      <c r="B15" s="113">
        <f>SISWA!B15</f>
        <v>0</v>
      </c>
      <c r="C15" s="410" t="str">
        <f>SISWA!C15</f>
        <v>Anak 10</v>
      </c>
      <c r="D15" s="411" t="str">
        <f>SPIRIT!Q14</f>
        <v xml:space="preserve">Ananda Anak 10 baik dalam  ketaatan beribadah,  berperilaku syukur,  berdoa sebelum dan sesudah melakukan kegiatan,  toleransi dalam beribadah, </v>
      </c>
      <c r="E15" s="411" t="str">
        <f>SOSIAL!W14</f>
        <v xml:space="preserve">Ananda Anak 10 baik dalam sikap jujur, disiplin, tanggung jawab, santun, peduli, percaya diri, kerja sama, </v>
      </c>
      <c r="F15" s="412">
        <f>IFERROR('PAI3'!DU15,"")</f>
        <v>99</v>
      </c>
      <c r="G15" s="412" t="str">
        <f>IFERROR('PAI3'!DV15,"")</f>
        <v>A</v>
      </c>
      <c r="H15" s="413" t="str">
        <f>'PAI3'!EA15</f>
        <v>Anak 10 sangat baik  dalam memahami Q.S. al- Falaq dan Q.S. al- Fil dengan baik dan benar</v>
      </c>
      <c r="I15" s="412">
        <f>IFERROR('PKN3'!AI14,"")</f>
        <v>94</v>
      </c>
      <c r="J15" s="412" t="str">
        <f>IFERROR('PKN3'!AJ14,"")</f>
        <v>A</v>
      </c>
      <c r="K15" s="411" t="str">
        <f>'PKN3'!AO14</f>
        <v>Anak 10 sangat baik  dalam mengidentifikasi pelaksanaan kewajiban dan hak sebagai warga masyarakat dalam kehidupan sehari-hari., dan  sangat baik  dalam menjelaskan manfaat keberagaman karakteristik individu dalam kehidupan sehari-hari.</v>
      </c>
      <c r="L15" s="414">
        <f>IFERROR(BIND3!AU14,"")</f>
        <v>95</v>
      </c>
      <c r="M15" s="414" t="str">
        <f>IFERROR(BIND3!AV14,"")</f>
        <v>A</v>
      </c>
      <c r="N15" s="413" t="str">
        <f>BIND3!BA14</f>
        <v>Anak 10 sangat baik  dalam menggali pengetahuan baru yang terdapat pada teks nonfiksi., dan  baik  dalam menggali informasi dari seorang tokoh melalui wawancara menggunakan daftar pertanyaan.</v>
      </c>
      <c r="O15" s="414">
        <f>IFERROR('MTK3'!BC14,"")</f>
        <v>96</v>
      </c>
      <c r="P15" s="414" t="str">
        <f>IFERROR('MTK3'!BD14,"")</f>
        <v>A</v>
      </c>
      <c r="Q15" s="413" t="str">
        <f>'MTK3'!BI14</f>
        <v>Anak 10 sangat baik  dalam menjelaskan dan melakukan penaksiran dari jumlah, selisih, hasil kali, dan hasil bagi dua bilangan cacah maupun pecahan dan desimal, dan  baik  dalam menjelaskan berbagai bentuk pecahan (biasa, campuran, desimal, dan persen) dan hubungan di antaranya</v>
      </c>
      <c r="R15" s="414">
        <f>IFERROR('IPA3'!AM14,"")</f>
        <v>99</v>
      </c>
      <c r="S15" s="414" t="str">
        <f>IFERROR('IPA3'!AN14,"")</f>
        <v>A</v>
      </c>
      <c r="T15" s="413" t="str">
        <f>'IPA3'!AS14</f>
        <v>Anak 10 sangat baik  dalam membandingkan siklus hidup beberapa jenis makhluk hidup serta mengaitkan dengan upaya pelestariannya.</v>
      </c>
      <c r="U15" s="414">
        <f>IFERROR('IPS3'!AN14,"")</f>
        <v>99</v>
      </c>
      <c r="V15" s="414" t="str">
        <f>IFERROR('IPS3'!AO14,"")</f>
        <v>A</v>
      </c>
      <c r="W15" s="413" t="str">
        <f>'IPS3'!AT14</f>
        <v>Anak 10 sangat baik  dalam mengidentifikasi karakteristik ruang dan pemanfaatan sumberdaya alam untuk kesejahteraan masyarakat dari tingkatkota/kabupaten sampai tingkat provinsi.</v>
      </c>
      <c r="X15" s="414">
        <f>IFERROR(SBDP3!AN14,"")</f>
        <v>99</v>
      </c>
      <c r="Y15" s="414" t="str">
        <f>IFERROR(SBDP3!AO14,"")</f>
        <v>A</v>
      </c>
      <c r="Z15" s="413" t="str">
        <f>SBDP3!AT14</f>
        <v>Anak 10 sangat baik  dalam mengetahui gambar dan bentuk tiga dimensi.</v>
      </c>
      <c r="AA15" s="414">
        <f>IFERROR(PJOK3!AV14,"")</f>
        <v>93</v>
      </c>
      <c r="AB15" s="414" t="str">
        <f>IFERROR(PJOK3!AW14,"")</f>
        <v>A</v>
      </c>
      <c r="AC15" s="413" t="str">
        <f>PJOK3!BB14</f>
        <v>Anak 10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5" s="414">
        <f>IFERROR('MLK1-3'!AT14,"")</f>
        <v>87</v>
      </c>
      <c r="AE15" s="414" t="str">
        <f>IFERROR('MLK1-3'!AU14,"")</f>
        <v>B</v>
      </c>
      <c r="AF15" s="415" t="str">
        <f>'MLK1-3'!AZ14</f>
        <v>Anak 10 baik  dalam mengenal, memahami, dan mengidentifikasi kata berimbuhan dalam teks sesuai kaidah, dan  baik  dalam mengenal dan memahami sandhangan aksara Jawa.</v>
      </c>
      <c r="AG15" s="414">
        <f>IFERROR('MLK2-3'!AP14,"")</f>
        <v>90</v>
      </c>
      <c r="AH15" s="414" t="str">
        <f>IFERROR('MLK2-3'!AQ14,"")</f>
        <v>B</v>
      </c>
      <c r="AI15" s="413" t="str">
        <f>'MLK2-3'!AV14</f>
        <v>Anak 10 sangat baik  dalam mengenal dan mengidentifikasi benda-benda di dapur dan nama-nama bunga, dan  baik  dalam memahami penggunaan kalimat yang menunjukkan letak suatu tempat</v>
      </c>
      <c r="AJ15" s="414">
        <f>IFERROR('MLK3-3'!AP14,"")</f>
        <v>84</v>
      </c>
      <c r="AK15" s="414" t="str">
        <f>IFERROR('MLK3-3'!AQ14,"")</f>
        <v>B</v>
      </c>
      <c r="AL15" s="415" t="str">
        <f>'MLK3-3'!AV14</f>
        <v>Anak 10 baik  dalam memahami pembuatan dokumen di microsoft  word, dan  baik  dalam mengenal dan memahami penggunaan microsoft  word.</v>
      </c>
      <c r="AM15" s="414" t="str">
        <f>IFERROR('PAI4'!CI15,"")</f>
        <v/>
      </c>
      <c r="AN15" s="414" t="str">
        <f>IFERROR('PAI4'!CJ15,"")</f>
        <v/>
      </c>
      <c r="AO15" s="415" t="str">
        <f>'PAI4'!CO15</f>
        <v xml:space="preserve"> </v>
      </c>
      <c r="AP15" s="414" t="str">
        <f>IFERROR('PKN4'!AD14,"")</f>
        <v/>
      </c>
      <c r="AQ15" s="414" t="str">
        <f>IFERROR('PKN4'!AE14,"")</f>
        <v/>
      </c>
      <c r="AR15" s="413" t="str">
        <f>'PKN4'!AJ14</f>
        <v xml:space="preserve"> </v>
      </c>
      <c r="AS15" s="414" t="str">
        <f>IFERROR(BIND4!AP14,"")</f>
        <v/>
      </c>
      <c r="AT15" s="414" t="str">
        <f>IFERROR(BIND4!AQ14,"")</f>
        <v/>
      </c>
      <c r="AU15" s="413" t="str">
        <f>BIND4!AV14</f>
        <v xml:space="preserve"> </v>
      </c>
      <c r="AV15" s="414" t="str">
        <f>IFERROR('MTK4'!AP14,"")</f>
        <v/>
      </c>
      <c r="AW15" s="414" t="str">
        <f>IFERROR('MTK4'!AQ14,"")</f>
        <v/>
      </c>
      <c r="AX15" s="413" t="str">
        <f>'MTK4'!AV14</f>
        <v xml:space="preserve"> </v>
      </c>
      <c r="AY15" s="414" t="str">
        <f>IFERROR('IPA4'!AJ14,"")</f>
        <v/>
      </c>
      <c r="AZ15" s="414" t="str">
        <f>IFERROR('IPA4'!AK14,"")</f>
        <v/>
      </c>
      <c r="BA15" s="413" t="str">
        <f>'IPA4'!AP14</f>
        <v xml:space="preserve"> </v>
      </c>
      <c r="BB15" s="414" t="str">
        <f>IFERROR('IPS4'!AG14,"")</f>
        <v/>
      </c>
      <c r="BC15" s="414" t="str">
        <f>IFERROR('IPS4'!AH14,"")</f>
        <v/>
      </c>
      <c r="BD15" s="413" t="str">
        <f>'IPS4'!AM14</f>
        <v xml:space="preserve"> </v>
      </c>
      <c r="BE15" s="414" t="str">
        <f>IFERROR(SBDP4!AG14,"")</f>
        <v/>
      </c>
      <c r="BF15" s="414" t="str">
        <f>IFERROR(SBDP4!AH14,"")</f>
        <v/>
      </c>
      <c r="BG15" s="413" t="str">
        <f>SBDP4!AM14</f>
        <v xml:space="preserve"> </v>
      </c>
      <c r="BH15" s="414" t="str">
        <f>IFERROR(PJOK4!AJ14,"")</f>
        <v/>
      </c>
      <c r="BI15" s="414" t="str">
        <f>IFERROR(PJOK4!AK14,"")</f>
        <v/>
      </c>
      <c r="BJ15" s="415" t="str">
        <f>PJOK4!AP14</f>
        <v xml:space="preserve"> </v>
      </c>
      <c r="BK15" s="414" t="str">
        <f>IFERROR('MLK1-4'!AG14,"")</f>
        <v/>
      </c>
      <c r="BL15" s="414" t="str">
        <f>IFERROR('MLK1-4'!AH14,"")</f>
        <v/>
      </c>
      <c r="BM15" s="413" t="str">
        <f>'MLK1-4'!AM14</f>
        <v xml:space="preserve"> </v>
      </c>
      <c r="BN15" s="414" t="str">
        <f>IFERROR('MLK2-4'!AG14,"")</f>
        <v/>
      </c>
      <c r="BO15" s="414" t="str">
        <f>IFERROR('MLK2-4'!AH14,"")</f>
        <v/>
      </c>
      <c r="BP15" s="413" t="str">
        <f>'MLK2-4'!AM14</f>
        <v xml:space="preserve"> </v>
      </c>
      <c r="BQ15" s="414" t="str">
        <f>IFERROR('MLK3-4'!AG14,"")</f>
        <v/>
      </c>
      <c r="BR15" s="414" t="str">
        <f>IFERROR('MLK3-4'!AH14,"")</f>
        <v/>
      </c>
      <c r="BS15" s="413" t="str">
        <f>'MLK3-4'!AM14</f>
        <v xml:space="preserve"> </v>
      </c>
      <c r="BT15" s="414">
        <f t="shared" si="0"/>
        <v>47.045454545454547</v>
      </c>
      <c r="BU15" s="444">
        <f t="shared" si="1"/>
        <v>1035</v>
      </c>
      <c r="BV15" s="416">
        <f t="shared" si="2"/>
        <v>1035</v>
      </c>
      <c r="BW15" s="417">
        <f t="shared" si="3"/>
        <v>49</v>
      </c>
    </row>
    <row r="16" spans="1:76" ht="20.25" customHeight="1">
      <c r="A16" s="113">
        <v>11</v>
      </c>
      <c r="B16" s="113">
        <f>SISWA!B16</f>
        <v>0</v>
      </c>
      <c r="C16" s="410" t="str">
        <f>SISWA!C16</f>
        <v>Anak 11</v>
      </c>
      <c r="D16" s="411" t="str">
        <f>SPIRIT!Q15</f>
        <v xml:space="preserve">Ananda Anak 11 baik dalam  ketaatan beribadah,  berperilaku syukur,  berdoa sebelum dan sesudah melakukan kegiatan,  toleransi dalam beribadah, </v>
      </c>
      <c r="E16" s="411" t="str">
        <f>SOSIAL!W15</f>
        <v xml:space="preserve">Ananda Anak 11 baik dalam sikap jujur, disiplin, tanggung jawab, santun, peduli, percaya diri, kerja sama, </v>
      </c>
      <c r="F16" s="412">
        <f>IFERROR('PAI3'!DU16,"")</f>
        <v>99</v>
      </c>
      <c r="G16" s="412" t="str">
        <f>IFERROR('PAI3'!DV16,"")</f>
        <v>A</v>
      </c>
      <c r="H16" s="413" t="str">
        <f>'PAI3'!EA16</f>
        <v>Anak 11 sangat baik  dalam memahami Q.S. al- Falaq dan Q.S. al- Fil dengan baik dan benar</v>
      </c>
      <c r="I16" s="412">
        <f>IFERROR('PKN3'!AI15,"")</f>
        <v>94</v>
      </c>
      <c r="J16" s="412" t="str">
        <f>IFERROR('PKN3'!AJ15,"")</f>
        <v>A</v>
      </c>
      <c r="K16" s="411" t="str">
        <f>'PKN3'!AO15</f>
        <v>Anak 11 sangat baik  dalam mengidentifikasi pelaksanaan kewajiban dan hak sebagai warga masyarakat dalam kehidupan sehari-hari., dan  sangat baik  dalam menjelaskan manfaat keberagaman karakteristik individu dalam kehidupan sehari-hari.</v>
      </c>
      <c r="L16" s="414">
        <f>IFERROR(BIND3!AU15,"")</f>
        <v>96</v>
      </c>
      <c r="M16" s="414" t="str">
        <f>IFERROR(BIND3!AV15,"")</f>
        <v>A</v>
      </c>
      <c r="N16" s="413" t="str">
        <f>BIND3!BA15</f>
        <v>Anak 11 sangat baik  dalam menggali pengetahuan baru yang terdapat pada teks nonfiksi., dan  baik  dalam menggali informasi dari seorang tokoh melalui wawancara menggunakan daftar pertanyaan.</v>
      </c>
      <c r="O16" s="414">
        <f>IFERROR('MTK3'!BC15,"")</f>
        <v>96</v>
      </c>
      <c r="P16" s="414" t="str">
        <f>IFERROR('MTK3'!BD15,"")</f>
        <v>A</v>
      </c>
      <c r="Q16" s="413" t="str">
        <f>'MTK3'!BI15</f>
        <v>Anak 11 sangat baik  dalam menjelaskan dan melakukan penaksiran dari jumlah, selisih, hasil kali, dan hasil bagi dua bilangan cacah maupun pecahan dan desimal, dan  baik  dalam menjelaskan berbagai bentuk pecahan (biasa, campuran, desimal, dan persen) dan hubungan di antaranya</v>
      </c>
      <c r="R16" s="414">
        <f>IFERROR('IPA3'!AM15,"")</f>
        <v>99</v>
      </c>
      <c r="S16" s="414" t="str">
        <f>IFERROR('IPA3'!AN15,"")</f>
        <v>A</v>
      </c>
      <c r="T16" s="413" t="str">
        <f>'IPA3'!AS15</f>
        <v>Anak 11 sangat baik  dalam membandingkan siklus hidup beberapa jenis makhluk hidup serta mengaitkan dengan upaya pelestariannya.</v>
      </c>
      <c r="U16" s="414">
        <f>IFERROR('IPS3'!AN15,"")</f>
        <v>99</v>
      </c>
      <c r="V16" s="414" t="str">
        <f>IFERROR('IPS3'!AO15,"")</f>
        <v>A</v>
      </c>
      <c r="W16" s="413" t="str">
        <f>'IPS3'!AT15</f>
        <v>Anak 11 sangat baik  dalam mengidentifikasi karakteristik ruang dan pemanfaatan sumberdaya alam untuk kesejahteraan masyarakat dari tingkatkota/kabupaten sampai tingkat provinsi.</v>
      </c>
      <c r="X16" s="414">
        <f>IFERROR(SBDP3!AN15,"")</f>
        <v>99</v>
      </c>
      <c r="Y16" s="414" t="str">
        <f>IFERROR(SBDP3!AO15,"")</f>
        <v>A</v>
      </c>
      <c r="Z16" s="413" t="str">
        <f>SBDP3!AT15</f>
        <v>Anak 11 sangat baik  dalam mengetahui gambar dan bentuk tiga dimensi.</v>
      </c>
      <c r="AA16" s="414">
        <f>IFERROR(PJOK3!AV15,"")</f>
        <v>93</v>
      </c>
      <c r="AB16" s="414" t="str">
        <f>IFERROR(PJOK3!AW15,"")</f>
        <v>A</v>
      </c>
      <c r="AC16" s="413" t="str">
        <f>PJOK3!BB15</f>
        <v>Anak 11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6" s="414">
        <f>IFERROR('MLK1-3'!AT15,"")</f>
        <v>88</v>
      </c>
      <c r="AE16" s="414" t="str">
        <f>IFERROR('MLK1-3'!AU15,"")</f>
        <v>B</v>
      </c>
      <c r="AF16" s="415" t="str">
        <f>'MLK1-3'!AZ15</f>
        <v>Anak 11 baik  dalam mengenal, memahami, dan mengidentifikasi kata berimbuhan dalam teks sesuai kaidah, dan  baik  dalam mengenal dan memahami sandhangan aksara Jawa.</v>
      </c>
      <c r="AG16" s="414">
        <f>IFERROR('MLK2-3'!AP15,"")</f>
        <v>91</v>
      </c>
      <c r="AH16" s="414" t="str">
        <f>IFERROR('MLK2-3'!AQ15,"")</f>
        <v>A</v>
      </c>
      <c r="AI16" s="413" t="str">
        <f>'MLK2-3'!AV15</f>
        <v>Anak 11 sangat baik  dalam mengenal dan mengidentifikasi benda-benda di dapur dan nama-nama bunga, dan  baik  dalam memahami penggunaan kalimat yang menunjukkan letak suatu tempat</v>
      </c>
      <c r="AJ16" s="414">
        <f>IFERROR('MLK3-3'!AP15,"")</f>
        <v>85</v>
      </c>
      <c r="AK16" s="414" t="str">
        <f>IFERROR('MLK3-3'!AQ15,"")</f>
        <v>B</v>
      </c>
      <c r="AL16" s="415" t="str">
        <f>'MLK3-3'!AV15</f>
        <v>Anak 11 baik  dalam memahami pembuatan dokumen di microsoft  word, dan  baik  dalam mengenal dan memahami penggunaan microsoft  word.</v>
      </c>
      <c r="AM16" s="414" t="str">
        <f>IFERROR('PAI4'!CI16,"")</f>
        <v/>
      </c>
      <c r="AN16" s="414" t="str">
        <f>IFERROR('PAI4'!CJ16,"")</f>
        <v/>
      </c>
      <c r="AO16" s="415" t="str">
        <f>'PAI4'!CO16</f>
        <v xml:space="preserve"> </v>
      </c>
      <c r="AP16" s="414" t="str">
        <f>IFERROR('PKN4'!AD15,"")</f>
        <v/>
      </c>
      <c r="AQ16" s="414" t="str">
        <f>IFERROR('PKN4'!AE15,"")</f>
        <v/>
      </c>
      <c r="AR16" s="413" t="str">
        <f>'PKN4'!AJ15</f>
        <v xml:space="preserve"> </v>
      </c>
      <c r="AS16" s="414" t="str">
        <f>IFERROR(BIND4!AP15,"")</f>
        <v/>
      </c>
      <c r="AT16" s="414" t="str">
        <f>IFERROR(BIND4!AQ15,"")</f>
        <v/>
      </c>
      <c r="AU16" s="413" t="str">
        <f>BIND4!AV15</f>
        <v xml:space="preserve"> </v>
      </c>
      <c r="AV16" s="414" t="str">
        <f>IFERROR('MTK4'!AP15,"")</f>
        <v/>
      </c>
      <c r="AW16" s="414" t="str">
        <f>IFERROR('MTK4'!AQ15,"")</f>
        <v/>
      </c>
      <c r="AX16" s="413" t="str">
        <f>'MTK4'!AV15</f>
        <v xml:space="preserve"> </v>
      </c>
      <c r="AY16" s="414" t="str">
        <f>IFERROR('IPA4'!AJ15,"")</f>
        <v/>
      </c>
      <c r="AZ16" s="414" t="str">
        <f>IFERROR('IPA4'!AK15,"")</f>
        <v/>
      </c>
      <c r="BA16" s="413" t="str">
        <f>'IPA4'!AP15</f>
        <v xml:space="preserve"> </v>
      </c>
      <c r="BB16" s="414" t="str">
        <f>IFERROR('IPS4'!AG15,"")</f>
        <v/>
      </c>
      <c r="BC16" s="414" t="str">
        <f>IFERROR('IPS4'!AH15,"")</f>
        <v/>
      </c>
      <c r="BD16" s="413" t="str">
        <f>'IPS4'!AM15</f>
        <v xml:space="preserve"> </v>
      </c>
      <c r="BE16" s="414" t="str">
        <f>IFERROR(SBDP4!AG15,"")</f>
        <v/>
      </c>
      <c r="BF16" s="414" t="str">
        <f>IFERROR(SBDP4!AH15,"")</f>
        <v/>
      </c>
      <c r="BG16" s="413" t="str">
        <f>SBDP4!AM15</f>
        <v xml:space="preserve"> </v>
      </c>
      <c r="BH16" s="414" t="str">
        <f>IFERROR(PJOK4!AJ15,"")</f>
        <v/>
      </c>
      <c r="BI16" s="414" t="str">
        <f>IFERROR(PJOK4!AK15,"")</f>
        <v/>
      </c>
      <c r="BJ16" s="415" t="str">
        <f>PJOK4!AP15</f>
        <v xml:space="preserve"> </v>
      </c>
      <c r="BK16" s="414" t="str">
        <f>IFERROR('MLK1-4'!AG15,"")</f>
        <v/>
      </c>
      <c r="BL16" s="414" t="str">
        <f>IFERROR('MLK1-4'!AH15,"")</f>
        <v/>
      </c>
      <c r="BM16" s="413" t="str">
        <f>'MLK1-4'!AM15</f>
        <v xml:space="preserve"> </v>
      </c>
      <c r="BN16" s="414" t="str">
        <f>IFERROR('MLK2-4'!AG15,"")</f>
        <v/>
      </c>
      <c r="BO16" s="414" t="str">
        <f>IFERROR('MLK2-4'!AH15,"")</f>
        <v/>
      </c>
      <c r="BP16" s="413" t="str">
        <f>'MLK2-4'!AM15</f>
        <v xml:space="preserve"> </v>
      </c>
      <c r="BQ16" s="414" t="str">
        <f>IFERROR('MLK3-4'!AG15,"")</f>
        <v/>
      </c>
      <c r="BR16" s="414" t="str">
        <f>IFERROR('MLK3-4'!AH15,"")</f>
        <v/>
      </c>
      <c r="BS16" s="413" t="str">
        <f>'MLK3-4'!AM15</f>
        <v xml:space="preserve"> </v>
      </c>
      <c r="BT16" s="414">
        <f t="shared" si="0"/>
        <v>47.227272727272727</v>
      </c>
      <c r="BU16" s="444">
        <f t="shared" si="1"/>
        <v>1039</v>
      </c>
      <c r="BV16" s="416">
        <f t="shared" si="2"/>
        <v>1039</v>
      </c>
      <c r="BW16" s="417">
        <f t="shared" si="3"/>
        <v>47</v>
      </c>
    </row>
    <row r="17" spans="1:75" ht="20.25" customHeight="1">
      <c r="A17" s="113">
        <v>12</v>
      </c>
      <c r="B17" s="113">
        <f>SISWA!B17</f>
        <v>0</v>
      </c>
      <c r="C17" s="410" t="str">
        <f>SISWA!C17</f>
        <v>Anak 12</v>
      </c>
      <c r="D17" s="411" t="str">
        <f>SPIRIT!Q16</f>
        <v xml:space="preserve">Ananda Anak 12 baik dalam  ketaatan beribadah,  berperilaku syukur,  berdoa sebelum dan sesudah melakukan kegiatan,  toleransi dalam beribadah, </v>
      </c>
      <c r="E17" s="411" t="str">
        <f>SOSIAL!W16</f>
        <v xml:space="preserve">Ananda Anak 12 baik dalam sikap jujur, disiplin, tanggung jawab, santun, peduli, percaya diri, kerja sama, </v>
      </c>
      <c r="F17" s="412">
        <f>IFERROR('PAI3'!DU17,"")</f>
        <v>99</v>
      </c>
      <c r="G17" s="412" t="str">
        <f>IFERROR('PAI3'!DV17,"")</f>
        <v>A</v>
      </c>
      <c r="H17" s="413" t="str">
        <f>'PAI3'!EA17</f>
        <v>Anak 12 sangat baik  dalam memahami Q.S. al- Falaq dan Q.S. al- Fil dengan baik dan benar</v>
      </c>
      <c r="I17" s="412">
        <f>IFERROR('PKN3'!AI16,"")</f>
        <v>95</v>
      </c>
      <c r="J17" s="412" t="str">
        <f>IFERROR('PKN3'!AJ16,"")</f>
        <v>A</v>
      </c>
      <c r="K17" s="411" t="str">
        <f>'PKN3'!AO16</f>
        <v>Anak 12 sangat baik  dalam mengidentifikasi pelaksanaan kewajiban dan hak sebagai warga masyarakat dalam kehidupan sehari-hari., dan  sangat baik  dalam menjelaskan manfaat keberagaman karakteristik individu dalam kehidupan sehari-hari.</v>
      </c>
      <c r="L17" s="414">
        <f>IFERROR(BIND3!AU16,"")</f>
        <v>96</v>
      </c>
      <c r="M17" s="414" t="str">
        <f>IFERROR(BIND3!AV16,"")</f>
        <v>A</v>
      </c>
      <c r="N17" s="413" t="str">
        <f>BIND3!BA16</f>
        <v>Anak 12 sangat baik  dalam menggali pengetahuan baru yang terdapat pada teks nonfiksi., dan  baik  dalam menggali informasi dari seorang tokoh melalui wawancara menggunakan daftar pertanyaan.</v>
      </c>
      <c r="O17" s="414">
        <f>IFERROR('MTK3'!BC16,"")</f>
        <v>96</v>
      </c>
      <c r="P17" s="414" t="str">
        <f>IFERROR('MTK3'!BD16,"")</f>
        <v>A</v>
      </c>
      <c r="Q17" s="413" t="str">
        <f>'MTK3'!BI16</f>
        <v>Anak 12 sangat baik  dalam menjelaskan dan melakukan penaksiran dari jumlah, selisih, hasil kali, dan hasil bagi dua bilangan cacah maupun pecahan dan desimal, dan  baik  dalam menjelaskan berbagai bentuk pecahan (biasa, campuran, desimal, dan persen) dan hubungan di antaranya</v>
      </c>
      <c r="R17" s="414">
        <f>IFERROR('IPA3'!AM16,"")</f>
        <v>99</v>
      </c>
      <c r="S17" s="414" t="str">
        <f>IFERROR('IPA3'!AN16,"")</f>
        <v>A</v>
      </c>
      <c r="T17" s="413" t="str">
        <f>'IPA3'!AS16</f>
        <v>Anak 12 sangat baik  dalam membandingkan siklus hidup beberapa jenis makhluk hidup serta mengaitkan dengan upaya pelestariannya.</v>
      </c>
      <c r="U17" s="414">
        <f>IFERROR('IPS3'!AN16,"")</f>
        <v>99</v>
      </c>
      <c r="V17" s="414" t="str">
        <f>IFERROR('IPS3'!AO16,"")</f>
        <v>A</v>
      </c>
      <c r="W17" s="413" t="str">
        <f>'IPS3'!AT16</f>
        <v>Anak 12 sangat baik  dalam mengidentifikasi karakteristik ruang dan pemanfaatan sumberdaya alam untuk kesejahteraan masyarakat dari tingkatkota/kabupaten sampai tingkat provinsi.</v>
      </c>
      <c r="X17" s="414">
        <f>IFERROR(SBDP3!AN16,"")</f>
        <v>99</v>
      </c>
      <c r="Y17" s="414" t="str">
        <f>IFERROR(SBDP3!AO16,"")</f>
        <v>A</v>
      </c>
      <c r="Z17" s="413" t="str">
        <f>SBDP3!AT16</f>
        <v>Anak 12 sangat baik  dalam mengetahui gambar dan bentuk tiga dimensi.</v>
      </c>
      <c r="AA17" s="414">
        <f>IFERROR(PJOK3!AV16,"")</f>
        <v>95</v>
      </c>
      <c r="AB17" s="414" t="str">
        <f>IFERROR(PJOK3!AW16,"")</f>
        <v>A</v>
      </c>
      <c r="AC17" s="413" t="str">
        <f>PJOK3!BB16</f>
        <v>Anak 12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7" s="414">
        <f>IFERROR('MLK1-3'!AT16,"")</f>
        <v>91</v>
      </c>
      <c r="AE17" s="414" t="str">
        <f>IFERROR('MLK1-3'!AU16,"")</f>
        <v>A</v>
      </c>
      <c r="AF17" s="415" t="str">
        <f>'MLK1-3'!AZ16</f>
        <v>Anak 12 sangat baik  dalam mengenal, memahami, dan mengidentifikasi kata berimbuhan dalam teks sesuai kaidah, dan  baik  dalam mengenal dan memahami sandhangan aksara Jawa.</v>
      </c>
      <c r="AG17" s="414">
        <f>IFERROR('MLK2-3'!AP16,"")</f>
        <v>93</v>
      </c>
      <c r="AH17" s="414" t="str">
        <f>IFERROR('MLK2-3'!AQ16,"")</f>
        <v>A</v>
      </c>
      <c r="AI17" s="413" t="str">
        <f>'MLK2-3'!AV16</f>
        <v>Anak 12 sangat baik  dalam mengenal dan mengidentifikasi benda-benda di dapur dan nama-nama bunga, dan  baik  dalam memahami penggunaan kalimat yang menunjukkan letak suatu tempat</v>
      </c>
      <c r="AJ17" s="414">
        <f>IFERROR('MLK3-3'!AP16,"")</f>
        <v>88</v>
      </c>
      <c r="AK17" s="414" t="str">
        <f>IFERROR('MLK3-3'!AQ16,"")</f>
        <v>B</v>
      </c>
      <c r="AL17" s="415" t="str">
        <f>'MLK3-3'!AV16</f>
        <v>Anak 12 sangat baik  dalam memahami pembuatan dokumen di microsoft  word, dan  baik  dalam mengenal dan memahami penggunaan microsoft  word.</v>
      </c>
      <c r="AM17" s="414" t="str">
        <f>IFERROR('PAI4'!CI17,"")</f>
        <v/>
      </c>
      <c r="AN17" s="414" t="str">
        <f>IFERROR('PAI4'!CJ17,"")</f>
        <v/>
      </c>
      <c r="AO17" s="415" t="str">
        <f>'PAI4'!CO17</f>
        <v xml:space="preserve"> </v>
      </c>
      <c r="AP17" s="414" t="str">
        <f>IFERROR('PKN4'!AD16,"")</f>
        <v/>
      </c>
      <c r="AQ17" s="414" t="str">
        <f>IFERROR('PKN4'!AE16,"")</f>
        <v/>
      </c>
      <c r="AR17" s="413" t="str">
        <f>'PKN4'!AJ16</f>
        <v xml:space="preserve"> </v>
      </c>
      <c r="AS17" s="414" t="str">
        <f>IFERROR(BIND4!AP16,"")</f>
        <v/>
      </c>
      <c r="AT17" s="414" t="str">
        <f>IFERROR(BIND4!AQ16,"")</f>
        <v/>
      </c>
      <c r="AU17" s="413" t="str">
        <f>BIND4!AV16</f>
        <v xml:space="preserve"> </v>
      </c>
      <c r="AV17" s="414" t="str">
        <f>IFERROR('MTK4'!AP16,"")</f>
        <v/>
      </c>
      <c r="AW17" s="414" t="str">
        <f>IFERROR('MTK4'!AQ16,"")</f>
        <v/>
      </c>
      <c r="AX17" s="413" t="str">
        <f>'MTK4'!AV16</f>
        <v xml:space="preserve"> </v>
      </c>
      <c r="AY17" s="414" t="str">
        <f>IFERROR('IPA4'!AJ16,"")</f>
        <v/>
      </c>
      <c r="AZ17" s="414" t="str">
        <f>IFERROR('IPA4'!AK16,"")</f>
        <v/>
      </c>
      <c r="BA17" s="413" t="str">
        <f>'IPA4'!AP16</f>
        <v xml:space="preserve"> </v>
      </c>
      <c r="BB17" s="414" t="str">
        <f>IFERROR('IPS4'!AG16,"")</f>
        <v/>
      </c>
      <c r="BC17" s="414" t="str">
        <f>IFERROR('IPS4'!AH16,"")</f>
        <v/>
      </c>
      <c r="BD17" s="413" t="str">
        <f>'IPS4'!AM16</f>
        <v xml:space="preserve"> </v>
      </c>
      <c r="BE17" s="414" t="str">
        <f>IFERROR(SBDP4!AG16,"")</f>
        <v/>
      </c>
      <c r="BF17" s="414" t="str">
        <f>IFERROR(SBDP4!AH16,"")</f>
        <v/>
      </c>
      <c r="BG17" s="413" t="str">
        <f>SBDP4!AM16</f>
        <v xml:space="preserve"> </v>
      </c>
      <c r="BH17" s="414" t="str">
        <f>IFERROR(PJOK4!AJ16,"")</f>
        <v/>
      </c>
      <c r="BI17" s="414" t="str">
        <f>IFERROR(PJOK4!AK16,"")</f>
        <v/>
      </c>
      <c r="BJ17" s="415" t="str">
        <f>PJOK4!AP16</f>
        <v xml:space="preserve"> </v>
      </c>
      <c r="BK17" s="414" t="str">
        <f>IFERROR('MLK1-4'!AG16,"")</f>
        <v/>
      </c>
      <c r="BL17" s="414" t="str">
        <f>IFERROR('MLK1-4'!AH16,"")</f>
        <v/>
      </c>
      <c r="BM17" s="413" t="str">
        <f>'MLK1-4'!AM16</f>
        <v xml:space="preserve"> </v>
      </c>
      <c r="BN17" s="414" t="str">
        <f>IFERROR('MLK2-4'!AG16,"")</f>
        <v/>
      </c>
      <c r="BO17" s="414" t="str">
        <f>IFERROR('MLK2-4'!AH16,"")</f>
        <v/>
      </c>
      <c r="BP17" s="413" t="str">
        <f>'MLK2-4'!AM16</f>
        <v xml:space="preserve"> </v>
      </c>
      <c r="BQ17" s="414" t="str">
        <f>IFERROR('MLK3-4'!AG16,"")</f>
        <v/>
      </c>
      <c r="BR17" s="414" t="str">
        <f>IFERROR('MLK3-4'!AH16,"")</f>
        <v/>
      </c>
      <c r="BS17" s="413" t="str">
        <f>'MLK3-4'!AM16</f>
        <v xml:space="preserve"> </v>
      </c>
      <c r="BT17" s="414">
        <f t="shared" si="0"/>
        <v>47.727272727272727</v>
      </c>
      <c r="BU17" s="444">
        <f t="shared" si="1"/>
        <v>1050</v>
      </c>
      <c r="BV17" s="416">
        <f t="shared" si="2"/>
        <v>1050</v>
      </c>
      <c r="BW17" s="417">
        <f t="shared" si="3"/>
        <v>34</v>
      </c>
    </row>
    <row r="18" spans="1:75" ht="20.25" customHeight="1">
      <c r="A18" s="113">
        <v>13</v>
      </c>
      <c r="B18" s="113">
        <f>SISWA!B18</f>
        <v>0</v>
      </c>
      <c r="C18" s="410" t="str">
        <f>SISWA!C18</f>
        <v>Anak 13</v>
      </c>
      <c r="D18" s="411" t="str">
        <f>SPIRIT!Q17</f>
        <v xml:space="preserve">Ananda Anak 13 baik dalam  ketaatan beribadah,  berperilaku syukur,  berdoa sebelum dan sesudah melakukan kegiatan,  toleransi dalam beribadah, </v>
      </c>
      <c r="E18" s="411" t="str">
        <f>SOSIAL!W17</f>
        <v xml:space="preserve">Ananda Anak 13 baik dalam sikap jujur, disiplin, tanggung jawab, santun, peduli, percaya diri, kerja sama, </v>
      </c>
      <c r="F18" s="412">
        <f>IFERROR('PAI3'!DU18,"")</f>
        <v>99</v>
      </c>
      <c r="G18" s="412" t="str">
        <f>IFERROR('PAI3'!DV18,"")</f>
        <v>A</v>
      </c>
      <c r="H18" s="413" t="str">
        <f>'PAI3'!EA18</f>
        <v>Anak 13 sangat baik  dalam memahami Q.S. al- Falaq dan Q.S. al- Fil dengan baik dan benar</v>
      </c>
      <c r="I18" s="412">
        <f>IFERROR('PKN3'!AI17,"")</f>
        <v>96</v>
      </c>
      <c r="J18" s="412" t="str">
        <f>IFERROR('PKN3'!AJ17,"")</f>
        <v>A</v>
      </c>
      <c r="K18" s="411" t="str">
        <f>'PKN3'!AO17</f>
        <v>Anak 13 sangat baik  dalam mengidentifikasi pelaksanaan kewajiban dan hak sebagai warga masyarakat dalam kehidupan sehari-hari., dan  sangat baik  dalam mengidentifikasi berbagai bentuk keragaman suku bangsa, sosial, dan budaya di Indonesia yang terikat persatuan dan kesatuan.</v>
      </c>
      <c r="L18" s="414">
        <f>IFERROR(BIND3!AU17,"")</f>
        <v>97</v>
      </c>
      <c r="M18" s="414" t="str">
        <f>IFERROR(BIND3!AV17,"")</f>
        <v>A</v>
      </c>
      <c r="N18" s="413" t="str">
        <f>BIND3!BA17</f>
        <v>Anak 13 sangat baik  dalam menggali pengetahuan baru yang terdapat pada teks nonfiksi., dan  sangat baik  dalam menggali isi dan amanat puisi yang disajikan secara lisan dan tulis dengan tujuan untuk kesenangan.</v>
      </c>
      <c r="O18" s="414">
        <f>IFERROR('MTK3'!BC17,"")</f>
        <v>97</v>
      </c>
      <c r="P18" s="414" t="str">
        <f>IFERROR('MTK3'!BD17,"")</f>
        <v>A</v>
      </c>
      <c r="Q18" s="413" t="str">
        <f>'MTK3'!BI17</f>
        <v>Anak 13 sangat baik  dalam menjelaskan dan melakukan penaksiran dari jumlah, selisih, hasil kali, dan hasil bagi dua bilangan cacah maupun pecahan dan desimal, dan  baik  dalam menjelaskan berbagai bentuk pecahan (biasa, campuran, desimal, dan persen) dan hubungan di antaranya</v>
      </c>
      <c r="R18" s="414">
        <f>IFERROR('IPA3'!AM17,"")</f>
        <v>99</v>
      </c>
      <c r="S18" s="414" t="str">
        <f>IFERROR('IPA3'!AN17,"")</f>
        <v>A</v>
      </c>
      <c r="T18" s="413" t="str">
        <f>'IPA3'!AS17</f>
        <v>Anak 13 sangat baik  dalam membandingkan siklus hidup beberapa jenis makhluk hidup serta mengaitkan dengan upaya pelestariannya.</v>
      </c>
      <c r="U18" s="414">
        <f>IFERROR('IPS3'!AN17,"")</f>
        <v>99</v>
      </c>
      <c r="V18" s="414" t="str">
        <f>IFERROR('IPS3'!AO17,"")</f>
        <v>A</v>
      </c>
      <c r="W18" s="413" t="str">
        <f>'IPS3'!AT17</f>
        <v>Anak 13 sangat baik  dalam mengidentifikasi karakteristik ruang dan pemanfaatan sumberdaya alam untuk kesejahteraan masyarakat dari tingkatkota/kabupaten sampai tingkat provinsi.</v>
      </c>
      <c r="X18" s="414">
        <f>IFERROR(SBDP3!AN17,"")</f>
        <v>99</v>
      </c>
      <c r="Y18" s="414" t="str">
        <f>IFERROR(SBDP3!AO17,"")</f>
        <v>A</v>
      </c>
      <c r="Z18" s="413" t="str">
        <f>SBDP3!AT17</f>
        <v>Anak 13 sangat baik  dalam mengetahui gambar dan bentuk tiga dimensi.</v>
      </c>
      <c r="AA18" s="414">
        <f>IFERROR(PJOK3!AV17,"")</f>
        <v>95</v>
      </c>
      <c r="AB18" s="414" t="str">
        <f>IFERROR(PJOK3!AW17,"")</f>
        <v>A</v>
      </c>
      <c r="AC18" s="413" t="str">
        <f>PJOK3!BB17</f>
        <v>Anak 13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18" s="414">
        <f>IFERROR('MLK1-3'!AT17,"")</f>
        <v>91</v>
      </c>
      <c r="AE18" s="414" t="str">
        <f>IFERROR('MLK1-3'!AU17,"")</f>
        <v>A</v>
      </c>
      <c r="AF18" s="415" t="str">
        <f>'MLK1-3'!AZ17</f>
        <v>Anak 13 sangat baik  dalam mengenal dan memahmi teks tembang dolanan, dan  baik  dalam mengenal dan memahami sandhangan aksara Jawa.</v>
      </c>
      <c r="AG18" s="414">
        <f>IFERROR('MLK2-3'!AP17,"")</f>
        <v>93</v>
      </c>
      <c r="AH18" s="414" t="str">
        <f>IFERROR('MLK2-3'!AQ17,"")</f>
        <v>A</v>
      </c>
      <c r="AI18" s="413" t="str">
        <f>'MLK2-3'!AV17</f>
        <v>Anak 13 sangat baik  dalam mengenal dan mengidentifikasi benda-benda di dapur dan nama-nama bunga, dan  baik  dalam memahami penggunaan kalimat yang menunjukkan letak suatu tempat</v>
      </c>
      <c r="AJ18" s="414">
        <f>IFERROR('MLK3-3'!AP17,"")</f>
        <v>89</v>
      </c>
      <c r="AK18" s="414" t="str">
        <f>IFERROR('MLK3-3'!AQ17,"")</f>
        <v>B</v>
      </c>
      <c r="AL18" s="415" t="str">
        <f>'MLK3-3'!AV17</f>
        <v>Anak 13 sangat baik  dalam mengenal dan memahami penggunaan microsoft  word., dan  baik  dalam memahami pembuatan dokumen di microsoft  word</v>
      </c>
      <c r="AM18" s="414" t="str">
        <f>IFERROR('PAI4'!CI18,"")</f>
        <v/>
      </c>
      <c r="AN18" s="414" t="str">
        <f>IFERROR('PAI4'!CJ18,"")</f>
        <v/>
      </c>
      <c r="AO18" s="415" t="str">
        <f>'PAI4'!CO18</f>
        <v xml:space="preserve"> </v>
      </c>
      <c r="AP18" s="414" t="str">
        <f>IFERROR('PKN4'!AD17,"")</f>
        <v/>
      </c>
      <c r="AQ18" s="414" t="str">
        <f>IFERROR('PKN4'!AE17,"")</f>
        <v/>
      </c>
      <c r="AR18" s="413" t="str">
        <f>'PKN4'!AJ17</f>
        <v xml:space="preserve"> </v>
      </c>
      <c r="AS18" s="414" t="str">
        <f>IFERROR(BIND4!AP17,"")</f>
        <v/>
      </c>
      <c r="AT18" s="414" t="str">
        <f>IFERROR(BIND4!AQ17,"")</f>
        <v/>
      </c>
      <c r="AU18" s="413" t="str">
        <f>BIND4!AV17</f>
        <v xml:space="preserve"> </v>
      </c>
      <c r="AV18" s="414" t="str">
        <f>IFERROR('MTK4'!AP17,"")</f>
        <v/>
      </c>
      <c r="AW18" s="414" t="str">
        <f>IFERROR('MTK4'!AQ17,"")</f>
        <v/>
      </c>
      <c r="AX18" s="413" t="str">
        <f>'MTK4'!AV17</f>
        <v xml:space="preserve"> </v>
      </c>
      <c r="AY18" s="414" t="str">
        <f>IFERROR('IPA4'!AJ17,"")</f>
        <v/>
      </c>
      <c r="AZ18" s="414" t="str">
        <f>IFERROR('IPA4'!AK17,"")</f>
        <v/>
      </c>
      <c r="BA18" s="413" t="str">
        <f>'IPA4'!AP17</f>
        <v xml:space="preserve"> </v>
      </c>
      <c r="BB18" s="414" t="str">
        <f>IFERROR('IPS4'!AG17,"")</f>
        <v/>
      </c>
      <c r="BC18" s="414" t="str">
        <f>IFERROR('IPS4'!AH17,"")</f>
        <v/>
      </c>
      <c r="BD18" s="413" t="str">
        <f>'IPS4'!AM17</f>
        <v xml:space="preserve"> </v>
      </c>
      <c r="BE18" s="414" t="str">
        <f>IFERROR(SBDP4!AG17,"")</f>
        <v/>
      </c>
      <c r="BF18" s="414" t="str">
        <f>IFERROR(SBDP4!AH17,"")</f>
        <v/>
      </c>
      <c r="BG18" s="413" t="str">
        <f>SBDP4!AM17</f>
        <v xml:space="preserve"> </v>
      </c>
      <c r="BH18" s="414" t="str">
        <f>IFERROR(PJOK4!AJ17,"")</f>
        <v/>
      </c>
      <c r="BI18" s="414" t="str">
        <f>IFERROR(PJOK4!AK17,"")</f>
        <v/>
      </c>
      <c r="BJ18" s="415" t="str">
        <f>PJOK4!AP17</f>
        <v xml:space="preserve"> </v>
      </c>
      <c r="BK18" s="414" t="str">
        <f>IFERROR('MLK1-4'!AG17,"")</f>
        <v/>
      </c>
      <c r="BL18" s="414" t="str">
        <f>IFERROR('MLK1-4'!AH17,"")</f>
        <v/>
      </c>
      <c r="BM18" s="413" t="str">
        <f>'MLK1-4'!AM17</f>
        <v xml:space="preserve"> </v>
      </c>
      <c r="BN18" s="414" t="str">
        <f>IFERROR('MLK2-4'!AG17,"")</f>
        <v/>
      </c>
      <c r="BO18" s="414" t="str">
        <f>IFERROR('MLK2-4'!AH17,"")</f>
        <v/>
      </c>
      <c r="BP18" s="413" t="str">
        <f>'MLK2-4'!AM17</f>
        <v xml:space="preserve"> </v>
      </c>
      <c r="BQ18" s="414" t="str">
        <f>IFERROR('MLK3-4'!AG17,"")</f>
        <v/>
      </c>
      <c r="BR18" s="414" t="str">
        <f>IFERROR('MLK3-4'!AH17,"")</f>
        <v/>
      </c>
      <c r="BS18" s="413" t="str">
        <f>'MLK3-4'!AM17</f>
        <v xml:space="preserve"> </v>
      </c>
      <c r="BT18" s="414">
        <f t="shared" si="0"/>
        <v>47.909090909090907</v>
      </c>
      <c r="BU18" s="444">
        <f t="shared" si="1"/>
        <v>1054</v>
      </c>
      <c r="BV18" s="416">
        <f t="shared" si="2"/>
        <v>1054</v>
      </c>
      <c r="BW18" s="417">
        <f t="shared" si="3"/>
        <v>25</v>
      </c>
    </row>
    <row r="19" spans="1:75" ht="20.25" customHeight="1">
      <c r="A19" s="113">
        <v>14</v>
      </c>
      <c r="B19" s="113">
        <f>SISWA!B19</f>
        <v>0</v>
      </c>
      <c r="C19" s="410" t="str">
        <f>SISWA!C19</f>
        <v>Anak 14</v>
      </c>
      <c r="D19" s="411" t="str">
        <f>SPIRIT!Q18</f>
        <v xml:space="preserve">Ananda Anak 14 baik dalam  ketaatan beribadah,  berperilaku syukur,  berdoa sebelum dan sesudah melakukan kegiatan,  toleransi dalam beribadah, </v>
      </c>
      <c r="E19" s="411" t="str">
        <f>SOSIAL!W18</f>
        <v xml:space="preserve">Ananda Anak 14 baik dalam sikap jujur, disiplin, tanggung jawab, santun, peduli, percaya diri, kerja sama, </v>
      </c>
      <c r="F19" s="412">
        <f>IFERROR('PAI3'!DU19,"")</f>
        <v>99</v>
      </c>
      <c r="G19" s="412" t="str">
        <f>IFERROR('PAI3'!DV19,"")</f>
        <v>A</v>
      </c>
      <c r="H19" s="413" t="str">
        <f>'PAI3'!EA19</f>
        <v>Anak 14 sangat baik  dalam memahami Q.S. al- Falaq dan Q.S. al- Fil dengan baik dan benar</v>
      </c>
      <c r="I19" s="412">
        <f>IFERROR('PKN3'!AI18,"")</f>
        <v>95</v>
      </c>
      <c r="J19" s="412" t="str">
        <f>IFERROR('PKN3'!AJ18,"")</f>
        <v>A</v>
      </c>
      <c r="K19" s="411" t="str">
        <f>'PKN3'!AO18</f>
        <v>Anak 14 sangat baik  dalam mengidentifikasi pelaksanaan kewajiban dan hak sebagai warga masyarakat dalam kehidupan sehari-hari., dan  sangat baik  dalam menjelaskan manfaat keberagaman karakteristik individu dalam kehidupan sehari-hari.</v>
      </c>
      <c r="L19" s="414">
        <f>IFERROR(BIND3!AU18,"")</f>
        <v>96</v>
      </c>
      <c r="M19" s="414" t="str">
        <f>IFERROR(BIND3!AV18,"")</f>
        <v>A</v>
      </c>
      <c r="N19" s="413" t="str">
        <f>BIND3!BA18</f>
        <v>Anak 14 sangat baik  dalam menggali pengetahuan baru yang terdapat pada teks nonfiksi., dan  sangat baik  dalam menggali informasi dari seorang tokoh melalui wawancara menggunakan daftar pertanyaan.</v>
      </c>
      <c r="O19" s="414">
        <f>IFERROR('MTK3'!BC18,"")</f>
        <v>96</v>
      </c>
      <c r="P19" s="414" t="str">
        <f>IFERROR('MTK3'!BD18,"")</f>
        <v>A</v>
      </c>
      <c r="Q19" s="413" t="str">
        <f>'MTK3'!BI18</f>
        <v>Anak 14 sangat baik  dalam menjelaskan dan melakukan penaksiran dari jumlah, selisih, hasil kali, dan hasil bagi dua bilangan cacah maupun pecahan dan desimal, dan  baik  dalam menjelaskan berbagai bentuk pecahan (biasa, campuran, desimal, dan persen) dan hubungan di antaranya</v>
      </c>
      <c r="R19" s="414">
        <f>IFERROR('IPA3'!AM18,"")</f>
        <v>99</v>
      </c>
      <c r="S19" s="414" t="str">
        <f>IFERROR('IPA3'!AN18,"")</f>
        <v>A</v>
      </c>
      <c r="T19" s="413" t="str">
        <f>'IPA3'!AS18</f>
        <v>Anak 14 sangat baik  dalam membandingkan siklus hidup beberapa jenis makhluk hidup serta mengaitkan dengan upaya pelestariannya.</v>
      </c>
      <c r="U19" s="414">
        <f>IFERROR('IPS3'!AN18,"")</f>
        <v>99</v>
      </c>
      <c r="V19" s="414" t="str">
        <f>IFERROR('IPS3'!AO18,"")</f>
        <v>A</v>
      </c>
      <c r="W19" s="413" t="str">
        <f>'IPS3'!AT18</f>
        <v>Anak 14 sangat baik  dalam mengidentifikasi karakteristik ruang dan pemanfaatan sumberdaya alam untuk kesejahteraan masyarakat dari tingkatkota/kabupaten sampai tingkat provinsi.</v>
      </c>
      <c r="X19" s="414">
        <f>IFERROR(SBDP3!AN18,"")</f>
        <v>99</v>
      </c>
      <c r="Y19" s="414" t="str">
        <f>IFERROR(SBDP3!AO18,"")</f>
        <v>A</v>
      </c>
      <c r="Z19" s="413" t="str">
        <f>SBDP3!AT18</f>
        <v>Anak 14 sangat baik  dalam mengetahui gambar dan bentuk tiga dimensi.</v>
      </c>
      <c r="AA19" s="414">
        <f>IFERROR(PJOK3!AV18,"")</f>
        <v>94</v>
      </c>
      <c r="AB19" s="414" t="str">
        <f>IFERROR(PJOK3!AW18,"")</f>
        <v>A</v>
      </c>
      <c r="AC19" s="413" t="str">
        <f>PJOK3!BB18</f>
        <v>Anak 14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19" s="414">
        <f>IFERROR('MLK1-3'!AT18,"")</f>
        <v>90</v>
      </c>
      <c r="AE19" s="414" t="str">
        <f>IFERROR('MLK1-3'!AU18,"")</f>
        <v>B</v>
      </c>
      <c r="AF19" s="415" t="str">
        <f>'MLK1-3'!AZ18</f>
        <v>Anak 14 sangat baik  dalam mengenal, memahami, dan mengidentifikasi kata berimbuhan dalam teks sesuai kaidah, dan  baik  dalam mengenal dan memahami sandhangan aksara Jawa.</v>
      </c>
      <c r="AG19" s="414">
        <f>IFERROR('MLK2-3'!AP18,"")</f>
        <v>92</v>
      </c>
      <c r="AH19" s="414" t="str">
        <f>IFERROR('MLK2-3'!AQ18,"")</f>
        <v>A</v>
      </c>
      <c r="AI19" s="413" t="str">
        <f>'MLK2-3'!AV18</f>
        <v>Anak 14 sangat baik  dalam mengenal dan mengidentifikasi benda-benda di dapur dan nama-nama bunga, dan  baik  dalam memahami penggunaan kalimat yang menunjukkan letak suatu tempat</v>
      </c>
      <c r="AJ19" s="414">
        <f>IFERROR('MLK3-3'!AP18,"")</f>
        <v>88</v>
      </c>
      <c r="AK19" s="414" t="str">
        <f>IFERROR('MLK3-3'!AQ18,"")</f>
        <v>B</v>
      </c>
      <c r="AL19" s="415" t="str">
        <f>'MLK3-3'!AV18</f>
        <v>Anak 14 baik  dalam memahami pembuatan dokumen di microsoft  word, dan  baik  dalam mengenal dan memahami penggunaan microsoft  word.</v>
      </c>
      <c r="AM19" s="414" t="str">
        <f>IFERROR('PAI4'!CI19,"")</f>
        <v/>
      </c>
      <c r="AN19" s="414" t="str">
        <f>IFERROR('PAI4'!CJ19,"")</f>
        <v/>
      </c>
      <c r="AO19" s="415" t="str">
        <f>'PAI4'!CO19</f>
        <v xml:space="preserve"> </v>
      </c>
      <c r="AP19" s="414" t="str">
        <f>IFERROR('PKN4'!AD18,"")</f>
        <v/>
      </c>
      <c r="AQ19" s="414" t="str">
        <f>IFERROR('PKN4'!AE18,"")</f>
        <v/>
      </c>
      <c r="AR19" s="413" t="str">
        <f>'PKN4'!AJ18</f>
        <v xml:space="preserve"> </v>
      </c>
      <c r="AS19" s="414" t="str">
        <f>IFERROR(BIND4!AP18,"")</f>
        <v/>
      </c>
      <c r="AT19" s="414" t="str">
        <f>IFERROR(BIND4!AQ18,"")</f>
        <v/>
      </c>
      <c r="AU19" s="413" t="str">
        <f>BIND4!AV18</f>
        <v xml:space="preserve"> </v>
      </c>
      <c r="AV19" s="414" t="str">
        <f>IFERROR('MTK4'!AP18,"")</f>
        <v/>
      </c>
      <c r="AW19" s="414" t="str">
        <f>IFERROR('MTK4'!AQ18,"")</f>
        <v/>
      </c>
      <c r="AX19" s="413" t="str">
        <f>'MTK4'!AV18</f>
        <v xml:space="preserve"> </v>
      </c>
      <c r="AY19" s="414" t="str">
        <f>IFERROR('IPA4'!AJ18,"")</f>
        <v/>
      </c>
      <c r="AZ19" s="414" t="str">
        <f>IFERROR('IPA4'!AK18,"")</f>
        <v/>
      </c>
      <c r="BA19" s="413" t="str">
        <f>'IPA4'!AP18</f>
        <v xml:space="preserve"> </v>
      </c>
      <c r="BB19" s="414" t="str">
        <f>IFERROR('IPS4'!AG18,"")</f>
        <v/>
      </c>
      <c r="BC19" s="414" t="str">
        <f>IFERROR('IPS4'!AH18,"")</f>
        <v/>
      </c>
      <c r="BD19" s="413" t="str">
        <f>'IPS4'!AM18</f>
        <v xml:space="preserve"> </v>
      </c>
      <c r="BE19" s="414" t="str">
        <f>IFERROR(SBDP4!AG18,"")</f>
        <v/>
      </c>
      <c r="BF19" s="414" t="str">
        <f>IFERROR(SBDP4!AH18,"")</f>
        <v/>
      </c>
      <c r="BG19" s="413" t="str">
        <f>SBDP4!AM18</f>
        <v xml:space="preserve"> </v>
      </c>
      <c r="BH19" s="414" t="str">
        <f>IFERROR(PJOK4!AJ18,"")</f>
        <v/>
      </c>
      <c r="BI19" s="414" t="str">
        <f>IFERROR(PJOK4!AK18,"")</f>
        <v/>
      </c>
      <c r="BJ19" s="415" t="str">
        <f>PJOK4!AP18</f>
        <v xml:space="preserve"> </v>
      </c>
      <c r="BK19" s="414" t="str">
        <f>IFERROR('MLK1-4'!AG18,"")</f>
        <v/>
      </c>
      <c r="BL19" s="414" t="str">
        <f>IFERROR('MLK1-4'!AH18,"")</f>
        <v/>
      </c>
      <c r="BM19" s="413" t="str">
        <f>'MLK1-4'!AM18</f>
        <v xml:space="preserve"> </v>
      </c>
      <c r="BN19" s="414" t="str">
        <f>IFERROR('MLK2-4'!AG18,"")</f>
        <v/>
      </c>
      <c r="BO19" s="414" t="str">
        <f>IFERROR('MLK2-4'!AH18,"")</f>
        <v/>
      </c>
      <c r="BP19" s="413" t="str">
        <f>'MLK2-4'!AM18</f>
        <v xml:space="preserve"> </v>
      </c>
      <c r="BQ19" s="414" t="str">
        <f>IFERROR('MLK3-4'!AG18,"")</f>
        <v/>
      </c>
      <c r="BR19" s="414" t="str">
        <f>IFERROR('MLK3-4'!AH18,"")</f>
        <v/>
      </c>
      <c r="BS19" s="413" t="str">
        <f>'MLK3-4'!AM18</f>
        <v xml:space="preserve"> </v>
      </c>
      <c r="BT19" s="414">
        <f t="shared" si="0"/>
        <v>47.590909090909093</v>
      </c>
      <c r="BU19" s="444">
        <f t="shared" si="1"/>
        <v>1047</v>
      </c>
      <c r="BV19" s="416">
        <f t="shared" si="2"/>
        <v>1047</v>
      </c>
      <c r="BW19" s="417">
        <f t="shared" si="3"/>
        <v>39</v>
      </c>
    </row>
    <row r="20" spans="1:75" ht="20.25" customHeight="1">
      <c r="A20" s="113">
        <v>15</v>
      </c>
      <c r="B20" s="113">
        <f>SISWA!B20</f>
        <v>0</v>
      </c>
      <c r="C20" s="410" t="str">
        <f>SISWA!C20</f>
        <v>Anak 15</v>
      </c>
      <c r="D20" s="411" t="str">
        <f>SPIRIT!Q19</f>
        <v xml:space="preserve">Ananda Anak 15 baik dalam  ketaatan beribadah,  berperilaku syukur,  berdoa sebelum dan sesudah melakukan kegiatan,  toleransi dalam beribadah, </v>
      </c>
      <c r="E20" s="411" t="str">
        <f>SOSIAL!W19</f>
        <v xml:space="preserve">Ananda Anak 15 baik dalam sikap jujur, disiplin, tanggung jawab, santun, peduli, percaya diri, kerja sama, </v>
      </c>
      <c r="F20" s="412">
        <f>IFERROR('PAI3'!DU20,"")</f>
        <v>99</v>
      </c>
      <c r="G20" s="412" t="str">
        <f>IFERROR('PAI3'!DV20,"")</f>
        <v>A</v>
      </c>
      <c r="H20" s="413" t="str">
        <f>'PAI3'!EA20</f>
        <v>Anak 15 sangat baik  dalam memahami Q.S. al- Falaq dan Q.S. al- Fil dengan baik dan benar</v>
      </c>
      <c r="I20" s="412">
        <f>IFERROR('PKN3'!AI19,"")</f>
        <v>96</v>
      </c>
      <c r="J20" s="412" t="str">
        <f>IFERROR('PKN3'!AJ19,"")</f>
        <v>A</v>
      </c>
      <c r="K20" s="411" t="str">
        <f>'PKN3'!AO19</f>
        <v>Anak 15 sangat baik  dalam mengidentifikasi pelaksanaan kewajiban dan hak sebagai warga masyarakat dalam kehidupan sehari-hari., dan  sangat baik  dalam mengidentifikasi berbagai bentuk keragaman suku bangsa, sosial, dan budaya di Indonesia yang terikat persatuan dan kesatuan.</v>
      </c>
      <c r="L20" s="414">
        <f>IFERROR(BIND3!AU19,"")</f>
        <v>97</v>
      </c>
      <c r="M20" s="414" t="str">
        <f>IFERROR(BIND3!AV19,"")</f>
        <v>A</v>
      </c>
      <c r="N20" s="413" t="str">
        <f>BIND3!BA19</f>
        <v>Anak 15 sangat baik  dalam menggali pengetahuan baru yang terdapat pada teks nonfiksi., dan  sangat baik  dalam menggali informasi dari seorang tokoh melalui wawancara menggunakan daftar pertanyaan.</v>
      </c>
      <c r="O20" s="414">
        <f>IFERROR('MTK3'!BC19,"")</f>
        <v>97</v>
      </c>
      <c r="P20" s="414" t="str">
        <f>IFERROR('MTK3'!BD19,"")</f>
        <v>A</v>
      </c>
      <c r="Q20" s="413" t="str">
        <f>'MTK3'!BI19</f>
        <v>Anak 15 sangat baik  dalam menjelaskan dan melakukan penaksiran dari jumlah, selisih, hasil kali, dan hasil bagi dua bilangan cacah maupun pecahan dan desimal, dan  baik  dalam menjelaskan berbagai bentuk pecahan (biasa, campuran, desimal, dan persen) dan hubungan di antaranya</v>
      </c>
      <c r="R20" s="414">
        <f>IFERROR('IPA3'!AM19,"")</f>
        <v>99</v>
      </c>
      <c r="S20" s="414" t="str">
        <f>IFERROR('IPA3'!AN19,"")</f>
        <v>A</v>
      </c>
      <c r="T20" s="413" t="str">
        <f>'IPA3'!AS19</f>
        <v>Anak 15 sangat baik  dalam membandingkan siklus hidup beberapa jenis makhluk hidup serta mengaitkan dengan upaya pelestariannya.</v>
      </c>
      <c r="U20" s="414">
        <f>IFERROR('IPS3'!AN19,"")</f>
        <v>99</v>
      </c>
      <c r="V20" s="414" t="str">
        <f>IFERROR('IPS3'!AO19,"")</f>
        <v>A</v>
      </c>
      <c r="W20" s="413" t="str">
        <f>'IPS3'!AT19</f>
        <v>Anak 15 sangat baik  dalam mengidentifikasi karakteristik ruang dan pemanfaatan sumberdaya alam untuk kesejahteraan masyarakat dari tingkatkota/kabupaten sampai tingkat provinsi.</v>
      </c>
      <c r="X20" s="414">
        <f>IFERROR(SBDP3!AN19,"")</f>
        <v>99</v>
      </c>
      <c r="Y20" s="414" t="str">
        <f>IFERROR(SBDP3!AO19,"")</f>
        <v>A</v>
      </c>
      <c r="Z20" s="413" t="str">
        <f>SBDP3!AT19</f>
        <v>Anak 15 sangat baik  dalam mengetahui gambar dan bentuk tiga dimensi.</v>
      </c>
      <c r="AA20" s="414">
        <f>IFERROR(PJOK3!AV19,"")</f>
        <v>95</v>
      </c>
      <c r="AB20" s="414" t="str">
        <f>IFERROR(PJOK3!AW19,"")</f>
        <v>A</v>
      </c>
      <c r="AC20" s="413" t="str">
        <f>PJOK3!BB19</f>
        <v>Anak 15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20" s="414">
        <f>IFERROR('MLK1-3'!AT19,"")</f>
        <v>92</v>
      </c>
      <c r="AE20" s="414" t="str">
        <f>IFERROR('MLK1-3'!AU19,"")</f>
        <v>A</v>
      </c>
      <c r="AF20" s="415" t="str">
        <f>'MLK1-3'!AZ19</f>
        <v>Anak 15 sangat baik  dalam mengenal dan memahmi teks tembang dolanan, dan  baik  dalam mengenal dan memahami sandhangan aksara Jawa.</v>
      </c>
      <c r="AG20" s="414">
        <f>IFERROR('MLK2-3'!AP19,"")</f>
        <v>93</v>
      </c>
      <c r="AH20" s="414" t="str">
        <f>IFERROR('MLK2-3'!AQ19,"")</f>
        <v>A</v>
      </c>
      <c r="AI20" s="413" t="str">
        <f>'MLK2-3'!AV19</f>
        <v>Anak 15 sangat baik  dalam mengenal dan mengidentifikasi benda-benda di dapur dan nama-nama bunga, dan  baik  dalam memahami penggunaan kalimat yang menunjukkan letak suatu tempat</v>
      </c>
      <c r="AJ20" s="414">
        <f>IFERROR('MLK3-3'!AP19,"")</f>
        <v>89</v>
      </c>
      <c r="AK20" s="414" t="str">
        <f>IFERROR('MLK3-3'!AQ19,"")</f>
        <v>B</v>
      </c>
      <c r="AL20" s="415" t="str">
        <f>'MLK3-3'!AV19</f>
        <v>Anak 15 baik  dalam mengenal dan memahami penggunaan microsoft  word., dan  baik  dalam memahami pembuatan dokumen di microsoft  word</v>
      </c>
      <c r="AM20" s="414" t="str">
        <f>IFERROR('PAI4'!CI20,"")</f>
        <v/>
      </c>
      <c r="AN20" s="414" t="str">
        <f>IFERROR('PAI4'!CJ20,"")</f>
        <v/>
      </c>
      <c r="AO20" s="415" t="str">
        <f>'PAI4'!CO20</f>
        <v xml:space="preserve"> </v>
      </c>
      <c r="AP20" s="414" t="str">
        <f>IFERROR('PKN4'!AD19,"")</f>
        <v/>
      </c>
      <c r="AQ20" s="414" t="str">
        <f>IFERROR('PKN4'!AE19,"")</f>
        <v/>
      </c>
      <c r="AR20" s="413" t="str">
        <f>'PKN4'!AJ19</f>
        <v xml:space="preserve"> </v>
      </c>
      <c r="AS20" s="414" t="str">
        <f>IFERROR(BIND4!AP19,"")</f>
        <v/>
      </c>
      <c r="AT20" s="414" t="str">
        <f>IFERROR(BIND4!AQ19,"")</f>
        <v/>
      </c>
      <c r="AU20" s="413" t="str">
        <f>BIND4!AV19</f>
        <v xml:space="preserve"> </v>
      </c>
      <c r="AV20" s="414" t="str">
        <f>IFERROR('MTK4'!AP19,"")</f>
        <v/>
      </c>
      <c r="AW20" s="414" t="str">
        <f>IFERROR('MTK4'!AQ19,"")</f>
        <v/>
      </c>
      <c r="AX20" s="413" t="str">
        <f>'MTK4'!AV19</f>
        <v xml:space="preserve"> </v>
      </c>
      <c r="AY20" s="414" t="str">
        <f>IFERROR('IPA4'!AJ19,"")</f>
        <v/>
      </c>
      <c r="AZ20" s="414" t="str">
        <f>IFERROR('IPA4'!AK19,"")</f>
        <v/>
      </c>
      <c r="BA20" s="413" t="str">
        <f>'IPA4'!AP19</f>
        <v xml:space="preserve"> </v>
      </c>
      <c r="BB20" s="414" t="str">
        <f>IFERROR('IPS4'!AG19,"")</f>
        <v/>
      </c>
      <c r="BC20" s="414" t="str">
        <f>IFERROR('IPS4'!AH19,"")</f>
        <v/>
      </c>
      <c r="BD20" s="413" t="str">
        <f>'IPS4'!AM19</f>
        <v xml:space="preserve"> </v>
      </c>
      <c r="BE20" s="414" t="str">
        <f>IFERROR(SBDP4!AG19,"")</f>
        <v/>
      </c>
      <c r="BF20" s="414" t="str">
        <f>IFERROR(SBDP4!AH19,"")</f>
        <v/>
      </c>
      <c r="BG20" s="413" t="str">
        <f>SBDP4!AM19</f>
        <v xml:space="preserve"> </v>
      </c>
      <c r="BH20" s="414" t="str">
        <f>IFERROR(PJOK4!AJ19,"")</f>
        <v/>
      </c>
      <c r="BI20" s="414" t="str">
        <f>IFERROR(PJOK4!AK19,"")</f>
        <v/>
      </c>
      <c r="BJ20" s="415" t="str">
        <f>PJOK4!AP19</f>
        <v xml:space="preserve"> </v>
      </c>
      <c r="BK20" s="414" t="str">
        <f>IFERROR('MLK1-4'!AG19,"")</f>
        <v/>
      </c>
      <c r="BL20" s="414" t="str">
        <f>IFERROR('MLK1-4'!AH19,"")</f>
        <v/>
      </c>
      <c r="BM20" s="413" t="str">
        <f>'MLK1-4'!AM19</f>
        <v xml:space="preserve"> </v>
      </c>
      <c r="BN20" s="414" t="str">
        <f>IFERROR('MLK2-4'!AG19,"")</f>
        <v/>
      </c>
      <c r="BO20" s="414" t="str">
        <f>IFERROR('MLK2-4'!AH19,"")</f>
        <v/>
      </c>
      <c r="BP20" s="413" t="str">
        <f>'MLK2-4'!AM19</f>
        <v xml:space="preserve"> </v>
      </c>
      <c r="BQ20" s="414" t="str">
        <f>IFERROR('MLK3-4'!AG19,"")</f>
        <v/>
      </c>
      <c r="BR20" s="414" t="str">
        <f>IFERROR('MLK3-4'!AH19,"")</f>
        <v/>
      </c>
      <c r="BS20" s="413" t="str">
        <f>'MLK3-4'!AM19</f>
        <v xml:space="preserve"> </v>
      </c>
      <c r="BT20" s="414">
        <f t="shared" si="0"/>
        <v>47.954545454545453</v>
      </c>
      <c r="BU20" s="444">
        <f t="shared" si="1"/>
        <v>1055</v>
      </c>
      <c r="BV20" s="416">
        <f t="shared" si="2"/>
        <v>1055</v>
      </c>
      <c r="BW20" s="417">
        <f t="shared" si="3"/>
        <v>24</v>
      </c>
    </row>
    <row r="21" spans="1:75" ht="20.25" customHeight="1">
      <c r="A21" s="113">
        <v>16</v>
      </c>
      <c r="B21" s="113">
        <f>SISWA!B21</f>
        <v>0</v>
      </c>
      <c r="C21" s="410" t="str">
        <f>SISWA!C21</f>
        <v>Anak 16</v>
      </c>
      <c r="D21" s="411" t="str">
        <f>SPIRIT!Q20</f>
        <v xml:space="preserve">Ananda Anak 16 baik dalam  ketaatan beribadah,  berperilaku syukur,  berdoa sebelum dan sesudah melakukan kegiatan,  toleransi dalam beribadah, </v>
      </c>
      <c r="E21" s="411" t="str">
        <f>SOSIAL!W20</f>
        <v xml:space="preserve">Ananda Anak 16 baik dalam sikap jujur, disiplin, tanggung jawab, santun, peduli, percaya diri, kerja sama, </v>
      </c>
      <c r="F21" s="412">
        <f>IFERROR('PAI3'!DU21,"")</f>
        <v>99</v>
      </c>
      <c r="G21" s="412" t="str">
        <f>IFERROR('PAI3'!DV21,"")</f>
        <v>A</v>
      </c>
      <c r="H21" s="413" t="str">
        <f>'PAI3'!EA21</f>
        <v>Anak 16 sangat baik  dalam memahami Q.S. al- Falaq dan Q.S. al- Fil dengan baik dan benar</v>
      </c>
      <c r="I21" s="412">
        <f>IFERROR('PKN3'!AI20,"")</f>
        <v>96</v>
      </c>
      <c r="J21" s="412" t="str">
        <f>IFERROR('PKN3'!AJ20,"")</f>
        <v>A</v>
      </c>
      <c r="K21" s="411" t="str">
        <f>'PKN3'!AO20</f>
        <v>Anak 16 sangat baik  dalam mengidentifikasi pelaksanaan kewajiban dan hak sebagai warga masyarakat dalam kehidupan sehari-hari., dan  sangat baik  dalam menjelaskan manfaat keberagaman karakteristik individu dalam kehidupan sehari-hari.</v>
      </c>
      <c r="L21" s="414">
        <f>IFERROR(BIND3!AU20,"")</f>
        <v>97</v>
      </c>
      <c r="M21" s="414" t="str">
        <f>IFERROR(BIND3!AV20,"")</f>
        <v>A</v>
      </c>
      <c r="N21" s="413" t="str">
        <f>BIND3!BA20</f>
        <v>Anak 16 sangat baik  dalam menggali pengetahuan baru yang terdapat pada teks nonfiksi., dan  sangat baik  dalam menggali informasi dari seorang tokoh melalui wawancara menggunakan daftar pertanyaan.</v>
      </c>
      <c r="O21" s="414">
        <f>IFERROR('MTK3'!BC20,"")</f>
        <v>97</v>
      </c>
      <c r="P21" s="414" t="str">
        <f>IFERROR('MTK3'!BD20,"")</f>
        <v>A</v>
      </c>
      <c r="Q21" s="413" t="str">
        <f>'MTK3'!BI20</f>
        <v>Anak 16 sangat baik  dalam menjelaskan dan melakukan penaksiran dari jumlah, selisih, hasil kali, dan hasil bagi dua bilangan cacah maupun pecahan dan desimal, dan  baik  dalam menjelaskan berbagai bentuk pecahan (biasa, campuran, desimal, dan persen) dan hubungan di antaranya</v>
      </c>
      <c r="R21" s="414">
        <f>IFERROR('IPA3'!AM20,"")</f>
        <v>99</v>
      </c>
      <c r="S21" s="414" t="str">
        <f>IFERROR('IPA3'!AN20,"")</f>
        <v>A</v>
      </c>
      <c r="T21" s="413" t="str">
        <f>'IPA3'!AS20</f>
        <v>Anak 16 sangat baik  dalam membandingkan siklus hidup beberapa jenis makhluk hidup serta mengaitkan dengan upaya pelestariannya.</v>
      </c>
      <c r="U21" s="414">
        <f>IFERROR('IPS3'!AN20,"")</f>
        <v>99</v>
      </c>
      <c r="V21" s="414" t="str">
        <f>IFERROR('IPS3'!AO20,"")</f>
        <v>A</v>
      </c>
      <c r="W21" s="413" t="str">
        <f>'IPS3'!AT20</f>
        <v>Anak 16 sangat baik  dalam mengidentifikasi karakteristik ruang dan pemanfaatan sumberdaya alam untuk kesejahteraan masyarakat dari tingkatkota/kabupaten sampai tingkat provinsi.</v>
      </c>
      <c r="X21" s="414">
        <f>IFERROR(SBDP3!AN20,"")</f>
        <v>99</v>
      </c>
      <c r="Y21" s="414" t="str">
        <f>IFERROR(SBDP3!AO20,"")</f>
        <v>A</v>
      </c>
      <c r="Z21" s="413" t="str">
        <f>SBDP3!AT20</f>
        <v>Anak 16 sangat baik  dalam mengetahui gambar dan bentuk tiga dimensi.</v>
      </c>
      <c r="AA21" s="414">
        <f>IFERROR(PJOK3!AV20,"")</f>
        <v>95</v>
      </c>
      <c r="AB21" s="414" t="str">
        <f>IFERROR(PJOK3!AW20,"")</f>
        <v>A</v>
      </c>
      <c r="AC21" s="413" t="str">
        <f>PJOK3!BB20</f>
        <v>Anak 16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1" s="414">
        <f>IFERROR('MLK1-3'!AT20,"")</f>
        <v>91</v>
      </c>
      <c r="AE21" s="414" t="str">
        <f>IFERROR('MLK1-3'!AU20,"")</f>
        <v>A</v>
      </c>
      <c r="AF21" s="415" t="str">
        <f>'MLK1-3'!AZ20</f>
        <v>Anak 16 sangat baik  dalam mengenal dan memahmi teks tembang dolanan, dan  baik  dalam mengenal dan memahami sandhangan aksara Jawa.</v>
      </c>
      <c r="AG21" s="414">
        <f>IFERROR('MLK2-3'!AP20,"")</f>
        <v>93</v>
      </c>
      <c r="AH21" s="414" t="str">
        <f>IFERROR('MLK2-3'!AQ20,"")</f>
        <v>A</v>
      </c>
      <c r="AI21" s="413" t="str">
        <f>'MLK2-3'!AV20</f>
        <v>Anak 16 sangat baik  dalam mengenal dan mengidentifikasi benda-benda di dapur dan nama-nama bunga, dan  baik  dalam memahami penggunaan kalimat yang menunjukkan letak suatu tempat</v>
      </c>
      <c r="AJ21" s="414">
        <f>IFERROR('MLK3-3'!AP20,"")</f>
        <v>89</v>
      </c>
      <c r="AK21" s="414" t="str">
        <f>IFERROR('MLK3-3'!AQ20,"")</f>
        <v>B</v>
      </c>
      <c r="AL21" s="415" t="str">
        <f>'MLK3-3'!AV20</f>
        <v>Anak 16 baik  dalam mengenal dan memahami penggunaan microsoft  word.</v>
      </c>
      <c r="AM21" s="414" t="str">
        <f>IFERROR('PAI4'!CI21,"")</f>
        <v/>
      </c>
      <c r="AN21" s="414" t="str">
        <f>IFERROR('PAI4'!CJ21,"")</f>
        <v/>
      </c>
      <c r="AO21" s="415" t="str">
        <f>'PAI4'!CO21</f>
        <v xml:space="preserve"> </v>
      </c>
      <c r="AP21" s="414" t="str">
        <f>IFERROR('PKN4'!AD20,"")</f>
        <v/>
      </c>
      <c r="AQ21" s="414" t="str">
        <f>IFERROR('PKN4'!AE20,"")</f>
        <v/>
      </c>
      <c r="AR21" s="413" t="str">
        <f>'PKN4'!AJ20</f>
        <v xml:space="preserve"> </v>
      </c>
      <c r="AS21" s="414" t="str">
        <f>IFERROR(BIND4!AP20,"")</f>
        <v/>
      </c>
      <c r="AT21" s="414" t="str">
        <f>IFERROR(BIND4!AQ20,"")</f>
        <v/>
      </c>
      <c r="AU21" s="413" t="str">
        <f>BIND4!AV20</f>
        <v xml:space="preserve"> </v>
      </c>
      <c r="AV21" s="414" t="str">
        <f>IFERROR('MTK4'!AP20,"")</f>
        <v/>
      </c>
      <c r="AW21" s="414" t="str">
        <f>IFERROR('MTK4'!AQ20,"")</f>
        <v/>
      </c>
      <c r="AX21" s="413" t="str">
        <f>'MTK4'!AV20</f>
        <v xml:space="preserve"> </v>
      </c>
      <c r="AY21" s="414" t="str">
        <f>IFERROR('IPA4'!AJ20,"")</f>
        <v/>
      </c>
      <c r="AZ21" s="414" t="str">
        <f>IFERROR('IPA4'!AK20,"")</f>
        <v/>
      </c>
      <c r="BA21" s="413" t="str">
        <f>'IPA4'!AP20</f>
        <v xml:space="preserve"> </v>
      </c>
      <c r="BB21" s="414" t="str">
        <f>IFERROR('IPS4'!AG20,"")</f>
        <v/>
      </c>
      <c r="BC21" s="414" t="str">
        <f>IFERROR('IPS4'!AH20,"")</f>
        <v/>
      </c>
      <c r="BD21" s="413" t="str">
        <f>'IPS4'!AM20</f>
        <v xml:space="preserve"> </v>
      </c>
      <c r="BE21" s="414" t="str">
        <f>IFERROR(SBDP4!AG20,"")</f>
        <v/>
      </c>
      <c r="BF21" s="414" t="str">
        <f>IFERROR(SBDP4!AH20,"")</f>
        <v/>
      </c>
      <c r="BG21" s="413" t="str">
        <f>SBDP4!AM20</f>
        <v xml:space="preserve"> </v>
      </c>
      <c r="BH21" s="414" t="str">
        <f>IFERROR(PJOK4!AJ20,"")</f>
        <v/>
      </c>
      <c r="BI21" s="414" t="str">
        <f>IFERROR(PJOK4!AK20,"")</f>
        <v/>
      </c>
      <c r="BJ21" s="415" t="str">
        <f>PJOK4!AP20</f>
        <v xml:space="preserve"> </v>
      </c>
      <c r="BK21" s="414" t="str">
        <f>IFERROR('MLK1-4'!AG20,"")</f>
        <v/>
      </c>
      <c r="BL21" s="414" t="str">
        <f>IFERROR('MLK1-4'!AH20,"")</f>
        <v/>
      </c>
      <c r="BM21" s="413" t="str">
        <f>'MLK1-4'!AM20</f>
        <v xml:space="preserve"> </v>
      </c>
      <c r="BN21" s="414" t="str">
        <f>IFERROR('MLK2-4'!AG20,"")</f>
        <v/>
      </c>
      <c r="BO21" s="414" t="str">
        <f>IFERROR('MLK2-4'!AH20,"")</f>
        <v/>
      </c>
      <c r="BP21" s="413" t="str">
        <f>'MLK2-4'!AM20</f>
        <v xml:space="preserve"> </v>
      </c>
      <c r="BQ21" s="414" t="str">
        <f>IFERROR('MLK3-4'!AG20,"")</f>
        <v/>
      </c>
      <c r="BR21" s="414" t="str">
        <f>IFERROR('MLK3-4'!AH20,"")</f>
        <v/>
      </c>
      <c r="BS21" s="413" t="str">
        <f>'MLK3-4'!AM20</f>
        <v xml:space="preserve"> </v>
      </c>
      <c r="BT21" s="414">
        <f t="shared" si="0"/>
        <v>47.909090909090907</v>
      </c>
      <c r="BU21" s="444">
        <f t="shared" si="1"/>
        <v>1054</v>
      </c>
      <c r="BV21" s="416">
        <f t="shared" si="2"/>
        <v>1054</v>
      </c>
      <c r="BW21" s="417">
        <f t="shared" si="3"/>
        <v>25</v>
      </c>
    </row>
    <row r="22" spans="1:75" ht="20.25" customHeight="1">
      <c r="A22" s="113">
        <v>17</v>
      </c>
      <c r="B22" s="113">
        <f>SISWA!B22</f>
        <v>0</v>
      </c>
      <c r="C22" s="410" t="str">
        <f>SISWA!C22</f>
        <v>Anak 17</v>
      </c>
      <c r="D22" s="411" t="str">
        <f>SPIRIT!Q21</f>
        <v xml:space="preserve">Ananda Anak 17 baik dalam  ketaatan beribadah,  berperilaku syukur,  berdoa sebelum dan sesudah melakukan kegiatan,  toleransi dalam beribadah, </v>
      </c>
      <c r="E22" s="411" t="str">
        <f>SOSIAL!W21</f>
        <v xml:space="preserve">Ananda Anak 17 baik dalam sikap jujur, disiplin, tanggung jawab, santun, peduli, percaya diri, kerja sama, </v>
      </c>
      <c r="F22" s="412">
        <f>IFERROR('PAI3'!DU22,"")</f>
        <v>99</v>
      </c>
      <c r="G22" s="412" t="str">
        <f>IFERROR('PAI3'!DV22,"")</f>
        <v>A</v>
      </c>
      <c r="H22" s="413" t="str">
        <f>'PAI3'!EA22</f>
        <v>Anak 17 sangat baik  dalam memahami Q.S. al- Falaq dan Q.S. al- Fil dengan baik dan benar</v>
      </c>
      <c r="I22" s="412">
        <f>IFERROR('PKN3'!AI21,"")</f>
        <v>96</v>
      </c>
      <c r="J22" s="412" t="str">
        <f>IFERROR('PKN3'!AJ21,"")</f>
        <v>A</v>
      </c>
      <c r="K22" s="411" t="str">
        <f>'PKN3'!AO21</f>
        <v>Anak 17 sangat baik  dalam mengidentifikasi pelaksanaan kewajiban dan hak sebagai warga masyarakat dalam kehidupan sehari-hari., dan  sangat baik  dalam menjelaskan manfaat keberagaman karakteristik individu dalam kehidupan sehari-hari.</v>
      </c>
      <c r="L22" s="414">
        <f>IFERROR(BIND3!AU21,"")</f>
        <v>97</v>
      </c>
      <c r="M22" s="414" t="str">
        <f>IFERROR(BIND3!AV21,"")</f>
        <v>A</v>
      </c>
      <c r="N22" s="413" t="str">
        <f>BIND3!BA21</f>
        <v>Anak 17 sangat baik  dalam menggali pengetahuan baru yang terdapat pada teks nonfiksi., dan  sangat baik  dalam menggali informasi dari seorang tokoh melalui wawancara menggunakan daftar pertanyaan.</v>
      </c>
      <c r="O22" s="414">
        <f>IFERROR('MTK3'!BC21,"")</f>
        <v>97</v>
      </c>
      <c r="P22" s="414" t="str">
        <f>IFERROR('MTK3'!BD21,"")</f>
        <v>A</v>
      </c>
      <c r="Q22" s="413" t="str">
        <f>'MTK3'!BI21</f>
        <v>Anak 17 sangat baik  dalam menjelaskan dan melakukan penaksiran dari jumlah, selisih, hasil kali, dan hasil bagi dua bilangan cacah maupun pecahan dan desimal, dan  baik  dalam menjelaskan berbagai bentuk pecahan (biasa, campuran, desimal, dan persen) dan hubungan di antaranya</v>
      </c>
      <c r="R22" s="414">
        <f>IFERROR('IPA3'!AM21,"")</f>
        <v>99</v>
      </c>
      <c r="S22" s="414" t="str">
        <f>IFERROR('IPA3'!AN21,"")</f>
        <v>A</v>
      </c>
      <c r="T22" s="413" t="str">
        <f>'IPA3'!AS21</f>
        <v>Anak 17 sangat baik  dalam membandingkan siklus hidup beberapa jenis makhluk hidup serta mengaitkan dengan upaya pelestariannya.</v>
      </c>
      <c r="U22" s="414">
        <f>IFERROR('IPS3'!AN21,"")</f>
        <v>99</v>
      </c>
      <c r="V22" s="414" t="str">
        <f>IFERROR('IPS3'!AO21,"")</f>
        <v>A</v>
      </c>
      <c r="W22" s="413" t="str">
        <f>'IPS3'!AT21</f>
        <v>Anak 17 sangat baik  dalam mengidentifikasi karakteristik ruang dan pemanfaatan sumberdaya alam untuk kesejahteraan masyarakat dari tingkatkota/kabupaten sampai tingkat provinsi.</v>
      </c>
      <c r="X22" s="414">
        <f>IFERROR(SBDP3!AN21,"")</f>
        <v>99</v>
      </c>
      <c r="Y22" s="414" t="str">
        <f>IFERROR(SBDP3!AO21,"")</f>
        <v>A</v>
      </c>
      <c r="Z22" s="413" t="str">
        <f>SBDP3!AT21</f>
        <v>Anak 17 sangat baik  dalam mengetahui gambar dan bentuk tiga dimensi.</v>
      </c>
      <c r="AA22" s="414">
        <f>IFERROR(PJOK3!AV21,"")</f>
        <v>95</v>
      </c>
      <c r="AB22" s="414" t="str">
        <f>IFERROR(PJOK3!AW21,"")</f>
        <v>A</v>
      </c>
      <c r="AC22" s="413" t="str">
        <f>PJOK3!BB21</f>
        <v>Anak 17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2" s="414">
        <f>IFERROR('MLK1-3'!AT21,"")</f>
        <v>91</v>
      </c>
      <c r="AE22" s="414" t="str">
        <f>IFERROR('MLK1-3'!AU21,"")</f>
        <v>A</v>
      </c>
      <c r="AF22" s="415" t="str">
        <f>'MLK1-3'!AZ21</f>
        <v>Anak 17 sangat baik  dalam mengenal dan memahmi teks tembang dolanan, dan  baik  dalam mengenal dan memahami sandhangan aksara Jawa.</v>
      </c>
      <c r="AG22" s="414">
        <f>IFERROR('MLK2-3'!AP21,"")</f>
        <v>93</v>
      </c>
      <c r="AH22" s="414" t="str">
        <f>IFERROR('MLK2-3'!AQ21,"")</f>
        <v>A</v>
      </c>
      <c r="AI22" s="413" t="str">
        <f>'MLK2-3'!AV21</f>
        <v>Anak 17 sangat baik  dalam mengenal dan mengidentifikasi benda-benda di dapur dan nama-nama bunga, dan  baik  dalam memahami penggunaan kalimat yang menunjukkan letak suatu tempat</v>
      </c>
      <c r="AJ22" s="414">
        <f>IFERROR('MLK3-3'!AP21,"")</f>
        <v>89</v>
      </c>
      <c r="AK22" s="414" t="str">
        <f>IFERROR('MLK3-3'!AQ21,"")</f>
        <v>B</v>
      </c>
      <c r="AL22" s="415" t="str">
        <f>'MLK3-3'!AV21</f>
        <v>Anak 17 baik  dalam mengenal dan memahami penggunaan microsoft  word.</v>
      </c>
      <c r="AM22" s="414" t="str">
        <f>IFERROR('PAI4'!CI22,"")</f>
        <v/>
      </c>
      <c r="AN22" s="414" t="str">
        <f>IFERROR('PAI4'!CJ22,"")</f>
        <v/>
      </c>
      <c r="AO22" s="415" t="str">
        <f>'PAI4'!CO22</f>
        <v xml:space="preserve"> </v>
      </c>
      <c r="AP22" s="414" t="str">
        <f>IFERROR('PKN4'!AD21,"")</f>
        <v/>
      </c>
      <c r="AQ22" s="414" t="str">
        <f>IFERROR('PKN4'!AE21,"")</f>
        <v/>
      </c>
      <c r="AR22" s="413" t="str">
        <f>'PKN4'!AJ21</f>
        <v xml:space="preserve"> </v>
      </c>
      <c r="AS22" s="414" t="str">
        <f>IFERROR(BIND4!AP21,"")</f>
        <v/>
      </c>
      <c r="AT22" s="414" t="str">
        <f>IFERROR(BIND4!AQ21,"")</f>
        <v/>
      </c>
      <c r="AU22" s="413" t="str">
        <f>BIND4!AV21</f>
        <v xml:space="preserve"> </v>
      </c>
      <c r="AV22" s="414" t="str">
        <f>IFERROR('MTK4'!AP21,"")</f>
        <v/>
      </c>
      <c r="AW22" s="414" t="str">
        <f>IFERROR('MTK4'!AQ21,"")</f>
        <v/>
      </c>
      <c r="AX22" s="413" t="str">
        <f>'MTK4'!AV21</f>
        <v xml:space="preserve"> </v>
      </c>
      <c r="AY22" s="414" t="str">
        <f>IFERROR('IPA4'!AJ21,"")</f>
        <v/>
      </c>
      <c r="AZ22" s="414" t="str">
        <f>IFERROR('IPA4'!AK21,"")</f>
        <v/>
      </c>
      <c r="BA22" s="413" t="str">
        <f>'IPA4'!AP21</f>
        <v xml:space="preserve"> </v>
      </c>
      <c r="BB22" s="414" t="str">
        <f>IFERROR('IPS4'!AG21,"")</f>
        <v/>
      </c>
      <c r="BC22" s="414" t="str">
        <f>IFERROR('IPS4'!AH21,"")</f>
        <v/>
      </c>
      <c r="BD22" s="413" t="str">
        <f>'IPS4'!AM21</f>
        <v xml:space="preserve"> </v>
      </c>
      <c r="BE22" s="414" t="str">
        <f>IFERROR(SBDP4!AG21,"")</f>
        <v/>
      </c>
      <c r="BF22" s="414" t="str">
        <f>IFERROR(SBDP4!AH21,"")</f>
        <v/>
      </c>
      <c r="BG22" s="413" t="str">
        <f>SBDP4!AM21</f>
        <v xml:space="preserve"> </v>
      </c>
      <c r="BH22" s="414" t="str">
        <f>IFERROR(PJOK4!AJ21,"")</f>
        <v/>
      </c>
      <c r="BI22" s="414" t="str">
        <f>IFERROR(PJOK4!AK21,"")</f>
        <v/>
      </c>
      <c r="BJ22" s="415" t="str">
        <f>PJOK4!AP21</f>
        <v xml:space="preserve"> </v>
      </c>
      <c r="BK22" s="414" t="str">
        <f>IFERROR('MLK1-4'!AG21,"")</f>
        <v/>
      </c>
      <c r="BL22" s="414" t="str">
        <f>IFERROR('MLK1-4'!AH21,"")</f>
        <v/>
      </c>
      <c r="BM22" s="413" t="str">
        <f>'MLK1-4'!AM21</f>
        <v xml:space="preserve"> </v>
      </c>
      <c r="BN22" s="414" t="str">
        <f>IFERROR('MLK2-4'!AG21,"")</f>
        <v/>
      </c>
      <c r="BO22" s="414" t="str">
        <f>IFERROR('MLK2-4'!AH21,"")</f>
        <v/>
      </c>
      <c r="BP22" s="413" t="str">
        <f>'MLK2-4'!AM21</f>
        <v xml:space="preserve"> </v>
      </c>
      <c r="BQ22" s="414" t="str">
        <f>IFERROR('MLK3-4'!AG21,"")</f>
        <v/>
      </c>
      <c r="BR22" s="414" t="str">
        <f>IFERROR('MLK3-4'!AH21,"")</f>
        <v/>
      </c>
      <c r="BS22" s="413" t="str">
        <f>'MLK3-4'!AM21</f>
        <v xml:space="preserve"> </v>
      </c>
      <c r="BT22" s="414">
        <f t="shared" si="0"/>
        <v>47.909090909090907</v>
      </c>
      <c r="BU22" s="444">
        <f t="shared" si="1"/>
        <v>1054</v>
      </c>
      <c r="BV22" s="416">
        <f t="shared" si="2"/>
        <v>1054</v>
      </c>
      <c r="BW22" s="417">
        <f t="shared" si="3"/>
        <v>25</v>
      </c>
    </row>
    <row r="23" spans="1:75" ht="20.25" customHeight="1">
      <c r="A23" s="113">
        <v>18</v>
      </c>
      <c r="B23" s="113">
        <f>SISWA!B23</f>
        <v>0</v>
      </c>
      <c r="C23" s="410" t="str">
        <f>SISWA!C23</f>
        <v>Anak 18</v>
      </c>
      <c r="D23" s="411" t="str">
        <f>SPIRIT!Q22</f>
        <v xml:space="preserve">Ananda Anak 18 baik dalam  ketaatan beribadah,  berperilaku syukur,  berdoa sebelum dan sesudah melakukan kegiatan,  toleransi dalam beribadah, </v>
      </c>
      <c r="E23" s="411" t="str">
        <f>SOSIAL!W22</f>
        <v xml:space="preserve">Ananda Anak 18 baik dalam sikap jujur, disiplin, tanggung jawab, santun, peduli, percaya diri, kerja sama, </v>
      </c>
      <c r="F23" s="412">
        <f>IFERROR('PAI3'!DU23,"")</f>
        <v>99</v>
      </c>
      <c r="G23" s="412" t="str">
        <f>IFERROR('PAI3'!DV23,"")</f>
        <v>A</v>
      </c>
      <c r="H23" s="413" t="str">
        <f>'PAI3'!EA23</f>
        <v>Anak 18 sangat baik  dalam memahami Q.S. al- Falaq dan Q.S. al- Fil dengan baik dan benar</v>
      </c>
      <c r="I23" s="412">
        <f>IFERROR('PKN3'!AI22,"")</f>
        <v>97</v>
      </c>
      <c r="J23" s="412" t="str">
        <f>IFERROR('PKN3'!AJ22,"")</f>
        <v>A</v>
      </c>
      <c r="K23" s="411" t="str">
        <f>'PKN3'!AO22</f>
        <v>Anak 18 sangat baik  dalam mengidentifikasi pelaksanaan kewajiban dan hak sebagai warga masyarakat dalam kehidupan sehari-hari., dan  sangat baik  dalam menjelaskan manfaat keberagaman karakteristik individu dalam kehidupan sehari-hari.</v>
      </c>
      <c r="L23" s="414">
        <f>IFERROR(BIND3!AU22,"")</f>
        <v>97</v>
      </c>
      <c r="M23" s="414" t="str">
        <f>IFERROR(BIND3!AV22,"")</f>
        <v>A</v>
      </c>
      <c r="N23" s="413" t="str">
        <f>BIND3!BA22</f>
        <v>Anak 18 sangat baik  dalam menggali pengetahuan baru yang terdapat pada teks nonfiksi., dan  sangat baik  dalam menggali informasi dari seorang tokoh melalui wawancara menggunakan daftar pertanyaan.</v>
      </c>
      <c r="O23" s="414">
        <f>IFERROR('MTK3'!BC22,"")</f>
        <v>97</v>
      </c>
      <c r="P23" s="414" t="str">
        <f>IFERROR('MTK3'!BD22,"")</f>
        <v>A</v>
      </c>
      <c r="Q23" s="413" t="str">
        <f>'MTK3'!BI22</f>
        <v>Anak 18 sangat baik  dalam menjelaskan dan melakukan penaksiran dari jumlah, selisih, hasil kali, dan hasil bagi dua bilangan cacah maupun pecahan dan desimal, dan  sangat baik  dalam menjelaskan berbagai bentuk pecahan (biasa, campuran, desimal, dan persen) dan hubungan di antaranya</v>
      </c>
      <c r="R23" s="414">
        <f>IFERROR('IPA3'!AM22,"")</f>
        <v>99</v>
      </c>
      <c r="S23" s="414" t="str">
        <f>IFERROR('IPA3'!AN22,"")</f>
        <v>A</v>
      </c>
      <c r="T23" s="413" t="str">
        <f>'IPA3'!AS22</f>
        <v>Anak 18 sangat baik  dalam membandingkan siklus hidup beberapa jenis makhluk hidup serta mengaitkan dengan upaya pelestariannya.</v>
      </c>
      <c r="U23" s="414">
        <f>IFERROR('IPS3'!AN22,"")</f>
        <v>99</v>
      </c>
      <c r="V23" s="414" t="str">
        <f>IFERROR('IPS3'!AO22,"")</f>
        <v>A</v>
      </c>
      <c r="W23" s="413" t="str">
        <f>'IPS3'!AT22</f>
        <v>Anak 18 sangat baik  dalam mengidentifikasi karakteristik ruang dan pemanfaatan sumberdaya alam untuk kesejahteraan masyarakat dari tingkatkota/kabupaten sampai tingkat provinsi.</v>
      </c>
      <c r="X23" s="414">
        <f>IFERROR(SBDP3!AN22,"")</f>
        <v>99</v>
      </c>
      <c r="Y23" s="414" t="str">
        <f>IFERROR(SBDP3!AO22,"")</f>
        <v>A</v>
      </c>
      <c r="Z23" s="413" t="str">
        <f>SBDP3!AT22</f>
        <v>Anak 18 sangat baik  dalam mengetahui gambar dan bentuk tiga dimensi.</v>
      </c>
      <c r="AA23" s="414">
        <f>IFERROR(PJOK3!AV22,"")</f>
        <v>96</v>
      </c>
      <c r="AB23" s="414" t="str">
        <f>IFERROR(PJOK3!AW22,"")</f>
        <v>A</v>
      </c>
      <c r="AC23" s="413" t="str">
        <f>PJOK3!BB22</f>
        <v>Anak 18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3" s="414">
        <f>IFERROR('MLK1-3'!AT22,"")</f>
        <v>93</v>
      </c>
      <c r="AE23" s="414" t="str">
        <f>IFERROR('MLK1-3'!AU22,"")</f>
        <v>A</v>
      </c>
      <c r="AF23" s="415" t="str">
        <f>'MLK1-3'!AZ22</f>
        <v>Anak 18 sangat baik  dalam mengenal, memahami, dan mengidentifikasi kata berimbuhan dalam teks sesuai kaidah, dan  sangat baik  dalam mengenal dan memahami sandhangan aksara Jawa.</v>
      </c>
      <c r="AG23" s="414">
        <f>IFERROR('MLK2-3'!AP22,"")</f>
        <v>95</v>
      </c>
      <c r="AH23" s="414" t="str">
        <f>IFERROR('MLK2-3'!AQ22,"")</f>
        <v>A</v>
      </c>
      <c r="AI23" s="413" t="str">
        <f>'MLK2-3'!AV22</f>
        <v>Anak 18 sangat baik  dalam mengenal dan mengidentifikasi benda-benda di dapur dan nama-nama bunga, dan  sangat baik  dalam memahami penggunaan kalimat yang menunjukkan letak suatu tempat</v>
      </c>
      <c r="AJ23" s="414">
        <f>IFERROR('MLK3-3'!AP22,"")</f>
        <v>92</v>
      </c>
      <c r="AK23" s="414" t="str">
        <f>IFERROR('MLK3-3'!AQ22,"")</f>
        <v>A</v>
      </c>
      <c r="AL23" s="415" t="str">
        <f>'MLK3-3'!AV22</f>
        <v>Anak 18 sangat baik  dalam memahami pembuatan dokumen di microsoft  word, dan  baik  dalam mengenal dan memahami penggunaan microsoft  word.</v>
      </c>
      <c r="AM23" s="414" t="str">
        <f>IFERROR('PAI4'!CI23,"")</f>
        <v/>
      </c>
      <c r="AN23" s="414" t="str">
        <f>IFERROR('PAI4'!CJ23,"")</f>
        <v/>
      </c>
      <c r="AO23" s="415" t="str">
        <f>'PAI4'!CO23</f>
        <v xml:space="preserve"> </v>
      </c>
      <c r="AP23" s="414" t="str">
        <f>IFERROR('PKN4'!AD22,"")</f>
        <v/>
      </c>
      <c r="AQ23" s="414" t="str">
        <f>IFERROR('PKN4'!AE22,"")</f>
        <v/>
      </c>
      <c r="AR23" s="413" t="str">
        <f>'PKN4'!AJ22</f>
        <v xml:space="preserve"> </v>
      </c>
      <c r="AS23" s="414" t="str">
        <f>IFERROR(BIND4!AP22,"")</f>
        <v/>
      </c>
      <c r="AT23" s="414" t="str">
        <f>IFERROR(BIND4!AQ22,"")</f>
        <v/>
      </c>
      <c r="AU23" s="413" t="str">
        <f>BIND4!AV22</f>
        <v xml:space="preserve"> </v>
      </c>
      <c r="AV23" s="414" t="str">
        <f>IFERROR('MTK4'!AP22,"")</f>
        <v/>
      </c>
      <c r="AW23" s="414" t="str">
        <f>IFERROR('MTK4'!AQ22,"")</f>
        <v/>
      </c>
      <c r="AX23" s="413" t="str">
        <f>'MTK4'!AV22</f>
        <v xml:space="preserve"> </v>
      </c>
      <c r="AY23" s="414" t="str">
        <f>IFERROR('IPA4'!AJ22,"")</f>
        <v/>
      </c>
      <c r="AZ23" s="414" t="str">
        <f>IFERROR('IPA4'!AK22,"")</f>
        <v/>
      </c>
      <c r="BA23" s="413" t="str">
        <f>'IPA4'!AP22</f>
        <v xml:space="preserve"> </v>
      </c>
      <c r="BB23" s="414" t="str">
        <f>IFERROR('IPS4'!AG22,"")</f>
        <v/>
      </c>
      <c r="BC23" s="414" t="str">
        <f>IFERROR('IPS4'!AH22,"")</f>
        <v/>
      </c>
      <c r="BD23" s="413" t="str">
        <f>'IPS4'!AM22</f>
        <v xml:space="preserve"> </v>
      </c>
      <c r="BE23" s="414" t="str">
        <f>IFERROR(SBDP4!AG22,"")</f>
        <v/>
      </c>
      <c r="BF23" s="414" t="str">
        <f>IFERROR(SBDP4!AH22,"")</f>
        <v/>
      </c>
      <c r="BG23" s="413" t="str">
        <f>SBDP4!AM22</f>
        <v xml:space="preserve"> </v>
      </c>
      <c r="BH23" s="414" t="str">
        <f>IFERROR(PJOK4!AJ22,"")</f>
        <v/>
      </c>
      <c r="BI23" s="414" t="str">
        <f>IFERROR(PJOK4!AK22,"")</f>
        <v/>
      </c>
      <c r="BJ23" s="415" t="str">
        <f>PJOK4!AP22</f>
        <v xml:space="preserve"> </v>
      </c>
      <c r="BK23" s="414" t="str">
        <f>IFERROR('MLK1-4'!AG22,"")</f>
        <v/>
      </c>
      <c r="BL23" s="414" t="str">
        <f>IFERROR('MLK1-4'!AH22,"")</f>
        <v/>
      </c>
      <c r="BM23" s="413" t="str">
        <f>'MLK1-4'!AM22</f>
        <v xml:space="preserve"> </v>
      </c>
      <c r="BN23" s="414" t="str">
        <f>IFERROR('MLK2-4'!AG22,"")</f>
        <v/>
      </c>
      <c r="BO23" s="414" t="str">
        <f>IFERROR('MLK2-4'!AH22,"")</f>
        <v/>
      </c>
      <c r="BP23" s="413" t="str">
        <f>'MLK2-4'!AM22</f>
        <v xml:space="preserve"> </v>
      </c>
      <c r="BQ23" s="414" t="str">
        <f>IFERROR('MLK3-4'!AG22,"")</f>
        <v/>
      </c>
      <c r="BR23" s="414" t="str">
        <f>IFERROR('MLK3-4'!AH22,"")</f>
        <v/>
      </c>
      <c r="BS23" s="413" t="str">
        <f>'MLK3-4'!AM22</f>
        <v xml:space="preserve"> </v>
      </c>
      <c r="BT23" s="414">
        <f t="shared" si="0"/>
        <v>48.31818181818182</v>
      </c>
      <c r="BU23" s="444">
        <f t="shared" si="1"/>
        <v>1063</v>
      </c>
      <c r="BV23" s="416">
        <f t="shared" si="2"/>
        <v>1063</v>
      </c>
      <c r="BW23" s="417">
        <f t="shared" si="3"/>
        <v>12</v>
      </c>
    </row>
    <row r="24" spans="1:75" ht="20.25" customHeight="1">
      <c r="A24" s="113">
        <v>19</v>
      </c>
      <c r="B24" s="113">
        <f>SISWA!B24</f>
        <v>0</v>
      </c>
      <c r="C24" s="410" t="str">
        <f>SISWA!C24</f>
        <v>Anak 19</v>
      </c>
      <c r="D24" s="411" t="str">
        <f>SPIRIT!Q23</f>
        <v xml:space="preserve">Ananda Anak 19 baik dalam  ketaatan beribadah,  berperilaku syukur,  berdoa sebelum dan sesudah melakukan kegiatan,  toleransi dalam beribadah, </v>
      </c>
      <c r="E24" s="411" t="str">
        <f>SOSIAL!W23</f>
        <v xml:space="preserve">Ananda Anak 19 baik dalam sikap jujur, disiplin, tanggung jawab, santun, peduli, percaya diri, kerja sama, </v>
      </c>
      <c r="F24" s="412">
        <f>IFERROR('PAI3'!DU24,"")</f>
        <v>99</v>
      </c>
      <c r="G24" s="412" t="str">
        <f>IFERROR('PAI3'!DV24,"")</f>
        <v>A</v>
      </c>
      <c r="H24" s="413" t="str">
        <f>'PAI3'!EA24</f>
        <v>Anak 19 sangat baik  dalam memahami Q.S. al- Falaq dan Q.S. al- Fil dengan baik dan benar</v>
      </c>
      <c r="I24" s="412">
        <f>IFERROR('PKN3'!AI23,"")</f>
        <v>97</v>
      </c>
      <c r="J24" s="412" t="str">
        <f>IFERROR('PKN3'!AJ23,"")</f>
        <v>A</v>
      </c>
      <c r="K24" s="411" t="str">
        <f>'PKN3'!AO23</f>
        <v>Anak 19 sangat baik  dalam mengidentifikasi pelaksanaan kewajiban dan hak sebagai warga masyarakat dalam kehidupan sehari-hari., dan  sangat baik  dalam mengidentifikasi berbagai bentuk keragaman suku bangsa, sosial, dan budaya di Indonesia yang terikat persatuan dan kesatuan.</v>
      </c>
      <c r="L24" s="414">
        <f>IFERROR(BIND3!AU23,"")</f>
        <v>97</v>
      </c>
      <c r="M24" s="414" t="str">
        <f>IFERROR(BIND3!AV23,"")</f>
        <v>A</v>
      </c>
      <c r="N24" s="413" t="str">
        <f>BIND3!BA23</f>
        <v>Anak 19 sangat baik  dalam menggali pengetahuan baru yang terdapat pada teks nonfiksi., dan  sangat baik  dalam menggali isi dan amanat puisi yang disajikan secara lisan dan tulis dengan tujuan untuk kesenangan.</v>
      </c>
      <c r="O24" s="414">
        <f>IFERROR('MTK3'!BC23,"")</f>
        <v>98</v>
      </c>
      <c r="P24" s="414" t="str">
        <f>IFERROR('MTK3'!BD23,"")</f>
        <v>A</v>
      </c>
      <c r="Q24" s="413" t="str">
        <f>'MTK3'!BI23</f>
        <v>Anak 19 sangat baik  dalam menjelaskan dan melakukan penaksiran dari jumlah, selisih, hasil kali, dan hasil bagi dua bilangan cacah maupun pecahan dan desimal, dan  sangat baik  dalam menjelaskan berbagai bentuk pecahan (biasa, campuran, desimal, dan persen) dan hubungan di antaranya</v>
      </c>
      <c r="R24" s="414">
        <f>IFERROR('IPA3'!AM23,"")</f>
        <v>99</v>
      </c>
      <c r="S24" s="414" t="str">
        <f>IFERROR('IPA3'!AN23,"")</f>
        <v>A</v>
      </c>
      <c r="T24" s="413" t="str">
        <f>'IPA3'!AS23</f>
        <v>Anak 19 sangat baik  dalam membandingkan siklus hidup beberapa jenis makhluk hidup serta mengaitkan dengan upaya pelestariannya.</v>
      </c>
      <c r="U24" s="414">
        <f>IFERROR('IPS3'!AN23,"")</f>
        <v>99</v>
      </c>
      <c r="V24" s="414" t="str">
        <f>IFERROR('IPS3'!AO23,"")</f>
        <v>A</v>
      </c>
      <c r="W24" s="413" t="str">
        <f>'IPS3'!AT23</f>
        <v>Anak 19 sangat baik  dalam mengidentifikasi karakteristik ruang dan pemanfaatan sumberdaya alam untuk kesejahteraan masyarakat dari tingkatkota/kabupaten sampai tingkat provinsi.</v>
      </c>
      <c r="X24" s="414">
        <f>IFERROR(SBDP3!AN23,"")</f>
        <v>99</v>
      </c>
      <c r="Y24" s="414" t="str">
        <f>IFERROR(SBDP3!AO23,"")</f>
        <v>A</v>
      </c>
      <c r="Z24" s="413" t="str">
        <f>SBDP3!AT23</f>
        <v>Anak 19 sangat baik  dalam mengetahui gambar dan bentuk tiga dimensi.</v>
      </c>
      <c r="AA24" s="414">
        <f>IFERROR(PJOK3!AV23,"")</f>
        <v>96</v>
      </c>
      <c r="AB24" s="414" t="str">
        <f>IFERROR(PJOK3!AW23,"")</f>
        <v>A</v>
      </c>
      <c r="AC24" s="413" t="str">
        <f>PJOK3!BB23</f>
        <v>Anak 19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24" s="414">
        <f>IFERROR('MLK1-3'!AT23,"")</f>
        <v>94</v>
      </c>
      <c r="AE24" s="414" t="str">
        <f>IFERROR('MLK1-3'!AU23,"")</f>
        <v>A</v>
      </c>
      <c r="AF24" s="415" t="str">
        <f>'MLK1-3'!AZ23</f>
        <v>Anak 19 sangat baik  dalam mengenal dan memahmi teks tembang dolanan, dan  sangat baik  dalam mengenal dan memahami sandhangan aksara Jawa.</v>
      </c>
      <c r="AG24" s="414">
        <f>IFERROR('MLK2-3'!AP23,"")</f>
        <v>95</v>
      </c>
      <c r="AH24" s="414" t="str">
        <f>IFERROR('MLK2-3'!AQ23,"")</f>
        <v>A</v>
      </c>
      <c r="AI24" s="413" t="str">
        <f>'MLK2-3'!AV23</f>
        <v>Anak 19 sangat baik  dalam mengenal dan mengidentifikasi benda-benda di dapur dan nama-nama bunga, dan  sangat baik  dalam memahami penggunaan kalimat yang menunjukkan letak suatu tempat</v>
      </c>
      <c r="AJ24" s="414">
        <f>IFERROR('MLK3-3'!AP23,"")</f>
        <v>92</v>
      </c>
      <c r="AK24" s="414" t="str">
        <f>IFERROR('MLK3-3'!AQ23,"")</f>
        <v>A</v>
      </c>
      <c r="AL24" s="415" t="str">
        <f>'MLK3-3'!AV23</f>
        <v>Anak 19 sangat baik  dalam mengenal dan memahami penggunaan microsoft  word., dan  baik  dalam memahami pembuatan dokumen di microsoft  word</v>
      </c>
      <c r="AM24" s="414" t="str">
        <f>IFERROR('PAI4'!CI24,"")</f>
        <v/>
      </c>
      <c r="AN24" s="414" t="str">
        <f>IFERROR('PAI4'!CJ24,"")</f>
        <v/>
      </c>
      <c r="AO24" s="415" t="str">
        <f>'PAI4'!CO24</f>
        <v xml:space="preserve"> </v>
      </c>
      <c r="AP24" s="414" t="str">
        <f>IFERROR('PKN4'!AD23,"")</f>
        <v/>
      </c>
      <c r="AQ24" s="414" t="str">
        <f>IFERROR('PKN4'!AE23,"")</f>
        <v/>
      </c>
      <c r="AR24" s="413" t="str">
        <f>'PKN4'!AJ23</f>
        <v xml:space="preserve"> </v>
      </c>
      <c r="AS24" s="414" t="str">
        <f>IFERROR(BIND4!AP23,"")</f>
        <v/>
      </c>
      <c r="AT24" s="414" t="str">
        <f>IFERROR(BIND4!AQ23,"")</f>
        <v/>
      </c>
      <c r="AU24" s="413" t="str">
        <f>BIND4!AV23</f>
        <v xml:space="preserve"> </v>
      </c>
      <c r="AV24" s="414" t="str">
        <f>IFERROR('MTK4'!AP23,"")</f>
        <v/>
      </c>
      <c r="AW24" s="414" t="str">
        <f>IFERROR('MTK4'!AQ23,"")</f>
        <v/>
      </c>
      <c r="AX24" s="413" t="str">
        <f>'MTK4'!AV23</f>
        <v xml:space="preserve"> </v>
      </c>
      <c r="AY24" s="414" t="str">
        <f>IFERROR('IPA4'!AJ23,"")</f>
        <v/>
      </c>
      <c r="AZ24" s="414" t="str">
        <f>IFERROR('IPA4'!AK23,"")</f>
        <v/>
      </c>
      <c r="BA24" s="413" t="str">
        <f>'IPA4'!AP23</f>
        <v xml:space="preserve"> </v>
      </c>
      <c r="BB24" s="414" t="str">
        <f>IFERROR('IPS4'!AG23,"")</f>
        <v/>
      </c>
      <c r="BC24" s="414" t="str">
        <f>IFERROR('IPS4'!AH23,"")</f>
        <v/>
      </c>
      <c r="BD24" s="413" t="str">
        <f>'IPS4'!AM23</f>
        <v xml:space="preserve"> </v>
      </c>
      <c r="BE24" s="414" t="str">
        <f>IFERROR(SBDP4!AG23,"")</f>
        <v/>
      </c>
      <c r="BF24" s="414" t="str">
        <f>IFERROR(SBDP4!AH23,"")</f>
        <v/>
      </c>
      <c r="BG24" s="413" t="str">
        <f>SBDP4!AM23</f>
        <v xml:space="preserve"> </v>
      </c>
      <c r="BH24" s="414" t="str">
        <f>IFERROR(PJOK4!AJ23,"")</f>
        <v/>
      </c>
      <c r="BI24" s="414" t="str">
        <f>IFERROR(PJOK4!AK23,"")</f>
        <v/>
      </c>
      <c r="BJ24" s="415" t="str">
        <f>PJOK4!AP23</f>
        <v xml:space="preserve"> </v>
      </c>
      <c r="BK24" s="414" t="str">
        <f>IFERROR('MLK1-4'!AG23,"")</f>
        <v/>
      </c>
      <c r="BL24" s="414" t="str">
        <f>IFERROR('MLK1-4'!AH23,"")</f>
        <v/>
      </c>
      <c r="BM24" s="413" t="str">
        <f>'MLK1-4'!AM23</f>
        <v xml:space="preserve"> </v>
      </c>
      <c r="BN24" s="414" t="str">
        <f>IFERROR('MLK2-4'!AG23,"")</f>
        <v/>
      </c>
      <c r="BO24" s="414" t="str">
        <f>IFERROR('MLK2-4'!AH23,"")</f>
        <v/>
      </c>
      <c r="BP24" s="413" t="str">
        <f>'MLK2-4'!AM23</f>
        <v xml:space="preserve"> </v>
      </c>
      <c r="BQ24" s="414" t="str">
        <f>IFERROR('MLK3-4'!AG23,"")</f>
        <v/>
      </c>
      <c r="BR24" s="414" t="str">
        <f>IFERROR('MLK3-4'!AH23,"")</f>
        <v/>
      </c>
      <c r="BS24" s="413" t="str">
        <f>'MLK3-4'!AM23</f>
        <v xml:space="preserve"> </v>
      </c>
      <c r="BT24" s="414">
        <f t="shared" si="0"/>
        <v>48.409090909090907</v>
      </c>
      <c r="BU24" s="444">
        <f t="shared" si="1"/>
        <v>1065</v>
      </c>
      <c r="BV24" s="416">
        <f t="shared" si="2"/>
        <v>1065</v>
      </c>
      <c r="BW24" s="417">
        <f t="shared" si="3"/>
        <v>10</v>
      </c>
    </row>
    <row r="25" spans="1:75" ht="20.25" customHeight="1">
      <c r="A25" s="113">
        <v>20</v>
      </c>
      <c r="B25" s="113">
        <f>SISWA!B25</f>
        <v>0</v>
      </c>
      <c r="C25" s="410" t="str">
        <f>SISWA!C25</f>
        <v>Anak 20</v>
      </c>
      <c r="D25" s="411" t="str">
        <f>SPIRIT!Q24</f>
        <v xml:space="preserve">Ananda Anak 20 baik dalam  ketaatan beribadah,  berperilaku syukur,  berdoa sebelum dan sesudah melakukan kegiatan,  toleransi dalam beribadah, </v>
      </c>
      <c r="E25" s="411" t="str">
        <f>SOSIAL!W24</f>
        <v xml:space="preserve">Ananda Anak 20 baik dalam sikap jujur, disiplin, tanggung jawab, santun, peduli, percaya diri, kerja sama, </v>
      </c>
      <c r="F25" s="412">
        <f>IFERROR('PAI3'!DU25,"")</f>
        <v>99</v>
      </c>
      <c r="G25" s="412" t="str">
        <f>IFERROR('PAI3'!DV25,"")</f>
        <v>A</v>
      </c>
      <c r="H25" s="413" t="str">
        <f>'PAI3'!EA25</f>
        <v>Anak 20 sangat baik  dalam memahami Q.S. al- Falaq dan Q.S. al- Fil dengan baik dan benar</v>
      </c>
      <c r="I25" s="412">
        <f>IFERROR('PKN3'!AI24,"")</f>
        <v>96</v>
      </c>
      <c r="J25" s="412" t="str">
        <f>IFERROR('PKN3'!AJ24,"")</f>
        <v>A</v>
      </c>
      <c r="K25" s="411" t="str">
        <f>'PKN3'!AO24</f>
        <v>Anak 20 sangat baik  dalam mengidentifikasi pelaksanaan kewajiban dan hak sebagai warga masyarakat dalam kehidupan sehari-hari., dan  sangat baik  dalam mengidentifikasi berbagai bentuk keragaman suku bangsa, sosial, dan budaya di Indonesia yang terikat persatuan dan kesatuan.</v>
      </c>
      <c r="L25" s="414">
        <f>IFERROR(BIND3!AU24,"")</f>
        <v>97</v>
      </c>
      <c r="M25" s="414" t="str">
        <f>IFERROR(BIND3!AV24,"")</f>
        <v>A</v>
      </c>
      <c r="N25" s="413" t="str">
        <f>BIND3!BA24</f>
        <v>Anak 20 sangat baik  dalam menggali pengetahuan baru yang terdapat pada teks nonfiksi., dan  sangat baik  dalam menggali informasi dari seorang tokoh melalui wawancara menggunakan daftar pertanyaan.</v>
      </c>
      <c r="O25" s="414">
        <f>IFERROR('MTK3'!BC24,"")</f>
        <v>97</v>
      </c>
      <c r="P25" s="414" t="str">
        <f>IFERROR('MTK3'!BD24,"")</f>
        <v>A</v>
      </c>
      <c r="Q25" s="413" t="str">
        <f>'MTK3'!BI24</f>
        <v>Anak 20 sangat baik  dalam menjelaskan dan melakukan penaksiran dari jumlah, selisih, hasil kali, dan hasil bagi dua bilangan cacah maupun pecahan dan desimal, dan  baik  dalam menjelaskan berbagai bentuk pecahan (biasa, campuran, desimal, dan persen) dan hubungan di antaranya</v>
      </c>
      <c r="R25" s="414">
        <f>IFERROR('IPA3'!AM24,"")</f>
        <v>99</v>
      </c>
      <c r="S25" s="414" t="str">
        <f>IFERROR('IPA3'!AN24,"")</f>
        <v>A</v>
      </c>
      <c r="T25" s="413" t="str">
        <f>'IPA3'!AS24</f>
        <v>Anak 20 sangat baik  dalam membandingkan siklus hidup beberapa jenis makhluk hidup serta mengaitkan dengan upaya pelestariannya.</v>
      </c>
      <c r="U25" s="414">
        <f>IFERROR('IPS3'!AN24,"")</f>
        <v>99</v>
      </c>
      <c r="V25" s="414" t="str">
        <f>IFERROR('IPS3'!AO24,"")</f>
        <v>A</v>
      </c>
      <c r="W25" s="413" t="str">
        <f>'IPS3'!AT24</f>
        <v>Anak 20 sangat baik  dalam mengidentifikasi karakteristik ruang dan pemanfaatan sumberdaya alam untuk kesejahteraan masyarakat dari tingkatkota/kabupaten sampai tingkat provinsi.</v>
      </c>
      <c r="X25" s="414">
        <f>IFERROR(SBDP3!AN24,"")</f>
        <v>99</v>
      </c>
      <c r="Y25" s="414" t="str">
        <f>IFERROR(SBDP3!AO24,"")</f>
        <v>A</v>
      </c>
      <c r="Z25" s="413" t="str">
        <f>SBDP3!AT24</f>
        <v>Anak 20 sangat baik  dalam mengetahui gambar dan bentuk tiga dimensi.</v>
      </c>
      <c r="AA25" s="414">
        <f>IFERROR(PJOK3!AV24,"")</f>
        <v>95</v>
      </c>
      <c r="AB25" s="414" t="str">
        <f>IFERROR(PJOK3!AW24,"")</f>
        <v>A</v>
      </c>
      <c r="AC25" s="413" t="str">
        <f>PJOK3!BB24</f>
        <v>Anak 20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25" s="414">
        <f>IFERROR('MLK1-3'!AT24,"")</f>
        <v>91</v>
      </c>
      <c r="AE25" s="414" t="str">
        <f>IFERROR('MLK1-3'!AU24,"")</f>
        <v>A</v>
      </c>
      <c r="AF25" s="415" t="str">
        <f>'MLK1-3'!AZ24</f>
        <v>Anak 20 sangat baik  dalam mengenal dan memahmi teks tembang dolanan, dan  baik  dalam mengenal dan memahami sandhangan aksara Jawa.</v>
      </c>
      <c r="AG25" s="414">
        <f>IFERROR('MLK2-3'!AP24,"")</f>
        <v>93</v>
      </c>
      <c r="AH25" s="414" t="str">
        <f>IFERROR('MLK2-3'!AQ24,"")</f>
        <v>A</v>
      </c>
      <c r="AI25" s="413" t="str">
        <f>'MLK2-3'!AV24</f>
        <v>Anak 20 sangat baik  dalam mengenal dan mengidentifikasi benda-benda di dapur dan nama-nama bunga, dan  baik  dalam memahami penggunaan kalimat yang menunjukkan letak suatu tempat</v>
      </c>
      <c r="AJ25" s="414">
        <f>IFERROR('MLK3-3'!AP24,"")</f>
        <v>89</v>
      </c>
      <c r="AK25" s="414" t="str">
        <f>IFERROR('MLK3-3'!AQ24,"")</f>
        <v>B</v>
      </c>
      <c r="AL25" s="415" t="str">
        <f>'MLK3-3'!AV24</f>
        <v>Anak 20 baik  dalam mengenal dan memahami penggunaan microsoft  word., dan  baik  dalam memahami pembuatan dokumen di microsoft  word</v>
      </c>
      <c r="AM25" s="414" t="str">
        <f>IFERROR('PAI4'!CI25,"")</f>
        <v/>
      </c>
      <c r="AN25" s="414" t="str">
        <f>IFERROR('PAI4'!CJ25,"")</f>
        <v/>
      </c>
      <c r="AO25" s="415" t="str">
        <f>'PAI4'!CO25</f>
        <v xml:space="preserve"> </v>
      </c>
      <c r="AP25" s="414" t="str">
        <f>IFERROR('PKN4'!AD24,"")</f>
        <v/>
      </c>
      <c r="AQ25" s="414" t="str">
        <f>IFERROR('PKN4'!AE24,"")</f>
        <v/>
      </c>
      <c r="AR25" s="413" t="str">
        <f>'PKN4'!AJ24</f>
        <v xml:space="preserve"> </v>
      </c>
      <c r="AS25" s="414" t="str">
        <f>IFERROR(BIND4!AP24,"")</f>
        <v/>
      </c>
      <c r="AT25" s="414" t="str">
        <f>IFERROR(BIND4!AQ24,"")</f>
        <v/>
      </c>
      <c r="AU25" s="413" t="str">
        <f>BIND4!AV24</f>
        <v xml:space="preserve"> </v>
      </c>
      <c r="AV25" s="414" t="str">
        <f>IFERROR('MTK4'!AP24,"")</f>
        <v/>
      </c>
      <c r="AW25" s="414" t="str">
        <f>IFERROR('MTK4'!AQ24,"")</f>
        <v/>
      </c>
      <c r="AX25" s="413" t="str">
        <f>'MTK4'!AV24</f>
        <v xml:space="preserve"> </v>
      </c>
      <c r="AY25" s="414" t="str">
        <f>IFERROR('IPA4'!AJ24,"")</f>
        <v/>
      </c>
      <c r="AZ25" s="414" t="str">
        <f>IFERROR('IPA4'!AK24,"")</f>
        <v/>
      </c>
      <c r="BA25" s="413" t="str">
        <f>'IPA4'!AP24</f>
        <v xml:space="preserve"> </v>
      </c>
      <c r="BB25" s="414" t="str">
        <f>IFERROR('IPS4'!AG24,"")</f>
        <v/>
      </c>
      <c r="BC25" s="414" t="str">
        <f>IFERROR('IPS4'!AH24,"")</f>
        <v/>
      </c>
      <c r="BD25" s="413" t="str">
        <f>'IPS4'!AM24</f>
        <v xml:space="preserve"> </v>
      </c>
      <c r="BE25" s="414" t="str">
        <f>IFERROR(SBDP4!AG24,"")</f>
        <v/>
      </c>
      <c r="BF25" s="414" t="str">
        <f>IFERROR(SBDP4!AH24,"")</f>
        <v/>
      </c>
      <c r="BG25" s="413" t="str">
        <f>SBDP4!AM24</f>
        <v xml:space="preserve"> </v>
      </c>
      <c r="BH25" s="414" t="str">
        <f>IFERROR(PJOK4!AJ24,"")</f>
        <v/>
      </c>
      <c r="BI25" s="414" t="str">
        <f>IFERROR(PJOK4!AK24,"")</f>
        <v/>
      </c>
      <c r="BJ25" s="415" t="str">
        <f>PJOK4!AP24</f>
        <v xml:space="preserve"> </v>
      </c>
      <c r="BK25" s="414" t="str">
        <f>IFERROR('MLK1-4'!AG24,"")</f>
        <v/>
      </c>
      <c r="BL25" s="414" t="str">
        <f>IFERROR('MLK1-4'!AH24,"")</f>
        <v/>
      </c>
      <c r="BM25" s="413" t="str">
        <f>'MLK1-4'!AM24</f>
        <v xml:space="preserve"> </v>
      </c>
      <c r="BN25" s="414" t="str">
        <f>IFERROR('MLK2-4'!AG24,"")</f>
        <v/>
      </c>
      <c r="BO25" s="414" t="str">
        <f>IFERROR('MLK2-4'!AH24,"")</f>
        <v/>
      </c>
      <c r="BP25" s="413" t="str">
        <f>'MLK2-4'!AM24</f>
        <v xml:space="preserve"> </v>
      </c>
      <c r="BQ25" s="414" t="str">
        <f>IFERROR('MLK3-4'!AG24,"")</f>
        <v/>
      </c>
      <c r="BR25" s="414" t="str">
        <f>IFERROR('MLK3-4'!AH24,"")</f>
        <v/>
      </c>
      <c r="BS25" s="413" t="str">
        <f>'MLK3-4'!AM24</f>
        <v xml:space="preserve"> </v>
      </c>
      <c r="BT25" s="414">
        <f t="shared" si="0"/>
        <v>47.909090909090907</v>
      </c>
      <c r="BU25" s="444">
        <f t="shared" si="1"/>
        <v>1054</v>
      </c>
      <c r="BV25" s="416">
        <f t="shared" si="2"/>
        <v>1054</v>
      </c>
      <c r="BW25" s="417">
        <f t="shared" si="3"/>
        <v>25</v>
      </c>
    </row>
    <row r="26" spans="1:75" ht="20.25" customHeight="1">
      <c r="A26" s="113">
        <v>21</v>
      </c>
      <c r="B26" s="113">
        <f>SISWA!B26</f>
        <v>0</v>
      </c>
      <c r="C26" s="410" t="str">
        <f>SISWA!C26</f>
        <v>Anak 21</v>
      </c>
      <c r="D26" s="411" t="str">
        <f>SPIRIT!Q25</f>
        <v xml:space="preserve">Ananda Anak 21 baik dalam  ketaatan beribadah,  berperilaku syukur,  berdoa sebelum dan sesudah melakukan kegiatan,  toleransi dalam beribadah, </v>
      </c>
      <c r="E26" s="411" t="str">
        <f>SOSIAL!W25</f>
        <v xml:space="preserve">Ananda Anak 21 baik dalam sikap jujur, disiplin, tanggung jawab, santun, peduli, percaya diri, kerja sama, </v>
      </c>
      <c r="F26" s="412">
        <f>IFERROR('PAI3'!DU26,"")</f>
        <v>99</v>
      </c>
      <c r="G26" s="412" t="str">
        <f>IFERROR('PAI3'!DV26,"")</f>
        <v>A</v>
      </c>
      <c r="H26" s="413" t="str">
        <f>'PAI3'!EA26</f>
        <v>Anak 21 sangat baik  dalam memahami Q.S. al- Falaq dan Q.S. al- Fil dengan baik dan benar</v>
      </c>
      <c r="I26" s="412">
        <f>IFERROR('PKN3'!AI25,"")</f>
        <v>96</v>
      </c>
      <c r="J26" s="412" t="str">
        <f>IFERROR('PKN3'!AJ25,"")</f>
        <v>A</v>
      </c>
      <c r="K26" s="411" t="str">
        <f>'PKN3'!AO25</f>
        <v>Anak 21 sangat baik  dalam mengidentifikasi pelaksanaan kewajiban dan hak sebagai warga masyarakat dalam kehidupan sehari-hari., dan  sangat baik  dalam menjelaskan manfaat keberagaman karakteristik individu dalam kehidupan sehari-hari.</v>
      </c>
      <c r="L26" s="414">
        <f>IFERROR(BIND3!AU25,"")</f>
        <v>97</v>
      </c>
      <c r="M26" s="414" t="str">
        <f>IFERROR(BIND3!AV25,"")</f>
        <v>A</v>
      </c>
      <c r="N26" s="413" t="str">
        <f>BIND3!BA25</f>
        <v>Anak 21 sangat baik  dalam menggali pengetahuan baru yang terdapat pada teks nonfiksi., dan  sangat baik  dalam menggali informasi dari seorang tokoh melalui wawancara menggunakan daftar pertanyaan.</v>
      </c>
      <c r="O26" s="414">
        <f>IFERROR('MTK3'!BC25,"")</f>
        <v>97</v>
      </c>
      <c r="P26" s="414" t="str">
        <f>IFERROR('MTK3'!BD25,"")</f>
        <v>A</v>
      </c>
      <c r="Q26" s="413" t="str">
        <f>'MTK3'!BI25</f>
        <v>Anak 21 sangat baik  dalam menjelaskan dan melakukan penaksiran dari jumlah, selisih, hasil kali, dan hasil bagi dua bilangan cacah maupun pecahan dan desimal, dan  sangat baik  dalam menjelaskan berbagai bentuk pecahan (biasa, campuran, desimal, dan persen) dan hubungan di antaranya</v>
      </c>
      <c r="R26" s="414">
        <f>IFERROR('IPA3'!AM25,"")</f>
        <v>99</v>
      </c>
      <c r="S26" s="414" t="str">
        <f>IFERROR('IPA3'!AN25,"")</f>
        <v>A</v>
      </c>
      <c r="T26" s="413" t="str">
        <f>'IPA3'!AS25</f>
        <v>Anak 21 sangat baik  dalam membandingkan siklus hidup beberapa jenis makhluk hidup serta mengaitkan dengan upaya pelestariannya.</v>
      </c>
      <c r="U26" s="414">
        <f>IFERROR('IPS3'!AN25,"")</f>
        <v>99</v>
      </c>
      <c r="V26" s="414" t="str">
        <f>IFERROR('IPS3'!AO25,"")</f>
        <v>A</v>
      </c>
      <c r="W26" s="413" t="str">
        <f>'IPS3'!AT25</f>
        <v>Anak 21 sangat baik  dalam mengidentifikasi karakteristik ruang dan pemanfaatan sumberdaya alam untuk kesejahteraan masyarakat dari tingkatkota/kabupaten sampai tingkat provinsi.</v>
      </c>
      <c r="X26" s="414">
        <f>IFERROR(SBDP3!AN25,"")</f>
        <v>99</v>
      </c>
      <c r="Y26" s="414" t="str">
        <f>IFERROR(SBDP3!AO25,"")</f>
        <v>A</v>
      </c>
      <c r="Z26" s="413" t="str">
        <f>SBDP3!AT25</f>
        <v>Anak 21 sangat baik  dalam mengetahui gambar dan bentuk tiga dimensi.</v>
      </c>
      <c r="AA26" s="414">
        <f>IFERROR(PJOK3!AV25,"")</f>
        <v>96</v>
      </c>
      <c r="AB26" s="414" t="str">
        <f>IFERROR(PJOK3!AW25,"")</f>
        <v>A</v>
      </c>
      <c r="AC26" s="413" t="str">
        <f>PJOK3!BB25</f>
        <v>Anak 21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6" s="414">
        <f>IFERROR('MLK1-3'!AT25,"")</f>
        <v>92</v>
      </c>
      <c r="AE26" s="414" t="str">
        <f>IFERROR('MLK1-3'!AU25,"")</f>
        <v>A</v>
      </c>
      <c r="AF26" s="415" t="str">
        <f>'MLK1-3'!AZ25</f>
        <v>Anak 21 sangat baik  dalam mengenal, memahami, dan mengidentifikasi kata berimbuhan dalam teks sesuai kaidah, dan  sangat baik  dalam mengenal dan memahami sandhangan aksara Jawa.</v>
      </c>
      <c r="AG26" s="414">
        <f>IFERROR('MLK2-3'!AP25,"")</f>
        <v>94</v>
      </c>
      <c r="AH26" s="414" t="str">
        <f>IFERROR('MLK2-3'!AQ25,"")</f>
        <v>A</v>
      </c>
      <c r="AI26" s="413" t="str">
        <f>'MLK2-3'!AV25</f>
        <v>Anak 21 sangat baik  dalam mengenal dan mengidentifikasi benda-benda di dapur dan nama-nama bunga, dan  sangat baik  dalam memahami penggunaan kalimat yang menunjukkan letak suatu tempat</v>
      </c>
      <c r="AJ26" s="414">
        <f>IFERROR('MLK3-3'!AP25,"")</f>
        <v>90</v>
      </c>
      <c r="AK26" s="414" t="str">
        <f>IFERROR('MLK3-3'!AQ25,"")</f>
        <v>B</v>
      </c>
      <c r="AL26" s="415" t="str">
        <f>'MLK3-3'!AV25</f>
        <v>Anak 21 sangat baik  dalam memahami pembuatan dokumen di microsoft  word, dan  baik  dalam mengenal dan memahami penggunaan microsoft  word.</v>
      </c>
      <c r="AM26" s="414" t="str">
        <f>IFERROR('PAI4'!CI26,"")</f>
        <v/>
      </c>
      <c r="AN26" s="414" t="str">
        <f>IFERROR('PAI4'!CJ26,"")</f>
        <v/>
      </c>
      <c r="AO26" s="415" t="str">
        <f>'PAI4'!CO26</f>
        <v xml:space="preserve"> </v>
      </c>
      <c r="AP26" s="414" t="str">
        <f>IFERROR('PKN4'!AD25,"")</f>
        <v/>
      </c>
      <c r="AQ26" s="414" t="str">
        <f>IFERROR('PKN4'!AE25,"")</f>
        <v/>
      </c>
      <c r="AR26" s="413" t="str">
        <f>'PKN4'!AJ25</f>
        <v xml:space="preserve"> </v>
      </c>
      <c r="AS26" s="414" t="str">
        <f>IFERROR(BIND4!AP25,"")</f>
        <v/>
      </c>
      <c r="AT26" s="414" t="str">
        <f>IFERROR(BIND4!AQ25,"")</f>
        <v/>
      </c>
      <c r="AU26" s="413" t="str">
        <f>BIND4!AV25</f>
        <v xml:space="preserve"> </v>
      </c>
      <c r="AV26" s="414" t="str">
        <f>IFERROR('MTK4'!AP25,"")</f>
        <v/>
      </c>
      <c r="AW26" s="414" t="str">
        <f>IFERROR('MTK4'!AQ25,"")</f>
        <v/>
      </c>
      <c r="AX26" s="413" t="str">
        <f>'MTK4'!AV25</f>
        <v xml:space="preserve"> </v>
      </c>
      <c r="AY26" s="414" t="str">
        <f>IFERROR('IPA4'!AJ25,"")</f>
        <v/>
      </c>
      <c r="AZ26" s="414" t="str">
        <f>IFERROR('IPA4'!AK25,"")</f>
        <v/>
      </c>
      <c r="BA26" s="413" t="str">
        <f>'IPA4'!AP25</f>
        <v xml:space="preserve"> </v>
      </c>
      <c r="BB26" s="414" t="str">
        <f>IFERROR('IPS4'!AG25,"")</f>
        <v/>
      </c>
      <c r="BC26" s="414" t="str">
        <f>IFERROR('IPS4'!AH25,"")</f>
        <v/>
      </c>
      <c r="BD26" s="413" t="str">
        <f>'IPS4'!AM25</f>
        <v xml:space="preserve"> </v>
      </c>
      <c r="BE26" s="414" t="str">
        <f>IFERROR(SBDP4!AG25,"")</f>
        <v/>
      </c>
      <c r="BF26" s="414" t="str">
        <f>IFERROR(SBDP4!AH25,"")</f>
        <v/>
      </c>
      <c r="BG26" s="413" t="str">
        <f>SBDP4!AM25</f>
        <v xml:space="preserve"> </v>
      </c>
      <c r="BH26" s="414" t="str">
        <f>IFERROR(PJOK4!AJ25,"")</f>
        <v/>
      </c>
      <c r="BI26" s="414" t="str">
        <f>IFERROR(PJOK4!AK25,"")</f>
        <v/>
      </c>
      <c r="BJ26" s="415" t="str">
        <f>PJOK4!AP25</f>
        <v xml:space="preserve"> </v>
      </c>
      <c r="BK26" s="414" t="str">
        <f>IFERROR('MLK1-4'!AG25,"")</f>
        <v/>
      </c>
      <c r="BL26" s="414" t="str">
        <f>IFERROR('MLK1-4'!AH25,"")</f>
        <v/>
      </c>
      <c r="BM26" s="413" t="str">
        <f>'MLK1-4'!AM25</f>
        <v xml:space="preserve"> </v>
      </c>
      <c r="BN26" s="414" t="str">
        <f>IFERROR('MLK2-4'!AG25,"")</f>
        <v/>
      </c>
      <c r="BO26" s="414" t="str">
        <f>IFERROR('MLK2-4'!AH25,"")</f>
        <v/>
      </c>
      <c r="BP26" s="413" t="str">
        <f>'MLK2-4'!AM25</f>
        <v xml:space="preserve"> </v>
      </c>
      <c r="BQ26" s="414" t="str">
        <f>IFERROR('MLK3-4'!AG25,"")</f>
        <v/>
      </c>
      <c r="BR26" s="414" t="str">
        <f>IFERROR('MLK3-4'!AH25,"")</f>
        <v/>
      </c>
      <c r="BS26" s="413" t="str">
        <f>'MLK3-4'!AM25</f>
        <v xml:space="preserve"> </v>
      </c>
      <c r="BT26" s="414">
        <f t="shared" si="0"/>
        <v>48.090909090909093</v>
      </c>
      <c r="BU26" s="444">
        <f t="shared" si="1"/>
        <v>1058</v>
      </c>
      <c r="BV26" s="416">
        <f t="shared" si="2"/>
        <v>1058</v>
      </c>
      <c r="BW26" s="417">
        <f t="shared" si="3"/>
        <v>19</v>
      </c>
    </row>
    <row r="27" spans="1:75" ht="20.25" customHeight="1">
      <c r="A27" s="113">
        <v>22</v>
      </c>
      <c r="B27" s="113">
        <f>SISWA!B27</f>
        <v>0</v>
      </c>
      <c r="C27" s="410" t="str">
        <f>SISWA!C27</f>
        <v>Anak 22</v>
      </c>
      <c r="D27" s="411" t="str">
        <f>SPIRIT!Q26</f>
        <v xml:space="preserve">Ananda Anak 22 baik dalam  ketaatan beribadah,  berperilaku syukur,  berdoa sebelum dan sesudah melakukan kegiatan,  toleransi dalam beribadah, </v>
      </c>
      <c r="E27" s="411" t="str">
        <f>SOSIAL!W26</f>
        <v xml:space="preserve">Ananda Anak 22 baik dalam sikap jujur, disiplin, tanggung jawab, santun, peduli, percaya diri, kerja sama, </v>
      </c>
      <c r="F27" s="412">
        <f>IFERROR('PAI3'!DU27,"")</f>
        <v>99</v>
      </c>
      <c r="G27" s="412" t="str">
        <f>IFERROR('PAI3'!DV27,"")</f>
        <v>A</v>
      </c>
      <c r="H27" s="413" t="str">
        <f>'PAI3'!EA27</f>
        <v>Anak 22 sangat baik  dalam memahami Q.S. al- Falaq dan Q.S. al- Fil dengan baik dan benar</v>
      </c>
      <c r="I27" s="412">
        <f>IFERROR('PKN3'!AI26,"")</f>
        <v>97</v>
      </c>
      <c r="J27" s="412" t="str">
        <f>IFERROR('PKN3'!AJ26,"")</f>
        <v>A</v>
      </c>
      <c r="K27" s="411" t="str">
        <f>'PKN3'!AO26</f>
        <v>Anak 22 sangat baik  dalam mengidentifikasi pelaksanaan kewajiban dan hak sebagai warga masyarakat dalam kehidupan sehari-hari., dan  sangat baik  dalam menjelaskan manfaat keberagaman karakteristik individu dalam kehidupan sehari-hari.</v>
      </c>
      <c r="L27" s="414">
        <f>IFERROR(BIND3!AU26,"")</f>
        <v>98</v>
      </c>
      <c r="M27" s="414" t="str">
        <f>IFERROR(BIND3!AV26,"")</f>
        <v>A</v>
      </c>
      <c r="N27" s="413" t="str">
        <f>BIND3!BA26</f>
        <v>Anak 22 sangat baik  dalam menggali pengetahuan baru yang terdapat pada teks nonfiksi., dan  sangat baik  dalam menggali informasi dari seorang tokoh melalui wawancara menggunakan daftar pertanyaan.</v>
      </c>
      <c r="O27" s="414">
        <f>IFERROR('MTK3'!BC26,"")</f>
        <v>98</v>
      </c>
      <c r="P27" s="414" t="str">
        <f>IFERROR('MTK3'!BD26,"")</f>
        <v>A</v>
      </c>
      <c r="Q27" s="413" t="str">
        <f>'MTK3'!BI26</f>
        <v>Anak 22 sangat baik  dalam menjelaskan dan melakukan penaksiran dari jumlah, selisih, hasil kali, dan hasil bagi dua bilangan cacah maupun pecahan dan desimal, dan  sangat baik  dalam menjelaskan berbagai bentuk pecahan (biasa, campuran, desimal, dan persen) dan hubungan di antaranya</v>
      </c>
      <c r="R27" s="414">
        <f>IFERROR('IPA3'!AM26,"")</f>
        <v>99</v>
      </c>
      <c r="S27" s="414" t="str">
        <f>IFERROR('IPA3'!AN26,"")</f>
        <v>A</v>
      </c>
      <c r="T27" s="413" t="str">
        <f>'IPA3'!AS26</f>
        <v>Anak 22 sangat baik  dalam membandingkan siklus hidup beberapa jenis makhluk hidup serta mengaitkan dengan upaya pelestariannya.</v>
      </c>
      <c r="U27" s="414">
        <f>IFERROR('IPS3'!AN26,"")</f>
        <v>99</v>
      </c>
      <c r="V27" s="414" t="str">
        <f>IFERROR('IPS3'!AO26,"")</f>
        <v>A</v>
      </c>
      <c r="W27" s="413" t="str">
        <f>'IPS3'!AT26</f>
        <v>Anak 22 sangat baik  dalam mengidentifikasi karakteristik ruang dan pemanfaatan sumberdaya alam untuk kesejahteraan masyarakat dari tingkatkota/kabupaten sampai tingkat provinsi.</v>
      </c>
      <c r="X27" s="414">
        <f>IFERROR(SBDP3!AN26,"")</f>
        <v>99</v>
      </c>
      <c r="Y27" s="414" t="str">
        <f>IFERROR(SBDP3!AO26,"")</f>
        <v>A</v>
      </c>
      <c r="Z27" s="413" t="str">
        <f>SBDP3!AT26</f>
        <v>Anak 22 sangat baik  dalam mengetahui gambar dan bentuk tiga dimensi.</v>
      </c>
      <c r="AA27" s="414">
        <f>IFERROR(PJOK3!AV26,"")</f>
        <v>97</v>
      </c>
      <c r="AB27" s="414" t="str">
        <f>IFERROR(PJOK3!AW26,"")</f>
        <v>A</v>
      </c>
      <c r="AC27" s="413" t="str">
        <f>PJOK3!BB26</f>
        <v>Anak 22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AD27" s="414">
        <f>IFERROR('MLK1-3'!AT26,"")</f>
        <v>95</v>
      </c>
      <c r="AE27" s="414" t="str">
        <f>IFERROR('MLK1-3'!AU26,"")</f>
        <v>A</v>
      </c>
      <c r="AF27" s="415" t="str">
        <f>'MLK1-3'!AZ26</f>
        <v>Anak 22 sangat baik  dalam mengenal, memahami, dan mengidentifikasi kata berimbuhan dalam teks sesuai kaidah, dan  sangat baik  dalam mengenal dan memahami sandhangan aksara Jawa.</v>
      </c>
      <c r="AG27" s="414">
        <f>IFERROR('MLK2-3'!AP26,"")</f>
        <v>96</v>
      </c>
      <c r="AH27" s="414" t="str">
        <f>IFERROR('MLK2-3'!AQ26,"")</f>
        <v>A</v>
      </c>
      <c r="AI27" s="413" t="str">
        <f>'MLK2-3'!AV26</f>
        <v>Anak 22 sangat baik  dalam mengenal dan mengidentifikasi benda-benda di dapur dan nama-nama bunga, dan  sangat baik  dalam memahami penggunaan kalimat yang menunjukkan letak suatu tempat</v>
      </c>
      <c r="AJ27" s="414">
        <f>IFERROR('MLK3-3'!AP26,"")</f>
        <v>94</v>
      </c>
      <c r="AK27" s="414" t="str">
        <f>IFERROR('MLK3-3'!AQ26,"")</f>
        <v>A</v>
      </c>
      <c r="AL27" s="415" t="str">
        <f>'MLK3-3'!AV26</f>
        <v>Anak 22 sangat baik  dalam memahami pembuatan dokumen di microsoft  word, dan  sangat baik  dalam mengenal dan memahami penggunaan microsoft  word.</v>
      </c>
      <c r="AM27" s="414" t="str">
        <f>IFERROR('PAI4'!CI27,"")</f>
        <v/>
      </c>
      <c r="AN27" s="414" t="str">
        <f>IFERROR('PAI4'!CJ27,"")</f>
        <v/>
      </c>
      <c r="AO27" s="415" t="str">
        <f>'PAI4'!CO27</f>
        <v xml:space="preserve"> </v>
      </c>
      <c r="AP27" s="414" t="str">
        <f>IFERROR('PKN4'!AD26,"")</f>
        <v/>
      </c>
      <c r="AQ27" s="414" t="str">
        <f>IFERROR('PKN4'!AE26,"")</f>
        <v/>
      </c>
      <c r="AR27" s="413" t="str">
        <f>'PKN4'!AJ26</f>
        <v xml:space="preserve"> </v>
      </c>
      <c r="AS27" s="414" t="str">
        <f>IFERROR(BIND4!AP26,"")</f>
        <v/>
      </c>
      <c r="AT27" s="414" t="str">
        <f>IFERROR(BIND4!AQ26,"")</f>
        <v/>
      </c>
      <c r="AU27" s="413" t="str">
        <f>BIND4!AV26</f>
        <v xml:space="preserve"> </v>
      </c>
      <c r="AV27" s="414" t="str">
        <f>IFERROR('MTK4'!AP26,"")</f>
        <v/>
      </c>
      <c r="AW27" s="414" t="str">
        <f>IFERROR('MTK4'!AQ26,"")</f>
        <v/>
      </c>
      <c r="AX27" s="413" t="str">
        <f>'MTK4'!AV26</f>
        <v xml:space="preserve"> </v>
      </c>
      <c r="AY27" s="414" t="str">
        <f>IFERROR('IPA4'!AJ26,"")</f>
        <v/>
      </c>
      <c r="AZ27" s="414" t="str">
        <f>IFERROR('IPA4'!AK26,"")</f>
        <v/>
      </c>
      <c r="BA27" s="413" t="str">
        <f>'IPA4'!AP26</f>
        <v xml:space="preserve"> </v>
      </c>
      <c r="BB27" s="414" t="str">
        <f>IFERROR('IPS4'!AG26,"")</f>
        <v/>
      </c>
      <c r="BC27" s="414" t="str">
        <f>IFERROR('IPS4'!AH26,"")</f>
        <v/>
      </c>
      <c r="BD27" s="413" t="str">
        <f>'IPS4'!AM26</f>
        <v xml:space="preserve"> </v>
      </c>
      <c r="BE27" s="414" t="str">
        <f>IFERROR(SBDP4!AG26,"")</f>
        <v/>
      </c>
      <c r="BF27" s="414" t="str">
        <f>IFERROR(SBDP4!AH26,"")</f>
        <v/>
      </c>
      <c r="BG27" s="413" t="str">
        <f>SBDP4!AM26</f>
        <v xml:space="preserve"> </v>
      </c>
      <c r="BH27" s="414" t="str">
        <f>IFERROR(PJOK4!AJ26,"")</f>
        <v/>
      </c>
      <c r="BI27" s="414" t="str">
        <f>IFERROR(PJOK4!AK26,"")</f>
        <v/>
      </c>
      <c r="BJ27" s="415" t="str">
        <f>PJOK4!AP26</f>
        <v xml:space="preserve"> </v>
      </c>
      <c r="BK27" s="414" t="str">
        <f>IFERROR('MLK1-4'!AG26,"")</f>
        <v/>
      </c>
      <c r="BL27" s="414" t="str">
        <f>IFERROR('MLK1-4'!AH26,"")</f>
        <v/>
      </c>
      <c r="BM27" s="413" t="str">
        <f>'MLK1-4'!AM26</f>
        <v xml:space="preserve"> </v>
      </c>
      <c r="BN27" s="414" t="str">
        <f>IFERROR('MLK2-4'!AG26,"")</f>
        <v/>
      </c>
      <c r="BO27" s="414" t="str">
        <f>IFERROR('MLK2-4'!AH26,"")</f>
        <v/>
      </c>
      <c r="BP27" s="413" t="str">
        <f>'MLK2-4'!AM26</f>
        <v xml:space="preserve"> </v>
      </c>
      <c r="BQ27" s="414" t="str">
        <f>IFERROR('MLK3-4'!AG26,"")</f>
        <v/>
      </c>
      <c r="BR27" s="414" t="str">
        <f>IFERROR('MLK3-4'!AH26,"")</f>
        <v/>
      </c>
      <c r="BS27" s="413" t="str">
        <f>'MLK3-4'!AM26</f>
        <v xml:space="preserve"> </v>
      </c>
      <c r="BT27" s="414">
        <f t="shared" si="0"/>
        <v>48.68181818181818</v>
      </c>
      <c r="BU27" s="444">
        <f t="shared" si="1"/>
        <v>1071</v>
      </c>
      <c r="BV27" s="416">
        <f t="shared" si="2"/>
        <v>1071</v>
      </c>
      <c r="BW27" s="417">
        <f t="shared" si="3"/>
        <v>9</v>
      </c>
    </row>
    <row r="28" spans="1:75" ht="20.25" customHeight="1">
      <c r="A28" s="113">
        <v>23</v>
      </c>
      <c r="B28" s="113">
        <f>SISWA!B28</f>
        <v>0</v>
      </c>
      <c r="C28" s="410" t="str">
        <f>SISWA!C28</f>
        <v>Anak 23</v>
      </c>
      <c r="D28" s="411" t="str">
        <f>SPIRIT!Q27</f>
        <v xml:space="preserve">Ananda Anak 23 baik dalam  ketaatan beribadah,  berperilaku syukur,  berdoa sebelum dan sesudah melakukan kegiatan,  toleransi dalam beribadah, </v>
      </c>
      <c r="E28" s="411" t="str">
        <f>SOSIAL!W27</f>
        <v xml:space="preserve">Ananda Anak 23 baik dalam sikap jujur, disiplin, tanggung jawab, santun, peduli, percaya diri, kerja sama, </v>
      </c>
      <c r="F28" s="412">
        <f>IFERROR('PAI3'!DU28,"")</f>
        <v>99</v>
      </c>
      <c r="G28" s="412" t="str">
        <f>IFERROR('PAI3'!DV28,"")</f>
        <v>A</v>
      </c>
      <c r="H28" s="413" t="str">
        <f>'PAI3'!EA28</f>
        <v>Anak 23 sangat baik  dalam memahami Q.S. al- Falaq dan Q.S. al- Fil dengan baik dan benar</v>
      </c>
      <c r="I28" s="412">
        <f>IFERROR('PKN3'!AI27,"")</f>
        <v>96</v>
      </c>
      <c r="J28" s="412" t="str">
        <f>IFERROR('PKN3'!AJ27,"")</f>
        <v>A</v>
      </c>
      <c r="K28" s="411" t="str">
        <f>'PKN3'!AO27</f>
        <v>Anak 23 sangat baik  dalam mengidentifikasi pelaksanaan kewajiban dan hak sebagai warga masyarakat dalam kehidupan sehari-hari., dan  sangat baik  dalam mengidentifikasi berbagai bentuk keragaman suku bangsa, sosial, dan budaya di Indonesia yang terikat persatuan dan kesatuan.</v>
      </c>
      <c r="L28" s="414">
        <f>IFERROR(BIND3!AU27,"")</f>
        <v>97</v>
      </c>
      <c r="M28" s="414" t="str">
        <f>IFERROR(BIND3!AV27,"")</f>
        <v>A</v>
      </c>
      <c r="N28" s="413" t="str">
        <f>BIND3!BA27</f>
        <v>Anak 23 sangat baik  dalam menggali pengetahuan baru yang terdapat pada teks nonfiksi., dan  sangat baik  dalam menggali isi dan amanat puisi yang disajikan secara lisan dan tulis dengan tujuan untuk kesenangan.</v>
      </c>
      <c r="O28" s="414">
        <f>IFERROR('MTK3'!BC27,"")</f>
        <v>98</v>
      </c>
      <c r="P28" s="414" t="str">
        <f>IFERROR('MTK3'!BD27,"")</f>
        <v>A</v>
      </c>
      <c r="Q28" s="413" t="str">
        <f>'MTK3'!BI27</f>
        <v>Anak 23 sangat baik  dalam menjelaskan dan melakukan penaksiran dari jumlah, selisih, hasil kali, dan hasil bagi dua bilangan cacah maupun pecahan dan desimal, dan  sangat baik  dalam menjelaskan berbagai bentuk pecahan (biasa, campuran, desimal, dan persen) dan hubungan di antaranya</v>
      </c>
      <c r="R28" s="414">
        <f>IFERROR('IPA3'!AM27,"")</f>
        <v>99</v>
      </c>
      <c r="S28" s="414" t="str">
        <f>IFERROR('IPA3'!AN27,"")</f>
        <v>A</v>
      </c>
      <c r="T28" s="413" t="str">
        <f>'IPA3'!AS27</f>
        <v>Anak 23 sangat baik  dalam membandingkan siklus hidup beberapa jenis makhluk hidup serta mengaitkan dengan upaya pelestariannya.</v>
      </c>
      <c r="U28" s="414">
        <f>IFERROR('IPS3'!AN27,"")</f>
        <v>99</v>
      </c>
      <c r="V28" s="414" t="str">
        <f>IFERROR('IPS3'!AO27,"")</f>
        <v>A</v>
      </c>
      <c r="W28" s="413" t="str">
        <f>'IPS3'!AT27</f>
        <v>Anak 23 sangat baik  dalam mengidentifikasi karakteristik ruang dan pemanfaatan sumberdaya alam untuk kesejahteraan masyarakat dari tingkatkota/kabupaten sampai tingkat provinsi.</v>
      </c>
      <c r="X28" s="414">
        <f>IFERROR(SBDP3!AN27,"")</f>
        <v>99</v>
      </c>
      <c r="Y28" s="414" t="str">
        <f>IFERROR(SBDP3!AO27,"")</f>
        <v>A</v>
      </c>
      <c r="Z28" s="413" t="str">
        <f>SBDP3!AT27</f>
        <v>Anak 23 sangat baik  dalam mengetahui gambar dan bentuk tiga dimensi.</v>
      </c>
      <c r="AA28" s="414">
        <f>IFERROR(PJOK3!AV27,"")</f>
        <v>96</v>
      </c>
      <c r="AB28" s="414" t="str">
        <f>IFERROR(PJOK3!AW27,"")</f>
        <v>A</v>
      </c>
      <c r="AC28" s="413" t="str">
        <f>PJOK3!BB27</f>
        <v>Anak 23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28" s="414">
        <f>IFERROR('MLK1-3'!AT27,"")</f>
        <v>93</v>
      </c>
      <c r="AE28" s="414" t="str">
        <f>IFERROR('MLK1-3'!AU27,"")</f>
        <v>A</v>
      </c>
      <c r="AF28" s="415" t="str">
        <f>'MLK1-3'!AZ27</f>
        <v>Anak 23 sangat baik  dalam mengenal dan memahmi teks tembang dolanan, dan  sangat baik  dalam mengenal dan memahami sandhangan aksara Jawa.</v>
      </c>
      <c r="AG28" s="414">
        <f>IFERROR('MLK2-3'!AP27,"")</f>
        <v>94</v>
      </c>
      <c r="AH28" s="414" t="str">
        <f>IFERROR('MLK2-3'!AQ27,"")</f>
        <v>A</v>
      </c>
      <c r="AI28" s="413" t="str">
        <f>'MLK2-3'!AV27</f>
        <v>Anak 23 sangat baik  dalam mengenal dan mengidentifikasi benda-benda di dapur dan nama-nama bunga, dan  sangat baik  dalam memahami penggunaan kalimat yang menunjukkan letak suatu tempat</v>
      </c>
      <c r="AJ28" s="414">
        <f>IFERROR('MLK3-3'!AP27,"")</f>
        <v>91</v>
      </c>
      <c r="AK28" s="414" t="str">
        <f>IFERROR('MLK3-3'!AQ27,"")</f>
        <v>A</v>
      </c>
      <c r="AL28" s="415" t="str">
        <f>'MLK3-3'!AV27</f>
        <v>Anak 23 sangat baik  dalam mengenal dan memahami penggunaan microsoft  word., dan  baik  dalam memahami pembuatan dokumen di microsoft  word</v>
      </c>
      <c r="AM28" s="414" t="str">
        <f>IFERROR('PAI4'!CI28,"")</f>
        <v/>
      </c>
      <c r="AN28" s="414" t="str">
        <f>IFERROR('PAI4'!CJ28,"")</f>
        <v/>
      </c>
      <c r="AO28" s="415" t="str">
        <f>'PAI4'!CO28</f>
        <v xml:space="preserve"> </v>
      </c>
      <c r="AP28" s="414" t="str">
        <f>IFERROR('PKN4'!AD27,"")</f>
        <v/>
      </c>
      <c r="AQ28" s="414" t="str">
        <f>IFERROR('PKN4'!AE27,"")</f>
        <v/>
      </c>
      <c r="AR28" s="413" t="str">
        <f>'PKN4'!AJ27</f>
        <v xml:space="preserve"> </v>
      </c>
      <c r="AS28" s="414" t="str">
        <f>IFERROR(BIND4!AP27,"")</f>
        <v/>
      </c>
      <c r="AT28" s="414" t="str">
        <f>IFERROR(BIND4!AQ27,"")</f>
        <v/>
      </c>
      <c r="AU28" s="413" t="str">
        <f>BIND4!AV27</f>
        <v xml:space="preserve"> </v>
      </c>
      <c r="AV28" s="414" t="str">
        <f>IFERROR('MTK4'!AP27,"")</f>
        <v/>
      </c>
      <c r="AW28" s="414" t="str">
        <f>IFERROR('MTK4'!AQ27,"")</f>
        <v/>
      </c>
      <c r="AX28" s="413" t="str">
        <f>'MTK4'!AV27</f>
        <v xml:space="preserve"> </v>
      </c>
      <c r="AY28" s="414" t="str">
        <f>IFERROR('IPA4'!AJ27,"")</f>
        <v/>
      </c>
      <c r="AZ28" s="414" t="str">
        <f>IFERROR('IPA4'!AK27,"")</f>
        <v/>
      </c>
      <c r="BA28" s="413" t="str">
        <f>'IPA4'!AP27</f>
        <v xml:space="preserve"> </v>
      </c>
      <c r="BB28" s="414" t="str">
        <f>IFERROR('IPS4'!AG27,"")</f>
        <v/>
      </c>
      <c r="BC28" s="414" t="str">
        <f>IFERROR('IPS4'!AH27,"")</f>
        <v/>
      </c>
      <c r="BD28" s="413" t="str">
        <f>'IPS4'!AM27</f>
        <v xml:space="preserve"> </v>
      </c>
      <c r="BE28" s="414" t="str">
        <f>IFERROR(SBDP4!AG27,"")</f>
        <v/>
      </c>
      <c r="BF28" s="414" t="str">
        <f>IFERROR(SBDP4!AH27,"")</f>
        <v/>
      </c>
      <c r="BG28" s="413" t="str">
        <f>SBDP4!AM27</f>
        <v xml:space="preserve"> </v>
      </c>
      <c r="BH28" s="414" t="str">
        <f>IFERROR(PJOK4!AJ27,"")</f>
        <v/>
      </c>
      <c r="BI28" s="414" t="str">
        <f>IFERROR(PJOK4!AK27,"")</f>
        <v/>
      </c>
      <c r="BJ28" s="415" t="str">
        <f>PJOK4!AP27</f>
        <v xml:space="preserve"> </v>
      </c>
      <c r="BK28" s="414" t="str">
        <f>IFERROR('MLK1-4'!AG27,"")</f>
        <v/>
      </c>
      <c r="BL28" s="414" t="str">
        <f>IFERROR('MLK1-4'!AH27,"")</f>
        <v/>
      </c>
      <c r="BM28" s="413" t="str">
        <f>'MLK1-4'!AM27</f>
        <v xml:space="preserve"> </v>
      </c>
      <c r="BN28" s="414" t="str">
        <f>IFERROR('MLK2-4'!AG27,"")</f>
        <v/>
      </c>
      <c r="BO28" s="414" t="str">
        <f>IFERROR('MLK2-4'!AH27,"")</f>
        <v/>
      </c>
      <c r="BP28" s="413" t="str">
        <f>'MLK2-4'!AM27</f>
        <v xml:space="preserve"> </v>
      </c>
      <c r="BQ28" s="414" t="str">
        <f>IFERROR('MLK3-4'!AG27,"")</f>
        <v/>
      </c>
      <c r="BR28" s="414" t="str">
        <f>IFERROR('MLK3-4'!AH27,"")</f>
        <v/>
      </c>
      <c r="BS28" s="413" t="str">
        <f>'MLK3-4'!AM27</f>
        <v xml:space="preserve"> </v>
      </c>
      <c r="BT28" s="414">
        <f t="shared" si="0"/>
        <v>48.227272727272727</v>
      </c>
      <c r="BU28" s="444">
        <f t="shared" si="1"/>
        <v>1061</v>
      </c>
      <c r="BV28" s="416">
        <f t="shared" si="2"/>
        <v>1061</v>
      </c>
      <c r="BW28" s="417">
        <f t="shared" si="3"/>
        <v>16</v>
      </c>
    </row>
    <row r="29" spans="1:75" ht="20.25" customHeight="1">
      <c r="A29" s="113">
        <v>24</v>
      </c>
      <c r="B29" s="113">
        <f>SISWA!B29</f>
        <v>0</v>
      </c>
      <c r="C29" s="410" t="str">
        <f>SISWA!C29</f>
        <v>Anak 24</v>
      </c>
      <c r="D29" s="411" t="str">
        <f>SPIRIT!Q28</f>
        <v xml:space="preserve">Ananda Anak 24 baik dalam  ketaatan beribadah,  berperilaku syukur,  berdoa sebelum dan sesudah melakukan kegiatan,  toleransi dalam beribadah, </v>
      </c>
      <c r="E29" s="411" t="str">
        <f>SOSIAL!W28</f>
        <v xml:space="preserve">Ananda Anak 24 baik dalam sikap jujur, disiplin, tanggung jawab, santun, peduli, percaya diri, kerja sama, </v>
      </c>
      <c r="F29" s="412">
        <f>IFERROR('PAI3'!DU29,"")</f>
        <v>96</v>
      </c>
      <c r="G29" s="412" t="str">
        <f>IFERROR('PAI3'!DV29,"")</f>
        <v>A</v>
      </c>
      <c r="H29" s="413" t="str">
        <f>'PAI3'!EA29</f>
        <v>Anak 24 sangat baik  dalam memahami Q.S. al- Falaq dan Q.S. al- Fil dengan baik dan benar, dan  baik  dalam memahami makna ibadah salat</v>
      </c>
      <c r="I29" s="412">
        <f>IFERROR('PKN3'!AI28,"")</f>
        <v>96</v>
      </c>
      <c r="J29" s="412" t="str">
        <f>IFERROR('PKN3'!AJ28,"")</f>
        <v>A</v>
      </c>
      <c r="K29" s="411" t="str">
        <f>'PKN3'!AO28</f>
        <v>Anak 24 sangat baik  dalam mengidentifikasi pelaksanaan kewajiban dan hak sebagai warga masyarakat dalam kehidupan sehari-hari., dan  sangat baik  dalam menjelaskan manfaat keberagaman karakteristik individu dalam kehidupan sehari-hari.</v>
      </c>
      <c r="L29" s="414">
        <f>IFERROR(BIND3!AU28,"")</f>
        <v>97</v>
      </c>
      <c r="M29" s="414" t="str">
        <f>IFERROR(BIND3!AV28,"")</f>
        <v>A</v>
      </c>
      <c r="N29" s="413" t="str">
        <f>BIND3!BA28</f>
        <v>Anak 24 sangat baik  dalam menggali pengetahuan baru yang terdapat pada teks nonfiksi., dan  sangat baik  dalam menggali informasi dari seorang tokoh melalui wawancara menggunakan daftar pertanyaan.</v>
      </c>
      <c r="O29" s="414">
        <f>IFERROR('MTK3'!BC28,"")</f>
        <v>97</v>
      </c>
      <c r="P29" s="414" t="str">
        <f>IFERROR('MTK3'!BD28,"")</f>
        <v>A</v>
      </c>
      <c r="Q29" s="413" t="str">
        <f>'MTK3'!BI28</f>
        <v>Anak 24 sangat baik  dalam menjelaskan dan melakukan penaksiran dari jumlah, selisih, hasil kali, dan hasil bagi dua bilangan cacah maupun pecahan dan desimal, dan  baik  dalam menjelaskan berbagai bentuk pecahan (biasa, campuran, desimal, dan persen) dan hubungan di antaranya</v>
      </c>
      <c r="R29" s="414">
        <f>IFERROR('IPA3'!AM28,"")</f>
        <v>99</v>
      </c>
      <c r="S29" s="414" t="str">
        <f>IFERROR('IPA3'!AN28,"")</f>
        <v>A</v>
      </c>
      <c r="T29" s="413" t="str">
        <f>'IPA3'!AS28</f>
        <v>Anak 24 sangat baik  dalam membandingkan siklus hidup beberapa jenis makhluk hidup serta mengaitkan dengan upaya pelestariannya.</v>
      </c>
      <c r="U29" s="414">
        <f>IFERROR('IPS3'!AN28,"")</f>
        <v>99</v>
      </c>
      <c r="V29" s="414" t="str">
        <f>IFERROR('IPS3'!AO28,"")</f>
        <v>A</v>
      </c>
      <c r="W29" s="413" t="str">
        <f>'IPS3'!AT28</f>
        <v>Anak 24 sangat baik  dalam mengidentifikasi karakteristik ruang dan pemanfaatan sumberdaya alam untuk kesejahteraan masyarakat dari tingkatkota/kabupaten sampai tingkat provinsi.</v>
      </c>
      <c r="X29" s="414">
        <f>IFERROR(SBDP3!AN28,"")</f>
        <v>99</v>
      </c>
      <c r="Y29" s="414" t="str">
        <f>IFERROR(SBDP3!AO28,"")</f>
        <v>A</v>
      </c>
      <c r="Z29" s="413" t="str">
        <f>SBDP3!AT28</f>
        <v>Anak 24 sangat baik  dalam mengetahui gambar dan bentuk tiga dimensi.</v>
      </c>
      <c r="AA29" s="414">
        <f>IFERROR(PJOK3!AV28,"")</f>
        <v>95</v>
      </c>
      <c r="AB29" s="414" t="str">
        <f>IFERROR(PJOK3!AW28,"")</f>
        <v>A</v>
      </c>
      <c r="AC29" s="413" t="str">
        <f>PJOK3!BB28</f>
        <v>Anak 24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29" s="414">
        <f>IFERROR('MLK1-3'!AT28,"")</f>
        <v>92</v>
      </c>
      <c r="AE29" s="414" t="str">
        <f>IFERROR('MLK1-3'!AU28,"")</f>
        <v>A</v>
      </c>
      <c r="AF29" s="415" t="str">
        <f>'MLK1-3'!AZ28</f>
        <v>Anak 24 sangat baik  dalam mengenal, memahami, dan mengidentifikasi kata berimbuhan dalam teks sesuai kaidah, dan  baik  dalam mengenal dan memahami sandhangan aksara Jawa.</v>
      </c>
      <c r="AG29" s="414">
        <f>IFERROR('MLK2-3'!AP28,"")</f>
        <v>93</v>
      </c>
      <c r="AH29" s="414" t="str">
        <f>IFERROR('MLK2-3'!AQ28,"")</f>
        <v>A</v>
      </c>
      <c r="AI29" s="413" t="str">
        <f>'MLK2-3'!AV28</f>
        <v>Anak 24 sangat baik  dalam mengenal dan mengidentifikasi benda-benda di dapur dan nama-nama bunga, dan  baik  dalam memahami penggunaan kalimat yang menunjukkan letak suatu tempat</v>
      </c>
      <c r="AJ29" s="414">
        <f>IFERROR('MLK3-3'!AP28,"")</f>
        <v>89</v>
      </c>
      <c r="AK29" s="414" t="str">
        <f>IFERROR('MLK3-3'!AQ28,"")</f>
        <v>B</v>
      </c>
      <c r="AL29" s="415" t="str">
        <f>'MLK3-3'!AV28</f>
        <v>Anak 24 sangat baik  dalam memahami pembuatan dokumen di microsoft  word, dan  baik  dalam mengenal dan memahami penggunaan microsoft  word.</v>
      </c>
      <c r="AM29" s="414" t="str">
        <f>IFERROR('PAI4'!CI29,"")</f>
        <v/>
      </c>
      <c r="AN29" s="414" t="str">
        <f>IFERROR('PAI4'!CJ29,"")</f>
        <v/>
      </c>
      <c r="AO29" s="415" t="str">
        <f>'PAI4'!CO29</f>
        <v xml:space="preserve"> </v>
      </c>
      <c r="AP29" s="414" t="str">
        <f>IFERROR('PKN4'!AD28,"")</f>
        <v/>
      </c>
      <c r="AQ29" s="414" t="str">
        <f>IFERROR('PKN4'!AE28,"")</f>
        <v/>
      </c>
      <c r="AR29" s="413" t="str">
        <f>'PKN4'!AJ28</f>
        <v xml:space="preserve"> </v>
      </c>
      <c r="AS29" s="414" t="str">
        <f>IFERROR(BIND4!AP28,"")</f>
        <v/>
      </c>
      <c r="AT29" s="414" t="str">
        <f>IFERROR(BIND4!AQ28,"")</f>
        <v/>
      </c>
      <c r="AU29" s="413" t="str">
        <f>BIND4!AV28</f>
        <v xml:space="preserve"> </v>
      </c>
      <c r="AV29" s="414" t="str">
        <f>IFERROR('MTK4'!AP28,"")</f>
        <v/>
      </c>
      <c r="AW29" s="414" t="str">
        <f>IFERROR('MTK4'!AQ28,"")</f>
        <v/>
      </c>
      <c r="AX29" s="413" t="str">
        <f>'MTK4'!AV28</f>
        <v xml:space="preserve"> </v>
      </c>
      <c r="AY29" s="414" t="str">
        <f>IFERROR('IPA4'!AJ28,"")</f>
        <v/>
      </c>
      <c r="AZ29" s="414" t="str">
        <f>IFERROR('IPA4'!AK28,"")</f>
        <v/>
      </c>
      <c r="BA29" s="413" t="str">
        <f>'IPA4'!AP28</f>
        <v xml:space="preserve"> </v>
      </c>
      <c r="BB29" s="414" t="str">
        <f>IFERROR('IPS4'!AG28,"")</f>
        <v/>
      </c>
      <c r="BC29" s="414" t="str">
        <f>IFERROR('IPS4'!AH28,"")</f>
        <v/>
      </c>
      <c r="BD29" s="413" t="str">
        <f>'IPS4'!AM28</f>
        <v xml:space="preserve"> </v>
      </c>
      <c r="BE29" s="414" t="str">
        <f>IFERROR(SBDP4!AG28,"")</f>
        <v/>
      </c>
      <c r="BF29" s="414" t="str">
        <f>IFERROR(SBDP4!AH28,"")</f>
        <v/>
      </c>
      <c r="BG29" s="413" t="str">
        <f>SBDP4!AM28</f>
        <v xml:space="preserve"> </v>
      </c>
      <c r="BH29" s="414" t="str">
        <f>IFERROR(PJOK4!AJ28,"")</f>
        <v/>
      </c>
      <c r="BI29" s="414" t="str">
        <f>IFERROR(PJOK4!AK28,"")</f>
        <v/>
      </c>
      <c r="BJ29" s="415" t="str">
        <f>PJOK4!AP28</f>
        <v xml:space="preserve"> </v>
      </c>
      <c r="BK29" s="414" t="str">
        <f>IFERROR('MLK1-4'!AG28,"")</f>
        <v/>
      </c>
      <c r="BL29" s="414" t="str">
        <f>IFERROR('MLK1-4'!AH28,"")</f>
        <v/>
      </c>
      <c r="BM29" s="413" t="str">
        <f>'MLK1-4'!AM28</f>
        <v xml:space="preserve"> </v>
      </c>
      <c r="BN29" s="414" t="str">
        <f>IFERROR('MLK2-4'!AG28,"")</f>
        <v/>
      </c>
      <c r="BO29" s="414" t="str">
        <f>IFERROR('MLK2-4'!AH28,"")</f>
        <v/>
      </c>
      <c r="BP29" s="413" t="str">
        <f>'MLK2-4'!AM28</f>
        <v xml:space="preserve"> </v>
      </c>
      <c r="BQ29" s="414" t="str">
        <f>IFERROR('MLK3-4'!AG28,"")</f>
        <v/>
      </c>
      <c r="BR29" s="414" t="str">
        <f>IFERROR('MLK3-4'!AH28,"")</f>
        <v/>
      </c>
      <c r="BS29" s="413" t="str">
        <f>'MLK3-4'!AM28</f>
        <v xml:space="preserve"> </v>
      </c>
      <c r="BT29" s="414">
        <f t="shared" si="0"/>
        <v>47.81818181818182</v>
      </c>
      <c r="BU29" s="444">
        <f t="shared" si="1"/>
        <v>1052</v>
      </c>
      <c r="BV29" s="416">
        <f t="shared" si="2"/>
        <v>1052</v>
      </c>
      <c r="BW29" s="417">
        <f t="shared" si="3"/>
        <v>31</v>
      </c>
    </row>
    <row r="30" spans="1:75" ht="20.25" customHeight="1">
      <c r="A30" s="113">
        <v>25</v>
      </c>
      <c r="B30" s="113">
        <f>SISWA!B30</f>
        <v>0</v>
      </c>
      <c r="C30" s="410" t="str">
        <f>SISWA!C30</f>
        <v>Anak 25</v>
      </c>
      <c r="D30" s="411" t="str">
        <f>SPIRIT!Q29</f>
        <v xml:space="preserve">Ananda Anak 25 baik dalam  ketaatan beribadah,  berperilaku syukur,  berdoa sebelum dan sesudah melakukan kegiatan,  toleransi dalam beribadah, </v>
      </c>
      <c r="E30" s="411" t="str">
        <f>SOSIAL!W29</f>
        <v xml:space="preserve">Ananda Anak 25 baik dalam sikap jujur, disiplin, tanggung jawab, santun, peduli, percaya diri, kerja sama, </v>
      </c>
      <c r="F30" s="412">
        <f>IFERROR('PAI3'!DU30,"")</f>
        <v>94</v>
      </c>
      <c r="G30" s="412" t="str">
        <f>IFERROR('PAI3'!DV30,"")</f>
        <v>A</v>
      </c>
      <c r="H30" s="413" t="str">
        <f>'PAI3'!EA30</f>
        <v>Anak 25 sangat baik  dalam memahami Q.S. al- Falaq dan Q.S. al- Fil dengan baik dan benar, dan  cukup baik  dalam memahami perilaku hemat</v>
      </c>
      <c r="I30" s="412">
        <f>IFERROR('PKN3'!AI29,"")</f>
        <v>96</v>
      </c>
      <c r="J30" s="412" t="str">
        <f>IFERROR('PKN3'!AJ29,"")</f>
        <v>A</v>
      </c>
      <c r="K30" s="411" t="str">
        <f>'PKN3'!AO29</f>
        <v>Anak 25 sangat baik  dalam mengidentifikasi pelaksanaan kewajiban dan hak sebagai warga masyarakat dalam kehidupan sehari-hari., dan  sangat baik  dalam mengidentifikasi berbagai bentuk keragaman suku bangsa, sosial, dan budaya di Indonesia yang terikat persatuan dan kesatuan.</v>
      </c>
      <c r="L30" s="414">
        <f>IFERROR(BIND3!AU29,"")</f>
        <v>97</v>
      </c>
      <c r="M30" s="414" t="str">
        <f>IFERROR(BIND3!AV29,"")</f>
        <v>A</v>
      </c>
      <c r="N30" s="413" t="str">
        <f>BIND3!BA29</f>
        <v>Anak 25 sangat baik  dalam menggali pengetahuan baru yang terdapat pada teks nonfiksi., dan  sangat baik  dalam menggali isi dan amanat puisi yang disajikan secara lisan dan tulis dengan tujuan untuk kesenangan.</v>
      </c>
      <c r="O30" s="414">
        <f>IFERROR('MTK3'!BC29,"")</f>
        <v>97</v>
      </c>
      <c r="P30" s="414" t="str">
        <f>IFERROR('MTK3'!BD29,"")</f>
        <v>A</v>
      </c>
      <c r="Q30" s="413" t="str">
        <f>'MTK3'!BI29</f>
        <v>Anak 25 sangat baik  dalam menjelaskan dan melakukan penaksiran dari jumlah, selisih, hasil kali, dan hasil bagi dua bilangan cacah maupun pecahan dan desimal, dan  baik  dalam menjelaskan berbagai bentuk pecahan (biasa, campuran, desimal, dan persen) dan hubungan di antaranya</v>
      </c>
      <c r="R30" s="414">
        <f>IFERROR('IPA3'!AM29,"")</f>
        <v>99</v>
      </c>
      <c r="S30" s="414" t="str">
        <f>IFERROR('IPA3'!AN29,"")</f>
        <v>A</v>
      </c>
      <c r="T30" s="413" t="str">
        <f>'IPA3'!AS29</f>
        <v>Anak 25 sangat baik  dalam membandingkan siklus hidup beberapa jenis makhluk hidup serta mengaitkan dengan upaya pelestariannya.</v>
      </c>
      <c r="U30" s="414">
        <f>IFERROR('IPS3'!AN29,"")</f>
        <v>99</v>
      </c>
      <c r="V30" s="414" t="str">
        <f>IFERROR('IPS3'!AO29,"")</f>
        <v>A</v>
      </c>
      <c r="W30" s="413" t="str">
        <f>'IPS3'!AT29</f>
        <v>Anak 25 sangat baik  dalam mengidentifikasi karakteristik ruang dan pemanfaatan sumberdaya alam untuk kesejahteraan masyarakat dari tingkatkota/kabupaten sampai tingkat provinsi.</v>
      </c>
      <c r="X30" s="414">
        <f>IFERROR(SBDP3!AN29,"")</f>
        <v>99</v>
      </c>
      <c r="Y30" s="414" t="str">
        <f>IFERROR(SBDP3!AO29,"")</f>
        <v>A</v>
      </c>
      <c r="Z30" s="413" t="str">
        <f>SBDP3!AT29</f>
        <v>Anak 25 sangat baik  dalam mengetahui gambar dan bentuk tiga dimensi.</v>
      </c>
      <c r="AA30" s="414">
        <f>IFERROR(PJOK3!AV29,"")</f>
        <v>95</v>
      </c>
      <c r="AB30" s="414" t="str">
        <f>IFERROR(PJOK3!AW29,"")</f>
        <v>A</v>
      </c>
      <c r="AC30" s="413" t="str">
        <f>PJOK3!BB29</f>
        <v>Anak 25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0" s="414">
        <f>IFERROR('MLK1-3'!AT29,"")</f>
        <v>91</v>
      </c>
      <c r="AE30" s="414" t="str">
        <f>IFERROR('MLK1-3'!AU29,"")</f>
        <v>A</v>
      </c>
      <c r="AF30" s="415" t="str">
        <f>'MLK1-3'!AZ29</f>
        <v>Anak 25 sangat baik  dalam mengenal dan memahmi teks tembang dolanan, dan  baik  dalam mengenal dan memahami sandhangan aksara Jawa.</v>
      </c>
      <c r="AG30" s="414">
        <f>IFERROR('MLK2-3'!AP29,"")</f>
        <v>93</v>
      </c>
      <c r="AH30" s="414" t="str">
        <f>IFERROR('MLK2-3'!AQ29,"")</f>
        <v>A</v>
      </c>
      <c r="AI30" s="413" t="str">
        <f>'MLK2-3'!AV29</f>
        <v>Anak 25 sangat baik  dalam mengenal dan mengidentifikasi benda-benda di dapur dan nama-nama bunga, dan  baik  dalam memahami penggunaan kalimat yang menunjukkan letak suatu tempat</v>
      </c>
      <c r="AJ30" s="414">
        <f>IFERROR('MLK3-3'!AP29,"")</f>
        <v>89</v>
      </c>
      <c r="AK30" s="414" t="str">
        <f>IFERROR('MLK3-3'!AQ29,"")</f>
        <v>B</v>
      </c>
      <c r="AL30" s="415" t="str">
        <f>'MLK3-3'!AV29</f>
        <v>Anak 25 sangat baik  dalam mengenal dan memahami penggunaan microsoft  word., dan  baik  dalam memahami pembuatan dokumen di microsoft  word</v>
      </c>
      <c r="AM30" s="414" t="str">
        <f>IFERROR('PAI4'!CI30,"")</f>
        <v/>
      </c>
      <c r="AN30" s="414" t="str">
        <f>IFERROR('PAI4'!CJ30,"")</f>
        <v/>
      </c>
      <c r="AO30" s="415" t="str">
        <f>'PAI4'!CO30</f>
        <v xml:space="preserve"> </v>
      </c>
      <c r="AP30" s="414" t="str">
        <f>IFERROR('PKN4'!AD29,"")</f>
        <v/>
      </c>
      <c r="AQ30" s="414" t="str">
        <f>IFERROR('PKN4'!AE29,"")</f>
        <v/>
      </c>
      <c r="AR30" s="413" t="str">
        <f>'PKN4'!AJ29</f>
        <v xml:space="preserve"> </v>
      </c>
      <c r="AS30" s="414" t="str">
        <f>IFERROR(BIND4!AP29,"")</f>
        <v/>
      </c>
      <c r="AT30" s="414" t="str">
        <f>IFERROR(BIND4!AQ29,"")</f>
        <v/>
      </c>
      <c r="AU30" s="413" t="str">
        <f>BIND4!AV29</f>
        <v xml:space="preserve"> </v>
      </c>
      <c r="AV30" s="414" t="str">
        <f>IFERROR('MTK4'!AP29,"")</f>
        <v/>
      </c>
      <c r="AW30" s="414" t="str">
        <f>IFERROR('MTK4'!AQ29,"")</f>
        <v/>
      </c>
      <c r="AX30" s="413" t="str">
        <f>'MTK4'!AV29</f>
        <v xml:space="preserve"> </v>
      </c>
      <c r="AY30" s="414" t="str">
        <f>IFERROR('IPA4'!AJ29,"")</f>
        <v/>
      </c>
      <c r="AZ30" s="414" t="str">
        <f>IFERROR('IPA4'!AK29,"")</f>
        <v/>
      </c>
      <c r="BA30" s="413" t="str">
        <f>'IPA4'!AP29</f>
        <v xml:space="preserve"> </v>
      </c>
      <c r="BB30" s="414" t="str">
        <f>IFERROR('IPS4'!AG29,"")</f>
        <v/>
      </c>
      <c r="BC30" s="414" t="str">
        <f>IFERROR('IPS4'!AH29,"")</f>
        <v/>
      </c>
      <c r="BD30" s="413" t="str">
        <f>'IPS4'!AM29</f>
        <v xml:space="preserve"> </v>
      </c>
      <c r="BE30" s="414" t="str">
        <f>IFERROR(SBDP4!AG29,"")</f>
        <v/>
      </c>
      <c r="BF30" s="414" t="str">
        <f>IFERROR(SBDP4!AH29,"")</f>
        <v/>
      </c>
      <c r="BG30" s="413" t="str">
        <f>SBDP4!AM29</f>
        <v xml:space="preserve"> </v>
      </c>
      <c r="BH30" s="414" t="str">
        <f>IFERROR(PJOK4!AJ29,"")</f>
        <v/>
      </c>
      <c r="BI30" s="414" t="str">
        <f>IFERROR(PJOK4!AK29,"")</f>
        <v/>
      </c>
      <c r="BJ30" s="415" t="str">
        <f>PJOK4!AP29</f>
        <v xml:space="preserve"> </v>
      </c>
      <c r="BK30" s="414" t="str">
        <f>IFERROR('MLK1-4'!AG29,"")</f>
        <v/>
      </c>
      <c r="BL30" s="414" t="str">
        <f>IFERROR('MLK1-4'!AH29,"")</f>
        <v/>
      </c>
      <c r="BM30" s="413" t="str">
        <f>'MLK1-4'!AM29</f>
        <v xml:space="preserve"> </v>
      </c>
      <c r="BN30" s="414" t="str">
        <f>IFERROR('MLK2-4'!AG29,"")</f>
        <v/>
      </c>
      <c r="BO30" s="414" t="str">
        <f>IFERROR('MLK2-4'!AH29,"")</f>
        <v/>
      </c>
      <c r="BP30" s="413" t="str">
        <f>'MLK2-4'!AM29</f>
        <v xml:space="preserve"> </v>
      </c>
      <c r="BQ30" s="414" t="str">
        <f>IFERROR('MLK3-4'!AG29,"")</f>
        <v/>
      </c>
      <c r="BR30" s="414" t="str">
        <f>IFERROR('MLK3-4'!AH29,"")</f>
        <v/>
      </c>
      <c r="BS30" s="413" t="str">
        <f>'MLK3-4'!AM29</f>
        <v xml:space="preserve"> </v>
      </c>
      <c r="BT30" s="414">
        <f t="shared" si="0"/>
        <v>47.68181818181818</v>
      </c>
      <c r="BU30" s="444">
        <f t="shared" si="1"/>
        <v>1049</v>
      </c>
      <c r="BV30" s="416">
        <f t="shared" si="2"/>
        <v>1049</v>
      </c>
      <c r="BW30" s="417">
        <f t="shared" si="3"/>
        <v>36</v>
      </c>
    </row>
    <row r="31" spans="1:75" ht="20.25" customHeight="1">
      <c r="A31" s="113">
        <v>26</v>
      </c>
      <c r="B31" s="113">
        <f>SISWA!B31</f>
        <v>0</v>
      </c>
      <c r="C31" s="410" t="str">
        <f>SISWA!C31</f>
        <v>Anak 26</v>
      </c>
      <c r="D31" s="411" t="str">
        <f>SPIRIT!Q30</f>
        <v xml:space="preserve">Ananda Anak 26 baik dalam  ketaatan beribadah,  berperilaku syukur,  berdoa sebelum dan sesudah melakukan kegiatan,  toleransi dalam beribadah, </v>
      </c>
      <c r="E31" s="411" t="str">
        <f>SOSIAL!W30</f>
        <v xml:space="preserve">Ananda Anak 26 baik dalam sikap jujur, disiplin, tanggung jawab, santun, peduli, percaya diri, kerja sama, </v>
      </c>
      <c r="F31" s="412">
        <f>IFERROR('PAI3'!DU31,"")</f>
        <v>99</v>
      </c>
      <c r="G31" s="412" t="str">
        <f>IFERROR('PAI3'!DV31,"")</f>
        <v>A</v>
      </c>
      <c r="H31" s="413" t="str">
        <f>'PAI3'!EA31</f>
        <v>Anak 26 sangat baik  dalam memahami Q.S. al- Falaq dan Q.S. al- Fil dengan baik dan benar</v>
      </c>
      <c r="I31" s="412">
        <f>IFERROR('PKN3'!AI30,"")</f>
        <v>95</v>
      </c>
      <c r="J31" s="412" t="str">
        <f>IFERROR('PKN3'!AJ30,"")</f>
        <v>A</v>
      </c>
      <c r="K31" s="411" t="str">
        <f>'PKN3'!AO30</f>
        <v>Anak 26 sangat baik  dalam mengidentifikasi pelaksanaan kewajiban dan hak sebagai warga masyarakat dalam kehidupan sehari-hari., dan  sangat baik  dalam menjelaskan manfaat keberagaman karakteristik individu dalam kehidupan sehari-hari.</v>
      </c>
      <c r="L31" s="414">
        <f>IFERROR(BIND3!AU30,"")</f>
        <v>96</v>
      </c>
      <c r="M31" s="414" t="str">
        <f>IFERROR(BIND3!AV30,"")</f>
        <v>A</v>
      </c>
      <c r="N31" s="413" t="str">
        <f>BIND3!BA30</f>
        <v>Anak 26 sangat baik  dalam menggali pengetahuan baru yang terdapat pada teks nonfiksi., dan  sangat baik  dalam menggali informasi dari seorang tokoh melalui wawancara menggunakan daftar pertanyaan.</v>
      </c>
      <c r="O31" s="414">
        <f>IFERROR('MTK3'!BC30,"")</f>
        <v>96</v>
      </c>
      <c r="P31" s="414" t="str">
        <f>IFERROR('MTK3'!BD30,"")</f>
        <v>A</v>
      </c>
      <c r="Q31" s="413" t="str">
        <f>'MTK3'!BI30</f>
        <v>Anak 26 sangat baik  dalam menjelaskan dan melakukan penaksiran dari jumlah, selisih, hasil kali, dan hasil bagi dua bilangan cacah maupun pecahan dan desimal, dan  baik  dalam menjelaskan berbagai bentuk pecahan (biasa, campuran, desimal, dan persen) dan hubungan di antaranya</v>
      </c>
      <c r="R31" s="414">
        <f>IFERROR('IPA3'!AM30,"")</f>
        <v>99</v>
      </c>
      <c r="S31" s="414" t="str">
        <f>IFERROR('IPA3'!AN30,"")</f>
        <v>A</v>
      </c>
      <c r="T31" s="413" t="str">
        <f>'IPA3'!AS30</f>
        <v>Anak 26 sangat baik  dalam membandingkan siklus hidup beberapa jenis makhluk hidup serta mengaitkan dengan upaya pelestariannya.</v>
      </c>
      <c r="U31" s="414">
        <f>IFERROR('IPS3'!AN30,"")</f>
        <v>99</v>
      </c>
      <c r="V31" s="414" t="str">
        <f>IFERROR('IPS3'!AO30,"")</f>
        <v>A</v>
      </c>
      <c r="W31" s="413" t="str">
        <f>'IPS3'!AT30</f>
        <v>Anak 26 sangat baik  dalam mengidentifikasi karakteristik ruang dan pemanfaatan sumberdaya alam untuk kesejahteraan masyarakat dari tingkatkota/kabupaten sampai tingkat provinsi.</v>
      </c>
      <c r="X31" s="414">
        <f>IFERROR(SBDP3!AN30,"")</f>
        <v>99</v>
      </c>
      <c r="Y31" s="414" t="str">
        <f>IFERROR(SBDP3!AO30,"")</f>
        <v>A</v>
      </c>
      <c r="Z31" s="413" t="str">
        <f>SBDP3!AT30</f>
        <v>Anak 26 sangat baik  dalam mengetahui gambar dan bentuk tiga dimensi.</v>
      </c>
      <c r="AA31" s="414">
        <f>IFERROR(PJOK3!AV30,"")</f>
        <v>94</v>
      </c>
      <c r="AB31" s="414" t="str">
        <f>IFERROR(PJOK3!AW30,"")</f>
        <v>A</v>
      </c>
      <c r="AC31" s="413" t="str">
        <f>PJOK3!BB30</f>
        <v>Anak 26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1" s="414">
        <f>IFERROR('MLK1-3'!AT30,"")</f>
        <v>89</v>
      </c>
      <c r="AE31" s="414" t="str">
        <f>IFERROR('MLK1-3'!AU30,"")</f>
        <v>B</v>
      </c>
      <c r="AF31" s="415" t="str">
        <f>'MLK1-3'!AZ30</f>
        <v>Anak 26 sangat baik  dalam mengenal dan memahmi teks tembang dolanan, dan  baik  dalam mengenal dan memahami sandhangan aksara Jawa.</v>
      </c>
      <c r="AG31" s="414">
        <f>IFERROR('MLK2-3'!AP30,"")</f>
        <v>92</v>
      </c>
      <c r="AH31" s="414" t="str">
        <f>IFERROR('MLK2-3'!AQ30,"")</f>
        <v>A</v>
      </c>
      <c r="AI31" s="413" t="str">
        <f>'MLK2-3'!AV30</f>
        <v>Anak 26 sangat baik  dalam mengenal dan mengidentifikasi benda-benda di dapur dan nama-nama bunga, dan  baik  dalam memahami penggunaan kalimat yang menunjukkan letak suatu tempat</v>
      </c>
      <c r="AJ31" s="414">
        <f>IFERROR('MLK3-3'!AP30,"")</f>
        <v>87</v>
      </c>
      <c r="AK31" s="414" t="str">
        <f>IFERROR('MLK3-3'!AQ30,"")</f>
        <v>B</v>
      </c>
      <c r="AL31" s="415" t="str">
        <f>'MLK3-3'!AV30</f>
        <v>Anak 26 baik  dalam mengenal dan memahami penggunaan microsoft  word.</v>
      </c>
      <c r="AM31" s="414" t="str">
        <f>IFERROR('PAI4'!CI31,"")</f>
        <v/>
      </c>
      <c r="AN31" s="414" t="str">
        <f>IFERROR('PAI4'!CJ31,"")</f>
        <v/>
      </c>
      <c r="AO31" s="415" t="str">
        <f>'PAI4'!CO31</f>
        <v xml:space="preserve"> </v>
      </c>
      <c r="AP31" s="414" t="str">
        <f>IFERROR('PKN4'!AD30,"")</f>
        <v/>
      </c>
      <c r="AQ31" s="414" t="str">
        <f>IFERROR('PKN4'!AE30,"")</f>
        <v/>
      </c>
      <c r="AR31" s="413" t="str">
        <f>'PKN4'!AJ30</f>
        <v xml:space="preserve"> </v>
      </c>
      <c r="AS31" s="414" t="str">
        <f>IFERROR(BIND4!AP30,"")</f>
        <v/>
      </c>
      <c r="AT31" s="414" t="str">
        <f>IFERROR(BIND4!AQ30,"")</f>
        <v/>
      </c>
      <c r="AU31" s="413" t="str">
        <f>BIND4!AV30</f>
        <v xml:space="preserve"> </v>
      </c>
      <c r="AV31" s="414" t="str">
        <f>IFERROR('MTK4'!AP30,"")</f>
        <v/>
      </c>
      <c r="AW31" s="414" t="str">
        <f>IFERROR('MTK4'!AQ30,"")</f>
        <v/>
      </c>
      <c r="AX31" s="413" t="str">
        <f>'MTK4'!AV30</f>
        <v xml:space="preserve"> </v>
      </c>
      <c r="AY31" s="414" t="str">
        <f>IFERROR('IPA4'!AJ30,"")</f>
        <v/>
      </c>
      <c r="AZ31" s="414" t="str">
        <f>IFERROR('IPA4'!AK30,"")</f>
        <v/>
      </c>
      <c r="BA31" s="413" t="str">
        <f>'IPA4'!AP30</f>
        <v xml:space="preserve"> </v>
      </c>
      <c r="BB31" s="414" t="str">
        <f>IFERROR('IPS4'!AG30,"")</f>
        <v/>
      </c>
      <c r="BC31" s="414" t="str">
        <f>IFERROR('IPS4'!AH30,"")</f>
        <v/>
      </c>
      <c r="BD31" s="413" t="str">
        <f>'IPS4'!AM30</f>
        <v xml:space="preserve"> </v>
      </c>
      <c r="BE31" s="414" t="str">
        <f>IFERROR(SBDP4!AG30,"")</f>
        <v/>
      </c>
      <c r="BF31" s="414" t="str">
        <f>IFERROR(SBDP4!AH30,"")</f>
        <v/>
      </c>
      <c r="BG31" s="413" t="str">
        <f>SBDP4!AM30</f>
        <v xml:space="preserve"> </v>
      </c>
      <c r="BH31" s="414" t="str">
        <f>IFERROR(PJOK4!AJ30,"")</f>
        <v/>
      </c>
      <c r="BI31" s="414" t="str">
        <f>IFERROR(PJOK4!AK30,"")</f>
        <v/>
      </c>
      <c r="BJ31" s="415" t="str">
        <f>PJOK4!AP30</f>
        <v xml:space="preserve"> </v>
      </c>
      <c r="BK31" s="414" t="str">
        <f>IFERROR('MLK1-4'!AG30,"")</f>
        <v/>
      </c>
      <c r="BL31" s="414" t="str">
        <f>IFERROR('MLK1-4'!AH30,"")</f>
        <v/>
      </c>
      <c r="BM31" s="413" t="str">
        <f>'MLK1-4'!AM30</f>
        <v xml:space="preserve"> </v>
      </c>
      <c r="BN31" s="414" t="str">
        <f>IFERROR('MLK2-4'!AG30,"")</f>
        <v/>
      </c>
      <c r="BO31" s="414" t="str">
        <f>IFERROR('MLK2-4'!AH30,"")</f>
        <v/>
      </c>
      <c r="BP31" s="413" t="str">
        <f>'MLK2-4'!AM30</f>
        <v xml:space="preserve"> </v>
      </c>
      <c r="BQ31" s="414" t="str">
        <f>IFERROR('MLK3-4'!AG30,"")</f>
        <v/>
      </c>
      <c r="BR31" s="414" t="str">
        <f>IFERROR('MLK3-4'!AH30,"")</f>
        <v/>
      </c>
      <c r="BS31" s="413" t="str">
        <f>'MLK3-4'!AM30</f>
        <v xml:space="preserve"> </v>
      </c>
      <c r="BT31" s="414">
        <f t="shared" si="0"/>
        <v>47.5</v>
      </c>
      <c r="BU31" s="444">
        <f t="shared" si="1"/>
        <v>1045</v>
      </c>
      <c r="BV31" s="416">
        <f t="shared" si="2"/>
        <v>1045</v>
      </c>
      <c r="BW31" s="417">
        <f t="shared" si="3"/>
        <v>44</v>
      </c>
    </row>
    <row r="32" spans="1:75" ht="20.25" customHeight="1">
      <c r="A32" s="113">
        <v>27</v>
      </c>
      <c r="B32" s="113">
        <f>SISWA!B32</f>
        <v>0</v>
      </c>
      <c r="C32" s="410" t="str">
        <f>SISWA!C32</f>
        <v>Anak 27</v>
      </c>
      <c r="D32" s="411" t="str">
        <f>SPIRIT!Q31</f>
        <v xml:space="preserve">Ananda Anak 27 baik dalam  ketaatan beribadah,  berperilaku syukur,  berdoa sebelum dan sesudah melakukan kegiatan,  toleransi dalam beribadah, </v>
      </c>
      <c r="E32" s="411" t="str">
        <f>SOSIAL!W31</f>
        <v xml:space="preserve">Ananda Anak 27 baik dalam sikap jujur, disiplin, tanggung jawab, santun, peduli, percaya diri, kerja sama, </v>
      </c>
      <c r="F32" s="412">
        <f>IFERROR('PAI3'!DU32,"")</f>
        <v>99</v>
      </c>
      <c r="G32" s="412" t="str">
        <f>IFERROR('PAI3'!DV32,"")</f>
        <v>A</v>
      </c>
      <c r="H32" s="413" t="str">
        <f>'PAI3'!EA32</f>
        <v>Anak 27 sangat baik  dalam memahami Q.S. al- Falaq dan Q.S. al- Fil dengan baik dan benar</v>
      </c>
      <c r="I32" s="412">
        <f>IFERROR('PKN3'!AI31,"")</f>
        <v>95</v>
      </c>
      <c r="J32" s="412" t="str">
        <f>IFERROR('PKN3'!AJ31,"")</f>
        <v>A</v>
      </c>
      <c r="K32" s="411" t="str">
        <f>'PKN3'!AO31</f>
        <v>Anak 27 sangat baik  dalam mengidentifikasi pelaksanaan kewajiban dan hak sebagai warga masyarakat dalam kehidupan sehari-hari., dan  sangat baik  dalam menjelaskan manfaat keberagaman karakteristik individu dalam kehidupan sehari-hari.</v>
      </c>
      <c r="L32" s="414">
        <f>IFERROR(BIND3!AU31,"")</f>
        <v>96</v>
      </c>
      <c r="M32" s="414" t="str">
        <f>IFERROR(BIND3!AV31,"")</f>
        <v>A</v>
      </c>
      <c r="N32" s="413" t="str">
        <f>BIND3!BA31</f>
        <v>Anak 27 sangat baik  dalam menggali pengetahuan baru yang terdapat pada teks nonfiksi., dan  sangat baik  dalam menggali informasi dari seorang tokoh melalui wawancara menggunakan daftar pertanyaan.</v>
      </c>
      <c r="O32" s="414">
        <f>IFERROR('MTK3'!BC31,"")</f>
        <v>96</v>
      </c>
      <c r="P32" s="414" t="str">
        <f>IFERROR('MTK3'!BD31,"")</f>
        <v>A</v>
      </c>
      <c r="Q32" s="413" t="str">
        <f>'MTK3'!BI31</f>
        <v>Anak 27 sangat baik  dalam menjelaskan dan melakukan penaksiran dari jumlah, selisih, hasil kali, dan hasil bagi dua bilangan cacah maupun pecahan dan desimal, dan  baik  dalam menjelaskan berbagai bentuk pecahan (biasa, campuran, desimal, dan persen) dan hubungan di antaranya</v>
      </c>
      <c r="R32" s="414">
        <f>IFERROR('IPA3'!AM31,"")</f>
        <v>99</v>
      </c>
      <c r="S32" s="414" t="str">
        <f>IFERROR('IPA3'!AN31,"")</f>
        <v>A</v>
      </c>
      <c r="T32" s="413" t="str">
        <f>'IPA3'!AS31</f>
        <v>Anak 27 sangat baik  dalam membandingkan siklus hidup beberapa jenis makhluk hidup serta mengaitkan dengan upaya pelestariannya.</v>
      </c>
      <c r="U32" s="414">
        <f>IFERROR('IPS3'!AN31,"")</f>
        <v>99</v>
      </c>
      <c r="V32" s="414" t="str">
        <f>IFERROR('IPS3'!AO31,"")</f>
        <v>A</v>
      </c>
      <c r="W32" s="413" t="str">
        <f>'IPS3'!AT31</f>
        <v>Anak 27 sangat baik  dalam mengidentifikasi karakteristik ruang dan pemanfaatan sumberdaya alam untuk kesejahteraan masyarakat dari tingkatkota/kabupaten sampai tingkat provinsi.</v>
      </c>
      <c r="X32" s="414">
        <f>IFERROR(SBDP3!AN31,"")</f>
        <v>99</v>
      </c>
      <c r="Y32" s="414" t="str">
        <f>IFERROR(SBDP3!AO31,"")</f>
        <v>A</v>
      </c>
      <c r="Z32" s="413" t="str">
        <f>SBDP3!AT31</f>
        <v>Anak 27 sangat baik  dalam mengetahui gambar dan bentuk tiga dimensi.</v>
      </c>
      <c r="AA32" s="414">
        <f>IFERROR(PJOK3!AV31,"")</f>
        <v>94</v>
      </c>
      <c r="AB32" s="414" t="str">
        <f>IFERROR(PJOK3!AW31,"")</f>
        <v>A</v>
      </c>
      <c r="AC32" s="413" t="str">
        <f>PJOK3!BB31</f>
        <v>Anak 27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2" s="414">
        <f>IFERROR('MLK1-3'!AT31,"")</f>
        <v>89</v>
      </c>
      <c r="AE32" s="414" t="str">
        <f>IFERROR('MLK1-3'!AU31,"")</f>
        <v>B</v>
      </c>
      <c r="AF32" s="415" t="str">
        <f>'MLK1-3'!AZ31</f>
        <v>Anak 27 sangat baik  dalam mengenal dan memahmi teks tembang dolanan, dan  baik  dalam mengenal dan memahami sandhangan aksara Jawa.</v>
      </c>
      <c r="AG32" s="414">
        <f>IFERROR('MLK2-3'!AP31,"")</f>
        <v>92</v>
      </c>
      <c r="AH32" s="414" t="str">
        <f>IFERROR('MLK2-3'!AQ31,"")</f>
        <v>A</v>
      </c>
      <c r="AI32" s="413" t="str">
        <f>'MLK2-3'!AV31</f>
        <v>Anak 27 sangat baik  dalam mengenal dan mengidentifikasi benda-benda di dapur dan nama-nama bunga, dan  baik  dalam memahami penggunaan kalimat yang menunjukkan letak suatu tempat</v>
      </c>
      <c r="AJ32" s="414">
        <f>IFERROR('MLK3-3'!AP31,"")</f>
        <v>87</v>
      </c>
      <c r="AK32" s="414" t="str">
        <f>IFERROR('MLK3-3'!AQ31,"")</f>
        <v>B</v>
      </c>
      <c r="AL32" s="415" t="str">
        <f>'MLK3-3'!AV31</f>
        <v>Anak 27 baik  dalam mengenal dan memahami penggunaan microsoft  word.</v>
      </c>
      <c r="AM32" s="414" t="str">
        <f>IFERROR('PAI4'!CI32,"")</f>
        <v/>
      </c>
      <c r="AN32" s="414" t="str">
        <f>IFERROR('PAI4'!CJ32,"")</f>
        <v/>
      </c>
      <c r="AO32" s="415" t="str">
        <f>'PAI4'!CO32</f>
        <v xml:space="preserve"> </v>
      </c>
      <c r="AP32" s="414" t="str">
        <f>IFERROR('PKN4'!AD31,"")</f>
        <v/>
      </c>
      <c r="AQ32" s="414" t="str">
        <f>IFERROR('PKN4'!AE31,"")</f>
        <v/>
      </c>
      <c r="AR32" s="413" t="str">
        <f>'PKN4'!AJ31</f>
        <v xml:space="preserve"> </v>
      </c>
      <c r="AS32" s="414" t="str">
        <f>IFERROR(BIND4!AP31,"")</f>
        <v/>
      </c>
      <c r="AT32" s="414" t="str">
        <f>IFERROR(BIND4!AQ31,"")</f>
        <v/>
      </c>
      <c r="AU32" s="413" t="str">
        <f>BIND4!AV31</f>
        <v xml:space="preserve"> </v>
      </c>
      <c r="AV32" s="414" t="str">
        <f>IFERROR('MTK4'!AP31,"")</f>
        <v/>
      </c>
      <c r="AW32" s="414" t="str">
        <f>IFERROR('MTK4'!AQ31,"")</f>
        <v/>
      </c>
      <c r="AX32" s="413" t="str">
        <f>'MTK4'!AV31</f>
        <v xml:space="preserve"> </v>
      </c>
      <c r="AY32" s="414" t="str">
        <f>IFERROR('IPA4'!AJ31,"")</f>
        <v/>
      </c>
      <c r="AZ32" s="414" t="str">
        <f>IFERROR('IPA4'!AK31,"")</f>
        <v/>
      </c>
      <c r="BA32" s="413" t="str">
        <f>'IPA4'!AP31</f>
        <v xml:space="preserve"> </v>
      </c>
      <c r="BB32" s="414" t="str">
        <f>IFERROR('IPS4'!AG31,"")</f>
        <v/>
      </c>
      <c r="BC32" s="414" t="str">
        <f>IFERROR('IPS4'!AH31,"")</f>
        <v/>
      </c>
      <c r="BD32" s="413" t="str">
        <f>'IPS4'!AM31</f>
        <v xml:space="preserve"> </v>
      </c>
      <c r="BE32" s="414" t="str">
        <f>IFERROR(SBDP4!AG31,"")</f>
        <v/>
      </c>
      <c r="BF32" s="414" t="str">
        <f>IFERROR(SBDP4!AH31,"")</f>
        <v/>
      </c>
      <c r="BG32" s="413" t="str">
        <f>SBDP4!AM31</f>
        <v xml:space="preserve"> </v>
      </c>
      <c r="BH32" s="414" t="str">
        <f>IFERROR(PJOK4!AJ31,"")</f>
        <v/>
      </c>
      <c r="BI32" s="414" t="str">
        <f>IFERROR(PJOK4!AK31,"")</f>
        <v/>
      </c>
      <c r="BJ32" s="415" t="str">
        <f>PJOK4!AP31</f>
        <v xml:space="preserve"> </v>
      </c>
      <c r="BK32" s="414" t="str">
        <f>IFERROR('MLK1-4'!AG31,"")</f>
        <v/>
      </c>
      <c r="BL32" s="414" t="str">
        <f>IFERROR('MLK1-4'!AH31,"")</f>
        <v/>
      </c>
      <c r="BM32" s="413" t="str">
        <f>'MLK1-4'!AM31</f>
        <v xml:space="preserve"> </v>
      </c>
      <c r="BN32" s="414" t="str">
        <f>IFERROR('MLK2-4'!AG31,"")</f>
        <v/>
      </c>
      <c r="BO32" s="414" t="str">
        <f>IFERROR('MLK2-4'!AH31,"")</f>
        <v/>
      </c>
      <c r="BP32" s="413" t="str">
        <f>'MLK2-4'!AM31</f>
        <v xml:space="preserve"> </v>
      </c>
      <c r="BQ32" s="414" t="str">
        <f>IFERROR('MLK3-4'!AG31,"")</f>
        <v/>
      </c>
      <c r="BR32" s="414" t="str">
        <f>IFERROR('MLK3-4'!AH31,"")</f>
        <v/>
      </c>
      <c r="BS32" s="413" t="str">
        <f>'MLK3-4'!AM31</f>
        <v xml:space="preserve"> </v>
      </c>
      <c r="BT32" s="414">
        <f t="shared" si="0"/>
        <v>47.5</v>
      </c>
      <c r="BU32" s="444">
        <f t="shared" si="1"/>
        <v>1045</v>
      </c>
      <c r="BV32" s="416">
        <f t="shared" si="2"/>
        <v>1045</v>
      </c>
      <c r="BW32" s="417">
        <f t="shared" si="3"/>
        <v>44</v>
      </c>
    </row>
    <row r="33" spans="1:75" ht="20.25" customHeight="1">
      <c r="A33" s="113">
        <v>28</v>
      </c>
      <c r="B33" s="113">
        <f>SISWA!B33</f>
        <v>0</v>
      </c>
      <c r="C33" s="410" t="str">
        <f>SISWA!C33</f>
        <v>Anak 28</v>
      </c>
      <c r="D33" s="411" t="str">
        <f>SPIRIT!Q32</f>
        <v xml:space="preserve">Ananda Anak 28 baik dalam  ketaatan beribadah,  berperilaku syukur,  berdoa sebelum dan sesudah melakukan kegiatan,  toleransi dalam beribadah, </v>
      </c>
      <c r="E33" s="411" t="str">
        <f>SOSIAL!W32</f>
        <v xml:space="preserve">Ananda Anak 28 baik dalam sikap jujur, disiplin, tanggung jawab, santun, peduli, percaya diri, kerja sama, </v>
      </c>
      <c r="F33" s="412">
        <f>IFERROR('PAI3'!DU33,"")</f>
        <v>99</v>
      </c>
      <c r="G33" s="412" t="str">
        <f>IFERROR('PAI3'!DV33,"")</f>
        <v>A</v>
      </c>
      <c r="H33" s="413" t="str">
        <f>'PAI3'!EA33</f>
        <v>Anak 28 sangat baik  dalam memahami Q.S. al- Falaq dan Q.S. al- Fil dengan baik dan benar</v>
      </c>
      <c r="I33" s="412">
        <f>IFERROR('PKN3'!AI32,"")</f>
        <v>96</v>
      </c>
      <c r="J33" s="412" t="str">
        <f>IFERROR('PKN3'!AJ32,"")</f>
        <v>A</v>
      </c>
      <c r="K33" s="411" t="str">
        <f>'PKN3'!AO32</f>
        <v>Anak 28 sangat baik  dalam mengidentifikasi pelaksanaan kewajiban dan hak sebagai warga masyarakat dalam kehidupan sehari-hari., dan  sangat baik  dalam menjelaskan manfaat keberagaman karakteristik individu dalam kehidupan sehari-hari.</v>
      </c>
      <c r="L33" s="414">
        <f>IFERROR(BIND3!AU32,"")</f>
        <v>97</v>
      </c>
      <c r="M33" s="414" t="str">
        <f>IFERROR(BIND3!AV32,"")</f>
        <v>A</v>
      </c>
      <c r="N33" s="413" t="str">
        <f>BIND3!BA32</f>
        <v>Anak 28 sangat baik  dalam menggali pengetahuan baru yang terdapat pada teks nonfiksi., dan  sangat baik  dalam menggali informasi dari seorang tokoh melalui wawancara menggunakan daftar pertanyaan.</v>
      </c>
      <c r="O33" s="414">
        <f>IFERROR('MTK3'!BC32,"")</f>
        <v>97</v>
      </c>
      <c r="P33" s="414" t="str">
        <f>IFERROR('MTK3'!BD32,"")</f>
        <v>A</v>
      </c>
      <c r="Q33" s="413" t="str">
        <f>'MTK3'!BI32</f>
        <v>Anak 28 sangat baik  dalam menjelaskan dan melakukan penaksiran dari jumlah, selisih, hasil kali, dan hasil bagi dua bilangan cacah maupun pecahan dan desimal, dan  baik  dalam menjelaskan berbagai bentuk pecahan (biasa, campuran, desimal, dan persen) dan hubungan di antaranya</v>
      </c>
      <c r="R33" s="414">
        <f>IFERROR('IPA3'!AM32,"")</f>
        <v>99</v>
      </c>
      <c r="S33" s="414" t="str">
        <f>IFERROR('IPA3'!AN32,"")</f>
        <v>A</v>
      </c>
      <c r="T33" s="413" t="str">
        <f>'IPA3'!AS32</f>
        <v>Anak 28 sangat baik  dalam membandingkan siklus hidup beberapa jenis makhluk hidup serta mengaitkan dengan upaya pelestariannya.</v>
      </c>
      <c r="U33" s="414">
        <f>IFERROR('IPS3'!AN32,"")</f>
        <v>99</v>
      </c>
      <c r="V33" s="414" t="str">
        <f>IFERROR('IPS3'!AO32,"")</f>
        <v>A</v>
      </c>
      <c r="W33" s="413" t="str">
        <f>'IPS3'!AT32</f>
        <v>Anak 28 sangat baik  dalam mengidentifikasi karakteristik ruang dan pemanfaatan sumberdaya alam untuk kesejahteraan masyarakat dari tingkatkota/kabupaten sampai tingkat provinsi.</v>
      </c>
      <c r="X33" s="414">
        <f>IFERROR(SBDP3!AN32,"")</f>
        <v>99</v>
      </c>
      <c r="Y33" s="414" t="str">
        <f>IFERROR(SBDP3!AO32,"")</f>
        <v>A</v>
      </c>
      <c r="Z33" s="413" t="str">
        <f>SBDP3!AT32</f>
        <v>Anak 28 sangat baik  dalam mengetahui gambar dan bentuk tiga dimensi.</v>
      </c>
      <c r="AA33" s="414">
        <f>IFERROR(PJOK3!AV32,"")</f>
        <v>95</v>
      </c>
      <c r="AB33" s="414" t="str">
        <f>IFERROR(PJOK3!AW32,"")</f>
        <v>A</v>
      </c>
      <c r="AC33" s="413" t="str">
        <f>PJOK3!BB32</f>
        <v>Anak 28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3" s="414">
        <f>IFERROR('MLK1-3'!AT32,"")</f>
        <v>91</v>
      </c>
      <c r="AE33" s="414" t="str">
        <f>IFERROR('MLK1-3'!AU32,"")</f>
        <v>A</v>
      </c>
      <c r="AF33" s="415" t="str">
        <f>'MLK1-3'!AZ32</f>
        <v>Anak 28 sangat baik  dalam mengenal, memahami, dan mengidentifikasi kata berimbuhan dalam teks sesuai kaidah, dan  baik  dalam mengenal dan memahami sandhangan aksara Jawa.</v>
      </c>
      <c r="AG33" s="414">
        <f>IFERROR('MLK2-3'!AP32,"")</f>
        <v>93</v>
      </c>
      <c r="AH33" s="414" t="str">
        <f>IFERROR('MLK2-3'!AQ32,"")</f>
        <v>A</v>
      </c>
      <c r="AI33" s="413" t="str">
        <f>'MLK2-3'!AV32</f>
        <v>Anak 28 sangat baik  dalam mengenal dan mengidentifikasi benda-benda di dapur dan nama-nama bunga, dan  baik  dalam memahami penggunaan kalimat yang menunjukkan letak suatu tempat</v>
      </c>
      <c r="AJ33" s="414">
        <f>IFERROR('MLK3-3'!AP32,"")</f>
        <v>89</v>
      </c>
      <c r="AK33" s="414" t="str">
        <f>IFERROR('MLK3-3'!AQ32,"")</f>
        <v>B</v>
      </c>
      <c r="AL33" s="415" t="str">
        <f>'MLK3-3'!AV32</f>
        <v>Anak 28 sangat baik  dalam memahami pembuatan dokumen di microsoft  word, dan  baik  dalam mengenal dan memahami penggunaan microsoft  word.</v>
      </c>
      <c r="AM33" s="414" t="str">
        <f>IFERROR('PAI4'!CI33,"")</f>
        <v/>
      </c>
      <c r="AN33" s="414" t="str">
        <f>IFERROR('PAI4'!CJ33,"")</f>
        <v/>
      </c>
      <c r="AO33" s="415" t="str">
        <f>'PAI4'!CO33</f>
        <v xml:space="preserve"> </v>
      </c>
      <c r="AP33" s="414" t="str">
        <f>IFERROR('PKN4'!AD32,"")</f>
        <v/>
      </c>
      <c r="AQ33" s="414" t="str">
        <f>IFERROR('PKN4'!AE32,"")</f>
        <v/>
      </c>
      <c r="AR33" s="413" t="str">
        <f>'PKN4'!AJ32</f>
        <v xml:space="preserve"> </v>
      </c>
      <c r="AS33" s="414" t="str">
        <f>IFERROR(BIND4!AP32,"")</f>
        <v/>
      </c>
      <c r="AT33" s="414" t="str">
        <f>IFERROR(BIND4!AQ32,"")</f>
        <v/>
      </c>
      <c r="AU33" s="413" t="str">
        <f>BIND4!AV32</f>
        <v xml:space="preserve"> </v>
      </c>
      <c r="AV33" s="414" t="str">
        <f>IFERROR('MTK4'!AP32,"")</f>
        <v/>
      </c>
      <c r="AW33" s="414" t="str">
        <f>IFERROR('MTK4'!AQ32,"")</f>
        <v/>
      </c>
      <c r="AX33" s="413" t="str">
        <f>'MTK4'!AV32</f>
        <v xml:space="preserve"> </v>
      </c>
      <c r="AY33" s="414" t="str">
        <f>IFERROR('IPA4'!AJ32,"")</f>
        <v/>
      </c>
      <c r="AZ33" s="414" t="str">
        <f>IFERROR('IPA4'!AK32,"")</f>
        <v/>
      </c>
      <c r="BA33" s="413" t="str">
        <f>'IPA4'!AP32</f>
        <v xml:space="preserve"> </v>
      </c>
      <c r="BB33" s="414" t="str">
        <f>IFERROR('IPS4'!AG32,"")</f>
        <v/>
      </c>
      <c r="BC33" s="414" t="str">
        <f>IFERROR('IPS4'!AH32,"")</f>
        <v/>
      </c>
      <c r="BD33" s="413" t="str">
        <f>'IPS4'!AM32</f>
        <v xml:space="preserve"> </v>
      </c>
      <c r="BE33" s="414" t="str">
        <f>IFERROR(SBDP4!AG32,"")</f>
        <v/>
      </c>
      <c r="BF33" s="414" t="str">
        <f>IFERROR(SBDP4!AH32,"")</f>
        <v/>
      </c>
      <c r="BG33" s="413" t="str">
        <f>SBDP4!AM32</f>
        <v xml:space="preserve"> </v>
      </c>
      <c r="BH33" s="414" t="str">
        <f>IFERROR(PJOK4!AJ32,"")</f>
        <v/>
      </c>
      <c r="BI33" s="414" t="str">
        <f>IFERROR(PJOK4!AK32,"")</f>
        <v/>
      </c>
      <c r="BJ33" s="415" t="str">
        <f>PJOK4!AP32</f>
        <v xml:space="preserve"> </v>
      </c>
      <c r="BK33" s="414" t="str">
        <f>IFERROR('MLK1-4'!AG32,"")</f>
        <v/>
      </c>
      <c r="BL33" s="414" t="str">
        <f>IFERROR('MLK1-4'!AH32,"")</f>
        <v/>
      </c>
      <c r="BM33" s="413" t="str">
        <f>'MLK1-4'!AM32</f>
        <v xml:space="preserve"> </v>
      </c>
      <c r="BN33" s="414" t="str">
        <f>IFERROR('MLK2-4'!AG32,"")</f>
        <v/>
      </c>
      <c r="BO33" s="414" t="str">
        <f>IFERROR('MLK2-4'!AH32,"")</f>
        <v/>
      </c>
      <c r="BP33" s="413" t="str">
        <f>'MLK2-4'!AM32</f>
        <v xml:space="preserve"> </v>
      </c>
      <c r="BQ33" s="414" t="str">
        <f>IFERROR('MLK3-4'!AG32,"")</f>
        <v/>
      </c>
      <c r="BR33" s="414" t="str">
        <f>IFERROR('MLK3-4'!AH32,"")</f>
        <v/>
      </c>
      <c r="BS33" s="413" t="str">
        <f>'MLK3-4'!AM32</f>
        <v xml:space="preserve"> </v>
      </c>
      <c r="BT33" s="414">
        <f t="shared" si="0"/>
        <v>47.909090909090907</v>
      </c>
      <c r="BU33" s="444">
        <f t="shared" si="1"/>
        <v>1054</v>
      </c>
      <c r="BV33" s="416">
        <f t="shared" si="2"/>
        <v>1054</v>
      </c>
      <c r="BW33" s="417">
        <f t="shared" si="3"/>
        <v>25</v>
      </c>
    </row>
    <row r="34" spans="1:75" ht="20.25" customHeight="1">
      <c r="A34" s="113">
        <v>29</v>
      </c>
      <c r="B34" s="113">
        <f>SISWA!B34</f>
        <v>0</v>
      </c>
      <c r="C34" s="410" t="str">
        <f>SISWA!C34</f>
        <v>Anak 29</v>
      </c>
      <c r="D34" s="411" t="str">
        <f>SPIRIT!Q33</f>
        <v xml:space="preserve">Ananda Anak 29 baik dalam  ketaatan beribadah,  berperilaku syukur,  berdoa sebelum dan sesudah melakukan kegiatan,  toleransi dalam beribadah, </v>
      </c>
      <c r="E34" s="411" t="str">
        <f>SOSIAL!W33</f>
        <v xml:space="preserve">Ananda Anak 29 baik dalam sikap jujur, disiplin, tanggung jawab, santun, peduli, percaya diri, kerja sama, </v>
      </c>
      <c r="F34" s="412">
        <f>IFERROR('PAI3'!DU34,"")</f>
        <v>99</v>
      </c>
      <c r="G34" s="412" t="str">
        <f>IFERROR('PAI3'!DV34,"")</f>
        <v>A</v>
      </c>
      <c r="H34" s="413" t="str">
        <f>'PAI3'!EA34</f>
        <v>Anak 29 sangat baik  dalam memahami Q.S. al- Falaq dan Q.S. al- Fil dengan baik dan benar</v>
      </c>
      <c r="I34" s="412">
        <f>IFERROR('PKN3'!AI33,"")</f>
        <v>95</v>
      </c>
      <c r="J34" s="412" t="str">
        <f>IFERROR('PKN3'!AJ33,"")</f>
        <v>A</v>
      </c>
      <c r="K34" s="411" t="str">
        <f>'PKN3'!AO33</f>
        <v>Anak 29 sangat baik  dalam mengidentifikasi pelaksanaan kewajiban dan hak sebagai warga masyarakat dalam kehidupan sehari-hari., dan  sangat baik  dalam mengidentifikasi berbagai bentuk keragaman suku bangsa, sosial, dan budaya di Indonesia yang terikat persatuan dan kesatuan.</v>
      </c>
      <c r="L34" s="414">
        <f>IFERROR(BIND3!AU33,"")</f>
        <v>96</v>
      </c>
      <c r="M34" s="414" t="str">
        <f>IFERROR(BIND3!AV33,"")</f>
        <v>A</v>
      </c>
      <c r="N34" s="413" t="str">
        <f>BIND3!BA33</f>
        <v>Anak 29 sangat baik  dalam menggali pengetahuan baru yang terdapat pada teks nonfiksi., dan  sangat baik  dalam menggali isi dan amanat puisi yang disajikan secara lisan dan tulis dengan tujuan untuk kesenangan.</v>
      </c>
      <c r="O34" s="414">
        <f>IFERROR('MTK3'!BC33,"")</f>
        <v>97</v>
      </c>
      <c r="P34" s="414" t="str">
        <f>IFERROR('MTK3'!BD33,"")</f>
        <v>A</v>
      </c>
      <c r="Q34" s="413" t="str">
        <f>'MTK3'!BI33</f>
        <v>Anak 29 sangat baik  dalam menjelaskan dan melakukan penaksiran dari jumlah, selisih, hasil kali, dan hasil bagi dua bilangan cacah maupun pecahan dan desimal, dan  baik  dalam menjelaskan berbagai bentuk pecahan (biasa, campuran, desimal, dan persen) dan hubungan di antaranya</v>
      </c>
      <c r="R34" s="414">
        <f>IFERROR('IPA3'!AM33,"")</f>
        <v>99</v>
      </c>
      <c r="S34" s="414" t="str">
        <f>IFERROR('IPA3'!AN33,"")</f>
        <v>A</v>
      </c>
      <c r="T34" s="413" t="str">
        <f>'IPA3'!AS33</f>
        <v>Anak 29 sangat baik  dalam membandingkan siklus hidup beberapa jenis makhluk hidup serta mengaitkan dengan upaya pelestariannya.</v>
      </c>
      <c r="U34" s="414">
        <f>IFERROR('IPS3'!AN33,"")</f>
        <v>99</v>
      </c>
      <c r="V34" s="414" t="str">
        <f>IFERROR('IPS3'!AO33,"")</f>
        <v>A</v>
      </c>
      <c r="W34" s="413" t="str">
        <f>'IPS3'!AT33</f>
        <v>Anak 29 sangat baik  dalam mengidentifikasi karakteristik ruang dan pemanfaatan sumberdaya alam untuk kesejahteraan masyarakat dari tingkatkota/kabupaten sampai tingkat provinsi.</v>
      </c>
      <c r="X34" s="414">
        <f>IFERROR(SBDP3!AN33,"")</f>
        <v>99</v>
      </c>
      <c r="Y34" s="414" t="str">
        <f>IFERROR(SBDP3!AO33,"")</f>
        <v>A</v>
      </c>
      <c r="Z34" s="413" t="str">
        <f>SBDP3!AT33</f>
        <v>Anak 29 sangat baik  dalam mengetahui gambar dan bentuk tiga dimensi.</v>
      </c>
      <c r="AA34" s="414">
        <f>IFERROR(PJOK3!AV33,"")</f>
        <v>94</v>
      </c>
      <c r="AB34" s="414" t="str">
        <f>IFERROR(PJOK3!AW33,"")</f>
        <v>A</v>
      </c>
      <c r="AC34" s="413" t="str">
        <f>PJOK3!BB33</f>
        <v>Anak 29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4" s="414">
        <f>IFERROR('MLK1-3'!AT33,"")</f>
        <v>90</v>
      </c>
      <c r="AE34" s="414" t="str">
        <f>IFERROR('MLK1-3'!AU33,"")</f>
        <v>B</v>
      </c>
      <c r="AF34" s="415" t="str">
        <f>'MLK1-3'!AZ33</f>
        <v>Anak 29 sangat baik  dalam mengenal dan memahmi teks tembang dolanan, dan  baik  dalam mengenal dan memahami sandhangan aksara Jawa.</v>
      </c>
      <c r="AG34" s="414">
        <f>IFERROR('MLK2-3'!AP33,"")</f>
        <v>92</v>
      </c>
      <c r="AH34" s="414" t="str">
        <f>IFERROR('MLK2-3'!AQ33,"")</f>
        <v>A</v>
      </c>
      <c r="AI34" s="413" t="str">
        <f>'MLK2-3'!AV33</f>
        <v>Anak 29 sangat baik  dalam mengenal dan mengidentifikasi benda-benda di dapur dan nama-nama bunga, dan  baik  dalam memahami penggunaan kalimat yang menunjukkan letak suatu tempat</v>
      </c>
      <c r="AJ34" s="414">
        <f>IFERROR('MLK3-3'!AP33,"")</f>
        <v>88</v>
      </c>
      <c r="AK34" s="414" t="str">
        <f>IFERROR('MLK3-3'!AQ33,"")</f>
        <v>B</v>
      </c>
      <c r="AL34" s="415" t="str">
        <f>'MLK3-3'!AV33</f>
        <v>Anak 29 sangat baik  dalam mengenal dan memahami penggunaan microsoft  word., dan  baik  dalam memahami pembuatan dokumen di microsoft  word</v>
      </c>
      <c r="AM34" s="414" t="str">
        <f>IFERROR('PAI4'!CI34,"")</f>
        <v/>
      </c>
      <c r="AN34" s="414" t="str">
        <f>IFERROR('PAI4'!CJ34,"")</f>
        <v/>
      </c>
      <c r="AO34" s="415" t="str">
        <f>'PAI4'!CO34</f>
        <v xml:space="preserve"> </v>
      </c>
      <c r="AP34" s="414" t="str">
        <f>IFERROR('PKN4'!AD33,"")</f>
        <v/>
      </c>
      <c r="AQ34" s="414" t="str">
        <f>IFERROR('PKN4'!AE33,"")</f>
        <v/>
      </c>
      <c r="AR34" s="413" t="str">
        <f>'PKN4'!AJ33</f>
        <v xml:space="preserve"> </v>
      </c>
      <c r="AS34" s="414" t="str">
        <f>IFERROR(BIND4!AP33,"")</f>
        <v/>
      </c>
      <c r="AT34" s="414" t="str">
        <f>IFERROR(BIND4!AQ33,"")</f>
        <v/>
      </c>
      <c r="AU34" s="413" t="str">
        <f>BIND4!AV33</f>
        <v xml:space="preserve"> </v>
      </c>
      <c r="AV34" s="414" t="str">
        <f>IFERROR('MTK4'!AP33,"")</f>
        <v/>
      </c>
      <c r="AW34" s="414" t="str">
        <f>IFERROR('MTK4'!AQ33,"")</f>
        <v/>
      </c>
      <c r="AX34" s="413" t="str">
        <f>'MTK4'!AV33</f>
        <v xml:space="preserve"> </v>
      </c>
      <c r="AY34" s="414" t="str">
        <f>IFERROR('IPA4'!AJ33,"")</f>
        <v/>
      </c>
      <c r="AZ34" s="414" t="str">
        <f>IFERROR('IPA4'!AK33,"")</f>
        <v/>
      </c>
      <c r="BA34" s="413" t="str">
        <f>'IPA4'!AP33</f>
        <v xml:space="preserve"> </v>
      </c>
      <c r="BB34" s="414" t="str">
        <f>IFERROR('IPS4'!AG33,"")</f>
        <v/>
      </c>
      <c r="BC34" s="414" t="str">
        <f>IFERROR('IPS4'!AH33,"")</f>
        <v/>
      </c>
      <c r="BD34" s="413" t="str">
        <f>'IPS4'!AM33</f>
        <v xml:space="preserve"> </v>
      </c>
      <c r="BE34" s="414" t="str">
        <f>IFERROR(SBDP4!AG33,"")</f>
        <v/>
      </c>
      <c r="BF34" s="414" t="str">
        <f>IFERROR(SBDP4!AH33,"")</f>
        <v/>
      </c>
      <c r="BG34" s="413" t="str">
        <f>SBDP4!AM33</f>
        <v xml:space="preserve"> </v>
      </c>
      <c r="BH34" s="414" t="str">
        <f>IFERROR(PJOK4!AJ33,"")</f>
        <v/>
      </c>
      <c r="BI34" s="414" t="str">
        <f>IFERROR(PJOK4!AK33,"")</f>
        <v/>
      </c>
      <c r="BJ34" s="415" t="str">
        <f>PJOK4!AP33</f>
        <v xml:space="preserve"> </v>
      </c>
      <c r="BK34" s="414" t="str">
        <f>IFERROR('MLK1-4'!AG33,"")</f>
        <v/>
      </c>
      <c r="BL34" s="414" t="str">
        <f>IFERROR('MLK1-4'!AH33,"")</f>
        <v/>
      </c>
      <c r="BM34" s="413" t="str">
        <f>'MLK1-4'!AM33</f>
        <v xml:space="preserve"> </v>
      </c>
      <c r="BN34" s="414" t="str">
        <f>IFERROR('MLK2-4'!AG33,"")</f>
        <v/>
      </c>
      <c r="BO34" s="414" t="str">
        <f>IFERROR('MLK2-4'!AH33,"")</f>
        <v/>
      </c>
      <c r="BP34" s="413" t="str">
        <f>'MLK2-4'!AM33</f>
        <v xml:space="preserve"> </v>
      </c>
      <c r="BQ34" s="414" t="str">
        <f>IFERROR('MLK3-4'!AG33,"")</f>
        <v/>
      </c>
      <c r="BR34" s="414" t="str">
        <f>IFERROR('MLK3-4'!AH33,"")</f>
        <v/>
      </c>
      <c r="BS34" s="413" t="str">
        <f>'MLK3-4'!AM33</f>
        <v xml:space="preserve"> </v>
      </c>
      <c r="BT34" s="414">
        <f t="shared" si="0"/>
        <v>47.636363636363633</v>
      </c>
      <c r="BU34" s="444">
        <f t="shared" si="1"/>
        <v>1048</v>
      </c>
      <c r="BV34" s="416">
        <f t="shared" si="2"/>
        <v>1048</v>
      </c>
      <c r="BW34" s="417">
        <f t="shared" si="3"/>
        <v>38</v>
      </c>
    </row>
    <row r="35" spans="1:75" ht="20.25" customHeight="1">
      <c r="A35" s="113">
        <v>30</v>
      </c>
      <c r="B35" s="113">
        <f>SISWA!B35</f>
        <v>0</v>
      </c>
      <c r="C35" s="410" t="str">
        <f>SISWA!C35</f>
        <v>Anak 30</v>
      </c>
      <c r="D35" s="411" t="str">
        <f>SPIRIT!Q34</f>
        <v xml:space="preserve">Ananda Anak 30 baik dalam  ketaatan beribadah,  berperilaku syukur,  berdoa sebelum dan sesudah melakukan kegiatan,  toleransi dalam beribadah, </v>
      </c>
      <c r="E35" s="411" t="str">
        <f>SOSIAL!W34</f>
        <v xml:space="preserve">Ananda Anak 30 baik dalam sikap jujur, disiplin, tanggung jawab, santun, peduli, percaya diri, kerja sama, </v>
      </c>
      <c r="F35" s="412">
        <f>IFERROR('PAI3'!DU35,"")</f>
        <v>99</v>
      </c>
      <c r="G35" s="412" t="str">
        <f>IFERROR('PAI3'!DV35,"")</f>
        <v>A</v>
      </c>
      <c r="H35" s="413" t="str">
        <f>'PAI3'!EA35</f>
        <v>Anak 30 sangat baik  dalam memahami Q.S. al- Falaq dan Q.S. al- Fil dengan baik dan benar</v>
      </c>
      <c r="I35" s="412">
        <f>IFERROR('PKN3'!AI34,"")</f>
        <v>95</v>
      </c>
      <c r="J35" s="412" t="str">
        <f>IFERROR('PKN3'!AJ34,"")</f>
        <v>A</v>
      </c>
      <c r="K35" s="411" t="str">
        <f>'PKN3'!AO34</f>
        <v>Anak 30 sangat baik  dalam mengidentifikasi pelaksanaan kewajiban dan hak sebagai warga masyarakat dalam kehidupan sehari-hari., dan  sangat baik  dalam mengidentifikasi berbagai bentuk keragaman suku bangsa, sosial, dan budaya di Indonesia yang terikat persatuan dan kesatuan.</v>
      </c>
      <c r="L35" s="414">
        <f>IFERROR(BIND3!AU34,"")</f>
        <v>97</v>
      </c>
      <c r="M35" s="414" t="str">
        <f>IFERROR(BIND3!AV34,"")</f>
        <v>A</v>
      </c>
      <c r="N35" s="413" t="str">
        <f>BIND3!BA34</f>
        <v>Anak 30 sangat baik  dalam menggali pengetahuan baru yang terdapat pada teks nonfiksi., dan  sangat baik  dalam menggali isi dan amanat puisi yang disajikan secara lisan dan tulis dengan tujuan untuk kesenangan.</v>
      </c>
      <c r="O35" s="414">
        <f>IFERROR('MTK3'!BC34,"")</f>
        <v>97</v>
      </c>
      <c r="P35" s="414" t="str">
        <f>IFERROR('MTK3'!BD34,"")</f>
        <v>A</v>
      </c>
      <c r="Q35" s="413" t="str">
        <f>'MTK3'!BI34</f>
        <v>Anak 30 sangat baik  dalam menjelaskan dan melakukan penaksiran dari jumlah, selisih, hasil kali, dan hasil bagi dua bilangan cacah maupun pecahan dan desimal, dan  baik  dalam menjelaskan berbagai bentuk pecahan (biasa, campuran, desimal, dan persen) dan hubungan di antaranya</v>
      </c>
      <c r="R35" s="414">
        <f>IFERROR('IPA3'!AM34,"")</f>
        <v>99</v>
      </c>
      <c r="S35" s="414" t="str">
        <f>IFERROR('IPA3'!AN34,"")</f>
        <v>A</v>
      </c>
      <c r="T35" s="413" t="str">
        <f>'IPA3'!AS34</f>
        <v>Anak 30 sangat baik  dalam membandingkan siklus hidup beberapa jenis makhluk hidup serta mengaitkan dengan upaya pelestariannya.</v>
      </c>
      <c r="U35" s="414">
        <f>IFERROR('IPS3'!AN34,"")</f>
        <v>99</v>
      </c>
      <c r="V35" s="414" t="str">
        <f>IFERROR('IPS3'!AO34,"")</f>
        <v>A</v>
      </c>
      <c r="W35" s="413" t="str">
        <f>'IPS3'!AT34</f>
        <v>Anak 30 sangat baik  dalam mengidentifikasi karakteristik ruang dan pemanfaatan sumberdaya alam untuk kesejahteraan masyarakat dari tingkatkota/kabupaten sampai tingkat provinsi.</v>
      </c>
      <c r="X35" s="414">
        <f>IFERROR(SBDP3!AN34,"")</f>
        <v>99</v>
      </c>
      <c r="Y35" s="414" t="str">
        <f>IFERROR(SBDP3!AO34,"")</f>
        <v>A</v>
      </c>
      <c r="Z35" s="413" t="str">
        <f>SBDP3!AT34</f>
        <v>Anak 30 sangat baik  dalam mengetahui gambar dan bentuk tiga dimensi.</v>
      </c>
      <c r="AA35" s="414">
        <f>IFERROR(PJOK3!AV34,"")</f>
        <v>95</v>
      </c>
      <c r="AB35" s="414" t="str">
        <f>IFERROR(PJOK3!AW34,"")</f>
        <v>A</v>
      </c>
      <c r="AC35" s="413" t="str">
        <f>PJOK3!BB34</f>
        <v>Anak 30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5" s="414">
        <f>IFERROR('MLK1-3'!AT34,"")</f>
        <v>90</v>
      </c>
      <c r="AE35" s="414" t="str">
        <f>IFERROR('MLK1-3'!AU34,"")</f>
        <v>B</v>
      </c>
      <c r="AF35" s="415" t="str">
        <f>'MLK1-3'!AZ34</f>
        <v>Anak 30 sangat baik  dalam mengenal dan memahmi teks tembang dolanan, dan  baik  dalam mengenal dan memahami sandhangan aksara Jawa.</v>
      </c>
      <c r="AG35" s="414">
        <f>IFERROR('MLK2-3'!AP34,"")</f>
        <v>93</v>
      </c>
      <c r="AH35" s="414" t="str">
        <f>IFERROR('MLK2-3'!AQ34,"")</f>
        <v>A</v>
      </c>
      <c r="AI35" s="413" t="str">
        <f>'MLK2-3'!AV34</f>
        <v>Anak 30 sangat baik  dalam mengenal dan mengidentifikasi benda-benda di dapur dan nama-nama bunga, dan  baik  dalam memahami penggunaan kalimat yang menunjukkan letak suatu tempat</v>
      </c>
      <c r="AJ35" s="414">
        <f>IFERROR('MLK3-3'!AP34,"")</f>
        <v>88</v>
      </c>
      <c r="AK35" s="414" t="str">
        <f>IFERROR('MLK3-3'!AQ34,"")</f>
        <v>B</v>
      </c>
      <c r="AL35" s="415" t="str">
        <f>'MLK3-3'!AV34</f>
        <v>Anak 30 sangat baik  dalam mengenal dan memahami penggunaan microsoft  word., dan  baik  dalam memahami pembuatan dokumen di microsoft  word</v>
      </c>
      <c r="AM35" s="414" t="str">
        <f>IFERROR('PAI4'!CI35,"")</f>
        <v/>
      </c>
      <c r="AN35" s="414" t="str">
        <f>IFERROR('PAI4'!CJ35,"")</f>
        <v/>
      </c>
      <c r="AO35" s="415" t="str">
        <f>'PAI4'!CO35</f>
        <v xml:space="preserve"> </v>
      </c>
      <c r="AP35" s="414" t="str">
        <f>IFERROR('PKN4'!AD34,"")</f>
        <v/>
      </c>
      <c r="AQ35" s="414" t="str">
        <f>IFERROR('PKN4'!AE34,"")</f>
        <v/>
      </c>
      <c r="AR35" s="413" t="str">
        <f>'PKN4'!AJ34</f>
        <v xml:space="preserve"> </v>
      </c>
      <c r="AS35" s="414" t="str">
        <f>IFERROR(BIND4!AP34,"")</f>
        <v/>
      </c>
      <c r="AT35" s="414" t="str">
        <f>IFERROR(BIND4!AQ34,"")</f>
        <v/>
      </c>
      <c r="AU35" s="413" t="str">
        <f>BIND4!AV34</f>
        <v xml:space="preserve"> </v>
      </c>
      <c r="AV35" s="414" t="str">
        <f>IFERROR('MTK4'!AP34,"")</f>
        <v/>
      </c>
      <c r="AW35" s="414" t="str">
        <f>IFERROR('MTK4'!AQ34,"")</f>
        <v/>
      </c>
      <c r="AX35" s="413" t="str">
        <f>'MTK4'!AV34</f>
        <v xml:space="preserve"> </v>
      </c>
      <c r="AY35" s="414" t="str">
        <f>IFERROR('IPA4'!AJ34,"")</f>
        <v/>
      </c>
      <c r="AZ35" s="414" t="str">
        <f>IFERROR('IPA4'!AK34,"")</f>
        <v/>
      </c>
      <c r="BA35" s="413" t="str">
        <f>'IPA4'!AP34</f>
        <v xml:space="preserve"> </v>
      </c>
      <c r="BB35" s="414" t="str">
        <f>IFERROR('IPS4'!AG34,"")</f>
        <v/>
      </c>
      <c r="BC35" s="414" t="str">
        <f>IFERROR('IPS4'!AH34,"")</f>
        <v/>
      </c>
      <c r="BD35" s="413" t="str">
        <f>'IPS4'!AM34</f>
        <v xml:space="preserve"> </v>
      </c>
      <c r="BE35" s="414" t="str">
        <f>IFERROR(SBDP4!AG34,"")</f>
        <v/>
      </c>
      <c r="BF35" s="414" t="str">
        <f>IFERROR(SBDP4!AH34,"")</f>
        <v/>
      </c>
      <c r="BG35" s="413" t="str">
        <f>SBDP4!AM34</f>
        <v xml:space="preserve"> </v>
      </c>
      <c r="BH35" s="414" t="str">
        <f>IFERROR(PJOK4!AJ34,"")</f>
        <v/>
      </c>
      <c r="BI35" s="414" t="str">
        <f>IFERROR(PJOK4!AK34,"")</f>
        <v/>
      </c>
      <c r="BJ35" s="415" t="str">
        <f>PJOK4!AP34</f>
        <v xml:space="preserve"> </v>
      </c>
      <c r="BK35" s="414" t="str">
        <f>IFERROR('MLK1-4'!AG34,"")</f>
        <v/>
      </c>
      <c r="BL35" s="414" t="str">
        <f>IFERROR('MLK1-4'!AH34,"")</f>
        <v/>
      </c>
      <c r="BM35" s="413" t="str">
        <f>'MLK1-4'!AM34</f>
        <v xml:space="preserve"> </v>
      </c>
      <c r="BN35" s="414" t="str">
        <f>IFERROR('MLK2-4'!AG34,"")</f>
        <v/>
      </c>
      <c r="BO35" s="414" t="str">
        <f>IFERROR('MLK2-4'!AH34,"")</f>
        <v/>
      </c>
      <c r="BP35" s="413" t="str">
        <f>'MLK2-4'!AM34</f>
        <v xml:space="preserve"> </v>
      </c>
      <c r="BQ35" s="414" t="str">
        <f>IFERROR('MLK3-4'!AG34,"")</f>
        <v/>
      </c>
      <c r="BR35" s="414" t="str">
        <f>IFERROR('MLK3-4'!AH34,"")</f>
        <v/>
      </c>
      <c r="BS35" s="413" t="str">
        <f>'MLK3-4'!AM34</f>
        <v xml:space="preserve"> </v>
      </c>
      <c r="BT35" s="414">
        <f t="shared" si="0"/>
        <v>47.772727272727273</v>
      </c>
      <c r="BU35" s="444">
        <f t="shared" si="1"/>
        <v>1051</v>
      </c>
      <c r="BV35" s="416">
        <f t="shared" si="2"/>
        <v>1051</v>
      </c>
      <c r="BW35" s="417">
        <f t="shared" si="3"/>
        <v>32</v>
      </c>
    </row>
    <row r="36" spans="1:75" ht="20.25" customHeight="1">
      <c r="A36" s="113">
        <v>31</v>
      </c>
      <c r="B36" s="113">
        <f>SISWA!B36</f>
        <v>0</v>
      </c>
      <c r="C36" s="410" t="str">
        <f>SISWA!C36</f>
        <v>Anak 31</v>
      </c>
      <c r="D36" s="411" t="str">
        <f>SPIRIT!Q35</f>
        <v xml:space="preserve">Ananda Anak 31 baik dalam  ketaatan beribadah,  berperilaku syukur,  berdoa sebelum dan sesudah melakukan kegiatan,  toleransi dalam beribadah, </v>
      </c>
      <c r="E36" s="411" t="str">
        <f>SOSIAL!W35</f>
        <v xml:space="preserve">Ananda Anak 31 baik dalam sikap jujur, disiplin, tanggung jawab, santun, peduli, percaya diri, kerja sama, </v>
      </c>
      <c r="F36" s="412">
        <f>IFERROR('PAI3'!DU36,"")</f>
        <v>99</v>
      </c>
      <c r="G36" s="412" t="str">
        <f>IFERROR('PAI3'!DV36,"")</f>
        <v>A</v>
      </c>
      <c r="H36" s="413" t="str">
        <f>'PAI3'!EA36</f>
        <v>Anak 31 sangat baik  dalam memahami Q.S. al- Falaq dan Q.S. al- Fil dengan baik dan benar</v>
      </c>
      <c r="I36" s="412">
        <f>IFERROR('PKN3'!AI35,"")</f>
        <v>95</v>
      </c>
      <c r="J36" s="412" t="str">
        <f>IFERROR('PKN3'!AJ35,"")</f>
        <v>A</v>
      </c>
      <c r="K36" s="411" t="str">
        <f>'PKN3'!AO35</f>
        <v>Anak 31 sangat baik  dalam mengidentifikasi pelaksanaan kewajiban dan hak sebagai warga masyarakat dalam kehidupan sehari-hari., dan  sangat baik  dalam menjelaskan manfaat keberagaman karakteristik individu dalam kehidupan sehari-hari.</v>
      </c>
      <c r="L36" s="414">
        <f>IFERROR(BIND3!AU35,"")</f>
        <v>96</v>
      </c>
      <c r="M36" s="414" t="str">
        <f>IFERROR(BIND3!AV35,"")</f>
        <v>A</v>
      </c>
      <c r="N36" s="413" t="str">
        <f>BIND3!BA35</f>
        <v>Anak 31 sangat baik  dalam menggali pengetahuan baru yang terdapat pada teks nonfiksi., dan  sangat baik  dalam menggali informasi dari seorang tokoh melalui wawancara menggunakan daftar pertanyaan.</v>
      </c>
      <c r="O36" s="414">
        <f>IFERROR('MTK3'!BC35,"")</f>
        <v>96</v>
      </c>
      <c r="P36" s="414" t="str">
        <f>IFERROR('MTK3'!BD35,"")</f>
        <v>A</v>
      </c>
      <c r="Q36" s="413" t="str">
        <f>'MTK3'!BI35</f>
        <v>Anak 31 sangat baik  dalam menjelaskan dan melakukan penaksiran dari jumlah, selisih, hasil kali, dan hasil bagi dua bilangan cacah maupun pecahan dan desimal, dan  baik  dalam menjelaskan berbagai bentuk pecahan (biasa, campuran, desimal, dan persen) dan hubungan di antaranya</v>
      </c>
      <c r="R36" s="414">
        <f>IFERROR('IPA3'!AM35,"")</f>
        <v>99</v>
      </c>
      <c r="S36" s="414" t="str">
        <f>IFERROR('IPA3'!AN35,"")</f>
        <v>A</v>
      </c>
      <c r="T36" s="413" t="str">
        <f>'IPA3'!AS35</f>
        <v>Anak 31 sangat baik  dalam membandingkan siklus hidup beberapa jenis makhluk hidup serta mengaitkan dengan upaya pelestariannya.</v>
      </c>
      <c r="U36" s="414">
        <f>IFERROR('IPS3'!AN35,"")</f>
        <v>99</v>
      </c>
      <c r="V36" s="414" t="str">
        <f>IFERROR('IPS3'!AO35,"")</f>
        <v>A</v>
      </c>
      <c r="W36" s="413" t="str">
        <f>'IPS3'!AT35</f>
        <v>Anak 31 sangat baik  dalam mengidentifikasi karakteristik ruang dan pemanfaatan sumberdaya alam untuk kesejahteraan masyarakat dari tingkatkota/kabupaten sampai tingkat provinsi.</v>
      </c>
      <c r="X36" s="414">
        <f>IFERROR(SBDP3!AN35,"")</f>
        <v>99</v>
      </c>
      <c r="Y36" s="414" t="str">
        <f>IFERROR(SBDP3!AO35,"")</f>
        <v>A</v>
      </c>
      <c r="Z36" s="413" t="str">
        <f>SBDP3!AT35</f>
        <v>Anak 31 sangat baik  dalam mengetahui gambar dan bentuk tiga dimensi.</v>
      </c>
      <c r="AA36" s="414">
        <f>IFERROR(PJOK3!AV35,"")</f>
        <v>94</v>
      </c>
      <c r="AB36" s="414" t="str">
        <f>IFERROR(PJOK3!AW35,"")</f>
        <v>A</v>
      </c>
      <c r="AC36" s="413" t="str">
        <f>PJOK3!BB35</f>
        <v>Anak 31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6" s="414">
        <f>IFERROR('MLK1-3'!AT35,"")</f>
        <v>90</v>
      </c>
      <c r="AE36" s="414" t="str">
        <f>IFERROR('MLK1-3'!AU35,"")</f>
        <v>B</v>
      </c>
      <c r="AF36" s="415" t="str">
        <f>'MLK1-3'!AZ35</f>
        <v>Anak 31 sangat baik  dalam mengenal, memahami, dan mengidentifikasi kata berimbuhan dalam teks sesuai kaidah, dan  baik  dalam mengenal dan memahami sandhangan aksara Jawa.</v>
      </c>
      <c r="AG36" s="414">
        <f>IFERROR('MLK2-3'!AP35,"")</f>
        <v>92</v>
      </c>
      <c r="AH36" s="414" t="str">
        <f>IFERROR('MLK2-3'!AQ35,"")</f>
        <v>A</v>
      </c>
      <c r="AI36" s="413" t="str">
        <f>'MLK2-3'!AV35</f>
        <v>Anak 31 sangat baik  dalam mengenal dan mengidentifikasi benda-benda di dapur dan nama-nama bunga, dan  baik  dalam memahami penggunaan kalimat yang menunjukkan letak suatu tempat</v>
      </c>
      <c r="AJ36" s="414">
        <f>IFERROR('MLK3-3'!AP35,"")</f>
        <v>87</v>
      </c>
      <c r="AK36" s="414" t="str">
        <f>IFERROR('MLK3-3'!AQ35,"")</f>
        <v>B</v>
      </c>
      <c r="AL36" s="415" t="str">
        <f>'MLK3-3'!AV35</f>
        <v>Anak 31 baik  dalam memahami pembuatan dokumen di microsoft  word, dan  baik  dalam mengenal dan memahami penggunaan microsoft  word.</v>
      </c>
      <c r="AM36" s="414" t="str">
        <f>IFERROR('PAI4'!CI36,"")</f>
        <v/>
      </c>
      <c r="AN36" s="414" t="str">
        <f>IFERROR('PAI4'!CJ36,"")</f>
        <v/>
      </c>
      <c r="AO36" s="415" t="str">
        <f>'PAI4'!CO36</f>
        <v xml:space="preserve"> </v>
      </c>
      <c r="AP36" s="414" t="str">
        <f>IFERROR('PKN4'!AD35,"")</f>
        <v/>
      </c>
      <c r="AQ36" s="414" t="str">
        <f>IFERROR('PKN4'!AE35,"")</f>
        <v/>
      </c>
      <c r="AR36" s="413" t="str">
        <f>'PKN4'!AJ35</f>
        <v xml:space="preserve"> </v>
      </c>
      <c r="AS36" s="414" t="str">
        <f>IFERROR(BIND4!AP35,"")</f>
        <v/>
      </c>
      <c r="AT36" s="414" t="str">
        <f>IFERROR(BIND4!AQ35,"")</f>
        <v/>
      </c>
      <c r="AU36" s="413" t="str">
        <f>BIND4!AV35</f>
        <v xml:space="preserve"> </v>
      </c>
      <c r="AV36" s="414" t="str">
        <f>IFERROR('MTK4'!AP35,"")</f>
        <v/>
      </c>
      <c r="AW36" s="414" t="str">
        <f>IFERROR('MTK4'!AQ35,"")</f>
        <v/>
      </c>
      <c r="AX36" s="413" t="str">
        <f>'MTK4'!AV35</f>
        <v xml:space="preserve"> </v>
      </c>
      <c r="AY36" s="414" t="str">
        <f>IFERROR('IPA4'!AJ35,"")</f>
        <v/>
      </c>
      <c r="AZ36" s="414" t="str">
        <f>IFERROR('IPA4'!AK35,"")</f>
        <v/>
      </c>
      <c r="BA36" s="413" t="str">
        <f>'IPA4'!AP35</f>
        <v xml:space="preserve"> </v>
      </c>
      <c r="BB36" s="414" t="str">
        <f>IFERROR('IPS4'!AG35,"")</f>
        <v/>
      </c>
      <c r="BC36" s="414" t="str">
        <f>IFERROR('IPS4'!AH35,"")</f>
        <v/>
      </c>
      <c r="BD36" s="413" t="str">
        <f>'IPS4'!AM35</f>
        <v xml:space="preserve"> </v>
      </c>
      <c r="BE36" s="414" t="str">
        <f>IFERROR(SBDP4!AG35,"")</f>
        <v/>
      </c>
      <c r="BF36" s="414" t="str">
        <f>IFERROR(SBDP4!AH35,"")</f>
        <v/>
      </c>
      <c r="BG36" s="413" t="str">
        <f>SBDP4!AM35</f>
        <v xml:space="preserve"> </v>
      </c>
      <c r="BH36" s="414" t="str">
        <f>IFERROR(PJOK4!AJ35,"")</f>
        <v/>
      </c>
      <c r="BI36" s="414" t="str">
        <f>IFERROR(PJOK4!AK35,"")</f>
        <v/>
      </c>
      <c r="BJ36" s="415" t="str">
        <f>PJOK4!AP35</f>
        <v xml:space="preserve"> </v>
      </c>
      <c r="BK36" s="414" t="str">
        <f>IFERROR('MLK1-4'!AG35,"")</f>
        <v/>
      </c>
      <c r="BL36" s="414" t="str">
        <f>IFERROR('MLK1-4'!AH35,"")</f>
        <v/>
      </c>
      <c r="BM36" s="413" t="str">
        <f>'MLK1-4'!AM35</f>
        <v xml:space="preserve"> </v>
      </c>
      <c r="BN36" s="414" t="str">
        <f>IFERROR('MLK2-4'!AG35,"")</f>
        <v/>
      </c>
      <c r="BO36" s="414" t="str">
        <f>IFERROR('MLK2-4'!AH35,"")</f>
        <v/>
      </c>
      <c r="BP36" s="413" t="str">
        <f>'MLK2-4'!AM35</f>
        <v xml:space="preserve"> </v>
      </c>
      <c r="BQ36" s="414" t="str">
        <f>IFERROR('MLK3-4'!AG35,"")</f>
        <v/>
      </c>
      <c r="BR36" s="414" t="str">
        <f>IFERROR('MLK3-4'!AH35,"")</f>
        <v/>
      </c>
      <c r="BS36" s="413" t="str">
        <f>'MLK3-4'!AM35</f>
        <v xml:space="preserve"> </v>
      </c>
      <c r="BT36" s="414">
        <f t="shared" si="0"/>
        <v>47.545454545454547</v>
      </c>
      <c r="BU36" s="444">
        <f t="shared" si="1"/>
        <v>1046</v>
      </c>
      <c r="BV36" s="416">
        <f t="shared" si="2"/>
        <v>1046</v>
      </c>
      <c r="BW36" s="417">
        <f>IFERROR(RANK(BV36,$BV$6:$BV$55,0),"")</f>
        <v>42</v>
      </c>
    </row>
    <row r="37" spans="1:75" ht="20.25" customHeight="1">
      <c r="A37" s="113">
        <v>32</v>
      </c>
      <c r="B37" s="113">
        <f>SISWA!B37</f>
        <v>0</v>
      </c>
      <c r="C37" s="410" t="str">
        <f>SISWA!C37</f>
        <v>Anak 32</v>
      </c>
      <c r="D37" s="411" t="str">
        <f>SPIRIT!Q36</f>
        <v xml:space="preserve">Ananda Anak 32 baik dalam  ketaatan beribadah,  berperilaku syukur,  berdoa sebelum dan sesudah melakukan kegiatan,  toleransi dalam beribadah, </v>
      </c>
      <c r="E37" s="411" t="str">
        <f>SOSIAL!W36</f>
        <v xml:space="preserve">Ananda Anak 32 baik dalam sikap jujur, disiplin, tanggung jawab, santun, peduli, percaya diri, kerja sama, </v>
      </c>
      <c r="F37" s="412">
        <f>IFERROR('PAI3'!DU37,"")</f>
        <v>99</v>
      </c>
      <c r="G37" s="412" t="str">
        <f>IFERROR('PAI3'!DV37,"")</f>
        <v>A</v>
      </c>
      <c r="H37" s="413" t="str">
        <f>'PAI3'!EA37</f>
        <v>Anak 32 sangat baik  dalam memahami Q.S. al- Falaq dan Q.S. al- Fil dengan baik dan benar</v>
      </c>
      <c r="I37" s="412">
        <f>IFERROR('PKN3'!AI36,"")</f>
        <v>95</v>
      </c>
      <c r="J37" s="412" t="str">
        <f>IFERROR('PKN3'!AJ36,"")</f>
        <v>A</v>
      </c>
      <c r="K37" s="411" t="str">
        <f>'PKN3'!AO36</f>
        <v>Anak 32 sangat baik  dalam mengidentifikasi pelaksanaan kewajiban dan hak sebagai warga masyarakat dalam kehidupan sehari-hari., dan  sangat baik  dalam mengidentifikasi berbagai bentuk keragaman suku bangsa, sosial, dan budaya di Indonesia yang terikat persatuan dan kesatuan.</v>
      </c>
      <c r="L37" s="414">
        <f>IFERROR(BIND3!AU36,"")</f>
        <v>96</v>
      </c>
      <c r="M37" s="414" t="str">
        <f>IFERROR(BIND3!AV36,"")</f>
        <v>A</v>
      </c>
      <c r="N37" s="413" t="str">
        <f>BIND3!BA36</f>
        <v>Anak 32 sangat baik  dalam menggali pengetahuan baru yang terdapat pada teks nonfiksi., dan  sangat baik  dalam menggali isi dan amanat puisi yang disajikan secara lisan dan tulis dengan tujuan untuk kesenangan.</v>
      </c>
      <c r="O37" s="414">
        <f>IFERROR('MTK3'!BC36,"")</f>
        <v>97</v>
      </c>
      <c r="P37" s="414" t="str">
        <f>IFERROR('MTK3'!BD36,"")</f>
        <v>A</v>
      </c>
      <c r="Q37" s="413" t="str">
        <f>'MTK3'!BI36</f>
        <v>Anak 32 sangat baik  dalam menjelaskan dan melakukan penaksiran dari jumlah, selisih, hasil kali, dan hasil bagi dua bilangan cacah maupun pecahan dan desimal, dan  baik  dalam menjelaskan berbagai bentuk pecahan (biasa, campuran, desimal, dan persen) dan hubungan di antaranya</v>
      </c>
      <c r="R37" s="414">
        <f>IFERROR('IPA3'!AM36,"")</f>
        <v>99</v>
      </c>
      <c r="S37" s="414" t="str">
        <f>IFERROR('IPA3'!AN36,"")</f>
        <v>A</v>
      </c>
      <c r="T37" s="413" t="str">
        <f>'IPA3'!AS36</f>
        <v>Anak 32 sangat baik  dalam membandingkan siklus hidup beberapa jenis makhluk hidup serta mengaitkan dengan upaya pelestariannya.</v>
      </c>
      <c r="U37" s="414">
        <f>IFERROR('IPS3'!AN36,"")</f>
        <v>99</v>
      </c>
      <c r="V37" s="414" t="str">
        <f>IFERROR('IPS3'!AO36,"")</f>
        <v>A</v>
      </c>
      <c r="W37" s="413" t="str">
        <f>'IPS3'!AT36</f>
        <v>Anak 32 sangat baik  dalam mengidentifikasi karakteristik ruang dan pemanfaatan sumberdaya alam untuk kesejahteraan masyarakat dari tingkatkota/kabupaten sampai tingkat provinsi.</v>
      </c>
      <c r="X37" s="414">
        <f>IFERROR(SBDP3!AN36,"")</f>
        <v>99</v>
      </c>
      <c r="Y37" s="414" t="str">
        <f>IFERROR(SBDP3!AO36,"")</f>
        <v>A</v>
      </c>
      <c r="Z37" s="413" t="str">
        <f>SBDP3!AT36</f>
        <v>Anak 32 sangat baik  dalam mengetahui gambar dan bentuk tiga dimensi.</v>
      </c>
      <c r="AA37" s="414">
        <f>IFERROR(PJOK3!AV36,"")</f>
        <v>94</v>
      </c>
      <c r="AB37" s="414" t="str">
        <f>IFERROR(PJOK3!AW36,"")</f>
        <v>A</v>
      </c>
      <c r="AC37" s="413" t="str">
        <f>PJOK3!BB36</f>
        <v>Anak 32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7" s="414">
        <f>IFERROR('MLK1-3'!AT36,"")</f>
        <v>90</v>
      </c>
      <c r="AE37" s="414" t="str">
        <f>IFERROR('MLK1-3'!AU36,"")</f>
        <v>B</v>
      </c>
      <c r="AF37" s="415" t="str">
        <f>'MLK1-3'!AZ36</f>
        <v>Anak 32 sangat baik  dalam mengenal dan memahmi teks tembang dolanan, dan  baik  dalam mengenal dan memahami sandhangan aksara Jawa.</v>
      </c>
      <c r="AG37" s="414">
        <f>IFERROR('MLK2-3'!AP36,"")</f>
        <v>92</v>
      </c>
      <c r="AH37" s="414" t="str">
        <f>IFERROR('MLK2-3'!AQ36,"")</f>
        <v>A</v>
      </c>
      <c r="AI37" s="413" t="str">
        <f>'MLK2-3'!AV36</f>
        <v>Anak 32 sangat baik  dalam mengenal dan mengidentifikasi benda-benda di dapur dan nama-nama bunga, dan  baik  dalam memahami penggunaan kalimat yang menunjukkan letak suatu tempat</v>
      </c>
      <c r="AJ37" s="414">
        <f>IFERROR('MLK3-3'!AP36,"")</f>
        <v>87</v>
      </c>
      <c r="AK37" s="414" t="str">
        <f>IFERROR('MLK3-3'!AQ36,"")</f>
        <v>B</v>
      </c>
      <c r="AL37" s="415" t="str">
        <f>'MLK3-3'!AV36</f>
        <v>Anak 32 baik  dalam mengenal dan memahami penggunaan microsoft  word., dan  baik  dalam memahami pembuatan dokumen di microsoft  word</v>
      </c>
      <c r="AM37" s="414" t="str">
        <f>IFERROR('PAI4'!CI37,"")</f>
        <v/>
      </c>
      <c r="AN37" s="414" t="str">
        <f>IFERROR('PAI4'!CJ37,"")</f>
        <v/>
      </c>
      <c r="AO37" s="415" t="str">
        <f>'PAI4'!CO37</f>
        <v xml:space="preserve"> </v>
      </c>
      <c r="AP37" s="414" t="str">
        <f>IFERROR('PKN4'!AD36,"")</f>
        <v/>
      </c>
      <c r="AQ37" s="414" t="str">
        <f>IFERROR('PKN4'!AE36,"")</f>
        <v/>
      </c>
      <c r="AR37" s="413" t="str">
        <f>'PKN4'!AJ36</f>
        <v xml:space="preserve"> </v>
      </c>
      <c r="AS37" s="414" t="str">
        <f>IFERROR(BIND4!AP36,"")</f>
        <v/>
      </c>
      <c r="AT37" s="414" t="str">
        <f>IFERROR(BIND4!AQ36,"")</f>
        <v/>
      </c>
      <c r="AU37" s="413" t="str">
        <f>BIND4!AV36</f>
        <v xml:space="preserve"> </v>
      </c>
      <c r="AV37" s="414" t="str">
        <f>IFERROR('MTK4'!AP36,"")</f>
        <v/>
      </c>
      <c r="AW37" s="414" t="str">
        <f>IFERROR('MTK4'!AQ36,"")</f>
        <v/>
      </c>
      <c r="AX37" s="413" t="str">
        <f>'MTK4'!AV36</f>
        <v xml:space="preserve"> </v>
      </c>
      <c r="AY37" s="414" t="str">
        <f>IFERROR('IPA4'!AJ36,"")</f>
        <v/>
      </c>
      <c r="AZ37" s="414" t="str">
        <f>IFERROR('IPA4'!AK36,"")</f>
        <v/>
      </c>
      <c r="BA37" s="413" t="str">
        <f>'IPA4'!AP36</f>
        <v xml:space="preserve"> </v>
      </c>
      <c r="BB37" s="414" t="str">
        <f>IFERROR('IPS4'!AG36,"")</f>
        <v/>
      </c>
      <c r="BC37" s="414" t="str">
        <f>IFERROR('IPS4'!AH36,"")</f>
        <v/>
      </c>
      <c r="BD37" s="413" t="str">
        <f>'IPS4'!AM36</f>
        <v xml:space="preserve"> </v>
      </c>
      <c r="BE37" s="414" t="str">
        <f>IFERROR(SBDP4!AG36,"")</f>
        <v/>
      </c>
      <c r="BF37" s="414" t="str">
        <f>IFERROR(SBDP4!AH36,"")</f>
        <v/>
      </c>
      <c r="BG37" s="413" t="str">
        <f>SBDP4!AM36</f>
        <v xml:space="preserve"> </v>
      </c>
      <c r="BH37" s="414" t="str">
        <f>IFERROR(PJOK4!AJ36,"")</f>
        <v/>
      </c>
      <c r="BI37" s="414" t="str">
        <f>IFERROR(PJOK4!AK36,"")</f>
        <v/>
      </c>
      <c r="BJ37" s="415" t="str">
        <f>PJOK4!AP36</f>
        <v xml:space="preserve"> </v>
      </c>
      <c r="BK37" s="414" t="str">
        <f>IFERROR('MLK1-4'!AG36,"")</f>
        <v/>
      </c>
      <c r="BL37" s="414" t="str">
        <f>IFERROR('MLK1-4'!AH36,"")</f>
        <v/>
      </c>
      <c r="BM37" s="413" t="str">
        <f>'MLK1-4'!AM36</f>
        <v xml:space="preserve"> </v>
      </c>
      <c r="BN37" s="414" t="str">
        <f>IFERROR('MLK2-4'!AG36,"")</f>
        <v/>
      </c>
      <c r="BO37" s="414" t="str">
        <f>IFERROR('MLK2-4'!AH36,"")</f>
        <v/>
      </c>
      <c r="BP37" s="413" t="str">
        <f>'MLK2-4'!AM36</f>
        <v xml:space="preserve"> </v>
      </c>
      <c r="BQ37" s="414" t="str">
        <f>IFERROR('MLK3-4'!AG36,"")</f>
        <v/>
      </c>
      <c r="BR37" s="414" t="str">
        <f>IFERROR('MLK3-4'!AH36,"")</f>
        <v/>
      </c>
      <c r="BS37" s="413" t="str">
        <f>'MLK3-4'!AM36</f>
        <v xml:space="preserve"> </v>
      </c>
      <c r="BT37" s="414">
        <f t="shared" si="0"/>
        <v>47.590909090909093</v>
      </c>
      <c r="BU37" s="444">
        <f t="shared" si="1"/>
        <v>1047</v>
      </c>
      <c r="BV37" s="416">
        <f t="shared" si="2"/>
        <v>1047</v>
      </c>
      <c r="BW37" s="417">
        <f t="shared" si="3"/>
        <v>39</v>
      </c>
    </row>
    <row r="38" spans="1:75" ht="20.25" customHeight="1">
      <c r="A38" s="113">
        <v>33</v>
      </c>
      <c r="B38" s="113">
        <f>SISWA!B38</f>
        <v>0</v>
      </c>
      <c r="C38" s="410" t="str">
        <f>SISWA!C38</f>
        <v>Anak 33</v>
      </c>
      <c r="D38" s="411" t="str">
        <f>SPIRIT!Q37</f>
        <v xml:space="preserve">Ananda Anak 33 baik dalam  ketaatan beribadah,  berperilaku syukur,  berdoa sebelum dan sesudah melakukan kegiatan,  toleransi dalam beribadah, </v>
      </c>
      <c r="E38" s="411" t="str">
        <f>SOSIAL!W37</f>
        <v xml:space="preserve">Ananda Anak 33 baik dalam sikap jujur, disiplin, tanggung jawab, santun, peduli, percaya diri, kerja sama, </v>
      </c>
      <c r="F38" s="412">
        <f>IFERROR('PAI3'!DU38,"")</f>
        <v>96</v>
      </c>
      <c r="G38" s="412" t="str">
        <f>IFERROR('PAI3'!DV38,"")</f>
        <v>A</v>
      </c>
      <c r="H38" s="413" t="str">
        <f>'PAI3'!EA38</f>
        <v>Anak 33 sangat baik  dalam memahami Q.S. al- Falaq dan Q.S. al- Fil dengan baik dan benar, dan  sangat baik  dalam memahami makna iman kepada malaikat-malaikat Allah berdasar kan pengamatan terha dap dirinya dan alam sekitar</v>
      </c>
      <c r="I38" s="412">
        <f>IFERROR('PKN3'!AI37,"")</f>
        <v>95</v>
      </c>
      <c r="J38" s="412" t="str">
        <f>IFERROR('PKN3'!AJ37,"")</f>
        <v>A</v>
      </c>
      <c r="K38" s="411" t="str">
        <f>'PKN3'!AO37</f>
        <v>Anak 33 sangat baik  dalam mengidentifikasi pelaksanaan kewajiban dan hak sebagai warga masyarakat dalam kehidupan sehari-hari., dan  sangat baik  dalam mengidentifikasi berbagai bentuk keragaman suku bangsa, sosial, dan budaya di Indonesia yang terikat persatuan dan kesatuan.</v>
      </c>
      <c r="L38" s="414">
        <f>IFERROR(BIND3!AU37,"")</f>
        <v>97</v>
      </c>
      <c r="M38" s="414" t="str">
        <f>IFERROR(BIND3!AV37,"")</f>
        <v>A</v>
      </c>
      <c r="N38" s="413" t="str">
        <f>BIND3!BA37</f>
        <v>Anak 33 sangat baik  dalam menggali pengetahuan baru yang terdapat pada teks nonfiksi., dan  sangat baik  dalam menggali informasi dari seorang tokoh melalui wawancara menggunakan daftar pertanyaan.</v>
      </c>
      <c r="O38" s="414">
        <f>IFERROR('MTK3'!BC37,"")</f>
        <v>97</v>
      </c>
      <c r="P38" s="414" t="str">
        <f>IFERROR('MTK3'!BD37,"")</f>
        <v>A</v>
      </c>
      <c r="Q38" s="413" t="str">
        <f>'MTK3'!BI37</f>
        <v>Anak 33 sangat baik  dalam menjelaskan dan melakukan penaksiran dari jumlah, selisih, hasil kali, dan hasil bagi dua bilangan cacah maupun pecahan dan desimal, dan  baik  dalam menjelaskan berbagai bentuk pecahan (biasa, campuran, desimal, dan persen) dan hubungan di antaranya</v>
      </c>
      <c r="R38" s="414">
        <f>IFERROR('IPA3'!AM37,"")</f>
        <v>99</v>
      </c>
      <c r="S38" s="414" t="str">
        <f>IFERROR('IPA3'!AN37,"")</f>
        <v>A</v>
      </c>
      <c r="T38" s="413" t="str">
        <f>'IPA3'!AS37</f>
        <v>Anak 33 sangat baik  dalam membandingkan siklus hidup beberapa jenis makhluk hidup serta mengaitkan dengan upaya pelestariannya.</v>
      </c>
      <c r="U38" s="414">
        <f>IFERROR('IPS3'!AN37,"")</f>
        <v>99</v>
      </c>
      <c r="V38" s="414" t="str">
        <f>IFERROR('IPS3'!AO37,"")</f>
        <v>A</v>
      </c>
      <c r="W38" s="413" t="str">
        <f>'IPS3'!AT37</f>
        <v>Anak 33 sangat baik  dalam mengidentifikasi karakteristik ruang dan pemanfaatan sumberdaya alam untuk kesejahteraan masyarakat dari tingkatkota/kabupaten sampai tingkat provinsi.</v>
      </c>
      <c r="X38" s="414">
        <f>IFERROR(SBDP3!AN37,"")</f>
        <v>99</v>
      </c>
      <c r="Y38" s="414" t="str">
        <f>IFERROR(SBDP3!AO37,"")</f>
        <v>A</v>
      </c>
      <c r="Z38" s="413" t="str">
        <f>SBDP3!AT37</f>
        <v>Anak 33 sangat baik  dalam mengetahui gambar dan bentuk tiga dimensi.</v>
      </c>
      <c r="AA38" s="414">
        <f>IFERROR(PJOK3!AV37,"")</f>
        <v>95</v>
      </c>
      <c r="AB38" s="414" t="str">
        <f>IFERROR(PJOK3!AW37,"")</f>
        <v>A</v>
      </c>
      <c r="AC38" s="413" t="str">
        <f>PJOK3!BB37</f>
        <v>Anak 33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38" s="414">
        <f>IFERROR('MLK1-3'!AT37,"")</f>
        <v>91</v>
      </c>
      <c r="AE38" s="414" t="str">
        <f>IFERROR('MLK1-3'!AU37,"")</f>
        <v>A</v>
      </c>
      <c r="AF38" s="415" t="str">
        <f>'MLK1-3'!AZ37</f>
        <v>Anak 33 sangat baik  dalam mengenal dan memahmi teks tembang dolanan, dan  baik  dalam mengenal dan memahami sandhangan aksara Jawa.</v>
      </c>
      <c r="AG38" s="414">
        <f>IFERROR('MLK2-3'!AP37,"")</f>
        <v>93</v>
      </c>
      <c r="AH38" s="414" t="str">
        <f>IFERROR('MLK2-3'!AQ37,"")</f>
        <v>A</v>
      </c>
      <c r="AI38" s="413" t="str">
        <f>'MLK2-3'!AV37</f>
        <v>Anak 33 sangat baik  dalam mengenal dan mengidentifikasi benda-benda di dapur dan nama-nama bunga, dan  baik  dalam memahami penggunaan kalimat yang menunjukkan letak suatu tempat</v>
      </c>
      <c r="AJ38" s="414">
        <f>IFERROR('MLK3-3'!AP37,"")</f>
        <v>88</v>
      </c>
      <c r="AK38" s="414" t="str">
        <f>IFERROR('MLK3-3'!AQ37,"")</f>
        <v>B</v>
      </c>
      <c r="AL38" s="415" t="str">
        <f>'MLK3-3'!AV37</f>
        <v>Anak 33 baik  dalam mengenal dan memahami penggunaan microsoft  word., dan  baik  dalam memahami pembuatan dokumen di microsoft  word</v>
      </c>
      <c r="AM38" s="414" t="str">
        <f>IFERROR('PAI4'!CI38,"")</f>
        <v/>
      </c>
      <c r="AN38" s="414" t="str">
        <f>IFERROR('PAI4'!CJ38,"")</f>
        <v/>
      </c>
      <c r="AO38" s="415" t="str">
        <f>'PAI4'!CO38</f>
        <v xml:space="preserve"> </v>
      </c>
      <c r="AP38" s="414" t="str">
        <f>IFERROR('PKN4'!AD37,"")</f>
        <v/>
      </c>
      <c r="AQ38" s="414" t="str">
        <f>IFERROR('PKN4'!AE37,"")</f>
        <v/>
      </c>
      <c r="AR38" s="413" t="str">
        <f>'PKN4'!AJ37</f>
        <v xml:space="preserve"> </v>
      </c>
      <c r="AS38" s="414" t="str">
        <f>IFERROR(BIND4!AP37,"")</f>
        <v/>
      </c>
      <c r="AT38" s="414" t="str">
        <f>IFERROR(BIND4!AQ37,"")</f>
        <v/>
      </c>
      <c r="AU38" s="413" t="str">
        <f>BIND4!AV37</f>
        <v xml:space="preserve"> </v>
      </c>
      <c r="AV38" s="414" t="str">
        <f>IFERROR('MTK4'!AP37,"")</f>
        <v/>
      </c>
      <c r="AW38" s="414" t="str">
        <f>IFERROR('MTK4'!AQ37,"")</f>
        <v/>
      </c>
      <c r="AX38" s="413" t="str">
        <f>'MTK4'!AV37</f>
        <v xml:space="preserve"> </v>
      </c>
      <c r="AY38" s="414" t="str">
        <f>IFERROR('IPA4'!AJ37,"")</f>
        <v/>
      </c>
      <c r="AZ38" s="414" t="str">
        <f>IFERROR('IPA4'!AK37,"")</f>
        <v/>
      </c>
      <c r="BA38" s="413" t="str">
        <f>'IPA4'!AP37</f>
        <v xml:space="preserve"> </v>
      </c>
      <c r="BB38" s="414" t="str">
        <f>IFERROR('IPS4'!AG37,"")</f>
        <v/>
      </c>
      <c r="BC38" s="414" t="str">
        <f>IFERROR('IPS4'!AH37,"")</f>
        <v/>
      </c>
      <c r="BD38" s="413" t="str">
        <f>'IPS4'!AM37</f>
        <v xml:space="preserve"> </v>
      </c>
      <c r="BE38" s="414" t="str">
        <f>IFERROR(SBDP4!AG37,"")</f>
        <v/>
      </c>
      <c r="BF38" s="414" t="str">
        <f>IFERROR(SBDP4!AH37,"")</f>
        <v/>
      </c>
      <c r="BG38" s="413" t="str">
        <f>SBDP4!AM37</f>
        <v xml:space="preserve"> </v>
      </c>
      <c r="BH38" s="414" t="str">
        <f>IFERROR(PJOK4!AJ37,"")</f>
        <v/>
      </c>
      <c r="BI38" s="414" t="str">
        <f>IFERROR(PJOK4!AK37,"")</f>
        <v/>
      </c>
      <c r="BJ38" s="415" t="str">
        <f>PJOK4!AP37</f>
        <v xml:space="preserve"> </v>
      </c>
      <c r="BK38" s="414" t="str">
        <f>IFERROR('MLK1-4'!AG37,"")</f>
        <v/>
      </c>
      <c r="BL38" s="414" t="str">
        <f>IFERROR('MLK1-4'!AH37,"")</f>
        <v/>
      </c>
      <c r="BM38" s="413" t="str">
        <f>'MLK1-4'!AM37</f>
        <v xml:space="preserve"> </v>
      </c>
      <c r="BN38" s="414" t="str">
        <f>IFERROR('MLK2-4'!AG37,"")</f>
        <v/>
      </c>
      <c r="BO38" s="414" t="str">
        <f>IFERROR('MLK2-4'!AH37,"")</f>
        <v/>
      </c>
      <c r="BP38" s="413" t="str">
        <f>'MLK2-4'!AM37</f>
        <v xml:space="preserve"> </v>
      </c>
      <c r="BQ38" s="414" t="str">
        <f>IFERROR('MLK3-4'!AG37,"")</f>
        <v/>
      </c>
      <c r="BR38" s="414" t="str">
        <f>IFERROR('MLK3-4'!AH37,"")</f>
        <v/>
      </c>
      <c r="BS38" s="413" t="str">
        <f>'MLK3-4'!AM37</f>
        <v xml:space="preserve"> </v>
      </c>
      <c r="BT38" s="414">
        <f t="shared" si="0"/>
        <v>47.68181818181818</v>
      </c>
      <c r="BU38" s="444">
        <f t="shared" si="1"/>
        <v>1049</v>
      </c>
      <c r="BV38" s="416">
        <f t="shared" si="2"/>
        <v>1049</v>
      </c>
      <c r="BW38" s="417">
        <f t="shared" si="3"/>
        <v>36</v>
      </c>
    </row>
    <row r="39" spans="1:75" ht="20.25" customHeight="1">
      <c r="A39" s="113">
        <v>34</v>
      </c>
      <c r="B39" s="113">
        <f>SISWA!B39</f>
        <v>0</v>
      </c>
      <c r="C39" s="410" t="str">
        <f>SISWA!C39</f>
        <v>Anak 34</v>
      </c>
      <c r="D39" s="411" t="str">
        <f>SPIRIT!Q38</f>
        <v xml:space="preserve">Ananda Anak 34 baik dalam  ketaatan beribadah,  berperilaku syukur,  berdoa sebelum dan sesudah melakukan kegiatan,  toleransi dalam beribadah, </v>
      </c>
      <c r="E39" s="411" t="str">
        <f>SOSIAL!W38</f>
        <v xml:space="preserve">Ananda Anak 34 baik dalam sikap jujur, disiplin, tanggung jawab, santun, peduli, percaya diri, kerja sama, </v>
      </c>
      <c r="F39" s="412">
        <f>IFERROR('PAI3'!DU39,"")</f>
        <v>99</v>
      </c>
      <c r="G39" s="412" t="str">
        <f>IFERROR('PAI3'!DV39,"")</f>
        <v>A</v>
      </c>
      <c r="H39" s="413" t="str">
        <f>'PAI3'!EA39</f>
        <v>Anak 34 sangat baik  dalam memahami Q.S. al- Falaq dan Q.S. al- Fil dengan baik dan benar</v>
      </c>
      <c r="I39" s="412">
        <f>IFERROR('PKN3'!AI38,"")</f>
        <v>96</v>
      </c>
      <c r="J39" s="412" t="str">
        <f>IFERROR('PKN3'!AJ38,"")</f>
        <v>A</v>
      </c>
      <c r="K39" s="411" t="str">
        <f>'PKN3'!AO38</f>
        <v>Anak 34 sangat baik  dalam mengidentifikasi pelaksanaan kewajiban dan hak sebagai warga masyarakat dalam kehidupan sehari-hari., dan  sangat baik  dalam menjelaskan manfaat keberagaman karakteristik individu dalam kehidupan sehari-hari.</v>
      </c>
      <c r="L39" s="414">
        <f>IFERROR(BIND3!AU38,"")</f>
        <v>97</v>
      </c>
      <c r="M39" s="414" t="str">
        <f>IFERROR(BIND3!AV38,"")</f>
        <v>A</v>
      </c>
      <c r="N39" s="413" t="str">
        <f>BIND3!BA38</f>
        <v>Anak 34 sangat baik  dalam menggali pengetahuan baru yang terdapat pada teks nonfiksi., dan  sangat baik  dalam menggali informasi dari seorang tokoh melalui wawancara menggunakan daftar pertanyaan.</v>
      </c>
      <c r="O39" s="414">
        <f>IFERROR('MTK3'!BC38,"")</f>
        <v>97</v>
      </c>
      <c r="P39" s="414" t="str">
        <f>IFERROR('MTK3'!BD38,"")</f>
        <v>A</v>
      </c>
      <c r="Q39" s="413" t="str">
        <f>'MTK3'!BI38</f>
        <v>Anak 34 sangat baik  dalam menjelaskan dan melakukan penaksiran dari jumlah, selisih, hasil kali, dan hasil bagi dua bilangan cacah maupun pecahan dan desimal, dan  sangat baik  dalam menjelaskan berbagai bentuk pecahan (biasa, campuran, desimal, dan persen) dan hubungan di antaranya</v>
      </c>
      <c r="R39" s="414">
        <f>IFERROR('IPA3'!AM38,"")</f>
        <v>99</v>
      </c>
      <c r="S39" s="414" t="str">
        <f>IFERROR('IPA3'!AN38,"")</f>
        <v>A</v>
      </c>
      <c r="T39" s="413" t="str">
        <f>'IPA3'!AS38</f>
        <v>Anak 34 sangat baik  dalam membandingkan siklus hidup beberapa jenis makhluk hidup serta mengaitkan dengan upaya pelestariannya.</v>
      </c>
      <c r="U39" s="414">
        <f>IFERROR('IPS3'!AN38,"")</f>
        <v>99</v>
      </c>
      <c r="V39" s="414" t="str">
        <f>IFERROR('IPS3'!AO38,"")</f>
        <v>A</v>
      </c>
      <c r="W39" s="413" t="str">
        <f>'IPS3'!AT38</f>
        <v>Anak 34 sangat baik  dalam mengidentifikasi karakteristik ruang dan pemanfaatan sumberdaya alam untuk kesejahteraan masyarakat dari tingkatkota/kabupaten sampai tingkat provinsi.</v>
      </c>
      <c r="X39" s="414">
        <f>IFERROR(SBDP3!AN38,"")</f>
        <v>99</v>
      </c>
      <c r="Y39" s="414" t="str">
        <f>IFERROR(SBDP3!AO38,"")</f>
        <v>A</v>
      </c>
      <c r="Z39" s="413" t="str">
        <f>SBDP3!AT38</f>
        <v>Anak 34 sangat baik  dalam mengetahui gambar dan bentuk tiga dimensi.</v>
      </c>
      <c r="AA39" s="414">
        <f>IFERROR(PJOK3!AV38,"")</f>
        <v>95</v>
      </c>
      <c r="AB39" s="414" t="str">
        <f>IFERROR(PJOK3!AW38,"")</f>
        <v>A</v>
      </c>
      <c r="AC39" s="413" t="str">
        <f>PJOK3!BB38</f>
        <v>Anak 34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39" s="414">
        <f>IFERROR('MLK1-3'!AT38,"")</f>
        <v>92</v>
      </c>
      <c r="AE39" s="414" t="str">
        <f>IFERROR('MLK1-3'!AU38,"")</f>
        <v>A</v>
      </c>
      <c r="AF39" s="415" t="str">
        <f>'MLK1-3'!AZ38</f>
        <v>Anak 34 sangat baik  dalam mengenal, memahami, dan mengidentifikasi kata berimbuhan dalam teks sesuai kaidah, dan  sangat baik  dalam mengenal dan memahami sandhangan aksara Jawa.</v>
      </c>
      <c r="AG39" s="414">
        <f>IFERROR('MLK2-3'!AP38,"")</f>
        <v>94</v>
      </c>
      <c r="AH39" s="414" t="str">
        <f>IFERROR('MLK2-3'!AQ38,"")</f>
        <v>A</v>
      </c>
      <c r="AI39" s="413" t="str">
        <f>'MLK2-3'!AV38</f>
        <v>Anak 34 sangat baik  dalam mengenal dan mengidentifikasi benda-benda di dapur dan nama-nama bunga, dan  sangat baik  dalam memahami penggunaan kalimat yang menunjukkan letak suatu tempat</v>
      </c>
      <c r="AJ39" s="414">
        <f>IFERROR('MLK3-3'!AP38,"")</f>
        <v>90</v>
      </c>
      <c r="AK39" s="414" t="str">
        <f>IFERROR('MLK3-3'!AQ38,"")</f>
        <v>B</v>
      </c>
      <c r="AL39" s="415" t="str">
        <f>'MLK3-3'!AV38</f>
        <v>Anak 34 sangat baik  dalam memahami pembuatan dokumen di microsoft  word, dan  baik  dalam mengenal dan memahami penggunaan microsoft  word.</v>
      </c>
      <c r="AM39" s="414" t="str">
        <f>IFERROR('PAI4'!CI39,"")</f>
        <v/>
      </c>
      <c r="AN39" s="414" t="str">
        <f>IFERROR('PAI4'!CJ39,"")</f>
        <v/>
      </c>
      <c r="AO39" s="415" t="str">
        <f>'PAI4'!CO39</f>
        <v xml:space="preserve"> </v>
      </c>
      <c r="AP39" s="414" t="str">
        <f>IFERROR('PKN4'!AD38,"")</f>
        <v/>
      </c>
      <c r="AQ39" s="414" t="str">
        <f>IFERROR('PKN4'!AE38,"")</f>
        <v/>
      </c>
      <c r="AR39" s="413" t="str">
        <f>'PKN4'!AJ38</f>
        <v xml:space="preserve"> </v>
      </c>
      <c r="AS39" s="414" t="str">
        <f>IFERROR(BIND4!AP38,"")</f>
        <v/>
      </c>
      <c r="AT39" s="414" t="str">
        <f>IFERROR(BIND4!AQ38,"")</f>
        <v/>
      </c>
      <c r="AU39" s="413" t="str">
        <f>BIND4!AV38</f>
        <v xml:space="preserve"> </v>
      </c>
      <c r="AV39" s="414" t="str">
        <f>IFERROR('MTK4'!AP38,"")</f>
        <v/>
      </c>
      <c r="AW39" s="414" t="str">
        <f>IFERROR('MTK4'!AQ38,"")</f>
        <v/>
      </c>
      <c r="AX39" s="413" t="str">
        <f>'MTK4'!AV38</f>
        <v xml:space="preserve"> </v>
      </c>
      <c r="AY39" s="414" t="str">
        <f>IFERROR('IPA4'!AJ38,"")</f>
        <v/>
      </c>
      <c r="AZ39" s="414" t="str">
        <f>IFERROR('IPA4'!AK38,"")</f>
        <v/>
      </c>
      <c r="BA39" s="413" t="str">
        <f>'IPA4'!AP38</f>
        <v xml:space="preserve"> </v>
      </c>
      <c r="BB39" s="414" t="str">
        <f>IFERROR('IPS4'!AG38,"")</f>
        <v/>
      </c>
      <c r="BC39" s="414" t="str">
        <f>IFERROR('IPS4'!AH38,"")</f>
        <v/>
      </c>
      <c r="BD39" s="413" t="str">
        <f>'IPS4'!AM38</f>
        <v xml:space="preserve"> </v>
      </c>
      <c r="BE39" s="414" t="str">
        <f>IFERROR(SBDP4!AG38,"")</f>
        <v/>
      </c>
      <c r="BF39" s="414" t="str">
        <f>IFERROR(SBDP4!AH38,"")</f>
        <v/>
      </c>
      <c r="BG39" s="413" t="str">
        <f>SBDP4!AM38</f>
        <v xml:space="preserve"> </v>
      </c>
      <c r="BH39" s="414" t="str">
        <f>IFERROR(PJOK4!AJ38,"")</f>
        <v/>
      </c>
      <c r="BI39" s="414" t="str">
        <f>IFERROR(PJOK4!AK38,"")</f>
        <v/>
      </c>
      <c r="BJ39" s="415" t="str">
        <f>PJOK4!AP38</f>
        <v xml:space="preserve"> </v>
      </c>
      <c r="BK39" s="414" t="str">
        <f>IFERROR('MLK1-4'!AG38,"")</f>
        <v/>
      </c>
      <c r="BL39" s="414" t="str">
        <f>IFERROR('MLK1-4'!AH38,"")</f>
        <v/>
      </c>
      <c r="BM39" s="413" t="str">
        <f>'MLK1-4'!AM38</f>
        <v xml:space="preserve"> </v>
      </c>
      <c r="BN39" s="414" t="str">
        <f>IFERROR('MLK2-4'!AG38,"")</f>
        <v/>
      </c>
      <c r="BO39" s="414" t="str">
        <f>IFERROR('MLK2-4'!AH38,"")</f>
        <v/>
      </c>
      <c r="BP39" s="413" t="str">
        <f>'MLK2-4'!AM38</f>
        <v xml:space="preserve"> </v>
      </c>
      <c r="BQ39" s="414" t="str">
        <f>IFERROR('MLK3-4'!AG38,"")</f>
        <v/>
      </c>
      <c r="BR39" s="414" t="str">
        <f>IFERROR('MLK3-4'!AH38,"")</f>
        <v/>
      </c>
      <c r="BS39" s="413" t="str">
        <f>'MLK3-4'!AM38</f>
        <v xml:space="preserve"> </v>
      </c>
      <c r="BT39" s="414">
        <f t="shared" si="0"/>
        <v>48.045454545454547</v>
      </c>
      <c r="BU39" s="444">
        <f t="shared" si="1"/>
        <v>1057</v>
      </c>
      <c r="BV39" s="416">
        <f t="shared" si="2"/>
        <v>1057</v>
      </c>
      <c r="BW39" s="417">
        <f t="shared" si="3"/>
        <v>22</v>
      </c>
    </row>
    <row r="40" spans="1:75" ht="20.25" customHeight="1">
      <c r="A40" s="113">
        <v>35</v>
      </c>
      <c r="B40" s="113">
        <f>SISWA!B40</f>
        <v>0</v>
      </c>
      <c r="C40" s="410" t="str">
        <f>SISWA!C40</f>
        <v>Anak 35</v>
      </c>
      <c r="D40" s="411" t="str">
        <f>SPIRIT!Q39</f>
        <v xml:space="preserve">Ananda Anak 35 baik dalam  ketaatan beribadah,  berperilaku syukur,  berdoa sebelum dan sesudah melakukan kegiatan,  toleransi dalam beribadah, </v>
      </c>
      <c r="E40" s="411" t="str">
        <f>SOSIAL!W39</f>
        <v xml:space="preserve">Ananda Anak 35 baik dalam sikap jujur, disiplin, tanggung jawab, santun, peduli, percaya diri, kerja sama, </v>
      </c>
      <c r="F40" s="412">
        <f>IFERROR('PAI3'!DU40,"")</f>
        <v>99</v>
      </c>
      <c r="G40" s="412" t="str">
        <f>IFERROR('PAI3'!DV40,"")</f>
        <v>A</v>
      </c>
      <c r="H40" s="413" t="str">
        <f>'PAI3'!EA40</f>
        <v>Anak 35 sangat baik  dalam memahami Q.S. al- Falaq dan Q.S. al- Fil dengan baik dan benar</v>
      </c>
      <c r="I40" s="412">
        <f>IFERROR('PKN3'!AI39,"")</f>
        <v>95</v>
      </c>
      <c r="J40" s="412" t="str">
        <f>IFERROR('PKN3'!AJ39,"")</f>
        <v>A</v>
      </c>
      <c r="K40" s="411" t="str">
        <f>'PKN3'!AO39</f>
        <v>Anak 35 sangat baik  dalam mengidentifikasi pelaksanaan kewajiban dan hak sebagai warga masyarakat dalam kehidupan sehari-hari., dan  sangat baik  dalam mengidentifikasi berbagai bentuk keragaman suku bangsa, sosial, dan budaya di Indonesia yang terikat persatuan dan kesatuan.</v>
      </c>
      <c r="L40" s="414">
        <f>IFERROR(BIND3!AU39,"")</f>
        <v>96</v>
      </c>
      <c r="M40" s="414" t="str">
        <f>IFERROR(BIND3!AV39,"")</f>
        <v>A</v>
      </c>
      <c r="N40" s="413" t="str">
        <f>BIND3!BA39</f>
        <v>Anak 35 sangat baik  dalam menggali pengetahuan baru yang terdapat pada teks nonfiksi., dan  sangat baik  dalam menggali informasi dari seorang tokoh melalui wawancara menggunakan daftar pertanyaan.</v>
      </c>
      <c r="O40" s="414">
        <f>IFERROR('MTK3'!BC39,"")</f>
        <v>97</v>
      </c>
      <c r="P40" s="414" t="str">
        <f>IFERROR('MTK3'!BD39,"")</f>
        <v>A</v>
      </c>
      <c r="Q40" s="413" t="str">
        <f>'MTK3'!BI39</f>
        <v>Anak 35 sangat baik  dalam menjelaskan dan melakukan penaksiran dari jumlah, selisih, hasil kali, dan hasil bagi dua bilangan cacah maupun pecahan dan desimal, dan  baik  dalam menjelaskan berbagai bentuk pecahan (biasa, campuran, desimal, dan persen) dan hubungan di antaranya</v>
      </c>
      <c r="R40" s="414">
        <f>IFERROR('IPA3'!AM39,"")</f>
        <v>99</v>
      </c>
      <c r="S40" s="414" t="str">
        <f>IFERROR('IPA3'!AN39,"")</f>
        <v>A</v>
      </c>
      <c r="T40" s="413" t="str">
        <f>'IPA3'!AS39</f>
        <v>Anak 35 sangat baik  dalam membandingkan siklus hidup beberapa jenis makhluk hidup serta mengaitkan dengan upaya pelestariannya.</v>
      </c>
      <c r="U40" s="414">
        <f>IFERROR('IPS3'!AN39,"")</f>
        <v>99</v>
      </c>
      <c r="V40" s="414" t="str">
        <f>IFERROR('IPS3'!AO39,"")</f>
        <v>A</v>
      </c>
      <c r="W40" s="413" t="str">
        <f>'IPS3'!AT39</f>
        <v>Anak 35 sangat baik  dalam mengidentifikasi karakteristik ruang dan pemanfaatan sumberdaya alam untuk kesejahteraan masyarakat dari tingkatkota/kabupaten sampai tingkat provinsi.</v>
      </c>
      <c r="X40" s="414">
        <f>IFERROR(SBDP3!AN39,"")</f>
        <v>99</v>
      </c>
      <c r="Y40" s="414" t="str">
        <f>IFERROR(SBDP3!AO39,"")</f>
        <v>A</v>
      </c>
      <c r="Z40" s="413" t="str">
        <f>SBDP3!AT39</f>
        <v>Anak 35 sangat baik  dalam mengetahui gambar dan bentuk tiga dimensi.</v>
      </c>
      <c r="AA40" s="414">
        <f>IFERROR(PJOK3!AV39,"")</f>
        <v>95</v>
      </c>
      <c r="AB40" s="414" t="str">
        <f>IFERROR(PJOK3!AW39,"")</f>
        <v>A</v>
      </c>
      <c r="AC40" s="413" t="str">
        <f>PJOK3!BB39</f>
        <v>Anak 35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0" s="414">
        <f>IFERROR('MLK1-3'!AT39,"")</f>
        <v>90</v>
      </c>
      <c r="AE40" s="414" t="str">
        <f>IFERROR('MLK1-3'!AU39,"")</f>
        <v>B</v>
      </c>
      <c r="AF40" s="415" t="str">
        <f>'MLK1-3'!AZ39</f>
        <v>Anak 35 sangat baik  dalam mengenal dan memahmi teks tembang dolanan, dan  baik  dalam mengenal dan memahami sandhangan aksara Jawa.</v>
      </c>
      <c r="AG40" s="414">
        <f>IFERROR('MLK2-3'!AP39,"")</f>
        <v>93</v>
      </c>
      <c r="AH40" s="414" t="str">
        <f>IFERROR('MLK2-3'!AQ39,"")</f>
        <v>A</v>
      </c>
      <c r="AI40" s="413" t="str">
        <f>'MLK2-3'!AV39</f>
        <v>Anak 35 sangat baik  dalam mengenal dan mengidentifikasi benda-benda di dapur dan nama-nama bunga, dan  baik  dalam memahami penggunaan kalimat yang menunjukkan letak suatu tempat</v>
      </c>
      <c r="AJ40" s="414">
        <f>IFERROR('MLK3-3'!AP39,"")</f>
        <v>88</v>
      </c>
      <c r="AK40" s="414" t="str">
        <f>IFERROR('MLK3-3'!AQ39,"")</f>
        <v>B</v>
      </c>
      <c r="AL40" s="415" t="str">
        <f>'MLK3-3'!AV39</f>
        <v>Anak 35 baik  dalam mengenal dan memahami penggunaan microsoft  word., dan  baik  dalam memahami pembuatan dokumen di microsoft  word</v>
      </c>
      <c r="AM40" s="414" t="str">
        <f>IFERROR('PAI4'!CI40,"")</f>
        <v/>
      </c>
      <c r="AN40" s="414" t="str">
        <f>IFERROR('PAI4'!CJ40,"")</f>
        <v/>
      </c>
      <c r="AO40" s="415" t="str">
        <f>'PAI4'!CO40</f>
        <v xml:space="preserve"> </v>
      </c>
      <c r="AP40" s="414" t="str">
        <f>IFERROR('PKN4'!AD39,"")</f>
        <v/>
      </c>
      <c r="AQ40" s="414" t="str">
        <f>IFERROR('PKN4'!AE39,"")</f>
        <v/>
      </c>
      <c r="AR40" s="413" t="str">
        <f>'PKN4'!AJ39</f>
        <v xml:space="preserve"> </v>
      </c>
      <c r="AS40" s="414" t="str">
        <f>IFERROR(BIND4!AP39,"")</f>
        <v/>
      </c>
      <c r="AT40" s="414" t="str">
        <f>IFERROR(BIND4!AQ39,"")</f>
        <v/>
      </c>
      <c r="AU40" s="413" t="str">
        <f>BIND4!AV39</f>
        <v xml:space="preserve"> </v>
      </c>
      <c r="AV40" s="414" t="str">
        <f>IFERROR('MTK4'!AP39,"")</f>
        <v/>
      </c>
      <c r="AW40" s="414" t="str">
        <f>IFERROR('MTK4'!AQ39,"")</f>
        <v/>
      </c>
      <c r="AX40" s="413" t="str">
        <f>'MTK4'!AV39</f>
        <v xml:space="preserve"> </v>
      </c>
      <c r="AY40" s="414" t="str">
        <f>IFERROR('IPA4'!AJ39,"")</f>
        <v/>
      </c>
      <c r="AZ40" s="414" t="str">
        <f>IFERROR('IPA4'!AK39,"")</f>
        <v/>
      </c>
      <c r="BA40" s="413" t="str">
        <f>'IPA4'!AP39</f>
        <v xml:space="preserve"> </v>
      </c>
      <c r="BB40" s="414" t="str">
        <f>IFERROR('IPS4'!AG39,"")</f>
        <v/>
      </c>
      <c r="BC40" s="414" t="str">
        <f>IFERROR('IPS4'!AH39,"")</f>
        <v/>
      </c>
      <c r="BD40" s="413" t="str">
        <f>'IPS4'!AM39</f>
        <v xml:space="preserve"> </v>
      </c>
      <c r="BE40" s="414" t="str">
        <f>IFERROR(SBDP4!AG39,"")</f>
        <v/>
      </c>
      <c r="BF40" s="414" t="str">
        <f>IFERROR(SBDP4!AH39,"")</f>
        <v/>
      </c>
      <c r="BG40" s="413" t="str">
        <f>SBDP4!AM39</f>
        <v xml:space="preserve"> </v>
      </c>
      <c r="BH40" s="414" t="str">
        <f>IFERROR(PJOK4!AJ39,"")</f>
        <v/>
      </c>
      <c r="BI40" s="414" t="str">
        <f>IFERROR(PJOK4!AK39,"")</f>
        <v/>
      </c>
      <c r="BJ40" s="415" t="str">
        <f>PJOK4!AP39</f>
        <v xml:space="preserve"> </v>
      </c>
      <c r="BK40" s="414" t="str">
        <f>IFERROR('MLK1-4'!AG39,"")</f>
        <v/>
      </c>
      <c r="BL40" s="414" t="str">
        <f>IFERROR('MLK1-4'!AH39,"")</f>
        <v/>
      </c>
      <c r="BM40" s="413" t="str">
        <f>'MLK1-4'!AM39</f>
        <v xml:space="preserve"> </v>
      </c>
      <c r="BN40" s="414" t="str">
        <f>IFERROR('MLK2-4'!AG39,"")</f>
        <v/>
      </c>
      <c r="BO40" s="414" t="str">
        <f>IFERROR('MLK2-4'!AH39,"")</f>
        <v/>
      </c>
      <c r="BP40" s="413" t="str">
        <f>'MLK2-4'!AM39</f>
        <v xml:space="preserve"> </v>
      </c>
      <c r="BQ40" s="414" t="str">
        <f>IFERROR('MLK3-4'!AG39,"")</f>
        <v/>
      </c>
      <c r="BR40" s="414" t="str">
        <f>IFERROR('MLK3-4'!AH39,"")</f>
        <v/>
      </c>
      <c r="BS40" s="413" t="str">
        <f>'MLK3-4'!AM39</f>
        <v xml:space="preserve"> </v>
      </c>
      <c r="BT40" s="414">
        <f t="shared" si="0"/>
        <v>47.727272727272727</v>
      </c>
      <c r="BU40" s="444">
        <f t="shared" si="1"/>
        <v>1050</v>
      </c>
      <c r="BV40" s="416">
        <f t="shared" si="2"/>
        <v>1050</v>
      </c>
      <c r="BW40" s="417">
        <f t="shared" si="3"/>
        <v>34</v>
      </c>
    </row>
    <row r="41" spans="1:75" ht="20.25" customHeight="1">
      <c r="A41" s="113">
        <v>36</v>
      </c>
      <c r="B41" s="113">
        <f>SISWA!B41</f>
        <v>0</v>
      </c>
      <c r="C41" s="410" t="str">
        <f>SISWA!C41</f>
        <v>Anak 36</v>
      </c>
      <c r="D41" s="411" t="str">
        <f>SPIRIT!Q40</f>
        <v xml:space="preserve">Ananda Anak 36 baik dalam  ketaatan beribadah,  berperilaku syukur,  berdoa sebelum dan sesudah melakukan kegiatan,  toleransi dalam beribadah, </v>
      </c>
      <c r="E41" s="411" t="str">
        <f>SOSIAL!W40</f>
        <v xml:space="preserve">Ananda Anak 36 baik dalam sikap jujur, disiplin, tanggung jawab, santun, peduli, percaya diri, kerja sama, </v>
      </c>
      <c r="F41" s="412">
        <f>IFERROR('PAI3'!DU41,"")</f>
        <v>99</v>
      </c>
      <c r="G41" s="412" t="str">
        <f>IFERROR('PAI3'!DV41,"")</f>
        <v>A</v>
      </c>
      <c r="H41" s="413" t="str">
        <f>'PAI3'!EA41</f>
        <v>Anak 36 sangat baik  dalam memahami Q.S. al- Falaq dan Q.S. al- Fil dengan baik dan benar</v>
      </c>
      <c r="I41" s="412">
        <f>IFERROR('PKN3'!AI40,"")</f>
        <v>96</v>
      </c>
      <c r="J41" s="412" t="str">
        <f>IFERROR('PKN3'!AJ40,"")</f>
        <v>A</v>
      </c>
      <c r="K41" s="411" t="str">
        <f>'PKN3'!AO40</f>
        <v>Anak 36 sangat baik  dalam mengidentifikasi pelaksanaan kewajiban dan hak sebagai warga masyarakat dalam kehidupan sehari-hari., dan  sangat baik  dalam mengidentifikasi berbagai bentuk keragaman suku bangsa, sosial, dan budaya di Indonesia yang terikat persatuan dan kesatuan.</v>
      </c>
      <c r="L41" s="414">
        <f>IFERROR(BIND3!AU40,"")</f>
        <v>97</v>
      </c>
      <c r="M41" s="414" t="str">
        <f>IFERROR(BIND3!AV40,"")</f>
        <v>A</v>
      </c>
      <c r="N41" s="413" t="str">
        <f>BIND3!BA40</f>
        <v>Anak 36 sangat baik  dalam menggali pengetahuan baru yang terdapat pada teks nonfiksi., dan  sangat baik  dalam menggali isi dan amanat puisi yang disajikan secara lisan dan tulis dengan tujuan untuk kesenangan.</v>
      </c>
      <c r="O41" s="414">
        <f>IFERROR('MTK3'!BC40,"")</f>
        <v>97</v>
      </c>
      <c r="P41" s="414" t="str">
        <f>IFERROR('MTK3'!BD40,"")</f>
        <v>A</v>
      </c>
      <c r="Q41" s="413" t="str">
        <f>'MTK3'!BI40</f>
        <v>Anak 36 sangat baik  dalam menjelaskan dan melakukan penaksiran dari jumlah, selisih, hasil kali, dan hasil bagi dua bilangan cacah maupun pecahan dan desimal, dan  sangat baik  dalam menjelaskan berbagai bentuk pecahan (biasa, campuran, desimal, dan persen) dan hubungan di antaranya</v>
      </c>
      <c r="R41" s="414">
        <f>IFERROR('IPA3'!AM40,"")</f>
        <v>99</v>
      </c>
      <c r="S41" s="414" t="str">
        <f>IFERROR('IPA3'!AN40,"")</f>
        <v>A</v>
      </c>
      <c r="T41" s="413" t="str">
        <f>'IPA3'!AS40</f>
        <v>Anak 36 sangat baik  dalam membandingkan siklus hidup beberapa jenis makhluk hidup serta mengaitkan dengan upaya pelestariannya.</v>
      </c>
      <c r="U41" s="414">
        <f>IFERROR('IPS3'!AN40,"")</f>
        <v>99</v>
      </c>
      <c r="V41" s="414" t="str">
        <f>IFERROR('IPS3'!AO40,"")</f>
        <v>A</v>
      </c>
      <c r="W41" s="413" t="str">
        <f>'IPS3'!AT40</f>
        <v>Anak 36 sangat baik  dalam mengidentifikasi karakteristik ruang dan pemanfaatan sumberdaya alam untuk kesejahteraan masyarakat dari tingkatkota/kabupaten sampai tingkat provinsi.</v>
      </c>
      <c r="X41" s="414">
        <f>IFERROR(SBDP3!AN40,"")</f>
        <v>99</v>
      </c>
      <c r="Y41" s="414" t="str">
        <f>IFERROR(SBDP3!AO40,"")</f>
        <v>A</v>
      </c>
      <c r="Z41" s="413" t="str">
        <f>SBDP3!AT40</f>
        <v>Anak 36 sangat baik  dalam mengetahui gambar dan bentuk tiga dimensi.</v>
      </c>
      <c r="AA41" s="414">
        <f>IFERROR(PJOK3!AV40,"")</f>
        <v>96</v>
      </c>
      <c r="AB41" s="414" t="str">
        <f>IFERROR(PJOK3!AW40,"")</f>
        <v>A</v>
      </c>
      <c r="AC41" s="413" t="str">
        <f>PJOK3!BB40</f>
        <v>Anak 36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1" s="414">
        <f>IFERROR('MLK1-3'!AT40,"")</f>
        <v>92</v>
      </c>
      <c r="AE41" s="414" t="str">
        <f>IFERROR('MLK1-3'!AU40,"")</f>
        <v>A</v>
      </c>
      <c r="AF41" s="415" t="str">
        <f>'MLK1-3'!AZ40</f>
        <v>Anak 36 sangat baik  dalam mengenal dan memahmi teks tembang dolanan, dan  sangat baik  dalam mengenal dan memahami sandhangan aksara Jawa.</v>
      </c>
      <c r="AG41" s="414">
        <f>IFERROR('MLK2-3'!AP40,"")</f>
        <v>94</v>
      </c>
      <c r="AH41" s="414" t="str">
        <f>IFERROR('MLK2-3'!AQ40,"")</f>
        <v>A</v>
      </c>
      <c r="AI41" s="413" t="str">
        <f>'MLK2-3'!AV40</f>
        <v>Anak 36 sangat baik  dalam mengenal dan mengidentifikasi benda-benda di dapur dan nama-nama bunga, dan  sangat baik  dalam memahami penggunaan kalimat yang menunjukkan letak suatu tempat</v>
      </c>
      <c r="AJ41" s="414">
        <f>IFERROR('MLK3-3'!AP40,"")</f>
        <v>91</v>
      </c>
      <c r="AK41" s="414" t="str">
        <f>IFERROR('MLK3-3'!AQ40,"")</f>
        <v>A</v>
      </c>
      <c r="AL41" s="415" t="str">
        <f>'MLK3-3'!AV40</f>
        <v>Anak 36 sangat baik  dalam mengenal dan memahami penggunaan microsoft  word., dan  baik  dalam memahami pembuatan dokumen di microsoft  word</v>
      </c>
      <c r="AM41" s="414" t="str">
        <f>IFERROR('PAI4'!CI41,"")</f>
        <v/>
      </c>
      <c r="AN41" s="414" t="str">
        <f>IFERROR('PAI4'!CJ41,"")</f>
        <v/>
      </c>
      <c r="AO41" s="415" t="str">
        <f>'PAI4'!CO41</f>
        <v xml:space="preserve"> </v>
      </c>
      <c r="AP41" s="414" t="str">
        <f>IFERROR('PKN4'!AD40,"")</f>
        <v/>
      </c>
      <c r="AQ41" s="414" t="str">
        <f>IFERROR('PKN4'!AE40,"")</f>
        <v/>
      </c>
      <c r="AR41" s="413" t="str">
        <f>'PKN4'!AJ40</f>
        <v xml:space="preserve"> </v>
      </c>
      <c r="AS41" s="414" t="str">
        <f>IFERROR(BIND4!AP40,"")</f>
        <v/>
      </c>
      <c r="AT41" s="414" t="str">
        <f>IFERROR(BIND4!AQ40,"")</f>
        <v/>
      </c>
      <c r="AU41" s="413" t="str">
        <f>BIND4!AV40</f>
        <v xml:space="preserve"> </v>
      </c>
      <c r="AV41" s="414" t="str">
        <f>IFERROR('MTK4'!AP40,"")</f>
        <v/>
      </c>
      <c r="AW41" s="414" t="str">
        <f>IFERROR('MTK4'!AQ40,"")</f>
        <v/>
      </c>
      <c r="AX41" s="413" t="str">
        <f>'MTK4'!AV40</f>
        <v xml:space="preserve"> </v>
      </c>
      <c r="AY41" s="414" t="str">
        <f>IFERROR('IPA4'!AJ40,"")</f>
        <v/>
      </c>
      <c r="AZ41" s="414" t="str">
        <f>IFERROR('IPA4'!AK40,"")</f>
        <v/>
      </c>
      <c r="BA41" s="413" t="str">
        <f>'IPA4'!AP40</f>
        <v xml:space="preserve"> </v>
      </c>
      <c r="BB41" s="414" t="str">
        <f>IFERROR('IPS4'!AG40,"")</f>
        <v/>
      </c>
      <c r="BC41" s="414" t="str">
        <f>IFERROR('IPS4'!AH40,"")</f>
        <v/>
      </c>
      <c r="BD41" s="413" t="str">
        <f>'IPS4'!AM40</f>
        <v xml:space="preserve"> </v>
      </c>
      <c r="BE41" s="414" t="str">
        <f>IFERROR(SBDP4!AG40,"")</f>
        <v/>
      </c>
      <c r="BF41" s="414" t="str">
        <f>IFERROR(SBDP4!AH40,"")</f>
        <v/>
      </c>
      <c r="BG41" s="413" t="str">
        <f>SBDP4!AM40</f>
        <v xml:space="preserve"> </v>
      </c>
      <c r="BH41" s="414" t="str">
        <f>IFERROR(PJOK4!AJ40,"")</f>
        <v/>
      </c>
      <c r="BI41" s="414" t="str">
        <f>IFERROR(PJOK4!AK40,"")</f>
        <v/>
      </c>
      <c r="BJ41" s="415" t="str">
        <f>PJOK4!AP40</f>
        <v xml:space="preserve"> </v>
      </c>
      <c r="BK41" s="414" t="str">
        <f>IFERROR('MLK1-4'!AG40,"")</f>
        <v/>
      </c>
      <c r="BL41" s="414" t="str">
        <f>IFERROR('MLK1-4'!AH40,"")</f>
        <v/>
      </c>
      <c r="BM41" s="413" t="str">
        <f>'MLK1-4'!AM40</f>
        <v xml:space="preserve"> </v>
      </c>
      <c r="BN41" s="414" t="str">
        <f>IFERROR('MLK2-4'!AG40,"")</f>
        <v/>
      </c>
      <c r="BO41" s="414" t="str">
        <f>IFERROR('MLK2-4'!AH40,"")</f>
        <v/>
      </c>
      <c r="BP41" s="413" t="str">
        <f>'MLK2-4'!AM40</f>
        <v xml:space="preserve"> </v>
      </c>
      <c r="BQ41" s="414" t="str">
        <f>IFERROR('MLK3-4'!AG40,"")</f>
        <v/>
      </c>
      <c r="BR41" s="414" t="str">
        <f>IFERROR('MLK3-4'!AH40,"")</f>
        <v/>
      </c>
      <c r="BS41" s="413" t="str">
        <f>'MLK3-4'!AM40</f>
        <v xml:space="preserve"> </v>
      </c>
      <c r="BT41" s="414">
        <f t="shared" si="0"/>
        <v>48.136363636363633</v>
      </c>
      <c r="BU41" s="444">
        <f t="shared" si="1"/>
        <v>1059</v>
      </c>
      <c r="BV41" s="416">
        <f t="shared" si="2"/>
        <v>1059</v>
      </c>
      <c r="BW41" s="417">
        <f t="shared" si="3"/>
        <v>18</v>
      </c>
    </row>
    <row r="42" spans="1:75" ht="20.25" customHeight="1">
      <c r="A42" s="113">
        <v>37</v>
      </c>
      <c r="B42" s="113">
        <f>SISWA!B42</f>
        <v>0</v>
      </c>
      <c r="C42" s="410" t="str">
        <f>SISWA!C42</f>
        <v>Anak 37</v>
      </c>
      <c r="D42" s="411" t="str">
        <f>SPIRIT!Q41</f>
        <v xml:space="preserve">Ananda Anak 37 baik dalam  ketaatan beribadah,  berperilaku syukur,  berdoa sebelum dan sesudah melakukan kegiatan,  toleransi dalam beribadah, </v>
      </c>
      <c r="E42" s="411" t="str">
        <f>SOSIAL!W41</f>
        <v xml:space="preserve">Ananda Anak 37 baik dalam sikap jujur, disiplin, tanggung jawab, santun, peduli, percaya diri, kerja sama, </v>
      </c>
      <c r="F42" s="412">
        <f>IFERROR('PAI3'!DU42,"")</f>
        <v>99</v>
      </c>
      <c r="G42" s="412" t="str">
        <f>IFERROR('PAI3'!DV42,"")</f>
        <v>A</v>
      </c>
      <c r="H42" s="413" t="str">
        <f>'PAI3'!EA42</f>
        <v>Anak 37 sangat baik  dalam memahami Q.S. al- Falaq dan Q.S. al- Fil dengan baik dan benar</v>
      </c>
      <c r="I42" s="412">
        <f>IFERROR('PKN3'!AI41,"")</f>
        <v>96</v>
      </c>
      <c r="J42" s="412" t="str">
        <f>IFERROR('PKN3'!AJ41,"")</f>
        <v>A</v>
      </c>
      <c r="K42" s="411" t="str">
        <f>'PKN3'!AO41</f>
        <v>Anak 37 sangat baik  dalam mengidentifikasi pelaksanaan kewajiban dan hak sebagai warga masyarakat dalam kehidupan sehari-hari., dan  sangat baik  dalam mengidentifikasi berbagai bentuk keragaman suku bangsa, sosial, dan budaya di Indonesia yang terikat persatuan dan kesatuan.</v>
      </c>
      <c r="L42" s="414">
        <f>IFERROR(BIND3!AU41,"")</f>
        <v>97</v>
      </c>
      <c r="M42" s="414" t="str">
        <f>IFERROR(BIND3!AV41,"")</f>
        <v>A</v>
      </c>
      <c r="N42" s="413" t="str">
        <f>BIND3!BA41</f>
        <v>Anak 37 sangat baik  dalam menggali pengetahuan baru yang terdapat pada teks nonfiksi., dan  sangat baik  dalam menggali informasi dari seorang tokoh melalui wawancara menggunakan daftar pertanyaan.</v>
      </c>
      <c r="O42" s="414">
        <f>IFERROR('MTK3'!BC41,"")</f>
        <v>97</v>
      </c>
      <c r="P42" s="414" t="str">
        <f>IFERROR('MTK3'!BD41,"")</f>
        <v>A</v>
      </c>
      <c r="Q42" s="413" t="str">
        <f>'MTK3'!BI41</f>
        <v>Anak 37 sangat baik  dalam menjelaskan dan melakukan penaksiran dari jumlah, selisih, hasil kali, dan hasil bagi dua bilangan cacah maupun pecahan dan desimal, dan  baik  dalam menjelaskan berbagai bentuk pecahan (biasa, campuran, desimal, dan persen) dan hubungan di antaranya</v>
      </c>
      <c r="R42" s="414">
        <f>IFERROR('IPA3'!AM41,"")</f>
        <v>99</v>
      </c>
      <c r="S42" s="414" t="str">
        <f>IFERROR('IPA3'!AN41,"")</f>
        <v>A</v>
      </c>
      <c r="T42" s="413" t="str">
        <f>'IPA3'!AS41</f>
        <v>Anak 37 sangat baik  dalam membandingkan siklus hidup beberapa jenis makhluk hidup serta mengaitkan dengan upaya pelestariannya.</v>
      </c>
      <c r="U42" s="414">
        <f>IFERROR('IPS3'!AN41,"")</f>
        <v>99</v>
      </c>
      <c r="V42" s="414" t="str">
        <f>IFERROR('IPS3'!AO41,"")</f>
        <v>A</v>
      </c>
      <c r="W42" s="413" t="str">
        <f>'IPS3'!AT41</f>
        <v>Anak 37 sangat baik  dalam mengidentifikasi karakteristik ruang dan pemanfaatan sumberdaya alam untuk kesejahteraan masyarakat dari tingkatkota/kabupaten sampai tingkat provinsi.</v>
      </c>
      <c r="X42" s="414">
        <f>IFERROR(SBDP3!AN41,"")</f>
        <v>99</v>
      </c>
      <c r="Y42" s="414" t="str">
        <f>IFERROR(SBDP3!AO41,"")</f>
        <v>A</v>
      </c>
      <c r="Z42" s="413" t="str">
        <f>SBDP3!AT41</f>
        <v>Anak 37 sangat baik  dalam mengetahui gambar dan bentuk tiga dimensi.</v>
      </c>
      <c r="AA42" s="414">
        <f>IFERROR(PJOK3!AV41,"")</f>
        <v>95</v>
      </c>
      <c r="AB42" s="414" t="str">
        <f>IFERROR(PJOK3!AW41,"")</f>
        <v>A</v>
      </c>
      <c r="AC42" s="413" t="str">
        <f>PJOK3!BB41</f>
        <v>Anak 37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2" s="414">
        <f>IFERROR('MLK1-3'!AT41,"")</f>
        <v>92</v>
      </c>
      <c r="AE42" s="414" t="str">
        <f>IFERROR('MLK1-3'!AU41,"")</f>
        <v>A</v>
      </c>
      <c r="AF42" s="415" t="str">
        <f>'MLK1-3'!AZ41</f>
        <v>Anak 37 sangat baik  dalam mengenal dan memahmi teks tembang dolanan, dan  baik  dalam mengenal dan memahami sandhangan aksara Jawa.</v>
      </c>
      <c r="AG42" s="414">
        <f>IFERROR('MLK2-3'!AP41,"")</f>
        <v>94</v>
      </c>
      <c r="AH42" s="414" t="str">
        <f>IFERROR('MLK2-3'!AQ41,"")</f>
        <v>A</v>
      </c>
      <c r="AI42" s="413" t="str">
        <f>'MLK2-3'!AV41</f>
        <v>Anak 37 sangat baik  dalam mengenal dan mengidentifikasi benda-benda di dapur dan nama-nama bunga, dan  baik  dalam memahami penggunaan kalimat yang menunjukkan letak suatu tempat</v>
      </c>
      <c r="AJ42" s="414">
        <f>IFERROR('MLK3-3'!AP41,"")</f>
        <v>90</v>
      </c>
      <c r="AK42" s="414" t="str">
        <f>IFERROR('MLK3-3'!AQ41,"")</f>
        <v>B</v>
      </c>
      <c r="AL42" s="415" t="str">
        <f>'MLK3-3'!AV41</f>
        <v>Anak 37 baik  dalam mengenal dan memahami penggunaan microsoft  word., dan  baik  dalam memahami pembuatan dokumen di microsoft  word</v>
      </c>
      <c r="AM42" s="414" t="str">
        <f>IFERROR('PAI4'!CI42,"")</f>
        <v/>
      </c>
      <c r="AN42" s="414" t="str">
        <f>IFERROR('PAI4'!CJ42,"")</f>
        <v/>
      </c>
      <c r="AO42" s="415" t="str">
        <f>'PAI4'!CO42</f>
        <v xml:space="preserve"> </v>
      </c>
      <c r="AP42" s="414" t="str">
        <f>IFERROR('PKN4'!AD41,"")</f>
        <v/>
      </c>
      <c r="AQ42" s="414" t="str">
        <f>IFERROR('PKN4'!AE41,"")</f>
        <v/>
      </c>
      <c r="AR42" s="413" t="str">
        <f>'PKN4'!AJ41</f>
        <v xml:space="preserve"> </v>
      </c>
      <c r="AS42" s="414" t="str">
        <f>IFERROR(BIND4!AP41,"")</f>
        <v/>
      </c>
      <c r="AT42" s="414" t="str">
        <f>IFERROR(BIND4!AQ41,"")</f>
        <v/>
      </c>
      <c r="AU42" s="413" t="str">
        <f>BIND4!AV41</f>
        <v xml:space="preserve"> </v>
      </c>
      <c r="AV42" s="414" t="str">
        <f>IFERROR('MTK4'!AP41,"")</f>
        <v/>
      </c>
      <c r="AW42" s="414" t="str">
        <f>IFERROR('MTK4'!AQ41,"")</f>
        <v/>
      </c>
      <c r="AX42" s="413" t="str">
        <f>'MTK4'!AV41</f>
        <v xml:space="preserve"> </v>
      </c>
      <c r="AY42" s="414" t="str">
        <f>IFERROR('IPA4'!AJ41,"")</f>
        <v/>
      </c>
      <c r="AZ42" s="414" t="str">
        <f>IFERROR('IPA4'!AK41,"")</f>
        <v/>
      </c>
      <c r="BA42" s="413" t="str">
        <f>'IPA4'!AP41</f>
        <v xml:space="preserve"> </v>
      </c>
      <c r="BB42" s="414" t="str">
        <f>IFERROR('IPS4'!AG41,"")</f>
        <v/>
      </c>
      <c r="BC42" s="414" t="str">
        <f>IFERROR('IPS4'!AH41,"")</f>
        <v/>
      </c>
      <c r="BD42" s="413" t="str">
        <f>'IPS4'!AM41</f>
        <v xml:space="preserve"> </v>
      </c>
      <c r="BE42" s="414" t="str">
        <f>IFERROR(SBDP4!AG41,"")</f>
        <v/>
      </c>
      <c r="BF42" s="414" t="str">
        <f>IFERROR(SBDP4!AH41,"")</f>
        <v/>
      </c>
      <c r="BG42" s="413" t="str">
        <f>SBDP4!AM41</f>
        <v xml:space="preserve"> </v>
      </c>
      <c r="BH42" s="414" t="str">
        <f>IFERROR(PJOK4!AJ41,"")</f>
        <v/>
      </c>
      <c r="BI42" s="414" t="str">
        <f>IFERROR(PJOK4!AK41,"")</f>
        <v/>
      </c>
      <c r="BJ42" s="415" t="str">
        <f>PJOK4!AP41</f>
        <v xml:space="preserve"> </v>
      </c>
      <c r="BK42" s="414" t="str">
        <f>IFERROR('MLK1-4'!AG41,"")</f>
        <v/>
      </c>
      <c r="BL42" s="414" t="str">
        <f>IFERROR('MLK1-4'!AH41,"")</f>
        <v/>
      </c>
      <c r="BM42" s="413" t="str">
        <f>'MLK1-4'!AM41</f>
        <v xml:space="preserve"> </v>
      </c>
      <c r="BN42" s="414" t="str">
        <f>IFERROR('MLK2-4'!AG41,"")</f>
        <v/>
      </c>
      <c r="BO42" s="414" t="str">
        <f>IFERROR('MLK2-4'!AH41,"")</f>
        <v/>
      </c>
      <c r="BP42" s="413" t="str">
        <f>'MLK2-4'!AM41</f>
        <v xml:space="preserve"> </v>
      </c>
      <c r="BQ42" s="414" t="str">
        <f>IFERROR('MLK3-4'!AG41,"")</f>
        <v/>
      </c>
      <c r="BR42" s="414" t="str">
        <f>IFERROR('MLK3-4'!AH41,"")</f>
        <v/>
      </c>
      <c r="BS42" s="413" t="str">
        <f>'MLK3-4'!AM41</f>
        <v xml:space="preserve"> </v>
      </c>
      <c r="BT42" s="414">
        <f t="shared" si="0"/>
        <v>48.045454545454547</v>
      </c>
      <c r="BU42" s="444">
        <f t="shared" si="1"/>
        <v>1057</v>
      </c>
      <c r="BV42" s="416">
        <f t="shared" si="2"/>
        <v>1057</v>
      </c>
      <c r="BW42" s="417">
        <f t="shared" si="3"/>
        <v>22</v>
      </c>
    </row>
    <row r="43" spans="1:75" ht="20.25" customHeight="1">
      <c r="A43" s="113">
        <v>38</v>
      </c>
      <c r="B43" s="113">
        <f>SISWA!B43</f>
        <v>0</v>
      </c>
      <c r="C43" s="410" t="str">
        <f>SISWA!C43</f>
        <v>Anak 38</v>
      </c>
      <c r="D43" s="411" t="str">
        <f>SPIRIT!Q42</f>
        <v xml:space="preserve">Ananda Anak 38 baik dalam  ketaatan beribadah,  berperilaku syukur,  berdoa sebelum dan sesudah melakukan kegiatan,  toleransi dalam beribadah, </v>
      </c>
      <c r="E43" s="411" t="str">
        <f>SOSIAL!W42</f>
        <v xml:space="preserve">Ananda Anak 38 baik dalam sikap jujur, disiplin, tanggung jawab, santun, peduli, percaya diri, kerja sama, </v>
      </c>
      <c r="F43" s="412">
        <f>IFERROR('PAI3'!DU43,"")</f>
        <v>99</v>
      </c>
      <c r="G43" s="412" t="str">
        <f>IFERROR('PAI3'!DV43,"")</f>
        <v>A</v>
      </c>
      <c r="H43" s="413" t="str">
        <f>'PAI3'!EA43</f>
        <v>Anak 38 sangat baik  dalam memahami Q.S. al- Falaq dan Q.S. al- Fil dengan baik dan benar</v>
      </c>
      <c r="I43" s="412">
        <f>IFERROR('PKN3'!AI42,"")</f>
        <v>96</v>
      </c>
      <c r="J43" s="412" t="str">
        <f>IFERROR('PKN3'!AJ42,"")</f>
        <v>A</v>
      </c>
      <c r="K43" s="411" t="str">
        <f>'PKN3'!AO42</f>
        <v>Anak 38 sangat baik  dalam mengidentifikasi pelaksanaan kewajiban dan hak sebagai warga masyarakat dalam kehidupan sehari-hari., dan  sangat baik  dalam menjelaskan manfaat keberagaman karakteristik individu dalam kehidupan sehari-hari.</v>
      </c>
      <c r="L43" s="414">
        <f>IFERROR(BIND3!AU42,"")</f>
        <v>97</v>
      </c>
      <c r="M43" s="414" t="str">
        <f>IFERROR(BIND3!AV42,"")</f>
        <v>A</v>
      </c>
      <c r="N43" s="413" t="str">
        <f>BIND3!BA42</f>
        <v>Anak 38 sangat baik  dalam menggali pengetahuan baru yang terdapat pada teks nonfiksi., dan  sangat baik  dalam menggali informasi dari seorang tokoh melalui wawancara menggunakan daftar pertanyaan.</v>
      </c>
      <c r="O43" s="414">
        <f>IFERROR('MTK3'!BC42,"")</f>
        <v>97</v>
      </c>
      <c r="P43" s="414" t="str">
        <f>IFERROR('MTK3'!BD42,"")</f>
        <v>A</v>
      </c>
      <c r="Q43" s="413" t="str">
        <f>'MTK3'!BI42</f>
        <v>Anak 38 sangat baik  dalam menjelaskan dan melakukan penaksiran dari jumlah, selisih, hasil kali, dan hasil bagi dua bilangan cacah maupun pecahan dan desimal, dan  sangat baik  dalam menjelaskan berbagai bentuk pecahan (biasa, campuran, desimal, dan persen) dan hubungan di antaranya</v>
      </c>
      <c r="R43" s="414">
        <f>IFERROR('IPA3'!AM42,"")</f>
        <v>99</v>
      </c>
      <c r="S43" s="414" t="str">
        <f>IFERROR('IPA3'!AN42,"")</f>
        <v>A</v>
      </c>
      <c r="T43" s="413" t="str">
        <f>'IPA3'!AS42</f>
        <v>Anak 38 sangat baik  dalam membandingkan siklus hidup beberapa jenis makhluk hidup serta mengaitkan dengan upaya pelestariannya.</v>
      </c>
      <c r="U43" s="414">
        <f>IFERROR('IPS3'!AN42,"")</f>
        <v>99</v>
      </c>
      <c r="V43" s="414" t="str">
        <f>IFERROR('IPS3'!AO42,"")</f>
        <v>A</v>
      </c>
      <c r="W43" s="413" t="str">
        <f>'IPS3'!AT42</f>
        <v>Anak 38 sangat baik  dalam mengidentifikasi karakteristik ruang dan pemanfaatan sumberdaya alam untuk kesejahteraan masyarakat dari tingkatkota/kabupaten sampai tingkat provinsi.</v>
      </c>
      <c r="X43" s="414">
        <f>IFERROR(SBDP3!AN42,"")</f>
        <v>99</v>
      </c>
      <c r="Y43" s="414" t="str">
        <f>IFERROR(SBDP3!AO42,"")</f>
        <v>A</v>
      </c>
      <c r="Z43" s="413" t="str">
        <f>SBDP3!AT42</f>
        <v>Anak 38 sangat baik  dalam mengetahui gambar dan bentuk tiga dimensi.</v>
      </c>
      <c r="AA43" s="414">
        <f>IFERROR(PJOK3!AV42,"")</f>
        <v>96</v>
      </c>
      <c r="AB43" s="414" t="str">
        <f>IFERROR(PJOK3!AW42,"")</f>
        <v>A</v>
      </c>
      <c r="AC43" s="413" t="str">
        <f>PJOK3!BB42</f>
        <v>Anak 38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43" s="414">
        <f>IFERROR('MLK1-3'!AT42,"")</f>
        <v>92</v>
      </c>
      <c r="AE43" s="414" t="str">
        <f>IFERROR('MLK1-3'!AU42,"")</f>
        <v>A</v>
      </c>
      <c r="AF43" s="415" t="str">
        <f>'MLK1-3'!AZ42</f>
        <v>Anak 38 sangat baik  dalam mengenal, memahami, dan mengidentifikasi kata berimbuhan dalam teks sesuai kaidah, dan  sangat baik  dalam mengenal dan memahami sandhangan aksara Jawa.</v>
      </c>
      <c r="AG43" s="414">
        <f>IFERROR('MLK2-3'!AP42,"")</f>
        <v>94</v>
      </c>
      <c r="AH43" s="414" t="str">
        <f>IFERROR('MLK2-3'!AQ42,"")</f>
        <v>A</v>
      </c>
      <c r="AI43" s="413" t="str">
        <f>'MLK2-3'!AV42</f>
        <v>Anak 38 sangat baik  dalam mengenal dan mengidentifikasi benda-benda di dapur dan nama-nama bunga, dan  sangat baik  dalam memahami penggunaan kalimat yang menunjukkan letak suatu tempat</v>
      </c>
      <c r="AJ43" s="414">
        <f>IFERROR('MLK3-3'!AP42,"")</f>
        <v>90</v>
      </c>
      <c r="AK43" s="414" t="str">
        <f>IFERROR('MLK3-3'!AQ42,"")</f>
        <v>B</v>
      </c>
      <c r="AL43" s="415" t="str">
        <f>'MLK3-3'!AV42</f>
        <v>Anak 38 sangat baik  dalam memahami pembuatan dokumen di microsoft  word, dan  baik  dalam mengenal dan memahami penggunaan microsoft  word.</v>
      </c>
      <c r="AM43" s="414" t="str">
        <f>IFERROR('PAI4'!CI43,"")</f>
        <v/>
      </c>
      <c r="AN43" s="414" t="str">
        <f>IFERROR('PAI4'!CJ43,"")</f>
        <v/>
      </c>
      <c r="AO43" s="415" t="str">
        <f>'PAI4'!CO43</f>
        <v xml:space="preserve"> </v>
      </c>
      <c r="AP43" s="414" t="str">
        <f>IFERROR('PKN4'!AD42,"")</f>
        <v/>
      </c>
      <c r="AQ43" s="414" t="str">
        <f>IFERROR('PKN4'!AE42,"")</f>
        <v/>
      </c>
      <c r="AR43" s="413" t="str">
        <f>'PKN4'!AJ42</f>
        <v xml:space="preserve"> </v>
      </c>
      <c r="AS43" s="414" t="str">
        <f>IFERROR(BIND4!AP42,"")</f>
        <v/>
      </c>
      <c r="AT43" s="414" t="str">
        <f>IFERROR(BIND4!AQ42,"")</f>
        <v/>
      </c>
      <c r="AU43" s="413" t="str">
        <f>BIND4!AV42</f>
        <v xml:space="preserve"> </v>
      </c>
      <c r="AV43" s="414" t="str">
        <f>IFERROR('MTK4'!AP42,"")</f>
        <v/>
      </c>
      <c r="AW43" s="414" t="str">
        <f>IFERROR('MTK4'!AQ42,"")</f>
        <v/>
      </c>
      <c r="AX43" s="413" t="str">
        <f>'MTK4'!AV42</f>
        <v xml:space="preserve"> </v>
      </c>
      <c r="AY43" s="414" t="str">
        <f>IFERROR('IPA4'!AJ42,"")</f>
        <v/>
      </c>
      <c r="AZ43" s="414" t="str">
        <f>IFERROR('IPA4'!AK42,"")</f>
        <v/>
      </c>
      <c r="BA43" s="413" t="str">
        <f>'IPA4'!AP42</f>
        <v xml:space="preserve"> </v>
      </c>
      <c r="BB43" s="414" t="str">
        <f>IFERROR('IPS4'!AG42,"")</f>
        <v/>
      </c>
      <c r="BC43" s="414" t="str">
        <f>IFERROR('IPS4'!AH42,"")</f>
        <v/>
      </c>
      <c r="BD43" s="413" t="str">
        <f>'IPS4'!AM42</f>
        <v xml:space="preserve"> </v>
      </c>
      <c r="BE43" s="414" t="str">
        <f>IFERROR(SBDP4!AG42,"")</f>
        <v/>
      </c>
      <c r="BF43" s="414" t="str">
        <f>IFERROR(SBDP4!AH42,"")</f>
        <v/>
      </c>
      <c r="BG43" s="413" t="str">
        <f>SBDP4!AM42</f>
        <v xml:space="preserve"> </v>
      </c>
      <c r="BH43" s="414" t="str">
        <f>IFERROR(PJOK4!AJ42,"")</f>
        <v/>
      </c>
      <c r="BI43" s="414" t="str">
        <f>IFERROR(PJOK4!AK42,"")</f>
        <v/>
      </c>
      <c r="BJ43" s="415" t="str">
        <f>PJOK4!AP42</f>
        <v xml:space="preserve"> </v>
      </c>
      <c r="BK43" s="414" t="str">
        <f>IFERROR('MLK1-4'!AG42,"")</f>
        <v/>
      </c>
      <c r="BL43" s="414" t="str">
        <f>IFERROR('MLK1-4'!AH42,"")</f>
        <v/>
      </c>
      <c r="BM43" s="413" t="str">
        <f>'MLK1-4'!AM42</f>
        <v xml:space="preserve"> </v>
      </c>
      <c r="BN43" s="414" t="str">
        <f>IFERROR('MLK2-4'!AG42,"")</f>
        <v/>
      </c>
      <c r="BO43" s="414" t="str">
        <f>IFERROR('MLK2-4'!AH42,"")</f>
        <v/>
      </c>
      <c r="BP43" s="413" t="str">
        <f>'MLK2-4'!AM42</f>
        <v xml:space="preserve"> </v>
      </c>
      <c r="BQ43" s="414" t="str">
        <f>IFERROR('MLK3-4'!AG42,"")</f>
        <v/>
      </c>
      <c r="BR43" s="414" t="str">
        <f>IFERROR('MLK3-4'!AH42,"")</f>
        <v/>
      </c>
      <c r="BS43" s="413" t="str">
        <f>'MLK3-4'!AM42</f>
        <v xml:space="preserve"> </v>
      </c>
      <c r="BT43" s="414">
        <f t="shared" si="0"/>
        <v>48.090909090909093</v>
      </c>
      <c r="BU43" s="444">
        <f t="shared" si="1"/>
        <v>1058</v>
      </c>
      <c r="BV43" s="416">
        <f t="shared" si="2"/>
        <v>1058</v>
      </c>
      <c r="BW43" s="417">
        <f t="shared" si="3"/>
        <v>19</v>
      </c>
    </row>
    <row r="44" spans="1:75" ht="20.25" customHeight="1">
      <c r="A44" s="113">
        <v>39</v>
      </c>
      <c r="B44" s="113">
        <f>SISWA!B44</f>
        <v>0</v>
      </c>
      <c r="C44" s="410" t="str">
        <f>SISWA!C44</f>
        <v>Anak 39</v>
      </c>
      <c r="D44" s="411" t="str">
        <f>SPIRIT!Q43</f>
        <v xml:space="preserve">Ananda Anak 39 baik dalam  ketaatan beribadah,  berperilaku syukur,  berdoa sebelum dan sesudah melakukan kegiatan,  toleransi dalam beribadah, </v>
      </c>
      <c r="E44" s="411" t="str">
        <f>SOSIAL!W43</f>
        <v xml:space="preserve">Ananda Anak 39 baik dalam sikap jujur, disiplin, tanggung jawab, santun, peduli, percaya diri, kerja sama, </v>
      </c>
      <c r="F44" s="412">
        <f>IFERROR('PAI3'!DU44,"")</f>
        <v>99</v>
      </c>
      <c r="G44" s="412" t="str">
        <f>IFERROR('PAI3'!DV44,"")</f>
        <v>A</v>
      </c>
      <c r="H44" s="413" t="str">
        <f>'PAI3'!EA44</f>
        <v>Anak 39 sangat baik  dalam memahami Q.S. al- Falaq dan Q.S. al- Fil dengan baik dan benar</v>
      </c>
      <c r="I44" s="412">
        <f>IFERROR('PKN3'!AI43,"")</f>
        <v>96</v>
      </c>
      <c r="J44" s="412" t="str">
        <f>IFERROR('PKN3'!AJ43,"")</f>
        <v>A</v>
      </c>
      <c r="K44" s="411" t="str">
        <f>'PKN3'!AO43</f>
        <v>Anak 39 sangat baik  dalam mengidentifikasi pelaksanaan kewajiban dan hak sebagai warga masyarakat dalam kehidupan sehari-hari., dan  sangat baik  dalam mengidentifikasi berbagai bentuk keragaman suku bangsa, sosial, dan budaya di Indonesia yang terikat persatuan dan kesatuan.</v>
      </c>
      <c r="L44" s="414">
        <f>IFERROR(BIND3!AU43,"")</f>
        <v>97</v>
      </c>
      <c r="M44" s="414" t="str">
        <f>IFERROR(BIND3!AV43,"")</f>
        <v>A</v>
      </c>
      <c r="N44" s="413" t="str">
        <f>BIND3!BA43</f>
        <v>Anak 39 sangat baik  dalam menggali pengetahuan baru yang terdapat pada teks nonfiksi., dan  sangat baik  dalam menggali isi dan amanat puisi yang disajikan secara lisan dan tulis dengan tujuan untuk kesenangan.</v>
      </c>
      <c r="O44" s="414">
        <f>IFERROR('MTK3'!BC43,"")</f>
        <v>97</v>
      </c>
      <c r="P44" s="414" t="str">
        <f>IFERROR('MTK3'!BD43,"")</f>
        <v>A</v>
      </c>
      <c r="Q44" s="413" t="str">
        <f>'MTK3'!BI43</f>
        <v>Anak 39 sangat baik  dalam menjelaskan dan melakukan penaksiran dari jumlah, selisih, hasil kali, dan hasil bagi dua bilangan cacah maupun pecahan dan desimal, dan  sangat baik  dalam menjelaskan berbagai bentuk pecahan (biasa, campuran, desimal, dan persen) dan hubungan di antaranya</v>
      </c>
      <c r="R44" s="414">
        <f>IFERROR('IPA3'!AM43,"")</f>
        <v>99</v>
      </c>
      <c r="S44" s="414" t="str">
        <f>IFERROR('IPA3'!AN43,"")</f>
        <v>A</v>
      </c>
      <c r="T44" s="413" t="str">
        <f>'IPA3'!AS43</f>
        <v>Anak 39 sangat baik  dalam membandingkan siklus hidup beberapa jenis makhluk hidup serta mengaitkan dengan upaya pelestariannya.</v>
      </c>
      <c r="U44" s="414">
        <f>IFERROR('IPS3'!AN43,"")</f>
        <v>99</v>
      </c>
      <c r="V44" s="414" t="str">
        <f>IFERROR('IPS3'!AO43,"")</f>
        <v>A</v>
      </c>
      <c r="W44" s="413" t="str">
        <f>'IPS3'!AT43</f>
        <v>Anak 39 sangat baik  dalam mengidentifikasi karakteristik ruang dan pemanfaatan sumberdaya alam untuk kesejahteraan masyarakat dari tingkatkota/kabupaten sampai tingkat provinsi.</v>
      </c>
      <c r="X44" s="414">
        <f>IFERROR(SBDP3!AN43,"")</f>
        <v>99</v>
      </c>
      <c r="Y44" s="414" t="str">
        <f>IFERROR(SBDP3!AO43,"")</f>
        <v>A</v>
      </c>
      <c r="Z44" s="413" t="str">
        <f>SBDP3!AT43</f>
        <v>Anak 39 sangat baik  dalam mengetahui gambar dan bentuk tiga dimensi.</v>
      </c>
      <c r="AA44" s="414">
        <f>IFERROR(PJOK3!AV43,"")</f>
        <v>96</v>
      </c>
      <c r="AB44" s="414" t="str">
        <f>IFERROR(PJOK3!AW43,"")</f>
        <v>A</v>
      </c>
      <c r="AC44" s="413" t="str">
        <f>PJOK3!BB43</f>
        <v>Anak 39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4" s="414">
        <f>IFERROR('MLK1-3'!AT43,"")</f>
        <v>92</v>
      </c>
      <c r="AE44" s="414" t="str">
        <f>IFERROR('MLK1-3'!AU43,"")</f>
        <v>A</v>
      </c>
      <c r="AF44" s="415" t="str">
        <f>'MLK1-3'!AZ43</f>
        <v>Anak 39 sangat baik  dalam mengenal dan memahmi teks tembang dolanan, dan  sangat baik  dalam mengenal dan memahami sandhangan aksara Jawa.</v>
      </c>
      <c r="AG44" s="414">
        <f>IFERROR('MLK2-3'!AP43,"")</f>
        <v>94</v>
      </c>
      <c r="AH44" s="414" t="str">
        <f>IFERROR('MLK2-3'!AQ43,"")</f>
        <v>A</v>
      </c>
      <c r="AI44" s="413" t="str">
        <f>'MLK2-3'!AV43</f>
        <v>Anak 39 sangat baik  dalam mengenal dan mengidentifikasi benda-benda di dapur dan nama-nama bunga, dan  sangat baik  dalam memahami penggunaan kalimat yang menunjukkan letak suatu tempat</v>
      </c>
      <c r="AJ44" s="414">
        <f>IFERROR('MLK3-3'!AP43,"")</f>
        <v>90</v>
      </c>
      <c r="AK44" s="414" t="str">
        <f>IFERROR('MLK3-3'!AQ43,"")</f>
        <v>B</v>
      </c>
      <c r="AL44" s="415" t="str">
        <f>'MLK3-3'!AV43</f>
        <v>Anak 39 sangat baik  dalam mengenal dan memahami penggunaan microsoft  word., dan  baik  dalam memahami pembuatan dokumen di microsoft  word</v>
      </c>
      <c r="AM44" s="414" t="str">
        <f>IFERROR('PAI4'!CI44,"")</f>
        <v/>
      </c>
      <c r="AN44" s="414" t="str">
        <f>IFERROR('PAI4'!CJ44,"")</f>
        <v/>
      </c>
      <c r="AO44" s="415" t="str">
        <f>'PAI4'!CO44</f>
        <v xml:space="preserve"> </v>
      </c>
      <c r="AP44" s="414" t="str">
        <f>IFERROR('PKN4'!AD43,"")</f>
        <v/>
      </c>
      <c r="AQ44" s="414" t="str">
        <f>IFERROR('PKN4'!AE43,"")</f>
        <v/>
      </c>
      <c r="AR44" s="413" t="str">
        <f>'PKN4'!AJ43</f>
        <v xml:space="preserve"> </v>
      </c>
      <c r="AS44" s="414" t="str">
        <f>IFERROR(BIND4!AP43,"")</f>
        <v/>
      </c>
      <c r="AT44" s="414" t="str">
        <f>IFERROR(BIND4!AQ43,"")</f>
        <v/>
      </c>
      <c r="AU44" s="413" t="str">
        <f>BIND4!AV43</f>
        <v xml:space="preserve"> </v>
      </c>
      <c r="AV44" s="414" t="str">
        <f>IFERROR('MTK4'!AP43,"")</f>
        <v/>
      </c>
      <c r="AW44" s="414" t="str">
        <f>IFERROR('MTK4'!AQ43,"")</f>
        <v/>
      </c>
      <c r="AX44" s="413" t="str">
        <f>'MTK4'!AV43</f>
        <v xml:space="preserve"> </v>
      </c>
      <c r="AY44" s="414" t="str">
        <f>IFERROR('IPA4'!AJ43,"")</f>
        <v/>
      </c>
      <c r="AZ44" s="414" t="str">
        <f>IFERROR('IPA4'!AK43,"")</f>
        <v/>
      </c>
      <c r="BA44" s="413" t="str">
        <f>'IPA4'!AP43</f>
        <v xml:space="preserve"> </v>
      </c>
      <c r="BB44" s="414" t="str">
        <f>IFERROR('IPS4'!AG43,"")</f>
        <v/>
      </c>
      <c r="BC44" s="414" t="str">
        <f>IFERROR('IPS4'!AH43,"")</f>
        <v/>
      </c>
      <c r="BD44" s="413" t="str">
        <f>'IPS4'!AM43</f>
        <v xml:space="preserve"> </v>
      </c>
      <c r="BE44" s="414" t="str">
        <f>IFERROR(SBDP4!AG43,"")</f>
        <v/>
      </c>
      <c r="BF44" s="414" t="str">
        <f>IFERROR(SBDP4!AH43,"")</f>
        <v/>
      </c>
      <c r="BG44" s="413" t="str">
        <f>SBDP4!AM43</f>
        <v xml:space="preserve"> </v>
      </c>
      <c r="BH44" s="414" t="str">
        <f>IFERROR(PJOK4!AJ43,"")</f>
        <v/>
      </c>
      <c r="BI44" s="414" t="str">
        <f>IFERROR(PJOK4!AK43,"")</f>
        <v/>
      </c>
      <c r="BJ44" s="415" t="str">
        <f>PJOK4!AP43</f>
        <v xml:space="preserve"> </v>
      </c>
      <c r="BK44" s="414" t="str">
        <f>IFERROR('MLK1-4'!AG43,"")</f>
        <v/>
      </c>
      <c r="BL44" s="414" t="str">
        <f>IFERROR('MLK1-4'!AH43,"")</f>
        <v/>
      </c>
      <c r="BM44" s="413" t="str">
        <f>'MLK1-4'!AM43</f>
        <v xml:space="preserve"> </v>
      </c>
      <c r="BN44" s="414" t="str">
        <f>IFERROR('MLK2-4'!AG43,"")</f>
        <v/>
      </c>
      <c r="BO44" s="414" t="str">
        <f>IFERROR('MLK2-4'!AH43,"")</f>
        <v/>
      </c>
      <c r="BP44" s="413" t="str">
        <f>'MLK2-4'!AM43</f>
        <v xml:space="preserve"> </v>
      </c>
      <c r="BQ44" s="414" t="str">
        <f>IFERROR('MLK3-4'!AG43,"")</f>
        <v/>
      </c>
      <c r="BR44" s="414" t="str">
        <f>IFERROR('MLK3-4'!AH43,"")</f>
        <v/>
      </c>
      <c r="BS44" s="413" t="str">
        <f>'MLK3-4'!AM43</f>
        <v xml:space="preserve"> </v>
      </c>
      <c r="BT44" s="414">
        <f t="shared" si="0"/>
        <v>48.090909090909093</v>
      </c>
      <c r="BU44" s="444">
        <f t="shared" si="1"/>
        <v>1058</v>
      </c>
      <c r="BV44" s="416">
        <f t="shared" si="2"/>
        <v>1058</v>
      </c>
      <c r="BW44" s="417">
        <f t="shared" si="3"/>
        <v>19</v>
      </c>
    </row>
    <row r="45" spans="1:75" ht="20.25" customHeight="1">
      <c r="A45" s="113">
        <v>40</v>
      </c>
      <c r="B45" s="113">
        <f>SISWA!B45</f>
        <v>0</v>
      </c>
      <c r="C45" s="410" t="str">
        <f>SISWA!C45</f>
        <v>Anak 40</v>
      </c>
      <c r="D45" s="411" t="str">
        <f>SPIRIT!Q44</f>
        <v xml:space="preserve">Ananda Anak 40 baik dalam  ketaatan beribadah,  berperilaku syukur,  berdoa sebelum dan sesudah melakukan kegiatan,  toleransi dalam beribadah, </v>
      </c>
      <c r="E45" s="411" t="str">
        <f>SOSIAL!W44</f>
        <v xml:space="preserve">Ananda Anak 40 baik dalam sikap jujur, disiplin, tanggung jawab, santun, peduli, percaya diri, kerja sama, </v>
      </c>
      <c r="F45" s="412">
        <f>IFERROR('PAI3'!DU45,"")</f>
        <v>99</v>
      </c>
      <c r="G45" s="412" t="str">
        <f>IFERROR('PAI3'!DV45,"")</f>
        <v>A</v>
      </c>
      <c r="H45" s="413" t="str">
        <f>'PAI3'!EA45</f>
        <v>Anak 40 sangat baik  dalam memahami Q.S. al- Falaq dan Q.S. al- Fil dengan baik dan benar</v>
      </c>
      <c r="I45" s="412">
        <f>IFERROR('PKN3'!AI44,"")</f>
        <v>96</v>
      </c>
      <c r="J45" s="412" t="str">
        <f>IFERROR('PKN3'!AJ44,"")</f>
        <v>A</v>
      </c>
      <c r="K45" s="411" t="str">
        <f>'PKN3'!AO44</f>
        <v>Anak 40 sangat baik  dalam mengidentifikasi pelaksanaan kewajiban dan hak sebagai warga masyarakat dalam kehidupan sehari-hari., dan  sangat baik  dalam mengidentifikasi berbagai bentuk keragaman suku bangsa, sosial, dan budaya di Indonesia yang terikat persatuan dan kesatuan.</v>
      </c>
      <c r="L45" s="414">
        <f>IFERROR(BIND3!AU44,"")</f>
        <v>97</v>
      </c>
      <c r="M45" s="414" t="str">
        <f>IFERROR(BIND3!AV44,"")</f>
        <v>A</v>
      </c>
      <c r="N45" s="413" t="str">
        <f>BIND3!BA44</f>
        <v>Anak 40 sangat baik  dalam menggali pengetahuan baru yang terdapat pada teks nonfiksi., dan  sangat baik  dalam menggali isi dan amanat puisi yang disajikan secara lisan dan tulis dengan tujuan untuk kesenangan.</v>
      </c>
      <c r="O45" s="414">
        <f>IFERROR('MTK3'!BC44,"")</f>
        <v>98</v>
      </c>
      <c r="P45" s="414" t="str">
        <f>IFERROR('MTK3'!BD44,"")</f>
        <v>A</v>
      </c>
      <c r="Q45" s="413" t="str">
        <f>'MTK3'!BI44</f>
        <v>Anak 40 sangat baik  dalam menjelaskan dan melakukan penaksiran dari jumlah, selisih, hasil kali, dan hasil bagi dua bilangan cacah maupun pecahan dan desimal, dan  sangat baik  dalam menjelaskan berbagai bentuk pecahan (biasa, campuran, desimal, dan persen) dan hubungan di antaranya</v>
      </c>
      <c r="R45" s="414">
        <f>IFERROR('IPA3'!AM44,"")</f>
        <v>99</v>
      </c>
      <c r="S45" s="414" t="str">
        <f>IFERROR('IPA3'!AN44,"")</f>
        <v>A</v>
      </c>
      <c r="T45" s="413" t="str">
        <f>'IPA3'!AS44</f>
        <v>Anak 40 sangat baik  dalam membandingkan siklus hidup beberapa jenis makhluk hidup serta mengaitkan dengan upaya pelestariannya.</v>
      </c>
      <c r="U45" s="414">
        <f>IFERROR('IPS3'!AN44,"")</f>
        <v>99</v>
      </c>
      <c r="V45" s="414" t="str">
        <f>IFERROR('IPS3'!AO44,"")</f>
        <v>A</v>
      </c>
      <c r="W45" s="413" t="str">
        <f>'IPS3'!AT44</f>
        <v>Anak 40 sangat baik  dalam mengidentifikasi karakteristik ruang dan pemanfaatan sumberdaya alam untuk kesejahteraan masyarakat dari tingkatkota/kabupaten sampai tingkat provinsi.</v>
      </c>
      <c r="X45" s="414">
        <f>IFERROR(SBDP3!AN44,"")</f>
        <v>99</v>
      </c>
      <c r="Y45" s="414" t="str">
        <f>IFERROR(SBDP3!AO44,"")</f>
        <v>A</v>
      </c>
      <c r="Z45" s="413" t="str">
        <f>SBDP3!AT44</f>
        <v>Anak 40 sangat baik  dalam mengetahui gambar dan bentuk tiga dimensi.</v>
      </c>
      <c r="AA45" s="414">
        <f>IFERROR(PJOK3!AV44,"")</f>
        <v>96</v>
      </c>
      <c r="AB45" s="414" t="str">
        <f>IFERROR(PJOK3!AW44,"")</f>
        <v>A</v>
      </c>
      <c r="AC45" s="413" t="str">
        <f>PJOK3!BB44</f>
        <v>Anak 40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45" s="414">
        <f>IFERROR('MLK1-3'!AT44,"")</f>
        <v>93</v>
      </c>
      <c r="AE45" s="414" t="str">
        <f>IFERROR('MLK1-3'!AU44,"")</f>
        <v>A</v>
      </c>
      <c r="AF45" s="415" t="str">
        <f>'MLK1-3'!AZ44</f>
        <v>Anak 40 sangat baik  dalam mengenal dan memahmi teks tembang dolanan, dan  sangat baik  dalam mengenal dan memahami sandhangan aksara Jawa.</v>
      </c>
      <c r="AG45" s="414">
        <f>IFERROR('MLK2-3'!AP44,"")</f>
        <v>95</v>
      </c>
      <c r="AH45" s="414" t="str">
        <f>IFERROR('MLK2-3'!AQ44,"")</f>
        <v>A</v>
      </c>
      <c r="AI45" s="413" t="str">
        <f>'MLK2-3'!AV44</f>
        <v>Anak 40 sangat baik  dalam mengenal dan mengidentifikasi benda-benda di dapur dan nama-nama bunga, dan  sangat baik  dalam memahami penggunaan kalimat yang menunjukkan letak suatu tempat</v>
      </c>
      <c r="AJ45" s="414">
        <f>IFERROR('MLK3-3'!AP44,"")</f>
        <v>91</v>
      </c>
      <c r="AK45" s="414" t="str">
        <f>IFERROR('MLK3-3'!AQ44,"")</f>
        <v>A</v>
      </c>
      <c r="AL45" s="415" t="str">
        <f>'MLK3-3'!AV44</f>
        <v>Anak 40 sangat baik  dalam mengenal dan memahami penggunaan microsoft  word., dan  baik  dalam memahami pembuatan dokumen di microsoft  word</v>
      </c>
      <c r="AM45" s="414" t="str">
        <f>IFERROR('PAI4'!CI45,"")</f>
        <v/>
      </c>
      <c r="AN45" s="414" t="str">
        <f>IFERROR('PAI4'!CJ45,"")</f>
        <v/>
      </c>
      <c r="AO45" s="415" t="str">
        <f>'PAI4'!CO45</f>
        <v xml:space="preserve"> </v>
      </c>
      <c r="AP45" s="414" t="str">
        <f>IFERROR('PKN4'!AD44,"")</f>
        <v/>
      </c>
      <c r="AQ45" s="414" t="str">
        <f>IFERROR('PKN4'!AE44,"")</f>
        <v/>
      </c>
      <c r="AR45" s="413" t="str">
        <f>'PKN4'!AJ44</f>
        <v xml:space="preserve"> </v>
      </c>
      <c r="AS45" s="414" t="str">
        <f>IFERROR(BIND4!AP44,"")</f>
        <v/>
      </c>
      <c r="AT45" s="414" t="str">
        <f>IFERROR(BIND4!AQ44,"")</f>
        <v/>
      </c>
      <c r="AU45" s="413" t="str">
        <f>BIND4!AV44</f>
        <v xml:space="preserve"> </v>
      </c>
      <c r="AV45" s="414" t="str">
        <f>IFERROR('MTK4'!AP44,"")</f>
        <v/>
      </c>
      <c r="AW45" s="414" t="str">
        <f>IFERROR('MTK4'!AQ44,"")</f>
        <v/>
      </c>
      <c r="AX45" s="413" t="str">
        <f>'MTK4'!AV44</f>
        <v xml:space="preserve"> </v>
      </c>
      <c r="AY45" s="414" t="str">
        <f>IFERROR('IPA4'!AJ44,"")</f>
        <v/>
      </c>
      <c r="AZ45" s="414" t="str">
        <f>IFERROR('IPA4'!AK44,"")</f>
        <v/>
      </c>
      <c r="BA45" s="413" t="str">
        <f>'IPA4'!AP44</f>
        <v xml:space="preserve"> </v>
      </c>
      <c r="BB45" s="414" t="str">
        <f>IFERROR('IPS4'!AG44,"")</f>
        <v/>
      </c>
      <c r="BC45" s="414" t="str">
        <f>IFERROR('IPS4'!AH44,"")</f>
        <v/>
      </c>
      <c r="BD45" s="413" t="str">
        <f>'IPS4'!AM44</f>
        <v xml:space="preserve"> </v>
      </c>
      <c r="BE45" s="414" t="str">
        <f>IFERROR(SBDP4!AG44,"")</f>
        <v/>
      </c>
      <c r="BF45" s="414" t="str">
        <f>IFERROR(SBDP4!AH44,"")</f>
        <v/>
      </c>
      <c r="BG45" s="413" t="str">
        <f>SBDP4!AM44</f>
        <v xml:space="preserve"> </v>
      </c>
      <c r="BH45" s="414" t="str">
        <f>IFERROR(PJOK4!AJ44,"")</f>
        <v/>
      </c>
      <c r="BI45" s="414" t="str">
        <f>IFERROR(PJOK4!AK44,"")</f>
        <v/>
      </c>
      <c r="BJ45" s="415" t="str">
        <f>PJOK4!AP44</f>
        <v xml:space="preserve"> </v>
      </c>
      <c r="BK45" s="414" t="str">
        <f>IFERROR('MLK1-4'!AG44,"")</f>
        <v/>
      </c>
      <c r="BL45" s="414" t="str">
        <f>IFERROR('MLK1-4'!AH44,"")</f>
        <v/>
      </c>
      <c r="BM45" s="413" t="str">
        <f>'MLK1-4'!AM44</f>
        <v xml:space="preserve"> </v>
      </c>
      <c r="BN45" s="414" t="str">
        <f>IFERROR('MLK2-4'!AG44,"")</f>
        <v/>
      </c>
      <c r="BO45" s="414" t="str">
        <f>IFERROR('MLK2-4'!AH44,"")</f>
        <v/>
      </c>
      <c r="BP45" s="413" t="str">
        <f>'MLK2-4'!AM44</f>
        <v xml:space="preserve"> </v>
      </c>
      <c r="BQ45" s="414" t="str">
        <f>IFERROR('MLK3-4'!AG44,"")</f>
        <v/>
      </c>
      <c r="BR45" s="414" t="str">
        <f>IFERROR('MLK3-4'!AH44,"")</f>
        <v/>
      </c>
      <c r="BS45" s="413" t="str">
        <f>'MLK3-4'!AM44</f>
        <v xml:space="preserve"> </v>
      </c>
      <c r="BT45" s="414">
        <f t="shared" si="0"/>
        <v>48.272727272727273</v>
      </c>
      <c r="BU45" s="444">
        <f t="shared" si="1"/>
        <v>1062</v>
      </c>
      <c r="BV45" s="416">
        <f t="shared" si="2"/>
        <v>1062</v>
      </c>
      <c r="BW45" s="417">
        <f t="shared" si="3"/>
        <v>14</v>
      </c>
    </row>
    <row r="46" spans="1:75" ht="20.25" customHeight="1">
      <c r="A46" s="113">
        <v>41</v>
      </c>
      <c r="B46" s="113">
        <f>SISWA!B46</f>
        <v>0</v>
      </c>
      <c r="C46" s="410" t="str">
        <f>SISWA!C46</f>
        <v>Anak 41</v>
      </c>
      <c r="D46" s="411" t="str">
        <f>SPIRIT!Q45</f>
        <v xml:space="preserve">Ananda Anak 41 baik dalam  ketaatan beribadah,  berperilaku syukur,  berdoa sebelum dan sesudah melakukan kegiatan,  toleransi dalam beribadah, </v>
      </c>
      <c r="E46" s="411" t="str">
        <f>SOSIAL!W45</f>
        <v xml:space="preserve">Ananda Anak 41 baik dalam sikap jujur, disiplin, tanggung jawab, santun, peduli, percaya diri, kerja sama, </v>
      </c>
      <c r="F46" s="412">
        <f>IFERROR('PAI3'!DU46,"")</f>
        <v>99</v>
      </c>
      <c r="G46" s="412" t="str">
        <f>IFERROR('PAI3'!DV46,"")</f>
        <v>A</v>
      </c>
      <c r="H46" s="413" t="str">
        <f>'PAI3'!EA46</f>
        <v>Anak 41 sangat baik  dalam memahami Q.S. al- Falaq dan Q.S. al- Fil dengan baik dan benar</v>
      </c>
      <c r="I46" s="412">
        <f>IFERROR('PKN3'!AI45,"")</f>
        <v>96</v>
      </c>
      <c r="J46" s="412" t="str">
        <f>IFERROR('PKN3'!AJ45,"")</f>
        <v>A</v>
      </c>
      <c r="K46" s="411" t="str">
        <f>'PKN3'!AO45</f>
        <v>Anak 41 sangat baik  dalam mengidentifikasi pelaksanaan kewajiban dan hak sebagai warga masyarakat dalam kehidupan sehari-hari., dan  sangat baik  dalam menjelaskan manfaat keberagaman karakteristik individu dalam kehidupan sehari-hari.</v>
      </c>
      <c r="L46" s="414">
        <f>IFERROR(BIND3!AU45,"")</f>
        <v>97</v>
      </c>
      <c r="M46" s="414" t="str">
        <f>IFERROR(BIND3!AV45,"")</f>
        <v>A</v>
      </c>
      <c r="N46" s="413" t="str">
        <f>BIND3!BA45</f>
        <v>Anak 41 sangat baik  dalam menggali pengetahuan baru yang terdapat pada teks nonfiksi., dan  sangat baik  dalam menggali informasi dari seorang tokoh melalui wawancara menggunakan daftar pertanyaan.</v>
      </c>
      <c r="O46" s="414">
        <f>IFERROR('MTK3'!BC45,"")</f>
        <v>97</v>
      </c>
      <c r="P46" s="414" t="str">
        <f>IFERROR('MTK3'!BD45,"")</f>
        <v>A</v>
      </c>
      <c r="Q46" s="413" t="str">
        <f>'MTK3'!BI45</f>
        <v>Anak 41 sangat baik  dalam menjelaskan dan melakukan penaksiran dari jumlah, selisih, hasil kali, dan hasil bagi dua bilangan cacah maupun pecahan dan desimal, dan  sangat baik  dalam menjelaskan berbagai bentuk pecahan (biasa, campuran, desimal, dan persen) dan hubungan di antaranya</v>
      </c>
      <c r="R46" s="414">
        <f>IFERROR('IPA3'!AM45,"")</f>
        <v>99</v>
      </c>
      <c r="S46" s="414" t="str">
        <f>IFERROR('IPA3'!AN45,"")</f>
        <v>A</v>
      </c>
      <c r="T46" s="413" t="str">
        <f>'IPA3'!AS45</f>
        <v>Anak 41 sangat baik  dalam membandingkan siklus hidup beberapa jenis makhluk hidup serta mengaitkan dengan upaya pelestariannya.</v>
      </c>
      <c r="U46" s="414">
        <f>IFERROR('IPS3'!AN45,"")</f>
        <v>99</v>
      </c>
      <c r="V46" s="414" t="str">
        <f>IFERROR('IPS3'!AO45,"")</f>
        <v>A</v>
      </c>
      <c r="W46" s="413" t="str">
        <f>'IPS3'!AT45</f>
        <v>Anak 41 sangat baik  dalam mengidentifikasi karakteristik ruang dan pemanfaatan sumberdaya alam untuk kesejahteraan masyarakat dari tingkatkota/kabupaten sampai tingkat provinsi.</v>
      </c>
      <c r="X46" s="414">
        <f>IFERROR(SBDP3!AN45,"")</f>
        <v>99</v>
      </c>
      <c r="Y46" s="414" t="str">
        <f>IFERROR(SBDP3!AO45,"")</f>
        <v>A</v>
      </c>
      <c r="Z46" s="413" t="str">
        <f>SBDP3!AT45</f>
        <v>Anak 41 sangat baik  dalam mengetahui gambar dan bentuk tiga dimensi.</v>
      </c>
      <c r="AA46" s="414">
        <f>IFERROR(PJOK3!AV45,"")</f>
        <v>96</v>
      </c>
      <c r="AB46" s="414" t="str">
        <f>IFERROR(PJOK3!AW45,"")</f>
        <v>A</v>
      </c>
      <c r="AC46" s="413" t="str">
        <f>PJOK3!BB45</f>
        <v>Anak 41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46" s="414">
        <f>IFERROR('MLK1-3'!AT45,"")</f>
        <v>93</v>
      </c>
      <c r="AE46" s="414" t="str">
        <f>IFERROR('MLK1-3'!AU45,"")</f>
        <v>A</v>
      </c>
      <c r="AF46" s="415" t="str">
        <f>'MLK1-3'!AZ45</f>
        <v>Anak 41 sangat baik  dalam mengenal, memahami, dan mengidentifikasi kata berimbuhan dalam teks sesuai kaidah, dan  sangat baik  dalam mengenal dan memahami sandhangan aksara Jawa.</v>
      </c>
      <c r="AG46" s="414">
        <f>IFERROR('MLK2-3'!AP45,"")</f>
        <v>94</v>
      </c>
      <c r="AH46" s="414" t="str">
        <f>IFERROR('MLK2-3'!AQ45,"")</f>
        <v>A</v>
      </c>
      <c r="AI46" s="413" t="str">
        <f>'MLK2-3'!AV45</f>
        <v>Anak 41 sangat baik  dalam mengenal dan mengidentifikasi benda-benda di dapur dan nama-nama bunga, dan  sangat baik  dalam memahami penggunaan kalimat yang menunjukkan letak suatu tempat</v>
      </c>
      <c r="AJ46" s="414">
        <f>IFERROR('MLK3-3'!AP45,"")</f>
        <v>91</v>
      </c>
      <c r="AK46" s="414" t="str">
        <f>IFERROR('MLK3-3'!AQ45,"")</f>
        <v>A</v>
      </c>
      <c r="AL46" s="415" t="str">
        <f>'MLK3-3'!AV45</f>
        <v>Anak 41 sangat baik  dalam memahami pembuatan dokumen di microsoft  word, dan  baik  dalam mengenal dan memahami penggunaan microsoft  word.</v>
      </c>
      <c r="AM46" s="414" t="str">
        <f>IFERROR('PAI4'!CI46,"")</f>
        <v/>
      </c>
      <c r="AN46" s="414" t="str">
        <f>IFERROR('PAI4'!CJ46,"")</f>
        <v/>
      </c>
      <c r="AO46" s="415" t="str">
        <f>'PAI4'!CO46</f>
        <v xml:space="preserve"> </v>
      </c>
      <c r="AP46" s="414" t="str">
        <f>IFERROR('PKN4'!AD45,"")</f>
        <v/>
      </c>
      <c r="AQ46" s="414" t="str">
        <f>IFERROR('PKN4'!AE45,"")</f>
        <v/>
      </c>
      <c r="AR46" s="413" t="str">
        <f>'PKN4'!AJ45</f>
        <v xml:space="preserve"> </v>
      </c>
      <c r="AS46" s="414" t="str">
        <f>IFERROR(BIND4!AP45,"")</f>
        <v/>
      </c>
      <c r="AT46" s="414" t="str">
        <f>IFERROR(BIND4!AQ45,"")</f>
        <v/>
      </c>
      <c r="AU46" s="413" t="str">
        <f>BIND4!AV45</f>
        <v xml:space="preserve"> </v>
      </c>
      <c r="AV46" s="414" t="str">
        <f>IFERROR('MTK4'!AP45,"")</f>
        <v/>
      </c>
      <c r="AW46" s="414" t="str">
        <f>IFERROR('MTK4'!AQ45,"")</f>
        <v/>
      </c>
      <c r="AX46" s="413" t="str">
        <f>'MTK4'!AV45</f>
        <v xml:space="preserve"> </v>
      </c>
      <c r="AY46" s="414" t="str">
        <f>IFERROR('IPA4'!AJ45,"")</f>
        <v/>
      </c>
      <c r="AZ46" s="414" t="str">
        <f>IFERROR('IPA4'!AK45,"")</f>
        <v/>
      </c>
      <c r="BA46" s="413" t="str">
        <f>'IPA4'!AP45</f>
        <v xml:space="preserve"> </v>
      </c>
      <c r="BB46" s="414" t="str">
        <f>IFERROR('IPS4'!AG45,"")</f>
        <v/>
      </c>
      <c r="BC46" s="414" t="str">
        <f>IFERROR('IPS4'!AH45,"")</f>
        <v/>
      </c>
      <c r="BD46" s="413" t="str">
        <f>'IPS4'!AM45</f>
        <v xml:space="preserve"> </v>
      </c>
      <c r="BE46" s="414" t="str">
        <f>IFERROR(SBDP4!AG45,"")</f>
        <v/>
      </c>
      <c r="BF46" s="414" t="str">
        <f>IFERROR(SBDP4!AH45,"")</f>
        <v/>
      </c>
      <c r="BG46" s="413" t="str">
        <f>SBDP4!AM45</f>
        <v xml:space="preserve"> </v>
      </c>
      <c r="BH46" s="414" t="str">
        <f>IFERROR(PJOK4!AJ45,"")</f>
        <v/>
      </c>
      <c r="BI46" s="414" t="str">
        <f>IFERROR(PJOK4!AK45,"")</f>
        <v/>
      </c>
      <c r="BJ46" s="415" t="str">
        <f>PJOK4!AP45</f>
        <v xml:space="preserve"> </v>
      </c>
      <c r="BK46" s="414" t="str">
        <f>IFERROR('MLK1-4'!AG45,"")</f>
        <v/>
      </c>
      <c r="BL46" s="414" t="str">
        <f>IFERROR('MLK1-4'!AH45,"")</f>
        <v/>
      </c>
      <c r="BM46" s="413" t="str">
        <f>'MLK1-4'!AM45</f>
        <v xml:space="preserve"> </v>
      </c>
      <c r="BN46" s="414" t="str">
        <f>IFERROR('MLK2-4'!AG45,"")</f>
        <v/>
      </c>
      <c r="BO46" s="414" t="str">
        <f>IFERROR('MLK2-4'!AH45,"")</f>
        <v/>
      </c>
      <c r="BP46" s="413" t="str">
        <f>'MLK2-4'!AM45</f>
        <v xml:space="preserve"> </v>
      </c>
      <c r="BQ46" s="414" t="str">
        <f>IFERROR('MLK3-4'!AG45,"")</f>
        <v/>
      </c>
      <c r="BR46" s="414" t="str">
        <f>IFERROR('MLK3-4'!AH45,"")</f>
        <v/>
      </c>
      <c r="BS46" s="413" t="str">
        <f>'MLK3-4'!AM45</f>
        <v xml:space="preserve"> </v>
      </c>
      <c r="BT46" s="414">
        <f t="shared" si="0"/>
        <v>48.18181818181818</v>
      </c>
      <c r="BU46" s="444">
        <f t="shared" si="1"/>
        <v>1060</v>
      </c>
      <c r="BV46" s="416">
        <f t="shared" si="2"/>
        <v>1060</v>
      </c>
      <c r="BW46" s="417">
        <f t="shared" si="3"/>
        <v>17</v>
      </c>
    </row>
    <row r="47" spans="1:75" ht="20.25" customHeight="1">
      <c r="A47" s="113">
        <v>42</v>
      </c>
      <c r="B47" s="113">
        <f>SISWA!B47</f>
        <v>0</v>
      </c>
      <c r="C47" s="410" t="str">
        <f>SISWA!C47</f>
        <v>Anak 42</v>
      </c>
      <c r="D47" s="411" t="str">
        <f>SPIRIT!Q46</f>
        <v xml:space="preserve">Ananda Anak 42 baik dalam  ketaatan beribadah,  berperilaku syukur,  berdoa sebelum dan sesudah melakukan kegiatan,  toleransi dalam beribadah, </v>
      </c>
      <c r="E47" s="411" t="str">
        <f>SOSIAL!W46</f>
        <v xml:space="preserve">Ananda Anak 42 baik dalam sikap jujur, disiplin, tanggung jawab, santun, peduli, percaya diri, kerja sama, </v>
      </c>
      <c r="F47" s="412">
        <f>IFERROR('PAI3'!DU47,"")</f>
        <v>99</v>
      </c>
      <c r="G47" s="412" t="str">
        <f>IFERROR('PAI3'!DV47,"")</f>
        <v>A</v>
      </c>
      <c r="H47" s="413" t="str">
        <f>'PAI3'!EA47</f>
        <v>Anak 42 sangat baik  dalam memahami Q.S. al- Falaq dan Q.S. al- Fil dengan baik dan benar</v>
      </c>
      <c r="I47" s="412">
        <f>IFERROR('PKN3'!AI46,"")</f>
        <v>97</v>
      </c>
      <c r="J47" s="412" t="str">
        <f>IFERROR('PKN3'!AJ46,"")</f>
        <v>A</v>
      </c>
      <c r="K47" s="411" t="str">
        <f>'PKN3'!AO46</f>
        <v>Anak 42 sangat baik  dalam mengidentifikasi pelaksanaan kewajiban dan hak sebagai warga masyarakat dalam kehidupan sehari-hari., dan  sangat baik  dalam menjelaskan manfaat keberagaman karakteristik individu dalam kehidupan sehari-hari.</v>
      </c>
      <c r="L47" s="414">
        <f>IFERROR(BIND3!AU46,"")</f>
        <v>97</v>
      </c>
      <c r="M47" s="414" t="str">
        <f>IFERROR(BIND3!AV46,"")</f>
        <v>A</v>
      </c>
      <c r="N47" s="413" t="str">
        <f>BIND3!BA46</f>
        <v>Anak 42 sangat baik  dalam menggali pengetahuan baru yang terdapat pada teks nonfiksi., dan  sangat baik  dalam menggali informasi dari seorang tokoh melalui wawancara menggunakan daftar pertanyaan.</v>
      </c>
      <c r="O47" s="414">
        <f>IFERROR('MTK3'!BC46,"")</f>
        <v>97</v>
      </c>
      <c r="P47" s="414" t="str">
        <f>IFERROR('MTK3'!BD46,"")</f>
        <v>A</v>
      </c>
      <c r="Q47" s="413" t="str">
        <f>'MTK3'!BI46</f>
        <v>Anak 42 sangat baik  dalam menjelaskan dan melakukan penaksiran dari jumlah, selisih, hasil kali, dan hasil bagi dua bilangan cacah maupun pecahan dan desimal, dan  sangat baik  dalam menjelaskan berbagai bentuk pecahan (biasa, campuran, desimal, dan persen) dan hubungan di antaranya</v>
      </c>
      <c r="R47" s="414">
        <f>IFERROR('IPA3'!AM46,"")</f>
        <v>99</v>
      </c>
      <c r="S47" s="414" t="str">
        <f>IFERROR('IPA3'!AN46,"")</f>
        <v>A</v>
      </c>
      <c r="T47" s="413" t="str">
        <f>'IPA3'!AS46</f>
        <v>Anak 42 sangat baik  dalam membandingkan siklus hidup beberapa jenis makhluk hidup serta mengaitkan dengan upaya pelestariannya.</v>
      </c>
      <c r="U47" s="414">
        <f>IFERROR('IPS3'!AN46,"")</f>
        <v>99</v>
      </c>
      <c r="V47" s="414" t="str">
        <f>IFERROR('IPS3'!AO46,"")</f>
        <v>A</v>
      </c>
      <c r="W47" s="413" t="str">
        <f>'IPS3'!AT46</f>
        <v>Anak 42 sangat baik  dalam mengidentifikasi karakteristik ruang dan pemanfaatan sumberdaya alam untuk kesejahteraan masyarakat dari tingkatkota/kabupaten sampai tingkat provinsi.</v>
      </c>
      <c r="X47" s="414">
        <f>IFERROR(SBDP3!AN46,"")</f>
        <v>99</v>
      </c>
      <c r="Y47" s="414" t="str">
        <f>IFERROR(SBDP3!AO46,"")</f>
        <v>A</v>
      </c>
      <c r="Z47" s="413" t="str">
        <f>SBDP3!AT46</f>
        <v>Anak 42 sangat baik  dalam mengetahui gambar dan bentuk tiga dimensi.</v>
      </c>
      <c r="AA47" s="414">
        <f>IFERROR(PJOK3!AV46,"")</f>
        <v>96</v>
      </c>
      <c r="AB47" s="414" t="str">
        <f>IFERROR(PJOK3!AW46,"")</f>
        <v>A</v>
      </c>
      <c r="AC47" s="413" t="str">
        <f>PJOK3!BB46</f>
        <v>Anak 42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AD47" s="414">
        <f>IFERROR('MLK1-3'!AT46,"")</f>
        <v>94</v>
      </c>
      <c r="AE47" s="414" t="str">
        <f>IFERROR('MLK1-3'!AU46,"")</f>
        <v>A</v>
      </c>
      <c r="AF47" s="415" t="str">
        <f>'MLK1-3'!AZ46</f>
        <v>Anak 42 sangat baik  dalam mengenal, memahami, dan mengidentifikasi kata berimbuhan dalam teks sesuai kaidah, dan  sangat baik  dalam mengenal dan memahami sandhangan aksara Jawa.</v>
      </c>
      <c r="AG47" s="414">
        <f>IFERROR('MLK2-3'!AP46,"")</f>
        <v>95</v>
      </c>
      <c r="AH47" s="414" t="str">
        <f>IFERROR('MLK2-3'!AQ46,"")</f>
        <v>A</v>
      </c>
      <c r="AI47" s="413" t="str">
        <f>'MLK2-3'!AV46</f>
        <v>Anak 42 sangat baik  dalam mengenal dan mengidentifikasi benda-benda di dapur dan nama-nama bunga, dan  sangat baik  dalam memahami penggunaan kalimat yang menunjukkan letak suatu tempat</v>
      </c>
      <c r="AJ47" s="414">
        <f>IFERROR('MLK3-3'!AP46,"")</f>
        <v>92</v>
      </c>
      <c r="AK47" s="414" t="str">
        <f>IFERROR('MLK3-3'!AQ46,"")</f>
        <v>A</v>
      </c>
      <c r="AL47" s="415" t="str">
        <f>'MLK3-3'!AV46</f>
        <v>Anak 42 sangat baik  dalam memahami pembuatan dokumen di microsoft  word, dan  sangat baik  dalam mengenal dan memahami penggunaan microsoft  word.</v>
      </c>
      <c r="AM47" s="414" t="str">
        <f>IFERROR('PAI4'!CI47,"")</f>
        <v/>
      </c>
      <c r="AN47" s="414" t="str">
        <f>IFERROR('PAI4'!CJ47,"")</f>
        <v/>
      </c>
      <c r="AO47" s="415" t="str">
        <f>'PAI4'!CO47</f>
        <v xml:space="preserve"> </v>
      </c>
      <c r="AP47" s="414" t="str">
        <f>IFERROR('PKN4'!AD46,"")</f>
        <v/>
      </c>
      <c r="AQ47" s="414" t="str">
        <f>IFERROR('PKN4'!AE46,"")</f>
        <v/>
      </c>
      <c r="AR47" s="413" t="str">
        <f>'PKN4'!AJ46</f>
        <v xml:space="preserve"> </v>
      </c>
      <c r="AS47" s="414" t="str">
        <f>IFERROR(BIND4!AP46,"")</f>
        <v/>
      </c>
      <c r="AT47" s="414" t="str">
        <f>IFERROR(BIND4!AQ46,"")</f>
        <v/>
      </c>
      <c r="AU47" s="413" t="str">
        <f>BIND4!AV46</f>
        <v xml:space="preserve"> </v>
      </c>
      <c r="AV47" s="414" t="str">
        <f>IFERROR('MTK4'!AP46,"")</f>
        <v/>
      </c>
      <c r="AW47" s="414" t="str">
        <f>IFERROR('MTK4'!AQ46,"")</f>
        <v/>
      </c>
      <c r="AX47" s="413" t="str">
        <f>'MTK4'!AV46</f>
        <v xml:space="preserve"> </v>
      </c>
      <c r="AY47" s="414" t="str">
        <f>IFERROR('IPA4'!AJ46,"")</f>
        <v/>
      </c>
      <c r="AZ47" s="414" t="str">
        <f>IFERROR('IPA4'!AK46,"")</f>
        <v/>
      </c>
      <c r="BA47" s="413" t="str">
        <f>'IPA4'!AP46</f>
        <v xml:space="preserve"> </v>
      </c>
      <c r="BB47" s="414" t="str">
        <f>IFERROR('IPS4'!AG46,"")</f>
        <v/>
      </c>
      <c r="BC47" s="414" t="str">
        <f>IFERROR('IPS4'!AH46,"")</f>
        <v/>
      </c>
      <c r="BD47" s="413" t="str">
        <f>'IPS4'!AM46</f>
        <v xml:space="preserve"> </v>
      </c>
      <c r="BE47" s="414" t="str">
        <f>IFERROR(SBDP4!AG46,"")</f>
        <v/>
      </c>
      <c r="BF47" s="414" t="str">
        <f>IFERROR(SBDP4!AH46,"")</f>
        <v/>
      </c>
      <c r="BG47" s="413" t="str">
        <f>SBDP4!AM46</f>
        <v xml:space="preserve"> </v>
      </c>
      <c r="BH47" s="414" t="str">
        <f>IFERROR(PJOK4!AJ46,"")</f>
        <v/>
      </c>
      <c r="BI47" s="414" t="str">
        <f>IFERROR(PJOK4!AK46,"")</f>
        <v/>
      </c>
      <c r="BJ47" s="415" t="str">
        <f>PJOK4!AP46</f>
        <v xml:space="preserve"> </v>
      </c>
      <c r="BK47" s="414" t="str">
        <f>IFERROR('MLK1-4'!AG46,"")</f>
        <v/>
      </c>
      <c r="BL47" s="414" t="str">
        <f>IFERROR('MLK1-4'!AH46,"")</f>
        <v/>
      </c>
      <c r="BM47" s="413" t="str">
        <f>'MLK1-4'!AM46</f>
        <v xml:space="preserve"> </v>
      </c>
      <c r="BN47" s="414" t="str">
        <f>IFERROR('MLK2-4'!AG46,"")</f>
        <v/>
      </c>
      <c r="BO47" s="414" t="str">
        <f>IFERROR('MLK2-4'!AH46,"")</f>
        <v/>
      </c>
      <c r="BP47" s="413" t="str">
        <f>'MLK2-4'!AM46</f>
        <v xml:space="preserve"> </v>
      </c>
      <c r="BQ47" s="414" t="str">
        <f>IFERROR('MLK3-4'!AG46,"")</f>
        <v/>
      </c>
      <c r="BR47" s="414" t="str">
        <f>IFERROR('MLK3-4'!AH46,"")</f>
        <v/>
      </c>
      <c r="BS47" s="413" t="str">
        <f>'MLK3-4'!AM46</f>
        <v xml:space="preserve"> </v>
      </c>
      <c r="BT47" s="414">
        <f t="shared" si="0"/>
        <v>48.363636363636367</v>
      </c>
      <c r="BU47" s="444">
        <f t="shared" si="1"/>
        <v>1064</v>
      </c>
      <c r="BV47" s="416">
        <f t="shared" si="2"/>
        <v>1064</v>
      </c>
      <c r="BW47" s="417">
        <f t="shared" si="3"/>
        <v>11</v>
      </c>
    </row>
    <row r="48" spans="1:75" ht="20.25" customHeight="1">
      <c r="A48" s="113">
        <v>43</v>
      </c>
      <c r="B48" s="113">
        <f>SISWA!B48</f>
        <v>0</v>
      </c>
      <c r="C48" s="410" t="str">
        <f>SISWA!C48</f>
        <v>Anak 43</v>
      </c>
      <c r="D48" s="411" t="str">
        <f>SPIRIT!Q47</f>
        <v xml:space="preserve">Ananda Anak 43 baik dalam  ketaatan beribadah,  berperilaku syukur,  berdoa sebelum dan sesudah melakukan kegiatan,  toleransi dalam beribadah, </v>
      </c>
      <c r="E48" s="411" t="str">
        <f>SOSIAL!W47</f>
        <v xml:space="preserve">Ananda Anak 43 baik dalam sikap jujur, disiplin, tanggung jawab, santun, peduli, percaya diri, kerja sama, </v>
      </c>
      <c r="F48" s="412">
        <f>IFERROR('PAI3'!DU48,"")</f>
        <v>99</v>
      </c>
      <c r="G48" s="412" t="str">
        <f>IFERROR('PAI3'!DV48,"")</f>
        <v>A</v>
      </c>
      <c r="H48" s="413" t="str">
        <f>'PAI3'!EA48</f>
        <v>Anak 43 sangat baik  dalam memahami Q.S. al- Falaq dan Q.S. al- Fil dengan baik dan benar</v>
      </c>
      <c r="I48" s="412">
        <f>IFERROR('PKN3'!AI47,"")</f>
        <v>95</v>
      </c>
      <c r="J48" s="412" t="str">
        <f>IFERROR('PKN3'!AJ47,"")</f>
        <v>A</v>
      </c>
      <c r="K48" s="411" t="str">
        <f>'PKN3'!AO47</f>
        <v>Anak 43 sangat baik  dalam mengidentifikasi pelaksanaan kewajiban dan hak sebagai warga masyarakat dalam kehidupan sehari-hari., dan  sangat baik  dalam menjelaskan manfaat keberagaman karakteristik individu dalam kehidupan sehari-hari.</v>
      </c>
      <c r="L48" s="414">
        <f>IFERROR(BIND3!AU47,"")</f>
        <v>96</v>
      </c>
      <c r="M48" s="414" t="str">
        <f>IFERROR(BIND3!AV47,"")</f>
        <v>A</v>
      </c>
      <c r="N48" s="413" t="str">
        <f>BIND3!BA47</f>
        <v>Anak 43 sangat baik  dalam menggali pengetahuan baru yang terdapat pada teks nonfiksi., dan  sangat baik  dalam menggali informasi dari seorang tokoh melalui wawancara menggunakan daftar pertanyaan.</v>
      </c>
      <c r="O48" s="414">
        <f>IFERROR('MTK3'!BC47,"")</f>
        <v>96</v>
      </c>
      <c r="P48" s="414" t="str">
        <f>IFERROR('MTK3'!BD47,"")</f>
        <v>A</v>
      </c>
      <c r="Q48" s="413" t="str">
        <f>'MTK3'!BI47</f>
        <v>Anak 43 sangat baik  dalam menjelaskan dan melakukan penaksiran dari jumlah, selisih, hasil kali, dan hasil bagi dua bilangan cacah maupun pecahan dan desimal, dan  baik  dalam menjelaskan berbagai bentuk pecahan (biasa, campuran, desimal, dan persen) dan hubungan di antaranya</v>
      </c>
      <c r="R48" s="414">
        <f>IFERROR('IPA3'!AM47,"")</f>
        <v>99</v>
      </c>
      <c r="S48" s="414" t="str">
        <f>IFERROR('IPA3'!AN47,"")</f>
        <v>A</v>
      </c>
      <c r="T48" s="413" t="str">
        <f>'IPA3'!AS47</f>
        <v>Anak 43 sangat baik  dalam membandingkan siklus hidup beberapa jenis makhluk hidup serta mengaitkan dengan upaya pelestariannya.</v>
      </c>
      <c r="U48" s="414">
        <f>IFERROR('IPS3'!AN47,"")</f>
        <v>99</v>
      </c>
      <c r="V48" s="414" t="str">
        <f>IFERROR('IPS3'!AO47,"")</f>
        <v>A</v>
      </c>
      <c r="W48" s="413" t="str">
        <f>'IPS3'!AT47</f>
        <v>Anak 43 sangat baik  dalam mengidentifikasi karakteristik ruang dan pemanfaatan sumberdaya alam untuk kesejahteraan masyarakat dari tingkatkota/kabupaten sampai tingkat provinsi.</v>
      </c>
      <c r="X48" s="414">
        <f>IFERROR(SBDP3!AN47,"")</f>
        <v>99</v>
      </c>
      <c r="Y48" s="414" t="str">
        <f>IFERROR(SBDP3!AO47,"")</f>
        <v>A</v>
      </c>
      <c r="Z48" s="413" t="str">
        <f>SBDP3!AT47</f>
        <v>Anak 43 sangat baik  dalam mengetahui gambar dan bentuk tiga dimensi.</v>
      </c>
      <c r="AA48" s="414">
        <f>IFERROR(PJOK3!AV47,"")</f>
        <v>94</v>
      </c>
      <c r="AB48" s="414" t="str">
        <f>IFERROR(PJOK3!AW47,"")</f>
        <v>A</v>
      </c>
      <c r="AC48" s="413" t="str">
        <f>PJOK3!BB47</f>
        <v>Anak 43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48" s="414">
        <f>IFERROR('MLK1-3'!AT47,"")</f>
        <v>90</v>
      </c>
      <c r="AE48" s="414" t="str">
        <f>IFERROR('MLK1-3'!AU47,"")</f>
        <v>B</v>
      </c>
      <c r="AF48" s="415" t="str">
        <f>'MLK1-3'!AZ47</f>
        <v>Anak 43 sangat baik  dalam mengenal, memahami, dan mengidentifikasi kata berimbuhan dalam teks sesuai kaidah, dan  baik  dalam mengenal dan memahami sandhangan aksara Jawa.</v>
      </c>
      <c r="AG48" s="414">
        <f>IFERROR('MLK2-3'!AP47,"")</f>
        <v>92</v>
      </c>
      <c r="AH48" s="414" t="str">
        <f>IFERROR('MLK2-3'!AQ47,"")</f>
        <v>A</v>
      </c>
      <c r="AI48" s="413" t="str">
        <f>'MLK2-3'!AV47</f>
        <v>Anak 43 sangat baik  dalam mengenal dan mengidentifikasi benda-benda di dapur dan nama-nama bunga, dan  baik  dalam memahami penggunaan kalimat yang menunjukkan letak suatu tempat</v>
      </c>
      <c r="AJ48" s="414">
        <f>IFERROR('MLK3-3'!AP47,"")</f>
        <v>88</v>
      </c>
      <c r="AK48" s="414" t="str">
        <f>IFERROR('MLK3-3'!AQ47,"")</f>
        <v>B</v>
      </c>
      <c r="AL48" s="415" t="str">
        <f>'MLK3-3'!AV47</f>
        <v>Anak 43 baik  dalam memahami pembuatan dokumen di microsoft  word, dan  baik  dalam mengenal dan memahami penggunaan microsoft  word.</v>
      </c>
      <c r="AM48" s="414" t="str">
        <f>IFERROR('PAI4'!CI48,"")</f>
        <v/>
      </c>
      <c r="AN48" s="414" t="str">
        <f>IFERROR('PAI4'!CJ48,"")</f>
        <v/>
      </c>
      <c r="AO48" s="415" t="str">
        <f>'PAI4'!CO48</f>
        <v xml:space="preserve"> </v>
      </c>
      <c r="AP48" s="414" t="str">
        <f>IFERROR('PKN4'!AD47,"")</f>
        <v/>
      </c>
      <c r="AQ48" s="414" t="str">
        <f>IFERROR('PKN4'!AE47,"")</f>
        <v/>
      </c>
      <c r="AR48" s="413" t="str">
        <f>'PKN4'!AJ47</f>
        <v xml:space="preserve"> </v>
      </c>
      <c r="AS48" s="414" t="str">
        <f>IFERROR(BIND4!AP47,"")</f>
        <v/>
      </c>
      <c r="AT48" s="414" t="str">
        <f>IFERROR(BIND4!AQ47,"")</f>
        <v/>
      </c>
      <c r="AU48" s="413" t="str">
        <f>BIND4!AV47</f>
        <v xml:space="preserve"> </v>
      </c>
      <c r="AV48" s="414" t="str">
        <f>IFERROR('MTK4'!AP47,"")</f>
        <v/>
      </c>
      <c r="AW48" s="414" t="str">
        <f>IFERROR('MTK4'!AQ47,"")</f>
        <v/>
      </c>
      <c r="AX48" s="413" t="str">
        <f>'MTK4'!AV47</f>
        <v xml:space="preserve"> </v>
      </c>
      <c r="AY48" s="414" t="str">
        <f>IFERROR('IPA4'!AJ47,"")</f>
        <v/>
      </c>
      <c r="AZ48" s="414" t="str">
        <f>IFERROR('IPA4'!AK47,"")</f>
        <v/>
      </c>
      <c r="BA48" s="413" t="str">
        <f>'IPA4'!AP47</f>
        <v xml:space="preserve"> </v>
      </c>
      <c r="BB48" s="414" t="str">
        <f>IFERROR('IPS4'!AG47,"")</f>
        <v/>
      </c>
      <c r="BC48" s="414" t="str">
        <f>IFERROR('IPS4'!AH47,"")</f>
        <v/>
      </c>
      <c r="BD48" s="413" t="str">
        <f>'IPS4'!AM47</f>
        <v xml:space="preserve"> </v>
      </c>
      <c r="BE48" s="414" t="str">
        <f>IFERROR(SBDP4!AG47,"")</f>
        <v/>
      </c>
      <c r="BF48" s="414" t="str">
        <f>IFERROR(SBDP4!AH47,"")</f>
        <v/>
      </c>
      <c r="BG48" s="413" t="str">
        <f>SBDP4!AM47</f>
        <v xml:space="preserve"> </v>
      </c>
      <c r="BH48" s="414" t="str">
        <f>IFERROR(PJOK4!AJ47,"")</f>
        <v/>
      </c>
      <c r="BI48" s="414" t="str">
        <f>IFERROR(PJOK4!AK47,"")</f>
        <v/>
      </c>
      <c r="BJ48" s="415" t="str">
        <f>PJOK4!AP47</f>
        <v xml:space="preserve"> </v>
      </c>
      <c r="BK48" s="414" t="str">
        <f>IFERROR('MLK1-4'!AG47,"")</f>
        <v/>
      </c>
      <c r="BL48" s="414" t="str">
        <f>IFERROR('MLK1-4'!AH47,"")</f>
        <v/>
      </c>
      <c r="BM48" s="413" t="str">
        <f>'MLK1-4'!AM47</f>
        <v xml:space="preserve"> </v>
      </c>
      <c r="BN48" s="414" t="str">
        <f>IFERROR('MLK2-4'!AG47,"")</f>
        <v/>
      </c>
      <c r="BO48" s="414" t="str">
        <f>IFERROR('MLK2-4'!AH47,"")</f>
        <v/>
      </c>
      <c r="BP48" s="413" t="str">
        <f>'MLK2-4'!AM47</f>
        <v xml:space="preserve"> </v>
      </c>
      <c r="BQ48" s="414" t="str">
        <f>IFERROR('MLK3-4'!AG47,"")</f>
        <v/>
      </c>
      <c r="BR48" s="414" t="str">
        <f>IFERROR('MLK3-4'!AH47,"")</f>
        <v/>
      </c>
      <c r="BS48" s="413" t="str">
        <f>'MLK3-4'!AM47</f>
        <v xml:space="preserve"> </v>
      </c>
      <c r="BT48" s="414">
        <f t="shared" si="0"/>
        <v>47.590909090909093</v>
      </c>
      <c r="BU48" s="444">
        <f t="shared" si="1"/>
        <v>1047</v>
      </c>
      <c r="BV48" s="416">
        <f t="shared" si="2"/>
        <v>1047</v>
      </c>
      <c r="BW48" s="417">
        <f t="shared" si="3"/>
        <v>39</v>
      </c>
    </row>
    <row r="49" spans="1:75" ht="20.25" customHeight="1">
      <c r="A49" s="113">
        <v>44</v>
      </c>
      <c r="B49" s="113">
        <f>SISWA!B49</f>
        <v>0</v>
      </c>
      <c r="C49" s="410" t="str">
        <f>SISWA!C49</f>
        <v>Anak 44</v>
      </c>
      <c r="D49" s="411" t="str">
        <f>SPIRIT!Q48</f>
        <v xml:space="preserve">Ananda Anak 44 baik dalam  ketaatan beribadah,  berperilaku syukur,  berdoa sebelum dan sesudah melakukan kegiatan,  toleransi dalam beribadah, </v>
      </c>
      <c r="E49" s="411" t="str">
        <f>SOSIAL!W48</f>
        <v xml:space="preserve">Ananda Anak 44 baik dalam sikap jujur, disiplin, tanggung jawab, santun, peduli, percaya diri, kerja sama, </v>
      </c>
      <c r="F49" s="412">
        <f>IFERROR('PAI3'!DU49,"")</f>
        <v>99</v>
      </c>
      <c r="G49" s="412" t="str">
        <f>IFERROR('PAI3'!DV49,"")</f>
        <v>A</v>
      </c>
      <c r="H49" s="413" t="str">
        <f>'PAI3'!EA49</f>
        <v>Anak 44 sangat baik  dalam memahami Q.S. al- Falaq dan Q.S. al- Fil dengan baik dan benar</v>
      </c>
      <c r="I49" s="412">
        <f>IFERROR('PKN3'!AI48,"")</f>
        <v>95</v>
      </c>
      <c r="J49" s="412" t="str">
        <f>IFERROR('PKN3'!AJ48,"")</f>
        <v>A</v>
      </c>
      <c r="K49" s="411" t="str">
        <f>'PKN3'!AO48</f>
        <v>Anak 44 sangat baik  dalam mengidentifikasi pelaksanaan kewajiban dan hak sebagai warga masyarakat dalam kehidupan sehari-hari., dan  sangat baik  dalam menjelaskan manfaat keberagaman karakteristik individu dalam kehidupan sehari-hari.</v>
      </c>
      <c r="L49" s="414">
        <f>IFERROR(BIND3!AU48,"")</f>
        <v>96</v>
      </c>
      <c r="M49" s="414" t="str">
        <f>IFERROR(BIND3!AV48,"")</f>
        <v>A</v>
      </c>
      <c r="N49" s="413" t="str">
        <f>BIND3!BA48</f>
        <v>Anak 44 sangat baik  dalam menggali pengetahuan baru yang terdapat pada teks nonfiksi., dan  sangat baik  dalam menggali informasi dari seorang tokoh melalui wawancara menggunakan daftar pertanyaan.</v>
      </c>
      <c r="O49" s="414">
        <f>IFERROR('MTK3'!BC48,"")</f>
        <v>97</v>
      </c>
      <c r="P49" s="414" t="str">
        <f>IFERROR('MTK3'!BD48,"")</f>
        <v>A</v>
      </c>
      <c r="Q49" s="413" t="str">
        <f>'MTK3'!BI48</f>
        <v>Anak 44 sangat baik  dalam menjelaskan dan melakukan penaksiran dari jumlah, selisih, hasil kali, dan hasil bagi dua bilangan cacah maupun pecahan dan desimal, dan  baik  dalam menjelaskan berbagai bentuk pecahan (biasa, campuran, desimal, dan persen) dan hubungan di antaranya</v>
      </c>
      <c r="R49" s="414">
        <f>IFERROR('IPA3'!AM48,"")</f>
        <v>99</v>
      </c>
      <c r="S49" s="414" t="str">
        <f>IFERROR('IPA3'!AN48,"")</f>
        <v>A</v>
      </c>
      <c r="T49" s="413" t="str">
        <f>'IPA3'!AS48</f>
        <v>Anak 44 sangat baik  dalam membandingkan siklus hidup beberapa jenis makhluk hidup serta mengaitkan dengan upaya pelestariannya.</v>
      </c>
      <c r="U49" s="414">
        <f>IFERROR('IPS3'!AN48,"")</f>
        <v>99</v>
      </c>
      <c r="V49" s="414" t="str">
        <f>IFERROR('IPS3'!AO48,"")</f>
        <v>A</v>
      </c>
      <c r="W49" s="413" t="str">
        <f>'IPS3'!AT48</f>
        <v>Anak 44 sangat baik  dalam mengidentifikasi karakteristik ruang dan pemanfaatan sumberdaya alam untuk kesejahteraan masyarakat dari tingkatkota/kabupaten sampai tingkat provinsi.</v>
      </c>
      <c r="X49" s="414">
        <f>IFERROR(SBDP3!AN48,"")</f>
        <v>99</v>
      </c>
      <c r="Y49" s="414" t="str">
        <f>IFERROR(SBDP3!AO48,"")</f>
        <v>A</v>
      </c>
      <c r="Z49" s="413" t="str">
        <f>SBDP3!AT48</f>
        <v>Anak 44 sangat baik  dalam mengetahui gambar dan bentuk tiga dimensi.</v>
      </c>
      <c r="AA49" s="414">
        <f>IFERROR(PJOK3!AV48,"")</f>
        <v>95</v>
      </c>
      <c r="AB49" s="414" t="str">
        <f>IFERROR(PJOK3!AW48,"")</f>
        <v>A</v>
      </c>
      <c r="AC49" s="413" t="str">
        <f>PJOK3!BB48</f>
        <v>Anak 44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49" s="414">
        <f>IFERROR('MLK1-3'!AT48,"")</f>
        <v>91</v>
      </c>
      <c r="AE49" s="414" t="str">
        <f>IFERROR('MLK1-3'!AU48,"")</f>
        <v>A</v>
      </c>
      <c r="AF49" s="415" t="str">
        <f>'MLK1-3'!AZ48</f>
        <v>Anak 44 sangat baik  dalam mengenal, memahami, dan mengidentifikasi kata berimbuhan dalam teks sesuai kaidah, dan  baik  dalam mengenal dan memahami sandhangan aksara Jawa.</v>
      </c>
      <c r="AG49" s="414">
        <f>IFERROR('MLK2-3'!AP48,"")</f>
        <v>93</v>
      </c>
      <c r="AH49" s="414" t="str">
        <f>IFERROR('MLK2-3'!AQ48,"")</f>
        <v>A</v>
      </c>
      <c r="AI49" s="413" t="str">
        <f>'MLK2-3'!AV48</f>
        <v>Anak 44 sangat baik  dalam mengenal dan mengidentifikasi benda-benda di dapur dan nama-nama bunga, dan  baik  dalam memahami penggunaan kalimat yang menunjukkan letak suatu tempat</v>
      </c>
      <c r="AJ49" s="414">
        <f>IFERROR('MLK3-3'!AP48,"")</f>
        <v>88</v>
      </c>
      <c r="AK49" s="414" t="str">
        <f>IFERROR('MLK3-3'!AQ48,"")</f>
        <v>B</v>
      </c>
      <c r="AL49" s="415" t="str">
        <f>'MLK3-3'!AV48</f>
        <v>Anak 44 baik  dalam memahami pembuatan dokumen di microsoft  word, dan  baik  dalam mengenal dan memahami penggunaan microsoft  word.</v>
      </c>
      <c r="AM49" s="414" t="str">
        <f>IFERROR('PAI4'!CI49,"")</f>
        <v/>
      </c>
      <c r="AN49" s="414" t="str">
        <f>IFERROR('PAI4'!CJ49,"")</f>
        <v/>
      </c>
      <c r="AO49" s="415" t="str">
        <f>'PAI4'!CO49</f>
        <v xml:space="preserve"> </v>
      </c>
      <c r="AP49" s="414" t="str">
        <f>IFERROR('PKN4'!AD48,"")</f>
        <v/>
      </c>
      <c r="AQ49" s="414" t="str">
        <f>IFERROR('PKN4'!AE48,"")</f>
        <v/>
      </c>
      <c r="AR49" s="413" t="str">
        <f>'PKN4'!AJ48</f>
        <v xml:space="preserve"> </v>
      </c>
      <c r="AS49" s="414" t="str">
        <f>IFERROR(BIND4!AP48,"")</f>
        <v/>
      </c>
      <c r="AT49" s="414" t="str">
        <f>IFERROR(BIND4!AQ48,"")</f>
        <v/>
      </c>
      <c r="AU49" s="413" t="str">
        <f>BIND4!AV48</f>
        <v xml:space="preserve"> </v>
      </c>
      <c r="AV49" s="414" t="str">
        <f>IFERROR('MTK4'!AP48,"")</f>
        <v/>
      </c>
      <c r="AW49" s="414" t="str">
        <f>IFERROR('MTK4'!AQ48,"")</f>
        <v/>
      </c>
      <c r="AX49" s="413" t="str">
        <f>'MTK4'!AV48</f>
        <v xml:space="preserve"> </v>
      </c>
      <c r="AY49" s="414" t="str">
        <f>IFERROR('IPA4'!AJ48,"")</f>
        <v/>
      </c>
      <c r="AZ49" s="414" t="str">
        <f>IFERROR('IPA4'!AK48,"")</f>
        <v/>
      </c>
      <c r="BA49" s="413" t="str">
        <f>'IPA4'!AP48</f>
        <v xml:space="preserve"> </v>
      </c>
      <c r="BB49" s="414" t="str">
        <f>IFERROR('IPS4'!AG48,"")</f>
        <v/>
      </c>
      <c r="BC49" s="414" t="str">
        <f>IFERROR('IPS4'!AH48,"")</f>
        <v/>
      </c>
      <c r="BD49" s="413" t="str">
        <f>'IPS4'!AM48</f>
        <v xml:space="preserve"> </v>
      </c>
      <c r="BE49" s="414" t="str">
        <f>IFERROR(SBDP4!AG48,"")</f>
        <v/>
      </c>
      <c r="BF49" s="414" t="str">
        <f>IFERROR(SBDP4!AH48,"")</f>
        <v/>
      </c>
      <c r="BG49" s="413" t="str">
        <f>SBDP4!AM48</f>
        <v xml:space="preserve"> </v>
      </c>
      <c r="BH49" s="414" t="str">
        <f>IFERROR(PJOK4!AJ48,"")</f>
        <v/>
      </c>
      <c r="BI49" s="414" t="str">
        <f>IFERROR(PJOK4!AK48,"")</f>
        <v/>
      </c>
      <c r="BJ49" s="415" t="str">
        <f>PJOK4!AP48</f>
        <v xml:space="preserve"> </v>
      </c>
      <c r="BK49" s="414" t="str">
        <f>IFERROR('MLK1-4'!AG48,"")</f>
        <v/>
      </c>
      <c r="BL49" s="414" t="str">
        <f>IFERROR('MLK1-4'!AH48,"")</f>
        <v/>
      </c>
      <c r="BM49" s="413" t="str">
        <f>'MLK1-4'!AM48</f>
        <v xml:space="preserve"> </v>
      </c>
      <c r="BN49" s="414" t="str">
        <f>IFERROR('MLK2-4'!AG48,"")</f>
        <v/>
      </c>
      <c r="BO49" s="414" t="str">
        <f>IFERROR('MLK2-4'!AH48,"")</f>
        <v/>
      </c>
      <c r="BP49" s="413" t="str">
        <f>'MLK2-4'!AM48</f>
        <v xml:space="preserve"> </v>
      </c>
      <c r="BQ49" s="414" t="str">
        <f>IFERROR('MLK3-4'!AG48,"")</f>
        <v/>
      </c>
      <c r="BR49" s="414" t="str">
        <f>IFERROR('MLK3-4'!AH48,"")</f>
        <v/>
      </c>
      <c r="BS49" s="413" t="str">
        <f>'MLK3-4'!AM48</f>
        <v xml:space="preserve"> </v>
      </c>
      <c r="BT49" s="414">
        <f t="shared" si="0"/>
        <v>47.772727272727273</v>
      </c>
      <c r="BU49" s="444">
        <f t="shared" si="1"/>
        <v>1051</v>
      </c>
      <c r="BV49" s="416">
        <f t="shared" si="2"/>
        <v>1051</v>
      </c>
      <c r="BW49" s="417">
        <f t="shared" si="3"/>
        <v>32</v>
      </c>
    </row>
    <row r="50" spans="1:75" ht="20.25" customHeight="1">
      <c r="A50" s="113">
        <v>45</v>
      </c>
      <c r="B50" s="113">
        <f>SISWA!B50</f>
        <v>0</v>
      </c>
      <c r="C50" s="410" t="str">
        <f>SISWA!C50</f>
        <v>Anak 45</v>
      </c>
      <c r="D50" s="411" t="str">
        <f>SPIRIT!Q49</f>
        <v xml:space="preserve">Ananda Anak 45 baik dalam  ketaatan beribadah,  berperilaku syukur,  berdoa sebelum dan sesudah melakukan kegiatan,  toleransi dalam beribadah, </v>
      </c>
      <c r="E50" s="411" t="str">
        <f>SOSIAL!W49</f>
        <v xml:space="preserve">Ananda Anak 45 baik dalam sikap jujur, disiplin, tanggung jawab, santun, peduli, percaya diri, kerja sama, </v>
      </c>
      <c r="F50" s="412">
        <f>IFERROR('PAI3'!DU50,"")</f>
        <v>99</v>
      </c>
      <c r="G50" s="412" t="str">
        <f>IFERROR('PAI3'!DV50,"")</f>
        <v>A</v>
      </c>
      <c r="H50" s="413" t="str">
        <f>'PAI3'!EA50</f>
        <v>Anak 45 sangat baik  dalam memahami Q.S. al- Falaq dan Q.S. al- Fil dengan baik dan benar</v>
      </c>
      <c r="I50" s="412">
        <f>IFERROR('PKN3'!AI49,"")</f>
        <v>95</v>
      </c>
      <c r="J50" s="412" t="str">
        <f>IFERROR('PKN3'!AJ49,"")</f>
        <v>A</v>
      </c>
      <c r="K50" s="411" t="str">
        <f>'PKN3'!AO49</f>
        <v>Anak 45 sangat baik  dalam mengidentifikasi pelaksanaan kewajiban dan hak sebagai warga masyarakat dalam kehidupan sehari-hari., dan  sangat baik  dalam mengidentifikasi berbagai bentuk keragaman suku bangsa, sosial, dan budaya di Indonesia yang terikat persatuan dan kesatuan.</v>
      </c>
      <c r="L50" s="414">
        <f>IFERROR(BIND3!AU49,"")</f>
        <v>96</v>
      </c>
      <c r="M50" s="414" t="str">
        <f>IFERROR(BIND3!AV49,"")</f>
        <v>A</v>
      </c>
      <c r="N50" s="413" t="str">
        <f>BIND3!BA49</f>
        <v>Anak 45 sangat baik  dalam menggali pengetahuan baru yang terdapat pada teks nonfiksi., dan  sangat baik  dalam menggali informasi dari seorang tokoh melalui wawancara menggunakan daftar pertanyaan.</v>
      </c>
      <c r="O50" s="414">
        <f>IFERROR('MTK3'!BC49,"")</f>
        <v>96</v>
      </c>
      <c r="P50" s="414" t="str">
        <f>IFERROR('MTK3'!BD49,"")</f>
        <v>A</v>
      </c>
      <c r="Q50" s="413" t="str">
        <f>'MTK3'!BI49</f>
        <v>Anak 45 sangat baik  dalam menjelaskan dan melakukan penaksiran dari jumlah, selisih, hasil kali, dan hasil bagi dua bilangan cacah maupun pecahan dan desimal, dan  baik  dalam menjelaskan berbagai bentuk pecahan (biasa, campuran, desimal, dan persen) dan hubungan di antaranya</v>
      </c>
      <c r="R50" s="414">
        <f>IFERROR('IPA3'!AM49,"")</f>
        <v>99</v>
      </c>
      <c r="S50" s="414" t="str">
        <f>IFERROR('IPA3'!AN49,"")</f>
        <v>A</v>
      </c>
      <c r="T50" s="413" t="str">
        <f>'IPA3'!AS49</f>
        <v>Anak 45 sangat baik  dalam membandingkan siklus hidup beberapa jenis makhluk hidup serta mengaitkan dengan upaya pelestariannya.</v>
      </c>
      <c r="U50" s="414">
        <f>IFERROR('IPS3'!AN49,"")</f>
        <v>99</v>
      </c>
      <c r="V50" s="414" t="str">
        <f>IFERROR('IPS3'!AO49,"")</f>
        <v>A</v>
      </c>
      <c r="W50" s="413" t="str">
        <f>'IPS3'!AT49</f>
        <v>Anak 45 sangat baik  dalam mengidentifikasi karakteristik ruang dan pemanfaatan sumberdaya alam untuk kesejahteraan masyarakat dari tingkatkota/kabupaten sampai tingkat provinsi.</v>
      </c>
      <c r="X50" s="414">
        <f>IFERROR(SBDP3!AN49,"")</f>
        <v>99</v>
      </c>
      <c r="Y50" s="414" t="str">
        <f>IFERROR(SBDP3!AO49,"")</f>
        <v>A</v>
      </c>
      <c r="Z50" s="413" t="str">
        <f>SBDP3!AT49</f>
        <v>Anak 45 sangat baik  dalam mengetahui gambar dan bentuk tiga dimensi.</v>
      </c>
      <c r="AA50" s="414">
        <f>IFERROR(PJOK3!AV49,"")</f>
        <v>94</v>
      </c>
      <c r="AB50" s="414" t="str">
        <f>IFERROR(PJOK3!AW49,"")</f>
        <v>A</v>
      </c>
      <c r="AC50" s="413" t="str">
        <f>PJOK3!BB49</f>
        <v>Anak 45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50" s="414">
        <f>IFERROR('MLK1-3'!AT49,"")</f>
        <v>89</v>
      </c>
      <c r="AE50" s="414" t="str">
        <f>IFERROR('MLK1-3'!AU49,"")</f>
        <v>B</v>
      </c>
      <c r="AF50" s="415" t="str">
        <f>'MLK1-3'!AZ49</f>
        <v>Anak 45 sangat baik  dalam mengenal dan memahmi teks tembang dolanan, dan  baik  dalam mengenal dan memahami sandhangan aksara Jawa.</v>
      </c>
      <c r="AG50" s="414">
        <f>IFERROR('MLK2-3'!AP49,"")</f>
        <v>92</v>
      </c>
      <c r="AH50" s="414" t="str">
        <f>IFERROR('MLK2-3'!AQ49,"")</f>
        <v>A</v>
      </c>
      <c r="AI50" s="413" t="str">
        <f>'MLK2-3'!AV49</f>
        <v>Anak 45 sangat baik  dalam mengenal dan mengidentifikasi benda-benda di dapur dan nama-nama bunga, dan  baik  dalam memahami penggunaan kalimat yang menunjukkan letak suatu tempat</v>
      </c>
      <c r="AJ50" s="414">
        <f>IFERROR('MLK3-3'!AP49,"")</f>
        <v>86</v>
      </c>
      <c r="AK50" s="414" t="str">
        <f>IFERROR('MLK3-3'!AQ49,"")</f>
        <v>B</v>
      </c>
      <c r="AL50" s="415" t="str">
        <f>'MLK3-3'!AV49</f>
        <v>Anak 45 baik  dalam mengenal dan memahami penggunaan microsoft  word., dan  baik  dalam memahami pembuatan dokumen di microsoft  word</v>
      </c>
      <c r="AM50" s="414" t="str">
        <f>IFERROR('PAI4'!CI50,"")</f>
        <v/>
      </c>
      <c r="AN50" s="414" t="str">
        <f>IFERROR('PAI4'!CJ50,"")</f>
        <v/>
      </c>
      <c r="AO50" s="415" t="str">
        <f>'PAI4'!CO50</f>
        <v xml:space="preserve"> </v>
      </c>
      <c r="AP50" s="414" t="str">
        <f>IFERROR('PKN4'!AD49,"")</f>
        <v/>
      </c>
      <c r="AQ50" s="414" t="str">
        <f>IFERROR('PKN4'!AE49,"")</f>
        <v/>
      </c>
      <c r="AR50" s="413" t="str">
        <f>'PKN4'!AJ49</f>
        <v xml:space="preserve"> </v>
      </c>
      <c r="AS50" s="414" t="str">
        <f>IFERROR(BIND4!AP49,"")</f>
        <v/>
      </c>
      <c r="AT50" s="414" t="str">
        <f>IFERROR(BIND4!AQ49,"")</f>
        <v/>
      </c>
      <c r="AU50" s="413" t="str">
        <f>BIND4!AV49</f>
        <v xml:space="preserve"> </v>
      </c>
      <c r="AV50" s="414" t="str">
        <f>IFERROR('MTK4'!AP49,"")</f>
        <v/>
      </c>
      <c r="AW50" s="414" t="str">
        <f>IFERROR('MTK4'!AQ49,"")</f>
        <v/>
      </c>
      <c r="AX50" s="413" t="str">
        <f>'MTK4'!AV49</f>
        <v xml:space="preserve"> </v>
      </c>
      <c r="AY50" s="414" t="str">
        <f>IFERROR('IPA4'!AJ49,"")</f>
        <v/>
      </c>
      <c r="AZ50" s="414" t="str">
        <f>IFERROR('IPA4'!AK49,"")</f>
        <v/>
      </c>
      <c r="BA50" s="413" t="str">
        <f>'IPA4'!AP49</f>
        <v xml:space="preserve"> </v>
      </c>
      <c r="BB50" s="414" t="str">
        <f>IFERROR('IPS4'!AG49,"")</f>
        <v/>
      </c>
      <c r="BC50" s="414" t="str">
        <f>IFERROR('IPS4'!AH49,"")</f>
        <v/>
      </c>
      <c r="BD50" s="413" t="str">
        <f>'IPS4'!AM49</f>
        <v xml:space="preserve"> </v>
      </c>
      <c r="BE50" s="414" t="str">
        <f>IFERROR(SBDP4!AG49,"")</f>
        <v/>
      </c>
      <c r="BF50" s="414" t="str">
        <f>IFERROR(SBDP4!AH49,"")</f>
        <v/>
      </c>
      <c r="BG50" s="413" t="str">
        <f>SBDP4!AM49</f>
        <v xml:space="preserve"> </v>
      </c>
      <c r="BH50" s="414" t="str">
        <f>IFERROR(PJOK4!AJ49,"")</f>
        <v/>
      </c>
      <c r="BI50" s="414" t="str">
        <f>IFERROR(PJOK4!AK49,"")</f>
        <v/>
      </c>
      <c r="BJ50" s="415" t="str">
        <f>PJOK4!AP49</f>
        <v xml:space="preserve"> </v>
      </c>
      <c r="BK50" s="414" t="str">
        <f>IFERROR('MLK1-4'!AG49,"")</f>
        <v/>
      </c>
      <c r="BL50" s="414" t="str">
        <f>IFERROR('MLK1-4'!AH49,"")</f>
        <v/>
      </c>
      <c r="BM50" s="413" t="str">
        <f>'MLK1-4'!AM49</f>
        <v xml:space="preserve"> </v>
      </c>
      <c r="BN50" s="414" t="str">
        <f>IFERROR('MLK2-4'!AG49,"")</f>
        <v/>
      </c>
      <c r="BO50" s="414" t="str">
        <f>IFERROR('MLK2-4'!AH49,"")</f>
        <v/>
      </c>
      <c r="BP50" s="413" t="str">
        <f>'MLK2-4'!AM49</f>
        <v xml:space="preserve"> </v>
      </c>
      <c r="BQ50" s="414" t="str">
        <f>IFERROR('MLK3-4'!AG49,"")</f>
        <v/>
      </c>
      <c r="BR50" s="414" t="str">
        <f>IFERROR('MLK3-4'!AH49,"")</f>
        <v/>
      </c>
      <c r="BS50" s="413" t="str">
        <f>'MLK3-4'!AM49</f>
        <v xml:space="preserve"> </v>
      </c>
      <c r="BT50" s="414">
        <f t="shared" si="0"/>
        <v>47.454545454545453</v>
      </c>
      <c r="BU50" s="444">
        <f t="shared" si="1"/>
        <v>1044</v>
      </c>
      <c r="BV50" s="416">
        <f t="shared" si="2"/>
        <v>1044</v>
      </c>
      <c r="BW50" s="417">
        <f t="shared" si="3"/>
        <v>46</v>
      </c>
    </row>
    <row r="51" spans="1:75" ht="20.25" customHeight="1">
      <c r="A51" s="113">
        <v>46</v>
      </c>
      <c r="B51" s="113">
        <f>SISWA!B51</f>
        <v>0</v>
      </c>
      <c r="C51" s="410" t="str">
        <f>SISWA!C51</f>
        <v>Anak 46</v>
      </c>
      <c r="D51" s="411" t="str">
        <f>SPIRIT!Q50</f>
        <v xml:space="preserve">Ananda Anak 46 baik dalam  ketaatan beribadah,  berperilaku syukur,  berdoa sebelum dan sesudah melakukan kegiatan,  toleransi dalam beribadah, </v>
      </c>
      <c r="E51" s="411" t="str">
        <f>SOSIAL!W50</f>
        <v xml:space="preserve">Ananda Anak 46 baik dalam sikap jujur, disiplin, tanggung jawab, santun, peduli, percaya diri, kerja sama, </v>
      </c>
      <c r="F51" s="412">
        <f>IFERROR('PAI3'!DU51,"")</f>
        <v>99</v>
      </c>
      <c r="G51" s="412" t="str">
        <f>IFERROR('PAI3'!DV51,"")</f>
        <v>A</v>
      </c>
      <c r="H51" s="413" t="str">
        <f>'PAI3'!EA51</f>
        <v>Anak 46 sangat baik  dalam memahami Q.S. al- Falaq dan Q.S. al- Fil dengan baik dan benar</v>
      </c>
      <c r="I51" s="412">
        <f>IFERROR('PKN3'!AI50,"")</f>
        <v>97</v>
      </c>
      <c r="J51" s="412" t="str">
        <f>IFERROR('PKN3'!AJ50,"")</f>
        <v>A</v>
      </c>
      <c r="K51" s="411" t="str">
        <f>'PKN3'!AO50</f>
        <v>Anak 46 sangat baik  dalam mengidentifikasi pelaksanaan kewajiban dan hak sebagai warga masyarakat dalam kehidupan sehari-hari., dan  sangat baik  dalam menjelaskan manfaat keberagaman karakteristik individu dalam kehidupan sehari-hari.</v>
      </c>
      <c r="L51" s="414">
        <f>IFERROR(BIND3!AU50,"")</f>
        <v>97</v>
      </c>
      <c r="M51" s="414" t="str">
        <f>IFERROR(BIND3!AV50,"")</f>
        <v>A</v>
      </c>
      <c r="N51" s="413" t="str">
        <f>BIND3!BA50</f>
        <v>Anak 46 sangat baik  dalam menggali pengetahuan baru yang terdapat pada teks nonfiksi., dan  sangat baik  dalam menggali informasi dari seorang tokoh melalui wawancara menggunakan daftar pertanyaan.</v>
      </c>
      <c r="O51" s="414">
        <f>IFERROR('MTK3'!BC50,"")</f>
        <v>97</v>
      </c>
      <c r="P51" s="414" t="str">
        <f>IFERROR('MTK3'!BD50,"")</f>
        <v>A</v>
      </c>
      <c r="Q51" s="413" t="str">
        <f>'MTK3'!BI50</f>
        <v>Anak 46 sangat baik  dalam menjelaskan dan melakukan penaksiran dari jumlah, selisih, hasil kali, dan hasil bagi dua bilangan cacah maupun pecahan dan desimal, dan  sangat baik  dalam menjelaskan berbagai bentuk pecahan (biasa, campuran, desimal, dan persen) dan hubungan di antaranya</v>
      </c>
      <c r="R51" s="414">
        <f>IFERROR('IPA3'!AM50,"")</f>
        <v>99</v>
      </c>
      <c r="S51" s="414" t="str">
        <f>IFERROR('IPA3'!AN50,"")</f>
        <v>A</v>
      </c>
      <c r="T51" s="413" t="str">
        <f>'IPA3'!AS50</f>
        <v>Anak 46 sangat baik  dalam membandingkan siklus hidup beberapa jenis makhluk hidup serta mengaitkan dengan upaya pelestariannya.</v>
      </c>
      <c r="U51" s="414">
        <f>IFERROR('IPS3'!AN50,"")</f>
        <v>99</v>
      </c>
      <c r="V51" s="414" t="str">
        <f>IFERROR('IPS3'!AO50,"")</f>
        <v>A</v>
      </c>
      <c r="W51" s="413" t="str">
        <f>'IPS3'!AT50</f>
        <v>Anak 46 sangat baik  dalam mengidentifikasi karakteristik ruang dan pemanfaatan sumberdaya alam untuk kesejahteraan masyarakat dari tingkatkota/kabupaten sampai tingkat provinsi.</v>
      </c>
      <c r="X51" s="414">
        <f>IFERROR(SBDP3!AN50,"")</f>
        <v>99</v>
      </c>
      <c r="Y51" s="414" t="str">
        <f>IFERROR(SBDP3!AO50,"")</f>
        <v>A</v>
      </c>
      <c r="Z51" s="413" t="str">
        <f>SBDP3!AT50</f>
        <v>Anak 46 sangat baik  dalam mengetahui gambar dan bentuk tiga dimensi.</v>
      </c>
      <c r="AA51" s="414">
        <f>IFERROR(PJOK3!AV50,"")</f>
        <v>96</v>
      </c>
      <c r="AB51" s="414" t="str">
        <f>IFERROR(PJOK3!AW50,"")</f>
        <v>A</v>
      </c>
      <c r="AC51" s="413" t="str">
        <f>PJOK3!BB50</f>
        <v>Anak 46 sangat baik  dalam memahami konsep kombinasi pola gerak dasar dominan statis dan dinamis untuk membentuk keterampilan/ teknik dasar senam (seperti: handstand, kayang, meroda, dsb), dan  sangat baik  dalam memahami konsep variasi dan kombinasi pola gerak dasar lokomotorr dan nonlokomotor untuk membentuk gerakan dasar atletik jalan cepat dan lari melalui permainan dan atau olahraga tradisional</v>
      </c>
      <c r="AD51" s="414">
        <f>IFERROR('MLK1-3'!AT50,"")</f>
        <v>93</v>
      </c>
      <c r="AE51" s="414" t="str">
        <f>IFERROR('MLK1-3'!AU50,"")</f>
        <v>A</v>
      </c>
      <c r="AF51" s="415" t="str">
        <f>'MLK1-3'!AZ50</f>
        <v>Anak 46 sangat baik  dalam mengenal dan memahmi teks tembang dolanan, dan  sangat baik  dalam mengenal dan memahami sandhangan aksara Jawa.</v>
      </c>
      <c r="AG51" s="414">
        <f>IFERROR('MLK2-3'!AP50,"")</f>
        <v>95</v>
      </c>
      <c r="AH51" s="414" t="str">
        <f>IFERROR('MLK2-3'!AQ50,"")</f>
        <v>A</v>
      </c>
      <c r="AI51" s="413" t="str">
        <f>'MLK2-3'!AV50</f>
        <v>Anak 46 sangat baik  dalam mengenal dan mengidentifikasi benda-benda di dapur dan nama-nama bunga, dan  sangat baik  dalam memahami penggunaan kalimat yang menunjukkan letak suatu tempat</v>
      </c>
      <c r="AJ51" s="414">
        <f>IFERROR('MLK3-3'!AP50,"")</f>
        <v>92</v>
      </c>
      <c r="AK51" s="414" t="str">
        <f>IFERROR('MLK3-3'!AQ50,"")</f>
        <v>A</v>
      </c>
      <c r="AL51" s="415" t="str">
        <f>'MLK3-3'!AV50</f>
        <v>Anak 46 sangat baik  dalam mengenal dan memahami penggunaan microsoft  word.</v>
      </c>
      <c r="AM51" s="414" t="str">
        <f>IFERROR('PAI4'!CI51,"")</f>
        <v/>
      </c>
      <c r="AN51" s="414" t="str">
        <f>IFERROR('PAI4'!CJ51,"")</f>
        <v/>
      </c>
      <c r="AO51" s="415" t="str">
        <f>'PAI4'!CO51</f>
        <v xml:space="preserve"> </v>
      </c>
      <c r="AP51" s="414" t="str">
        <f>IFERROR('PKN4'!AD50,"")</f>
        <v/>
      </c>
      <c r="AQ51" s="414" t="str">
        <f>IFERROR('PKN4'!AE50,"")</f>
        <v/>
      </c>
      <c r="AR51" s="413" t="str">
        <f>'PKN4'!AJ50</f>
        <v xml:space="preserve"> </v>
      </c>
      <c r="AS51" s="414" t="str">
        <f>IFERROR(BIND4!AP50,"")</f>
        <v/>
      </c>
      <c r="AT51" s="414" t="str">
        <f>IFERROR(BIND4!AQ50,"")</f>
        <v/>
      </c>
      <c r="AU51" s="413" t="str">
        <f>BIND4!AV50</f>
        <v xml:space="preserve"> </v>
      </c>
      <c r="AV51" s="414" t="str">
        <f>IFERROR('MTK4'!AP50,"")</f>
        <v/>
      </c>
      <c r="AW51" s="414" t="str">
        <f>IFERROR('MTK4'!AQ50,"")</f>
        <v/>
      </c>
      <c r="AX51" s="413" t="str">
        <f>'MTK4'!AV50</f>
        <v xml:space="preserve"> </v>
      </c>
      <c r="AY51" s="414" t="str">
        <f>IFERROR('IPA4'!AJ50,"")</f>
        <v/>
      </c>
      <c r="AZ51" s="414" t="str">
        <f>IFERROR('IPA4'!AK50,"")</f>
        <v/>
      </c>
      <c r="BA51" s="413" t="str">
        <f>'IPA4'!AP50</f>
        <v xml:space="preserve"> </v>
      </c>
      <c r="BB51" s="414" t="str">
        <f>IFERROR('IPS4'!AG50,"")</f>
        <v/>
      </c>
      <c r="BC51" s="414" t="str">
        <f>IFERROR('IPS4'!AH50,"")</f>
        <v/>
      </c>
      <c r="BD51" s="413" t="str">
        <f>'IPS4'!AM50</f>
        <v xml:space="preserve"> </v>
      </c>
      <c r="BE51" s="414" t="str">
        <f>IFERROR(SBDP4!AG50,"")</f>
        <v/>
      </c>
      <c r="BF51" s="414" t="str">
        <f>IFERROR(SBDP4!AH50,"")</f>
        <v/>
      </c>
      <c r="BG51" s="413" t="str">
        <f>SBDP4!AM50</f>
        <v xml:space="preserve"> </v>
      </c>
      <c r="BH51" s="414" t="str">
        <f>IFERROR(PJOK4!AJ50,"")</f>
        <v/>
      </c>
      <c r="BI51" s="414" t="str">
        <f>IFERROR(PJOK4!AK50,"")</f>
        <v/>
      </c>
      <c r="BJ51" s="415" t="str">
        <f>PJOK4!AP50</f>
        <v xml:space="preserve"> </v>
      </c>
      <c r="BK51" s="414" t="str">
        <f>IFERROR('MLK1-4'!AG50,"")</f>
        <v/>
      </c>
      <c r="BL51" s="414" t="str">
        <f>IFERROR('MLK1-4'!AH50,"")</f>
        <v/>
      </c>
      <c r="BM51" s="413" t="str">
        <f>'MLK1-4'!AM50</f>
        <v xml:space="preserve"> </v>
      </c>
      <c r="BN51" s="414" t="str">
        <f>IFERROR('MLK2-4'!AG50,"")</f>
        <v/>
      </c>
      <c r="BO51" s="414" t="str">
        <f>IFERROR('MLK2-4'!AH50,"")</f>
        <v/>
      </c>
      <c r="BP51" s="413" t="str">
        <f>'MLK2-4'!AM50</f>
        <v xml:space="preserve"> </v>
      </c>
      <c r="BQ51" s="414" t="str">
        <f>IFERROR('MLK3-4'!AG50,"")</f>
        <v/>
      </c>
      <c r="BR51" s="414" t="str">
        <f>IFERROR('MLK3-4'!AH50,"")</f>
        <v/>
      </c>
      <c r="BS51" s="413" t="str">
        <f>'MLK3-4'!AM50</f>
        <v xml:space="preserve"> </v>
      </c>
      <c r="BT51" s="414">
        <f t="shared" si="0"/>
        <v>48.31818181818182</v>
      </c>
      <c r="BU51" s="444">
        <f t="shared" si="1"/>
        <v>1063</v>
      </c>
      <c r="BV51" s="416">
        <f t="shared" si="2"/>
        <v>1063</v>
      </c>
      <c r="BW51" s="417">
        <f t="shared" si="3"/>
        <v>12</v>
      </c>
    </row>
    <row r="52" spans="1:75" ht="20.25" customHeight="1">
      <c r="A52" s="113">
        <v>47</v>
      </c>
      <c r="B52" s="113">
        <f>SISWA!B52</f>
        <v>0</v>
      </c>
      <c r="C52" s="410" t="str">
        <f>SISWA!C52</f>
        <v>Anak 47</v>
      </c>
      <c r="D52" s="411" t="str">
        <f>SPIRIT!Q51</f>
        <v xml:space="preserve">Ananda Anak 47 baik dalam  ketaatan beribadah,  berperilaku syukur,  berdoa sebelum dan sesudah melakukan kegiatan,  toleransi dalam beribadah, </v>
      </c>
      <c r="E52" s="411" t="str">
        <f>SOSIAL!W51</f>
        <v xml:space="preserve">Ananda Anak 47 baik dalam sikap jujur, disiplin, tanggung jawab, santun, peduli, percaya diri, kerja sama, </v>
      </c>
      <c r="F52" s="412">
        <f>IFERROR('PAI3'!DU52,"")</f>
        <v>99</v>
      </c>
      <c r="G52" s="412" t="str">
        <f>IFERROR('PAI3'!DV52,"")</f>
        <v>A</v>
      </c>
      <c r="H52" s="413" t="str">
        <f>'PAI3'!EA52</f>
        <v>Anak 47 sangat baik  dalam memahami Q.S. al- Falaq dan Q.S. al- Fil dengan baik dan benar</v>
      </c>
      <c r="I52" s="412">
        <f>IFERROR('PKN3'!AI51,"")</f>
        <v>94</v>
      </c>
      <c r="J52" s="412" t="str">
        <f>IFERROR('PKN3'!AJ51,"")</f>
        <v>A</v>
      </c>
      <c r="K52" s="411" t="str">
        <f>'PKN3'!AO51</f>
        <v>Anak 47 sangat baik  dalam mengidentifikasi pelaksanaan kewajiban dan hak sebagai warga masyarakat dalam kehidupan sehari-hari., dan  sangat baik  dalam menjelaskan manfaat keberagaman karakteristik individu dalam kehidupan sehari-hari.</v>
      </c>
      <c r="L52" s="414">
        <f>IFERROR(BIND3!AU51,"")</f>
        <v>95</v>
      </c>
      <c r="M52" s="414" t="str">
        <f>IFERROR(BIND3!AV51,"")</f>
        <v>A</v>
      </c>
      <c r="N52" s="413" t="str">
        <f>BIND3!BA51</f>
        <v>Anak 47 sangat baik  dalam menggali pengetahuan baru yang terdapat pada teks nonfiksi., dan  baik  dalam menggali informasi dari seorang tokoh melalui wawancara menggunakan daftar pertanyaan.</v>
      </c>
      <c r="O52" s="414">
        <f>IFERROR('MTK3'!BC51,"")</f>
        <v>96</v>
      </c>
      <c r="P52" s="414" t="str">
        <f>IFERROR('MTK3'!BD51,"")</f>
        <v>A</v>
      </c>
      <c r="Q52" s="413" t="str">
        <f>'MTK3'!BI51</f>
        <v>Anak 47 sangat baik  dalam menjelaskan dan melakukan penaksiran dari jumlah, selisih, hasil kali, dan hasil bagi dua bilangan cacah maupun pecahan dan desimal, dan  baik  dalam menjelaskan berbagai bentuk pecahan (biasa, campuran, desimal, dan persen) dan hubungan di antaranya</v>
      </c>
      <c r="R52" s="414">
        <f>IFERROR('IPA3'!AM51,"")</f>
        <v>99</v>
      </c>
      <c r="S52" s="414" t="str">
        <f>IFERROR('IPA3'!AN51,"")</f>
        <v>A</v>
      </c>
      <c r="T52" s="413" t="str">
        <f>'IPA3'!AS51</f>
        <v>Anak 47 sangat baik  dalam membandingkan siklus hidup beberapa jenis makhluk hidup serta mengaitkan dengan upaya pelestariannya.</v>
      </c>
      <c r="U52" s="414">
        <f>IFERROR('IPS3'!AN51,"")</f>
        <v>99</v>
      </c>
      <c r="V52" s="414" t="str">
        <f>IFERROR('IPS3'!AO51,"")</f>
        <v>A</v>
      </c>
      <c r="W52" s="413" t="str">
        <f>'IPS3'!AT51</f>
        <v>Anak 47 sangat baik  dalam mengidentifikasi karakteristik ruang dan pemanfaatan sumberdaya alam untuk kesejahteraan masyarakat dari tingkatkota/kabupaten sampai tingkat provinsi.</v>
      </c>
      <c r="X52" s="414">
        <f>IFERROR(SBDP3!AN51,"")</f>
        <v>99</v>
      </c>
      <c r="Y52" s="414" t="str">
        <f>IFERROR(SBDP3!AO51,"")</f>
        <v>A</v>
      </c>
      <c r="Z52" s="413" t="str">
        <f>SBDP3!AT51</f>
        <v>Anak 47 sangat baik  dalam mengetahui gambar dan bentuk tiga dimensi.</v>
      </c>
      <c r="AA52" s="414">
        <f>IFERROR(PJOK3!AV51,"")</f>
        <v>93</v>
      </c>
      <c r="AB52" s="414" t="str">
        <f>IFERROR(PJOK3!AW51,"")</f>
        <v>A</v>
      </c>
      <c r="AC52" s="413" t="str">
        <f>PJOK3!BB51</f>
        <v>Anak 47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52" s="414">
        <f>IFERROR('MLK1-3'!AT51,"")</f>
        <v>87</v>
      </c>
      <c r="AE52" s="414" t="str">
        <f>IFERROR('MLK1-3'!AU51,"")</f>
        <v>B</v>
      </c>
      <c r="AF52" s="415" t="str">
        <f>'MLK1-3'!AZ51</f>
        <v>Anak 47 baik  dalam mengenal dan memahmi teks tembang dolanan, dan  baik  dalam mengenal dan memahami sandhangan aksara Jawa.</v>
      </c>
      <c r="AG52" s="414">
        <f>IFERROR('MLK2-3'!AP51,"")</f>
        <v>90</v>
      </c>
      <c r="AH52" s="414" t="str">
        <f>IFERROR('MLK2-3'!AQ51,"")</f>
        <v>B</v>
      </c>
      <c r="AI52" s="413" t="str">
        <f>'MLK2-3'!AV51</f>
        <v>Anak 47 sangat baik  dalam mengenal dan mengidentifikasi benda-benda di dapur dan nama-nama bunga, dan  baik  dalam memahami penggunaan kalimat yang menunjukkan letak suatu tempat</v>
      </c>
      <c r="AJ52" s="414">
        <f>IFERROR('MLK3-3'!AP51,"")</f>
        <v>84</v>
      </c>
      <c r="AK52" s="414" t="str">
        <f>IFERROR('MLK3-3'!AQ51,"")</f>
        <v>B</v>
      </c>
      <c r="AL52" s="415" t="str">
        <f>'MLK3-3'!AV51</f>
        <v>Anak 47 baik  dalam mengenal dan memahami penggunaan microsoft  word.</v>
      </c>
      <c r="AM52" s="414" t="str">
        <f>IFERROR('PAI4'!CI52,"")</f>
        <v/>
      </c>
      <c r="AN52" s="414" t="str">
        <f>IFERROR('PAI4'!CJ52,"")</f>
        <v/>
      </c>
      <c r="AO52" s="415" t="str">
        <f>'PAI4'!CO52</f>
        <v xml:space="preserve"> </v>
      </c>
      <c r="AP52" s="414" t="str">
        <f>IFERROR('PKN4'!AD51,"")</f>
        <v/>
      </c>
      <c r="AQ52" s="414" t="str">
        <f>IFERROR('PKN4'!AE51,"")</f>
        <v/>
      </c>
      <c r="AR52" s="413" t="str">
        <f>'PKN4'!AJ51</f>
        <v xml:space="preserve"> </v>
      </c>
      <c r="AS52" s="414" t="str">
        <f>IFERROR(BIND4!AP51,"")</f>
        <v/>
      </c>
      <c r="AT52" s="414" t="str">
        <f>IFERROR(BIND4!AQ51,"")</f>
        <v/>
      </c>
      <c r="AU52" s="413" t="str">
        <f>BIND4!AV51</f>
        <v xml:space="preserve"> </v>
      </c>
      <c r="AV52" s="414" t="str">
        <f>IFERROR('MTK4'!AP51,"")</f>
        <v/>
      </c>
      <c r="AW52" s="414" t="str">
        <f>IFERROR('MTK4'!AQ51,"")</f>
        <v/>
      </c>
      <c r="AX52" s="413" t="str">
        <f>'MTK4'!AV51</f>
        <v xml:space="preserve"> </v>
      </c>
      <c r="AY52" s="414" t="str">
        <f>IFERROR('IPA4'!AJ51,"")</f>
        <v/>
      </c>
      <c r="AZ52" s="414" t="str">
        <f>IFERROR('IPA4'!AK51,"")</f>
        <v/>
      </c>
      <c r="BA52" s="413" t="str">
        <f>'IPA4'!AP51</f>
        <v xml:space="preserve"> </v>
      </c>
      <c r="BB52" s="414" t="str">
        <f>IFERROR('IPS4'!AG51,"")</f>
        <v/>
      </c>
      <c r="BC52" s="414" t="str">
        <f>IFERROR('IPS4'!AH51,"")</f>
        <v/>
      </c>
      <c r="BD52" s="413" t="str">
        <f>'IPS4'!AM51</f>
        <v xml:space="preserve"> </v>
      </c>
      <c r="BE52" s="414" t="str">
        <f>IFERROR(SBDP4!AG51,"")</f>
        <v/>
      </c>
      <c r="BF52" s="414" t="str">
        <f>IFERROR(SBDP4!AH51,"")</f>
        <v/>
      </c>
      <c r="BG52" s="413" t="str">
        <f>SBDP4!AM51</f>
        <v xml:space="preserve"> </v>
      </c>
      <c r="BH52" s="414" t="str">
        <f>IFERROR(PJOK4!AJ51,"")</f>
        <v/>
      </c>
      <c r="BI52" s="414" t="str">
        <f>IFERROR(PJOK4!AK51,"")</f>
        <v/>
      </c>
      <c r="BJ52" s="415" t="str">
        <f>PJOK4!AP51</f>
        <v xml:space="preserve"> </v>
      </c>
      <c r="BK52" s="414" t="str">
        <f>IFERROR('MLK1-4'!AG51,"")</f>
        <v/>
      </c>
      <c r="BL52" s="414" t="str">
        <f>IFERROR('MLK1-4'!AH51,"")</f>
        <v/>
      </c>
      <c r="BM52" s="413" t="str">
        <f>'MLK1-4'!AM51</f>
        <v xml:space="preserve"> </v>
      </c>
      <c r="BN52" s="414" t="str">
        <f>IFERROR('MLK2-4'!AG51,"")</f>
        <v/>
      </c>
      <c r="BO52" s="414" t="str">
        <f>IFERROR('MLK2-4'!AH51,"")</f>
        <v/>
      </c>
      <c r="BP52" s="413" t="str">
        <f>'MLK2-4'!AM51</f>
        <v xml:space="preserve"> </v>
      </c>
      <c r="BQ52" s="414" t="str">
        <f>IFERROR('MLK3-4'!AG51,"")</f>
        <v/>
      </c>
      <c r="BR52" s="414" t="str">
        <f>IFERROR('MLK3-4'!AH51,"")</f>
        <v/>
      </c>
      <c r="BS52" s="413" t="str">
        <f>'MLK3-4'!AM51</f>
        <v xml:space="preserve"> </v>
      </c>
      <c r="BT52" s="414">
        <f t="shared" si="0"/>
        <v>47.045454545454547</v>
      </c>
      <c r="BU52" s="444">
        <f t="shared" si="1"/>
        <v>1035</v>
      </c>
      <c r="BV52" s="416">
        <f t="shared" si="2"/>
        <v>1035</v>
      </c>
      <c r="BW52" s="417">
        <f t="shared" si="3"/>
        <v>49</v>
      </c>
    </row>
    <row r="53" spans="1:75" ht="20.25" customHeight="1">
      <c r="A53" s="113">
        <v>48</v>
      </c>
      <c r="B53" s="113">
        <f>SISWA!B53</f>
        <v>0</v>
      </c>
      <c r="C53" s="410" t="str">
        <f>SISWA!C53</f>
        <v>Anak 48</v>
      </c>
      <c r="D53" s="411" t="str">
        <f>SPIRIT!Q52</f>
        <v xml:space="preserve">Ananda Anak 48 baik dalam  ketaatan beribadah,  berperilaku syukur,  berdoa sebelum dan sesudah melakukan kegiatan,  toleransi dalam beribadah, </v>
      </c>
      <c r="E53" s="411" t="str">
        <f>SOSIAL!W52</f>
        <v xml:space="preserve">Ananda Anak 48 baik dalam sikap jujur, disiplin, tanggung jawab, santun, peduli, percaya diri, kerja sama, </v>
      </c>
      <c r="F53" s="412">
        <f>IFERROR('PAI3'!DU53,"")</f>
        <v>99</v>
      </c>
      <c r="G53" s="412" t="str">
        <f>IFERROR('PAI3'!DV53,"")</f>
        <v>A</v>
      </c>
      <c r="H53" s="413" t="str">
        <f>'PAI3'!EA53</f>
        <v>Anak 48 sangat baik  dalam memahami Q.S. al- Falaq dan Q.S. al- Fil dengan baik dan benar</v>
      </c>
      <c r="I53" s="412">
        <f>IFERROR('PKN3'!AI52,"")</f>
        <v>94</v>
      </c>
      <c r="J53" s="412" t="str">
        <f>IFERROR('PKN3'!AJ52,"")</f>
        <v>A</v>
      </c>
      <c r="K53" s="411" t="str">
        <f>'PKN3'!AO52</f>
        <v>Anak 48 sangat baik  dalam mengidentifikasi pelaksanaan kewajiban dan hak sebagai warga masyarakat dalam kehidupan sehari-hari., dan  sangat baik  dalam menjelaskan manfaat keberagaman karakteristik individu dalam kehidupan sehari-hari.</v>
      </c>
      <c r="L53" s="414">
        <f>IFERROR(BIND3!AU52,"")</f>
        <v>96</v>
      </c>
      <c r="M53" s="414" t="str">
        <f>IFERROR(BIND3!AV52,"")</f>
        <v>A</v>
      </c>
      <c r="N53" s="413" t="str">
        <f>BIND3!BA52</f>
        <v>Anak 48 sangat baik  dalam menggali pengetahuan baru yang terdapat pada teks nonfiksi., dan  baik  dalam menggali informasi dari seorang tokoh melalui wawancara menggunakan daftar pertanyaan.</v>
      </c>
      <c r="O53" s="414">
        <f>IFERROR('MTK3'!BC52,"")</f>
        <v>96</v>
      </c>
      <c r="P53" s="414" t="str">
        <f>IFERROR('MTK3'!BD52,"")</f>
        <v>A</v>
      </c>
      <c r="Q53" s="413" t="str">
        <f>'MTK3'!BI52</f>
        <v>Anak 48 sangat baik  dalam menjelaskan dan melakukan penaksiran dari jumlah, selisih, hasil kali, dan hasil bagi dua bilangan cacah maupun pecahan dan desimal, dan  baik  dalam menjelaskan berbagai bentuk pecahan (biasa, campuran, desimal, dan persen) dan hubungan di antaranya</v>
      </c>
      <c r="R53" s="414">
        <f>IFERROR('IPA3'!AM52,"")</f>
        <v>99</v>
      </c>
      <c r="S53" s="414" t="str">
        <f>IFERROR('IPA3'!AN52,"")</f>
        <v>A</v>
      </c>
      <c r="T53" s="413" t="str">
        <f>'IPA3'!AS52</f>
        <v>Anak 48 sangat baik  dalam membandingkan siklus hidup beberapa jenis makhluk hidup serta mengaitkan dengan upaya pelestariannya.</v>
      </c>
      <c r="U53" s="414">
        <f>IFERROR('IPS3'!AN52,"")</f>
        <v>99</v>
      </c>
      <c r="V53" s="414" t="str">
        <f>IFERROR('IPS3'!AO52,"")</f>
        <v>A</v>
      </c>
      <c r="W53" s="413" t="str">
        <f>'IPS3'!AT52</f>
        <v>Anak 48 sangat baik  dalam mengidentifikasi karakteristik ruang dan pemanfaatan sumberdaya alam untuk kesejahteraan masyarakat dari tingkatkota/kabupaten sampai tingkat provinsi.</v>
      </c>
      <c r="X53" s="414">
        <f>IFERROR(SBDP3!AN52,"")</f>
        <v>99</v>
      </c>
      <c r="Y53" s="414" t="str">
        <f>IFERROR(SBDP3!AO52,"")</f>
        <v>A</v>
      </c>
      <c r="Z53" s="413" t="str">
        <f>SBDP3!AT52</f>
        <v>Anak 48 sangat baik  dalam mengetahui gambar dan bentuk tiga dimensi.</v>
      </c>
      <c r="AA53" s="414">
        <f>IFERROR(PJOK3!AV52,"")</f>
        <v>93</v>
      </c>
      <c r="AB53" s="414" t="str">
        <f>IFERROR(PJOK3!AW52,"")</f>
        <v>A</v>
      </c>
      <c r="AC53" s="413" t="str">
        <f>PJOK3!BB52</f>
        <v>Anak 48 sangat baik  dalam memahami konsep kombinasi pola gerak dasar dominan statis dan dinamis untuk membentuk keterampilan/ teknik dasar senam (seperti: handstand, kayang, meroda, dsb), dan  baik  dalam memahami konsep variasi dan kombinasi pola gerak dasar lokomotorr dan nonlokomotor untuk membentuk gerakan dasar atletik jalan cepat dan lari melalui permainan dan atau olahraga tradisional</v>
      </c>
      <c r="AD53" s="414">
        <f>IFERROR('MLK1-3'!AT52,"")</f>
        <v>88</v>
      </c>
      <c r="AE53" s="414" t="str">
        <f>IFERROR('MLK1-3'!AU52,"")</f>
        <v>B</v>
      </c>
      <c r="AF53" s="415" t="str">
        <f>'MLK1-3'!AZ52</f>
        <v>Anak 48 baik  dalam mengenal dan memahmi teks tembang dolanan, dan  baik  dalam mengenal dan memahami sandhangan aksara Jawa.</v>
      </c>
      <c r="AG53" s="414">
        <f>IFERROR('MLK2-3'!AP52,"")</f>
        <v>90</v>
      </c>
      <c r="AH53" s="414" t="str">
        <f>IFERROR('MLK2-3'!AQ52,"")</f>
        <v>B</v>
      </c>
      <c r="AI53" s="413" t="str">
        <f>'MLK2-3'!AV52</f>
        <v>Anak 48 sangat baik  dalam mengenal dan mengidentifikasi benda-benda di dapur dan nama-nama bunga, dan  baik  dalam memahami penggunaan kalimat yang menunjukkan letak suatu tempat</v>
      </c>
      <c r="AJ53" s="414">
        <f>IFERROR('MLK3-3'!AP52,"")</f>
        <v>84</v>
      </c>
      <c r="AK53" s="414" t="str">
        <f>IFERROR('MLK3-3'!AQ52,"")</f>
        <v>B</v>
      </c>
      <c r="AL53" s="415" t="str">
        <f>'MLK3-3'!AV52</f>
        <v>Anak 48 baik  dalam mengenal dan memahami penggunaan microsoft  word.</v>
      </c>
      <c r="AM53" s="414" t="str">
        <f>IFERROR('PAI4'!CI53,"")</f>
        <v/>
      </c>
      <c r="AN53" s="414" t="str">
        <f>IFERROR('PAI4'!CJ53,"")</f>
        <v/>
      </c>
      <c r="AO53" s="415" t="str">
        <f>'PAI4'!CO53</f>
        <v xml:space="preserve"> </v>
      </c>
      <c r="AP53" s="414" t="str">
        <f>IFERROR('PKN4'!AD52,"")</f>
        <v/>
      </c>
      <c r="AQ53" s="414" t="str">
        <f>IFERROR('PKN4'!AE52,"")</f>
        <v/>
      </c>
      <c r="AR53" s="413" t="str">
        <f>'PKN4'!AJ52</f>
        <v xml:space="preserve"> </v>
      </c>
      <c r="AS53" s="414" t="str">
        <f>IFERROR(BIND4!AP52,"")</f>
        <v/>
      </c>
      <c r="AT53" s="414" t="str">
        <f>IFERROR(BIND4!AQ52,"")</f>
        <v/>
      </c>
      <c r="AU53" s="413" t="str">
        <f>BIND4!AV52</f>
        <v xml:space="preserve"> </v>
      </c>
      <c r="AV53" s="414" t="str">
        <f>IFERROR('MTK4'!AP52,"")</f>
        <v/>
      </c>
      <c r="AW53" s="414" t="str">
        <f>IFERROR('MTK4'!AQ52,"")</f>
        <v/>
      </c>
      <c r="AX53" s="413" t="str">
        <f>'MTK4'!AV52</f>
        <v xml:space="preserve"> </v>
      </c>
      <c r="AY53" s="414" t="str">
        <f>IFERROR('IPA4'!AJ52,"")</f>
        <v/>
      </c>
      <c r="AZ53" s="414" t="str">
        <f>IFERROR('IPA4'!AK52,"")</f>
        <v/>
      </c>
      <c r="BA53" s="413" t="str">
        <f>'IPA4'!AP52</f>
        <v xml:space="preserve"> </v>
      </c>
      <c r="BB53" s="414" t="str">
        <f>IFERROR('IPS4'!AG52,"")</f>
        <v/>
      </c>
      <c r="BC53" s="414" t="str">
        <f>IFERROR('IPS4'!AH52,"")</f>
        <v/>
      </c>
      <c r="BD53" s="413" t="str">
        <f>'IPS4'!AM52</f>
        <v xml:space="preserve"> </v>
      </c>
      <c r="BE53" s="414" t="str">
        <f>IFERROR(SBDP4!AG52,"")</f>
        <v/>
      </c>
      <c r="BF53" s="414" t="str">
        <f>IFERROR(SBDP4!AH52,"")</f>
        <v/>
      </c>
      <c r="BG53" s="413" t="str">
        <f>SBDP4!AM52</f>
        <v xml:space="preserve"> </v>
      </c>
      <c r="BH53" s="414" t="str">
        <f>IFERROR(PJOK4!AJ52,"")</f>
        <v/>
      </c>
      <c r="BI53" s="414" t="str">
        <f>IFERROR(PJOK4!AK52,"")</f>
        <v/>
      </c>
      <c r="BJ53" s="415" t="str">
        <f>PJOK4!AP52</f>
        <v xml:space="preserve"> </v>
      </c>
      <c r="BK53" s="414" t="str">
        <f>IFERROR('MLK1-4'!AG52,"")</f>
        <v/>
      </c>
      <c r="BL53" s="414" t="str">
        <f>IFERROR('MLK1-4'!AH52,"")</f>
        <v/>
      </c>
      <c r="BM53" s="413" t="str">
        <f>'MLK1-4'!AM52</f>
        <v xml:space="preserve"> </v>
      </c>
      <c r="BN53" s="414" t="str">
        <f>IFERROR('MLK2-4'!AG52,"")</f>
        <v/>
      </c>
      <c r="BO53" s="414" t="str">
        <f>IFERROR('MLK2-4'!AH52,"")</f>
        <v/>
      </c>
      <c r="BP53" s="413" t="str">
        <f>'MLK2-4'!AM52</f>
        <v xml:space="preserve"> </v>
      </c>
      <c r="BQ53" s="414" t="str">
        <f>IFERROR('MLK3-4'!AG52,"")</f>
        <v/>
      </c>
      <c r="BR53" s="414" t="str">
        <f>IFERROR('MLK3-4'!AH52,"")</f>
        <v/>
      </c>
      <c r="BS53" s="413" t="str">
        <f>'MLK3-4'!AM52</f>
        <v xml:space="preserve"> </v>
      </c>
      <c r="BT53" s="414">
        <f t="shared" si="0"/>
        <v>47.136363636363633</v>
      </c>
      <c r="BU53" s="444">
        <f t="shared" si="1"/>
        <v>1037</v>
      </c>
      <c r="BV53" s="416">
        <f t="shared" si="2"/>
        <v>1037</v>
      </c>
      <c r="BW53" s="417">
        <f t="shared" si="3"/>
        <v>48</v>
      </c>
    </row>
    <row r="54" spans="1:75" ht="20.25" customHeight="1">
      <c r="A54" s="113">
        <v>49</v>
      </c>
      <c r="B54" s="113">
        <f>SISWA!B54</f>
        <v>0</v>
      </c>
      <c r="C54" s="410" t="str">
        <f>SISWA!C54</f>
        <v>Anak 49</v>
      </c>
      <c r="D54" s="411" t="str">
        <f>SPIRIT!Q53</f>
        <v xml:space="preserve">Ananda Anak 49 baik dalam  ketaatan beribadah,  berperilaku syukur,  berdoa sebelum dan sesudah melakukan kegiatan,  toleransi dalam beribadah, </v>
      </c>
      <c r="E54" s="411" t="str">
        <f>SOSIAL!W53</f>
        <v xml:space="preserve">Ananda Anak 49 baik dalam sikap jujur, disiplin, tanggung jawab, santun, peduli, percaya diri, kerja sama, </v>
      </c>
      <c r="F54" s="412">
        <f>IFERROR('PAI3'!DU54,"")</f>
        <v>99</v>
      </c>
      <c r="G54" s="412" t="str">
        <f>IFERROR('PAI3'!DV54,"")</f>
        <v>A</v>
      </c>
      <c r="H54" s="413" t="str">
        <f>'PAI3'!EA54</f>
        <v>Anak 49 sangat baik  dalam memahami Q.S. al- Falaq dan Q.S. al- Fil dengan baik dan benar</v>
      </c>
      <c r="I54" s="412">
        <f>IFERROR('PKN3'!AI53,"")</f>
        <v>96</v>
      </c>
      <c r="J54" s="412" t="str">
        <f>IFERROR('PKN3'!AJ53,"")</f>
        <v>A</v>
      </c>
      <c r="K54" s="411" t="str">
        <f>'PKN3'!AO53</f>
        <v>Anak 49 sangat baik  dalam mengidentifikasi pelaksanaan kewajiban dan hak sebagai warga masyarakat dalam kehidupan sehari-hari., dan  sangat baik  dalam mengidentifikasi berbagai bentuk keragaman suku bangsa, sosial, dan budaya di Indonesia yang terikat persatuan dan kesatuan.</v>
      </c>
      <c r="L54" s="414">
        <f>IFERROR(BIND3!AU53,"")</f>
        <v>97</v>
      </c>
      <c r="M54" s="414" t="str">
        <f>IFERROR(BIND3!AV53,"")</f>
        <v>A</v>
      </c>
      <c r="N54" s="413" t="str">
        <f>BIND3!BA53</f>
        <v>Anak 49 sangat baik  dalam menggali pengetahuan baru yang terdapat pada teks nonfiksi., dan  sangat baik  dalam menggali isi dan amanat puisi yang disajikan secara lisan dan tulis dengan tujuan untuk kesenangan.</v>
      </c>
      <c r="O54" s="414">
        <f>IFERROR('MTK3'!BC53,"")</f>
        <v>98</v>
      </c>
      <c r="P54" s="414" t="str">
        <f>IFERROR('MTK3'!BD53,"")</f>
        <v>A</v>
      </c>
      <c r="Q54" s="413" t="str">
        <f>'MTK3'!BI53</f>
        <v>Anak 49 sangat baik  dalam menjelaskan dan melakukan penaksiran dari jumlah, selisih, hasil kali, dan hasil bagi dua bilangan cacah maupun pecahan dan desimal, dan  sangat baik  dalam menjelaskan berbagai bentuk pecahan (biasa, campuran, desimal, dan persen) dan hubungan di antaranya</v>
      </c>
      <c r="R54" s="414">
        <f>IFERROR('IPA3'!AM53,"")</f>
        <v>99</v>
      </c>
      <c r="S54" s="414" t="str">
        <f>IFERROR('IPA3'!AN53,"")</f>
        <v>A</v>
      </c>
      <c r="T54" s="413" t="str">
        <f>'IPA3'!AS53</f>
        <v>Anak 49 sangat baik  dalam membandingkan siklus hidup beberapa jenis makhluk hidup serta mengaitkan dengan upaya pelestariannya.</v>
      </c>
      <c r="U54" s="414">
        <f>IFERROR('IPS3'!AN53,"")</f>
        <v>99</v>
      </c>
      <c r="V54" s="414" t="str">
        <f>IFERROR('IPS3'!AO53,"")</f>
        <v>A</v>
      </c>
      <c r="W54" s="413" t="str">
        <f>'IPS3'!AT53</f>
        <v>Anak 49 sangat baik  dalam mengidentifikasi karakteristik ruang dan pemanfaatan sumberdaya alam untuk kesejahteraan masyarakat dari tingkatkota/kabupaten sampai tingkat provinsi.</v>
      </c>
      <c r="X54" s="414">
        <f>IFERROR(SBDP3!AN53,"")</f>
        <v>99</v>
      </c>
      <c r="Y54" s="414" t="str">
        <f>IFERROR(SBDP3!AO53,"")</f>
        <v>A</v>
      </c>
      <c r="Z54" s="413" t="str">
        <f>SBDP3!AT53</f>
        <v>Anak 49 sangat baik  dalam mengetahui gambar dan bentuk tiga dimensi.</v>
      </c>
      <c r="AA54" s="414">
        <f>IFERROR(PJOK3!AV53,"")</f>
        <v>96</v>
      </c>
      <c r="AB54" s="414" t="str">
        <f>IFERROR(PJOK3!AW53,"")</f>
        <v>A</v>
      </c>
      <c r="AC54" s="413" t="str">
        <f>PJOK3!BB53</f>
        <v>Anak 49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54" s="414">
        <f>IFERROR('MLK1-3'!AT53,"")</f>
        <v>93</v>
      </c>
      <c r="AE54" s="414" t="str">
        <f>IFERROR('MLK1-3'!AU53,"")</f>
        <v>A</v>
      </c>
      <c r="AF54" s="415" t="str">
        <f>'MLK1-3'!AZ53</f>
        <v>Anak 49 sangat baik  dalam mengenal dan memahmi teks tembang dolanan, dan  sangat baik  dalam mengenal dan memahami sandhangan aksara Jawa.</v>
      </c>
      <c r="AG54" s="414">
        <f>IFERROR('MLK2-3'!AP53,"")</f>
        <v>95</v>
      </c>
      <c r="AH54" s="414" t="str">
        <f>IFERROR('MLK2-3'!AQ53,"")</f>
        <v>A</v>
      </c>
      <c r="AI54" s="413" t="str">
        <f>'MLK2-3'!AV53</f>
        <v>Anak 49 sangat baik  dalam mengenal dan mengidentifikasi benda-benda di dapur dan nama-nama bunga, dan  sangat baik  dalam memahami penggunaan kalimat yang menunjukkan letak suatu tempat</v>
      </c>
      <c r="AJ54" s="414">
        <f>IFERROR('MLK3-3'!AP53,"")</f>
        <v>91</v>
      </c>
      <c r="AK54" s="414" t="str">
        <f>IFERROR('MLK3-3'!AQ53,"")</f>
        <v>A</v>
      </c>
      <c r="AL54" s="415" t="str">
        <f>'MLK3-3'!AV53</f>
        <v>Anak 49 sangat baik  dalam mengenal dan memahami penggunaan microsoft  word., dan  baik  dalam memahami pembuatan dokumen di microsoft  word</v>
      </c>
      <c r="AM54" s="414" t="str">
        <f>IFERROR('PAI4'!CI54,"")</f>
        <v/>
      </c>
      <c r="AN54" s="414" t="str">
        <f>IFERROR('PAI4'!CJ54,"")</f>
        <v/>
      </c>
      <c r="AO54" s="415" t="str">
        <f>'PAI4'!CO54</f>
        <v xml:space="preserve"> </v>
      </c>
      <c r="AP54" s="414" t="str">
        <f>IFERROR('PKN4'!AD53,"")</f>
        <v/>
      </c>
      <c r="AQ54" s="414" t="str">
        <f>IFERROR('PKN4'!AE53,"")</f>
        <v/>
      </c>
      <c r="AR54" s="413" t="str">
        <f>'PKN4'!AJ53</f>
        <v xml:space="preserve"> </v>
      </c>
      <c r="AS54" s="414" t="str">
        <f>IFERROR(BIND4!AP53,"")</f>
        <v/>
      </c>
      <c r="AT54" s="414" t="str">
        <f>IFERROR(BIND4!AQ53,"")</f>
        <v/>
      </c>
      <c r="AU54" s="413" t="str">
        <f>BIND4!AV53</f>
        <v xml:space="preserve"> </v>
      </c>
      <c r="AV54" s="414" t="str">
        <f>IFERROR('MTK4'!AP53,"")</f>
        <v/>
      </c>
      <c r="AW54" s="414" t="str">
        <f>IFERROR('MTK4'!AQ53,"")</f>
        <v/>
      </c>
      <c r="AX54" s="413" t="str">
        <f>'MTK4'!AV53</f>
        <v xml:space="preserve"> </v>
      </c>
      <c r="AY54" s="414" t="str">
        <f>IFERROR('IPA4'!AJ53,"")</f>
        <v/>
      </c>
      <c r="AZ54" s="414" t="str">
        <f>IFERROR('IPA4'!AK53,"")</f>
        <v/>
      </c>
      <c r="BA54" s="413" t="str">
        <f>'IPA4'!AP53</f>
        <v xml:space="preserve"> </v>
      </c>
      <c r="BB54" s="414" t="str">
        <f>IFERROR('IPS4'!AG53,"")</f>
        <v/>
      </c>
      <c r="BC54" s="414" t="str">
        <f>IFERROR('IPS4'!AH53,"")</f>
        <v/>
      </c>
      <c r="BD54" s="413" t="str">
        <f>'IPS4'!AM53</f>
        <v xml:space="preserve"> </v>
      </c>
      <c r="BE54" s="414" t="str">
        <f>IFERROR(SBDP4!AG53,"")</f>
        <v/>
      </c>
      <c r="BF54" s="414" t="str">
        <f>IFERROR(SBDP4!AH53,"")</f>
        <v/>
      </c>
      <c r="BG54" s="413" t="str">
        <f>SBDP4!AM53</f>
        <v xml:space="preserve"> </v>
      </c>
      <c r="BH54" s="414" t="str">
        <f>IFERROR(PJOK4!AJ53,"")</f>
        <v/>
      </c>
      <c r="BI54" s="414" t="str">
        <f>IFERROR(PJOK4!AK53,"")</f>
        <v/>
      </c>
      <c r="BJ54" s="415" t="str">
        <f>PJOK4!AP53</f>
        <v xml:space="preserve"> </v>
      </c>
      <c r="BK54" s="414" t="str">
        <f>IFERROR('MLK1-4'!AG53,"")</f>
        <v/>
      </c>
      <c r="BL54" s="414" t="str">
        <f>IFERROR('MLK1-4'!AH53,"")</f>
        <v/>
      </c>
      <c r="BM54" s="413" t="str">
        <f>'MLK1-4'!AM53</f>
        <v xml:space="preserve"> </v>
      </c>
      <c r="BN54" s="414" t="str">
        <f>IFERROR('MLK2-4'!AG53,"")</f>
        <v/>
      </c>
      <c r="BO54" s="414" t="str">
        <f>IFERROR('MLK2-4'!AH53,"")</f>
        <v/>
      </c>
      <c r="BP54" s="413" t="str">
        <f>'MLK2-4'!AM53</f>
        <v xml:space="preserve"> </v>
      </c>
      <c r="BQ54" s="414" t="str">
        <f>IFERROR('MLK3-4'!AG53,"")</f>
        <v/>
      </c>
      <c r="BR54" s="414" t="str">
        <f>IFERROR('MLK3-4'!AH53,"")</f>
        <v/>
      </c>
      <c r="BS54" s="413" t="str">
        <f>'MLK3-4'!AM53</f>
        <v xml:space="preserve"> </v>
      </c>
      <c r="BT54" s="414">
        <f t="shared" si="0"/>
        <v>48.272727272727273</v>
      </c>
      <c r="BU54" s="444">
        <f t="shared" si="1"/>
        <v>1062</v>
      </c>
      <c r="BV54" s="416">
        <f t="shared" si="2"/>
        <v>1062</v>
      </c>
      <c r="BW54" s="417">
        <f t="shared" si="3"/>
        <v>14</v>
      </c>
    </row>
    <row r="55" spans="1:75" ht="20.25" customHeight="1">
      <c r="A55" s="113">
        <v>50</v>
      </c>
      <c r="B55" s="113">
        <f>SISWA!B55</f>
        <v>0</v>
      </c>
      <c r="C55" s="410" t="str">
        <f>SISWA!C55</f>
        <v>Anak 50</v>
      </c>
      <c r="D55" s="411" t="str">
        <f>SPIRIT!Q54</f>
        <v xml:space="preserve">Ananda Anak 50 baik dalam  ketaatan beribadah,  berperilaku syukur,  berdoa sebelum dan sesudah melakukan kegiatan,  toleransi dalam beribadah, </v>
      </c>
      <c r="E55" s="411" t="str">
        <f>SOSIAL!W54</f>
        <v xml:space="preserve">Ananda Anak 50 baik dalam sikap jujur, disiplin, tanggung jawab, santun, peduli, percaya diri, kerja sama, </v>
      </c>
      <c r="F55" s="412">
        <f>IFERROR('PAI3'!DU55,"")</f>
        <v>99</v>
      </c>
      <c r="G55" s="412" t="str">
        <f>IFERROR('PAI3'!DV55,"")</f>
        <v>A</v>
      </c>
      <c r="H55" s="413" t="str">
        <f>'PAI3'!EA55</f>
        <v>Anak 50 sangat baik  dalam memahami Q.S. al- Falaq dan Q.S. al- Fil dengan baik dan benar</v>
      </c>
      <c r="I55" s="412">
        <f>IFERROR('PKN3'!AI54,"")</f>
        <v>96</v>
      </c>
      <c r="J55" s="412" t="str">
        <f>IFERROR('PKN3'!AJ54,"")</f>
        <v>A</v>
      </c>
      <c r="K55" s="411" t="str">
        <f>'PKN3'!AO54</f>
        <v>Anak 50 sangat baik  dalam mengidentifikasi pelaksanaan kewajiban dan hak sebagai warga masyarakat dalam kehidupan sehari-hari., dan  sangat baik  dalam mengidentifikasi berbagai bentuk keragaman suku bangsa, sosial, dan budaya di Indonesia yang terikat persatuan dan kesatuan.</v>
      </c>
      <c r="L55" s="414">
        <f>IFERROR(BIND3!AU54,"")</f>
        <v>97</v>
      </c>
      <c r="M55" s="414" t="str">
        <f>IFERROR(BIND3!AV54,"")</f>
        <v>A</v>
      </c>
      <c r="N55" s="413" t="str">
        <f>BIND3!BA54</f>
        <v>Anak 50 sangat baik  dalam menggali pengetahuan baru yang terdapat pada teks nonfiksi., dan  sangat baik  dalam menggali isi dan amanat puisi yang disajikan secara lisan dan tulis dengan tujuan untuk kesenangan.</v>
      </c>
      <c r="O55" s="414">
        <f>IFERROR('MTK3'!BC54,"")</f>
        <v>97</v>
      </c>
      <c r="P55" s="414" t="str">
        <f>IFERROR('MTK3'!BD54,"")</f>
        <v>A</v>
      </c>
      <c r="Q55" s="413" t="str">
        <f>'MTK3'!BI54</f>
        <v>Anak 50 sangat baik  dalam menjelaskan dan melakukan penaksiran dari jumlah, selisih, hasil kali, dan hasil bagi dua bilangan cacah maupun pecahan dan desimal, dan  baik  dalam menjelaskan berbagai bentuk pecahan (biasa, campuran, desimal, dan persen) dan hubungan di antaranya</v>
      </c>
      <c r="R55" s="414">
        <f>IFERROR('IPA3'!AM54,"")</f>
        <v>99</v>
      </c>
      <c r="S55" s="414" t="str">
        <f>IFERROR('IPA3'!AN54,"")</f>
        <v>A</v>
      </c>
      <c r="T55" s="413" t="str">
        <f>'IPA3'!AS54</f>
        <v>Anak 50 sangat baik  dalam membandingkan siklus hidup beberapa jenis makhluk hidup serta mengaitkan dengan upaya pelestariannya.</v>
      </c>
      <c r="U55" s="414">
        <f>IFERROR('IPS3'!AN54,"")</f>
        <v>99</v>
      </c>
      <c r="V55" s="414" t="str">
        <f>IFERROR('IPS3'!AO54,"")</f>
        <v>A</v>
      </c>
      <c r="W55" s="413" t="str">
        <f>'IPS3'!AT54</f>
        <v>Anak 50 sangat baik  dalam mengidentifikasi karakteristik ruang dan pemanfaatan sumberdaya alam untuk kesejahteraan masyarakat dari tingkatkota/kabupaten sampai tingkat provinsi.</v>
      </c>
      <c r="X55" s="414">
        <f>IFERROR(SBDP3!AN54,"")</f>
        <v>99</v>
      </c>
      <c r="Y55" s="414" t="str">
        <f>IFERROR(SBDP3!AO54,"")</f>
        <v>A</v>
      </c>
      <c r="Z55" s="413" t="str">
        <f>SBDP3!AT54</f>
        <v>Anak 50 sangat baik  dalam mengetahui gambar dan bentuk tiga dimensi.</v>
      </c>
      <c r="AA55" s="414">
        <f>IFERROR(PJOK3!AV54,"")</f>
        <v>95</v>
      </c>
      <c r="AB55" s="414" t="str">
        <f>IFERROR(PJOK3!AW54,"")</f>
        <v>A</v>
      </c>
      <c r="AC55" s="413" t="str">
        <f>PJOK3!BB54</f>
        <v>Anak 50 sangat baik  dalam memahami konsep kombinasi pola gerak dasar dominan statis dan dinamis untuk membentuk keterampilan/ teknik dasar senam (seperti: handstand, kayang, meroda, dsb), dan  baik  dalam memahami konsep variasi dan kombinasi gerak dasar lokomotor,non lokomotor, dan manipulative dalam berbagai permainan dan atau olahraga tradisional bola kecii.</v>
      </c>
      <c r="AD55" s="414">
        <f>IFERROR('MLK1-3'!AT54,"")</f>
        <v>91</v>
      </c>
      <c r="AE55" s="414" t="str">
        <f>IFERROR('MLK1-3'!AU54,"")</f>
        <v>A</v>
      </c>
      <c r="AF55" s="415" t="str">
        <f>'MLK1-3'!AZ54</f>
        <v>Anak 50 sangat baik  dalam mengenal dan memahmi teks tembang dolanan, dan  baik  dalam mengenal dan memahami sandhangan aksara Jawa.</v>
      </c>
      <c r="AG55" s="414">
        <f>IFERROR('MLK2-3'!AP54,"")</f>
        <v>93</v>
      </c>
      <c r="AH55" s="414" t="str">
        <f>IFERROR('MLK2-3'!AQ54,"")</f>
        <v>A</v>
      </c>
      <c r="AI55" s="413" t="str">
        <f>'MLK2-3'!AV54</f>
        <v>Anak 50 sangat baik  dalam mengenal dan mengidentifikasi benda-benda di dapur dan nama-nama bunga, dan  baik  dalam memahami penggunaan kalimat yang menunjukkan letak suatu tempat</v>
      </c>
      <c r="AJ55" s="414">
        <f>IFERROR('MLK3-3'!AP54,"")</f>
        <v>89</v>
      </c>
      <c r="AK55" s="414" t="str">
        <f>IFERROR('MLK3-3'!AQ54,"")</f>
        <v>B</v>
      </c>
      <c r="AL55" s="415" t="str">
        <f>'MLK3-3'!AV54</f>
        <v>Anak 50 sangat baik  dalam mengenal dan memahami penggunaan microsoft  word., dan  baik  dalam memahami pembuatan dokumen di microsoft  word</v>
      </c>
      <c r="AM55" s="414" t="str">
        <f>IFERROR('PAI4'!CI55,"")</f>
        <v/>
      </c>
      <c r="AN55" s="414" t="str">
        <f>IFERROR('PAI4'!CJ55,"")</f>
        <v/>
      </c>
      <c r="AO55" s="415" t="str">
        <f>'PAI4'!CO55</f>
        <v xml:space="preserve"> </v>
      </c>
      <c r="AP55" s="414" t="str">
        <f>IFERROR('PKN4'!AD54,"")</f>
        <v/>
      </c>
      <c r="AQ55" s="414" t="str">
        <f>IFERROR('PKN4'!AE54,"")</f>
        <v/>
      </c>
      <c r="AR55" s="413" t="str">
        <f>'PKN4'!AJ54</f>
        <v xml:space="preserve"> </v>
      </c>
      <c r="AS55" s="414" t="str">
        <f>IFERROR(BIND4!AP54,"")</f>
        <v/>
      </c>
      <c r="AT55" s="414" t="str">
        <f>IFERROR(BIND4!AQ54,"")</f>
        <v/>
      </c>
      <c r="AU55" s="413" t="str">
        <f>BIND4!AV54</f>
        <v xml:space="preserve"> </v>
      </c>
      <c r="AV55" s="414" t="str">
        <f>IFERROR('MTK4'!AP54,"")</f>
        <v/>
      </c>
      <c r="AW55" s="414" t="str">
        <f>IFERROR('MTK4'!AQ54,"")</f>
        <v/>
      </c>
      <c r="AX55" s="413" t="str">
        <f>'MTK4'!AV54</f>
        <v xml:space="preserve"> </v>
      </c>
      <c r="AY55" s="414" t="str">
        <f>IFERROR('IPA4'!AJ54,"")</f>
        <v/>
      </c>
      <c r="AZ55" s="414" t="str">
        <f>IFERROR('IPA4'!AK54,"")</f>
        <v/>
      </c>
      <c r="BA55" s="413" t="str">
        <f>'IPA4'!AP54</f>
        <v xml:space="preserve"> </v>
      </c>
      <c r="BB55" s="414" t="str">
        <f>IFERROR('IPS4'!AG54,"")</f>
        <v/>
      </c>
      <c r="BC55" s="414" t="str">
        <f>IFERROR('IPS4'!AH54,"")</f>
        <v/>
      </c>
      <c r="BD55" s="413" t="str">
        <f>'IPS4'!AM54</f>
        <v xml:space="preserve"> </v>
      </c>
      <c r="BE55" s="414" t="str">
        <f>IFERROR(SBDP4!AG54,"")</f>
        <v/>
      </c>
      <c r="BF55" s="414" t="str">
        <f>IFERROR(SBDP4!AH54,"")</f>
        <v/>
      </c>
      <c r="BG55" s="413" t="str">
        <f>SBDP4!AM54</f>
        <v xml:space="preserve"> </v>
      </c>
      <c r="BH55" s="414" t="str">
        <f>IFERROR(PJOK4!AJ54,"")</f>
        <v/>
      </c>
      <c r="BI55" s="414" t="str">
        <f>IFERROR(PJOK4!AK54,"")</f>
        <v/>
      </c>
      <c r="BJ55" s="415" t="str">
        <f>PJOK4!AP54</f>
        <v xml:space="preserve"> </v>
      </c>
      <c r="BK55" s="414" t="str">
        <f>IFERROR('MLK1-4'!AG54,"")</f>
        <v/>
      </c>
      <c r="BL55" s="414" t="str">
        <f>IFERROR('MLK1-4'!AH54,"")</f>
        <v/>
      </c>
      <c r="BM55" s="413" t="str">
        <f>'MLK1-4'!AM54</f>
        <v xml:space="preserve"> </v>
      </c>
      <c r="BN55" s="414" t="str">
        <f>IFERROR('MLK2-4'!AG54,"")</f>
        <v/>
      </c>
      <c r="BO55" s="414" t="str">
        <f>IFERROR('MLK2-4'!AH54,"")</f>
        <v/>
      </c>
      <c r="BP55" s="413" t="str">
        <f>'MLK2-4'!AM54</f>
        <v xml:space="preserve"> </v>
      </c>
      <c r="BQ55" s="414" t="str">
        <f>IFERROR('MLK3-4'!AG54,"")</f>
        <v/>
      </c>
      <c r="BR55" s="414" t="str">
        <f>IFERROR('MLK3-4'!AH54,"")</f>
        <v/>
      </c>
      <c r="BS55" s="413" t="str">
        <f>'MLK3-4'!AM54</f>
        <v xml:space="preserve"> </v>
      </c>
      <c r="BT55" s="414">
        <f t="shared" si="0"/>
        <v>47.909090909090907</v>
      </c>
      <c r="BU55" s="444">
        <f t="shared" si="1"/>
        <v>1054</v>
      </c>
      <c r="BV55" s="416">
        <f t="shared" si="2"/>
        <v>1054</v>
      </c>
      <c r="BW55" s="417">
        <f t="shared" si="3"/>
        <v>25</v>
      </c>
    </row>
    <row r="56" spans="1:75"/>
  </sheetData>
  <mergeCells count="34">
    <mergeCell ref="AP3:AR3"/>
    <mergeCell ref="BN3:BP3"/>
    <mergeCell ref="BQ3:BS3"/>
    <mergeCell ref="BU2:BU4"/>
    <mergeCell ref="BW2:BW4"/>
    <mergeCell ref="AV3:AX3"/>
    <mergeCell ref="AY3:BA3"/>
    <mergeCell ref="BB3:BD3"/>
    <mergeCell ref="BE3:BG3"/>
    <mergeCell ref="BH3:BJ3"/>
    <mergeCell ref="BK3:BM3"/>
    <mergeCell ref="BT2:BT4"/>
    <mergeCell ref="BV2:BV4"/>
    <mergeCell ref="AA3:AC3"/>
    <mergeCell ref="AD3:AF3"/>
    <mergeCell ref="AG3:AI3"/>
    <mergeCell ref="AJ3:AL3"/>
    <mergeCell ref="AM3:AO3"/>
    <mergeCell ref="A1:AL1"/>
    <mergeCell ref="F2:AL2"/>
    <mergeCell ref="AM2:BS2"/>
    <mergeCell ref="A3:A4"/>
    <mergeCell ref="B3:B4"/>
    <mergeCell ref="C3:C4"/>
    <mergeCell ref="D3:D4"/>
    <mergeCell ref="E3:E4"/>
    <mergeCell ref="F3:H3"/>
    <mergeCell ref="I3:K3"/>
    <mergeCell ref="AS3:AU3"/>
    <mergeCell ref="L3:N3"/>
    <mergeCell ref="O3:Q3"/>
    <mergeCell ref="R3:T3"/>
    <mergeCell ref="U3:W3"/>
    <mergeCell ref="X3:Z3"/>
  </mergeCells>
  <conditionalFormatting sqref="BW6:BW55">
    <cfRule type="cellIs" dxfId="0" priority="1" operator="lessThan">
      <formula>11</formula>
    </cfRule>
  </conditionalFormatting>
  <pageMargins left="0.7" right="0.7" top="0.75" bottom="0.75" header="0.3" footer="0.3"/>
  <pageSetup paperSize="256" orientation="portrait" horizontalDpi="4294967293" verticalDpi="0"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56"/>
  <sheetViews>
    <sheetView workbookViewId="0">
      <selection sqref="A1:AN1"/>
    </sheetView>
  </sheetViews>
  <sheetFormatPr defaultRowHeight="15"/>
  <cols>
    <col min="1" max="1" width="4.7109375" customWidth="1"/>
    <col min="2" max="2" width="10.7109375" style="8" customWidth="1"/>
    <col min="3" max="3" width="33.5703125" customWidth="1"/>
    <col min="4" max="4" width="16.5703125" style="5" customWidth="1"/>
    <col min="5" max="5" width="9.140625" style="5"/>
    <col min="6" max="6" width="11.42578125" style="5" customWidth="1"/>
    <col min="7" max="8" width="9.140625" style="5"/>
    <col min="9" max="11" width="0" style="18" hidden="1" customWidth="1"/>
    <col min="12" max="12" width="52" customWidth="1"/>
    <col min="17" max="17" width="12" customWidth="1"/>
    <col min="18" max="18" width="12.42578125" customWidth="1"/>
    <col min="21" max="21" width="18.5703125" customWidth="1"/>
    <col min="23" max="23" width="17" customWidth="1"/>
    <col min="24" max="24" width="16.42578125" customWidth="1"/>
    <col min="25" max="25" width="26.42578125" customWidth="1"/>
  </cols>
  <sheetData>
    <row r="1" spans="1:40" ht="36" customHeight="1">
      <c r="A1" s="1231" t="s">
        <v>60</v>
      </c>
      <c r="B1" s="1231"/>
      <c r="C1" s="1231"/>
      <c r="D1" s="1231"/>
      <c r="E1" s="1231"/>
      <c r="F1" s="1231"/>
      <c r="G1" s="1231"/>
      <c r="H1" s="1231"/>
      <c r="I1" s="1231"/>
      <c r="J1" s="1231"/>
      <c r="K1" s="1231"/>
      <c r="L1" s="1231"/>
      <c r="M1" s="1231"/>
      <c r="N1" s="1231"/>
      <c r="O1" s="1231"/>
      <c r="P1" s="1231"/>
      <c r="Q1" s="1231"/>
      <c r="R1" s="1231"/>
      <c r="S1" s="1231"/>
      <c r="T1" s="1231"/>
      <c r="U1" s="1231"/>
      <c r="V1" s="1231"/>
      <c r="W1" s="1231"/>
      <c r="X1" s="1231"/>
      <c r="Y1" s="1231"/>
      <c r="Z1" s="1231"/>
      <c r="AA1" s="1231"/>
      <c r="AB1" s="1231"/>
      <c r="AC1" s="1231"/>
      <c r="AD1" s="1231"/>
      <c r="AE1" s="1231"/>
      <c r="AF1" s="1231"/>
      <c r="AG1" s="1231"/>
      <c r="AH1" s="1231"/>
      <c r="AI1" s="1231"/>
      <c r="AJ1" s="1231"/>
      <c r="AK1" s="1231"/>
      <c r="AL1" s="1231"/>
      <c r="AM1" s="1231"/>
      <c r="AN1" s="1231"/>
    </row>
    <row r="2" spans="1:40" ht="6.75" hidden="1" customHeight="1"/>
    <row r="3" spans="1:40" s="12" customFormat="1" ht="23.25">
      <c r="A3" s="1232" t="s">
        <v>2</v>
      </c>
      <c r="B3" s="1233" t="s">
        <v>3</v>
      </c>
      <c r="C3" s="1232" t="s">
        <v>4</v>
      </c>
      <c r="D3" s="1247" t="s">
        <v>61</v>
      </c>
      <c r="E3" s="1248"/>
      <c r="F3" s="1248"/>
      <c r="G3" s="1248"/>
      <c r="H3" s="1249"/>
      <c r="I3" s="1241" t="s">
        <v>62</v>
      </c>
      <c r="J3" s="1242"/>
      <c r="K3" s="1243"/>
      <c r="L3" s="1234" t="s">
        <v>63</v>
      </c>
      <c r="M3" s="1237" t="s">
        <v>64</v>
      </c>
      <c r="N3" s="1238"/>
      <c r="O3" s="1238"/>
      <c r="P3" s="1239"/>
      <c r="Q3" s="1253" t="s">
        <v>65</v>
      </c>
      <c r="R3" s="1254"/>
      <c r="S3" s="1255"/>
      <c r="T3" s="1259" t="s">
        <v>66</v>
      </c>
      <c r="U3" s="1260"/>
      <c r="V3" s="1259" t="s">
        <v>67</v>
      </c>
      <c r="W3" s="1260"/>
      <c r="X3" s="1259" t="s">
        <v>852</v>
      </c>
      <c r="Y3" s="1260"/>
    </row>
    <row r="4" spans="1:40" s="12" customFormat="1" ht="23.25">
      <c r="A4" s="1232"/>
      <c r="B4" s="1233"/>
      <c r="C4" s="1232"/>
      <c r="D4" s="1250"/>
      <c r="E4" s="1251"/>
      <c r="F4" s="1251"/>
      <c r="G4" s="1251"/>
      <c r="H4" s="1252"/>
      <c r="I4" s="1244"/>
      <c r="J4" s="1245"/>
      <c r="K4" s="1246"/>
      <c r="L4" s="1235"/>
      <c r="M4" s="1240" t="s">
        <v>322</v>
      </c>
      <c r="N4" s="1240"/>
      <c r="O4" s="1240" t="s">
        <v>323</v>
      </c>
      <c r="P4" s="1240"/>
      <c r="Q4" s="1256"/>
      <c r="R4" s="1257"/>
      <c r="S4" s="1258"/>
      <c r="T4" s="1261"/>
      <c r="U4" s="1262"/>
      <c r="V4" s="1261"/>
      <c r="W4" s="1262"/>
      <c r="X4" s="1261"/>
      <c r="Y4" s="1262"/>
    </row>
    <row r="5" spans="1:40" s="16" customFormat="1" ht="27" customHeight="1">
      <c r="A5" s="1232"/>
      <c r="B5" s="1233"/>
      <c r="C5" s="1232"/>
      <c r="D5" s="19" t="s">
        <v>68</v>
      </c>
      <c r="E5" s="1263" t="s">
        <v>69</v>
      </c>
      <c r="F5" s="1264"/>
      <c r="G5" s="1263" t="s">
        <v>70</v>
      </c>
      <c r="H5" s="1264"/>
      <c r="I5" s="20" t="s">
        <v>71</v>
      </c>
      <c r="J5" s="20" t="s">
        <v>72</v>
      </c>
      <c r="K5" s="20" t="s">
        <v>73</v>
      </c>
      <c r="L5" s="1236"/>
      <c r="M5" s="13" t="s">
        <v>74</v>
      </c>
      <c r="N5" s="13" t="s">
        <v>75</v>
      </c>
      <c r="O5" s="13" t="s">
        <v>74</v>
      </c>
      <c r="P5" s="13" t="s">
        <v>75</v>
      </c>
      <c r="Q5" s="14" t="s">
        <v>76</v>
      </c>
      <c r="R5" s="14" t="s">
        <v>77</v>
      </c>
      <c r="S5" s="14" t="s">
        <v>78</v>
      </c>
      <c r="T5" s="15" t="s">
        <v>79</v>
      </c>
      <c r="U5" s="15" t="s">
        <v>80</v>
      </c>
      <c r="V5" s="15" t="s">
        <v>79</v>
      </c>
      <c r="W5" s="15" t="s">
        <v>80</v>
      </c>
      <c r="X5" s="15" t="s">
        <v>79</v>
      </c>
      <c r="Y5" s="15" t="s">
        <v>80</v>
      </c>
    </row>
    <row r="6" spans="1:40" s="16" customFormat="1" ht="18.75" customHeight="1">
      <c r="A6" s="21">
        <v>1</v>
      </c>
      <c r="B6" s="21">
        <v>2</v>
      </c>
      <c r="C6" s="21">
        <v>3</v>
      </c>
      <c r="D6" s="21">
        <v>4</v>
      </c>
      <c r="E6" s="21">
        <v>5</v>
      </c>
      <c r="F6" s="21">
        <v>6</v>
      </c>
      <c r="G6" s="21">
        <v>7</v>
      </c>
      <c r="H6" s="21">
        <v>8</v>
      </c>
      <c r="I6" s="21">
        <v>9</v>
      </c>
      <c r="J6" s="21">
        <v>10</v>
      </c>
      <c r="K6" s="21">
        <v>11</v>
      </c>
      <c r="L6" s="21">
        <v>12</v>
      </c>
      <c r="M6" s="21">
        <v>13</v>
      </c>
      <c r="N6" s="21">
        <v>14</v>
      </c>
      <c r="O6" s="21">
        <v>15</v>
      </c>
      <c r="P6" s="21">
        <v>16</v>
      </c>
      <c r="Q6" s="21">
        <v>17</v>
      </c>
      <c r="R6" s="21">
        <v>18</v>
      </c>
      <c r="S6" s="21">
        <v>19</v>
      </c>
      <c r="T6" s="21">
        <v>20</v>
      </c>
      <c r="U6" s="21">
        <v>21</v>
      </c>
      <c r="V6" s="21">
        <v>22</v>
      </c>
      <c r="W6" s="21">
        <v>23</v>
      </c>
      <c r="X6" s="21">
        <v>24</v>
      </c>
      <c r="Y6" s="21">
        <v>25</v>
      </c>
    </row>
    <row r="7" spans="1:40" ht="57" customHeight="1">
      <c r="A7" s="10">
        <v>1</v>
      </c>
      <c r="B7" s="10">
        <f>SISWA!B6</f>
        <v>4822</v>
      </c>
      <c r="C7" s="17" t="str">
        <f>SISWA!C6</f>
        <v>Anak 1</v>
      </c>
      <c r="D7" s="4" t="s">
        <v>104</v>
      </c>
      <c r="E7" s="4" t="s">
        <v>81</v>
      </c>
      <c r="F7" s="4" t="s">
        <v>82</v>
      </c>
      <c r="G7" s="4" t="s">
        <v>242</v>
      </c>
      <c r="H7" s="4" t="s">
        <v>674</v>
      </c>
      <c r="I7" s="751" t="str">
        <f>CONCATENATE(ABS!AB5," hari")</f>
        <v>0 hari</v>
      </c>
      <c r="J7" s="751" t="str">
        <f>CONCATENATE(ABS!AC5," hari")</f>
        <v>0 hari</v>
      </c>
      <c r="K7" s="751" t="str">
        <f>CONCATENATE(ABS!AD5," hari")</f>
        <v>0 hari</v>
      </c>
      <c r="L7" s="23" t="s">
        <v>83</v>
      </c>
      <c r="M7" s="2" t="s">
        <v>84</v>
      </c>
      <c r="N7" s="2" t="s">
        <v>85</v>
      </c>
      <c r="O7" s="2" t="s">
        <v>84</v>
      </c>
      <c r="P7" s="2" t="s">
        <v>85</v>
      </c>
      <c r="Q7" s="3" t="s">
        <v>86</v>
      </c>
      <c r="R7" s="3" t="s">
        <v>86</v>
      </c>
      <c r="S7" s="3" t="s">
        <v>87</v>
      </c>
      <c r="T7" s="2" t="s">
        <v>81</v>
      </c>
      <c r="U7" s="3" t="s">
        <v>88</v>
      </c>
      <c r="V7" s="2" t="s">
        <v>853</v>
      </c>
      <c r="W7" s="3" t="s">
        <v>854</v>
      </c>
      <c r="X7" s="619" t="s">
        <v>112</v>
      </c>
      <c r="Y7" s="619" t="s">
        <v>855</v>
      </c>
    </row>
    <row r="8" spans="1:40" ht="57" customHeight="1">
      <c r="A8" s="10">
        <v>2</v>
      </c>
      <c r="B8" s="10">
        <f>SISWA!B7</f>
        <v>0</v>
      </c>
      <c r="C8" s="17" t="str">
        <f>SISWA!C7</f>
        <v>Anak 2</v>
      </c>
      <c r="D8" s="4"/>
      <c r="E8" s="4" t="s">
        <v>81</v>
      </c>
      <c r="F8" s="4" t="s">
        <v>82</v>
      </c>
      <c r="G8" s="11"/>
      <c r="H8" s="11"/>
      <c r="I8" s="751" t="str">
        <f>CONCATENATE(ABS!AB6," hari")</f>
        <v>3 hari</v>
      </c>
      <c r="J8" s="751" t="str">
        <f>CONCATENATE(ABS!AC6," hari")</f>
        <v>0 hari</v>
      </c>
      <c r="K8" s="751" t="str">
        <f>CONCATENATE(ABS!AD6," hari")</f>
        <v>0 hari</v>
      </c>
      <c r="L8" s="23" t="s">
        <v>89</v>
      </c>
      <c r="M8" s="2" t="s">
        <v>84</v>
      </c>
      <c r="N8" s="2" t="s">
        <v>90</v>
      </c>
      <c r="O8" s="2" t="s">
        <v>84</v>
      </c>
      <c r="P8" s="2" t="s">
        <v>90</v>
      </c>
      <c r="Q8" s="3" t="s">
        <v>86</v>
      </c>
      <c r="R8" s="3" t="s">
        <v>86</v>
      </c>
      <c r="S8" s="3" t="s">
        <v>91</v>
      </c>
      <c r="T8" s="2"/>
      <c r="U8" s="2"/>
      <c r="V8" s="2"/>
      <c r="W8" s="2"/>
      <c r="X8" s="619"/>
      <c r="Y8" s="619"/>
    </row>
    <row r="9" spans="1:40" ht="57" customHeight="1">
      <c r="A9" s="10">
        <v>3</v>
      </c>
      <c r="B9" s="10">
        <f>SISWA!B8</f>
        <v>0</v>
      </c>
      <c r="C9" s="17" t="str">
        <f>SISWA!C8</f>
        <v>Anak 3</v>
      </c>
      <c r="D9" s="4"/>
      <c r="E9" s="11" t="s">
        <v>92</v>
      </c>
      <c r="F9" s="4" t="s">
        <v>82</v>
      </c>
      <c r="G9" s="11"/>
      <c r="H9" s="11"/>
      <c r="I9" s="751" t="str">
        <f>CONCATENATE(ABS!AB7," hari")</f>
        <v>0 hari</v>
      </c>
      <c r="J9" s="751" t="str">
        <f>CONCATENATE(ABS!AC7," hari")</f>
        <v>0 hari</v>
      </c>
      <c r="K9" s="751" t="str">
        <f>CONCATENATE(ABS!AD7," hari")</f>
        <v>0 hari</v>
      </c>
      <c r="L9" s="23" t="s">
        <v>93</v>
      </c>
      <c r="M9" s="2" t="s">
        <v>94</v>
      </c>
      <c r="N9" s="2" t="s">
        <v>95</v>
      </c>
      <c r="O9" s="2" t="s">
        <v>94</v>
      </c>
      <c r="P9" s="2" t="s">
        <v>95</v>
      </c>
      <c r="Q9" s="3" t="s">
        <v>86</v>
      </c>
      <c r="R9" s="3" t="s">
        <v>86</v>
      </c>
      <c r="S9" s="3" t="s">
        <v>96</v>
      </c>
      <c r="T9" s="2"/>
      <c r="U9" s="2"/>
      <c r="V9" s="2"/>
      <c r="W9" s="2"/>
      <c r="X9" s="619"/>
      <c r="Y9" s="619"/>
    </row>
    <row r="10" spans="1:40" ht="57" customHeight="1">
      <c r="A10" s="10">
        <v>4</v>
      </c>
      <c r="B10" s="10">
        <f>SISWA!B9</f>
        <v>0</v>
      </c>
      <c r="C10" s="17" t="str">
        <f>SISWA!C9</f>
        <v>Anak 4</v>
      </c>
      <c r="D10" s="4"/>
      <c r="E10" s="11" t="s">
        <v>92</v>
      </c>
      <c r="F10" s="4" t="s">
        <v>82</v>
      </c>
      <c r="G10" s="11"/>
      <c r="H10" s="11"/>
      <c r="I10" s="751" t="str">
        <f>CONCATENATE(ABS!AB8," hari")</f>
        <v>0 hari</v>
      </c>
      <c r="J10" s="751" t="str">
        <f>CONCATENATE(ABS!AC8," hari")</f>
        <v>0 hari</v>
      </c>
      <c r="K10" s="751" t="str">
        <f>CONCATENATE(ABS!AD8," hari")</f>
        <v>0 hari</v>
      </c>
      <c r="L10" s="23" t="s">
        <v>83</v>
      </c>
      <c r="M10" s="2" t="s">
        <v>97</v>
      </c>
      <c r="N10" s="2" t="s">
        <v>98</v>
      </c>
      <c r="O10" s="2" t="s">
        <v>97</v>
      </c>
      <c r="P10" s="2" t="s">
        <v>98</v>
      </c>
      <c r="Q10" s="3" t="s">
        <v>86</v>
      </c>
      <c r="R10" s="3" t="s">
        <v>86</v>
      </c>
      <c r="S10" s="3" t="s">
        <v>99</v>
      </c>
      <c r="T10" s="2"/>
      <c r="U10" s="2"/>
      <c r="V10" s="2"/>
      <c r="W10" s="2"/>
      <c r="X10" s="619"/>
      <c r="Y10" s="619"/>
    </row>
    <row r="11" spans="1:40" ht="57" customHeight="1">
      <c r="A11" s="10">
        <v>5</v>
      </c>
      <c r="B11" s="10">
        <f>SISWA!B10</f>
        <v>0</v>
      </c>
      <c r="C11" s="17" t="str">
        <f>SISWA!C10</f>
        <v>Anak 5</v>
      </c>
      <c r="D11" s="4"/>
      <c r="E11" s="11" t="s">
        <v>92</v>
      </c>
      <c r="F11" s="4" t="s">
        <v>82</v>
      </c>
      <c r="G11" s="11"/>
      <c r="H11" s="11"/>
      <c r="I11" s="751" t="str">
        <f>CONCATENATE(ABS!AB9," hari")</f>
        <v>7 hari</v>
      </c>
      <c r="J11" s="751" t="str">
        <f>CONCATENATE(ABS!AC9," hari")</f>
        <v>0 hari</v>
      </c>
      <c r="K11" s="751" t="str">
        <f>CONCATENATE(ABS!AD9," hari")</f>
        <v>0 hari</v>
      </c>
      <c r="L11" s="23" t="s">
        <v>83</v>
      </c>
      <c r="M11" s="2" t="s">
        <v>100</v>
      </c>
      <c r="N11" s="2" t="s">
        <v>101</v>
      </c>
      <c r="O11" s="2" t="s">
        <v>100</v>
      </c>
      <c r="P11" s="2" t="s">
        <v>101</v>
      </c>
      <c r="Q11" s="3" t="s">
        <v>86</v>
      </c>
      <c r="R11" s="3" t="s">
        <v>86</v>
      </c>
      <c r="S11" s="3" t="s">
        <v>102</v>
      </c>
      <c r="T11" s="2"/>
      <c r="U11" s="2"/>
      <c r="V11" s="2"/>
      <c r="W11" s="2"/>
      <c r="X11" s="619"/>
      <c r="Y11" s="619"/>
    </row>
    <row r="12" spans="1:40" ht="57" customHeight="1">
      <c r="A12" s="10">
        <v>6</v>
      </c>
      <c r="B12" s="10">
        <f>SISWA!B11</f>
        <v>0</v>
      </c>
      <c r="C12" s="17" t="str">
        <f>SISWA!C11</f>
        <v>Anak 6</v>
      </c>
      <c r="D12" s="4"/>
      <c r="E12" s="11" t="s">
        <v>103</v>
      </c>
      <c r="F12" s="11" t="s">
        <v>104</v>
      </c>
      <c r="G12" s="11"/>
      <c r="H12" s="11"/>
      <c r="I12" s="751" t="str">
        <f>CONCATENATE(ABS!AB10," hari")</f>
        <v>0 hari</v>
      </c>
      <c r="J12" s="751" t="str">
        <f>CONCATENATE(ABS!AC10," hari")</f>
        <v>0 hari</v>
      </c>
      <c r="K12" s="751" t="str">
        <f>CONCATENATE(ABS!AD10," hari")</f>
        <v>0 hari</v>
      </c>
      <c r="L12" s="23" t="s">
        <v>83</v>
      </c>
      <c r="M12" s="2" t="s">
        <v>105</v>
      </c>
      <c r="N12" s="2" t="s">
        <v>85</v>
      </c>
      <c r="O12" s="2" t="s">
        <v>105</v>
      </c>
      <c r="P12" s="2" t="s">
        <v>85</v>
      </c>
      <c r="Q12" s="3" t="s">
        <v>86</v>
      </c>
      <c r="R12" s="3" t="s">
        <v>86</v>
      </c>
      <c r="S12" s="3" t="s">
        <v>106</v>
      </c>
      <c r="T12" s="2"/>
      <c r="U12" s="2"/>
      <c r="V12" s="2"/>
      <c r="W12" s="2"/>
      <c r="X12" s="619"/>
      <c r="Y12" s="619"/>
    </row>
    <row r="13" spans="1:40" ht="57" customHeight="1">
      <c r="A13" s="10">
        <v>7</v>
      </c>
      <c r="B13" s="10">
        <f>SISWA!B12</f>
        <v>0</v>
      </c>
      <c r="C13" s="17" t="str">
        <f>SISWA!C12</f>
        <v>Anak 7</v>
      </c>
      <c r="D13" s="4"/>
      <c r="E13" s="11" t="s">
        <v>92</v>
      </c>
      <c r="F13" s="11" t="s">
        <v>82</v>
      </c>
      <c r="G13" s="11"/>
      <c r="H13" s="11"/>
      <c r="I13" s="751" t="str">
        <f>CONCATENATE(ABS!AB11," hari")</f>
        <v>0 hari</v>
      </c>
      <c r="J13" s="751" t="str">
        <f>CONCATENATE(ABS!AC11," hari")</f>
        <v>0 hari</v>
      </c>
      <c r="K13" s="751" t="str">
        <f>CONCATENATE(ABS!AD11," hari")</f>
        <v>0 hari</v>
      </c>
      <c r="L13" s="23" t="s">
        <v>83</v>
      </c>
      <c r="M13" s="2" t="s">
        <v>94</v>
      </c>
      <c r="N13" s="2" t="s">
        <v>95</v>
      </c>
      <c r="O13" s="2" t="s">
        <v>94</v>
      </c>
      <c r="P13" s="2" t="s">
        <v>95</v>
      </c>
      <c r="Q13" s="3" t="s">
        <v>86</v>
      </c>
      <c r="R13" s="3" t="s">
        <v>86</v>
      </c>
      <c r="S13" s="3" t="s">
        <v>107</v>
      </c>
      <c r="T13" s="3" t="s">
        <v>108</v>
      </c>
      <c r="U13" s="3" t="s">
        <v>109</v>
      </c>
      <c r="V13" s="3" t="s">
        <v>110</v>
      </c>
      <c r="W13" s="3" t="s">
        <v>111</v>
      </c>
      <c r="X13" s="619"/>
      <c r="Y13" s="619"/>
    </row>
    <row r="14" spans="1:40" ht="57" customHeight="1">
      <c r="A14" s="10">
        <v>8</v>
      </c>
      <c r="B14" s="10">
        <f>SISWA!B13</f>
        <v>0</v>
      </c>
      <c r="C14" s="17" t="str">
        <f>SISWA!C13</f>
        <v>Anak 8</v>
      </c>
      <c r="D14" s="4"/>
      <c r="E14" s="11" t="s">
        <v>112</v>
      </c>
      <c r="F14" s="11" t="s">
        <v>104</v>
      </c>
      <c r="G14" s="11"/>
      <c r="H14" s="11"/>
      <c r="I14" s="751" t="str">
        <f>CONCATENATE(ABS!AB12," hari")</f>
        <v>1 hari</v>
      </c>
      <c r="J14" s="751" t="str">
        <f>CONCATENATE(ABS!AC12," hari")</f>
        <v>0 hari</v>
      </c>
      <c r="K14" s="751" t="str">
        <f>CONCATENATE(ABS!AD12," hari")</f>
        <v>0 hari</v>
      </c>
      <c r="L14" s="23" t="s">
        <v>93</v>
      </c>
      <c r="M14" s="2" t="s">
        <v>113</v>
      </c>
      <c r="N14" s="2" t="s">
        <v>114</v>
      </c>
      <c r="O14" s="2" t="s">
        <v>113</v>
      </c>
      <c r="P14" s="2" t="s">
        <v>114</v>
      </c>
      <c r="Q14" s="3" t="s">
        <v>86</v>
      </c>
      <c r="R14" s="3" t="s">
        <v>86</v>
      </c>
      <c r="S14" s="3" t="s">
        <v>115</v>
      </c>
      <c r="T14" s="2"/>
      <c r="U14" s="2"/>
      <c r="V14" s="2"/>
      <c r="W14" s="2"/>
      <c r="X14" s="619"/>
      <c r="Y14" s="619"/>
    </row>
    <row r="15" spans="1:40" ht="57" customHeight="1">
      <c r="A15" s="10">
        <v>9</v>
      </c>
      <c r="B15" s="10">
        <f>SISWA!B14</f>
        <v>0</v>
      </c>
      <c r="C15" s="17" t="str">
        <f>SISWA!C14</f>
        <v>Anak 9</v>
      </c>
      <c r="D15" s="4"/>
      <c r="E15" s="11" t="s">
        <v>92</v>
      </c>
      <c r="F15" s="11" t="s">
        <v>82</v>
      </c>
      <c r="G15" s="11"/>
      <c r="H15" s="11"/>
      <c r="I15" s="751" t="str">
        <f>CONCATENATE(ABS!AB13," hari")</f>
        <v>0 hari</v>
      </c>
      <c r="J15" s="751" t="str">
        <f>CONCATENATE(ABS!AC13," hari")</f>
        <v>0 hari</v>
      </c>
      <c r="K15" s="751" t="str">
        <f>CONCATENATE(ABS!AD13," hari")</f>
        <v>1 hari</v>
      </c>
      <c r="L15" s="23" t="s">
        <v>83</v>
      </c>
      <c r="M15" s="2" t="s">
        <v>116</v>
      </c>
      <c r="N15" s="2" t="s">
        <v>90</v>
      </c>
      <c r="O15" s="2" t="s">
        <v>116</v>
      </c>
      <c r="P15" s="2" t="s">
        <v>90</v>
      </c>
      <c r="Q15" s="3" t="s">
        <v>86</v>
      </c>
      <c r="R15" s="3" t="s">
        <v>117</v>
      </c>
      <c r="S15" s="3" t="s">
        <v>118</v>
      </c>
      <c r="T15" s="2"/>
      <c r="U15" s="2"/>
      <c r="V15" s="2"/>
      <c r="W15" s="2"/>
      <c r="X15" s="619"/>
      <c r="Y15" s="619"/>
    </row>
    <row r="16" spans="1:40" ht="57" customHeight="1">
      <c r="A16" s="10">
        <v>10</v>
      </c>
      <c r="B16" s="10">
        <f>SISWA!B15</f>
        <v>0</v>
      </c>
      <c r="C16" s="17" t="str">
        <f>SISWA!C15</f>
        <v>Anak 10</v>
      </c>
      <c r="D16" s="4"/>
      <c r="E16" s="11" t="s">
        <v>92</v>
      </c>
      <c r="F16" s="11" t="s">
        <v>82</v>
      </c>
      <c r="G16" s="11"/>
      <c r="H16" s="11"/>
      <c r="I16" s="751" t="str">
        <f>CONCATENATE(ABS!AB14," hari")</f>
        <v>0 hari</v>
      </c>
      <c r="J16" s="751" t="str">
        <f>CONCATENATE(ABS!AC14," hari")</f>
        <v>0 hari</v>
      </c>
      <c r="K16" s="751" t="str">
        <f>CONCATENATE(ABS!AD14," hari")</f>
        <v>0 hari</v>
      </c>
      <c r="L16" s="23" t="s">
        <v>83</v>
      </c>
      <c r="M16" s="2" t="s">
        <v>119</v>
      </c>
      <c r="N16" s="2" t="s">
        <v>120</v>
      </c>
      <c r="O16" s="2" t="s">
        <v>119</v>
      </c>
      <c r="P16" s="2" t="s">
        <v>120</v>
      </c>
      <c r="Q16" s="3" t="s">
        <v>86</v>
      </c>
      <c r="R16" s="3" t="s">
        <v>86</v>
      </c>
      <c r="S16" s="3" t="s">
        <v>87</v>
      </c>
      <c r="T16" s="2"/>
      <c r="U16" s="2"/>
      <c r="V16" s="2"/>
      <c r="W16" s="2"/>
      <c r="X16" s="619"/>
      <c r="Y16" s="619"/>
    </row>
    <row r="17" spans="1:25" ht="57" customHeight="1">
      <c r="A17" s="10">
        <v>11</v>
      </c>
      <c r="B17" s="10">
        <f>SISWA!B16</f>
        <v>0</v>
      </c>
      <c r="C17" s="17" t="str">
        <f>SISWA!C16</f>
        <v>Anak 11</v>
      </c>
      <c r="D17" s="4"/>
      <c r="E17" s="11" t="s">
        <v>92</v>
      </c>
      <c r="F17" s="11" t="s">
        <v>82</v>
      </c>
      <c r="G17" s="11"/>
      <c r="H17" s="11"/>
      <c r="I17" s="751" t="str">
        <f>CONCATENATE(ABS!AB15," hari")</f>
        <v>0 hari</v>
      </c>
      <c r="J17" s="751" t="str">
        <f>CONCATENATE(ABS!AC15," hari")</f>
        <v>0 hari</v>
      </c>
      <c r="K17" s="751" t="str">
        <f>CONCATENATE(ABS!AD15," hari")</f>
        <v>0 hari</v>
      </c>
      <c r="L17" s="23" t="s">
        <v>83</v>
      </c>
      <c r="M17" s="2" t="s">
        <v>121</v>
      </c>
      <c r="N17" s="2" t="s">
        <v>122</v>
      </c>
      <c r="O17" s="2" t="s">
        <v>121</v>
      </c>
      <c r="P17" s="2" t="s">
        <v>122</v>
      </c>
      <c r="Q17" s="3" t="s">
        <v>86</v>
      </c>
      <c r="R17" s="3" t="s">
        <v>86</v>
      </c>
      <c r="S17" s="3" t="s">
        <v>123</v>
      </c>
      <c r="T17" s="3" t="s">
        <v>124</v>
      </c>
      <c r="U17" s="3" t="s">
        <v>125</v>
      </c>
      <c r="V17" s="2"/>
      <c r="W17" s="2"/>
      <c r="X17" s="619"/>
      <c r="Y17" s="619"/>
    </row>
    <row r="18" spans="1:25" ht="57" customHeight="1">
      <c r="A18" s="10">
        <v>12</v>
      </c>
      <c r="B18" s="10">
        <f>SISWA!B17</f>
        <v>0</v>
      </c>
      <c r="C18" s="17" t="str">
        <f>SISWA!C17</f>
        <v>Anak 12</v>
      </c>
      <c r="D18" s="4"/>
      <c r="E18" s="11" t="s">
        <v>92</v>
      </c>
      <c r="F18" s="11" t="s">
        <v>82</v>
      </c>
      <c r="G18" s="11"/>
      <c r="H18" s="11"/>
      <c r="I18" s="751" t="str">
        <f>CONCATENATE(ABS!AB16," hari")</f>
        <v>0 hari</v>
      </c>
      <c r="J18" s="751" t="str">
        <f>CONCATENATE(ABS!AC16," hari")</f>
        <v>0 hari</v>
      </c>
      <c r="K18" s="751" t="str">
        <f>CONCATENATE(ABS!AD16," hari")</f>
        <v>0 hari</v>
      </c>
      <c r="L18" s="23" t="s">
        <v>83</v>
      </c>
      <c r="M18" s="2" t="s">
        <v>126</v>
      </c>
      <c r="N18" s="2" t="s">
        <v>122</v>
      </c>
      <c r="O18" s="2" t="s">
        <v>126</v>
      </c>
      <c r="P18" s="2" t="s">
        <v>122</v>
      </c>
      <c r="Q18" s="3" t="s">
        <v>86</v>
      </c>
      <c r="R18" s="3" t="s">
        <v>86</v>
      </c>
      <c r="S18" s="3" t="s">
        <v>127</v>
      </c>
      <c r="T18" s="2"/>
      <c r="U18" s="2"/>
      <c r="V18" s="2"/>
      <c r="W18" s="2"/>
      <c r="X18" s="619"/>
      <c r="Y18" s="619"/>
    </row>
    <row r="19" spans="1:25" ht="57" customHeight="1">
      <c r="A19" s="10">
        <v>13</v>
      </c>
      <c r="B19" s="10">
        <f>SISWA!B18</f>
        <v>0</v>
      </c>
      <c r="C19" s="17" t="str">
        <f>SISWA!C18</f>
        <v>Anak 13</v>
      </c>
      <c r="D19" s="4"/>
      <c r="E19" s="11" t="s">
        <v>92</v>
      </c>
      <c r="F19" s="11" t="s">
        <v>82</v>
      </c>
      <c r="G19" s="11"/>
      <c r="H19" s="11"/>
      <c r="I19" s="751" t="str">
        <f>CONCATENATE(ABS!AB17," hari")</f>
        <v>0 hari</v>
      </c>
      <c r="J19" s="751" t="str">
        <f>CONCATENATE(ABS!AC17," hari")</f>
        <v>0 hari</v>
      </c>
      <c r="K19" s="751" t="str">
        <f>CONCATENATE(ABS!AD17," hari")</f>
        <v>0 hari</v>
      </c>
      <c r="L19" s="23" t="s">
        <v>128</v>
      </c>
      <c r="M19" s="2" t="s">
        <v>129</v>
      </c>
      <c r="N19" s="2" t="s">
        <v>122</v>
      </c>
      <c r="O19" s="2" t="s">
        <v>129</v>
      </c>
      <c r="P19" s="2" t="s">
        <v>122</v>
      </c>
      <c r="Q19" s="3" t="s">
        <v>86</v>
      </c>
      <c r="R19" s="3" t="s">
        <v>86</v>
      </c>
      <c r="S19" s="3" t="s">
        <v>127</v>
      </c>
      <c r="T19" s="2"/>
      <c r="U19" s="2"/>
      <c r="V19" s="2"/>
      <c r="W19" s="2"/>
      <c r="X19" s="619"/>
      <c r="Y19" s="619"/>
    </row>
    <row r="20" spans="1:25" ht="57" customHeight="1">
      <c r="A20" s="10">
        <v>14</v>
      </c>
      <c r="B20" s="10">
        <f>SISWA!B19</f>
        <v>0</v>
      </c>
      <c r="C20" s="17" t="str">
        <f>SISWA!C19</f>
        <v>Anak 14</v>
      </c>
      <c r="D20" s="4"/>
      <c r="E20" s="11" t="s">
        <v>92</v>
      </c>
      <c r="F20" s="11" t="s">
        <v>82</v>
      </c>
      <c r="G20" s="11"/>
      <c r="H20" s="11"/>
      <c r="I20" s="751" t="str">
        <f>CONCATENATE(ABS!AB18," hari")</f>
        <v>0 hari</v>
      </c>
      <c r="J20" s="751" t="str">
        <f>CONCATENATE(ABS!AC18," hari")</f>
        <v>1 hari</v>
      </c>
      <c r="K20" s="751" t="str">
        <f>CONCATENATE(ABS!AD18," hari")</f>
        <v>0 hari</v>
      </c>
      <c r="L20" s="23" t="s">
        <v>130</v>
      </c>
      <c r="M20" s="2" t="s">
        <v>131</v>
      </c>
      <c r="N20" s="2" t="s">
        <v>132</v>
      </c>
      <c r="O20" s="2" t="s">
        <v>131</v>
      </c>
      <c r="P20" s="2" t="s">
        <v>132</v>
      </c>
      <c r="Q20" s="3" t="s">
        <v>86</v>
      </c>
      <c r="R20" s="3" t="s">
        <v>86</v>
      </c>
      <c r="S20" s="3" t="s">
        <v>133</v>
      </c>
      <c r="T20" s="2"/>
      <c r="U20" s="2"/>
      <c r="V20" s="2"/>
      <c r="W20" s="2"/>
      <c r="X20" s="619"/>
      <c r="Y20" s="619"/>
    </row>
    <row r="21" spans="1:25" ht="57" customHeight="1">
      <c r="A21" s="10">
        <v>15</v>
      </c>
      <c r="B21" s="10">
        <f>SISWA!B20</f>
        <v>0</v>
      </c>
      <c r="C21" s="17" t="str">
        <f>SISWA!C20</f>
        <v>Anak 15</v>
      </c>
      <c r="D21" s="4"/>
      <c r="E21" s="11" t="s">
        <v>112</v>
      </c>
      <c r="F21" s="11" t="s">
        <v>82</v>
      </c>
      <c r="G21" s="11"/>
      <c r="H21" s="11"/>
      <c r="I21" s="751" t="str">
        <f>CONCATENATE(ABS!AB19," hari")</f>
        <v>0 hari</v>
      </c>
      <c r="J21" s="751" t="str">
        <f>CONCATENATE(ABS!AC19," hari")</f>
        <v>0 hari</v>
      </c>
      <c r="K21" s="751" t="str">
        <f>CONCATENATE(ABS!AD19," hari")</f>
        <v>1 hari</v>
      </c>
      <c r="L21" s="23" t="s">
        <v>83</v>
      </c>
      <c r="M21" s="2" t="s">
        <v>134</v>
      </c>
      <c r="N21" s="2" t="s">
        <v>122</v>
      </c>
      <c r="O21" s="2" t="s">
        <v>134</v>
      </c>
      <c r="P21" s="2" t="s">
        <v>122</v>
      </c>
      <c r="Q21" s="3" t="s">
        <v>86</v>
      </c>
      <c r="R21" s="3" t="s">
        <v>86</v>
      </c>
      <c r="S21" s="3" t="s">
        <v>133</v>
      </c>
      <c r="T21" s="3" t="s">
        <v>108</v>
      </c>
      <c r="U21" s="3" t="s">
        <v>135</v>
      </c>
      <c r="V21" s="2"/>
      <c r="W21" s="2"/>
      <c r="X21" s="619"/>
      <c r="Y21" s="619"/>
    </row>
    <row r="22" spans="1:25" ht="57" customHeight="1">
      <c r="A22" s="10">
        <v>16</v>
      </c>
      <c r="B22" s="10">
        <f>SISWA!B21</f>
        <v>0</v>
      </c>
      <c r="C22" s="17" t="str">
        <f>SISWA!C21</f>
        <v>Anak 16</v>
      </c>
      <c r="D22" s="4"/>
      <c r="E22" s="11" t="s">
        <v>92</v>
      </c>
      <c r="F22" s="11" t="s">
        <v>82</v>
      </c>
      <c r="G22" s="11"/>
      <c r="H22" s="11"/>
      <c r="I22" s="751" t="str">
        <f>CONCATENATE(ABS!AB20," hari")</f>
        <v>1 hari</v>
      </c>
      <c r="J22" s="751" t="str">
        <f>CONCATENATE(ABS!AC20," hari")</f>
        <v>0 hari</v>
      </c>
      <c r="K22" s="751" t="str">
        <f>CONCATENATE(ABS!AD20," hari")</f>
        <v>0 hari</v>
      </c>
      <c r="L22" s="23" t="s">
        <v>83</v>
      </c>
      <c r="M22" s="2" t="s">
        <v>121</v>
      </c>
      <c r="N22" s="2" t="s">
        <v>136</v>
      </c>
      <c r="O22" s="2" t="s">
        <v>121</v>
      </c>
      <c r="P22" s="2" t="s">
        <v>136</v>
      </c>
      <c r="Q22" s="3" t="s">
        <v>86</v>
      </c>
      <c r="R22" s="3" t="s">
        <v>86</v>
      </c>
      <c r="S22" s="3" t="s">
        <v>137</v>
      </c>
      <c r="T22" s="2" t="s">
        <v>81</v>
      </c>
      <c r="U22" s="3" t="s">
        <v>88</v>
      </c>
      <c r="V22" s="2"/>
      <c r="W22" s="2"/>
      <c r="X22" s="619"/>
      <c r="Y22" s="619"/>
    </row>
    <row r="23" spans="1:25" ht="57" customHeight="1">
      <c r="A23" s="10">
        <v>17</v>
      </c>
      <c r="B23" s="10">
        <f>SISWA!B22</f>
        <v>0</v>
      </c>
      <c r="C23" s="17" t="str">
        <f>SISWA!C22</f>
        <v>Anak 17</v>
      </c>
      <c r="D23" s="4"/>
      <c r="E23" s="11" t="s">
        <v>81</v>
      </c>
      <c r="F23" s="11" t="s">
        <v>82</v>
      </c>
      <c r="G23" s="11"/>
      <c r="H23" s="11"/>
      <c r="I23" s="751" t="str">
        <f>CONCATENATE(ABS!AB21," hari")</f>
        <v>0 hari</v>
      </c>
      <c r="J23" s="751" t="str">
        <f>CONCATENATE(ABS!AC21," hari")</f>
        <v>0 hari</v>
      </c>
      <c r="K23" s="751" t="str">
        <f>CONCATENATE(ABS!AD21," hari")</f>
        <v>0 hari</v>
      </c>
      <c r="L23" s="23" t="s">
        <v>83</v>
      </c>
      <c r="M23" s="2" t="s">
        <v>138</v>
      </c>
      <c r="N23" s="2" t="s">
        <v>139</v>
      </c>
      <c r="O23" s="2" t="s">
        <v>138</v>
      </c>
      <c r="P23" s="2" t="s">
        <v>139</v>
      </c>
      <c r="Q23" s="3" t="s">
        <v>86</v>
      </c>
      <c r="R23" s="3" t="s">
        <v>86</v>
      </c>
      <c r="S23" s="3" t="s">
        <v>87</v>
      </c>
      <c r="T23" s="2" t="s">
        <v>81</v>
      </c>
      <c r="U23" s="3" t="s">
        <v>88</v>
      </c>
      <c r="V23" s="2"/>
      <c r="W23" s="2"/>
      <c r="X23" s="619"/>
      <c r="Y23" s="619"/>
    </row>
    <row r="24" spans="1:25" ht="57" customHeight="1">
      <c r="A24" s="10">
        <v>18</v>
      </c>
      <c r="B24" s="10">
        <f>SISWA!B23</f>
        <v>0</v>
      </c>
      <c r="C24" s="17" t="str">
        <f>SISWA!C23</f>
        <v>Anak 18</v>
      </c>
      <c r="D24" s="4"/>
      <c r="E24" s="11" t="s">
        <v>92</v>
      </c>
      <c r="F24" s="11" t="s">
        <v>82</v>
      </c>
      <c r="G24" s="11"/>
      <c r="H24" s="11"/>
      <c r="I24" s="751" t="str">
        <f>CONCATENATE(ABS!AB22," hari")</f>
        <v>0 hari</v>
      </c>
      <c r="J24" s="751" t="str">
        <f>CONCATENATE(ABS!AC22," hari")</f>
        <v>1 hari</v>
      </c>
      <c r="K24" s="751" t="str">
        <f>CONCATENATE(ABS!AD22," hari")</f>
        <v>0 hari</v>
      </c>
      <c r="L24" s="23" t="s">
        <v>130</v>
      </c>
      <c r="M24" s="2" t="s">
        <v>97</v>
      </c>
      <c r="N24" s="2" t="s">
        <v>140</v>
      </c>
      <c r="O24" s="2" t="s">
        <v>97</v>
      </c>
      <c r="P24" s="2" t="s">
        <v>140</v>
      </c>
      <c r="Q24" s="3" t="s">
        <v>86</v>
      </c>
      <c r="R24" s="3" t="s">
        <v>86</v>
      </c>
      <c r="S24" s="3" t="s">
        <v>141</v>
      </c>
      <c r="T24" s="2"/>
      <c r="U24" s="2"/>
      <c r="V24" s="2"/>
      <c r="W24" s="2"/>
      <c r="X24" s="619"/>
      <c r="Y24" s="619"/>
    </row>
    <row r="25" spans="1:25" ht="57" customHeight="1">
      <c r="A25" s="10">
        <v>19</v>
      </c>
      <c r="B25" s="10">
        <f>SISWA!B24</f>
        <v>0</v>
      </c>
      <c r="C25" s="17" t="str">
        <f>SISWA!C24</f>
        <v>Anak 19</v>
      </c>
      <c r="D25" s="4"/>
      <c r="E25" s="11" t="s">
        <v>92</v>
      </c>
      <c r="F25" s="11" t="s">
        <v>82</v>
      </c>
      <c r="G25" s="11"/>
      <c r="H25" s="11"/>
      <c r="I25" s="751" t="str">
        <f>CONCATENATE(ABS!AB23," hari")</f>
        <v>0 hari</v>
      </c>
      <c r="J25" s="751" t="str">
        <f>CONCATENATE(ABS!AC23," hari")</f>
        <v>0 hari</v>
      </c>
      <c r="K25" s="751" t="str">
        <f>CONCATENATE(ABS!AD23," hari")</f>
        <v>0 hari</v>
      </c>
      <c r="L25" s="23" t="s">
        <v>83</v>
      </c>
      <c r="M25" s="2" t="s">
        <v>142</v>
      </c>
      <c r="N25" s="2" t="s">
        <v>122</v>
      </c>
      <c r="O25" s="2" t="s">
        <v>142</v>
      </c>
      <c r="P25" s="2" t="s">
        <v>122</v>
      </c>
      <c r="Q25" s="3" t="s">
        <v>86</v>
      </c>
      <c r="R25" s="3" t="s">
        <v>86</v>
      </c>
      <c r="S25" s="3" t="s">
        <v>143</v>
      </c>
      <c r="T25" s="2"/>
      <c r="U25" s="2"/>
      <c r="V25" s="2"/>
      <c r="W25" s="2"/>
      <c r="X25" s="619"/>
      <c r="Y25" s="619"/>
    </row>
    <row r="26" spans="1:25" ht="57" customHeight="1">
      <c r="A26" s="10">
        <v>20</v>
      </c>
      <c r="B26" s="10">
        <f>SISWA!B25</f>
        <v>0</v>
      </c>
      <c r="C26" s="17" t="str">
        <f>SISWA!C25</f>
        <v>Anak 20</v>
      </c>
      <c r="D26" s="4"/>
      <c r="E26" s="11" t="s">
        <v>144</v>
      </c>
      <c r="F26" s="11" t="s">
        <v>82</v>
      </c>
      <c r="G26" s="11"/>
      <c r="H26" s="11"/>
      <c r="I26" s="751" t="str">
        <f>CONCATENATE(ABS!AB24," hari")</f>
        <v>0 hari</v>
      </c>
      <c r="J26" s="751" t="str">
        <f>CONCATENATE(ABS!AC24," hari")</f>
        <v>0 hari</v>
      </c>
      <c r="K26" s="751" t="str">
        <f>CONCATENATE(ABS!AD24," hari")</f>
        <v>0 hari</v>
      </c>
      <c r="L26" s="23" t="s">
        <v>83</v>
      </c>
      <c r="M26" s="2" t="s">
        <v>116</v>
      </c>
      <c r="N26" s="2" t="s">
        <v>98</v>
      </c>
      <c r="O26" s="2" t="s">
        <v>116</v>
      </c>
      <c r="P26" s="2" t="s">
        <v>98</v>
      </c>
      <c r="Q26" s="3" t="s">
        <v>86</v>
      </c>
      <c r="R26" s="3" t="s">
        <v>86</v>
      </c>
      <c r="S26" s="3" t="s">
        <v>137</v>
      </c>
      <c r="T26" s="2"/>
      <c r="U26" s="2"/>
      <c r="V26" s="2"/>
      <c r="W26" s="2"/>
      <c r="X26" s="619"/>
      <c r="Y26" s="619"/>
    </row>
    <row r="27" spans="1:25" ht="57" customHeight="1">
      <c r="A27" s="10">
        <v>21</v>
      </c>
      <c r="B27" s="10">
        <f>SISWA!B26</f>
        <v>0</v>
      </c>
      <c r="C27" s="17" t="str">
        <f>SISWA!C26</f>
        <v>Anak 21</v>
      </c>
      <c r="D27" s="4"/>
      <c r="E27" s="11" t="s">
        <v>144</v>
      </c>
      <c r="F27" s="11" t="s">
        <v>82</v>
      </c>
      <c r="G27" s="11"/>
      <c r="H27" s="11"/>
      <c r="I27" s="751" t="str">
        <f>CONCATENATE(ABS!AB25," hari")</f>
        <v>0 hari</v>
      </c>
      <c r="J27" s="751" t="str">
        <f>CONCATENATE(ABS!AC25," hari")</f>
        <v>0 hari</v>
      </c>
      <c r="K27" s="751" t="str">
        <f>CONCATENATE(ABS!AD25," hari")</f>
        <v>1 hari</v>
      </c>
      <c r="L27" s="23" t="s">
        <v>83</v>
      </c>
      <c r="M27" s="2" t="s">
        <v>121</v>
      </c>
      <c r="N27" s="2" t="s">
        <v>145</v>
      </c>
      <c r="O27" s="2" t="s">
        <v>121</v>
      </c>
      <c r="P27" s="2" t="s">
        <v>145</v>
      </c>
      <c r="Q27" s="3" t="s">
        <v>86</v>
      </c>
      <c r="R27" s="3" t="s">
        <v>86</v>
      </c>
      <c r="S27" s="3" t="s">
        <v>146</v>
      </c>
      <c r="T27" s="3" t="s">
        <v>110</v>
      </c>
      <c r="U27" s="3" t="s">
        <v>147</v>
      </c>
      <c r="V27" s="2"/>
      <c r="W27" s="2"/>
      <c r="X27" s="619"/>
      <c r="Y27" s="619"/>
    </row>
    <row r="28" spans="1:25" ht="57" customHeight="1">
      <c r="A28" s="10">
        <v>22</v>
      </c>
      <c r="B28" s="10">
        <f>SISWA!B27</f>
        <v>0</v>
      </c>
      <c r="C28" s="17" t="str">
        <f>SISWA!C27</f>
        <v>Anak 22</v>
      </c>
      <c r="D28" s="4"/>
      <c r="E28" s="11" t="s">
        <v>92</v>
      </c>
      <c r="F28" s="11" t="s">
        <v>82</v>
      </c>
      <c r="G28" s="11"/>
      <c r="H28" s="11"/>
      <c r="I28" s="751" t="str">
        <f>CONCATENATE(ABS!AB26," hari")</f>
        <v>0 hari</v>
      </c>
      <c r="J28" s="751" t="str">
        <f>CONCATENATE(ABS!AC26," hari")</f>
        <v>0 hari</v>
      </c>
      <c r="K28" s="751" t="str">
        <f>CONCATENATE(ABS!AD26," hari")</f>
        <v>0 hari</v>
      </c>
      <c r="L28" s="23" t="s">
        <v>83</v>
      </c>
      <c r="M28" s="2" t="s">
        <v>121</v>
      </c>
      <c r="N28" s="2" t="s">
        <v>140</v>
      </c>
      <c r="O28" s="2" t="s">
        <v>121</v>
      </c>
      <c r="P28" s="2" t="s">
        <v>140</v>
      </c>
      <c r="Q28" s="3" t="s">
        <v>86</v>
      </c>
      <c r="R28" s="3" t="s">
        <v>86</v>
      </c>
      <c r="S28" s="3" t="s">
        <v>148</v>
      </c>
      <c r="T28" s="2"/>
      <c r="U28" s="2"/>
      <c r="V28" s="2"/>
      <c r="W28" s="2"/>
      <c r="X28" s="619"/>
      <c r="Y28" s="619"/>
    </row>
    <row r="29" spans="1:25" ht="57" customHeight="1">
      <c r="A29" s="10">
        <v>23</v>
      </c>
      <c r="B29" s="10">
        <f>SISWA!B28</f>
        <v>0</v>
      </c>
      <c r="C29" s="17" t="str">
        <f>SISWA!C28</f>
        <v>Anak 23</v>
      </c>
      <c r="D29" s="4"/>
      <c r="E29" s="11" t="s">
        <v>144</v>
      </c>
      <c r="F29" s="11" t="s">
        <v>149</v>
      </c>
      <c r="G29" s="11"/>
      <c r="H29" s="11"/>
      <c r="I29" s="751" t="str">
        <f>CONCATENATE(ABS!AB27," hari")</f>
        <v>0 hari</v>
      </c>
      <c r="J29" s="751" t="str">
        <f>CONCATENATE(ABS!AC27," hari")</f>
        <v>0 hari</v>
      </c>
      <c r="K29" s="751" t="str">
        <f>CONCATENATE(ABS!AD27," hari")</f>
        <v>0 hari</v>
      </c>
      <c r="L29" s="23" t="s">
        <v>128</v>
      </c>
      <c r="M29" s="2" t="s">
        <v>134</v>
      </c>
      <c r="N29" s="2" t="s">
        <v>150</v>
      </c>
      <c r="O29" s="2" t="s">
        <v>134</v>
      </c>
      <c r="P29" s="2" t="s">
        <v>150</v>
      </c>
      <c r="Q29" s="3" t="s">
        <v>86</v>
      </c>
      <c r="R29" s="3" t="s">
        <v>86</v>
      </c>
      <c r="S29" s="3" t="s">
        <v>151</v>
      </c>
      <c r="T29" s="2"/>
      <c r="U29" s="2"/>
      <c r="V29" s="2"/>
      <c r="W29" s="2"/>
      <c r="X29" s="619"/>
      <c r="Y29" s="619"/>
    </row>
    <row r="30" spans="1:25" ht="57" customHeight="1">
      <c r="A30" s="10">
        <v>24</v>
      </c>
      <c r="B30" s="10">
        <f>SISWA!B29</f>
        <v>0</v>
      </c>
      <c r="C30" s="17" t="str">
        <f>SISWA!C29</f>
        <v>Anak 24</v>
      </c>
      <c r="D30" s="4"/>
      <c r="E30" s="11" t="s">
        <v>144</v>
      </c>
      <c r="F30" s="11" t="s">
        <v>149</v>
      </c>
      <c r="G30" s="11"/>
      <c r="H30" s="11"/>
      <c r="I30" s="751" t="str">
        <f>CONCATENATE(ABS!AB28," hari")</f>
        <v>0 hari</v>
      </c>
      <c r="J30" s="751" t="str">
        <f>CONCATENATE(ABS!AC28," hari")</f>
        <v>0 hari</v>
      </c>
      <c r="K30" s="751" t="str">
        <f>CONCATENATE(ABS!AD28," hari")</f>
        <v>0 hari</v>
      </c>
      <c r="L30" s="23" t="s">
        <v>83</v>
      </c>
      <c r="M30" s="2" t="s">
        <v>119</v>
      </c>
      <c r="N30" s="2" t="s">
        <v>152</v>
      </c>
      <c r="O30" s="2" t="s">
        <v>119</v>
      </c>
      <c r="P30" s="2" t="s">
        <v>152</v>
      </c>
      <c r="Q30" s="3" t="s">
        <v>86</v>
      </c>
      <c r="R30" s="3" t="s">
        <v>86</v>
      </c>
      <c r="S30" s="3" t="s">
        <v>151</v>
      </c>
      <c r="T30" s="2"/>
      <c r="U30" s="2"/>
      <c r="V30" s="2"/>
      <c r="W30" s="2"/>
      <c r="X30" s="619"/>
      <c r="Y30" s="619"/>
    </row>
    <row r="31" spans="1:25" ht="57" customHeight="1">
      <c r="A31" s="10">
        <v>25</v>
      </c>
      <c r="B31" s="10">
        <f>SISWA!B30</f>
        <v>0</v>
      </c>
      <c r="C31" s="17" t="str">
        <f>SISWA!C30</f>
        <v>Anak 25</v>
      </c>
      <c r="D31" s="4"/>
      <c r="E31" s="11" t="s">
        <v>92</v>
      </c>
      <c r="F31" s="11" t="s">
        <v>82</v>
      </c>
      <c r="G31" s="11"/>
      <c r="H31" s="11"/>
      <c r="I31" s="751" t="str">
        <f>CONCATENATE(ABS!AB29," hari")</f>
        <v>0 hari</v>
      </c>
      <c r="J31" s="751" t="str">
        <f>CONCATENATE(ABS!AC29," hari")</f>
        <v>0 hari</v>
      </c>
      <c r="K31" s="751" t="str">
        <f>CONCATENATE(ABS!AD29," hari")</f>
        <v>0 hari</v>
      </c>
      <c r="L31" s="23" t="s">
        <v>83</v>
      </c>
      <c r="M31" s="2" t="s">
        <v>153</v>
      </c>
      <c r="N31" s="2" t="s">
        <v>154</v>
      </c>
      <c r="O31" s="2" t="s">
        <v>153</v>
      </c>
      <c r="P31" s="2" t="s">
        <v>154</v>
      </c>
      <c r="Q31" s="3" t="s">
        <v>86</v>
      </c>
      <c r="R31" s="3" t="s">
        <v>86</v>
      </c>
      <c r="S31" s="3" t="s">
        <v>87</v>
      </c>
      <c r="T31" s="2"/>
      <c r="U31" s="2"/>
      <c r="V31" s="2"/>
      <c r="W31" s="2"/>
      <c r="X31" s="619"/>
      <c r="Y31" s="619"/>
    </row>
    <row r="32" spans="1:25" ht="57" customHeight="1">
      <c r="A32" s="10">
        <v>26</v>
      </c>
      <c r="B32" s="10">
        <f>SISWA!B31</f>
        <v>0</v>
      </c>
      <c r="C32" s="17" t="str">
        <f>SISWA!C31</f>
        <v>Anak 26</v>
      </c>
      <c r="D32" s="4"/>
      <c r="E32" s="11" t="s">
        <v>155</v>
      </c>
      <c r="F32" s="11" t="s">
        <v>149</v>
      </c>
      <c r="G32" s="11"/>
      <c r="H32" s="11"/>
      <c r="I32" s="751" t="str">
        <f>CONCATENATE(ABS!AB30," hari")</f>
        <v>0 hari</v>
      </c>
      <c r="J32" s="751" t="str">
        <f>CONCATENATE(ABS!AC30," hari")</f>
        <v>0 hari</v>
      </c>
      <c r="K32" s="751" t="str">
        <f>CONCATENATE(ABS!AD30," hari")</f>
        <v>0 hari</v>
      </c>
      <c r="L32" s="23" t="s">
        <v>83</v>
      </c>
      <c r="M32" s="2" t="s">
        <v>156</v>
      </c>
      <c r="N32" s="2" t="s">
        <v>157</v>
      </c>
      <c r="O32" s="2" t="s">
        <v>156</v>
      </c>
      <c r="P32" s="2" t="s">
        <v>157</v>
      </c>
      <c r="Q32" s="3" t="s">
        <v>86</v>
      </c>
      <c r="R32" s="3" t="s">
        <v>86</v>
      </c>
      <c r="S32" s="3" t="s">
        <v>158</v>
      </c>
      <c r="T32" s="3" t="s">
        <v>110</v>
      </c>
      <c r="U32" s="3" t="s">
        <v>159</v>
      </c>
      <c r="V32" s="2"/>
      <c r="W32" s="2"/>
      <c r="X32" s="619"/>
      <c r="Y32" s="619"/>
    </row>
    <row r="33" spans="1:25" ht="57" customHeight="1">
      <c r="A33" s="10">
        <v>27</v>
      </c>
      <c r="B33" s="10">
        <f>SISWA!B32</f>
        <v>0</v>
      </c>
      <c r="C33" s="17" t="str">
        <f>SISWA!C32</f>
        <v>Anak 27</v>
      </c>
      <c r="D33" s="4"/>
      <c r="E33" s="11" t="s">
        <v>92</v>
      </c>
      <c r="F33" s="11" t="s">
        <v>82</v>
      </c>
      <c r="G33" s="11"/>
      <c r="H33" s="11"/>
      <c r="I33" s="751" t="str">
        <f>CONCATENATE(ABS!AB31," hari")</f>
        <v>0 hari</v>
      </c>
      <c r="J33" s="751" t="str">
        <f>CONCATENATE(ABS!AC31," hari")</f>
        <v>0 hari</v>
      </c>
      <c r="K33" s="751" t="str">
        <f>CONCATENATE(ABS!AD31," hari")</f>
        <v>0 hari</v>
      </c>
      <c r="L33" s="23" t="s">
        <v>83</v>
      </c>
      <c r="M33" s="2" t="s">
        <v>113</v>
      </c>
      <c r="N33" s="2" t="s">
        <v>154</v>
      </c>
      <c r="O33" s="2" t="s">
        <v>113</v>
      </c>
      <c r="P33" s="2" t="s">
        <v>154</v>
      </c>
      <c r="Q33" s="3" t="s">
        <v>86</v>
      </c>
      <c r="R33" s="3" t="s">
        <v>86</v>
      </c>
      <c r="S33" s="3" t="s">
        <v>87</v>
      </c>
      <c r="T33" s="2"/>
      <c r="U33" s="2"/>
      <c r="V33" s="2"/>
      <c r="W33" s="2"/>
      <c r="X33" s="619"/>
      <c r="Y33" s="619"/>
    </row>
    <row r="34" spans="1:25" ht="57" customHeight="1">
      <c r="A34" s="10">
        <v>28</v>
      </c>
      <c r="B34" s="10">
        <f>SISWA!B33</f>
        <v>0</v>
      </c>
      <c r="C34" s="17" t="str">
        <f>SISWA!C33</f>
        <v>Anak 28</v>
      </c>
      <c r="D34" s="4"/>
      <c r="E34" s="11" t="s">
        <v>155</v>
      </c>
      <c r="F34" s="11" t="s">
        <v>160</v>
      </c>
      <c r="G34" s="11"/>
      <c r="H34" s="11"/>
      <c r="I34" s="751" t="str">
        <f>CONCATENATE(ABS!AB32," hari")</f>
        <v>0 hari</v>
      </c>
      <c r="J34" s="751" t="str">
        <f>CONCATENATE(ABS!AC32," hari")</f>
        <v>0 hari</v>
      </c>
      <c r="K34" s="751" t="str">
        <f>CONCATENATE(ABS!AD32," hari")</f>
        <v>0 hari</v>
      </c>
      <c r="L34" s="23" t="s">
        <v>83</v>
      </c>
      <c r="M34" s="2" t="s">
        <v>113</v>
      </c>
      <c r="N34" s="2" t="s">
        <v>161</v>
      </c>
      <c r="O34" s="2" t="s">
        <v>113</v>
      </c>
      <c r="P34" s="2" t="s">
        <v>161</v>
      </c>
      <c r="Q34" s="3" t="s">
        <v>86</v>
      </c>
      <c r="R34" s="3" t="s">
        <v>86</v>
      </c>
      <c r="S34" s="3" t="s">
        <v>162</v>
      </c>
      <c r="T34" s="2"/>
      <c r="U34" s="2"/>
      <c r="V34" s="2"/>
      <c r="W34" s="2"/>
      <c r="X34" s="619"/>
      <c r="Y34" s="619"/>
    </row>
    <row r="35" spans="1:25" ht="57" customHeight="1">
      <c r="A35" s="10">
        <v>29</v>
      </c>
      <c r="B35" s="10">
        <f>SISWA!B34</f>
        <v>0</v>
      </c>
      <c r="C35" s="17" t="str">
        <f>SISWA!C34</f>
        <v>Anak 29</v>
      </c>
      <c r="D35" s="4"/>
      <c r="E35" s="11" t="s">
        <v>81</v>
      </c>
      <c r="F35" s="11" t="s">
        <v>82</v>
      </c>
      <c r="G35" s="11"/>
      <c r="H35" s="11"/>
      <c r="I35" s="751" t="str">
        <f>CONCATENATE(ABS!AB33," hari")</f>
        <v>0 hari</v>
      </c>
      <c r="J35" s="751" t="str">
        <f>CONCATENATE(ABS!AC33," hari")</f>
        <v>0 hari</v>
      </c>
      <c r="K35" s="751" t="str">
        <f>CONCATENATE(ABS!AD33," hari")</f>
        <v>0 hari</v>
      </c>
      <c r="L35" s="23" t="s">
        <v>83</v>
      </c>
      <c r="M35" s="2" t="s">
        <v>116</v>
      </c>
      <c r="N35" s="2" t="s">
        <v>152</v>
      </c>
      <c r="O35" s="2" t="s">
        <v>116</v>
      </c>
      <c r="P35" s="2" t="s">
        <v>152</v>
      </c>
      <c r="Q35" s="3" t="s">
        <v>86</v>
      </c>
      <c r="R35" s="3" t="s">
        <v>86</v>
      </c>
      <c r="S35" s="22" t="s">
        <v>87</v>
      </c>
      <c r="T35" s="2" t="s">
        <v>81</v>
      </c>
      <c r="U35" s="3" t="s">
        <v>88</v>
      </c>
      <c r="V35" s="2"/>
      <c r="W35" s="2"/>
      <c r="X35" s="619"/>
      <c r="Y35" s="619"/>
    </row>
    <row r="36" spans="1:25" ht="57" customHeight="1">
      <c r="A36" s="10">
        <v>30</v>
      </c>
      <c r="B36" s="10">
        <f>SISWA!B35</f>
        <v>0</v>
      </c>
      <c r="C36" s="17" t="str">
        <f>SISWA!C35</f>
        <v>Anak 30</v>
      </c>
      <c r="D36" s="4"/>
      <c r="E36" s="11" t="s">
        <v>81</v>
      </c>
      <c r="F36" s="11" t="s">
        <v>82</v>
      </c>
      <c r="G36" s="11"/>
      <c r="H36" s="11"/>
      <c r="I36" s="751" t="str">
        <f>CONCATENATE(ABS!AB34," hari")</f>
        <v>0 hari</v>
      </c>
      <c r="J36" s="751" t="str">
        <f>CONCATENATE(ABS!AC34," hari")</f>
        <v>0 hari</v>
      </c>
      <c r="K36" s="751" t="str">
        <f>CONCATENATE(ABS!AD34," hari")</f>
        <v>0 hari</v>
      </c>
      <c r="L36" s="23" t="s">
        <v>128</v>
      </c>
      <c r="M36" s="2" t="s">
        <v>131</v>
      </c>
      <c r="N36" s="2" t="s">
        <v>98</v>
      </c>
      <c r="O36" s="2" t="s">
        <v>131</v>
      </c>
      <c r="P36" s="2" t="s">
        <v>98</v>
      </c>
      <c r="Q36" s="3" t="s">
        <v>86</v>
      </c>
      <c r="R36" s="3" t="s">
        <v>86</v>
      </c>
      <c r="S36" s="3" t="s">
        <v>163</v>
      </c>
      <c r="T36" s="2" t="s">
        <v>81</v>
      </c>
      <c r="U36" s="3" t="s">
        <v>88</v>
      </c>
      <c r="V36" s="2"/>
      <c r="W36" s="2"/>
      <c r="X36" s="619"/>
      <c r="Y36" s="619"/>
    </row>
    <row r="37" spans="1:25" ht="57" customHeight="1">
      <c r="A37" s="10">
        <v>31</v>
      </c>
      <c r="B37" s="10">
        <f>SISWA!B36</f>
        <v>0</v>
      </c>
      <c r="C37" s="17" t="str">
        <f>SISWA!C36</f>
        <v>Anak 31</v>
      </c>
      <c r="D37" s="11"/>
      <c r="E37" s="11"/>
      <c r="F37" s="11"/>
      <c r="G37" s="11"/>
      <c r="H37" s="11"/>
      <c r="I37" s="751" t="str">
        <f>CONCATENATE(ABS!AB35," hari")</f>
        <v>0 hari</v>
      </c>
      <c r="J37" s="751" t="str">
        <f>CONCATENATE(ABS!AC35," hari")</f>
        <v>0 hari</v>
      </c>
      <c r="K37" s="751" t="str">
        <f>CONCATENATE(ABS!AD35," hari")</f>
        <v>0 hari</v>
      </c>
      <c r="L37" s="23"/>
      <c r="M37" s="2"/>
      <c r="N37" s="2"/>
      <c r="O37" s="2"/>
      <c r="P37" s="2"/>
      <c r="Q37" s="3"/>
      <c r="R37" s="2"/>
      <c r="S37" s="2"/>
      <c r="T37" s="2"/>
      <c r="U37" s="2"/>
      <c r="V37" s="2"/>
      <c r="W37" s="2"/>
      <c r="X37" s="619"/>
      <c r="Y37" s="619"/>
    </row>
    <row r="38" spans="1:25" ht="57" customHeight="1">
      <c r="A38" s="10">
        <v>32</v>
      </c>
      <c r="B38" s="10">
        <f>SISWA!B37</f>
        <v>0</v>
      </c>
      <c r="C38" s="17" t="str">
        <f>SISWA!C37</f>
        <v>Anak 32</v>
      </c>
      <c r="D38" s="11"/>
      <c r="E38" s="11"/>
      <c r="F38" s="11"/>
      <c r="G38" s="11"/>
      <c r="H38" s="11"/>
      <c r="I38" s="751" t="str">
        <f>CONCATENATE(ABS!AB36," hari")</f>
        <v>0 hari</v>
      </c>
      <c r="J38" s="751" t="str">
        <f>CONCATENATE(ABS!AC36," hari")</f>
        <v>0 hari</v>
      </c>
      <c r="K38" s="751" t="str">
        <f>CONCATENATE(ABS!AD36," hari")</f>
        <v>0 hari</v>
      </c>
      <c r="L38" s="9"/>
      <c r="M38" s="2"/>
      <c r="N38" s="2"/>
      <c r="O38" s="2"/>
      <c r="P38" s="2"/>
      <c r="Q38" s="2"/>
      <c r="R38" s="2"/>
      <c r="S38" s="2"/>
      <c r="T38" s="2"/>
      <c r="U38" s="2"/>
      <c r="V38" s="2"/>
      <c r="W38" s="2"/>
      <c r="X38" s="619"/>
      <c r="Y38" s="619"/>
    </row>
    <row r="39" spans="1:25" ht="57" customHeight="1">
      <c r="A39" s="10">
        <v>33</v>
      </c>
      <c r="B39" s="10">
        <f>SISWA!B38</f>
        <v>0</v>
      </c>
      <c r="C39" s="17" t="str">
        <f>SISWA!C38</f>
        <v>Anak 33</v>
      </c>
      <c r="D39" s="11"/>
      <c r="E39" s="11"/>
      <c r="F39" s="11"/>
      <c r="G39" s="11"/>
      <c r="H39" s="11"/>
      <c r="I39" s="751" t="str">
        <f>CONCATENATE(ABS!AB37," hari")</f>
        <v>0 hari</v>
      </c>
      <c r="J39" s="751" t="str">
        <f>CONCATENATE(ABS!AC37," hari")</f>
        <v>0 hari</v>
      </c>
      <c r="K39" s="751" t="str">
        <f>CONCATENATE(ABS!AD37," hari")</f>
        <v>0 hari</v>
      </c>
      <c r="L39" s="9"/>
      <c r="M39" s="2"/>
      <c r="N39" s="2"/>
      <c r="O39" s="2"/>
      <c r="P39" s="2"/>
      <c r="Q39" s="2"/>
      <c r="R39" s="2"/>
      <c r="S39" s="2"/>
      <c r="T39" s="2"/>
      <c r="U39" s="2"/>
      <c r="V39" s="2"/>
      <c r="W39" s="2"/>
      <c r="X39" s="619"/>
      <c r="Y39" s="619"/>
    </row>
    <row r="40" spans="1:25" ht="57" customHeight="1">
      <c r="A40" s="10">
        <v>34</v>
      </c>
      <c r="B40" s="10">
        <f>SISWA!B39</f>
        <v>0</v>
      </c>
      <c r="C40" s="17" t="str">
        <f>SISWA!C39</f>
        <v>Anak 34</v>
      </c>
      <c r="D40" s="11"/>
      <c r="E40" s="11"/>
      <c r="F40" s="11"/>
      <c r="G40" s="11"/>
      <c r="H40" s="11"/>
      <c r="I40" s="751" t="str">
        <f>CONCATENATE(ABS!AB38," hari")</f>
        <v>0 hari</v>
      </c>
      <c r="J40" s="751" t="str">
        <f>CONCATENATE(ABS!AC38," hari")</f>
        <v>0 hari</v>
      </c>
      <c r="K40" s="751" t="str">
        <f>CONCATENATE(ABS!AD38," hari")</f>
        <v>0 hari</v>
      </c>
      <c r="L40" s="9"/>
      <c r="M40" s="2"/>
      <c r="N40" s="2"/>
      <c r="O40" s="2"/>
      <c r="P40" s="2"/>
      <c r="Q40" s="2"/>
      <c r="R40" s="2"/>
      <c r="S40" s="2"/>
      <c r="T40" s="2"/>
      <c r="U40" s="2"/>
      <c r="V40" s="2"/>
      <c r="W40" s="2"/>
      <c r="X40" s="619"/>
      <c r="Y40" s="619"/>
    </row>
    <row r="41" spans="1:25" ht="57" customHeight="1">
      <c r="A41" s="10">
        <v>35</v>
      </c>
      <c r="B41" s="10">
        <f>SISWA!B40</f>
        <v>0</v>
      </c>
      <c r="C41" s="17" t="str">
        <f>SISWA!C40</f>
        <v>Anak 35</v>
      </c>
      <c r="D41" s="11"/>
      <c r="E41" s="11"/>
      <c r="F41" s="11"/>
      <c r="G41" s="11"/>
      <c r="H41" s="11"/>
      <c r="I41" s="751" t="str">
        <f>CONCATENATE(ABS!AB39," hari")</f>
        <v>0 hari</v>
      </c>
      <c r="J41" s="751" t="str">
        <f>CONCATENATE(ABS!AC39," hari")</f>
        <v>0 hari</v>
      </c>
      <c r="K41" s="751" t="str">
        <f>CONCATENATE(ABS!AD39," hari")</f>
        <v>0 hari</v>
      </c>
      <c r="L41" s="9"/>
      <c r="M41" s="2"/>
      <c r="N41" s="2"/>
      <c r="O41" s="2"/>
      <c r="P41" s="2"/>
      <c r="Q41" s="2"/>
      <c r="R41" s="2"/>
      <c r="S41" s="2"/>
      <c r="T41" s="2"/>
      <c r="U41" s="2"/>
      <c r="V41" s="2"/>
      <c r="W41" s="2"/>
      <c r="X41" s="619"/>
      <c r="Y41" s="619"/>
    </row>
    <row r="42" spans="1:25" ht="57" customHeight="1">
      <c r="A42" s="10">
        <v>36</v>
      </c>
      <c r="B42" s="10">
        <f>SISWA!B41</f>
        <v>0</v>
      </c>
      <c r="C42" s="17" t="str">
        <f>SISWA!C41</f>
        <v>Anak 36</v>
      </c>
      <c r="D42" s="11"/>
      <c r="E42" s="11"/>
      <c r="F42" s="11"/>
      <c r="G42" s="11"/>
      <c r="H42" s="11"/>
      <c r="I42" s="751" t="str">
        <f>CONCATENATE(ABS!AB40," hari")</f>
        <v>0 hari</v>
      </c>
      <c r="J42" s="751" t="str">
        <f>CONCATENATE(ABS!AC40," hari")</f>
        <v>0 hari</v>
      </c>
      <c r="K42" s="751" t="str">
        <f>CONCATENATE(ABS!AD40," hari")</f>
        <v>0 hari</v>
      </c>
      <c r="L42" s="9"/>
      <c r="M42" s="2"/>
      <c r="N42" s="2"/>
      <c r="O42" s="2"/>
      <c r="P42" s="2"/>
      <c r="Q42" s="2"/>
      <c r="R42" s="2"/>
      <c r="S42" s="2"/>
      <c r="T42" s="2"/>
      <c r="U42" s="2"/>
      <c r="V42" s="2"/>
      <c r="W42" s="2"/>
      <c r="X42" s="619"/>
      <c r="Y42" s="619"/>
    </row>
    <row r="43" spans="1:25" ht="57" customHeight="1">
      <c r="A43" s="10">
        <v>37</v>
      </c>
      <c r="B43" s="10">
        <f>SISWA!B42</f>
        <v>0</v>
      </c>
      <c r="C43" s="17" t="str">
        <f>SISWA!C42</f>
        <v>Anak 37</v>
      </c>
      <c r="D43" s="11"/>
      <c r="E43" s="11"/>
      <c r="F43" s="11"/>
      <c r="G43" s="11"/>
      <c r="H43" s="11"/>
      <c r="I43" s="751" t="str">
        <f>CONCATENATE(ABS!AB41," hari")</f>
        <v>0 hari</v>
      </c>
      <c r="J43" s="751" t="str">
        <f>CONCATENATE(ABS!AC41," hari")</f>
        <v>0 hari</v>
      </c>
      <c r="K43" s="751" t="str">
        <f>CONCATENATE(ABS!AD41," hari")</f>
        <v>0 hari</v>
      </c>
      <c r="L43" s="9"/>
      <c r="M43" s="2"/>
      <c r="N43" s="2"/>
      <c r="O43" s="2"/>
      <c r="P43" s="2"/>
      <c r="Q43" s="2"/>
      <c r="R43" s="2"/>
      <c r="S43" s="2"/>
      <c r="T43" s="2"/>
      <c r="U43" s="2"/>
      <c r="V43" s="2"/>
      <c r="W43" s="2"/>
      <c r="X43" s="619"/>
      <c r="Y43" s="619"/>
    </row>
    <row r="44" spans="1:25" ht="57" customHeight="1">
      <c r="A44" s="10">
        <v>38</v>
      </c>
      <c r="B44" s="10">
        <f>SISWA!B43</f>
        <v>0</v>
      </c>
      <c r="C44" s="17" t="str">
        <f>SISWA!C43</f>
        <v>Anak 38</v>
      </c>
      <c r="D44" s="11"/>
      <c r="E44" s="11"/>
      <c r="F44" s="11"/>
      <c r="G44" s="11"/>
      <c r="H44" s="11"/>
      <c r="I44" s="751" t="str">
        <f>CONCATENATE(ABS!AB42," hari")</f>
        <v>0 hari</v>
      </c>
      <c r="J44" s="751" t="str">
        <f>CONCATENATE(ABS!AC42," hari")</f>
        <v>0 hari</v>
      </c>
      <c r="K44" s="751" t="str">
        <f>CONCATENATE(ABS!AD42," hari")</f>
        <v>0 hari</v>
      </c>
      <c r="L44" s="9"/>
      <c r="M44" s="2"/>
      <c r="N44" s="2"/>
      <c r="O44" s="2"/>
      <c r="P44" s="2"/>
      <c r="Q44" s="2"/>
      <c r="R44" s="2"/>
      <c r="S44" s="2"/>
      <c r="T44" s="2"/>
      <c r="U44" s="2"/>
      <c r="V44" s="2"/>
      <c r="W44" s="2"/>
      <c r="X44" s="619"/>
      <c r="Y44" s="619"/>
    </row>
    <row r="45" spans="1:25" ht="57" customHeight="1">
      <c r="A45" s="10">
        <v>39</v>
      </c>
      <c r="B45" s="10">
        <f>SISWA!B44</f>
        <v>0</v>
      </c>
      <c r="C45" s="17" t="str">
        <f>SISWA!C44</f>
        <v>Anak 39</v>
      </c>
      <c r="D45" s="11"/>
      <c r="E45" s="11"/>
      <c r="F45" s="11"/>
      <c r="G45" s="11"/>
      <c r="H45" s="11"/>
      <c r="I45" s="751" t="str">
        <f>CONCATENATE(ABS!AB43," hari")</f>
        <v>0 hari</v>
      </c>
      <c r="J45" s="751" t="str">
        <f>CONCATENATE(ABS!AC43," hari")</f>
        <v>0 hari</v>
      </c>
      <c r="K45" s="751" t="str">
        <f>CONCATENATE(ABS!AD43," hari")</f>
        <v>0 hari</v>
      </c>
      <c r="L45" s="9"/>
      <c r="M45" s="9"/>
      <c r="N45" s="9"/>
      <c r="O45" s="9"/>
      <c r="P45" s="9"/>
      <c r="Q45" s="9"/>
      <c r="R45" s="9"/>
      <c r="S45" s="9"/>
      <c r="T45" s="9"/>
      <c r="U45" s="9"/>
      <c r="V45" s="9"/>
      <c r="W45" s="9"/>
      <c r="X45" s="619"/>
      <c r="Y45" s="619"/>
    </row>
    <row r="46" spans="1:25" ht="57" customHeight="1">
      <c r="A46" s="10">
        <v>40</v>
      </c>
      <c r="B46" s="10">
        <f>SISWA!B45</f>
        <v>0</v>
      </c>
      <c r="C46" s="17" t="str">
        <f>SISWA!C45</f>
        <v>Anak 40</v>
      </c>
      <c r="D46" s="11"/>
      <c r="E46" s="11"/>
      <c r="F46" s="11"/>
      <c r="G46" s="11"/>
      <c r="H46" s="11"/>
      <c r="I46" s="751" t="str">
        <f>CONCATENATE(ABS!AB44," hari")</f>
        <v>0 hari</v>
      </c>
      <c r="J46" s="751" t="str">
        <f>CONCATENATE(ABS!AC44," hari")</f>
        <v>0 hari</v>
      </c>
      <c r="K46" s="751" t="str">
        <f>CONCATENATE(ABS!AD44," hari")</f>
        <v>0 hari</v>
      </c>
      <c r="L46" s="9"/>
      <c r="M46" s="9"/>
      <c r="N46" s="9"/>
      <c r="O46" s="9"/>
      <c r="P46" s="9"/>
      <c r="Q46" s="9"/>
      <c r="R46" s="9"/>
      <c r="S46" s="9"/>
      <c r="T46" s="9"/>
      <c r="U46" s="9"/>
      <c r="V46" s="9"/>
      <c r="W46" s="9"/>
      <c r="X46" s="619"/>
      <c r="Y46" s="619"/>
    </row>
    <row r="47" spans="1:25" ht="57" customHeight="1">
      <c r="A47" s="10">
        <v>41</v>
      </c>
      <c r="B47" s="10">
        <f>SISWA!B46</f>
        <v>0</v>
      </c>
      <c r="C47" s="17" t="str">
        <f>SISWA!C46</f>
        <v>Anak 41</v>
      </c>
      <c r="D47" s="11"/>
      <c r="E47" s="11"/>
      <c r="F47" s="11"/>
      <c r="G47" s="11"/>
      <c r="H47" s="11"/>
      <c r="I47" s="751" t="str">
        <f>CONCATENATE(ABS!AB45," hari")</f>
        <v>0 hari</v>
      </c>
      <c r="J47" s="751" t="str">
        <f>CONCATENATE(ABS!AC45," hari")</f>
        <v>0 hari</v>
      </c>
      <c r="K47" s="751" t="str">
        <f>CONCATENATE(ABS!AD45," hari")</f>
        <v>0 hari</v>
      </c>
      <c r="L47" s="9"/>
      <c r="M47" s="9"/>
      <c r="N47" s="9"/>
      <c r="O47" s="9"/>
      <c r="P47" s="9"/>
      <c r="Q47" s="9"/>
      <c r="R47" s="9"/>
      <c r="S47" s="9"/>
      <c r="T47" s="9"/>
      <c r="U47" s="9"/>
      <c r="V47" s="9"/>
      <c r="W47" s="9"/>
      <c r="X47" s="619"/>
      <c r="Y47" s="619"/>
    </row>
    <row r="48" spans="1:25" ht="57" customHeight="1">
      <c r="A48" s="10">
        <v>42</v>
      </c>
      <c r="B48" s="10">
        <f>SISWA!B47</f>
        <v>0</v>
      </c>
      <c r="C48" s="17" t="str">
        <f>SISWA!C47</f>
        <v>Anak 42</v>
      </c>
      <c r="D48" s="11"/>
      <c r="E48" s="11"/>
      <c r="F48" s="11"/>
      <c r="G48" s="11"/>
      <c r="H48" s="11"/>
      <c r="I48" s="751" t="str">
        <f>CONCATENATE(ABS!AB46," hari")</f>
        <v>0 hari</v>
      </c>
      <c r="J48" s="751" t="str">
        <f>CONCATENATE(ABS!AC46," hari")</f>
        <v>0 hari</v>
      </c>
      <c r="K48" s="751" t="str">
        <f>CONCATENATE(ABS!AD46," hari")</f>
        <v>0 hari</v>
      </c>
      <c r="L48" s="9"/>
      <c r="M48" s="9"/>
      <c r="N48" s="9"/>
      <c r="O48" s="9"/>
      <c r="P48" s="9"/>
      <c r="Q48" s="9"/>
      <c r="R48" s="9"/>
      <c r="S48" s="9"/>
      <c r="T48" s="9"/>
      <c r="U48" s="9"/>
      <c r="V48" s="9"/>
      <c r="W48" s="9"/>
      <c r="X48" s="619"/>
      <c r="Y48" s="619"/>
    </row>
    <row r="49" spans="1:25" ht="57" customHeight="1">
      <c r="A49" s="10">
        <v>43</v>
      </c>
      <c r="B49" s="10">
        <f>SISWA!B48</f>
        <v>0</v>
      </c>
      <c r="C49" s="17" t="str">
        <f>SISWA!C48</f>
        <v>Anak 43</v>
      </c>
      <c r="D49" s="11"/>
      <c r="E49" s="11"/>
      <c r="F49" s="11"/>
      <c r="G49" s="11"/>
      <c r="H49" s="11"/>
      <c r="I49" s="751" t="str">
        <f>CONCATENATE(ABS!AB47," hari")</f>
        <v>0 hari</v>
      </c>
      <c r="J49" s="751" t="str">
        <f>CONCATENATE(ABS!AC47," hari")</f>
        <v>0 hari</v>
      </c>
      <c r="K49" s="751" t="str">
        <f>CONCATENATE(ABS!AD47," hari")</f>
        <v>0 hari</v>
      </c>
      <c r="L49" s="9"/>
      <c r="M49" s="9"/>
      <c r="N49" s="9"/>
      <c r="O49" s="9"/>
      <c r="P49" s="9"/>
      <c r="Q49" s="9"/>
      <c r="R49" s="9"/>
      <c r="S49" s="9"/>
      <c r="T49" s="9"/>
      <c r="U49" s="9"/>
      <c r="V49" s="9"/>
      <c r="W49" s="9"/>
      <c r="X49" s="619"/>
      <c r="Y49" s="619"/>
    </row>
    <row r="50" spans="1:25" ht="57" customHeight="1">
      <c r="A50" s="10">
        <v>44</v>
      </c>
      <c r="B50" s="10">
        <f>SISWA!B49</f>
        <v>0</v>
      </c>
      <c r="C50" s="17" t="str">
        <f>SISWA!C49</f>
        <v>Anak 44</v>
      </c>
      <c r="D50" s="11"/>
      <c r="E50" s="11"/>
      <c r="F50" s="11"/>
      <c r="G50" s="11"/>
      <c r="H50" s="11"/>
      <c r="I50" s="751" t="str">
        <f>CONCATENATE(ABS!AB48," hari")</f>
        <v>0 hari</v>
      </c>
      <c r="J50" s="751" t="str">
        <f>CONCATENATE(ABS!AC48," hari")</f>
        <v>0 hari</v>
      </c>
      <c r="K50" s="751" t="str">
        <f>CONCATENATE(ABS!AD48," hari")</f>
        <v>0 hari</v>
      </c>
      <c r="L50" s="9"/>
      <c r="M50" s="9"/>
      <c r="N50" s="9"/>
      <c r="O50" s="9"/>
      <c r="P50" s="9"/>
      <c r="Q50" s="9"/>
      <c r="R50" s="9"/>
      <c r="S50" s="9"/>
      <c r="T50" s="9"/>
      <c r="U50" s="9"/>
      <c r="V50" s="9"/>
      <c r="W50" s="9"/>
      <c r="X50" s="619"/>
      <c r="Y50" s="619"/>
    </row>
    <row r="51" spans="1:25" ht="57" customHeight="1">
      <c r="A51" s="10">
        <v>45</v>
      </c>
      <c r="B51" s="10">
        <f>SISWA!B50</f>
        <v>0</v>
      </c>
      <c r="C51" s="17" t="str">
        <f>SISWA!C50</f>
        <v>Anak 45</v>
      </c>
      <c r="D51" s="11"/>
      <c r="E51" s="11"/>
      <c r="F51" s="11"/>
      <c r="G51" s="11"/>
      <c r="H51" s="11"/>
      <c r="I51" s="751" t="str">
        <f>CONCATENATE(ABS!AB49," hari")</f>
        <v>0 hari</v>
      </c>
      <c r="J51" s="751" t="str">
        <f>CONCATENATE(ABS!AC49," hari")</f>
        <v>0 hari</v>
      </c>
      <c r="K51" s="751" t="str">
        <f>CONCATENATE(ABS!AD49," hari")</f>
        <v>0 hari</v>
      </c>
      <c r="L51" s="9"/>
      <c r="M51" s="9"/>
      <c r="N51" s="9"/>
      <c r="O51" s="9"/>
      <c r="P51" s="9"/>
      <c r="Q51" s="9"/>
      <c r="R51" s="9"/>
      <c r="S51" s="9"/>
      <c r="T51" s="9"/>
      <c r="U51" s="9"/>
      <c r="V51" s="9"/>
      <c r="W51" s="9"/>
      <c r="X51" s="619"/>
      <c r="Y51" s="619"/>
    </row>
    <row r="52" spans="1:25" ht="57" customHeight="1">
      <c r="A52" s="10">
        <v>46</v>
      </c>
      <c r="B52" s="10">
        <f>SISWA!B51</f>
        <v>0</v>
      </c>
      <c r="C52" s="17" t="str">
        <f>SISWA!C51</f>
        <v>Anak 46</v>
      </c>
      <c r="D52" s="11"/>
      <c r="E52" s="11"/>
      <c r="F52" s="11"/>
      <c r="G52" s="11"/>
      <c r="H52" s="11"/>
      <c r="I52" s="751" t="str">
        <f>CONCATENATE(ABS!AB50," hari")</f>
        <v>0 hari</v>
      </c>
      <c r="J52" s="751" t="str">
        <f>CONCATENATE(ABS!AC50," hari")</f>
        <v>0 hari</v>
      </c>
      <c r="K52" s="751" t="str">
        <f>CONCATENATE(ABS!AD50," hari")</f>
        <v>0 hari</v>
      </c>
      <c r="L52" s="9"/>
      <c r="M52" s="9"/>
      <c r="N52" s="9"/>
      <c r="O52" s="9"/>
      <c r="P52" s="9"/>
      <c r="Q52" s="9"/>
      <c r="R52" s="9"/>
      <c r="S52" s="9"/>
      <c r="T52" s="9"/>
      <c r="U52" s="9"/>
      <c r="V52" s="9"/>
      <c r="W52" s="9"/>
      <c r="X52" s="619"/>
      <c r="Y52" s="619"/>
    </row>
    <row r="53" spans="1:25" ht="57" customHeight="1">
      <c r="A53" s="10">
        <v>47</v>
      </c>
      <c r="B53" s="10">
        <f>SISWA!B52</f>
        <v>0</v>
      </c>
      <c r="C53" s="17" t="str">
        <f>SISWA!C52</f>
        <v>Anak 47</v>
      </c>
      <c r="D53" s="11"/>
      <c r="E53" s="11"/>
      <c r="F53" s="11"/>
      <c r="G53" s="11"/>
      <c r="H53" s="11"/>
      <c r="I53" s="751" t="str">
        <f>CONCATENATE(ABS!AB51," hari")</f>
        <v>0 hari</v>
      </c>
      <c r="J53" s="751" t="str">
        <f>CONCATENATE(ABS!AC51," hari")</f>
        <v>0 hari</v>
      </c>
      <c r="K53" s="751" t="str">
        <f>CONCATENATE(ABS!AD51," hari")</f>
        <v>0 hari</v>
      </c>
      <c r="L53" s="9"/>
      <c r="M53" s="9"/>
      <c r="N53" s="9"/>
      <c r="O53" s="9"/>
      <c r="P53" s="9"/>
      <c r="Q53" s="9"/>
      <c r="R53" s="9"/>
      <c r="S53" s="9"/>
      <c r="T53" s="9"/>
      <c r="U53" s="9"/>
      <c r="V53" s="9"/>
      <c r="W53" s="9"/>
      <c r="X53" s="619"/>
      <c r="Y53" s="619"/>
    </row>
    <row r="54" spans="1:25" ht="57" customHeight="1">
      <c r="A54" s="10">
        <v>48</v>
      </c>
      <c r="B54" s="10">
        <f>SISWA!B53</f>
        <v>0</v>
      </c>
      <c r="C54" s="17" t="str">
        <f>SISWA!C53</f>
        <v>Anak 48</v>
      </c>
      <c r="D54" s="11"/>
      <c r="E54" s="11"/>
      <c r="F54" s="11"/>
      <c r="G54" s="11"/>
      <c r="H54" s="11"/>
      <c r="I54" s="751" t="str">
        <f>CONCATENATE(ABS!AB52," hari")</f>
        <v>0 hari</v>
      </c>
      <c r="J54" s="751" t="str">
        <f>CONCATENATE(ABS!AC52," hari")</f>
        <v>0 hari</v>
      </c>
      <c r="K54" s="751" t="str">
        <f>CONCATENATE(ABS!AD52," hari")</f>
        <v>0 hari</v>
      </c>
      <c r="L54" s="9"/>
      <c r="M54" s="9"/>
      <c r="N54" s="9"/>
      <c r="O54" s="9"/>
      <c r="P54" s="9"/>
      <c r="Q54" s="9"/>
      <c r="R54" s="9"/>
      <c r="S54" s="9"/>
      <c r="T54" s="9"/>
      <c r="U54" s="9"/>
      <c r="V54" s="9"/>
      <c r="W54" s="9"/>
      <c r="X54" s="619"/>
      <c r="Y54" s="619"/>
    </row>
    <row r="55" spans="1:25" ht="57" customHeight="1">
      <c r="A55" s="10">
        <v>49</v>
      </c>
      <c r="B55" s="10">
        <f>SISWA!B54</f>
        <v>0</v>
      </c>
      <c r="C55" s="17" t="str">
        <f>SISWA!C54</f>
        <v>Anak 49</v>
      </c>
      <c r="D55" s="11"/>
      <c r="E55" s="11"/>
      <c r="F55" s="11"/>
      <c r="G55" s="11"/>
      <c r="H55" s="11"/>
      <c r="I55" s="751" t="str">
        <f>CONCATENATE(ABS!AB53," hari")</f>
        <v>0 hari</v>
      </c>
      <c r="J55" s="751" t="str">
        <f>CONCATENATE(ABS!AC53," hari")</f>
        <v>0 hari</v>
      </c>
      <c r="K55" s="751" t="str">
        <f>CONCATENATE(ABS!AD53," hari")</f>
        <v>0 hari</v>
      </c>
      <c r="L55" s="9"/>
      <c r="M55" s="9"/>
      <c r="N55" s="9"/>
      <c r="O55" s="9"/>
      <c r="P55" s="9"/>
      <c r="Q55" s="9"/>
      <c r="R55" s="9"/>
      <c r="S55" s="9"/>
      <c r="T55" s="9"/>
      <c r="U55" s="9"/>
      <c r="V55" s="9"/>
      <c r="W55" s="9"/>
      <c r="X55" s="619"/>
      <c r="Y55" s="619"/>
    </row>
    <row r="56" spans="1:25" ht="57" customHeight="1">
      <c r="A56" s="10">
        <v>50</v>
      </c>
      <c r="B56" s="10">
        <f>SISWA!B55</f>
        <v>0</v>
      </c>
      <c r="C56" s="17" t="str">
        <f>SISWA!C55</f>
        <v>Anak 50</v>
      </c>
      <c r="D56" s="11"/>
      <c r="E56" s="11"/>
      <c r="F56" s="11"/>
      <c r="G56" s="11"/>
      <c r="H56" s="11"/>
      <c r="I56" s="751" t="str">
        <f>CONCATENATE(ABS!AB54," hari")</f>
        <v>0 hari</v>
      </c>
      <c r="J56" s="751" t="str">
        <f>CONCATENATE(ABS!AC54," hari")</f>
        <v>0 hari</v>
      </c>
      <c r="K56" s="751" t="str">
        <f>CONCATENATE(ABS!AD54," hari")</f>
        <v>0 hari</v>
      </c>
      <c r="L56" s="9"/>
      <c r="M56" s="9"/>
      <c r="N56" s="9"/>
      <c r="O56" s="9"/>
      <c r="P56" s="9"/>
      <c r="Q56" s="9"/>
      <c r="R56" s="9"/>
      <c r="S56" s="9"/>
      <c r="T56" s="9"/>
      <c r="U56" s="9"/>
      <c r="V56" s="9"/>
      <c r="W56" s="9"/>
      <c r="X56" s="619"/>
      <c r="Y56" s="619"/>
    </row>
  </sheetData>
  <mergeCells count="16">
    <mergeCell ref="A1:AN1"/>
    <mergeCell ref="A3:A5"/>
    <mergeCell ref="B3:B5"/>
    <mergeCell ref="C3:C5"/>
    <mergeCell ref="L3:L5"/>
    <mergeCell ref="M3:P3"/>
    <mergeCell ref="M4:N4"/>
    <mergeCell ref="O4:P4"/>
    <mergeCell ref="I3:K4"/>
    <mergeCell ref="D3:H4"/>
    <mergeCell ref="Q3:S4"/>
    <mergeCell ref="T3:U4"/>
    <mergeCell ref="V3:W4"/>
    <mergeCell ref="E5:F5"/>
    <mergeCell ref="G5:H5"/>
    <mergeCell ref="X3:Y4"/>
  </mergeCells>
  <pageMargins left="0.7" right="0.7" top="0.75" bottom="0.75" header="0.3" footer="0.3"/>
  <pageSetup paperSize="256"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AK58"/>
  <sheetViews>
    <sheetView view="pageBreakPreview" zoomScale="60" zoomScaleNormal="25" workbookViewId="0"/>
  </sheetViews>
  <sheetFormatPr defaultColWidth="0" defaultRowHeight="15"/>
  <cols>
    <col min="1" max="1" width="13.85546875" style="24" customWidth="1"/>
    <col min="2" max="2" width="7.140625" style="24" customWidth="1"/>
    <col min="3" max="3" width="6.7109375" style="24" customWidth="1"/>
    <col min="4" max="4" width="17" style="24" customWidth="1"/>
    <col min="5" max="5" width="4.140625" style="24" customWidth="1"/>
    <col min="6" max="6" width="36.85546875" style="24" customWidth="1"/>
    <col min="7" max="7" width="9.140625" style="24" customWidth="1"/>
    <col min="8" max="8" width="27" style="24" customWidth="1"/>
    <col min="9" max="9" width="2.42578125" style="24" customWidth="1"/>
    <col min="10" max="10" width="9.7109375" style="24" customWidth="1"/>
    <col min="11" max="11" width="16.42578125" style="24" customWidth="1"/>
    <col min="12" max="12" width="2.7109375" style="24" customWidth="1"/>
    <col min="13" max="13" width="78.42578125" style="24" customWidth="1"/>
    <col min="14" max="16" width="9.140625" style="24" hidden="1" customWidth="1"/>
    <col min="17" max="24" width="0" style="24" hidden="1" customWidth="1"/>
    <col min="25" max="37" width="9.140625" style="24" hidden="1" customWidth="1"/>
    <col min="38" max="16384" width="0" style="24" hidden="1"/>
  </cols>
  <sheetData>
    <row r="1" spans="1:13" ht="44.25" customHeight="1" thickBot="1">
      <c r="M1" s="25"/>
    </row>
    <row r="2" spans="1:13" ht="18" customHeight="1">
      <c r="I2" s="26"/>
      <c r="J2" s="1267">
        <v>1</v>
      </c>
      <c r="K2" s="27"/>
      <c r="L2" s="27"/>
      <c r="M2" s="25"/>
    </row>
    <row r="3" spans="1:13" ht="18" customHeight="1">
      <c r="J3" s="1268"/>
      <c r="K3" s="27"/>
      <c r="L3" s="27"/>
      <c r="M3" s="25"/>
    </row>
    <row r="4" spans="1:13" ht="18" customHeight="1" thickBot="1">
      <c r="J4" s="1269"/>
      <c r="K4" s="27"/>
      <c r="L4" s="27"/>
    </row>
    <row r="5" spans="1:13" ht="18" customHeight="1">
      <c r="J5" s="28"/>
      <c r="K5" s="28"/>
      <c r="L5" s="28"/>
    </row>
    <row r="6" spans="1:13" ht="75.75" customHeight="1">
      <c r="J6" s="28"/>
      <c r="K6" s="28"/>
      <c r="L6" s="29"/>
      <c r="M6" s="30"/>
    </row>
    <row r="7" spans="1:13" ht="33" customHeight="1">
      <c r="M7" s="25"/>
    </row>
    <row r="8" spans="1:13">
      <c r="I8" s="31"/>
      <c r="J8" s="31"/>
      <c r="K8" s="31"/>
      <c r="L8" s="31"/>
      <c r="M8" s="25"/>
    </row>
    <row r="9" spans="1:13">
      <c r="A9" s="32"/>
      <c r="B9" s="32"/>
      <c r="C9" s="32"/>
      <c r="D9" s="32"/>
      <c r="E9" s="32"/>
      <c r="F9" s="32"/>
      <c r="G9" s="32"/>
      <c r="H9" s="32"/>
      <c r="I9" s="33"/>
      <c r="J9" s="33"/>
      <c r="K9" s="33"/>
      <c r="L9" s="33"/>
      <c r="M9" s="25"/>
    </row>
    <row r="10" spans="1:13" ht="61.5">
      <c r="A10" s="1270" t="s">
        <v>185</v>
      </c>
      <c r="B10" s="1270"/>
      <c r="C10" s="1270"/>
      <c r="D10" s="1270"/>
      <c r="E10" s="1270"/>
      <c r="F10" s="1270"/>
      <c r="G10" s="1270"/>
      <c r="H10" s="1270"/>
      <c r="I10" s="33"/>
      <c r="J10" s="33"/>
      <c r="K10" s="33"/>
      <c r="L10" s="33"/>
      <c r="M10" s="25"/>
    </row>
    <row r="11" spans="1:13" ht="31.5">
      <c r="A11" s="1266" t="s">
        <v>186</v>
      </c>
      <c r="B11" s="1266"/>
      <c r="C11" s="1266"/>
      <c r="D11" s="1266"/>
      <c r="E11" s="1266"/>
      <c r="F11" s="1266"/>
      <c r="G11" s="1266"/>
      <c r="H11" s="1266"/>
      <c r="I11" s="33"/>
      <c r="J11" s="33"/>
      <c r="K11" s="33"/>
      <c r="L11" s="33"/>
      <c r="M11" s="25"/>
    </row>
    <row r="12" spans="1:13" ht="33.75">
      <c r="A12" s="1271" t="s">
        <v>187</v>
      </c>
      <c r="B12" s="1271"/>
      <c r="C12" s="1271"/>
      <c r="D12" s="1271"/>
      <c r="E12" s="1271"/>
      <c r="F12" s="1271"/>
      <c r="G12" s="1271"/>
      <c r="H12" s="1271"/>
      <c r="I12" s="34"/>
      <c r="J12" s="34"/>
      <c r="K12" s="34"/>
      <c r="L12" s="34"/>
      <c r="M12" s="25"/>
    </row>
    <row r="13" spans="1:13" ht="60" customHeight="1">
      <c r="A13" s="32"/>
      <c r="B13" s="32"/>
      <c r="C13" s="32"/>
      <c r="D13" s="32"/>
      <c r="E13" s="32"/>
      <c r="F13" s="32"/>
      <c r="G13" s="32"/>
      <c r="H13" s="32"/>
      <c r="I13" s="34"/>
      <c r="J13" s="34"/>
      <c r="K13" s="34"/>
      <c r="L13" s="34"/>
      <c r="M13" s="25"/>
    </row>
    <row r="14" spans="1:13" ht="33.75">
      <c r="A14" s="1272" t="str">
        <f>DEPAN!E10</f>
        <v>SDN UJUNG ASPAL 01</v>
      </c>
      <c r="B14" s="1272"/>
      <c r="C14" s="1272"/>
      <c r="D14" s="1272"/>
      <c r="E14" s="1272"/>
      <c r="F14" s="1272"/>
      <c r="G14" s="1272"/>
      <c r="H14" s="1272"/>
      <c r="I14" s="35"/>
      <c r="J14" s="35"/>
      <c r="K14" s="35"/>
      <c r="L14" s="35"/>
      <c r="M14" s="25"/>
    </row>
    <row r="15" spans="1:13" ht="26.25">
      <c r="A15" s="1278" t="str">
        <f>DEPAN!E11</f>
        <v>Jl.Ndeso gang 33 Sidokuto</v>
      </c>
      <c r="B15" s="1278"/>
      <c r="C15" s="1278"/>
      <c r="D15" s="1278"/>
      <c r="E15" s="1278"/>
      <c r="F15" s="1278"/>
      <c r="G15" s="1278"/>
      <c r="H15" s="1278"/>
      <c r="I15" s="36"/>
      <c r="J15" s="36"/>
      <c r="K15" s="36"/>
      <c r="L15" s="36"/>
      <c r="M15" s="25"/>
    </row>
    <row r="16" spans="1:13" ht="51" customHeight="1">
      <c r="A16" s="32"/>
      <c r="B16" s="32"/>
      <c r="C16" s="32"/>
      <c r="D16" s="32"/>
      <c r="E16" s="32"/>
      <c r="F16" s="32"/>
      <c r="G16" s="32"/>
      <c r="H16" s="32"/>
      <c r="I16" s="37"/>
      <c r="J16" s="37"/>
      <c r="K16" s="37"/>
      <c r="L16" s="37"/>
      <c r="M16" s="25"/>
    </row>
    <row r="17" spans="1:13" ht="25.5" customHeight="1">
      <c r="A17" s="32"/>
      <c r="B17" s="32"/>
      <c r="C17" s="32"/>
      <c r="D17" s="32"/>
      <c r="E17" s="32"/>
      <c r="F17" s="32"/>
      <c r="G17" s="32"/>
      <c r="H17" s="32"/>
      <c r="I17" s="33"/>
      <c r="J17" s="33"/>
      <c r="K17" s="33"/>
      <c r="L17" s="33"/>
      <c r="M17" s="25"/>
    </row>
    <row r="18" spans="1:13" ht="51" customHeight="1">
      <c r="A18" s="32"/>
      <c r="B18" s="32"/>
      <c r="C18" s="32"/>
      <c r="D18" s="32"/>
      <c r="E18" s="32"/>
      <c r="F18" s="32"/>
      <c r="G18" s="32"/>
      <c r="H18" s="32"/>
      <c r="I18" s="33"/>
      <c r="J18" s="33"/>
      <c r="K18" s="33"/>
      <c r="L18" s="33"/>
      <c r="M18" s="25"/>
    </row>
    <row r="19" spans="1:13" ht="51" customHeight="1">
      <c r="A19" s="32"/>
      <c r="B19" s="32"/>
      <c r="C19" s="32"/>
      <c r="D19" s="32"/>
      <c r="E19" s="32"/>
      <c r="F19" s="32"/>
      <c r="G19" s="32"/>
      <c r="H19" s="32"/>
      <c r="I19" s="33"/>
      <c r="J19" s="33"/>
      <c r="K19" s="33"/>
      <c r="L19" s="33"/>
      <c r="M19" s="25"/>
    </row>
    <row r="20" spans="1:13">
      <c r="B20" s="32"/>
      <c r="C20" s="32"/>
      <c r="D20" s="32"/>
      <c r="E20" s="32"/>
      <c r="F20" s="32"/>
      <c r="G20" s="32"/>
      <c r="H20" s="32"/>
      <c r="I20" s="33"/>
      <c r="J20" s="33"/>
      <c r="K20" s="33"/>
      <c r="L20" s="33"/>
      <c r="M20" s="25"/>
    </row>
    <row r="21" spans="1:13" ht="21" thickBot="1">
      <c r="B21" s="32"/>
      <c r="C21" s="32"/>
      <c r="D21" s="1276" t="s">
        <v>291</v>
      </c>
      <c r="E21" s="1276"/>
      <c r="F21" s="1276"/>
      <c r="G21" s="1276"/>
      <c r="H21" s="208"/>
      <c r="I21" s="33"/>
      <c r="J21" s="33"/>
      <c r="K21" s="33"/>
      <c r="L21" s="33"/>
      <c r="M21" s="25"/>
    </row>
    <row r="22" spans="1:13" ht="27" customHeight="1" thickBot="1">
      <c r="B22" s="32"/>
      <c r="C22" s="32"/>
      <c r="D22" s="1273" t="str">
        <f>VLOOKUP(J2,SISWA!$A:$AT,3)</f>
        <v>Anak 1</v>
      </c>
      <c r="E22" s="1274"/>
      <c r="F22" s="1274"/>
      <c r="G22" s="1275"/>
      <c r="H22" s="32"/>
      <c r="I22" s="33"/>
      <c r="J22" s="33"/>
      <c r="K22" s="33"/>
      <c r="L22" s="33"/>
      <c r="M22" s="25"/>
    </row>
    <row r="23" spans="1:13" ht="27" customHeight="1" thickBot="1">
      <c r="B23" s="32"/>
      <c r="C23" s="32"/>
      <c r="D23" s="1277" t="s">
        <v>292</v>
      </c>
      <c r="E23" s="1277"/>
      <c r="F23" s="1277"/>
      <c r="G23" s="1277"/>
      <c r="H23" s="32"/>
      <c r="I23" s="33"/>
      <c r="J23" s="33"/>
      <c r="K23" s="33"/>
      <c r="L23" s="33"/>
      <c r="M23" s="25"/>
    </row>
    <row r="24" spans="1:13" ht="27" customHeight="1" thickBot="1">
      <c r="B24" s="32"/>
      <c r="C24" s="32"/>
      <c r="D24" s="1273" t="str">
        <f>VLOOKUP(J2,SISWA!$A:$AT,46)</f>
        <v>12345321/4822</v>
      </c>
      <c r="E24" s="1274"/>
      <c r="F24" s="1274"/>
      <c r="G24" s="1275"/>
      <c r="H24" s="32"/>
      <c r="I24" s="33"/>
      <c r="J24" s="33"/>
      <c r="K24" s="33"/>
      <c r="L24" s="33"/>
      <c r="M24" s="25"/>
    </row>
    <row r="25" spans="1:13">
      <c r="B25" s="32"/>
      <c r="C25" s="32"/>
      <c r="D25" s="32"/>
      <c r="E25" s="32"/>
      <c r="F25" s="32"/>
      <c r="G25" s="32"/>
      <c r="H25" s="32"/>
      <c r="I25" s="33"/>
      <c r="J25" s="33"/>
      <c r="K25" s="33"/>
      <c r="L25" s="33"/>
      <c r="M25" s="25"/>
    </row>
    <row r="26" spans="1:13">
      <c r="H26" s="32"/>
      <c r="I26" s="33"/>
      <c r="J26" s="33"/>
      <c r="K26" s="33"/>
      <c r="L26" s="33"/>
      <c r="M26" s="25"/>
    </row>
    <row r="27" spans="1:13" ht="45.75" customHeight="1">
      <c r="A27" s="32"/>
      <c r="B27" s="32"/>
      <c r="C27" s="32"/>
      <c r="D27" s="32"/>
      <c r="E27" s="32"/>
      <c r="F27" s="32"/>
      <c r="G27" s="32"/>
      <c r="H27" s="32"/>
      <c r="I27" s="33"/>
      <c r="J27" s="33"/>
      <c r="K27" s="33"/>
      <c r="L27" s="33"/>
      <c r="M27" s="25"/>
    </row>
    <row r="28" spans="1:13" ht="31.5">
      <c r="A28" s="1266" t="s">
        <v>189</v>
      </c>
      <c r="B28" s="1266"/>
      <c r="C28" s="1266"/>
      <c r="D28" s="1266"/>
      <c r="E28" s="1266"/>
      <c r="F28" s="1266"/>
      <c r="G28" s="1266"/>
      <c r="H28" s="1266"/>
      <c r="I28" s="33"/>
      <c r="J28" s="33"/>
      <c r="K28" s="33"/>
      <c r="L28" s="33"/>
      <c r="M28" s="25"/>
    </row>
    <row r="29" spans="1:13" ht="31.5">
      <c r="A29" s="1266" t="s">
        <v>190</v>
      </c>
      <c r="B29" s="1266"/>
      <c r="C29" s="1266"/>
      <c r="D29" s="1266"/>
      <c r="E29" s="1266"/>
      <c r="F29" s="1266"/>
      <c r="G29" s="1266"/>
      <c r="H29" s="1266"/>
      <c r="I29" s="33"/>
      <c r="J29" s="33"/>
      <c r="K29" s="33"/>
      <c r="L29" s="33"/>
      <c r="M29" s="25"/>
    </row>
    <row r="30" spans="1:13">
      <c r="J30" s="33"/>
      <c r="K30" s="33"/>
      <c r="L30" s="33"/>
      <c r="M30" s="25"/>
    </row>
    <row r="31" spans="1:13">
      <c r="J31" s="33"/>
      <c r="K31" s="33"/>
      <c r="L31" s="33"/>
      <c r="M31" s="25"/>
    </row>
    <row r="33" spans="1:9" ht="27" customHeight="1"/>
    <row r="34" spans="1:9" ht="15.75" customHeight="1"/>
    <row r="35" spans="1:9" ht="64.5" customHeight="1"/>
    <row r="36" spans="1:9" ht="64.5" customHeight="1"/>
    <row r="37" spans="1:9" ht="64.5" customHeight="1"/>
    <row r="38" spans="1:9" ht="87" customHeight="1"/>
    <row r="39" spans="1:9" ht="42" customHeight="1">
      <c r="A39" s="1265" t="s">
        <v>266</v>
      </c>
      <c r="B39" s="1265"/>
      <c r="C39" s="1265"/>
      <c r="D39" s="1265"/>
      <c r="E39" s="1265"/>
      <c r="F39" s="1265"/>
      <c r="G39" s="1265"/>
      <c r="H39" s="1265"/>
      <c r="I39" s="1265"/>
    </row>
    <row r="40" spans="1:9" ht="42" customHeight="1">
      <c r="A40" s="1265" t="s">
        <v>267</v>
      </c>
      <c r="B40" s="1265"/>
      <c r="C40" s="1265"/>
      <c r="D40" s="1265"/>
      <c r="E40" s="1265"/>
      <c r="F40" s="1265"/>
      <c r="G40" s="1265"/>
      <c r="H40" s="1265"/>
      <c r="I40" s="1265"/>
    </row>
    <row r="41" spans="1:9" ht="42" customHeight="1">
      <c r="A41" s="1265" t="s">
        <v>187</v>
      </c>
      <c r="B41" s="1265"/>
      <c r="C41" s="1265"/>
      <c r="D41" s="1265"/>
      <c r="E41" s="1265"/>
      <c r="F41" s="1265"/>
      <c r="G41" s="1265"/>
      <c r="H41" s="1265"/>
      <c r="I41" s="1265"/>
    </row>
    <row r="42" spans="1:9" ht="42" customHeight="1">
      <c r="A42" s="1265" t="s">
        <v>268</v>
      </c>
      <c r="B42" s="1265"/>
      <c r="C42" s="1265"/>
      <c r="D42" s="1265"/>
      <c r="E42" s="1265"/>
      <c r="F42" s="1265"/>
      <c r="G42" s="1265"/>
      <c r="H42" s="1265"/>
      <c r="I42" s="1265"/>
    </row>
    <row r="43" spans="1:9">
      <c r="A43" s="45"/>
      <c r="B43" s="45"/>
      <c r="C43" s="45"/>
      <c r="D43" s="45"/>
      <c r="E43" s="46"/>
      <c r="F43" s="46"/>
      <c r="G43" s="46"/>
      <c r="H43" s="46"/>
      <c r="I43" s="46"/>
    </row>
    <row r="44" spans="1:9">
      <c r="A44" s="45"/>
      <c r="B44" s="45"/>
      <c r="C44" s="45"/>
      <c r="D44" s="45"/>
      <c r="E44" s="46"/>
      <c r="F44" s="46"/>
      <c r="G44" s="46"/>
      <c r="H44" s="46"/>
      <c r="I44" s="46"/>
    </row>
    <row r="45" spans="1:9">
      <c r="A45" s="45"/>
      <c r="B45" s="45"/>
      <c r="C45" s="45"/>
      <c r="D45" s="45"/>
      <c r="E45" s="46"/>
      <c r="F45" s="46"/>
      <c r="G45" s="46"/>
      <c r="H45" s="46"/>
      <c r="I45" s="46"/>
    </row>
    <row r="46" spans="1:9">
      <c r="A46" s="45"/>
      <c r="B46" s="45"/>
      <c r="C46" s="45"/>
      <c r="D46" s="45"/>
      <c r="E46" s="46"/>
      <c r="F46" s="46"/>
      <c r="G46" s="46"/>
      <c r="H46" s="46"/>
      <c r="I46" s="46"/>
    </row>
    <row r="47" spans="1:9" ht="27.75" customHeight="1">
      <c r="C47" s="47" t="s">
        <v>11</v>
      </c>
      <c r="D47" s="38"/>
      <c r="E47" s="48" t="s">
        <v>188</v>
      </c>
      <c r="F47" s="47" t="str">
        <f>DEPAN!E10</f>
        <v>SDN UJUNG ASPAL 01</v>
      </c>
    </row>
    <row r="48" spans="1:9" ht="27.75" customHeight="1">
      <c r="C48" s="47" t="s">
        <v>269</v>
      </c>
      <c r="D48" s="38"/>
      <c r="E48" s="48" t="s">
        <v>188</v>
      </c>
      <c r="F48" s="49">
        <f>DEPAN!E9</f>
        <v>665098</v>
      </c>
    </row>
    <row r="49" spans="3:6" ht="27.75" customHeight="1">
      <c r="C49" s="47" t="s">
        <v>908</v>
      </c>
      <c r="D49" s="38"/>
      <c r="E49" s="48" t="s">
        <v>188</v>
      </c>
      <c r="F49" s="49"/>
    </row>
    <row r="50" spans="3:6" ht="27.75" customHeight="1">
      <c r="C50" s="47" t="s">
        <v>217</v>
      </c>
      <c r="D50" s="38"/>
      <c r="E50" s="48" t="s">
        <v>188</v>
      </c>
      <c r="F50" s="47" t="str">
        <f>DEPAN!E11</f>
        <v>Jl.Ndeso gang 33 Sidokuto</v>
      </c>
    </row>
    <row r="51" spans="3:6" ht="27.75" customHeight="1">
      <c r="C51" s="47"/>
      <c r="D51" s="38"/>
      <c r="E51" s="47"/>
      <c r="F51" s="47" t="s">
        <v>270</v>
      </c>
    </row>
    <row r="52" spans="3:6" ht="27.75" customHeight="1">
      <c r="C52" s="47"/>
      <c r="D52" s="38"/>
      <c r="E52" s="47"/>
      <c r="F52" s="47" t="s">
        <v>275</v>
      </c>
    </row>
    <row r="53" spans="3:6" ht="27.75" customHeight="1">
      <c r="C53" s="47"/>
      <c r="D53" s="38"/>
      <c r="E53" s="47"/>
      <c r="F53" s="47"/>
    </row>
    <row r="54" spans="3:6" ht="27.75" customHeight="1">
      <c r="C54" s="47" t="s">
        <v>271</v>
      </c>
      <c r="D54" s="38"/>
      <c r="E54" s="48" t="s">
        <v>188</v>
      </c>
      <c r="F54" s="47" t="str">
        <f>DEPAN!E18</f>
        <v>Tegalbangsri</v>
      </c>
    </row>
    <row r="55" spans="3:6" ht="27.75" customHeight="1">
      <c r="C55" s="47" t="s">
        <v>30</v>
      </c>
      <c r="D55" s="38"/>
      <c r="E55" s="48" t="s">
        <v>188</v>
      </c>
      <c r="F55" s="47" t="str">
        <f>DEPAN!E19</f>
        <v>Ranuyoso</v>
      </c>
    </row>
    <row r="56" spans="3:6" ht="27.75" customHeight="1">
      <c r="C56" s="47" t="s">
        <v>272</v>
      </c>
      <c r="D56" s="38"/>
      <c r="E56" s="48" t="s">
        <v>188</v>
      </c>
      <c r="F56" s="47" t="str">
        <f>DEPAN!E20</f>
        <v xml:space="preserve">Lumajang </v>
      </c>
    </row>
    <row r="57" spans="3:6" ht="27.75" customHeight="1">
      <c r="C57" s="47" t="s">
        <v>273</v>
      </c>
      <c r="D57" s="38"/>
      <c r="E57" s="48" t="s">
        <v>188</v>
      </c>
      <c r="F57" s="47" t="str">
        <f>DEPAN!E21</f>
        <v>Jawa Timur</v>
      </c>
    </row>
    <row r="58" spans="3:6" ht="24" customHeight="1"/>
  </sheetData>
  <mergeCells count="16">
    <mergeCell ref="D22:G22"/>
    <mergeCell ref="D21:G21"/>
    <mergeCell ref="D23:G23"/>
    <mergeCell ref="D24:G24"/>
    <mergeCell ref="A15:H15"/>
    <mergeCell ref="J2:J4"/>
    <mergeCell ref="A10:H10"/>
    <mergeCell ref="A11:H11"/>
    <mergeCell ref="A12:H12"/>
    <mergeCell ref="A14:H14"/>
    <mergeCell ref="A39:I39"/>
    <mergeCell ref="A40:I40"/>
    <mergeCell ref="A41:I41"/>
    <mergeCell ref="A42:I42"/>
    <mergeCell ref="A28:H28"/>
    <mergeCell ref="A29:H29"/>
  </mergeCells>
  <pageMargins left="1.02" right="0.36" top="0.5" bottom="0.75" header="0.3" footer="0.3"/>
  <pageSetup paperSize="272" scale="74" orientation="portrait" horizontalDpi="4294967293" r:id="rId1"/>
  <rowBreaks count="1" manualBreakCount="1">
    <brk id="30"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Spinner 1">
              <controlPr defaultSize="0" autoPict="0">
                <anchor moveWithCells="1" sizeWithCells="1">
                  <from>
                    <xdr:col>10</xdr:col>
                    <xdr:colOff>152400</xdr:colOff>
                    <xdr:row>1</xdr:row>
                    <xdr:rowOff>0</xdr:rowOff>
                  </from>
                  <to>
                    <xdr:col>10</xdr:col>
                    <xdr:colOff>609600</xdr:colOff>
                    <xdr:row>4</xdr:row>
                    <xdr:rowOff>28575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AJ46"/>
  <sheetViews>
    <sheetView view="pageBreakPreview" zoomScale="70" zoomScaleSheetLayoutView="70" workbookViewId="0">
      <selection activeCell="M36" sqref="M36"/>
    </sheetView>
  </sheetViews>
  <sheetFormatPr defaultColWidth="0" defaultRowHeight="23.25" zeroHeight="1"/>
  <cols>
    <col min="1" max="1" width="4.5703125" style="52" customWidth="1"/>
    <col min="2" max="2" width="3.140625" style="52" customWidth="1"/>
    <col min="3" max="3" width="32.85546875" style="52" customWidth="1"/>
    <col min="4" max="4" width="3" style="52" customWidth="1"/>
    <col min="5" max="5" width="9.85546875" style="52" customWidth="1"/>
    <col min="6" max="6" width="5.5703125" style="52" customWidth="1"/>
    <col min="7" max="7" width="4.140625" style="52" customWidth="1"/>
    <col min="8" max="8" width="9" style="52" customWidth="1"/>
    <col min="9" max="9" width="4.140625" style="52" customWidth="1"/>
    <col min="10" max="10" width="5.28515625" style="52" customWidth="1"/>
    <col min="11" max="11" width="3.5703125" style="52" customWidth="1"/>
    <col min="12" max="12" width="5.7109375" style="52" customWidth="1"/>
    <col min="13" max="13" width="7" style="52" customWidth="1"/>
    <col min="14" max="14" width="6.140625" style="52" customWidth="1"/>
    <col min="15" max="15" width="6.28515625" style="52" customWidth="1"/>
    <col min="16" max="16" width="15.85546875" style="52" customWidth="1"/>
    <col min="17" max="17" width="2.42578125" style="52" customWidth="1"/>
    <col min="18" max="18" width="9.7109375" style="52" customWidth="1"/>
    <col min="19" max="19" width="16.42578125" style="52" customWidth="1"/>
    <col min="20" max="20" width="2.7109375" style="52" customWidth="1"/>
    <col min="21" max="21" width="78.42578125" style="52" customWidth="1"/>
    <col min="22" max="24" width="9.140625" style="52" hidden="1" customWidth="1"/>
    <col min="25" max="32" width="0" style="52" hidden="1" customWidth="1"/>
    <col min="33" max="36" width="9.140625" style="52" hidden="1" customWidth="1"/>
    <col min="37" max="16384" width="0" style="52" hidden="1"/>
  </cols>
  <sheetData>
    <row r="1" spans="1:21" ht="24" thickBot="1">
      <c r="U1" s="51"/>
    </row>
    <row r="2" spans="1:21">
      <c r="Q2" s="53"/>
      <c r="R2" s="54">
        <v>1</v>
      </c>
      <c r="S2" s="55"/>
      <c r="T2" s="55"/>
      <c r="U2" s="51"/>
    </row>
    <row r="3" spans="1:21" ht="11.25" customHeight="1">
      <c r="R3" s="50"/>
      <c r="S3" s="50"/>
      <c r="T3" s="56"/>
      <c r="U3" s="57"/>
    </row>
    <row r="4" spans="1:21" ht="27">
      <c r="A4" s="1283" t="s">
        <v>191</v>
      </c>
      <c r="B4" s="1283"/>
      <c r="C4" s="1283"/>
      <c r="D4" s="1283"/>
      <c r="E4" s="1283"/>
      <c r="F4" s="1283"/>
      <c r="G4" s="1283"/>
      <c r="H4" s="1283"/>
      <c r="I4" s="1283"/>
      <c r="J4" s="1283"/>
      <c r="K4" s="1283"/>
      <c r="L4" s="1283"/>
      <c r="M4" s="1283"/>
      <c r="N4" s="1283"/>
      <c r="O4" s="1283"/>
      <c r="P4" s="1283"/>
      <c r="Q4" s="50"/>
      <c r="R4" s="50"/>
      <c r="S4" s="50"/>
      <c r="T4" s="50"/>
      <c r="U4" s="51"/>
    </row>
    <row r="5" spans="1:21" ht="15" customHeight="1">
      <c r="A5" s="81"/>
      <c r="B5" s="81"/>
      <c r="C5" s="81"/>
      <c r="D5" s="81"/>
      <c r="E5" s="81"/>
      <c r="F5" s="81"/>
      <c r="G5" s="81"/>
      <c r="H5" s="81"/>
      <c r="I5" s="81"/>
      <c r="J5" s="81"/>
      <c r="K5" s="81"/>
      <c r="L5" s="81"/>
      <c r="M5" s="81"/>
      <c r="N5" s="81"/>
      <c r="O5" s="81"/>
      <c r="P5" s="81"/>
      <c r="Q5" s="50"/>
      <c r="R5" s="50"/>
      <c r="S5" s="50"/>
      <c r="T5" s="50"/>
      <c r="U5" s="51"/>
    </row>
    <row r="6" spans="1:21" ht="24.75" customHeight="1">
      <c r="Q6" s="58"/>
      <c r="R6" s="59"/>
      <c r="S6" s="59"/>
      <c r="T6" s="56"/>
      <c r="U6" s="57"/>
    </row>
    <row r="7" spans="1:21" s="60" customFormat="1" ht="27" customHeight="1">
      <c r="B7" s="60" t="s">
        <v>192</v>
      </c>
      <c r="F7" s="61" t="s">
        <v>188</v>
      </c>
      <c r="G7" s="60" t="str">
        <f>VLOOKUP($R$2,SISWA!$A:$AT,3)</f>
        <v>Anak 1</v>
      </c>
      <c r="I7" s="62"/>
      <c r="J7" s="62"/>
      <c r="K7" s="62"/>
      <c r="L7" s="62"/>
      <c r="Q7" s="63"/>
      <c r="R7" s="52"/>
      <c r="S7" s="52"/>
      <c r="T7" s="52"/>
      <c r="U7" s="51"/>
    </row>
    <row r="8" spans="1:21" s="60" customFormat="1" ht="27" customHeight="1">
      <c r="B8" s="60" t="s">
        <v>193</v>
      </c>
      <c r="F8" s="61" t="s">
        <v>188</v>
      </c>
      <c r="G8" s="1279">
        <f>VLOOKUP($R$2,SISWA!$A:$AT,2)</f>
        <v>4822</v>
      </c>
      <c r="H8" s="1279"/>
      <c r="I8" s="62"/>
      <c r="J8" s="62"/>
      <c r="K8" s="62"/>
      <c r="L8" s="62"/>
      <c r="Q8" s="63"/>
      <c r="R8" s="64"/>
      <c r="S8" s="64"/>
      <c r="T8" s="64"/>
      <c r="U8" s="51"/>
    </row>
    <row r="9" spans="1:21" s="60" customFormat="1" ht="27" customHeight="1">
      <c r="B9" s="60" t="s">
        <v>194</v>
      </c>
      <c r="F9" s="61" t="s">
        <v>188</v>
      </c>
      <c r="G9" s="1279" t="str">
        <f>VLOOKUP($R$2,SISWA!$A:$AT,9)</f>
        <v>Lumajang, 20 Agustus 2004</v>
      </c>
      <c r="H9" s="1279"/>
      <c r="I9" s="1279"/>
      <c r="J9" s="1279"/>
      <c r="K9" s="1279"/>
      <c r="L9" s="1279"/>
      <c r="M9" s="1279"/>
      <c r="N9" s="1279"/>
      <c r="O9" s="1279"/>
      <c r="Q9" s="63"/>
      <c r="R9" s="65"/>
      <c r="S9" s="65"/>
      <c r="T9" s="65"/>
      <c r="U9" s="51"/>
    </row>
    <row r="10" spans="1:21" s="60" customFormat="1" ht="27" customHeight="1">
      <c r="B10" s="60" t="s">
        <v>195</v>
      </c>
      <c r="F10" s="61" t="s">
        <v>188</v>
      </c>
      <c r="G10" s="456" t="str">
        <f>VLOOKUP($R$2,SISWA!$A$6:$AT$55,6)</f>
        <v>Laki -laki</v>
      </c>
      <c r="H10" s="456"/>
      <c r="I10" s="456"/>
      <c r="J10" s="456"/>
      <c r="K10" s="456"/>
      <c r="L10" s="456"/>
      <c r="M10" s="456"/>
      <c r="N10" s="456"/>
      <c r="O10" s="456"/>
      <c r="Q10" s="66"/>
      <c r="R10" s="66"/>
      <c r="S10" s="66"/>
      <c r="T10" s="66"/>
      <c r="U10" s="67"/>
    </row>
    <row r="11" spans="1:21" s="60" customFormat="1" ht="27" customHeight="1">
      <c r="B11" s="60" t="s">
        <v>196</v>
      </c>
      <c r="F11" s="61" t="s">
        <v>188</v>
      </c>
      <c r="G11" s="1279" t="str">
        <f>VLOOKUP($R$2,SISWA!$A$6:$AT$55,7)</f>
        <v>Islam</v>
      </c>
      <c r="H11" s="1279"/>
      <c r="I11" s="1279"/>
      <c r="J11" s="1279"/>
      <c r="K11" s="1279"/>
      <c r="L11" s="1279"/>
      <c r="M11" s="1279"/>
      <c r="N11" s="1279"/>
      <c r="Q11" s="66"/>
      <c r="R11" s="66"/>
      <c r="S11" s="66"/>
      <c r="T11" s="66"/>
      <c r="U11" s="67"/>
    </row>
    <row r="12" spans="1:21" s="60" customFormat="1" ht="27" customHeight="1">
      <c r="B12" s="60" t="s">
        <v>197</v>
      </c>
      <c r="F12" s="61" t="s">
        <v>188</v>
      </c>
      <c r="G12" s="1279" t="str">
        <f>VLOOKUP($R$2,SISWA!$A$6:$AT$55,19)</f>
        <v>TK Pembina</v>
      </c>
      <c r="H12" s="1279"/>
      <c r="I12" s="1279"/>
      <c r="J12" s="1279"/>
      <c r="K12" s="1279"/>
      <c r="L12" s="1279"/>
      <c r="M12" s="1279"/>
      <c r="N12" s="62"/>
      <c r="Q12" s="66"/>
      <c r="R12" s="66"/>
      <c r="S12" s="66"/>
      <c r="T12" s="66"/>
      <c r="U12" s="67"/>
    </row>
    <row r="13" spans="1:21" s="60" customFormat="1" ht="27" customHeight="1">
      <c r="B13" s="60" t="s">
        <v>198</v>
      </c>
      <c r="F13" s="61" t="s">
        <v>188</v>
      </c>
      <c r="G13" s="1279" t="str">
        <f>VLOOKUP($R$2,SISWA!$A$6:$AT$55,15)</f>
        <v>Jl. Kapten Piere Tendean</v>
      </c>
      <c r="H13" s="1279"/>
      <c r="I13" s="1279"/>
      <c r="J13" s="1279"/>
      <c r="K13" s="1279"/>
      <c r="L13" s="1279"/>
      <c r="M13" s="1279"/>
      <c r="N13" s="1279"/>
      <c r="O13" s="1279"/>
      <c r="P13" s="1279"/>
      <c r="Q13" s="66"/>
      <c r="R13" s="66"/>
      <c r="S13" s="66"/>
      <c r="T13" s="66"/>
      <c r="U13" s="67"/>
    </row>
    <row r="14" spans="1:21" s="60" customFormat="1" ht="27" customHeight="1">
      <c r="B14" s="60" t="s">
        <v>199</v>
      </c>
      <c r="F14" s="61"/>
      <c r="Q14" s="66"/>
      <c r="R14" s="66"/>
      <c r="S14" s="66"/>
      <c r="T14" s="66"/>
      <c r="U14" s="67"/>
    </row>
    <row r="15" spans="1:21" s="60" customFormat="1" ht="27" customHeight="1">
      <c r="C15" s="60" t="s">
        <v>200</v>
      </c>
      <c r="F15" s="61" t="s">
        <v>188</v>
      </c>
      <c r="G15" s="1279" t="str">
        <f>VLOOKUP($R$2,SISWA!$A$6:$AT$55,20)</f>
        <v>Khoirul Anwar</v>
      </c>
      <c r="H15" s="1279"/>
      <c r="I15" s="1279"/>
      <c r="J15" s="1279"/>
      <c r="K15" s="1279"/>
      <c r="L15" s="1279"/>
      <c r="M15" s="1279"/>
      <c r="N15" s="1279"/>
      <c r="Q15" s="66"/>
      <c r="R15" s="66"/>
      <c r="S15" s="66"/>
      <c r="T15" s="66"/>
      <c r="U15" s="67"/>
    </row>
    <row r="16" spans="1:21" s="60" customFormat="1" ht="27" customHeight="1">
      <c r="C16" s="60" t="s">
        <v>201</v>
      </c>
      <c r="F16" s="61" t="s">
        <v>188</v>
      </c>
      <c r="G16" s="1279" t="str">
        <f>VLOOKUP($R$2,SISWA!$A$6:$AT$55,25)</f>
        <v>Purwaningsih</v>
      </c>
      <c r="H16" s="1279"/>
      <c r="I16" s="1279"/>
      <c r="J16" s="1279"/>
      <c r="K16" s="1279"/>
      <c r="L16" s="1279"/>
      <c r="M16" s="1279"/>
      <c r="N16" s="1279"/>
      <c r="Q16" s="66"/>
      <c r="R16" s="66"/>
      <c r="S16" s="66"/>
      <c r="T16" s="66"/>
      <c r="U16" s="67"/>
    </row>
    <row r="17" spans="2:21" s="60" customFormat="1" ht="27" customHeight="1">
      <c r="B17" s="60" t="s">
        <v>202</v>
      </c>
      <c r="F17" s="61"/>
      <c r="Q17" s="66"/>
      <c r="R17" s="66"/>
      <c r="S17" s="66"/>
      <c r="T17" s="66"/>
      <c r="U17" s="67"/>
    </row>
    <row r="18" spans="2:21" s="60" customFormat="1" ht="27" customHeight="1">
      <c r="C18" s="60" t="s">
        <v>200</v>
      </c>
      <c r="F18" s="61" t="s">
        <v>188</v>
      </c>
      <c r="G18" s="1279" t="str">
        <f>VLOOKUP($R$2,SISWA!$A$6:$AT$55,24)</f>
        <v>Pedagang</v>
      </c>
      <c r="H18" s="1279"/>
      <c r="I18" s="1279"/>
      <c r="J18" s="1279"/>
      <c r="K18" s="1279"/>
      <c r="L18" s="1279"/>
      <c r="M18" s="1279"/>
      <c r="N18" s="1279"/>
      <c r="Q18" s="63"/>
      <c r="R18" s="63"/>
      <c r="S18" s="63"/>
      <c r="T18" s="63"/>
      <c r="U18" s="67"/>
    </row>
    <row r="19" spans="2:21" s="60" customFormat="1" ht="27" customHeight="1">
      <c r="C19" s="60" t="s">
        <v>201</v>
      </c>
      <c r="F19" s="61" t="s">
        <v>188</v>
      </c>
      <c r="G19" s="1279" t="str">
        <f>VLOOKUP($R$2,SISWA!$A$6:$AT$55,29)</f>
        <v>Tidak Bekerja</v>
      </c>
      <c r="H19" s="1279"/>
      <c r="I19" s="1279"/>
      <c r="J19" s="1279"/>
      <c r="K19" s="1279"/>
      <c r="L19" s="1279"/>
      <c r="M19" s="1279"/>
      <c r="N19" s="1279"/>
      <c r="Q19" s="68"/>
      <c r="R19" s="68"/>
      <c r="S19" s="68"/>
      <c r="T19" s="68"/>
      <c r="U19" s="67"/>
    </row>
    <row r="20" spans="2:21" s="60" customFormat="1" ht="27" customHeight="1">
      <c r="B20" s="60" t="s">
        <v>203</v>
      </c>
      <c r="F20" s="61"/>
      <c r="Q20" s="68"/>
      <c r="R20" s="68"/>
      <c r="S20" s="68"/>
      <c r="T20" s="68"/>
      <c r="U20" s="67"/>
    </row>
    <row r="21" spans="2:21" s="60" customFormat="1" ht="27" customHeight="1">
      <c r="C21" s="60" t="s">
        <v>28</v>
      </c>
      <c r="F21" s="61" t="s">
        <v>188</v>
      </c>
      <c r="G21" s="1279" t="str">
        <f>VLOOKUP($R$2,SISWA!$A$6:$AT$55,30)</f>
        <v>Jl. Kapten Piere Tendean</v>
      </c>
      <c r="H21" s="1279"/>
      <c r="I21" s="1279"/>
      <c r="J21" s="1279"/>
      <c r="K21" s="1279"/>
      <c r="L21" s="1279"/>
      <c r="M21" s="1279"/>
      <c r="N21" s="1279"/>
      <c r="Q21" s="68"/>
      <c r="R21" s="68"/>
      <c r="S21" s="68"/>
      <c r="T21" s="68"/>
      <c r="U21" s="67"/>
    </row>
    <row r="22" spans="2:21" s="60" customFormat="1" ht="27" customHeight="1">
      <c r="C22" s="60" t="s">
        <v>204</v>
      </c>
      <c r="F22" s="61" t="s">
        <v>188</v>
      </c>
      <c r="G22" s="1279" t="str">
        <f>VLOOKUP($R$2,SISWA!$A$6:$AT$55,31)</f>
        <v>Tegalbangsri</v>
      </c>
      <c r="H22" s="1279"/>
      <c r="I22" s="1279"/>
      <c r="J22" s="1279"/>
      <c r="K22" s="1279"/>
      <c r="L22" s="1279"/>
      <c r="M22" s="1279"/>
      <c r="N22" s="1279"/>
      <c r="Q22" s="69"/>
      <c r="R22" s="69"/>
      <c r="S22" s="69"/>
      <c r="T22" s="69"/>
      <c r="U22" s="67"/>
    </row>
    <row r="23" spans="2:21" s="60" customFormat="1" ht="27" customHeight="1">
      <c r="C23" s="60" t="s">
        <v>205</v>
      </c>
      <c r="F23" s="61" t="s">
        <v>188</v>
      </c>
      <c r="G23" s="1279" t="str">
        <f>VLOOKUP($R$2,SISWA!$A$6:$AT$55,32)</f>
        <v>Ranuyoso</v>
      </c>
      <c r="H23" s="1279"/>
      <c r="I23" s="1279"/>
      <c r="J23" s="1279"/>
      <c r="K23" s="1279"/>
      <c r="L23" s="1279"/>
      <c r="M23" s="1279"/>
      <c r="N23" s="1279"/>
      <c r="Q23" s="69"/>
      <c r="R23" s="69"/>
      <c r="S23" s="69"/>
      <c r="T23" s="69"/>
      <c r="U23" s="67"/>
    </row>
    <row r="24" spans="2:21" s="60" customFormat="1" ht="27" customHeight="1">
      <c r="C24" s="60" t="s">
        <v>206</v>
      </c>
      <c r="F24" s="61" t="s">
        <v>188</v>
      </c>
      <c r="G24" s="1279" t="str">
        <f>VLOOKUP($R$2,SISWA!$A$6:$AT$55,33)</f>
        <v>Lumajang</v>
      </c>
      <c r="H24" s="1279"/>
      <c r="I24" s="1279"/>
      <c r="J24" s="1279"/>
      <c r="K24" s="1279"/>
      <c r="L24" s="1279"/>
      <c r="M24" s="1279"/>
      <c r="N24" s="1279"/>
      <c r="Q24" s="70"/>
      <c r="R24" s="70"/>
      <c r="S24" s="70"/>
      <c r="T24" s="70"/>
      <c r="U24" s="67"/>
    </row>
    <row r="25" spans="2:21" s="60" customFormat="1" ht="27" customHeight="1">
      <c r="C25" s="60" t="s">
        <v>208</v>
      </c>
      <c r="F25" s="61" t="s">
        <v>188</v>
      </c>
      <c r="G25" s="1279" t="str">
        <f>VLOOKUP($R$2,SISWA!$A$6:$AT$55,34)</f>
        <v>Jawa Timur</v>
      </c>
      <c r="H25" s="1279"/>
      <c r="I25" s="1279"/>
      <c r="J25" s="1279"/>
      <c r="K25" s="1279"/>
      <c r="L25" s="1279"/>
      <c r="M25" s="1279"/>
      <c r="N25" s="1279"/>
      <c r="Q25" s="70"/>
      <c r="R25" s="70"/>
      <c r="S25" s="70"/>
      <c r="T25" s="70"/>
      <c r="U25" s="67"/>
    </row>
    <row r="26" spans="2:21" s="60" customFormat="1" ht="27" customHeight="1">
      <c r="B26" s="60" t="s">
        <v>207</v>
      </c>
      <c r="F26" s="61"/>
      <c r="G26" s="456"/>
      <c r="H26" s="456"/>
      <c r="I26" s="456"/>
      <c r="J26" s="456"/>
      <c r="K26" s="456"/>
      <c r="L26" s="456"/>
      <c r="M26" s="456"/>
      <c r="N26" s="456"/>
      <c r="Q26" s="70"/>
      <c r="R26" s="70"/>
      <c r="S26" s="70"/>
      <c r="T26" s="70"/>
      <c r="U26" s="67"/>
    </row>
    <row r="27" spans="2:21" s="60" customFormat="1" ht="27" customHeight="1">
      <c r="C27" s="60" t="s">
        <v>209</v>
      </c>
      <c r="Q27" s="70"/>
      <c r="R27" s="70"/>
      <c r="S27" s="70"/>
      <c r="T27" s="70"/>
      <c r="U27" s="67"/>
    </row>
    <row r="28" spans="2:21" s="60" customFormat="1" ht="27" customHeight="1">
      <c r="C28" s="60" t="s">
        <v>210</v>
      </c>
      <c r="F28" s="61" t="s">
        <v>188</v>
      </c>
      <c r="G28" s="1279" t="str">
        <f>VLOOKUP($R$2,SISWA!$A$6:$AT$55,36)</f>
        <v>_</v>
      </c>
      <c r="H28" s="1279"/>
      <c r="I28" s="1279"/>
      <c r="J28" s="1279"/>
      <c r="K28" s="1279"/>
      <c r="L28" s="1279"/>
      <c r="M28" s="1279"/>
      <c r="N28" s="1279"/>
      <c r="Q28" s="70"/>
      <c r="R28" s="70"/>
      <c r="S28" s="70"/>
      <c r="T28" s="70"/>
      <c r="U28" s="67"/>
    </row>
    <row r="29" spans="2:21" s="60" customFormat="1" ht="27" customHeight="1">
      <c r="C29" s="60" t="s">
        <v>211</v>
      </c>
      <c r="F29" s="61" t="s">
        <v>188</v>
      </c>
      <c r="G29" s="1279" t="str">
        <f>VLOOKUP($R$2,SISWA!$A$6:$AT$55,40)</f>
        <v>_</v>
      </c>
      <c r="H29" s="1279"/>
      <c r="I29" s="1279"/>
      <c r="J29" s="1279"/>
      <c r="K29" s="1279"/>
      <c r="L29" s="1279"/>
      <c r="M29" s="1279"/>
      <c r="N29" s="1279"/>
      <c r="Q29" s="70"/>
      <c r="R29" s="70"/>
      <c r="S29" s="70"/>
      <c r="T29" s="70"/>
      <c r="U29" s="67"/>
    </row>
    <row r="30" spans="2:21" s="60" customFormat="1" ht="27" customHeight="1">
      <c r="C30" s="60" t="s">
        <v>212</v>
      </c>
      <c r="F30" s="61" t="s">
        <v>188</v>
      </c>
      <c r="G30" s="1279" t="str">
        <f>VLOOKUP($R$2,SISWA!$A$6:$AT$55,41)</f>
        <v>_</v>
      </c>
      <c r="H30" s="1279"/>
      <c r="I30" s="1279"/>
      <c r="J30" s="1279"/>
      <c r="K30" s="1279"/>
      <c r="L30" s="1279"/>
      <c r="M30" s="1279"/>
      <c r="N30" s="1279"/>
      <c r="Q30" s="70"/>
      <c r="R30" s="70"/>
      <c r="S30" s="70"/>
      <c r="T30" s="70"/>
      <c r="U30" s="67"/>
    </row>
    <row r="31" spans="2:21">
      <c r="F31" s="71"/>
      <c r="G31" s="62"/>
      <c r="H31" s="62"/>
      <c r="I31" s="62"/>
      <c r="J31" s="62"/>
      <c r="K31" s="62"/>
      <c r="L31" s="62"/>
      <c r="M31" s="62"/>
      <c r="N31" s="62"/>
      <c r="Q31" s="65"/>
      <c r="R31" s="65"/>
      <c r="S31" s="65"/>
      <c r="T31" s="65"/>
      <c r="U31" s="51"/>
    </row>
    <row r="32" spans="2:21">
      <c r="Q32" s="65"/>
      <c r="R32" s="65"/>
      <c r="S32" s="65"/>
      <c r="T32" s="65"/>
      <c r="U32" s="51"/>
    </row>
    <row r="33" spans="4:21" ht="24" thickBot="1">
      <c r="D33" s="72"/>
      <c r="E33" s="72"/>
      <c r="Q33" s="65"/>
      <c r="R33" s="65"/>
      <c r="S33" s="65"/>
      <c r="T33" s="65"/>
      <c r="U33" s="51"/>
    </row>
    <row r="34" spans="4:21">
      <c r="D34" s="73"/>
      <c r="E34" s="74"/>
      <c r="F34" s="75"/>
      <c r="J34" s="1282" t="str">
        <f>DEPAN!E22</f>
        <v>Lumajang, 15 Juni 2019</v>
      </c>
      <c r="K34" s="1282"/>
      <c r="L34" s="1282"/>
      <c r="M34" s="1282"/>
      <c r="N34" s="1282"/>
      <c r="O34" s="1282"/>
      <c r="P34" s="1282"/>
      <c r="Q34" s="65"/>
      <c r="R34" s="65"/>
      <c r="S34" s="65"/>
      <c r="T34" s="65"/>
      <c r="U34" s="51"/>
    </row>
    <row r="35" spans="4:21">
      <c r="D35" s="76"/>
      <c r="E35" s="72"/>
      <c r="F35" s="77"/>
      <c r="M35" s="52" t="s">
        <v>245</v>
      </c>
      <c r="Q35" s="65"/>
      <c r="R35" s="65"/>
      <c r="S35" s="65"/>
      <c r="T35" s="65"/>
      <c r="U35" s="51"/>
    </row>
    <row r="36" spans="4:21">
      <c r="D36" s="76"/>
      <c r="E36" s="72" t="s">
        <v>213</v>
      </c>
      <c r="F36" s="77"/>
      <c r="Q36" s="65"/>
      <c r="R36" s="65"/>
      <c r="S36" s="65"/>
      <c r="T36" s="65"/>
      <c r="U36" s="51"/>
    </row>
    <row r="37" spans="4:21">
      <c r="D37" s="76"/>
      <c r="E37" s="72"/>
      <c r="F37" s="77"/>
      <c r="Q37" s="65"/>
      <c r="R37" s="65"/>
      <c r="S37" s="65"/>
      <c r="T37" s="65"/>
      <c r="U37" s="51"/>
    </row>
    <row r="38" spans="4:21" ht="5.25" customHeight="1">
      <c r="D38" s="76"/>
      <c r="E38" s="72"/>
      <c r="F38" s="77"/>
      <c r="Q38" s="65"/>
      <c r="R38" s="65"/>
      <c r="S38" s="65"/>
      <c r="T38" s="65"/>
      <c r="U38" s="51"/>
    </row>
    <row r="39" spans="4:21" ht="5.25" customHeight="1">
      <c r="D39" s="76"/>
      <c r="E39" s="72"/>
      <c r="F39" s="77"/>
      <c r="Q39" s="65"/>
      <c r="R39" s="65"/>
      <c r="S39" s="65"/>
      <c r="T39" s="65"/>
      <c r="U39" s="51"/>
    </row>
    <row r="40" spans="4:21">
      <c r="D40" s="76"/>
      <c r="E40" s="72"/>
      <c r="F40" s="77"/>
      <c r="Q40" s="65"/>
      <c r="R40" s="65"/>
      <c r="S40" s="65"/>
      <c r="T40" s="65"/>
      <c r="U40" s="51"/>
    </row>
    <row r="41" spans="4:21" ht="24" thickBot="1">
      <c r="D41" s="78"/>
      <c r="E41" s="79"/>
      <c r="F41" s="80"/>
      <c r="K41" s="1280" t="str">
        <f>DEPAN!E12</f>
        <v>H. SAMSUDIN,M.Pd</v>
      </c>
      <c r="L41" s="1280"/>
      <c r="M41" s="1280"/>
      <c r="N41" s="1280"/>
      <c r="O41" s="1280"/>
      <c r="P41" s="1280"/>
      <c r="Q41" s="65"/>
      <c r="R41" s="65"/>
      <c r="S41" s="65"/>
      <c r="T41" s="65"/>
      <c r="U41" s="51"/>
    </row>
    <row r="42" spans="4:21">
      <c r="D42" s="72"/>
      <c r="E42" s="72"/>
      <c r="K42" s="1281" t="str">
        <f>CONCATENATE("NIP. ",DEPAN!E13)</f>
        <v>NIP. 19921233 198777 1 336</v>
      </c>
      <c r="L42" s="1281"/>
      <c r="M42" s="1281"/>
      <c r="N42" s="1281"/>
      <c r="O42" s="1281"/>
      <c r="P42" s="1281"/>
      <c r="Q42" s="65"/>
      <c r="R42" s="65"/>
      <c r="S42" s="65"/>
      <c r="T42" s="65"/>
      <c r="U42" s="51"/>
    </row>
    <row r="43" spans="4:21">
      <c r="Q43" s="65"/>
      <c r="R43" s="65"/>
      <c r="S43" s="65"/>
      <c r="T43" s="65"/>
      <c r="U43" s="51"/>
    </row>
    <row r="44" spans="4:21">
      <c r="U44" s="51"/>
    </row>
    <row r="45" spans="4:21">
      <c r="U45" s="51"/>
    </row>
    <row r="46" spans="4:21"/>
  </sheetData>
  <mergeCells count="21">
    <mergeCell ref="G15:N15"/>
    <mergeCell ref="G16:N16"/>
    <mergeCell ref="G18:N18"/>
    <mergeCell ref="G12:M12"/>
    <mergeCell ref="A4:P4"/>
    <mergeCell ref="G8:H8"/>
    <mergeCell ref="G11:N11"/>
    <mergeCell ref="G9:O9"/>
    <mergeCell ref="G13:P13"/>
    <mergeCell ref="G19:N19"/>
    <mergeCell ref="G30:N30"/>
    <mergeCell ref="K41:P41"/>
    <mergeCell ref="K42:P42"/>
    <mergeCell ref="J34:P34"/>
    <mergeCell ref="G29:N29"/>
    <mergeCell ref="G28:N28"/>
    <mergeCell ref="G21:N21"/>
    <mergeCell ref="G22:N22"/>
    <mergeCell ref="G23:N23"/>
    <mergeCell ref="G24:N24"/>
    <mergeCell ref="G25:N25"/>
  </mergeCells>
  <pageMargins left="0.5" right="0.15" top="0.45" bottom="0.75" header="0.3" footer="0.3"/>
  <pageSetup paperSize="9" scale="75"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pinner 1">
              <controlPr defaultSize="0" autoPict="0">
                <anchor moveWithCells="1" sizeWithCells="1">
                  <from>
                    <xdr:col>18</xdr:col>
                    <xdr:colOff>95250</xdr:colOff>
                    <xdr:row>1</xdr:row>
                    <xdr:rowOff>0</xdr:rowOff>
                  </from>
                  <to>
                    <xdr:col>18</xdr:col>
                    <xdr:colOff>552450</xdr:colOff>
                    <xdr:row>2</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Q118"/>
  <sheetViews>
    <sheetView view="pageBreakPreview" topLeftCell="A4" zoomScale="70" zoomScaleSheetLayoutView="70" workbookViewId="0">
      <selection activeCell="M5" sqref="M5"/>
    </sheetView>
  </sheetViews>
  <sheetFormatPr defaultColWidth="0" defaultRowHeight="20.25" zeroHeight="1"/>
  <cols>
    <col min="1" max="1" width="5.28515625" style="82" customWidth="1"/>
    <col min="2" max="2" width="15.85546875" style="82" customWidth="1"/>
    <col min="3" max="4" width="2.7109375" style="82" customWidth="1"/>
    <col min="5" max="5" width="5.42578125" style="82" customWidth="1"/>
    <col min="6" max="6" width="32.7109375" style="82" customWidth="1"/>
    <col min="7" max="7" width="4.7109375" style="82" customWidth="1"/>
    <col min="8" max="8" width="9.5703125" style="82" customWidth="1"/>
    <col min="9" max="9" width="11.7109375" style="82" customWidth="1"/>
    <col min="10" max="10" width="29.140625" style="82" customWidth="1"/>
    <col min="11" max="12" width="2.28515625" style="82" customWidth="1"/>
    <col min="13" max="17" width="9.140625" style="82" customWidth="1"/>
    <col min="18" max="16384" width="9.140625" style="82" hidden="1"/>
  </cols>
  <sheetData>
    <row r="1" spans="1:13">
      <c r="A1" s="1327" t="s">
        <v>214</v>
      </c>
      <c r="B1" s="1327"/>
      <c r="C1" s="1327"/>
      <c r="D1" s="1327"/>
      <c r="E1" s="1327"/>
      <c r="F1" s="1327"/>
      <c r="G1" s="1327"/>
      <c r="H1" s="1327"/>
      <c r="I1" s="1327"/>
      <c r="J1" s="1327"/>
    </row>
    <row r="2" spans="1:13" ht="21" thickBot="1"/>
    <row r="3" spans="1:13" ht="30.75" customHeight="1">
      <c r="A3" s="83" t="s">
        <v>215</v>
      </c>
      <c r="B3" s="83"/>
      <c r="C3" s="83" t="s">
        <v>188</v>
      </c>
      <c r="D3" s="1313" t="str">
        <f>VLOOKUP($M$3,REKAP!A:BS,3)</f>
        <v>Anak 1</v>
      </c>
      <c r="E3" s="1313"/>
      <c r="F3" s="1313"/>
      <c r="H3" s="83" t="s">
        <v>334</v>
      </c>
      <c r="I3" s="84"/>
      <c r="J3" s="85" t="str">
        <f>DEPAN!E14</f>
        <v>4 (Empat)</v>
      </c>
      <c r="M3" s="1311">
        <v>1</v>
      </c>
    </row>
    <row r="4" spans="1:13" ht="30.75" customHeight="1" thickBot="1">
      <c r="A4" s="83" t="s">
        <v>45</v>
      </c>
      <c r="B4" s="83"/>
      <c r="C4" s="83" t="s">
        <v>188</v>
      </c>
      <c r="D4" s="1313">
        <f>VLOOKUP($M$3,REKAP!A:BS,2)</f>
        <v>4822</v>
      </c>
      <c r="E4" s="1313"/>
      <c r="F4" s="1313"/>
      <c r="H4" s="83" t="s">
        <v>335</v>
      </c>
      <c r="I4" s="84"/>
      <c r="J4" s="85" t="str">
        <f>DEPAN!G14</f>
        <v>Genap</v>
      </c>
      <c r="M4" s="1312"/>
    </row>
    <row r="5" spans="1:13" ht="35.25" customHeight="1">
      <c r="A5" s="83" t="s">
        <v>11</v>
      </c>
      <c r="B5" s="83"/>
      <c r="C5" s="83" t="s">
        <v>188</v>
      </c>
      <c r="D5" s="86" t="str">
        <f>DEPAN!E10</f>
        <v>SDN UJUNG ASPAL 01</v>
      </c>
      <c r="E5" s="84"/>
      <c r="F5" s="84"/>
      <c r="H5" s="83" t="s">
        <v>216</v>
      </c>
      <c r="I5" s="84"/>
      <c r="J5" s="85"/>
    </row>
    <row r="6" spans="1:13" ht="30.75" customHeight="1">
      <c r="A6" s="699" t="s">
        <v>217</v>
      </c>
      <c r="B6" s="699"/>
      <c r="C6" s="699" t="s">
        <v>188</v>
      </c>
      <c r="D6" s="1318" t="str">
        <f>DEPAN!E11</f>
        <v>Jl.Ndeso gang 33 Sidokuto</v>
      </c>
      <c r="E6" s="1318"/>
      <c r="F6" s="1318"/>
      <c r="H6" s="700" t="s">
        <v>336</v>
      </c>
      <c r="I6" s="700"/>
      <c r="J6" s="701" t="str">
        <f>DEPAN!E15</f>
        <v>2018/2019</v>
      </c>
    </row>
    <row r="7" spans="1:13">
      <c r="A7" s="84"/>
      <c r="B7" s="84"/>
      <c r="C7" s="84"/>
      <c r="D7" s="1318"/>
      <c r="E7" s="1318"/>
      <c r="F7" s="1318"/>
      <c r="G7" s="84"/>
      <c r="H7" s="84"/>
      <c r="I7" s="84"/>
      <c r="J7" s="84"/>
    </row>
    <row r="8" spans="1:13">
      <c r="A8" s="87" t="s">
        <v>218</v>
      </c>
    </row>
    <row r="9" spans="1:13">
      <c r="A9" s="1314" t="s">
        <v>180</v>
      </c>
      <c r="B9" s="1314"/>
      <c r="C9" s="1314"/>
      <c r="D9" s="1314"/>
      <c r="E9" s="1314"/>
      <c r="F9" s="1314"/>
      <c r="G9" s="1314"/>
      <c r="H9" s="1314"/>
      <c r="I9" s="1314"/>
      <c r="J9" s="1314"/>
    </row>
    <row r="10" spans="1:13" ht="114" customHeight="1">
      <c r="A10" s="88">
        <v>1</v>
      </c>
      <c r="B10" s="1306" t="s">
        <v>219</v>
      </c>
      <c r="C10" s="1306"/>
      <c r="D10" s="1306"/>
      <c r="E10" s="1315" t="str">
        <f>VLOOKUP($M$3,REKAP!A:BS,4)</f>
        <v xml:space="preserve">Ananda Anak 1 baik dalam  ketaatan beribadah,  berperilaku syukur,  berdoa sebelum dan sesudah melakukan kegiatan,  toleransi dalam beribadah, </v>
      </c>
      <c r="F10" s="1316"/>
      <c r="G10" s="1316"/>
      <c r="H10" s="1316"/>
      <c r="I10" s="1316"/>
      <c r="J10" s="1317"/>
    </row>
    <row r="11" spans="1:13" ht="112.5" customHeight="1">
      <c r="A11" s="88">
        <v>2</v>
      </c>
      <c r="B11" s="1306" t="s">
        <v>220</v>
      </c>
      <c r="C11" s="1306"/>
      <c r="D11" s="1306"/>
      <c r="E11" s="1315" t="str">
        <f>VLOOKUP($M$3,REKAP!A:BS,5)</f>
        <v xml:space="preserve">Ananda Anak 1 baik dalam sikap jujur, disiplin, tanggung jawab, peduli, percaya diri, kerja sama, dan sudah mampu meningkatkan sikap santun, </v>
      </c>
      <c r="F11" s="1316"/>
      <c r="G11" s="1316"/>
      <c r="H11" s="1316"/>
      <c r="I11" s="1316"/>
      <c r="J11" s="1317"/>
    </row>
    <row r="12" spans="1:13">
      <c r="A12" s="89"/>
      <c r="B12" s="90"/>
      <c r="C12" s="90"/>
      <c r="D12" s="90"/>
      <c r="E12" s="90"/>
      <c r="F12" s="90"/>
      <c r="G12" s="90"/>
      <c r="H12" s="90"/>
      <c r="I12" s="90"/>
      <c r="J12" s="90"/>
    </row>
    <row r="13" spans="1:13">
      <c r="A13" s="87" t="s">
        <v>221</v>
      </c>
      <c r="B13" s="90"/>
      <c r="C13" s="90"/>
      <c r="D13" s="90"/>
      <c r="E13" s="90"/>
      <c r="F13" s="90"/>
      <c r="G13" s="90"/>
      <c r="H13" s="90"/>
      <c r="I13" s="90"/>
      <c r="J13" s="90"/>
    </row>
    <row r="14" spans="1:13"/>
    <row r="15" spans="1:13">
      <c r="A15" s="1291" t="s">
        <v>16</v>
      </c>
      <c r="B15" s="1291" t="s">
        <v>222</v>
      </c>
      <c r="C15" s="1293" t="s">
        <v>223</v>
      </c>
      <c r="D15" s="1294"/>
      <c r="E15" s="1294"/>
      <c r="F15" s="1295"/>
      <c r="G15" s="1291" t="s">
        <v>224</v>
      </c>
      <c r="H15" s="1291"/>
      <c r="I15" s="1291"/>
      <c r="J15" s="1291"/>
    </row>
    <row r="16" spans="1:13" ht="31.5">
      <c r="A16" s="1291"/>
      <c r="B16" s="1291"/>
      <c r="C16" s="1296" t="s">
        <v>5</v>
      </c>
      <c r="D16" s="1297"/>
      <c r="E16" s="102" t="s">
        <v>6</v>
      </c>
      <c r="F16" s="103" t="s">
        <v>180</v>
      </c>
      <c r="G16" s="103" t="s">
        <v>5</v>
      </c>
      <c r="H16" s="102" t="s">
        <v>6</v>
      </c>
      <c r="I16" s="1296" t="s">
        <v>180</v>
      </c>
      <c r="J16" s="1297"/>
    </row>
    <row r="17" spans="1:10" ht="268.5" customHeight="1">
      <c r="A17" s="88">
        <v>1</v>
      </c>
      <c r="B17" s="91" t="s">
        <v>264</v>
      </c>
      <c r="C17" s="1298">
        <f>VLOOKUP($M$3,REKAP!A:BS,6)</f>
        <v>92</v>
      </c>
      <c r="D17" s="1298"/>
      <c r="E17" s="91" t="str">
        <f>VLOOKUP($M$3,REKAP!A:BS,7)</f>
        <v>A</v>
      </c>
      <c r="F17" s="323" t="str">
        <f>VLOOKUP($M$3,REKAP!A:BS,8)</f>
        <v>Anak 1 sangat baik  dalam memahami manfaat gemar membaca, dan  cukup baik  dalam memahami makna ibadah salat</v>
      </c>
      <c r="G17" s="91">
        <f>VLOOKUP($M$3,REKAP!A:BS,39)</f>
        <v>88</v>
      </c>
      <c r="H17" s="91" t="str">
        <f>VLOOKUP($M$3,REKAP!A:BS,40)</f>
        <v>B</v>
      </c>
      <c r="I17" s="1289" t="str">
        <f>VLOOKUP($M$3,REKAP!A:BS,41)</f>
        <v>Anak 1 baik  dalam membaca Q.S. al- Falaq dan Q.S.al-Fil dengan tartil</v>
      </c>
      <c r="J17" s="1290"/>
    </row>
    <row r="18" spans="1:10" ht="118.5" customHeight="1">
      <c r="A18" s="199"/>
      <c r="B18" s="200"/>
      <c r="C18" s="200"/>
      <c r="D18" s="200"/>
      <c r="E18" s="200"/>
      <c r="F18" s="201"/>
      <c r="G18" s="200"/>
      <c r="H18" s="200"/>
      <c r="I18" s="200"/>
      <c r="J18" s="202"/>
    </row>
    <row r="19" spans="1:10">
      <c r="A19" s="199"/>
      <c r="B19" s="200"/>
      <c r="C19" s="200"/>
      <c r="D19" s="200"/>
      <c r="E19" s="200"/>
      <c r="F19" s="201"/>
      <c r="G19" s="200"/>
      <c r="H19" s="1285" t="str">
        <f>CONCATENATE($D$3,"    1")</f>
        <v>Anak 1    1</v>
      </c>
      <c r="I19" s="1285"/>
      <c r="J19" s="1285"/>
    </row>
    <row r="20" spans="1:10">
      <c r="A20" s="1291" t="s">
        <v>16</v>
      </c>
      <c r="B20" s="1291" t="s">
        <v>222</v>
      </c>
      <c r="C20" s="1293" t="s">
        <v>223</v>
      </c>
      <c r="D20" s="1294"/>
      <c r="E20" s="1294"/>
      <c r="F20" s="1295"/>
      <c r="G20" s="1330" t="s">
        <v>224</v>
      </c>
      <c r="H20" s="1330"/>
      <c r="I20" s="1330"/>
      <c r="J20" s="1330"/>
    </row>
    <row r="21" spans="1:10" ht="31.5">
      <c r="A21" s="1291"/>
      <c r="B21" s="1291"/>
      <c r="C21" s="1296" t="s">
        <v>5</v>
      </c>
      <c r="D21" s="1297"/>
      <c r="E21" s="102" t="s">
        <v>6</v>
      </c>
      <c r="F21" s="103" t="s">
        <v>180</v>
      </c>
      <c r="G21" s="103" t="s">
        <v>5</v>
      </c>
      <c r="H21" s="102" t="s">
        <v>6</v>
      </c>
      <c r="I21" s="1296" t="s">
        <v>180</v>
      </c>
      <c r="J21" s="1297"/>
    </row>
    <row r="22" spans="1:10" ht="337.5" customHeight="1">
      <c r="A22" s="88">
        <v>2</v>
      </c>
      <c r="B22" s="91" t="s">
        <v>170</v>
      </c>
      <c r="C22" s="1298">
        <f>VLOOKUP($M$3,REKAP!A:BS,9)</f>
        <v>93</v>
      </c>
      <c r="D22" s="1298"/>
      <c r="E22" s="91" t="str">
        <f>VLOOKUP($M$3,REKAP!A:BS,10)</f>
        <v>A</v>
      </c>
      <c r="F22" s="324" t="str">
        <f>VLOOKUP($M$3,REKAP!A:BS,11)</f>
        <v>Anak 1 sangat baik  dalam mengidentifikasi berbagai bentuk keragaman suku bangsa, sosial, dan budaya di Indonesia yang terikat persatuan dan kesatuan., dan  baik  dalam mengidentifikasi pelaksanaan kewajiban dan hak sebagai warga masyarakat dalam kehidupan sehari-hari.</v>
      </c>
      <c r="G22" s="91">
        <f>VLOOKUP($M$3,REKAP!A:BS,42)</f>
        <v>84</v>
      </c>
      <c r="H22" s="91" t="str">
        <f>VLOOKUP($M$3,REKAP!A:BS,43)</f>
        <v>B</v>
      </c>
      <c r="I22" s="1289" t="str">
        <f>VLOOKUP($M$3,REKAP!A:BS,44)</f>
        <v>Anak 1 sangat baik  dalam mengemukakan manfaat keberagaman karakteristik individu dalam kehidupan sehari-hari., dan  perlu bimbingan  dalam menyajikan hasil identifikasi pelaksanaan kewajiban dan hak sebagai warga masyarakat dalam kehidupan sehari-hari.</v>
      </c>
      <c r="J22" s="1290"/>
    </row>
    <row r="23" spans="1:10" ht="408.75" customHeight="1">
      <c r="A23" s="1325">
        <v>3</v>
      </c>
      <c r="B23" s="1319" t="s">
        <v>225</v>
      </c>
      <c r="C23" s="1321">
        <f>VLOOKUP($M$3,REKAP!A:BS,12)</f>
        <v>85</v>
      </c>
      <c r="D23" s="1322"/>
      <c r="E23" s="1319" t="str">
        <f>VLOOKUP($M$3,REKAP!A:BS,13)</f>
        <v>B</v>
      </c>
      <c r="F23" s="1335" t="str">
        <f>VLOOKUP($M$3,REKAP!A:BS,14)</f>
        <v>Anak 1 baik  dalam menggali informasi dari seorang tokoh melalui wawancara menggunakan daftar pertanyaan., dan  cukup baik  dalam menggali isi dan amanat puisi yang disajikan secara lisan dan tulis dengan tujuan untuk kesenangan.</v>
      </c>
      <c r="G23" s="1319">
        <f>VLOOKUP($M$3,REKAP!A:BS,45)</f>
        <v>87</v>
      </c>
      <c r="H23" s="1319" t="str">
        <f>VLOOKUP($M$3,REKAP!A:BS,46)</f>
        <v>B</v>
      </c>
      <c r="I23" s="1331" t="str">
        <f>VLOOKUP($M$3,REKAP!A:BS,47)</f>
        <v>Anak 1 sangat baik  dalam melaporkan hasil wawancara menggunakan kosakata baku dan kalimat efektif dalam bentuk teks tulis., dan  cukup baik  dalam 0</v>
      </c>
      <c r="J23" s="1332"/>
    </row>
    <row r="24" spans="1:10" ht="160.5" customHeight="1">
      <c r="A24" s="1326"/>
      <c r="B24" s="1320"/>
      <c r="C24" s="1323"/>
      <c r="D24" s="1324"/>
      <c r="E24" s="1320"/>
      <c r="F24" s="1336"/>
      <c r="G24" s="1320"/>
      <c r="H24" s="1320"/>
      <c r="I24" s="1333"/>
      <c r="J24" s="1334"/>
    </row>
    <row r="25" spans="1:10" ht="27" customHeight="1">
      <c r="A25" s="89"/>
      <c r="B25" s="203"/>
      <c r="C25" s="203"/>
      <c r="D25" s="203"/>
      <c r="E25" s="203"/>
      <c r="F25" s="204"/>
      <c r="G25" s="203"/>
      <c r="H25" s="203"/>
      <c r="I25" s="203"/>
      <c r="J25" s="204"/>
    </row>
    <row r="26" spans="1:10">
      <c r="A26" s="199"/>
      <c r="B26" s="200"/>
      <c r="C26" s="200"/>
      <c r="D26" s="200"/>
      <c r="E26" s="200"/>
      <c r="F26" s="201"/>
      <c r="G26" s="200"/>
      <c r="H26" s="1284" t="str">
        <f>CONCATENATE($D$3,"    2")</f>
        <v>Anak 1    2</v>
      </c>
      <c r="I26" s="1284"/>
      <c r="J26" s="1284"/>
    </row>
    <row r="27" spans="1:10">
      <c r="A27" s="1291" t="s">
        <v>16</v>
      </c>
      <c r="B27" s="1291" t="s">
        <v>222</v>
      </c>
      <c r="C27" s="1293" t="s">
        <v>223</v>
      </c>
      <c r="D27" s="1294"/>
      <c r="E27" s="1294"/>
      <c r="F27" s="1295"/>
      <c r="G27" s="1291" t="s">
        <v>224</v>
      </c>
      <c r="H27" s="1328"/>
      <c r="I27" s="1328"/>
      <c r="J27" s="1328"/>
    </row>
    <row r="28" spans="1:10" ht="31.5">
      <c r="A28" s="1291"/>
      <c r="B28" s="1291"/>
      <c r="C28" s="1296" t="s">
        <v>5</v>
      </c>
      <c r="D28" s="1297"/>
      <c r="E28" s="102" t="s">
        <v>6</v>
      </c>
      <c r="F28" s="103" t="s">
        <v>180</v>
      </c>
      <c r="G28" s="103" t="s">
        <v>5</v>
      </c>
      <c r="H28" s="102" t="s">
        <v>6</v>
      </c>
      <c r="I28" s="1296" t="s">
        <v>180</v>
      </c>
      <c r="J28" s="1297"/>
    </row>
    <row r="29" spans="1:10" ht="408.75" customHeight="1">
      <c r="A29" s="1325">
        <v>4</v>
      </c>
      <c r="B29" s="1319" t="s">
        <v>226</v>
      </c>
      <c r="C29" s="1321">
        <f>VLOOKUP($M$3,REKAP!A:BS,15)</f>
        <v>79</v>
      </c>
      <c r="D29" s="1322"/>
      <c r="E29" s="1319" t="str">
        <f>VLOOKUP($M$3,REKAP!A:BS,16)</f>
        <v>C</v>
      </c>
      <c r="F29" s="1335" t="str">
        <f>VLOOKUP($M$3,REKAP!A:BS,17)</f>
        <v>Anak 1 baik  dalam menjelaskan berbagai bentuk pecahan (biasa, campuran, desimal, dan persen) dan hubungan di antaranya, dan  cukup baik  dalam menjelaskan pecahan-pecahan senilai dengan gambar dan model konkret</v>
      </c>
      <c r="G29" s="1319">
        <f>VLOOKUP($M$3,REKAP!A:BS,48)</f>
        <v>85</v>
      </c>
      <c r="H29" s="1319" t="str">
        <f>VLOOKUP($M$3,REKAP!A:BS,49)</f>
        <v>B</v>
      </c>
      <c r="I29" s="1331" t="str">
        <f>VLOOKUP($M$3,REKAP!A:BS,50)</f>
        <v>Anak 1 sangat baik  dalam mengidentifikasi pecahan-pecahan senilai dengan gambar dan model konkret, dan  cukup baik  dalam menyelesaikan masalah yang berkaitan dengan faktor persekutuan, faktor persekutuan terbesar (FPB), kelipatan persekutuan, dan kelipatan persekutuan terkecil (KPK) dari dua bilangan berkaitan dengan kehidupan sehari-hari</v>
      </c>
      <c r="J29" s="1332"/>
    </row>
    <row r="30" spans="1:10" ht="113.25" customHeight="1">
      <c r="A30" s="1326"/>
      <c r="B30" s="1320"/>
      <c r="C30" s="1323"/>
      <c r="D30" s="1324"/>
      <c r="E30" s="1320"/>
      <c r="F30" s="1336"/>
      <c r="G30" s="1320"/>
      <c r="H30" s="1320"/>
      <c r="I30" s="1333"/>
      <c r="J30" s="1334"/>
    </row>
    <row r="31" spans="1:10" ht="341.25" customHeight="1">
      <c r="A31" s="88">
        <v>5</v>
      </c>
      <c r="B31" s="91" t="s">
        <v>260</v>
      </c>
      <c r="C31" s="1298">
        <f>VLOOKUP($M$3,REKAP!A:BS,18)</f>
        <v>93</v>
      </c>
      <c r="D31" s="1298"/>
      <c r="E31" s="91" t="str">
        <f>VLOOKUP($M$3,REKAP!A:BS,19)</f>
        <v>A</v>
      </c>
      <c r="F31" s="323" t="str">
        <f>VLOOKUP($M$3,REKAP!A:BS,20)</f>
        <v>Anak 1 sangat baik  dalam mengidentifikasi berbagai sumber energi, perubahan bentuk energi, dan sumber energi alternatif (angin, air, matahari, panas bumi, bahan bakar organik, dan nuklir) dalam kehidupan sehari-hari., dan  baik  dalam membandingkan siklus hidup beberapa jenis makhluk hidup serta mengaitkan dengan upaya pelestariannya.</v>
      </c>
      <c r="G31" s="91">
        <f>VLOOKUP($M$3,REKAP!A:BS,51)</f>
        <v>87</v>
      </c>
      <c r="H31" s="91" t="str">
        <f>VLOOKUP($M$3,REKAP!A:BS,52)</f>
        <v>B</v>
      </c>
      <c r="I31" s="1289" t="str">
        <f>VLOOKUP($M$3,REKAP!A:BS,53)</f>
        <v>Anak 1 sangat baik  dalam membuat skema siklus hidup beberapa jenis makhluk hidup yang ada di lingkungan sekitarnya, dan slogan upaya pelestariannya., dan  cukup baik  dalam 0</v>
      </c>
      <c r="J31" s="1290"/>
    </row>
    <row r="32" spans="1:10" ht="70.5" customHeight="1">
      <c r="A32" s="89"/>
      <c r="B32" s="203"/>
      <c r="C32" s="203"/>
      <c r="D32" s="203"/>
      <c r="E32" s="203"/>
      <c r="F32" s="204"/>
      <c r="G32" s="203"/>
      <c r="H32" s="203"/>
      <c r="I32" s="203"/>
      <c r="J32" s="204"/>
    </row>
    <row r="33" spans="1:10">
      <c r="A33" s="199"/>
      <c r="B33" s="200"/>
      <c r="C33" s="200"/>
      <c r="D33" s="200"/>
      <c r="E33" s="200"/>
      <c r="F33" s="201"/>
      <c r="G33" s="200"/>
      <c r="H33" s="1284" t="str">
        <f>CONCATENATE($D$3,"    3")</f>
        <v>Anak 1    3</v>
      </c>
      <c r="I33" s="1284"/>
      <c r="J33" s="1284"/>
    </row>
    <row r="34" spans="1:10">
      <c r="A34" s="1291" t="s">
        <v>16</v>
      </c>
      <c r="B34" s="1291" t="s">
        <v>222</v>
      </c>
      <c r="C34" s="1293" t="s">
        <v>223</v>
      </c>
      <c r="D34" s="1294"/>
      <c r="E34" s="1294"/>
      <c r="F34" s="1295"/>
      <c r="G34" s="1291" t="s">
        <v>224</v>
      </c>
      <c r="H34" s="1328"/>
      <c r="I34" s="1328"/>
      <c r="J34" s="1328"/>
    </row>
    <row r="35" spans="1:10" ht="31.5">
      <c r="A35" s="1291"/>
      <c r="B35" s="1291"/>
      <c r="C35" s="1296" t="s">
        <v>5</v>
      </c>
      <c r="D35" s="1297"/>
      <c r="E35" s="102" t="s">
        <v>6</v>
      </c>
      <c r="F35" s="103" t="s">
        <v>180</v>
      </c>
      <c r="G35" s="103" t="s">
        <v>5</v>
      </c>
      <c r="H35" s="102" t="s">
        <v>6</v>
      </c>
      <c r="I35" s="1296" t="s">
        <v>180</v>
      </c>
      <c r="J35" s="1297"/>
    </row>
    <row r="36" spans="1:10" ht="321.75" customHeight="1">
      <c r="A36" s="88">
        <v>6</v>
      </c>
      <c r="B36" s="92" t="s">
        <v>261</v>
      </c>
      <c r="C36" s="1298">
        <f>VLOOKUP($M$3,REKAP!A:BS,21)</f>
        <v>88</v>
      </c>
      <c r="D36" s="1298"/>
      <c r="E36" s="91" t="str">
        <f>VLOOKUP($M$3,REKAP!A:BS,22)</f>
        <v>B</v>
      </c>
      <c r="F36" s="323" t="str">
        <f>VLOOKUP($M$3,REKAP!A:BS,23)</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G36" s="91">
        <f>VLOOKUP($M$3,REKAP!A:BS,54)</f>
        <v>89</v>
      </c>
      <c r="H36" s="91" t="str">
        <f>VLOOKUP($M$3,REKAP!A:BS,55)</f>
        <v>B</v>
      </c>
      <c r="I36" s="1289" t="str">
        <f>VLOOKUP($M$3,REKAP!A:BS,56)</f>
        <v>Anak 1 sangat baik  dalam menyajikan hasil identifikasi karakteristik ruang dan pemanfaatan sumber daya alam untuk kesejahteraan masyarakat dari tingkat kota/kabupaten sampai tingkat provinsi., dan  baik  dalam 0</v>
      </c>
      <c r="J36" s="1290"/>
    </row>
    <row r="37" spans="1:10" ht="230.25" customHeight="1">
      <c r="A37" s="88">
        <v>7</v>
      </c>
      <c r="B37" s="92" t="s">
        <v>265</v>
      </c>
      <c r="C37" s="1298">
        <f>VLOOKUP($M$3,REKAP!A:BS,24)</f>
        <v>95</v>
      </c>
      <c r="D37" s="1298"/>
      <c r="E37" s="91" t="str">
        <f>VLOOKUP($M$3,REKAP!A:BS,25)</f>
        <v>A</v>
      </c>
      <c r="F37" s="323" t="str">
        <f>VLOOKUP($M$3,REKAP!A:BS,26)</f>
        <v>Anak 1 sangat baik  dalam mengetahui gambar dan bentuk tiga dimensi., dan  baik  dalam mengetahui tanda tempo dan tinggi rendah nada.</v>
      </c>
      <c r="G37" s="91">
        <f>VLOOKUP($M$3,REKAP!A:BS,57)</f>
        <v>83</v>
      </c>
      <c r="H37" s="91" t="str">
        <f>VLOOKUP($M$3,REKAP!A:BS,58)</f>
        <v>B</v>
      </c>
      <c r="I37" s="1289" t="str">
        <f>VLOOKUP($M$3,REKAP!A:BS,59)</f>
        <v>Anak 1 baik  dalam menyanyikan lagu dengan memperhatikan tempo dan tinggi rendah nada., dan  cukup baik  dalam menggambar dan membentuk tiga dimensi</v>
      </c>
      <c r="J37" s="1290"/>
    </row>
    <row r="38" spans="1:10" ht="354" customHeight="1">
      <c r="A38" s="88">
        <v>8</v>
      </c>
      <c r="B38" s="91" t="s">
        <v>174</v>
      </c>
      <c r="C38" s="1298">
        <f>VLOOKUP($M$3,REKAP!A:BS,27)</f>
        <v>86</v>
      </c>
      <c r="D38" s="1298"/>
      <c r="E38" s="91" t="str">
        <f>VLOOKUP($M$3,REKAP!A:BS,28)</f>
        <v>B</v>
      </c>
      <c r="F38" s="323" t="str">
        <f>VLOOKUP($M$3,REKAP!A:BS,29)</f>
        <v>Anak 1 sangat baik  dalam memahami konsep berbagai aktifitas kebugaran jasmani untuk mencapai tinggi dan berat badan ideal, dan  cukup baik  dalam memahami konsep variasi dan kombinasi gerak dasar lokomotor,non lokomotor, dan manipulative dalam berbagai permainan dan atau olahraga tradisional bola kecii.</v>
      </c>
      <c r="G38" s="91">
        <f>VLOOKUP($M$3,REKAP!A:BS,60)</f>
        <v>87</v>
      </c>
      <c r="H38" s="91" t="str">
        <f>VLOOKUP($M$3,REKAP!A:BS,61)</f>
        <v>B</v>
      </c>
      <c r="I38" s="1289" t="str">
        <f>VLOOKUP($M$3,REKAP!A:BS,62)</f>
        <v>Anak 1 sangat baik  dalam mempraktikkan kombinasi pola gerak dasar lokomotor untuk membentuk gerakan dasar atletik jalan cepat dan lari yang dilandasi konsep gerak melalui permainan dan atau olahraga tradisional., dan  cukup baik  dalam mempraktikkan penggunaan kombinasi pola gerak dasar lokomotor, nonlokomotor dan manipulatif sesuai dengan irama (ketukan) tanpa/dengan musik dalam aktivitas gerak rimtik.</v>
      </c>
      <c r="J38" s="1290"/>
    </row>
    <row r="39" spans="1:10" ht="43.5" customHeight="1">
      <c r="A39" s="89"/>
      <c r="B39" s="203"/>
      <c r="C39" s="203"/>
      <c r="D39" s="203"/>
      <c r="E39" s="203"/>
      <c r="F39" s="204"/>
      <c r="G39" s="203"/>
      <c r="H39" s="203"/>
      <c r="I39" s="203"/>
      <c r="J39" s="204"/>
    </row>
    <row r="40" spans="1:10">
      <c r="A40" s="199"/>
      <c r="B40" s="200"/>
      <c r="C40" s="200"/>
      <c r="D40" s="200"/>
      <c r="E40" s="200"/>
      <c r="F40" s="201"/>
      <c r="G40" s="200"/>
      <c r="H40" s="1285" t="str">
        <f>CONCATENATE($D$3,"    4")</f>
        <v>Anak 1    4</v>
      </c>
      <c r="I40" s="1285"/>
      <c r="J40" s="1285"/>
    </row>
    <row r="41" spans="1:10">
      <c r="A41" s="93"/>
      <c r="B41" s="94"/>
      <c r="C41" s="94"/>
      <c r="D41" s="94"/>
      <c r="E41" s="94"/>
      <c r="F41" s="95"/>
      <c r="G41" s="94"/>
      <c r="H41" s="94"/>
      <c r="I41" s="94"/>
      <c r="J41" s="95"/>
    </row>
    <row r="42" spans="1:10" ht="19.5" customHeight="1">
      <c r="A42" s="1292" t="s">
        <v>227</v>
      </c>
      <c r="B42" s="1292"/>
      <c r="C42" s="1292"/>
      <c r="D42" s="1292"/>
      <c r="E42" s="1292"/>
      <c r="F42" s="1292"/>
      <c r="G42" s="1292"/>
      <c r="H42" s="1292"/>
      <c r="I42" s="1292"/>
      <c r="J42" s="1292"/>
    </row>
    <row r="43" spans="1:10">
      <c r="A43" s="1291" t="s">
        <v>16</v>
      </c>
      <c r="B43" s="1291" t="s">
        <v>222</v>
      </c>
      <c r="C43" s="1293" t="s">
        <v>223</v>
      </c>
      <c r="D43" s="1294"/>
      <c r="E43" s="1294"/>
      <c r="F43" s="1295"/>
      <c r="G43" s="1291" t="s">
        <v>224</v>
      </c>
      <c r="H43" s="1291"/>
      <c r="I43" s="1291"/>
      <c r="J43" s="1291"/>
    </row>
    <row r="44" spans="1:10" ht="31.5">
      <c r="A44" s="1291"/>
      <c r="B44" s="1291"/>
      <c r="C44" s="1296" t="s">
        <v>5</v>
      </c>
      <c r="D44" s="1297"/>
      <c r="E44" s="102" t="s">
        <v>6</v>
      </c>
      <c r="F44" s="103" t="s">
        <v>180</v>
      </c>
      <c r="G44" s="103" t="s">
        <v>5</v>
      </c>
      <c r="H44" s="102" t="s">
        <v>6</v>
      </c>
      <c r="I44" s="1296" t="s">
        <v>180</v>
      </c>
      <c r="J44" s="1297"/>
    </row>
    <row r="45" spans="1:10" ht="264" customHeight="1">
      <c r="A45" s="88">
        <v>9</v>
      </c>
      <c r="B45" s="91" t="str">
        <f>KKM!X7</f>
        <v>Bahasa Jawa</v>
      </c>
      <c r="C45" s="1298">
        <f>VLOOKUP($M$3,REKAP!A:BS,30)</f>
        <v>80</v>
      </c>
      <c r="D45" s="1298"/>
      <c r="E45" s="91" t="str">
        <f>VLOOKUP($M$3,REKAP!A:BS,31)</f>
        <v>C</v>
      </c>
      <c r="F45" s="324" t="str">
        <f>VLOOKUP($M$3,REKAP!A:BS,32)</f>
        <v>Anak 1 baik  dalam mengenal, memahami, dan mengidentifikasi kata berimbuhan dalam teks sesuai kaidah, dan  cukup baik  dalam mengenal dan memahmi teks tembang dolanan</v>
      </c>
      <c r="G45" s="91">
        <f>VLOOKUP($M$3,REKAP!A:BS,63)</f>
        <v>84</v>
      </c>
      <c r="H45" s="91" t="str">
        <f>VLOOKUP($M$3,REKAP!A:BS,64)</f>
        <v>B</v>
      </c>
      <c r="I45" s="1289" t="str">
        <f>VLOOKUP($M$3,REKAP!A:BS,65)</f>
        <v>Anak 1 baik  dalam menulis kalimat dengan huruf latin dan huruf Jawa menggunakan sandhangan aksar Jawa., dan  cukup baik  dalam melagukan dan mengapresiasi tembang dolanan.</v>
      </c>
      <c r="J45" s="1290"/>
    </row>
    <row r="46" spans="1:10" ht="256.5" customHeight="1">
      <c r="A46" s="88">
        <v>10</v>
      </c>
      <c r="B46" s="223" t="str">
        <f>KKM!X8</f>
        <v>Bahasa Inggris</v>
      </c>
      <c r="C46" s="1298">
        <f>VLOOKUP($M$3,REKAP!A:BS,33)</f>
        <v>81</v>
      </c>
      <c r="D46" s="1298"/>
      <c r="E46" s="91" t="str">
        <f>VLOOKUP($M$3,REKAP!A:BS,34)</f>
        <v>B</v>
      </c>
      <c r="F46" s="324" t="str">
        <f>VLOOKUP($M$3,REKAP!A:BS,35)</f>
        <v>Anak 1 baik  dalam mengenal dan mengidentifikasi benda-benda di dapur dan nama-nama bunga, dan  cukup baik  dalam mengenal, memahami dan mengidentifikasi macam-macam kalimat (order, request, and prengenal obyek-obyek wisata dan memahami penggunaan kalimat ungkapan terima kasih</v>
      </c>
      <c r="G46" s="91">
        <f>VLOOKUP($M$3,REKAP!A:BS,66)</f>
        <v>83</v>
      </c>
      <c r="H46" s="91" t="str">
        <f>VLOOKUP($M$3,REKAP!A:BS,67)</f>
        <v>B</v>
      </c>
      <c r="I46" s="1289" t="str">
        <f>VLOOKUP($M$3,REKAP!A:BS,68)</f>
        <v>Anak 1 baik  dalam melakukan percakapan yang menunjukkan letak suatu tempat, dan  cukup baik  dalam melakukan praktik menyebutkan tempat obyek wisata dan menyajikan kalimat tentang ungkapan terima kasih</v>
      </c>
      <c r="J46" s="1290"/>
    </row>
    <row r="47" spans="1:10" ht="187.5" customHeight="1">
      <c r="A47" s="88">
        <v>11</v>
      </c>
      <c r="B47" s="223" t="str">
        <f>KKM!X9</f>
        <v>TIK</v>
      </c>
      <c r="C47" s="1298">
        <f>VLOOKUP($M$3,REKAP!A:BS,36)</f>
        <v>72</v>
      </c>
      <c r="D47" s="1298"/>
      <c r="E47" s="91" t="str">
        <f>VLOOKUP($M$3,REKAP!A:BS,37)</f>
        <v>C</v>
      </c>
      <c r="F47" s="324" t="str">
        <f>VLOOKUP($M$3,REKAP!A:BS,38)</f>
        <v>Anak 1 cukup baik  dalam mengenal dan memahami penggunaan microsoft  word., dan  cukup baik  dalam memahami pembuatan dokumen di microsoft  word</v>
      </c>
      <c r="G47" s="91">
        <f>VLOOKUP($M$3,REKAP!A:BS,69)</f>
        <v>82</v>
      </c>
      <c r="H47" s="91" t="str">
        <f>VLOOKUP($M$3,REKAP!A:BS,70)</f>
        <v>B</v>
      </c>
      <c r="I47" s="1289" t="str">
        <f>VLOOKUP($M$3,REKAP!A:BS,71)</f>
        <v>Anak 1 baik  dalam mempraktikkan membuat dokumen " Cerita Dongeng", dan  cukup baik  dalam mempraktikkan membuat karangan yang berjudul" Letusan Gunung Berapi"</v>
      </c>
      <c r="J47" s="1290"/>
    </row>
    <row r="48" spans="1:10"/>
    <row r="49" spans="1:10">
      <c r="A49" s="96" t="s">
        <v>228</v>
      </c>
    </row>
    <row r="50" spans="1:10">
      <c r="A50" s="88" t="s">
        <v>16</v>
      </c>
      <c r="B50" s="1299" t="s">
        <v>672</v>
      </c>
      <c r="C50" s="1299"/>
      <c r="D50" s="1299"/>
      <c r="E50" s="1299"/>
      <c r="F50" s="1299" t="s">
        <v>229</v>
      </c>
      <c r="G50" s="1299"/>
      <c r="H50" s="1299"/>
      <c r="I50" s="1299"/>
      <c r="J50" s="1299"/>
    </row>
    <row r="51" spans="1:10">
      <c r="A51" s="88">
        <v>1</v>
      </c>
      <c r="B51" s="1306" t="s">
        <v>230</v>
      </c>
      <c r="C51" s="1306"/>
      <c r="D51" s="1306"/>
      <c r="E51" s="1306"/>
      <c r="F51" s="1315" t="str">
        <f>VLOOKUP($M$3,ABSEN!A7:W56,4)</f>
        <v>Baik</v>
      </c>
      <c r="G51" s="1316" t="str">
        <f>VLOOKUP($D$4,[2]REKAP!$B$6:$CK$41,82,FALSE)</f>
        <v>Serumen (+)</v>
      </c>
      <c r="H51" s="1316" t="str">
        <f>VLOOKUP($D$4,[2]REKAP!$B$6:$CK$41,82,FALSE)</f>
        <v>Serumen (+)</v>
      </c>
      <c r="I51" s="1316"/>
      <c r="J51" s="1317" t="str">
        <f>VLOOKUP($D$4,[2]REKAP!$B$6:$CK$41,82,FALSE)</f>
        <v>Serumen (+)</v>
      </c>
    </row>
    <row r="52" spans="1:10">
      <c r="A52" s="88">
        <v>2</v>
      </c>
      <c r="B52" s="1306" t="str">
        <f>VLOOKUP($M$3,ABSEN!A7:W56,5)</f>
        <v>Futsal</v>
      </c>
      <c r="C52" s="1306" t="str">
        <f>VLOOKUP($D$4,[2]REKAP!$B$6:$CK$41,82,FALSE)</f>
        <v>Serumen (+)</v>
      </c>
      <c r="D52" s="1306" t="str">
        <f>VLOOKUP($D$4,[2]REKAP!$B$6:$CK$41,82,FALSE)</f>
        <v>Serumen (+)</v>
      </c>
      <c r="E52" s="1306" t="str">
        <f>VLOOKUP($D$4,[2]REKAP!$B$6:$CK$41,82,FALSE)</f>
        <v>Serumen (+)</v>
      </c>
      <c r="F52" s="1306" t="str">
        <f>VLOOKUP($M$3,ABSEN!A7:W56,6)</f>
        <v>baik sekali</v>
      </c>
      <c r="G52" s="1306" t="str">
        <f>VLOOKUP($D$4,[2]REKAP!$B$6:$CK$41,82,FALSE)</f>
        <v>Serumen (+)</v>
      </c>
      <c r="H52" s="1306" t="str">
        <f>VLOOKUP($D$4,[2]REKAP!$B$6:$CK$41,82,FALSE)</f>
        <v>Serumen (+)</v>
      </c>
      <c r="I52" s="1306"/>
      <c r="J52" s="1306" t="str">
        <f>VLOOKUP($D$4,[2]REKAP!$B$6:$CK$41,82,FALSE)</f>
        <v>Serumen (+)</v>
      </c>
    </row>
    <row r="53" spans="1:10">
      <c r="A53" s="88">
        <v>3</v>
      </c>
      <c r="B53" s="1329" t="str">
        <f>VLOOKUP($M$3,ABSEN!A7:W56,7)</f>
        <v>Berenang</v>
      </c>
      <c r="C53" s="1329" t="str">
        <f>VLOOKUP($D$4,[2]REKAP!$B$6:$CK$41,82,FALSE)</f>
        <v>Serumen (+)</v>
      </c>
      <c r="D53" s="1329" t="str">
        <f>VLOOKUP($D$4,[2]REKAP!$B$6:$CK$41,82,FALSE)</f>
        <v>Serumen (+)</v>
      </c>
      <c r="E53" s="1329" t="str">
        <f>VLOOKUP($D$4,[2]REKAP!$B$6:$CK$41,82,FALSE)</f>
        <v>Serumen (+)</v>
      </c>
      <c r="F53" s="1329" t="str">
        <f>VLOOKUP($M$3,ABSEN!A7:W56,8)</f>
        <v>Cukup</v>
      </c>
      <c r="G53" s="1329" t="str">
        <f>VLOOKUP($D$4,[2]REKAP!$B$6:$CK$41,82,FALSE)</f>
        <v>Serumen (+)</v>
      </c>
      <c r="H53" s="1329" t="str">
        <f>VLOOKUP($D$4,[2]REKAP!$B$6:$CK$41,82,FALSE)</f>
        <v>Serumen (+)</v>
      </c>
      <c r="I53" s="1329"/>
      <c r="J53" s="1329" t="str">
        <f>VLOOKUP($D$4,[2]REKAP!$B$6:$CK$41,82,FALSE)</f>
        <v>Serumen (+)</v>
      </c>
    </row>
    <row r="54" spans="1:10"/>
    <row r="55" spans="1:10" ht="33.75" customHeight="1">
      <c r="A55" s="89"/>
      <c r="B55" s="203"/>
      <c r="C55" s="203"/>
      <c r="D55" s="203"/>
      <c r="E55" s="203"/>
      <c r="F55" s="204"/>
      <c r="G55" s="203"/>
      <c r="H55" s="203"/>
      <c r="I55" s="203"/>
      <c r="J55" s="204"/>
    </row>
    <row r="56" spans="1:10">
      <c r="A56" s="199"/>
      <c r="B56" s="200"/>
      <c r="C56" s="200"/>
      <c r="D56" s="200"/>
      <c r="E56" s="200"/>
      <c r="F56" s="201"/>
      <c r="G56" s="200"/>
      <c r="H56" s="1284" t="str">
        <f>CONCATENATE($D$3,"    5")</f>
        <v>Anak 1    5</v>
      </c>
      <c r="I56" s="1284"/>
      <c r="J56" s="1284"/>
    </row>
    <row r="57" spans="1:10">
      <c r="A57" s="96" t="s">
        <v>231</v>
      </c>
    </row>
    <row r="58" spans="1:10" ht="62.25" customHeight="1">
      <c r="A58" s="1315" t="str">
        <f>VLOOKUP($M$3,ABSEN!A7:W56,12)</f>
        <v xml:space="preserve">Alhamdulillah, ananda selama satu semester ini sudah banyak peningkatan dalam prestasi belajarnya, mohon ditingkatkan lagi prestasinya. Jangan lupa sholat lima waktu dan selalu berdo'a. </v>
      </c>
      <c r="B58" s="1316"/>
      <c r="C58" s="1316"/>
      <c r="D58" s="1316"/>
      <c r="E58" s="1316"/>
      <c r="F58" s="1316"/>
      <c r="G58" s="1316"/>
      <c r="H58" s="1316"/>
      <c r="I58" s="1316"/>
      <c r="J58" s="1317"/>
    </row>
    <row r="59" spans="1:10"/>
    <row r="60" spans="1:10">
      <c r="A60" s="96" t="s">
        <v>232</v>
      </c>
    </row>
    <row r="61" spans="1:10">
      <c r="A61" s="1299" t="s">
        <v>16</v>
      </c>
      <c r="B61" s="1299" t="s">
        <v>233</v>
      </c>
      <c r="C61" s="1299"/>
      <c r="D61" s="1299"/>
      <c r="E61" s="1299"/>
      <c r="F61" s="1299"/>
      <c r="G61" s="1299" t="s">
        <v>13</v>
      </c>
      <c r="H61" s="1299"/>
      <c r="I61" s="1299"/>
      <c r="J61" s="1299"/>
    </row>
    <row r="62" spans="1:10">
      <c r="A62" s="1299"/>
      <c r="B62" s="1299"/>
      <c r="C62" s="1299"/>
      <c r="D62" s="1299"/>
      <c r="E62" s="1299"/>
      <c r="F62" s="1299"/>
      <c r="G62" s="1300">
        <v>1</v>
      </c>
      <c r="H62" s="1301"/>
      <c r="I62" s="1302"/>
      <c r="J62" s="88">
        <v>2</v>
      </c>
    </row>
    <row r="63" spans="1:10" ht="26.25" customHeight="1">
      <c r="A63" s="88">
        <v>1</v>
      </c>
      <c r="B63" s="1306" t="s">
        <v>235</v>
      </c>
      <c r="C63" s="1306"/>
      <c r="D63" s="1306"/>
      <c r="E63" s="1306"/>
      <c r="F63" s="1306"/>
      <c r="G63" s="1300" t="str">
        <f>VLOOKUP($M$3,ABSEN!A7:W56,13)</f>
        <v>137 cm</v>
      </c>
      <c r="H63" s="1301"/>
      <c r="I63" s="1302"/>
      <c r="J63" s="97" t="str">
        <f>VLOOKUP($M$3,ABSEN!A7:W56,15)</f>
        <v>137 cm</v>
      </c>
    </row>
    <row r="64" spans="1:10" ht="26.25" customHeight="1">
      <c r="A64" s="88">
        <v>2</v>
      </c>
      <c r="B64" s="1306" t="s">
        <v>234</v>
      </c>
      <c r="C64" s="1306"/>
      <c r="D64" s="1306"/>
      <c r="E64" s="1306"/>
      <c r="F64" s="1306"/>
      <c r="G64" s="1300" t="str">
        <f>VLOOKUP($M$3,ABSEN!A7:W56,14)</f>
        <v>27 kg</v>
      </c>
      <c r="H64" s="1301"/>
      <c r="I64" s="1302"/>
      <c r="J64" s="97" t="str">
        <f>VLOOKUP($M$3,ABSEN!A7:W56,16)</f>
        <v>27 kg</v>
      </c>
    </row>
    <row r="65" spans="1:10" ht="12" customHeight="1"/>
    <row r="66" spans="1:10">
      <c r="A66" s="96" t="s">
        <v>236</v>
      </c>
    </row>
    <row r="67" spans="1:10">
      <c r="A67" s="98" t="s">
        <v>16</v>
      </c>
      <c r="B67" s="1305" t="s">
        <v>237</v>
      </c>
      <c r="C67" s="1305"/>
      <c r="D67" s="1305"/>
      <c r="E67" s="1305"/>
      <c r="F67" s="1305" t="s">
        <v>80</v>
      </c>
      <c r="G67" s="1305"/>
      <c r="H67" s="1305"/>
      <c r="I67" s="1305"/>
      <c r="J67" s="1305"/>
    </row>
    <row r="68" spans="1:10" ht="27" customHeight="1">
      <c r="A68" s="88">
        <v>1</v>
      </c>
      <c r="B68" s="1307" t="s">
        <v>76</v>
      </c>
      <c r="C68" s="1307"/>
      <c r="D68" s="1307"/>
      <c r="E68" s="1307"/>
      <c r="F68" s="1308" t="str">
        <f>VLOOKUP($M$3,ABSEN!A7:W56,17)</f>
        <v>Baik, normal</v>
      </c>
      <c r="G68" s="1308" t="str">
        <f>VLOOKUP($D$4,[2]REKAP!$B$6:$CK$41,82,FALSE)</f>
        <v>Serumen (+)</v>
      </c>
      <c r="H68" s="1308" t="str">
        <f>VLOOKUP($D$4,[2]REKAP!$B$6:$CK$41,82,FALSE)</f>
        <v>Serumen (+)</v>
      </c>
      <c r="I68" s="1308"/>
      <c r="J68" s="1308" t="str">
        <f>VLOOKUP($D$4,[2]REKAP!$B$6:$CK$41,82,FALSE)</f>
        <v>Serumen (+)</v>
      </c>
    </row>
    <row r="69" spans="1:10" ht="27" customHeight="1">
      <c r="A69" s="88">
        <v>2</v>
      </c>
      <c r="B69" s="1307" t="s">
        <v>77</v>
      </c>
      <c r="C69" s="1307"/>
      <c r="D69" s="1307"/>
      <c r="E69" s="1307"/>
      <c r="F69" s="1308" t="str">
        <f>VLOOKUP($M$3,ABSEN!A7:W56,18)</f>
        <v>Baik, normal</v>
      </c>
      <c r="G69" s="1308" t="str">
        <f>VLOOKUP($D$4,[2]REKAP!$B$6:$CK$41,82,FALSE)</f>
        <v>Serumen (+)</v>
      </c>
      <c r="H69" s="1308" t="str">
        <f>VLOOKUP($D$4,[2]REKAP!$B$6:$CK$41,82,FALSE)</f>
        <v>Serumen (+)</v>
      </c>
      <c r="I69" s="1308"/>
      <c r="J69" s="1308" t="str">
        <f>VLOOKUP($D$4,[2]REKAP!$B$6:$CK$41,82,FALSE)</f>
        <v>Serumen (+)</v>
      </c>
    </row>
    <row r="70" spans="1:10" ht="27" customHeight="1">
      <c r="A70" s="88">
        <v>3</v>
      </c>
      <c r="B70" s="1307" t="s">
        <v>78</v>
      </c>
      <c r="C70" s="1307"/>
      <c r="D70" s="1307"/>
      <c r="E70" s="1307"/>
      <c r="F70" s="1308" t="str">
        <f>VLOOKUP($M$3,ABSEN!A7:W56,19)</f>
        <v>Bagus</v>
      </c>
      <c r="G70" s="1308" t="str">
        <f>VLOOKUP($D$4,[2]REKAP!$B$6:$CK$41,82,FALSE)</f>
        <v>Serumen (+)</v>
      </c>
      <c r="H70" s="1308" t="str">
        <f>VLOOKUP($D$4,[2]REKAP!$B$6:$CK$41,82,FALSE)</f>
        <v>Serumen (+)</v>
      </c>
      <c r="I70" s="1308"/>
      <c r="J70" s="1308" t="str">
        <f>VLOOKUP($D$4,[2]REKAP!$B$6:$CK$41,82,FALSE)</f>
        <v>Serumen (+)</v>
      </c>
    </row>
    <row r="71" spans="1:10" ht="12" customHeight="1"/>
    <row r="72" spans="1:10">
      <c r="A72" s="96" t="s">
        <v>238</v>
      </c>
    </row>
    <row r="73" spans="1:10">
      <c r="A73" s="98" t="s">
        <v>16</v>
      </c>
      <c r="B73" s="1305" t="s">
        <v>239</v>
      </c>
      <c r="C73" s="1305"/>
      <c r="D73" s="1305"/>
      <c r="E73" s="1305"/>
      <c r="F73" s="1305" t="s">
        <v>80</v>
      </c>
      <c r="G73" s="1305"/>
      <c r="H73" s="1305"/>
      <c r="I73" s="1305"/>
      <c r="J73" s="1305"/>
    </row>
    <row r="74" spans="1:10" ht="24.75" customHeight="1">
      <c r="A74" s="88">
        <v>1</v>
      </c>
      <c r="B74" s="1310" t="str">
        <f>VLOOKUP($M$3,ABSEN!A7:W56,20)</f>
        <v>Futsal</v>
      </c>
      <c r="C74" s="1310" t="str">
        <f>VLOOKUP($D$4,[2]REKAP!$B$6:$CK$41,82,FALSE)</f>
        <v>Serumen (+)</v>
      </c>
      <c r="D74" s="1310" t="str">
        <f>VLOOKUP($D$4,[2]REKAP!$B$6:$CK$41,82,FALSE)</f>
        <v>Serumen (+)</v>
      </c>
      <c r="E74" s="1310" t="str">
        <f>VLOOKUP($D$4,[2]REKAP!$B$6:$CK$41,82,FALSE)</f>
        <v>Serumen (+)</v>
      </c>
      <c r="F74" s="1309" t="str">
        <f>VLOOKUP($M$3,ABSEN!A7:W56,21)</f>
        <v>Juara 1 (class meeting semester 1)</v>
      </c>
      <c r="G74" s="1309" t="str">
        <f>VLOOKUP($D$4,[2]REKAP!$B$6:$CK$41,82,FALSE)</f>
        <v>Serumen (+)</v>
      </c>
      <c r="H74" s="1309" t="str">
        <f>VLOOKUP($D$4,[2]REKAP!$B$6:$CK$41,82,FALSE)</f>
        <v>Serumen (+)</v>
      </c>
      <c r="I74" s="1309"/>
      <c r="J74" s="1309" t="str">
        <f>VLOOKUP($D$4,[2]REKAP!$B$6:$CK$41,82,FALSE)</f>
        <v>Serumen (+)</v>
      </c>
    </row>
    <row r="75" spans="1:10" ht="24" customHeight="1">
      <c r="A75" s="88">
        <v>2</v>
      </c>
      <c r="B75" s="1310" t="str">
        <f>VLOOKUP($M$3,ABSEN!A7:W56,22)</f>
        <v>Renang</v>
      </c>
      <c r="C75" s="1310" t="str">
        <f>VLOOKUP($D$4,[2]REKAP!$B$6:$CK$41,82,FALSE)</f>
        <v>Serumen (+)</v>
      </c>
      <c r="D75" s="1310" t="str">
        <f>VLOOKUP($D$4,[2]REKAP!$B$6:$CK$41,82,FALSE)</f>
        <v>Serumen (+)</v>
      </c>
      <c r="E75" s="1310" t="str">
        <f>VLOOKUP($D$4,[2]REKAP!$B$6:$CK$41,82,FALSE)</f>
        <v>Serumen (+)</v>
      </c>
      <c r="F75" s="1309" t="str">
        <f>VLOOKUP($M$3,ABSEN!A7:W56,23)</f>
        <v>Juara 1 Tingkat Kecamatan</v>
      </c>
      <c r="G75" s="1309" t="str">
        <f>VLOOKUP($D$4,[2]REKAP!$B$6:$CK$41,82,FALSE)</f>
        <v>Serumen (+)</v>
      </c>
      <c r="H75" s="1309" t="str">
        <f>VLOOKUP($D$4,[2]REKAP!$B$6:$CK$41,82,FALSE)</f>
        <v>Serumen (+)</v>
      </c>
      <c r="I75" s="1309"/>
      <c r="J75" s="1309" t="str">
        <f>VLOOKUP($D$4,[2]REKAP!$B$6:$CK$41,82,FALSE)</f>
        <v>Serumen (+)</v>
      </c>
    </row>
    <row r="76" spans="1:10" ht="24" customHeight="1">
      <c r="A76" s="618">
        <v>2</v>
      </c>
      <c r="B76" s="1310" t="str">
        <f>VLOOKUP($M$3,ABSEN!A7:Y56,24)</f>
        <v>Catur</v>
      </c>
      <c r="C76" s="1310" t="str">
        <f>VLOOKUP($D$4,[2]REKAP!$B$6:$CK$41,82,FALSE)</f>
        <v>Serumen (+)</v>
      </c>
      <c r="D76" s="1310" t="str">
        <f>VLOOKUP($D$4,[2]REKAP!$B$6:$CK$41,82,FALSE)</f>
        <v>Serumen (+)</v>
      </c>
      <c r="E76" s="1310" t="str">
        <f>VLOOKUP($D$4,[2]REKAP!$B$6:$CK$41,82,FALSE)</f>
        <v>Serumen (+)</v>
      </c>
      <c r="F76" s="1309" t="str">
        <f>VLOOKUP($M$3,ABSEN!A7:Y56,25)</f>
        <v>Juara 2 Tingkat Kabupaten</v>
      </c>
      <c r="G76" s="1309" t="str">
        <f>VLOOKUP($D$4,[2]REKAP!$B$6:$CK$41,82,FALSE)</f>
        <v>Serumen (+)</v>
      </c>
      <c r="H76" s="1309" t="str">
        <f>VLOOKUP($D$4,[2]REKAP!$B$6:$CK$41,82,FALSE)</f>
        <v>Serumen (+)</v>
      </c>
      <c r="I76" s="1309"/>
      <c r="J76" s="1309" t="str">
        <f>VLOOKUP($D$4,[2]REKAP!$B$6:$CK$41,82,FALSE)</f>
        <v>Serumen (+)</v>
      </c>
    </row>
    <row r="77" spans="1:10" ht="24.75" customHeight="1" thickBot="1"/>
    <row r="78" spans="1:10">
      <c r="A78" s="96" t="s">
        <v>240</v>
      </c>
      <c r="H78" s="634" t="s">
        <v>846</v>
      </c>
      <c r="I78" s="635"/>
      <c r="J78" s="636"/>
    </row>
    <row r="79" spans="1:10" ht="26.25" customHeight="1">
      <c r="A79" s="206">
        <v>1</v>
      </c>
      <c r="B79" s="1303" t="s">
        <v>71</v>
      </c>
      <c r="C79" s="1304"/>
      <c r="D79" s="1304"/>
      <c r="E79" s="1304"/>
      <c r="F79" s="205" t="str">
        <f>VLOOKUP($M$3,ABSEN!A7:W56,9)</f>
        <v>0 hari</v>
      </c>
      <c r="H79" s="637" t="s">
        <v>847</v>
      </c>
      <c r="I79" s="322"/>
      <c r="J79" s="638"/>
    </row>
    <row r="80" spans="1:10" ht="26.25" customHeight="1">
      <c r="A80" s="206">
        <v>2</v>
      </c>
      <c r="B80" s="1303" t="s">
        <v>72</v>
      </c>
      <c r="C80" s="1304"/>
      <c r="D80" s="1304"/>
      <c r="E80" s="1304"/>
      <c r="F80" s="205" t="str">
        <f>VLOOKUP($M$3,ABSEN!A7:W56,10)</f>
        <v>0 hari</v>
      </c>
      <c r="H80" s="637" t="s">
        <v>848</v>
      </c>
      <c r="I80" s="322"/>
      <c r="J80" s="638"/>
    </row>
    <row r="81" spans="1:15" ht="26.25" customHeight="1">
      <c r="A81" s="206">
        <v>3</v>
      </c>
      <c r="B81" s="1303" t="s">
        <v>241</v>
      </c>
      <c r="C81" s="1304"/>
      <c r="D81" s="1304"/>
      <c r="E81" s="1304"/>
      <c r="F81" s="205" t="str">
        <f>VLOOKUP($M$3,ABSEN!A7:W56,11)</f>
        <v>0 hari</v>
      </c>
      <c r="H81" s="637" t="s">
        <v>849</v>
      </c>
      <c r="I81" s="322"/>
      <c r="J81" s="639"/>
    </row>
    <row r="82" spans="1:15" ht="22.5" customHeight="1">
      <c r="A82" s="89"/>
      <c r="B82" s="221"/>
      <c r="C82" s="221"/>
      <c r="D82" s="221"/>
      <c r="E82" s="221"/>
      <c r="F82" s="90"/>
      <c r="H82" s="637" t="s">
        <v>850</v>
      </c>
      <c r="I82" s="322"/>
      <c r="J82" s="639"/>
    </row>
    <row r="83" spans="1:15" ht="9" customHeight="1">
      <c r="A83" s="89"/>
      <c r="B83" s="221"/>
      <c r="C83" s="221"/>
      <c r="D83" s="221"/>
      <c r="E83" s="221"/>
      <c r="F83" s="90"/>
      <c r="H83" s="637"/>
      <c r="I83" s="322"/>
      <c r="J83" s="639"/>
    </row>
    <row r="84" spans="1:15">
      <c r="H84" s="702" t="s">
        <v>851</v>
      </c>
      <c r="I84" s="322"/>
      <c r="J84" s="639"/>
    </row>
    <row r="85" spans="1:15" ht="8.25" customHeight="1" thickBot="1">
      <c r="H85" s="640"/>
      <c r="I85" s="641"/>
      <c r="J85" s="642"/>
    </row>
    <row r="86" spans="1:15" ht="8.25" customHeight="1">
      <c r="H86" s="222"/>
      <c r="I86" s="222"/>
      <c r="J86" s="222"/>
    </row>
    <row r="87" spans="1:15">
      <c r="I87" s="1286" t="str">
        <f>DEPAN!E22</f>
        <v>Lumajang, 15 Juni 2019</v>
      </c>
      <c r="J87" s="1286"/>
      <c r="O87" s="99"/>
    </row>
    <row r="88" spans="1:15">
      <c r="I88" s="1286" t="s">
        <v>243</v>
      </c>
      <c r="J88" s="1286"/>
    </row>
    <row r="89" spans="1:15" ht="13.5" customHeight="1"/>
    <row r="90" spans="1:15" ht="13.5" customHeight="1"/>
    <row r="91" spans="1:15" ht="13.5" customHeight="1"/>
    <row r="92" spans="1:15" ht="13.5" customHeight="1"/>
    <row r="93" spans="1:15">
      <c r="I93" s="1287" t="str">
        <f>DEPAN!E16</f>
        <v>SITI PONIMAH,M.Pd</v>
      </c>
      <c r="J93" s="1287"/>
    </row>
    <row r="94" spans="1:15">
      <c r="H94" s="100"/>
      <c r="I94" s="1288" t="str">
        <f>CONCATENATE("NIP. ",DEPAN!E17)</f>
        <v>NIP. 19616566 201808 2 033</v>
      </c>
      <c r="J94" s="1288"/>
    </row>
    <row r="95" spans="1:15"/>
    <row r="96" spans="1:15">
      <c r="F96" s="1288" t="s">
        <v>244</v>
      </c>
      <c r="G96" s="1288"/>
      <c r="H96" s="1288"/>
      <c r="I96" s="310"/>
    </row>
    <row r="97" spans="1:10">
      <c r="F97" s="1288" t="s">
        <v>245</v>
      </c>
      <c r="G97" s="1288"/>
      <c r="H97" s="1288"/>
      <c r="I97" s="310"/>
    </row>
    <row r="98" spans="1:10" ht="12.75" customHeight="1">
      <c r="F98" s="101"/>
    </row>
    <row r="99" spans="1:10" ht="12.75" customHeight="1">
      <c r="F99" s="101"/>
    </row>
    <row r="100" spans="1:10" ht="12.75" customHeight="1">
      <c r="F100" s="101"/>
    </row>
    <row r="101" spans="1:10">
      <c r="F101" s="1327" t="str">
        <f>DEPAN!E12</f>
        <v>H. SAMSUDIN,M.Pd</v>
      </c>
      <c r="G101" s="1327"/>
      <c r="H101" s="1327"/>
      <c r="I101" s="311"/>
    </row>
    <row r="102" spans="1:10">
      <c r="F102" s="1288" t="str">
        <f>CONCATENATE("NIP. ",DEPAN!E13)</f>
        <v>NIP. 19921233 198777 1 336</v>
      </c>
      <c r="G102" s="1288"/>
      <c r="H102" s="1288"/>
      <c r="I102" s="310"/>
    </row>
    <row r="103" spans="1:10" ht="28.5" customHeight="1">
      <c r="A103" s="89"/>
      <c r="B103" s="203"/>
      <c r="C103" s="203"/>
      <c r="D103" s="203"/>
      <c r="E103" s="203"/>
      <c r="F103" s="204"/>
      <c r="G103" s="203"/>
      <c r="H103" s="203"/>
      <c r="I103" s="203"/>
      <c r="J103" s="204"/>
    </row>
    <row r="104" spans="1:10">
      <c r="A104" s="199"/>
      <c r="B104" s="200"/>
      <c r="C104" s="200"/>
      <c r="D104" s="200"/>
      <c r="E104" s="200"/>
      <c r="F104" s="201"/>
      <c r="G104" s="200"/>
      <c r="H104" s="1284" t="str">
        <f>CONCATENATE($D$3,"    6")</f>
        <v>Anak 1    6</v>
      </c>
      <c r="I104" s="1284"/>
      <c r="J104" s="1284"/>
    </row>
    <row r="105" spans="1:10"/>
    <row r="106" spans="1:10"/>
    <row r="107" spans="1:10"/>
    <row r="108" spans="1:10"/>
    <row r="109" spans="1:10"/>
    <row r="110" spans="1:10"/>
    <row r="111" spans="1:10"/>
    <row r="112" spans="1:10"/>
    <row r="113"/>
    <row r="114"/>
    <row r="115"/>
    <row r="116"/>
    <row r="117"/>
    <row r="118"/>
  </sheetData>
  <mergeCells count="125">
    <mergeCell ref="B34:B35"/>
    <mergeCell ref="C34:F34"/>
    <mergeCell ref="G34:J34"/>
    <mergeCell ref="C35:D35"/>
    <mergeCell ref="I28:J28"/>
    <mergeCell ref="I35:J35"/>
    <mergeCell ref="I22:J22"/>
    <mergeCell ref="I23:J24"/>
    <mergeCell ref="I29:J30"/>
    <mergeCell ref="I31:J31"/>
    <mergeCell ref="H23:H24"/>
    <mergeCell ref="G23:G24"/>
    <mergeCell ref="F23:F24"/>
    <mergeCell ref="E23:E24"/>
    <mergeCell ref="H29:H30"/>
    <mergeCell ref="G29:G30"/>
    <mergeCell ref="F29:F30"/>
    <mergeCell ref="E29:E30"/>
    <mergeCell ref="C29:D30"/>
    <mergeCell ref="B29:B30"/>
    <mergeCell ref="A1:J1"/>
    <mergeCell ref="D3:F3"/>
    <mergeCell ref="A15:A16"/>
    <mergeCell ref="B15:B16"/>
    <mergeCell ref="C15:F15"/>
    <mergeCell ref="G15:J15"/>
    <mergeCell ref="C16:D16"/>
    <mergeCell ref="G20:J20"/>
    <mergeCell ref="C21:D21"/>
    <mergeCell ref="A29:A30"/>
    <mergeCell ref="A34:A35"/>
    <mergeCell ref="F96:H96"/>
    <mergeCell ref="F97:H97"/>
    <mergeCell ref="F101:H101"/>
    <mergeCell ref="F102:H102"/>
    <mergeCell ref="G27:J27"/>
    <mergeCell ref="B63:F63"/>
    <mergeCell ref="F50:J50"/>
    <mergeCell ref="B51:E51"/>
    <mergeCell ref="F51:J51"/>
    <mergeCell ref="B52:E52"/>
    <mergeCell ref="F52:J52"/>
    <mergeCell ref="B53:E53"/>
    <mergeCell ref="F53:J53"/>
    <mergeCell ref="A58:J58"/>
    <mergeCell ref="A61:A62"/>
    <mergeCell ref="C38:D38"/>
    <mergeCell ref="C28:D28"/>
    <mergeCell ref="C31:D31"/>
    <mergeCell ref="C36:D36"/>
    <mergeCell ref="A27:A28"/>
    <mergeCell ref="B27:B28"/>
    <mergeCell ref="C27:F27"/>
    <mergeCell ref="B76:E76"/>
    <mergeCell ref="F76:J76"/>
    <mergeCell ref="G63:I63"/>
    <mergeCell ref="G64:I64"/>
    <mergeCell ref="M3:M4"/>
    <mergeCell ref="D4:F4"/>
    <mergeCell ref="A9:J9"/>
    <mergeCell ref="B11:D11"/>
    <mergeCell ref="E11:J11"/>
    <mergeCell ref="D6:F7"/>
    <mergeCell ref="A20:A21"/>
    <mergeCell ref="B20:B21"/>
    <mergeCell ref="C20:F20"/>
    <mergeCell ref="B10:D10"/>
    <mergeCell ref="E10:J10"/>
    <mergeCell ref="I16:J16"/>
    <mergeCell ref="I21:J21"/>
    <mergeCell ref="I17:J17"/>
    <mergeCell ref="C22:D22"/>
    <mergeCell ref="C17:D17"/>
    <mergeCell ref="C37:D37"/>
    <mergeCell ref="B23:B24"/>
    <mergeCell ref="C23:D24"/>
    <mergeCell ref="A23:A24"/>
    <mergeCell ref="C47:D47"/>
    <mergeCell ref="B50:E50"/>
    <mergeCell ref="B61:F62"/>
    <mergeCell ref="G61:J61"/>
    <mergeCell ref="I44:J44"/>
    <mergeCell ref="G62:I62"/>
    <mergeCell ref="B80:E80"/>
    <mergeCell ref="B81:E81"/>
    <mergeCell ref="B79:E79"/>
    <mergeCell ref="F73:J73"/>
    <mergeCell ref="B64:F64"/>
    <mergeCell ref="B67:E67"/>
    <mergeCell ref="F67:J67"/>
    <mergeCell ref="B68:E68"/>
    <mergeCell ref="F68:J68"/>
    <mergeCell ref="F75:J75"/>
    <mergeCell ref="B74:E74"/>
    <mergeCell ref="F74:J74"/>
    <mergeCell ref="B75:E75"/>
    <mergeCell ref="B69:E69"/>
    <mergeCell ref="F69:J69"/>
    <mergeCell ref="B70:E70"/>
    <mergeCell ref="F70:J70"/>
    <mergeCell ref="B73:E73"/>
    <mergeCell ref="H104:J104"/>
    <mergeCell ref="H56:J56"/>
    <mergeCell ref="H40:J40"/>
    <mergeCell ref="H33:J33"/>
    <mergeCell ref="H26:J26"/>
    <mergeCell ref="H19:J19"/>
    <mergeCell ref="I87:J87"/>
    <mergeCell ref="I88:J88"/>
    <mergeCell ref="I93:J93"/>
    <mergeCell ref="I94:J94"/>
    <mergeCell ref="I36:J36"/>
    <mergeCell ref="I37:J37"/>
    <mergeCell ref="I38:J38"/>
    <mergeCell ref="I45:J45"/>
    <mergeCell ref="I46:J46"/>
    <mergeCell ref="I47:J47"/>
    <mergeCell ref="G43:J43"/>
    <mergeCell ref="A42:J42"/>
    <mergeCell ref="A43:A44"/>
    <mergeCell ref="B43:B44"/>
    <mergeCell ref="C43:F43"/>
    <mergeCell ref="C44:D44"/>
    <mergeCell ref="C45:D45"/>
    <mergeCell ref="C46:D46"/>
  </mergeCells>
  <pageMargins left="0.52" right="0.18" top="0.48" bottom="0.4" header="0.3" footer="0.3"/>
  <pageSetup paperSize="9" scale="78" orientation="portrait" horizontalDpi="4294967293" verticalDpi="4294967293" r:id="rId1"/>
  <rowBreaks count="5" manualBreakCount="5">
    <brk id="19" max="16383" man="1"/>
    <brk id="26" max="16383" man="1"/>
    <brk id="33" max="16383" man="1"/>
    <brk id="40" max="16383" man="1"/>
    <brk id="5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Spinner 1">
              <controlPr defaultSize="0" autoPict="0">
                <anchor moveWithCells="1" sizeWithCells="1">
                  <from>
                    <xdr:col>13</xdr:col>
                    <xdr:colOff>66675</xdr:colOff>
                    <xdr:row>1</xdr:row>
                    <xdr:rowOff>133350</xdr:rowOff>
                  </from>
                  <to>
                    <xdr:col>14</xdr:col>
                    <xdr:colOff>19050</xdr:colOff>
                    <xdr:row>4</xdr:row>
                    <xdr:rowOff>161925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I57"/>
  <sheetViews>
    <sheetView zoomScale="90" zoomScaleNormal="90" workbookViewId="0">
      <pane xSplit="3" ySplit="5" topLeftCell="AG6" activePane="bottomRight" state="frozen"/>
      <selection pane="topRight" activeCell="D1" sqref="D1"/>
      <selection pane="bottomLeft" activeCell="A5" sqref="A5"/>
      <selection pane="bottomRight" activeCell="A58" sqref="A58:XFD1048576"/>
    </sheetView>
  </sheetViews>
  <sheetFormatPr defaultColWidth="0" defaultRowHeight="15" zeroHeight="1"/>
  <cols>
    <col min="1" max="1" width="9.140625" customWidth="1"/>
    <col min="2" max="2" width="10.140625" customWidth="1"/>
    <col min="3" max="3" width="26.140625" customWidth="1"/>
    <col min="4" max="59" width="4" style="584" customWidth="1"/>
    <col min="60" max="60" width="46.140625" customWidth="1"/>
    <col min="61" max="61" width="9.140625" customWidth="1"/>
    <col min="62" max="16384" width="9.140625" hidden="1"/>
  </cols>
  <sheetData>
    <row r="1" spans="1:60" ht="42" customHeight="1">
      <c r="B1" s="1337" t="s">
        <v>903</v>
      </c>
      <c r="C1" s="1337"/>
      <c r="D1" s="1337"/>
      <c r="E1" s="1337"/>
      <c r="F1" s="1337"/>
      <c r="G1" s="1337"/>
      <c r="H1" s="1337"/>
      <c r="I1" s="1337"/>
      <c r="J1" s="1337"/>
      <c r="K1" s="1337"/>
      <c r="L1" s="1337"/>
      <c r="M1" s="1337"/>
      <c r="N1" s="1337"/>
    </row>
    <row r="2" spans="1:60" ht="10.5" customHeight="1"/>
    <row r="3" spans="1:60" s="474" customFormat="1" ht="15.75" customHeight="1">
      <c r="A3" s="1198" t="s">
        <v>2</v>
      </c>
      <c r="B3" s="1199" t="s">
        <v>3</v>
      </c>
      <c r="C3" s="1198" t="s">
        <v>4</v>
      </c>
      <c r="D3" s="1338" t="s">
        <v>728</v>
      </c>
      <c r="E3" s="1339"/>
      <c r="F3" s="1339"/>
      <c r="G3" s="1339"/>
      <c r="H3" s="1339"/>
      <c r="I3" s="1340"/>
      <c r="J3" s="1338" t="s">
        <v>726</v>
      </c>
      <c r="K3" s="1339"/>
      <c r="L3" s="1339"/>
      <c r="M3" s="1340"/>
      <c r="N3" s="1338" t="s">
        <v>727</v>
      </c>
      <c r="O3" s="1339"/>
      <c r="P3" s="1339"/>
      <c r="Q3" s="1339"/>
      <c r="R3" s="1339"/>
      <c r="S3" s="1340"/>
      <c r="T3" s="1338" t="s">
        <v>729</v>
      </c>
      <c r="U3" s="1339"/>
      <c r="V3" s="1339"/>
      <c r="W3" s="1339"/>
      <c r="X3" s="1339"/>
      <c r="Y3" s="1340"/>
      <c r="Z3" s="1338" t="s">
        <v>260</v>
      </c>
      <c r="AA3" s="1339"/>
      <c r="AB3" s="1339"/>
      <c r="AC3" s="1340"/>
      <c r="AD3" s="1338" t="s">
        <v>261</v>
      </c>
      <c r="AE3" s="1339"/>
      <c r="AF3" s="1339"/>
      <c r="AG3" s="1340"/>
      <c r="AH3" s="1338" t="s">
        <v>265</v>
      </c>
      <c r="AI3" s="1339"/>
      <c r="AJ3" s="1339"/>
      <c r="AK3" s="1339"/>
      <c r="AL3" s="1339"/>
      <c r="AM3" s="1340"/>
      <c r="AN3" s="1338" t="s">
        <v>174</v>
      </c>
      <c r="AO3" s="1339"/>
      <c r="AP3" s="1339"/>
      <c r="AQ3" s="1340"/>
      <c r="AR3" s="1338" t="str">
        <f>KKM!X7</f>
        <v>Bahasa Jawa</v>
      </c>
      <c r="AS3" s="1339"/>
      <c r="AT3" s="1339"/>
      <c r="AU3" s="1339"/>
      <c r="AV3" s="1339"/>
      <c r="AW3" s="1340"/>
      <c r="AX3" s="1344" t="str">
        <f>KKM!X8</f>
        <v>Bahasa Inggris</v>
      </c>
      <c r="AY3" s="1345"/>
      <c r="AZ3" s="1345"/>
      <c r="BA3" s="1345"/>
      <c r="BB3" s="1345"/>
      <c r="BC3" s="1346"/>
      <c r="BD3" s="1344" t="str">
        <f>KKM!X9</f>
        <v>TIK</v>
      </c>
      <c r="BE3" s="1345"/>
      <c r="BF3" s="1345"/>
      <c r="BG3" s="1345"/>
      <c r="BH3" s="1347" t="s">
        <v>733</v>
      </c>
    </row>
    <row r="4" spans="1:60" s="585" customFormat="1" ht="15.75" customHeight="1">
      <c r="A4" s="1198"/>
      <c r="B4" s="1199"/>
      <c r="C4" s="1198"/>
      <c r="D4" s="1341" t="s">
        <v>696</v>
      </c>
      <c r="E4" s="1343"/>
      <c r="F4" s="1342"/>
      <c r="G4" s="1341" t="s">
        <v>730</v>
      </c>
      <c r="H4" s="1343"/>
      <c r="I4" s="1342"/>
      <c r="J4" s="1341" t="s">
        <v>696</v>
      </c>
      <c r="K4" s="1342"/>
      <c r="L4" s="1341" t="s">
        <v>730</v>
      </c>
      <c r="M4" s="1342"/>
      <c r="N4" s="1341" t="s">
        <v>696</v>
      </c>
      <c r="O4" s="1343"/>
      <c r="P4" s="1342"/>
      <c r="Q4" s="1341" t="s">
        <v>730</v>
      </c>
      <c r="R4" s="1343"/>
      <c r="S4" s="1342"/>
      <c r="T4" s="1341" t="s">
        <v>696</v>
      </c>
      <c r="U4" s="1343"/>
      <c r="V4" s="1342"/>
      <c r="W4" s="1341" t="s">
        <v>730</v>
      </c>
      <c r="X4" s="1343"/>
      <c r="Y4" s="1342"/>
      <c r="Z4" s="1341" t="s">
        <v>696</v>
      </c>
      <c r="AA4" s="1342"/>
      <c r="AB4" s="1341" t="s">
        <v>730</v>
      </c>
      <c r="AC4" s="1342"/>
      <c r="AD4" s="1341" t="s">
        <v>696</v>
      </c>
      <c r="AE4" s="1342"/>
      <c r="AF4" s="1341" t="s">
        <v>730</v>
      </c>
      <c r="AG4" s="1342"/>
      <c r="AH4" s="1341" t="s">
        <v>696</v>
      </c>
      <c r="AI4" s="1343"/>
      <c r="AJ4" s="1342"/>
      <c r="AK4" s="1341" t="s">
        <v>730</v>
      </c>
      <c r="AL4" s="1343"/>
      <c r="AM4" s="1342"/>
      <c r="AN4" s="1341" t="s">
        <v>696</v>
      </c>
      <c r="AO4" s="1342"/>
      <c r="AP4" s="1341" t="s">
        <v>730</v>
      </c>
      <c r="AQ4" s="1342"/>
      <c r="AR4" s="1341" t="s">
        <v>696</v>
      </c>
      <c r="AS4" s="1343"/>
      <c r="AT4" s="1342"/>
      <c r="AU4" s="1341" t="s">
        <v>730</v>
      </c>
      <c r="AV4" s="1343"/>
      <c r="AW4" s="1342"/>
      <c r="AX4" s="1341" t="s">
        <v>696</v>
      </c>
      <c r="AY4" s="1343"/>
      <c r="AZ4" s="1342"/>
      <c r="BA4" s="1341" t="s">
        <v>730</v>
      </c>
      <c r="BB4" s="1343"/>
      <c r="BC4" s="1342"/>
      <c r="BD4" s="1341" t="s">
        <v>696</v>
      </c>
      <c r="BE4" s="1343"/>
      <c r="BF4" s="1341" t="s">
        <v>730</v>
      </c>
      <c r="BG4" s="1343"/>
      <c r="BH4" s="1348"/>
    </row>
    <row r="5" spans="1:60" ht="17.25" customHeight="1">
      <c r="A5" s="1198"/>
      <c r="B5" s="1199"/>
      <c r="C5" s="1198"/>
      <c r="D5" s="587">
        <v>3.1</v>
      </c>
      <c r="E5" s="587">
        <v>3.2</v>
      </c>
      <c r="F5" s="587">
        <v>3.6</v>
      </c>
      <c r="G5" s="587">
        <v>3.1</v>
      </c>
      <c r="H5" s="587">
        <v>3.2</v>
      </c>
      <c r="I5" s="587">
        <v>3.6</v>
      </c>
      <c r="J5" s="588" t="str">
        <f>'PKN3'!F3</f>
        <v>3.3</v>
      </c>
      <c r="K5" s="588" t="str">
        <f>'PKN3'!G3</f>
        <v>3.4</v>
      </c>
      <c r="L5" s="588" t="str">
        <f>'PKN3'!M3</f>
        <v>3.3</v>
      </c>
      <c r="M5" s="588" t="str">
        <f>'PKN3'!N3</f>
        <v>3.4</v>
      </c>
      <c r="N5" s="588" t="str">
        <f>BIND3!F3</f>
        <v>3.6</v>
      </c>
      <c r="O5" s="588" t="str">
        <f>BIND3!G3</f>
        <v>3.7</v>
      </c>
      <c r="P5" s="588"/>
      <c r="Q5" s="588" t="str">
        <f>BIND3!U3</f>
        <v>3.6</v>
      </c>
      <c r="R5" s="588" t="str">
        <f>BIND3!V3</f>
        <v>3.7</v>
      </c>
      <c r="S5" s="588"/>
      <c r="T5" s="588">
        <v>3.1</v>
      </c>
      <c r="U5" s="588">
        <v>3.2</v>
      </c>
      <c r="V5" s="588">
        <v>3.3</v>
      </c>
      <c r="W5" s="588">
        <v>3.1</v>
      </c>
      <c r="X5" s="588">
        <v>3.2</v>
      </c>
      <c r="Y5" s="588">
        <v>3.3</v>
      </c>
      <c r="Z5" s="588" t="str">
        <f>'IPA3'!E3</f>
        <v>3.2</v>
      </c>
      <c r="AA5" s="588" t="str">
        <f>'IPA3'!F3</f>
        <v>3.3</v>
      </c>
      <c r="AB5" s="588" t="str">
        <f>'IPA3'!R3</f>
        <v>3.2</v>
      </c>
      <c r="AC5" s="588" t="str">
        <f>'IPA3'!S3</f>
        <v>3.3</v>
      </c>
      <c r="AD5" s="588" t="str">
        <f>'IPS3'!E3</f>
        <v>3.1</v>
      </c>
      <c r="AE5" s="588" t="str">
        <f>'IPS3'!F3</f>
        <v>3.2</v>
      </c>
      <c r="AF5" s="588" t="str">
        <f>'IPS3'!R3</f>
        <v>3.1</v>
      </c>
      <c r="AG5" s="588" t="str">
        <f>'IPS3'!S3</f>
        <v>3.2</v>
      </c>
      <c r="AH5" s="588" t="str">
        <f>SBDP3!F3</f>
        <v>3.2</v>
      </c>
      <c r="AI5" s="588" t="str">
        <f>SBDP3!G3</f>
        <v>3.3</v>
      </c>
      <c r="AJ5" s="588" t="str">
        <f>SBDP3!H3</f>
        <v>3.4</v>
      </c>
      <c r="AK5" s="588" t="str">
        <f>SBDP3!S3</f>
        <v>3.2</v>
      </c>
      <c r="AL5" s="588" t="str">
        <f>SBDP3!T3</f>
        <v>3.3</v>
      </c>
      <c r="AM5" s="588" t="str">
        <f>SBDP3!U3</f>
        <v>3.4</v>
      </c>
      <c r="AN5" s="588" t="str">
        <f>PJOK3!E3</f>
        <v>3.3</v>
      </c>
      <c r="AO5" s="588" t="str">
        <f>PJOK3!F3</f>
        <v>3.2</v>
      </c>
      <c r="AP5" s="588" t="str">
        <f>PJOK3!R3</f>
        <v>3.3</v>
      </c>
      <c r="AQ5" s="588" t="str">
        <f>PJOK3!S3</f>
        <v>3.2</v>
      </c>
      <c r="AR5" s="588" t="str">
        <f>'MLK1-3'!E3</f>
        <v>3.5</v>
      </c>
      <c r="AS5" s="588" t="str">
        <f>'MLK1-3'!F3</f>
        <v>3.6</v>
      </c>
      <c r="AT5" s="588" t="str">
        <f>'MLK1-3'!G3</f>
        <v>3.7</v>
      </c>
      <c r="AU5" s="588" t="str">
        <f>AR5</f>
        <v>3.5</v>
      </c>
      <c r="AV5" s="588" t="str">
        <f t="shared" ref="AV5:AW5" si="0">AS5</f>
        <v>3.6</v>
      </c>
      <c r="AW5" s="588" t="str">
        <f t="shared" si="0"/>
        <v>3.7</v>
      </c>
      <c r="AX5" s="588">
        <v>3.1</v>
      </c>
      <c r="AY5" s="588">
        <v>3.2</v>
      </c>
      <c r="AZ5" s="588">
        <v>3.3</v>
      </c>
      <c r="BA5" s="588">
        <v>3.1</v>
      </c>
      <c r="BB5" s="588">
        <v>3.2</v>
      </c>
      <c r="BC5" s="588">
        <v>3.3</v>
      </c>
      <c r="BD5" s="588">
        <v>3.1</v>
      </c>
      <c r="BE5" s="588">
        <v>3.2</v>
      </c>
      <c r="BF5" s="588">
        <v>3.1</v>
      </c>
      <c r="BG5" s="594">
        <v>3.2</v>
      </c>
      <c r="BH5" s="1349"/>
    </row>
    <row r="6" spans="1:60" s="591" customFormat="1" ht="11.25">
      <c r="A6" s="590">
        <v>1</v>
      </c>
      <c r="B6" s="590">
        <v>2</v>
      </c>
      <c r="C6" s="590">
        <v>3</v>
      </c>
      <c r="D6" s="590">
        <v>4</v>
      </c>
      <c r="E6" s="590">
        <v>5</v>
      </c>
      <c r="F6" s="590">
        <v>6</v>
      </c>
      <c r="G6" s="590">
        <v>7</v>
      </c>
      <c r="H6" s="590">
        <v>8</v>
      </c>
      <c r="I6" s="590">
        <v>9</v>
      </c>
      <c r="J6" s="590">
        <v>10</v>
      </c>
      <c r="K6" s="590">
        <v>11</v>
      </c>
      <c r="L6" s="590">
        <v>12</v>
      </c>
      <c r="M6" s="590">
        <v>13</v>
      </c>
      <c r="N6" s="590">
        <v>14</v>
      </c>
      <c r="O6" s="590">
        <v>15</v>
      </c>
      <c r="P6" s="590">
        <v>16</v>
      </c>
      <c r="Q6" s="590">
        <v>17</v>
      </c>
      <c r="R6" s="590">
        <v>18</v>
      </c>
      <c r="S6" s="590">
        <v>19</v>
      </c>
      <c r="T6" s="590">
        <v>20</v>
      </c>
      <c r="U6" s="590">
        <v>21</v>
      </c>
      <c r="V6" s="590">
        <v>22</v>
      </c>
      <c r="W6" s="590">
        <v>23</v>
      </c>
      <c r="X6" s="590">
        <v>24</v>
      </c>
      <c r="Y6" s="590">
        <v>25</v>
      </c>
      <c r="Z6" s="590">
        <v>26</v>
      </c>
      <c r="AA6" s="590">
        <v>27</v>
      </c>
      <c r="AB6" s="590">
        <v>28</v>
      </c>
      <c r="AC6" s="590">
        <v>29</v>
      </c>
      <c r="AD6" s="590">
        <v>30</v>
      </c>
      <c r="AE6" s="590">
        <v>31</v>
      </c>
      <c r="AF6" s="590">
        <v>32</v>
      </c>
      <c r="AG6" s="590">
        <v>33</v>
      </c>
      <c r="AH6" s="590">
        <v>34</v>
      </c>
      <c r="AI6" s="590">
        <v>35</v>
      </c>
      <c r="AJ6" s="590">
        <v>36</v>
      </c>
      <c r="AK6" s="590">
        <v>37</v>
      </c>
      <c r="AL6" s="590">
        <v>38</v>
      </c>
      <c r="AM6" s="590">
        <v>39</v>
      </c>
      <c r="AN6" s="590">
        <v>40</v>
      </c>
      <c r="AO6" s="590">
        <v>41</v>
      </c>
      <c r="AP6" s="590">
        <v>42</v>
      </c>
      <c r="AQ6" s="590">
        <v>43</v>
      </c>
      <c r="AR6" s="590">
        <v>44</v>
      </c>
      <c r="AS6" s="590">
        <v>45</v>
      </c>
      <c r="AT6" s="590">
        <v>46</v>
      </c>
      <c r="AU6" s="590">
        <v>47</v>
      </c>
      <c r="AV6" s="590">
        <v>48</v>
      </c>
      <c r="AW6" s="590">
        <v>49</v>
      </c>
      <c r="AX6" s="590">
        <v>50</v>
      </c>
      <c r="AY6" s="590">
        <v>51</v>
      </c>
      <c r="AZ6" s="590">
        <v>52</v>
      </c>
      <c r="BA6" s="590">
        <v>53</v>
      </c>
      <c r="BB6" s="590">
        <v>54</v>
      </c>
      <c r="BC6" s="590">
        <v>55</v>
      </c>
      <c r="BD6" s="590">
        <v>56</v>
      </c>
      <c r="BE6" s="590">
        <v>57</v>
      </c>
      <c r="BF6" s="590">
        <v>58</v>
      </c>
      <c r="BG6" s="590">
        <v>59</v>
      </c>
      <c r="BH6" s="590">
        <v>60</v>
      </c>
    </row>
    <row r="7" spans="1:60" ht="15.75">
      <c r="A7" s="191">
        <v>1</v>
      </c>
      <c r="B7" s="529">
        <f>SISWA!B6</f>
        <v>4822</v>
      </c>
      <c r="C7" s="572" t="str">
        <f>SISWA!C6</f>
        <v>Anak 1</v>
      </c>
      <c r="D7" s="596">
        <f>'PAI3'!E6</f>
        <v>89</v>
      </c>
      <c r="E7" s="596">
        <f>'PAI3'!F6</f>
        <v>99</v>
      </c>
      <c r="F7" s="596">
        <f>'PAI3'!G6</f>
        <v>100</v>
      </c>
      <c r="G7" s="597">
        <f>'PAI3'!R6</f>
        <v>89</v>
      </c>
      <c r="H7" s="597">
        <f>'PAI3'!S6</f>
        <v>99</v>
      </c>
      <c r="I7" s="597">
        <f>'PAI3'!T6</f>
        <v>100</v>
      </c>
      <c r="J7" s="589">
        <f>'PKN3'!F5</f>
        <v>99</v>
      </c>
      <c r="K7" s="589">
        <f>'PKN3'!G5</f>
        <v>100</v>
      </c>
      <c r="L7" s="589">
        <f>'PKN3'!M5</f>
        <v>61</v>
      </c>
      <c r="M7" s="589">
        <f>'PKN3'!N5</f>
        <v>100</v>
      </c>
      <c r="N7" s="589">
        <f>BIND3!F5</f>
        <v>89</v>
      </c>
      <c r="O7" s="589">
        <f>BIND3!G5</f>
        <v>89</v>
      </c>
      <c r="P7" s="589"/>
      <c r="Q7" s="589">
        <f>BIND3!U5</f>
        <v>67</v>
      </c>
      <c r="R7" s="589">
        <f>BIND3!V5</f>
        <v>77</v>
      </c>
      <c r="S7" s="589"/>
      <c r="T7" s="589">
        <f>'MTK3'!E5</f>
        <v>0</v>
      </c>
      <c r="U7" s="589">
        <f>'MTK3'!F5</f>
        <v>0</v>
      </c>
      <c r="V7" s="589">
        <f>'MTK3'!G5</f>
        <v>0</v>
      </c>
      <c r="W7" s="583">
        <f>'MTK3'!W5</f>
        <v>65</v>
      </c>
      <c r="X7" s="583">
        <f>'MTK3'!X5</f>
        <v>88</v>
      </c>
      <c r="Y7" s="583">
        <f>'MTK3'!Y5</f>
        <v>77</v>
      </c>
      <c r="Z7" s="589">
        <f>'IPA3'!E5</f>
        <v>87</v>
      </c>
      <c r="AA7" s="589">
        <f>'IPA3'!F5</f>
        <v>89</v>
      </c>
      <c r="AB7" s="589">
        <f>'IPA3'!R5</f>
        <v>87</v>
      </c>
      <c r="AC7" s="589">
        <f>'IPA3'!S5</f>
        <v>89</v>
      </c>
      <c r="AD7" s="589">
        <f>'IPS3'!E5</f>
        <v>0</v>
      </c>
      <c r="AE7" s="589">
        <f>'IPS3'!F5</f>
        <v>0</v>
      </c>
      <c r="AF7" s="589">
        <f>'IPS3'!R5</f>
        <v>98</v>
      </c>
      <c r="AG7" s="589">
        <f>'IPS3'!S5</f>
        <v>77</v>
      </c>
      <c r="AH7" s="589">
        <f>SBDP3!F5</f>
        <v>89</v>
      </c>
      <c r="AI7" s="589">
        <f>SBDP3!G5</f>
        <v>97</v>
      </c>
      <c r="AJ7" s="589">
        <f>SBDP3!H5</f>
        <v>99</v>
      </c>
      <c r="AK7" s="589">
        <f>SBDP3!S5</f>
        <v>89</v>
      </c>
      <c r="AL7" s="589">
        <f>SBDP3!T5</f>
        <v>87</v>
      </c>
      <c r="AM7" s="589">
        <f>SBDP3!U5</f>
        <v>89</v>
      </c>
      <c r="AN7" s="589">
        <f>PJOK3!E5</f>
        <v>89</v>
      </c>
      <c r="AO7" s="589">
        <f>PJOK3!F5</f>
        <v>89</v>
      </c>
      <c r="AP7" s="583">
        <f>PJOK3!R5</f>
        <v>89</v>
      </c>
      <c r="AQ7" s="583">
        <f>PJOK3!S5</f>
        <v>51</v>
      </c>
      <c r="AR7" s="589">
        <f>'MLK1-3'!E5</f>
        <v>89</v>
      </c>
      <c r="AS7" s="589">
        <f>'MLK1-3'!F5</f>
        <v>89</v>
      </c>
      <c r="AT7" s="589">
        <f>'MLK1-3'!G5</f>
        <v>97</v>
      </c>
      <c r="AU7" s="583">
        <f>'MLK1-3'!T5</f>
        <v>32</v>
      </c>
      <c r="AV7" s="583">
        <f>'MLK1-3'!U5</f>
        <v>78</v>
      </c>
      <c r="AW7" s="583">
        <f>'MLK1-3'!V5</f>
        <v>99</v>
      </c>
      <c r="AX7" s="589">
        <f>'MLK2-3'!E5</f>
        <v>89</v>
      </c>
      <c r="AY7" s="589">
        <f>'MLK2-3'!F5</f>
        <v>89</v>
      </c>
      <c r="AZ7" s="589">
        <f>'MLK2-3'!G5</f>
        <v>97</v>
      </c>
      <c r="BA7" s="583">
        <f>'MLK2-3'!S5</f>
        <v>32</v>
      </c>
      <c r="BB7" s="583">
        <f>'MLK2-3'!T5</f>
        <v>78</v>
      </c>
      <c r="BC7" s="583">
        <f>'MLK2-3'!U5</f>
        <v>87</v>
      </c>
      <c r="BD7" s="589">
        <f>'MLK3-3'!E5</f>
        <v>87</v>
      </c>
      <c r="BE7" s="589">
        <f>'MLK3-3'!F5</f>
        <v>89</v>
      </c>
      <c r="BF7" s="583">
        <f>'MLK3-3'!S5</f>
        <v>61</v>
      </c>
      <c r="BG7" s="583">
        <f>'MLK3-3'!T5</f>
        <v>51</v>
      </c>
      <c r="BH7" s="471" t="s">
        <v>734</v>
      </c>
    </row>
    <row r="8" spans="1:60" ht="15.75">
      <c r="A8" s="191">
        <v>2</v>
      </c>
      <c r="B8" s="529">
        <f>SISWA!B7</f>
        <v>0</v>
      </c>
      <c r="C8" s="572" t="str">
        <f>SISWA!C7</f>
        <v>Anak 2</v>
      </c>
      <c r="D8" s="596">
        <f>'PAI3'!E7</f>
        <v>99</v>
      </c>
      <c r="E8" s="596">
        <f>'PAI3'!F7</f>
        <v>99</v>
      </c>
      <c r="F8" s="596">
        <f>'PAI3'!G7</f>
        <v>99</v>
      </c>
      <c r="G8" s="597">
        <f>'PAI3'!R7</f>
        <v>99</v>
      </c>
      <c r="H8" s="597">
        <f>'PAI3'!S7</f>
        <v>99</v>
      </c>
      <c r="I8" s="597">
        <f>'PAI3'!T7</f>
        <v>99</v>
      </c>
      <c r="J8" s="589">
        <f>'PKN3'!F6</f>
        <v>99</v>
      </c>
      <c r="K8" s="589">
        <f>'PKN3'!G6</f>
        <v>99</v>
      </c>
      <c r="L8" s="589">
        <f>'PKN3'!M6</f>
        <v>95.5</v>
      </c>
      <c r="M8" s="589">
        <f>'PKN3'!N6</f>
        <v>94.5</v>
      </c>
      <c r="N8" s="589">
        <f>BIND3!F6</f>
        <v>99</v>
      </c>
      <c r="O8" s="589">
        <f>BIND3!G6</f>
        <v>99</v>
      </c>
      <c r="P8" s="589"/>
      <c r="Q8" s="589">
        <f>BIND3!U6</f>
        <v>99</v>
      </c>
      <c r="R8" s="589">
        <f>BIND3!V6</f>
        <v>99</v>
      </c>
      <c r="S8" s="589"/>
      <c r="T8" s="589">
        <f>'MTK3'!E6</f>
        <v>0</v>
      </c>
      <c r="U8" s="589">
        <f>'MTK3'!F6</f>
        <v>0</v>
      </c>
      <c r="V8" s="589">
        <f>'MTK3'!G6</f>
        <v>0</v>
      </c>
      <c r="W8" s="583">
        <f>'MTK3'!W6</f>
        <v>77</v>
      </c>
      <c r="X8" s="583">
        <f>'MTK3'!X6</f>
        <v>65</v>
      </c>
      <c r="Y8" s="583">
        <f>'MTK3'!Y6</f>
        <v>65</v>
      </c>
      <c r="Z8" s="589">
        <f>'IPA3'!E6</f>
        <v>87</v>
      </c>
      <c r="AA8" s="589">
        <f>'IPA3'!F6</f>
        <v>88</v>
      </c>
      <c r="AB8" s="589">
        <f>'IPA3'!R6</f>
        <v>87</v>
      </c>
      <c r="AC8" s="589">
        <f>'IPA3'!S6</f>
        <v>88</v>
      </c>
      <c r="AD8" s="589">
        <f>'IPS3'!E6</f>
        <v>87</v>
      </c>
      <c r="AE8" s="589">
        <f>'IPS3'!F6</f>
        <v>88</v>
      </c>
      <c r="AF8" s="589">
        <f>'IPS3'!R6</f>
        <v>87</v>
      </c>
      <c r="AG8" s="589">
        <f>'IPS3'!S6</f>
        <v>88</v>
      </c>
      <c r="AH8" s="589">
        <f>SBDP3!F6</f>
        <v>89</v>
      </c>
      <c r="AI8" s="589">
        <f>SBDP3!G6</f>
        <v>97</v>
      </c>
      <c r="AJ8" s="589">
        <f>SBDP3!H6</f>
        <v>99</v>
      </c>
      <c r="AK8" s="589">
        <f>SBDP3!S6</f>
        <v>97</v>
      </c>
      <c r="AL8" s="589">
        <f>SBDP3!T6</f>
        <v>89</v>
      </c>
      <c r="AM8" s="589">
        <f>SBDP3!U6</f>
        <v>97</v>
      </c>
      <c r="AN8" s="589">
        <f>PJOK3!E6</f>
        <v>99</v>
      </c>
      <c r="AO8" s="589">
        <f>PJOK3!F6</f>
        <v>88</v>
      </c>
      <c r="AP8" s="583">
        <f>PJOK3!R6</f>
        <v>95.5</v>
      </c>
      <c r="AQ8" s="583">
        <f>PJOK3!S6</f>
        <v>94.5</v>
      </c>
      <c r="AR8" s="589">
        <f>'MLK1-3'!E6</f>
        <v>99</v>
      </c>
      <c r="AS8" s="589">
        <f>'MLK1-3'!F6</f>
        <v>88</v>
      </c>
      <c r="AT8" s="589">
        <f>'MLK1-3'!G6</f>
        <v>98</v>
      </c>
      <c r="AU8" s="583">
        <f>'MLK1-3'!T6</f>
        <v>87</v>
      </c>
      <c r="AV8" s="583">
        <f>'MLK1-3'!U6</f>
        <v>87</v>
      </c>
      <c r="AW8" s="583">
        <f>'MLK1-3'!V6</f>
        <v>87</v>
      </c>
      <c r="AX8" s="589">
        <f>'MLK2-3'!E6</f>
        <v>99</v>
      </c>
      <c r="AY8" s="589">
        <f>'MLK2-3'!F6</f>
        <v>88</v>
      </c>
      <c r="AZ8" s="589">
        <f>'MLK2-3'!G6</f>
        <v>98</v>
      </c>
      <c r="BA8" s="583">
        <f>'MLK2-3'!S6</f>
        <v>65</v>
      </c>
      <c r="BB8" s="583">
        <f>'MLK2-3'!T6</f>
        <v>77</v>
      </c>
      <c r="BC8" s="583">
        <f>'MLK2-3'!U6</f>
        <v>87</v>
      </c>
      <c r="BD8" s="589">
        <f>'MLK3-3'!E6</f>
        <v>87</v>
      </c>
      <c r="BE8" s="589">
        <f>'MLK3-3'!F6</f>
        <v>88</v>
      </c>
      <c r="BF8" s="583">
        <f>'MLK3-3'!S6</f>
        <v>95.5</v>
      </c>
      <c r="BG8" s="583">
        <f>'MLK3-3'!T6</f>
        <v>94.5</v>
      </c>
      <c r="BH8" s="471"/>
    </row>
    <row r="9" spans="1:60" ht="15.75">
      <c r="A9" s="191">
        <v>3</v>
      </c>
      <c r="B9" s="529">
        <f>SISWA!B8</f>
        <v>0</v>
      </c>
      <c r="C9" s="572" t="str">
        <f>SISWA!C8</f>
        <v>Anak 3</v>
      </c>
      <c r="D9" s="596">
        <f>'PAI3'!E8</f>
        <v>99</v>
      </c>
      <c r="E9" s="596">
        <f>'PAI3'!F8</f>
        <v>99</v>
      </c>
      <c r="F9" s="596">
        <f>'PAI3'!G8</f>
        <v>99</v>
      </c>
      <c r="G9" s="597">
        <f>'PAI3'!R8</f>
        <v>99</v>
      </c>
      <c r="H9" s="597">
        <f>'PAI3'!S8</f>
        <v>99</v>
      </c>
      <c r="I9" s="597">
        <f>'PAI3'!T8</f>
        <v>99</v>
      </c>
      <c r="J9" s="589">
        <f>'PKN3'!F7</f>
        <v>99</v>
      </c>
      <c r="K9" s="589">
        <f>'PKN3'!G7</f>
        <v>99</v>
      </c>
      <c r="L9" s="589">
        <f>'PKN3'!M7</f>
        <v>94.5</v>
      </c>
      <c r="M9" s="589">
        <f>'PKN3'!N7</f>
        <v>79</v>
      </c>
      <c r="N9" s="589">
        <f>BIND3!F7</f>
        <v>99</v>
      </c>
      <c r="O9" s="589">
        <f>BIND3!G7</f>
        <v>99</v>
      </c>
      <c r="P9" s="589"/>
      <c r="Q9" s="589">
        <f>BIND3!U7</f>
        <v>99</v>
      </c>
      <c r="R9" s="589">
        <f>BIND3!V7</f>
        <v>99</v>
      </c>
      <c r="S9" s="589"/>
      <c r="T9" s="589">
        <f>'MTK3'!E7</f>
        <v>99</v>
      </c>
      <c r="U9" s="589">
        <f>'MTK3'!F7</f>
        <v>99</v>
      </c>
      <c r="V9" s="589">
        <f>'MTK3'!G7</f>
        <v>99</v>
      </c>
      <c r="W9" s="583">
        <f>'MTK3'!W7</f>
        <v>99</v>
      </c>
      <c r="X9" s="583">
        <f>'MTK3'!X7</f>
        <v>94.5</v>
      </c>
      <c r="Y9" s="583">
        <f>'MTK3'!Y7</f>
        <v>99</v>
      </c>
      <c r="Z9" s="589">
        <f>'IPA3'!E7</f>
        <v>99</v>
      </c>
      <c r="AA9" s="589">
        <f>'IPA3'!F7</f>
        <v>99</v>
      </c>
      <c r="AB9" s="589">
        <f>'IPA3'!R7</f>
        <v>99</v>
      </c>
      <c r="AC9" s="589">
        <f>'IPA3'!S7</f>
        <v>99</v>
      </c>
      <c r="AD9" s="589">
        <f>'IPS3'!E7</f>
        <v>99</v>
      </c>
      <c r="AE9" s="589">
        <f>'IPS3'!F7</f>
        <v>99</v>
      </c>
      <c r="AF9" s="589">
        <f>'IPS3'!R7</f>
        <v>99</v>
      </c>
      <c r="AG9" s="589">
        <f>'IPS3'!S7</f>
        <v>99</v>
      </c>
      <c r="AH9" s="589">
        <f>SBDP3!F7</f>
        <v>88</v>
      </c>
      <c r="AI9" s="589">
        <f>SBDP3!G7</f>
        <v>98</v>
      </c>
      <c r="AJ9" s="589">
        <f>SBDP3!H7</f>
        <v>99</v>
      </c>
      <c r="AK9" s="589">
        <f>SBDP3!S7</f>
        <v>97</v>
      </c>
      <c r="AL9" s="589">
        <f>SBDP3!T7</f>
        <v>89</v>
      </c>
      <c r="AM9" s="589">
        <f>SBDP3!U7</f>
        <v>97</v>
      </c>
      <c r="AN9" s="589">
        <f>PJOK3!E7</f>
        <v>99</v>
      </c>
      <c r="AO9" s="589">
        <f>PJOK3!F7</f>
        <v>99</v>
      </c>
      <c r="AP9" s="583">
        <f>PJOK3!R7</f>
        <v>94.5</v>
      </c>
      <c r="AQ9" s="583">
        <f>PJOK3!S7</f>
        <v>79</v>
      </c>
      <c r="AR9" s="589">
        <f>'MLK1-3'!E7</f>
        <v>99</v>
      </c>
      <c r="AS9" s="589">
        <f>'MLK1-3'!F7</f>
        <v>99</v>
      </c>
      <c r="AT9" s="589">
        <f>'MLK1-3'!G7</f>
        <v>99</v>
      </c>
      <c r="AU9" s="583">
        <f>'MLK1-3'!T7</f>
        <v>94.5</v>
      </c>
      <c r="AV9" s="583">
        <f>'MLK1-3'!U7</f>
        <v>79</v>
      </c>
      <c r="AW9" s="583">
        <f>'MLK1-3'!V7</f>
        <v>0</v>
      </c>
      <c r="AX9" s="589">
        <f>'MLK2-3'!E7</f>
        <v>99</v>
      </c>
      <c r="AY9" s="589">
        <f>'MLK2-3'!F7</f>
        <v>99</v>
      </c>
      <c r="AZ9" s="589">
        <f>'MLK2-3'!G7</f>
        <v>99</v>
      </c>
      <c r="BA9" s="583">
        <f>'MLK2-3'!S7</f>
        <v>94.5</v>
      </c>
      <c r="BB9" s="583">
        <f>'MLK2-3'!T7</f>
        <v>79</v>
      </c>
      <c r="BC9" s="583">
        <f>'MLK2-3'!U7</f>
        <v>0</v>
      </c>
      <c r="BD9" s="589">
        <f>'MLK3-3'!E7</f>
        <v>99</v>
      </c>
      <c r="BE9" s="589">
        <f>'MLK3-3'!F7</f>
        <v>99</v>
      </c>
      <c r="BF9" s="583">
        <f>'MLK3-3'!S7</f>
        <v>94.5</v>
      </c>
      <c r="BG9" s="583">
        <f>'MLK3-3'!T7</f>
        <v>79</v>
      </c>
      <c r="BH9" s="471"/>
    </row>
    <row r="10" spans="1:60" ht="15.75">
      <c r="A10" s="191">
        <v>4</v>
      </c>
      <c r="B10" s="529">
        <f>SISWA!B9</f>
        <v>0</v>
      </c>
      <c r="C10" s="572" t="str">
        <f>SISWA!C9</f>
        <v>Anak 4</v>
      </c>
      <c r="D10" s="596">
        <f>'PAI3'!E9</f>
        <v>99</v>
      </c>
      <c r="E10" s="596">
        <f>'PAI3'!F9</f>
        <v>99</v>
      </c>
      <c r="F10" s="596">
        <f>'PAI3'!G9</f>
        <v>99</v>
      </c>
      <c r="G10" s="597">
        <f>'PAI3'!R9</f>
        <v>99</v>
      </c>
      <c r="H10" s="597">
        <f>'PAI3'!S9</f>
        <v>99</v>
      </c>
      <c r="I10" s="597">
        <f>'PAI3'!T9</f>
        <v>99</v>
      </c>
      <c r="J10" s="589">
        <f>'PKN3'!F8</f>
        <v>99</v>
      </c>
      <c r="K10" s="589">
        <f>'PKN3'!G8</f>
        <v>99</v>
      </c>
      <c r="L10" s="589">
        <f>'PKN3'!M8</f>
        <v>79</v>
      </c>
      <c r="M10" s="589">
        <f>'PKN3'!N8</f>
        <v>79</v>
      </c>
      <c r="N10" s="589">
        <f>BIND3!F8</f>
        <v>87</v>
      </c>
      <c r="O10" s="589">
        <f>BIND3!G8</f>
        <v>99</v>
      </c>
      <c r="P10" s="589"/>
      <c r="Q10" s="589">
        <f>BIND3!U8</f>
        <v>67</v>
      </c>
      <c r="R10" s="589">
        <f>BIND3!V8</f>
        <v>87</v>
      </c>
      <c r="S10" s="589"/>
      <c r="T10" s="589">
        <f>'MTK3'!E8</f>
        <v>99</v>
      </c>
      <c r="U10" s="589">
        <f>'MTK3'!F8</f>
        <v>99</v>
      </c>
      <c r="V10" s="589">
        <f>'MTK3'!G8</f>
        <v>99</v>
      </c>
      <c r="W10" s="583">
        <f>'MTK3'!W8</f>
        <v>99</v>
      </c>
      <c r="X10" s="583">
        <f>'MTK3'!X8</f>
        <v>79</v>
      </c>
      <c r="Y10" s="583">
        <f>'MTK3'!Y8</f>
        <v>99</v>
      </c>
      <c r="Z10" s="589">
        <f>'IPA3'!E8</f>
        <v>0</v>
      </c>
      <c r="AA10" s="589">
        <f>'IPA3'!F8</f>
        <v>78</v>
      </c>
      <c r="AB10" s="589">
        <f>'IPA3'!R8</f>
        <v>68</v>
      </c>
      <c r="AC10" s="589">
        <f>'IPA3'!S8</f>
        <v>79</v>
      </c>
      <c r="AD10" s="589">
        <f>'IPS3'!E8</f>
        <v>99</v>
      </c>
      <c r="AE10" s="589">
        <f>'IPS3'!F8</f>
        <v>99</v>
      </c>
      <c r="AF10" s="589">
        <f>'IPS3'!R8</f>
        <v>99</v>
      </c>
      <c r="AG10" s="589">
        <f>'IPS3'!S8</f>
        <v>99</v>
      </c>
      <c r="AH10" s="589">
        <f>SBDP3!F8</f>
        <v>99</v>
      </c>
      <c r="AI10" s="589">
        <f>SBDP3!G8</f>
        <v>99</v>
      </c>
      <c r="AJ10" s="589">
        <f>SBDP3!H8</f>
        <v>99</v>
      </c>
      <c r="AK10" s="589">
        <f>SBDP3!S8</f>
        <v>98</v>
      </c>
      <c r="AL10" s="589">
        <f>SBDP3!T8</f>
        <v>88</v>
      </c>
      <c r="AM10" s="589">
        <f>SBDP3!U8</f>
        <v>98</v>
      </c>
      <c r="AN10" s="589">
        <f>PJOK3!E8</f>
        <v>99</v>
      </c>
      <c r="AO10" s="589">
        <f>PJOK3!F8</f>
        <v>99</v>
      </c>
      <c r="AP10" s="583">
        <f>PJOK3!R8</f>
        <v>79</v>
      </c>
      <c r="AQ10" s="583">
        <f>PJOK3!S8</f>
        <v>79</v>
      </c>
      <c r="AR10" s="589">
        <f>'MLK1-3'!E8</f>
        <v>99</v>
      </c>
      <c r="AS10" s="589">
        <f>'MLK1-3'!F8</f>
        <v>99</v>
      </c>
      <c r="AT10" s="589">
        <f>'MLK1-3'!G8</f>
        <v>99</v>
      </c>
      <c r="AU10" s="583">
        <f>'MLK1-3'!T8</f>
        <v>79</v>
      </c>
      <c r="AV10" s="583">
        <f>'MLK1-3'!U8</f>
        <v>79</v>
      </c>
      <c r="AW10" s="583">
        <f>'MLK1-3'!V8</f>
        <v>0</v>
      </c>
      <c r="AX10" s="589">
        <f>'MLK2-3'!E8</f>
        <v>99</v>
      </c>
      <c r="AY10" s="589">
        <f>'MLK2-3'!F8</f>
        <v>99</v>
      </c>
      <c r="AZ10" s="589">
        <f>'MLK2-3'!G8</f>
        <v>99</v>
      </c>
      <c r="BA10" s="583">
        <f>'MLK2-3'!S8</f>
        <v>79</v>
      </c>
      <c r="BB10" s="583">
        <f>'MLK2-3'!T8</f>
        <v>79</v>
      </c>
      <c r="BC10" s="583">
        <f>'MLK2-3'!U8</f>
        <v>0</v>
      </c>
      <c r="BD10" s="589">
        <f>'MLK3-3'!E8</f>
        <v>99</v>
      </c>
      <c r="BE10" s="589">
        <f>'MLK3-3'!F8</f>
        <v>99</v>
      </c>
      <c r="BF10" s="583">
        <f>'MLK3-3'!S8</f>
        <v>79</v>
      </c>
      <c r="BG10" s="583">
        <f>'MLK3-3'!T8</f>
        <v>79</v>
      </c>
      <c r="BH10" s="471"/>
    </row>
    <row r="11" spans="1:60" ht="15.75">
      <c r="A11" s="191">
        <v>5</v>
      </c>
      <c r="B11" s="529">
        <f>SISWA!B10</f>
        <v>0</v>
      </c>
      <c r="C11" s="572" t="str">
        <f>SISWA!C10</f>
        <v>Anak 5</v>
      </c>
      <c r="D11" s="596">
        <f>'PAI3'!E10</f>
        <v>99</v>
      </c>
      <c r="E11" s="596">
        <f>'PAI3'!F10</f>
        <v>99</v>
      </c>
      <c r="F11" s="596">
        <f>'PAI3'!G10</f>
        <v>99</v>
      </c>
      <c r="G11" s="597">
        <f>'PAI3'!R10</f>
        <v>99</v>
      </c>
      <c r="H11" s="597">
        <f>'PAI3'!S10</f>
        <v>99</v>
      </c>
      <c r="I11" s="597">
        <f>'PAI3'!T10</f>
        <v>99</v>
      </c>
      <c r="J11" s="589">
        <f>'PKN3'!F9</f>
        <v>99</v>
      </c>
      <c r="K11" s="589">
        <f>'PKN3'!G9</f>
        <v>99</v>
      </c>
      <c r="L11" s="589">
        <f>'PKN3'!M9</f>
        <v>79</v>
      </c>
      <c r="M11" s="589">
        <f>'PKN3'!N9</f>
        <v>79</v>
      </c>
      <c r="N11" s="589">
        <f>BIND3!F9</f>
        <v>99</v>
      </c>
      <c r="O11" s="589">
        <f>BIND3!G9</f>
        <v>99</v>
      </c>
      <c r="P11" s="589"/>
      <c r="Q11" s="589">
        <f>BIND3!U9</f>
        <v>99</v>
      </c>
      <c r="R11" s="589">
        <f>BIND3!V9</f>
        <v>99</v>
      </c>
      <c r="S11" s="589"/>
      <c r="T11" s="589">
        <f>'MTK3'!E9</f>
        <v>99</v>
      </c>
      <c r="U11" s="589">
        <f>'MTK3'!F9</f>
        <v>99</v>
      </c>
      <c r="V11" s="589">
        <f>'MTK3'!G9</f>
        <v>99</v>
      </c>
      <c r="W11" s="583">
        <f>'MTK3'!W9</f>
        <v>99</v>
      </c>
      <c r="X11" s="583">
        <f>'MTK3'!X9</f>
        <v>79</v>
      </c>
      <c r="Y11" s="583">
        <f>'MTK3'!Y9</f>
        <v>99</v>
      </c>
      <c r="Z11" s="589">
        <f>'IPA3'!E9</f>
        <v>99</v>
      </c>
      <c r="AA11" s="589">
        <f>'IPA3'!F9</f>
        <v>99</v>
      </c>
      <c r="AB11" s="589">
        <f>'IPA3'!R9</f>
        <v>99</v>
      </c>
      <c r="AC11" s="589">
        <f>'IPA3'!S9</f>
        <v>99</v>
      </c>
      <c r="AD11" s="589">
        <f>'IPS3'!E9</f>
        <v>99</v>
      </c>
      <c r="AE11" s="589">
        <f>'IPS3'!F9</f>
        <v>99</v>
      </c>
      <c r="AF11" s="589">
        <f>'IPS3'!R9</f>
        <v>99</v>
      </c>
      <c r="AG11" s="589">
        <f>'IPS3'!S9</f>
        <v>99</v>
      </c>
      <c r="AH11" s="589">
        <f>SBDP3!F9</f>
        <v>99</v>
      </c>
      <c r="AI11" s="589">
        <f>SBDP3!G9</f>
        <v>99</v>
      </c>
      <c r="AJ11" s="589">
        <f>SBDP3!H9</f>
        <v>99</v>
      </c>
      <c r="AK11" s="589">
        <f>SBDP3!S9</f>
        <v>99</v>
      </c>
      <c r="AL11" s="589">
        <f>SBDP3!T9</f>
        <v>99</v>
      </c>
      <c r="AM11" s="589">
        <f>SBDP3!U9</f>
        <v>99</v>
      </c>
      <c r="AN11" s="589">
        <f>PJOK3!E9</f>
        <v>99</v>
      </c>
      <c r="AO11" s="589">
        <f>PJOK3!F9</f>
        <v>99</v>
      </c>
      <c r="AP11" s="583">
        <f>PJOK3!R9</f>
        <v>79</v>
      </c>
      <c r="AQ11" s="583">
        <f>PJOK3!S9</f>
        <v>79</v>
      </c>
      <c r="AR11" s="589">
        <f>'MLK1-3'!E9</f>
        <v>99</v>
      </c>
      <c r="AS11" s="589">
        <f>'MLK1-3'!F9</f>
        <v>99</v>
      </c>
      <c r="AT11" s="589">
        <f>'MLK1-3'!G9</f>
        <v>99</v>
      </c>
      <c r="AU11" s="583">
        <f>'MLK1-3'!T9</f>
        <v>79</v>
      </c>
      <c r="AV11" s="583">
        <f>'MLK1-3'!U9</f>
        <v>79</v>
      </c>
      <c r="AW11" s="583">
        <f>'MLK1-3'!V9</f>
        <v>0</v>
      </c>
      <c r="AX11" s="589">
        <f>'MLK2-3'!E9</f>
        <v>99</v>
      </c>
      <c r="AY11" s="589">
        <f>'MLK2-3'!F9</f>
        <v>99</v>
      </c>
      <c r="AZ11" s="589">
        <f>'MLK2-3'!G9</f>
        <v>99</v>
      </c>
      <c r="BA11" s="583">
        <f>'MLK2-3'!S9</f>
        <v>79</v>
      </c>
      <c r="BB11" s="583">
        <f>'MLK2-3'!T9</f>
        <v>79</v>
      </c>
      <c r="BC11" s="583">
        <f>'MLK2-3'!U9</f>
        <v>0</v>
      </c>
      <c r="BD11" s="589">
        <f>'MLK3-3'!E9</f>
        <v>99</v>
      </c>
      <c r="BE11" s="589">
        <f>'MLK3-3'!F9</f>
        <v>99</v>
      </c>
      <c r="BF11" s="583">
        <f>'MLK3-3'!S9</f>
        <v>79</v>
      </c>
      <c r="BG11" s="583">
        <f>'MLK3-3'!T9</f>
        <v>79</v>
      </c>
      <c r="BH11" s="471"/>
    </row>
    <row r="12" spans="1:60" ht="15.75">
      <c r="A12" s="191">
        <v>6</v>
      </c>
      <c r="B12" s="529">
        <f>SISWA!B11</f>
        <v>0</v>
      </c>
      <c r="C12" s="572" t="str">
        <f>SISWA!C11</f>
        <v>Anak 6</v>
      </c>
      <c r="D12" s="596">
        <f>'PAI3'!E11</f>
        <v>99</v>
      </c>
      <c r="E12" s="596">
        <f>'PAI3'!F11</f>
        <v>99</v>
      </c>
      <c r="F12" s="596">
        <f>'PAI3'!G11</f>
        <v>99</v>
      </c>
      <c r="G12" s="597">
        <f>'PAI3'!R11</f>
        <v>99</v>
      </c>
      <c r="H12" s="597">
        <f>'PAI3'!S11</f>
        <v>99</v>
      </c>
      <c r="I12" s="597">
        <f>'PAI3'!T11</f>
        <v>99</v>
      </c>
      <c r="J12" s="589">
        <f>'PKN3'!F10</f>
        <v>99</v>
      </c>
      <c r="K12" s="589">
        <f>'PKN3'!G10</f>
        <v>99</v>
      </c>
      <c r="L12" s="589">
        <f>'PKN3'!M10</f>
        <v>79</v>
      </c>
      <c r="M12" s="589">
        <f>'PKN3'!N10</f>
        <v>68.5</v>
      </c>
      <c r="N12" s="589">
        <f>BIND3!F10</f>
        <v>99</v>
      </c>
      <c r="O12" s="589">
        <f>BIND3!G10</f>
        <v>99</v>
      </c>
      <c r="P12" s="589"/>
      <c r="Q12" s="589">
        <f>BIND3!U10</f>
        <v>99</v>
      </c>
      <c r="R12" s="589">
        <f>BIND3!V10</f>
        <v>99</v>
      </c>
      <c r="S12" s="589"/>
      <c r="T12" s="589">
        <f>'MTK3'!E10</f>
        <v>99</v>
      </c>
      <c r="U12" s="589">
        <f>'MTK3'!F10</f>
        <v>99</v>
      </c>
      <c r="V12" s="589">
        <f>'MTK3'!G10</f>
        <v>99</v>
      </c>
      <c r="W12" s="583">
        <f>'MTK3'!W10</f>
        <v>99</v>
      </c>
      <c r="X12" s="583">
        <f>'MTK3'!X10</f>
        <v>79</v>
      </c>
      <c r="Y12" s="583">
        <f>'MTK3'!Y10</f>
        <v>99</v>
      </c>
      <c r="Z12" s="589">
        <f>'IPA3'!E10</f>
        <v>99</v>
      </c>
      <c r="AA12" s="589">
        <f>'IPA3'!F10</f>
        <v>99</v>
      </c>
      <c r="AB12" s="589">
        <f>'IPA3'!R10</f>
        <v>99</v>
      </c>
      <c r="AC12" s="589">
        <f>'IPA3'!S10</f>
        <v>99</v>
      </c>
      <c r="AD12" s="589">
        <f>'IPS3'!E10</f>
        <v>99</v>
      </c>
      <c r="AE12" s="589">
        <f>'IPS3'!F10</f>
        <v>99</v>
      </c>
      <c r="AF12" s="589">
        <f>'IPS3'!R10</f>
        <v>99</v>
      </c>
      <c r="AG12" s="589">
        <f>'IPS3'!S10</f>
        <v>99</v>
      </c>
      <c r="AH12" s="589">
        <f>SBDP3!F10</f>
        <v>99</v>
      </c>
      <c r="AI12" s="589">
        <f>SBDP3!G10</f>
        <v>99</v>
      </c>
      <c r="AJ12" s="589">
        <f>SBDP3!H10</f>
        <v>99</v>
      </c>
      <c r="AK12" s="589">
        <f>SBDP3!S10</f>
        <v>99</v>
      </c>
      <c r="AL12" s="589">
        <f>SBDP3!T10</f>
        <v>99</v>
      </c>
      <c r="AM12" s="589">
        <f>SBDP3!U10</f>
        <v>99</v>
      </c>
      <c r="AN12" s="589">
        <f>PJOK3!E10</f>
        <v>99</v>
      </c>
      <c r="AO12" s="589">
        <f>PJOK3!F10</f>
        <v>99</v>
      </c>
      <c r="AP12" s="583">
        <f>PJOK3!R10</f>
        <v>79</v>
      </c>
      <c r="AQ12" s="583">
        <f>PJOK3!S10</f>
        <v>68.5</v>
      </c>
      <c r="AR12" s="589">
        <f>'MLK1-3'!E10</f>
        <v>99</v>
      </c>
      <c r="AS12" s="589">
        <f>'MLK1-3'!F10</f>
        <v>99</v>
      </c>
      <c r="AT12" s="589">
        <f>'MLK1-3'!G10</f>
        <v>99</v>
      </c>
      <c r="AU12" s="583">
        <f>'MLK1-3'!T10</f>
        <v>79</v>
      </c>
      <c r="AV12" s="583">
        <f>'MLK1-3'!U10</f>
        <v>68.5</v>
      </c>
      <c r="AW12" s="583">
        <f>'MLK1-3'!V10</f>
        <v>0</v>
      </c>
      <c r="AX12" s="589">
        <f>'MLK2-3'!E10</f>
        <v>99</v>
      </c>
      <c r="AY12" s="589">
        <f>'MLK2-3'!F10</f>
        <v>99</v>
      </c>
      <c r="AZ12" s="589">
        <f>'MLK2-3'!G10</f>
        <v>99</v>
      </c>
      <c r="BA12" s="583">
        <f>'MLK2-3'!S10</f>
        <v>79</v>
      </c>
      <c r="BB12" s="583">
        <f>'MLK2-3'!T10</f>
        <v>68.5</v>
      </c>
      <c r="BC12" s="583">
        <f>'MLK2-3'!U10</f>
        <v>0</v>
      </c>
      <c r="BD12" s="589">
        <f>'MLK3-3'!E10</f>
        <v>99</v>
      </c>
      <c r="BE12" s="589">
        <f>'MLK3-3'!F10</f>
        <v>99</v>
      </c>
      <c r="BF12" s="583">
        <f>'MLK3-3'!S10</f>
        <v>79</v>
      </c>
      <c r="BG12" s="583">
        <f>'MLK3-3'!T10</f>
        <v>68.5</v>
      </c>
      <c r="BH12" s="471"/>
    </row>
    <row r="13" spans="1:60" ht="15.75">
      <c r="A13" s="191">
        <v>7</v>
      </c>
      <c r="B13" s="529">
        <f>SISWA!B12</f>
        <v>0</v>
      </c>
      <c r="C13" s="572" t="str">
        <f>SISWA!C12</f>
        <v>Anak 7</v>
      </c>
      <c r="D13" s="596">
        <f>'PAI3'!E12</f>
        <v>99</v>
      </c>
      <c r="E13" s="596">
        <f>'PAI3'!F12</f>
        <v>99</v>
      </c>
      <c r="F13" s="596">
        <f>'PAI3'!G12</f>
        <v>99</v>
      </c>
      <c r="G13" s="597">
        <f>'PAI3'!R12</f>
        <v>99</v>
      </c>
      <c r="H13" s="597">
        <f>'PAI3'!S12</f>
        <v>99</v>
      </c>
      <c r="I13" s="597">
        <f>'PAI3'!T12</f>
        <v>99</v>
      </c>
      <c r="J13" s="589">
        <f>'PKN3'!F11</f>
        <v>99</v>
      </c>
      <c r="K13" s="589">
        <f>'PKN3'!G11</f>
        <v>99</v>
      </c>
      <c r="L13" s="589">
        <f>'PKN3'!M11</f>
        <v>68.5</v>
      </c>
      <c r="M13" s="589">
        <f>'PKN3'!N11</f>
        <v>69.5</v>
      </c>
      <c r="N13" s="589">
        <f>BIND3!F11</f>
        <v>99</v>
      </c>
      <c r="O13" s="589">
        <f>BIND3!G11</f>
        <v>99</v>
      </c>
      <c r="P13" s="589"/>
      <c r="Q13" s="589">
        <f>BIND3!U11</f>
        <v>99</v>
      </c>
      <c r="R13" s="589">
        <f>BIND3!V11</f>
        <v>99</v>
      </c>
      <c r="S13" s="589"/>
      <c r="T13" s="589">
        <f>'MTK3'!E11</f>
        <v>99</v>
      </c>
      <c r="U13" s="589">
        <f>'MTK3'!F11</f>
        <v>99</v>
      </c>
      <c r="V13" s="589">
        <f>'MTK3'!G11</f>
        <v>99</v>
      </c>
      <c r="W13" s="583">
        <f>'MTK3'!W11</f>
        <v>99</v>
      </c>
      <c r="X13" s="583">
        <f>'MTK3'!X11</f>
        <v>68.5</v>
      </c>
      <c r="Y13" s="583">
        <f>'MTK3'!Y11</f>
        <v>99</v>
      </c>
      <c r="Z13" s="589">
        <f>'IPA3'!E11</f>
        <v>99</v>
      </c>
      <c r="AA13" s="589">
        <f>'IPA3'!F11</f>
        <v>99</v>
      </c>
      <c r="AB13" s="589">
        <f>'IPA3'!R11</f>
        <v>99</v>
      </c>
      <c r="AC13" s="589">
        <f>'IPA3'!S11</f>
        <v>99</v>
      </c>
      <c r="AD13" s="589">
        <f>'IPS3'!E11</f>
        <v>99</v>
      </c>
      <c r="AE13" s="589">
        <f>'IPS3'!F11</f>
        <v>99</v>
      </c>
      <c r="AF13" s="589">
        <f>'IPS3'!R11</f>
        <v>99</v>
      </c>
      <c r="AG13" s="589">
        <f>'IPS3'!S11</f>
        <v>99</v>
      </c>
      <c r="AH13" s="589">
        <f>SBDP3!F11</f>
        <v>99</v>
      </c>
      <c r="AI13" s="589">
        <f>SBDP3!G11</f>
        <v>99</v>
      </c>
      <c r="AJ13" s="589">
        <f>SBDP3!H11</f>
        <v>99</v>
      </c>
      <c r="AK13" s="589">
        <f>SBDP3!S11</f>
        <v>99</v>
      </c>
      <c r="AL13" s="589">
        <f>SBDP3!T11</f>
        <v>99</v>
      </c>
      <c r="AM13" s="589">
        <f>SBDP3!U11</f>
        <v>99</v>
      </c>
      <c r="AN13" s="589">
        <f>PJOK3!E11</f>
        <v>99</v>
      </c>
      <c r="AO13" s="589">
        <f>PJOK3!F11</f>
        <v>99</v>
      </c>
      <c r="AP13" s="583">
        <f>PJOK3!R11</f>
        <v>68.5</v>
      </c>
      <c r="AQ13" s="583">
        <f>PJOK3!S11</f>
        <v>69.5</v>
      </c>
      <c r="AR13" s="589">
        <f>'MLK1-3'!E11</f>
        <v>99</v>
      </c>
      <c r="AS13" s="589">
        <f>'MLK1-3'!F11</f>
        <v>99</v>
      </c>
      <c r="AT13" s="589">
        <f>'MLK1-3'!G11</f>
        <v>99</v>
      </c>
      <c r="AU13" s="583">
        <f>'MLK1-3'!T11</f>
        <v>68.5</v>
      </c>
      <c r="AV13" s="583">
        <f>'MLK1-3'!U11</f>
        <v>69.5</v>
      </c>
      <c r="AW13" s="583">
        <f>'MLK1-3'!V11</f>
        <v>0</v>
      </c>
      <c r="AX13" s="589">
        <f>'MLK2-3'!E11</f>
        <v>99</v>
      </c>
      <c r="AY13" s="589">
        <f>'MLK2-3'!F11</f>
        <v>99</v>
      </c>
      <c r="AZ13" s="589">
        <f>'MLK2-3'!G11</f>
        <v>99</v>
      </c>
      <c r="BA13" s="583">
        <f>'MLK2-3'!S11</f>
        <v>68.5</v>
      </c>
      <c r="BB13" s="583">
        <f>'MLK2-3'!T11</f>
        <v>69.5</v>
      </c>
      <c r="BC13" s="583">
        <f>'MLK2-3'!U11</f>
        <v>0</v>
      </c>
      <c r="BD13" s="589">
        <f>'MLK3-3'!E11</f>
        <v>99</v>
      </c>
      <c r="BE13" s="589">
        <f>'MLK3-3'!F11</f>
        <v>99</v>
      </c>
      <c r="BF13" s="583">
        <f>'MLK3-3'!S11</f>
        <v>68.5</v>
      </c>
      <c r="BG13" s="583">
        <f>'MLK3-3'!T11</f>
        <v>69.5</v>
      </c>
      <c r="BH13" s="471"/>
    </row>
    <row r="14" spans="1:60" ht="15.75">
      <c r="A14" s="191">
        <v>8</v>
      </c>
      <c r="B14" s="529">
        <f>SISWA!B13</f>
        <v>0</v>
      </c>
      <c r="C14" s="572" t="str">
        <f>SISWA!C13</f>
        <v>Anak 8</v>
      </c>
      <c r="D14" s="596">
        <f>'PAI3'!E13</f>
        <v>99</v>
      </c>
      <c r="E14" s="596">
        <f>'PAI3'!F13</f>
        <v>99</v>
      </c>
      <c r="F14" s="596">
        <f>'PAI3'!G13</f>
        <v>99</v>
      </c>
      <c r="G14" s="597">
        <f>'PAI3'!R13</f>
        <v>99</v>
      </c>
      <c r="H14" s="597">
        <f>'PAI3'!S13</f>
        <v>99</v>
      </c>
      <c r="I14" s="597">
        <f>'PAI3'!T13</f>
        <v>99</v>
      </c>
      <c r="J14" s="589">
        <f>'PKN3'!F12</f>
        <v>99</v>
      </c>
      <c r="K14" s="589">
        <f>'PKN3'!G12</f>
        <v>99</v>
      </c>
      <c r="L14" s="589">
        <f>'PKN3'!M12</f>
        <v>69.5</v>
      </c>
      <c r="M14" s="589">
        <f>'PKN3'!N12</f>
        <v>80</v>
      </c>
      <c r="N14" s="589">
        <f>BIND3!F12</f>
        <v>99</v>
      </c>
      <c r="O14" s="589">
        <f>BIND3!G12</f>
        <v>99</v>
      </c>
      <c r="P14" s="589"/>
      <c r="Q14" s="589">
        <f>BIND3!U12</f>
        <v>99</v>
      </c>
      <c r="R14" s="589">
        <f>BIND3!V12</f>
        <v>99</v>
      </c>
      <c r="S14" s="589"/>
      <c r="T14" s="589">
        <f>'MTK3'!E12</f>
        <v>99</v>
      </c>
      <c r="U14" s="589">
        <f>'MTK3'!F12</f>
        <v>99</v>
      </c>
      <c r="V14" s="589">
        <f>'MTK3'!G12</f>
        <v>99</v>
      </c>
      <c r="W14" s="583">
        <f>'MTK3'!W12</f>
        <v>99</v>
      </c>
      <c r="X14" s="583">
        <f>'MTK3'!X12</f>
        <v>69.5</v>
      </c>
      <c r="Y14" s="583">
        <f>'MTK3'!Y12</f>
        <v>99</v>
      </c>
      <c r="Z14" s="589">
        <f>'IPA3'!E12</f>
        <v>99</v>
      </c>
      <c r="AA14" s="589">
        <f>'IPA3'!F12</f>
        <v>99</v>
      </c>
      <c r="AB14" s="589">
        <f>'IPA3'!R12</f>
        <v>99</v>
      </c>
      <c r="AC14" s="589">
        <f>'IPA3'!S12</f>
        <v>99</v>
      </c>
      <c r="AD14" s="589">
        <f>'IPS3'!E12</f>
        <v>99</v>
      </c>
      <c r="AE14" s="589">
        <f>'IPS3'!F12</f>
        <v>99</v>
      </c>
      <c r="AF14" s="589">
        <f>'IPS3'!R12</f>
        <v>99</v>
      </c>
      <c r="AG14" s="589">
        <f>'IPS3'!S12</f>
        <v>99</v>
      </c>
      <c r="AH14" s="589">
        <f>SBDP3!F12</f>
        <v>99</v>
      </c>
      <c r="AI14" s="589">
        <f>SBDP3!G12</f>
        <v>99</v>
      </c>
      <c r="AJ14" s="589">
        <f>SBDP3!H12</f>
        <v>99</v>
      </c>
      <c r="AK14" s="589">
        <f>SBDP3!S12</f>
        <v>99</v>
      </c>
      <c r="AL14" s="589">
        <f>SBDP3!T12</f>
        <v>99</v>
      </c>
      <c r="AM14" s="589">
        <f>SBDP3!U12</f>
        <v>99</v>
      </c>
      <c r="AN14" s="589">
        <f>PJOK3!E12</f>
        <v>99</v>
      </c>
      <c r="AO14" s="589">
        <f>PJOK3!F12</f>
        <v>99</v>
      </c>
      <c r="AP14" s="583">
        <f>PJOK3!R12</f>
        <v>69.5</v>
      </c>
      <c r="AQ14" s="583">
        <f>PJOK3!S12</f>
        <v>80</v>
      </c>
      <c r="AR14" s="589">
        <f>'MLK1-3'!E12</f>
        <v>99</v>
      </c>
      <c r="AS14" s="589">
        <f>'MLK1-3'!F12</f>
        <v>99</v>
      </c>
      <c r="AT14" s="589">
        <f>'MLK1-3'!G12</f>
        <v>99</v>
      </c>
      <c r="AU14" s="583">
        <f>'MLK1-3'!T12</f>
        <v>69.5</v>
      </c>
      <c r="AV14" s="583">
        <f>'MLK1-3'!U12</f>
        <v>80</v>
      </c>
      <c r="AW14" s="583">
        <f>'MLK1-3'!V12</f>
        <v>0</v>
      </c>
      <c r="AX14" s="589">
        <f>'MLK2-3'!E12</f>
        <v>99</v>
      </c>
      <c r="AY14" s="589">
        <f>'MLK2-3'!F12</f>
        <v>99</v>
      </c>
      <c r="AZ14" s="589">
        <f>'MLK2-3'!G12</f>
        <v>99</v>
      </c>
      <c r="BA14" s="583">
        <f>'MLK2-3'!S12</f>
        <v>69.5</v>
      </c>
      <c r="BB14" s="583">
        <f>'MLK2-3'!T12</f>
        <v>80</v>
      </c>
      <c r="BC14" s="583">
        <f>'MLK2-3'!U12</f>
        <v>0</v>
      </c>
      <c r="BD14" s="589">
        <f>'MLK3-3'!E12</f>
        <v>99</v>
      </c>
      <c r="BE14" s="589">
        <f>'MLK3-3'!F12</f>
        <v>99</v>
      </c>
      <c r="BF14" s="583">
        <f>'MLK3-3'!S12</f>
        <v>69.5</v>
      </c>
      <c r="BG14" s="583">
        <f>'MLK3-3'!T12</f>
        <v>80</v>
      </c>
      <c r="BH14" s="471"/>
    </row>
    <row r="15" spans="1:60" ht="15.75">
      <c r="A15" s="191">
        <v>9</v>
      </c>
      <c r="B15" s="529">
        <f>SISWA!B14</f>
        <v>0</v>
      </c>
      <c r="C15" s="572" t="str">
        <f>SISWA!C14</f>
        <v>Anak 9</v>
      </c>
      <c r="D15" s="596">
        <f>'PAI3'!E14</f>
        <v>99</v>
      </c>
      <c r="E15" s="596">
        <f>'PAI3'!F14</f>
        <v>99</v>
      </c>
      <c r="F15" s="596">
        <f>'PAI3'!G14</f>
        <v>99</v>
      </c>
      <c r="G15" s="597">
        <f>'PAI3'!R14</f>
        <v>99</v>
      </c>
      <c r="H15" s="597">
        <f>'PAI3'!S14</f>
        <v>99</v>
      </c>
      <c r="I15" s="597">
        <f>'PAI3'!T14</f>
        <v>99</v>
      </c>
      <c r="J15" s="589">
        <f>'PKN3'!F13</f>
        <v>99</v>
      </c>
      <c r="K15" s="589">
        <f>'PKN3'!G13</f>
        <v>99</v>
      </c>
      <c r="L15" s="589">
        <f>'PKN3'!M13</f>
        <v>80</v>
      </c>
      <c r="M15" s="589">
        <f>'PKN3'!N13</f>
        <v>68.5</v>
      </c>
      <c r="N15" s="589">
        <f>BIND3!F13</f>
        <v>99</v>
      </c>
      <c r="O15" s="589">
        <f>BIND3!G13</f>
        <v>99</v>
      </c>
      <c r="P15" s="589"/>
      <c r="Q15" s="589">
        <f>BIND3!U13</f>
        <v>99</v>
      </c>
      <c r="R15" s="589">
        <f>BIND3!V13</f>
        <v>99</v>
      </c>
      <c r="S15" s="589"/>
      <c r="T15" s="589">
        <f>'MTK3'!E13</f>
        <v>99</v>
      </c>
      <c r="U15" s="589">
        <f>'MTK3'!F13</f>
        <v>99</v>
      </c>
      <c r="V15" s="589">
        <f>'MTK3'!G13</f>
        <v>99</v>
      </c>
      <c r="W15" s="583">
        <f>'MTK3'!W13</f>
        <v>99</v>
      </c>
      <c r="X15" s="583">
        <f>'MTK3'!X13</f>
        <v>80</v>
      </c>
      <c r="Y15" s="583">
        <f>'MTK3'!Y13</f>
        <v>99</v>
      </c>
      <c r="Z15" s="589">
        <f>'IPA3'!E13</f>
        <v>99</v>
      </c>
      <c r="AA15" s="589">
        <f>'IPA3'!F13</f>
        <v>99</v>
      </c>
      <c r="AB15" s="589">
        <f>'IPA3'!R13</f>
        <v>99</v>
      </c>
      <c r="AC15" s="589">
        <f>'IPA3'!S13</f>
        <v>99</v>
      </c>
      <c r="AD15" s="589">
        <f>'IPS3'!E13</f>
        <v>99</v>
      </c>
      <c r="AE15" s="589">
        <f>'IPS3'!F13</f>
        <v>99</v>
      </c>
      <c r="AF15" s="589">
        <f>'IPS3'!R13</f>
        <v>99</v>
      </c>
      <c r="AG15" s="589">
        <f>'IPS3'!S13</f>
        <v>99</v>
      </c>
      <c r="AH15" s="589">
        <f>SBDP3!F13</f>
        <v>99</v>
      </c>
      <c r="AI15" s="589">
        <f>SBDP3!G13</f>
        <v>99</v>
      </c>
      <c r="AJ15" s="589">
        <f>SBDP3!H13</f>
        <v>99</v>
      </c>
      <c r="AK15" s="589">
        <f>SBDP3!S13</f>
        <v>99</v>
      </c>
      <c r="AL15" s="589">
        <f>SBDP3!T13</f>
        <v>99</v>
      </c>
      <c r="AM15" s="589">
        <f>SBDP3!U13</f>
        <v>99</v>
      </c>
      <c r="AN15" s="589">
        <f>PJOK3!E13</f>
        <v>99</v>
      </c>
      <c r="AO15" s="589">
        <f>PJOK3!F13</f>
        <v>99</v>
      </c>
      <c r="AP15" s="583">
        <f>PJOK3!R13</f>
        <v>80</v>
      </c>
      <c r="AQ15" s="583">
        <f>PJOK3!S13</f>
        <v>68.5</v>
      </c>
      <c r="AR15" s="589">
        <f>'MLK1-3'!E13</f>
        <v>99</v>
      </c>
      <c r="AS15" s="589">
        <f>'MLK1-3'!F13</f>
        <v>99</v>
      </c>
      <c r="AT15" s="589">
        <f>'MLK1-3'!G13</f>
        <v>99</v>
      </c>
      <c r="AU15" s="583">
        <f>'MLK1-3'!T13</f>
        <v>80</v>
      </c>
      <c r="AV15" s="583">
        <f>'MLK1-3'!U13</f>
        <v>68.5</v>
      </c>
      <c r="AW15" s="583">
        <f>'MLK1-3'!V13</f>
        <v>0</v>
      </c>
      <c r="AX15" s="589">
        <f>'MLK2-3'!E13</f>
        <v>99</v>
      </c>
      <c r="AY15" s="589">
        <f>'MLK2-3'!F13</f>
        <v>99</v>
      </c>
      <c r="AZ15" s="589">
        <f>'MLK2-3'!G13</f>
        <v>99</v>
      </c>
      <c r="BA15" s="583">
        <f>'MLK2-3'!S13</f>
        <v>80</v>
      </c>
      <c r="BB15" s="583">
        <f>'MLK2-3'!T13</f>
        <v>68.5</v>
      </c>
      <c r="BC15" s="583">
        <f>'MLK2-3'!U13</f>
        <v>0</v>
      </c>
      <c r="BD15" s="589">
        <f>'MLK3-3'!E13</f>
        <v>99</v>
      </c>
      <c r="BE15" s="589">
        <f>'MLK3-3'!F13</f>
        <v>99</v>
      </c>
      <c r="BF15" s="583">
        <f>'MLK3-3'!S13</f>
        <v>80</v>
      </c>
      <c r="BG15" s="583">
        <f>'MLK3-3'!T13</f>
        <v>68.5</v>
      </c>
      <c r="BH15" s="471"/>
    </row>
    <row r="16" spans="1:60" ht="15.75">
      <c r="A16" s="191">
        <v>10</v>
      </c>
      <c r="B16" s="529">
        <f>SISWA!B15</f>
        <v>0</v>
      </c>
      <c r="C16" s="572" t="str">
        <f>SISWA!C15</f>
        <v>Anak 10</v>
      </c>
      <c r="D16" s="596">
        <f>'PAI3'!E15</f>
        <v>99</v>
      </c>
      <c r="E16" s="596">
        <f>'PAI3'!F15</f>
        <v>99</v>
      </c>
      <c r="F16" s="596">
        <f>'PAI3'!G15</f>
        <v>99</v>
      </c>
      <c r="G16" s="597">
        <f>'PAI3'!R15</f>
        <v>99</v>
      </c>
      <c r="H16" s="597">
        <f>'PAI3'!S15</f>
        <v>99</v>
      </c>
      <c r="I16" s="597">
        <f>'PAI3'!T15</f>
        <v>99</v>
      </c>
      <c r="J16" s="589">
        <f>'PKN3'!F14</f>
        <v>99</v>
      </c>
      <c r="K16" s="589">
        <f>'PKN3'!G14</f>
        <v>99</v>
      </c>
      <c r="L16" s="589">
        <f>'PKN3'!M14</f>
        <v>68.5</v>
      </c>
      <c r="M16" s="589">
        <f>'PKN3'!N14</f>
        <v>69.5</v>
      </c>
      <c r="N16" s="589">
        <f>BIND3!F14</f>
        <v>99</v>
      </c>
      <c r="O16" s="589">
        <f>BIND3!G14</f>
        <v>99</v>
      </c>
      <c r="P16" s="589"/>
      <c r="Q16" s="589">
        <f>BIND3!U14</f>
        <v>99</v>
      </c>
      <c r="R16" s="589">
        <f>BIND3!V14</f>
        <v>99</v>
      </c>
      <c r="S16" s="589"/>
      <c r="T16" s="589">
        <f>'MTK3'!E14</f>
        <v>99</v>
      </c>
      <c r="U16" s="589">
        <f>'MTK3'!F14</f>
        <v>99</v>
      </c>
      <c r="V16" s="589">
        <f>'MTK3'!G14</f>
        <v>99</v>
      </c>
      <c r="W16" s="583">
        <f>'MTK3'!W14</f>
        <v>99</v>
      </c>
      <c r="X16" s="583">
        <f>'MTK3'!X14</f>
        <v>68.5</v>
      </c>
      <c r="Y16" s="583">
        <f>'MTK3'!Y14</f>
        <v>99</v>
      </c>
      <c r="Z16" s="589">
        <f>'IPA3'!E14</f>
        <v>99</v>
      </c>
      <c r="AA16" s="589">
        <f>'IPA3'!F14</f>
        <v>99</v>
      </c>
      <c r="AB16" s="589">
        <f>'IPA3'!R14</f>
        <v>99</v>
      </c>
      <c r="AC16" s="589">
        <f>'IPA3'!S14</f>
        <v>99</v>
      </c>
      <c r="AD16" s="589">
        <f>'IPS3'!E14</f>
        <v>99</v>
      </c>
      <c r="AE16" s="589">
        <f>'IPS3'!F14</f>
        <v>99</v>
      </c>
      <c r="AF16" s="589">
        <f>'IPS3'!R14</f>
        <v>99</v>
      </c>
      <c r="AG16" s="589">
        <f>'IPS3'!S14</f>
        <v>99</v>
      </c>
      <c r="AH16" s="589">
        <f>SBDP3!F14</f>
        <v>99</v>
      </c>
      <c r="AI16" s="589">
        <f>SBDP3!G14</f>
        <v>99</v>
      </c>
      <c r="AJ16" s="589">
        <f>SBDP3!H14</f>
        <v>99</v>
      </c>
      <c r="AK16" s="589">
        <f>SBDP3!S14</f>
        <v>99</v>
      </c>
      <c r="AL16" s="589">
        <f>SBDP3!T14</f>
        <v>99</v>
      </c>
      <c r="AM16" s="589">
        <f>SBDP3!U14</f>
        <v>99</v>
      </c>
      <c r="AN16" s="589">
        <f>PJOK3!E14</f>
        <v>99</v>
      </c>
      <c r="AO16" s="589">
        <f>PJOK3!F14</f>
        <v>99</v>
      </c>
      <c r="AP16" s="583">
        <f>PJOK3!R14</f>
        <v>68.5</v>
      </c>
      <c r="AQ16" s="583">
        <f>PJOK3!S14</f>
        <v>69.5</v>
      </c>
      <c r="AR16" s="589">
        <f>'MLK1-3'!E14</f>
        <v>99</v>
      </c>
      <c r="AS16" s="589">
        <f>'MLK1-3'!F14</f>
        <v>99</v>
      </c>
      <c r="AT16" s="589">
        <f>'MLK1-3'!G14</f>
        <v>99</v>
      </c>
      <c r="AU16" s="583">
        <f>'MLK1-3'!T14</f>
        <v>68.5</v>
      </c>
      <c r="AV16" s="583">
        <f>'MLK1-3'!U14</f>
        <v>69.5</v>
      </c>
      <c r="AW16" s="583">
        <f>'MLK1-3'!V14</f>
        <v>0</v>
      </c>
      <c r="AX16" s="589">
        <f>'MLK2-3'!E14</f>
        <v>99</v>
      </c>
      <c r="AY16" s="589">
        <f>'MLK2-3'!F14</f>
        <v>99</v>
      </c>
      <c r="AZ16" s="589">
        <f>'MLK2-3'!G14</f>
        <v>99</v>
      </c>
      <c r="BA16" s="583">
        <f>'MLK2-3'!S14</f>
        <v>68.5</v>
      </c>
      <c r="BB16" s="583">
        <f>'MLK2-3'!T14</f>
        <v>69.5</v>
      </c>
      <c r="BC16" s="583">
        <f>'MLK2-3'!U14</f>
        <v>0</v>
      </c>
      <c r="BD16" s="589">
        <f>'MLK3-3'!E14</f>
        <v>99</v>
      </c>
      <c r="BE16" s="589">
        <f>'MLK3-3'!F14</f>
        <v>99</v>
      </c>
      <c r="BF16" s="583">
        <f>'MLK3-3'!S14</f>
        <v>68.5</v>
      </c>
      <c r="BG16" s="583">
        <f>'MLK3-3'!T14</f>
        <v>69.5</v>
      </c>
      <c r="BH16" s="471"/>
    </row>
    <row r="17" spans="1:60" ht="15.75">
      <c r="A17" s="191">
        <v>11</v>
      </c>
      <c r="B17" s="529">
        <f>SISWA!B16</f>
        <v>0</v>
      </c>
      <c r="C17" s="572" t="str">
        <f>SISWA!C16</f>
        <v>Anak 11</v>
      </c>
      <c r="D17" s="596">
        <f>'PAI3'!E16</f>
        <v>99</v>
      </c>
      <c r="E17" s="596">
        <f>'PAI3'!F16</f>
        <v>99</v>
      </c>
      <c r="F17" s="596">
        <f>'PAI3'!G16</f>
        <v>99</v>
      </c>
      <c r="G17" s="597">
        <f>'PAI3'!R16</f>
        <v>99</v>
      </c>
      <c r="H17" s="597">
        <f>'PAI3'!S16</f>
        <v>99</v>
      </c>
      <c r="I17" s="597">
        <f>'PAI3'!T16</f>
        <v>99</v>
      </c>
      <c r="J17" s="589">
        <f>'PKN3'!F15</f>
        <v>99</v>
      </c>
      <c r="K17" s="589">
        <f>'PKN3'!G15</f>
        <v>99</v>
      </c>
      <c r="L17" s="589">
        <f>'PKN3'!M15</f>
        <v>69.5</v>
      </c>
      <c r="M17" s="589">
        <f>'PKN3'!N15</f>
        <v>70.5</v>
      </c>
      <c r="N17" s="589">
        <f>BIND3!F15</f>
        <v>99</v>
      </c>
      <c r="O17" s="589">
        <f>BIND3!G15</f>
        <v>99</v>
      </c>
      <c r="P17" s="589"/>
      <c r="Q17" s="589">
        <f>BIND3!U15</f>
        <v>99</v>
      </c>
      <c r="R17" s="589">
        <f>BIND3!V15</f>
        <v>99</v>
      </c>
      <c r="S17" s="589"/>
      <c r="T17" s="589">
        <f>'MTK3'!E15</f>
        <v>99</v>
      </c>
      <c r="U17" s="589">
        <f>'MTK3'!F15</f>
        <v>99</v>
      </c>
      <c r="V17" s="589">
        <f>'MTK3'!G15</f>
        <v>99</v>
      </c>
      <c r="W17" s="583">
        <f>'MTK3'!W15</f>
        <v>99</v>
      </c>
      <c r="X17" s="583">
        <f>'MTK3'!X15</f>
        <v>69.5</v>
      </c>
      <c r="Y17" s="583">
        <f>'MTK3'!Y15</f>
        <v>99</v>
      </c>
      <c r="Z17" s="589">
        <f>'IPA3'!E15</f>
        <v>99</v>
      </c>
      <c r="AA17" s="589">
        <f>'IPA3'!F15</f>
        <v>99</v>
      </c>
      <c r="AB17" s="589">
        <f>'IPA3'!R15</f>
        <v>99</v>
      </c>
      <c r="AC17" s="589">
        <f>'IPA3'!S15</f>
        <v>99</v>
      </c>
      <c r="AD17" s="589">
        <f>'IPS3'!E15</f>
        <v>99</v>
      </c>
      <c r="AE17" s="589">
        <f>'IPS3'!F15</f>
        <v>99</v>
      </c>
      <c r="AF17" s="589">
        <f>'IPS3'!R15</f>
        <v>99</v>
      </c>
      <c r="AG17" s="589">
        <f>'IPS3'!S15</f>
        <v>99</v>
      </c>
      <c r="AH17" s="589">
        <f>SBDP3!F15</f>
        <v>99</v>
      </c>
      <c r="AI17" s="589">
        <f>SBDP3!G15</f>
        <v>99</v>
      </c>
      <c r="AJ17" s="589">
        <f>SBDP3!H15</f>
        <v>99</v>
      </c>
      <c r="AK17" s="589">
        <f>SBDP3!S15</f>
        <v>99</v>
      </c>
      <c r="AL17" s="589">
        <f>SBDP3!T15</f>
        <v>99</v>
      </c>
      <c r="AM17" s="589">
        <f>SBDP3!U15</f>
        <v>99</v>
      </c>
      <c r="AN17" s="589">
        <f>PJOK3!E15</f>
        <v>99</v>
      </c>
      <c r="AO17" s="589">
        <f>PJOK3!F15</f>
        <v>99</v>
      </c>
      <c r="AP17" s="583">
        <f>PJOK3!R15</f>
        <v>69.5</v>
      </c>
      <c r="AQ17" s="583">
        <f>PJOK3!S15</f>
        <v>70.5</v>
      </c>
      <c r="AR17" s="589">
        <f>'MLK1-3'!E15</f>
        <v>99</v>
      </c>
      <c r="AS17" s="589">
        <f>'MLK1-3'!F15</f>
        <v>99</v>
      </c>
      <c r="AT17" s="589">
        <f>'MLK1-3'!G15</f>
        <v>99</v>
      </c>
      <c r="AU17" s="583">
        <f>'MLK1-3'!T15</f>
        <v>69.5</v>
      </c>
      <c r="AV17" s="583">
        <f>'MLK1-3'!U15</f>
        <v>70.5</v>
      </c>
      <c r="AW17" s="583">
        <f>'MLK1-3'!V15</f>
        <v>0</v>
      </c>
      <c r="AX17" s="589">
        <f>'MLK2-3'!E15</f>
        <v>99</v>
      </c>
      <c r="AY17" s="589">
        <f>'MLK2-3'!F15</f>
        <v>99</v>
      </c>
      <c r="AZ17" s="589">
        <f>'MLK2-3'!G15</f>
        <v>99</v>
      </c>
      <c r="BA17" s="583">
        <f>'MLK2-3'!S15</f>
        <v>69.5</v>
      </c>
      <c r="BB17" s="583">
        <f>'MLK2-3'!T15</f>
        <v>70.5</v>
      </c>
      <c r="BC17" s="583">
        <f>'MLK2-3'!U15</f>
        <v>0</v>
      </c>
      <c r="BD17" s="589">
        <f>'MLK3-3'!E15</f>
        <v>99</v>
      </c>
      <c r="BE17" s="589">
        <f>'MLK3-3'!F15</f>
        <v>99</v>
      </c>
      <c r="BF17" s="583">
        <f>'MLK3-3'!S15</f>
        <v>69.5</v>
      </c>
      <c r="BG17" s="583">
        <f>'MLK3-3'!T15</f>
        <v>70.5</v>
      </c>
      <c r="BH17" s="471"/>
    </row>
    <row r="18" spans="1:60" ht="15.75">
      <c r="A18" s="191">
        <v>12</v>
      </c>
      <c r="B18" s="529">
        <f>SISWA!B17</f>
        <v>0</v>
      </c>
      <c r="C18" s="572" t="str">
        <f>SISWA!C17</f>
        <v>Anak 12</v>
      </c>
      <c r="D18" s="596">
        <f>'PAI3'!E17</f>
        <v>99</v>
      </c>
      <c r="E18" s="596">
        <f>'PAI3'!F17</f>
        <v>99</v>
      </c>
      <c r="F18" s="596">
        <f>'PAI3'!G17</f>
        <v>99</v>
      </c>
      <c r="G18" s="597">
        <f>'PAI3'!R17</f>
        <v>99</v>
      </c>
      <c r="H18" s="597">
        <f>'PAI3'!S17</f>
        <v>99</v>
      </c>
      <c r="I18" s="597">
        <f>'PAI3'!T17</f>
        <v>99</v>
      </c>
      <c r="J18" s="589">
        <f>'PKN3'!F16</f>
        <v>99</v>
      </c>
      <c r="K18" s="589">
        <f>'PKN3'!G16</f>
        <v>99</v>
      </c>
      <c r="L18" s="589">
        <f>'PKN3'!M16</f>
        <v>70.5</v>
      </c>
      <c r="M18" s="589">
        <f>'PKN3'!N16</f>
        <v>84.5</v>
      </c>
      <c r="N18" s="589">
        <f>BIND3!F16</f>
        <v>99</v>
      </c>
      <c r="O18" s="589">
        <f>BIND3!G16</f>
        <v>99</v>
      </c>
      <c r="P18" s="589"/>
      <c r="Q18" s="589">
        <f>BIND3!U16</f>
        <v>99</v>
      </c>
      <c r="R18" s="589">
        <f>BIND3!V16</f>
        <v>99</v>
      </c>
      <c r="S18" s="589"/>
      <c r="T18" s="589">
        <f>'MTK3'!E16</f>
        <v>99</v>
      </c>
      <c r="U18" s="589">
        <f>'MTK3'!F16</f>
        <v>99</v>
      </c>
      <c r="V18" s="589">
        <f>'MTK3'!G16</f>
        <v>99</v>
      </c>
      <c r="W18" s="583">
        <f>'MTK3'!W16</f>
        <v>99</v>
      </c>
      <c r="X18" s="583">
        <f>'MTK3'!X16</f>
        <v>70.5</v>
      </c>
      <c r="Y18" s="583">
        <f>'MTK3'!Y16</f>
        <v>99</v>
      </c>
      <c r="Z18" s="589">
        <f>'IPA3'!E16</f>
        <v>99</v>
      </c>
      <c r="AA18" s="589">
        <f>'IPA3'!F16</f>
        <v>99</v>
      </c>
      <c r="AB18" s="589">
        <f>'IPA3'!R16</f>
        <v>99</v>
      </c>
      <c r="AC18" s="589">
        <f>'IPA3'!S16</f>
        <v>99</v>
      </c>
      <c r="AD18" s="589">
        <f>'IPS3'!E16</f>
        <v>99</v>
      </c>
      <c r="AE18" s="589">
        <f>'IPS3'!F16</f>
        <v>99</v>
      </c>
      <c r="AF18" s="589">
        <f>'IPS3'!R16</f>
        <v>99</v>
      </c>
      <c r="AG18" s="589">
        <f>'IPS3'!S16</f>
        <v>99</v>
      </c>
      <c r="AH18" s="589">
        <f>SBDP3!F16</f>
        <v>99</v>
      </c>
      <c r="AI18" s="589">
        <f>SBDP3!G16</f>
        <v>99</v>
      </c>
      <c r="AJ18" s="589">
        <f>SBDP3!H16</f>
        <v>99</v>
      </c>
      <c r="AK18" s="589">
        <f>SBDP3!S16</f>
        <v>99</v>
      </c>
      <c r="AL18" s="589">
        <f>SBDP3!T16</f>
        <v>99</v>
      </c>
      <c r="AM18" s="589">
        <f>SBDP3!U16</f>
        <v>99</v>
      </c>
      <c r="AN18" s="589">
        <f>PJOK3!E16</f>
        <v>99</v>
      </c>
      <c r="AO18" s="589">
        <f>PJOK3!F16</f>
        <v>99</v>
      </c>
      <c r="AP18" s="583">
        <f>PJOK3!R16</f>
        <v>70.5</v>
      </c>
      <c r="AQ18" s="583">
        <f>PJOK3!S16</f>
        <v>84.5</v>
      </c>
      <c r="AR18" s="589">
        <f>'MLK1-3'!E16</f>
        <v>99</v>
      </c>
      <c r="AS18" s="589">
        <f>'MLK1-3'!F16</f>
        <v>99</v>
      </c>
      <c r="AT18" s="589">
        <f>'MLK1-3'!G16</f>
        <v>99</v>
      </c>
      <c r="AU18" s="583">
        <f>'MLK1-3'!T16</f>
        <v>70.5</v>
      </c>
      <c r="AV18" s="583">
        <f>'MLK1-3'!U16</f>
        <v>84.5</v>
      </c>
      <c r="AW18" s="583">
        <f>'MLK1-3'!V16</f>
        <v>0</v>
      </c>
      <c r="AX18" s="589">
        <f>'MLK2-3'!E16</f>
        <v>99</v>
      </c>
      <c r="AY18" s="589">
        <f>'MLK2-3'!F16</f>
        <v>99</v>
      </c>
      <c r="AZ18" s="589">
        <f>'MLK2-3'!G16</f>
        <v>99</v>
      </c>
      <c r="BA18" s="583">
        <f>'MLK2-3'!S16</f>
        <v>70.5</v>
      </c>
      <c r="BB18" s="583">
        <f>'MLK2-3'!T16</f>
        <v>84.5</v>
      </c>
      <c r="BC18" s="583">
        <f>'MLK2-3'!U16</f>
        <v>0</v>
      </c>
      <c r="BD18" s="589">
        <f>'MLK3-3'!E16</f>
        <v>99</v>
      </c>
      <c r="BE18" s="589">
        <f>'MLK3-3'!F16</f>
        <v>99</v>
      </c>
      <c r="BF18" s="583">
        <f>'MLK3-3'!S16</f>
        <v>70.5</v>
      </c>
      <c r="BG18" s="583">
        <f>'MLK3-3'!T16</f>
        <v>84.5</v>
      </c>
      <c r="BH18" s="471"/>
    </row>
    <row r="19" spans="1:60" ht="15.75">
      <c r="A19" s="191">
        <v>13</v>
      </c>
      <c r="B19" s="529">
        <f>SISWA!B18</f>
        <v>0</v>
      </c>
      <c r="C19" s="572" t="str">
        <f>SISWA!C18</f>
        <v>Anak 13</v>
      </c>
      <c r="D19" s="596">
        <f>'PAI3'!E18</f>
        <v>99</v>
      </c>
      <c r="E19" s="596">
        <f>'PAI3'!F18</f>
        <v>99</v>
      </c>
      <c r="F19" s="596">
        <f>'PAI3'!G18</f>
        <v>99</v>
      </c>
      <c r="G19" s="597">
        <f>'PAI3'!R18</f>
        <v>99</v>
      </c>
      <c r="H19" s="597">
        <f>'PAI3'!S18</f>
        <v>99</v>
      </c>
      <c r="I19" s="597">
        <f>'PAI3'!T18</f>
        <v>99</v>
      </c>
      <c r="J19" s="589">
        <f>'PKN3'!F17</f>
        <v>99</v>
      </c>
      <c r="K19" s="589">
        <f>'PKN3'!G17</f>
        <v>99</v>
      </c>
      <c r="L19" s="589">
        <f>'PKN3'!M17</f>
        <v>84.5</v>
      </c>
      <c r="M19" s="589">
        <f>'PKN3'!N17</f>
        <v>72.5</v>
      </c>
      <c r="N19" s="589">
        <f>BIND3!F17</f>
        <v>99</v>
      </c>
      <c r="O19" s="589">
        <f>BIND3!G17</f>
        <v>99</v>
      </c>
      <c r="P19" s="589"/>
      <c r="Q19" s="589">
        <f>BIND3!U17</f>
        <v>99</v>
      </c>
      <c r="R19" s="589">
        <f>BIND3!V17</f>
        <v>99</v>
      </c>
      <c r="S19" s="589"/>
      <c r="T19" s="589">
        <f>'MTK3'!E17</f>
        <v>99</v>
      </c>
      <c r="U19" s="589">
        <f>'MTK3'!F17</f>
        <v>99</v>
      </c>
      <c r="V19" s="589">
        <f>'MTK3'!G17</f>
        <v>99</v>
      </c>
      <c r="W19" s="583">
        <f>'MTK3'!W17</f>
        <v>99</v>
      </c>
      <c r="X19" s="583">
        <f>'MTK3'!X17</f>
        <v>84.5</v>
      </c>
      <c r="Y19" s="583">
        <f>'MTK3'!Y17</f>
        <v>99</v>
      </c>
      <c r="Z19" s="589">
        <f>'IPA3'!E17</f>
        <v>99</v>
      </c>
      <c r="AA19" s="589">
        <f>'IPA3'!F17</f>
        <v>99</v>
      </c>
      <c r="AB19" s="589">
        <f>'IPA3'!R17</f>
        <v>99</v>
      </c>
      <c r="AC19" s="589">
        <f>'IPA3'!S17</f>
        <v>99</v>
      </c>
      <c r="AD19" s="589">
        <f>'IPS3'!E17</f>
        <v>99</v>
      </c>
      <c r="AE19" s="589">
        <f>'IPS3'!F17</f>
        <v>99</v>
      </c>
      <c r="AF19" s="589">
        <f>'IPS3'!R17</f>
        <v>99</v>
      </c>
      <c r="AG19" s="589">
        <f>'IPS3'!S17</f>
        <v>99</v>
      </c>
      <c r="AH19" s="589">
        <f>SBDP3!F17</f>
        <v>99</v>
      </c>
      <c r="AI19" s="589">
        <f>SBDP3!G17</f>
        <v>99</v>
      </c>
      <c r="AJ19" s="589">
        <f>SBDP3!H17</f>
        <v>99</v>
      </c>
      <c r="AK19" s="589">
        <f>SBDP3!S17</f>
        <v>99</v>
      </c>
      <c r="AL19" s="589">
        <f>SBDP3!T17</f>
        <v>99</v>
      </c>
      <c r="AM19" s="589">
        <f>SBDP3!U17</f>
        <v>99</v>
      </c>
      <c r="AN19" s="589">
        <f>PJOK3!E17</f>
        <v>99</v>
      </c>
      <c r="AO19" s="589">
        <f>PJOK3!F17</f>
        <v>99</v>
      </c>
      <c r="AP19" s="583">
        <f>PJOK3!R17</f>
        <v>84.5</v>
      </c>
      <c r="AQ19" s="583">
        <f>PJOK3!S17</f>
        <v>72.5</v>
      </c>
      <c r="AR19" s="589">
        <f>'MLK1-3'!E17</f>
        <v>99</v>
      </c>
      <c r="AS19" s="589">
        <f>'MLK1-3'!F17</f>
        <v>99</v>
      </c>
      <c r="AT19" s="589">
        <f>'MLK1-3'!G17</f>
        <v>99</v>
      </c>
      <c r="AU19" s="583">
        <f>'MLK1-3'!T17</f>
        <v>84.5</v>
      </c>
      <c r="AV19" s="583">
        <f>'MLK1-3'!U17</f>
        <v>72.5</v>
      </c>
      <c r="AW19" s="583">
        <f>'MLK1-3'!V17</f>
        <v>0</v>
      </c>
      <c r="AX19" s="589">
        <f>'MLK2-3'!E17</f>
        <v>99</v>
      </c>
      <c r="AY19" s="589">
        <f>'MLK2-3'!F17</f>
        <v>99</v>
      </c>
      <c r="AZ19" s="589">
        <f>'MLK2-3'!G17</f>
        <v>99</v>
      </c>
      <c r="BA19" s="583">
        <f>'MLK2-3'!S17</f>
        <v>84.5</v>
      </c>
      <c r="BB19" s="583">
        <f>'MLK2-3'!T17</f>
        <v>72.5</v>
      </c>
      <c r="BC19" s="583">
        <f>'MLK2-3'!U17</f>
        <v>0</v>
      </c>
      <c r="BD19" s="589">
        <f>'MLK3-3'!E17</f>
        <v>99</v>
      </c>
      <c r="BE19" s="589">
        <f>'MLK3-3'!F17</f>
        <v>99</v>
      </c>
      <c r="BF19" s="583">
        <f>'MLK3-3'!S17</f>
        <v>84.5</v>
      </c>
      <c r="BG19" s="583">
        <f>'MLK3-3'!T17</f>
        <v>72.5</v>
      </c>
      <c r="BH19" s="471"/>
    </row>
    <row r="20" spans="1:60" ht="15.75">
      <c r="A20" s="191">
        <v>14</v>
      </c>
      <c r="B20" s="529">
        <f>SISWA!B19</f>
        <v>0</v>
      </c>
      <c r="C20" s="572" t="str">
        <f>SISWA!C19</f>
        <v>Anak 14</v>
      </c>
      <c r="D20" s="596">
        <f>'PAI3'!E19</f>
        <v>99</v>
      </c>
      <c r="E20" s="596">
        <f>'PAI3'!F19</f>
        <v>99</v>
      </c>
      <c r="F20" s="596">
        <f>'PAI3'!G19</f>
        <v>99</v>
      </c>
      <c r="G20" s="597">
        <f>'PAI3'!R19</f>
        <v>99</v>
      </c>
      <c r="H20" s="597">
        <f>'PAI3'!S19</f>
        <v>99</v>
      </c>
      <c r="I20" s="597">
        <f>'PAI3'!T19</f>
        <v>99</v>
      </c>
      <c r="J20" s="589">
        <f>'PKN3'!F18</f>
        <v>99</v>
      </c>
      <c r="K20" s="589">
        <f>'PKN3'!G18</f>
        <v>99</v>
      </c>
      <c r="L20" s="589">
        <f>'PKN3'!M18</f>
        <v>72.5</v>
      </c>
      <c r="M20" s="589">
        <f>'PKN3'!N18</f>
        <v>80</v>
      </c>
      <c r="N20" s="589">
        <f>BIND3!F18</f>
        <v>99</v>
      </c>
      <c r="O20" s="589">
        <f>BIND3!G18</f>
        <v>99</v>
      </c>
      <c r="P20" s="589"/>
      <c r="Q20" s="589">
        <f>BIND3!U18</f>
        <v>99</v>
      </c>
      <c r="R20" s="589">
        <f>BIND3!V18</f>
        <v>99</v>
      </c>
      <c r="S20" s="589"/>
      <c r="T20" s="589">
        <f>'MTK3'!E18</f>
        <v>99</v>
      </c>
      <c r="U20" s="589">
        <f>'MTK3'!F18</f>
        <v>99</v>
      </c>
      <c r="V20" s="589">
        <f>'MTK3'!G18</f>
        <v>99</v>
      </c>
      <c r="W20" s="583">
        <f>'MTK3'!W18</f>
        <v>99</v>
      </c>
      <c r="X20" s="583">
        <f>'MTK3'!X18</f>
        <v>72.5</v>
      </c>
      <c r="Y20" s="583">
        <f>'MTK3'!Y18</f>
        <v>99</v>
      </c>
      <c r="Z20" s="589">
        <f>'IPA3'!E18</f>
        <v>99</v>
      </c>
      <c r="AA20" s="589">
        <f>'IPA3'!F18</f>
        <v>99</v>
      </c>
      <c r="AB20" s="589">
        <f>'IPA3'!R18</f>
        <v>99</v>
      </c>
      <c r="AC20" s="589">
        <f>'IPA3'!S18</f>
        <v>99</v>
      </c>
      <c r="AD20" s="589">
        <f>'IPS3'!E18</f>
        <v>99</v>
      </c>
      <c r="AE20" s="589">
        <f>'IPS3'!F18</f>
        <v>99</v>
      </c>
      <c r="AF20" s="589">
        <f>'IPS3'!R18</f>
        <v>99</v>
      </c>
      <c r="AG20" s="589">
        <f>'IPS3'!S18</f>
        <v>99</v>
      </c>
      <c r="AH20" s="589">
        <f>SBDP3!F18</f>
        <v>99</v>
      </c>
      <c r="AI20" s="589">
        <f>SBDP3!G18</f>
        <v>99</v>
      </c>
      <c r="AJ20" s="589">
        <f>SBDP3!H18</f>
        <v>99</v>
      </c>
      <c r="AK20" s="589">
        <f>SBDP3!S18</f>
        <v>99</v>
      </c>
      <c r="AL20" s="589">
        <f>SBDP3!T18</f>
        <v>99</v>
      </c>
      <c r="AM20" s="589">
        <f>SBDP3!U18</f>
        <v>99</v>
      </c>
      <c r="AN20" s="589">
        <f>PJOK3!E18</f>
        <v>99</v>
      </c>
      <c r="AO20" s="589">
        <f>PJOK3!F18</f>
        <v>99</v>
      </c>
      <c r="AP20" s="583">
        <f>PJOK3!R18</f>
        <v>72.5</v>
      </c>
      <c r="AQ20" s="583">
        <f>PJOK3!S18</f>
        <v>80</v>
      </c>
      <c r="AR20" s="589">
        <f>'MLK1-3'!E18</f>
        <v>99</v>
      </c>
      <c r="AS20" s="589">
        <f>'MLK1-3'!F18</f>
        <v>99</v>
      </c>
      <c r="AT20" s="589">
        <f>'MLK1-3'!G18</f>
        <v>99</v>
      </c>
      <c r="AU20" s="583">
        <f>'MLK1-3'!T18</f>
        <v>72.5</v>
      </c>
      <c r="AV20" s="583">
        <f>'MLK1-3'!U18</f>
        <v>80</v>
      </c>
      <c r="AW20" s="583">
        <f>'MLK1-3'!V18</f>
        <v>0</v>
      </c>
      <c r="AX20" s="589">
        <f>'MLK2-3'!E18</f>
        <v>99</v>
      </c>
      <c r="AY20" s="589">
        <f>'MLK2-3'!F18</f>
        <v>99</v>
      </c>
      <c r="AZ20" s="589">
        <f>'MLK2-3'!G18</f>
        <v>99</v>
      </c>
      <c r="BA20" s="583">
        <f>'MLK2-3'!S18</f>
        <v>72.5</v>
      </c>
      <c r="BB20" s="583">
        <f>'MLK2-3'!T18</f>
        <v>80</v>
      </c>
      <c r="BC20" s="583">
        <f>'MLK2-3'!U18</f>
        <v>0</v>
      </c>
      <c r="BD20" s="589">
        <f>'MLK3-3'!E18</f>
        <v>99</v>
      </c>
      <c r="BE20" s="589">
        <f>'MLK3-3'!F18</f>
        <v>99</v>
      </c>
      <c r="BF20" s="583">
        <f>'MLK3-3'!S18</f>
        <v>72.5</v>
      </c>
      <c r="BG20" s="583">
        <f>'MLK3-3'!T18</f>
        <v>80</v>
      </c>
      <c r="BH20" s="471"/>
    </row>
    <row r="21" spans="1:60" ht="15.75">
      <c r="A21" s="191">
        <v>15</v>
      </c>
      <c r="B21" s="529">
        <f>SISWA!B20</f>
        <v>0</v>
      </c>
      <c r="C21" s="572" t="str">
        <f>SISWA!C20</f>
        <v>Anak 15</v>
      </c>
      <c r="D21" s="596">
        <f>'PAI3'!E20</f>
        <v>99</v>
      </c>
      <c r="E21" s="596">
        <f>'PAI3'!F20</f>
        <v>99</v>
      </c>
      <c r="F21" s="596">
        <f>'PAI3'!G20</f>
        <v>99</v>
      </c>
      <c r="G21" s="597">
        <f>'PAI3'!R20</f>
        <v>99</v>
      </c>
      <c r="H21" s="597">
        <f>'PAI3'!S20</f>
        <v>99</v>
      </c>
      <c r="I21" s="597">
        <f>'PAI3'!T20</f>
        <v>99</v>
      </c>
      <c r="J21" s="589">
        <f>'PKN3'!F19</f>
        <v>99</v>
      </c>
      <c r="K21" s="589">
        <f>'PKN3'!G19</f>
        <v>99</v>
      </c>
      <c r="L21" s="589">
        <f>'PKN3'!M19</f>
        <v>80</v>
      </c>
      <c r="M21" s="589">
        <f>'PKN3'!N19</f>
        <v>79.5</v>
      </c>
      <c r="N21" s="589">
        <f>BIND3!F19</f>
        <v>99</v>
      </c>
      <c r="O21" s="589">
        <f>BIND3!G19</f>
        <v>99</v>
      </c>
      <c r="P21" s="589"/>
      <c r="Q21" s="589">
        <f>BIND3!U19</f>
        <v>99</v>
      </c>
      <c r="R21" s="589">
        <f>BIND3!V19</f>
        <v>99</v>
      </c>
      <c r="S21" s="589"/>
      <c r="T21" s="589">
        <f>'MTK3'!E19</f>
        <v>99</v>
      </c>
      <c r="U21" s="589">
        <f>'MTK3'!F19</f>
        <v>99</v>
      </c>
      <c r="V21" s="589">
        <f>'MTK3'!G19</f>
        <v>99</v>
      </c>
      <c r="W21" s="583">
        <f>'MTK3'!W19</f>
        <v>99</v>
      </c>
      <c r="X21" s="583">
        <f>'MTK3'!X19</f>
        <v>80</v>
      </c>
      <c r="Y21" s="583">
        <f>'MTK3'!Y19</f>
        <v>99</v>
      </c>
      <c r="Z21" s="589">
        <f>'IPA3'!E19</f>
        <v>99</v>
      </c>
      <c r="AA21" s="589">
        <f>'IPA3'!F19</f>
        <v>99</v>
      </c>
      <c r="AB21" s="589">
        <f>'IPA3'!R19</f>
        <v>99</v>
      </c>
      <c r="AC21" s="589">
        <f>'IPA3'!S19</f>
        <v>99</v>
      </c>
      <c r="AD21" s="589">
        <f>'IPS3'!E19</f>
        <v>99</v>
      </c>
      <c r="AE21" s="589">
        <f>'IPS3'!F19</f>
        <v>99</v>
      </c>
      <c r="AF21" s="589">
        <f>'IPS3'!R19</f>
        <v>99</v>
      </c>
      <c r="AG21" s="589">
        <f>'IPS3'!S19</f>
        <v>99</v>
      </c>
      <c r="AH21" s="589">
        <f>SBDP3!F19</f>
        <v>99</v>
      </c>
      <c r="AI21" s="589">
        <f>SBDP3!G19</f>
        <v>99</v>
      </c>
      <c r="AJ21" s="589">
        <f>SBDP3!H19</f>
        <v>99</v>
      </c>
      <c r="AK21" s="589">
        <f>SBDP3!S19</f>
        <v>99</v>
      </c>
      <c r="AL21" s="589">
        <f>SBDP3!T19</f>
        <v>99</v>
      </c>
      <c r="AM21" s="589">
        <f>SBDP3!U19</f>
        <v>99</v>
      </c>
      <c r="AN21" s="589">
        <f>PJOK3!E19</f>
        <v>99</v>
      </c>
      <c r="AO21" s="589">
        <f>PJOK3!F19</f>
        <v>99</v>
      </c>
      <c r="AP21" s="583">
        <f>PJOK3!R19</f>
        <v>80</v>
      </c>
      <c r="AQ21" s="583">
        <f>PJOK3!S19</f>
        <v>79.5</v>
      </c>
      <c r="AR21" s="589">
        <f>'MLK1-3'!E19</f>
        <v>99</v>
      </c>
      <c r="AS21" s="589">
        <f>'MLK1-3'!F19</f>
        <v>99</v>
      </c>
      <c r="AT21" s="589">
        <f>'MLK1-3'!G19</f>
        <v>99</v>
      </c>
      <c r="AU21" s="583">
        <f>'MLK1-3'!T19</f>
        <v>80</v>
      </c>
      <c r="AV21" s="583">
        <f>'MLK1-3'!U19</f>
        <v>79.5</v>
      </c>
      <c r="AW21" s="583">
        <f>'MLK1-3'!V19</f>
        <v>0</v>
      </c>
      <c r="AX21" s="589">
        <f>'MLK2-3'!E19</f>
        <v>99</v>
      </c>
      <c r="AY21" s="589">
        <f>'MLK2-3'!F19</f>
        <v>99</v>
      </c>
      <c r="AZ21" s="589">
        <f>'MLK2-3'!G19</f>
        <v>99</v>
      </c>
      <c r="BA21" s="583">
        <f>'MLK2-3'!S19</f>
        <v>80</v>
      </c>
      <c r="BB21" s="583">
        <f>'MLK2-3'!T19</f>
        <v>79.5</v>
      </c>
      <c r="BC21" s="583">
        <f>'MLK2-3'!U19</f>
        <v>0</v>
      </c>
      <c r="BD21" s="589">
        <f>'MLK3-3'!E19</f>
        <v>99</v>
      </c>
      <c r="BE21" s="589">
        <f>'MLK3-3'!F19</f>
        <v>99</v>
      </c>
      <c r="BF21" s="583">
        <f>'MLK3-3'!S19</f>
        <v>80</v>
      </c>
      <c r="BG21" s="583">
        <f>'MLK3-3'!T19</f>
        <v>79.5</v>
      </c>
      <c r="BH21" s="471"/>
    </row>
    <row r="22" spans="1:60" ht="15.75">
      <c r="A22" s="191">
        <v>16</v>
      </c>
      <c r="B22" s="529">
        <f>SISWA!B21</f>
        <v>0</v>
      </c>
      <c r="C22" s="572" t="str">
        <f>SISWA!C21</f>
        <v>Anak 16</v>
      </c>
      <c r="D22" s="596">
        <f>'PAI3'!E21</f>
        <v>99</v>
      </c>
      <c r="E22" s="596">
        <f>'PAI3'!F21</f>
        <v>99</v>
      </c>
      <c r="F22" s="596">
        <f>'PAI3'!G21</f>
        <v>99</v>
      </c>
      <c r="G22" s="597">
        <f>'PAI3'!R21</f>
        <v>99</v>
      </c>
      <c r="H22" s="597">
        <f>'PAI3'!S21</f>
        <v>99</v>
      </c>
      <c r="I22" s="597">
        <f>'PAI3'!T21</f>
        <v>99</v>
      </c>
      <c r="J22" s="589">
        <f>'PKN3'!F20</f>
        <v>99</v>
      </c>
      <c r="K22" s="589">
        <f>'PKN3'!G20</f>
        <v>99</v>
      </c>
      <c r="L22" s="589">
        <f>'PKN3'!M20</f>
        <v>79.5</v>
      </c>
      <c r="M22" s="589">
        <f>'PKN3'!N20</f>
        <v>79.5</v>
      </c>
      <c r="N22" s="589">
        <f>BIND3!F20</f>
        <v>99</v>
      </c>
      <c r="O22" s="589">
        <f>BIND3!G20</f>
        <v>99</v>
      </c>
      <c r="P22" s="589"/>
      <c r="Q22" s="589">
        <f>BIND3!U20</f>
        <v>99</v>
      </c>
      <c r="R22" s="589">
        <f>BIND3!V20</f>
        <v>99</v>
      </c>
      <c r="S22" s="589"/>
      <c r="T22" s="589">
        <f>'MTK3'!E20</f>
        <v>99</v>
      </c>
      <c r="U22" s="589">
        <f>'MTK3'!F20</f>
        <v>99</v>
      </c>
      <c r="V22" s="589">
        <f>'MTK3'!G20</f>
        <v>99</v>
      </c>
      <c r="W22" s="583">
        <f>'MTK3'!W20</f>
        <v>99</v>
      </c>
      <c r="X22" s="583">
        <f>'MTK3'!X20</f>
        <v>79.5</v>
      </c>
      <c r="Y22" s="583">
        <f>'MTK3'!Y20</f>
        <v>99</v>
      </c>
      <c r="Z22" s="589">
        <f>'IPA3'!E20</f>
        <v>99</v>
      </c>
      <c r="AA22" s="589">
        <f>'IPA3'!F20</f>
        <v>99</v>
      </c>
      <c r="AB22" s="589">
        <f>'IPA3'!R20</f>
        <v>99</v>
      </c>
      <c r="AC22" s="589">
        <f>'IPA3'!S20</f>
        <v>99</v>
      </c>
      <c r="AD22" s="589">
        <f>'IPS3'!E20</f>
        <v>99</v>
      </c>
      <c r="AE22" s="589">
        <f>'IPS3'!F20</f>
        <v>99</v>
      </c>
      <c r="AF22" s="589">
        <f>'IPS3'!R20</f>
        <v>99</v>
      </c>
      <c r="AG22" s="589">
        <f>'IPS3'!S20</f>
        <v>99</v>
      </c>
      <c r="AH22" s="589">
        <f>SBDP3!F20</f>
        <v>99</v>
      </c>
      <c r="AI22" s="589">
        <f>SBDP3!G20</f>
        <v>99</v>
      </c>
      <c r="AJ22" s="589">
        <f>SBDP3!H20</f>
        <v>99</v>
      </c>
      <c r="AK22" s="589">
        <f>SBDP3!S20</f>
        <v>99</v>
      </c>
      <c r="AL22" s="589">
        <f>SBDP3!T20</f>
        <v>99</v>
      </c>
      <c r="AM22" s="589">
        <f>SBDP3!U20</f>
        <v>99</v>
      </c>
      <c r="AN22" s="589">
        <f>PJOK3!E20</f>
        <v>99</v>
      </c>
      <c r="AO22" s="589">
        <f>PJOK3!F20</f>
        <v>99</v>
      </c>
      <c r="AP22" s="583">
        <f>PJOK3!R20</f>
        <v>79.5</v>
      </c>
      <c r="AQ22" s="583">
        <f>PJOK3!S20</f>
        <v>79.5</v>
      </c>
      <c r="AR22" s="589">
        <f>'MLK1-3'!E20</f>
        <v>99</v>
      </c>
      <c r="AS22" s="589">
        <f>'MLK1-3'!F20</f>
        <v>99</v>
      </c>
      <c r="AT22" s="589">
        <f>'MLK1-3'!G20</f>
        <v>99</v>
      </c>
      <c r="AU22" s="583">
        <f>'MLK1-3'!T20</f>
        <v>79.5</v>
      </c>
      <c r="AV22" s="583">
        <f>'MLK1-3'!U20</f>
        <v>79.5</v>
      </c>
      <c r="AW22" s="583">
        <f>'MLK1-3'!V20</f>
        <v>0</v>
      </c>
      <c r="AX22" s="589">
        <f>'MLK2-3'!E20</f>
        <v>99</v>
      </c>
      <c r="AY22" s="589">
        <f>'MLK2-3'!F20</f>
        <v>99</v>
      </c>
      <c r="AZ22" s="589">
        <f>'MLK2-3'!G20</f>
        <v>99</v>
      </c>
      <c r="BA22" s="583">
        <f>'MLK2-3'!S20</f>
        <v>79.5</v>
      </c>
      <c r="BB22" s="583">
        <f>'MLK2-3'!T20</f>
        <v>79.5</v>
      </c>
      <c r="BC22" s="583">
        <f>'MLK2-3'!U20</f>
        <v>0</v>
      </c>
      <c r="BD22" s="589">
        <f>'MLK3-3'!E20</f>
        <v>99</v>
      </c>
      <c r="BE22" s="589">
        <f>'MLK3-3'!F20</f>
        <v>99</v>
      </c>
      <c r="BF22" s="583">
        <f>'MLK3-3'!S20</f>
        <v>79.5</v>
      </c>
      <c r="BG22" s="583">
        <f>'MLK3-3'!T20</f>
        <v>79.5</v>
      </c>
      <c r="BH22" s="471"/>
    </row>
    <row r="23" spans="1:60" ht="15.75">
      <c r="A23" s="191">
        <v>17</v>
      </c>
      <c r="B23" s="529">
        <f>SISWA!B22</f>
        <v>0</v>
      </c>
      <c r="C23" s="572" t="str">
        <f>SISWA!C22</f>
        <v>Anak 17</v>
      </c>
      <c r="D23" s="596">
        <f>'PAI3'!E22</f>
        <v>99</v>
      </c>
      <c r="E23" s="596">
        <f>'PAI3'!F22</f>
        <v>99</v>
      </c>
      <c r="F23" s="596">
        <f>'PAI3'!G22</f>
        <v>99</v>
      </c>
      <c r="G23" s="597">
        <f>'PAI3'!R22</f>
        <v>99</v>
      </c>
      <c r="H23" s="597">
        <f>'PAI3'!S22</f>
        <v>99</v>
      </c>
      <c r="I23" s="597">
        <f>'PAI3'!T22</f>
        <v>99</v>
      </c>
      <c r="J23" s="589">
        <f>'PKN3'!F21</f>
        <v>99</v>
      </c>
      <c r="K23" s="589">
        <f>'PKN3'!G21</f>
        <v>99</v>
      </c>
      <c r="L23" s="589">
        <f>'PKN3'!M21</f>
        <v>79.5</v>
      </c>
      <c r="M23" s="589">
        <f>'PKN3'!N21</f>
        <v>79.5</v>
      </c>
      <c r="N23" s="589">
        <f>BIND3!F21</f>
        <v>99</v>
      </c>
      <c r="O23" s="589">
        <f>BIND3!G21</f>
        <v>99</v>
      </c>
      <c r="P23" s="589"/>
      <c r="Q23" s="589">
        <f>BIND3!U21</f>
        <v>99</v>
      </c>
      <c r="R23" s="589">
        <f>BIND3!V21</f>
        <v>99</v>
      </c>
      <c r="S23" s="589"/>
      <c r="T23" s="589">
        <f>'MTK3'!E21</f>
        <v>99</v>
      </c>
      <c r="U23" s="589">
        <f>'MTK3'!F21</f>
        <v>99</v>
      </c>
      <c r="V23" s="589">
        <f>'MTK3'!G21</f>
        <v>99</v>
      </c>
      <c r="W23" s="583">
        <f>'MTK3'!W21</f>
        <v>99</v>
      </c>
      <c r="X23" s="583">
        <f>'MTK3'!X21</f>
        <v>79.5</v>
      </c>
      <c r="Y23" s="583">
        <f>'MTK3'!Y21</f>
        <v>99</v>
      </c>
      <c r="Z23" s="589">
        <f>'IPA3'!E21</f>
        <v>99</v>
      </c>
      <c r="AA23" s="589">
        <f>'IPA3'!F21</f>
        <v>99</v>
      </c>
      <c r="AB23" s="589">
        <f>'IPA3'!R21</f>
        <v>99</v>
      </c>
      <c r="AC23" s="589">
        <f>'IPA3'!S21</f>
        <v>99</v>
      </c>
      <c r="AD23" s="589">
        <f>'IPS3'!E21</f>
        <v>99</v>
      </c>
      <c r="AE23" s="589">
        <f>'IPS3'!F21</f>
        <v>99</v>
      </c>
      <c r="AF23" s="589">
        <f>'IPS3'!R21</f>
        <v>99</v>
      </c>
      <c r="AG23" s="589">
        <f>'IPS3'!S21</f>
        <v>99</v>
      </c>
      <c r="AH23" s="589">
        <f>SBDP3!F21</f>
        <v>99</v>
      </c>
      <c r="AI23" s="589">
        <f>SBDP3!G21</f>
        <v>99</v>
      </c>
      <c r="AJ23" s="589">
        <f>SBDP3!H21</f>
        <v>99</v>
      </c>
      <c r="AK23" s="589">
        <f>SBDP3!S21</f>
        <v>99</v>
      </c>
      <c r="AL23" s="589">
        <f>SBDP3!T21</f>
        <v>99</v>
      </c>
      <c r="AM23" s="589">
        <f>SBDP3!U21</f>
        <v>99</v>
      </c>
      <c r="AN23" s="589">
        <f>PJOK3!E21</f>
        <v>99</v>
      </c>
      <c r="AO23" s="589">
        <f>PJOK3!F21</f>
        <v>99</v>
      </c>
      <c r="AP23" s="583">
        <f>PJOK3!R21</f>
        <v>79.5</v>
      </c>
      <c r="AQ23" s="583">
        <f>PJOK3!S21</f>
        <v>79.5</v>
      </c>
      <c r="AR23" s="589">
        <f>'MLK1-3'!E21</f>
        <v>99</v>
      </c>
      <c r="AS23" s="589">
        <f>'MLK1-3'!F21</f>
        <v>99</v>
      </c>
      <c r="AT23" s="589">
        <f>'MLK1-3'!G21</f>
        <v>99</v>
      </c>
      <c r="AU23" s="583">
        <f>'MLK1-3'!T21</f>
        <v>79.5</v>
      </c>
      <c r="AV23" s="583">
        <f>'MLK1-3'!U21</f>
        <v>79.5</v>
      </c>
      <c r="AW23" s="583">
        <f>'MLK1-3'!V21</f>
        <v>0</v>
      </c>
      <c r="AX23" s="589">
        <f>'MLK2-3'!E21</f>
        <v>99</v>
      </c>
      <c r="AY23" s="589">
        <f>'MLK2-3'!F21</f>
        <v>99</v>
      </c>
      <c r="AZ23" s="589">
        <f>'MLK2-3'!G21</f>
        <v>99</v>
      </c>
      <c r="BA23" s="583">
        <f>'MLK2-3'!S21</f>
        <v>79.5</v>
      </c>
      <c r="BB23" s="583">
        <f>'MLK2-3'!T21</f>
        <v>79.5</v>
      </c>
      <c r="BC23" s="583">
        <f>'MLK2-3'!U21</f>
        <v>0</v>
      </c>
      <c r="BD23" s="589">
        <f>'MLK3-3'!E21</f>
        <v>99</v>
      </c>
      <c r="BE23" s="589">
        <f>'MLK3-3'!F21</f>
        <v>99</v>
      </c>
      <c r="BF23" s="583">
        <f>'MLK3-3'!S21</f>
        <v>79.5</v>
      </c>
      <c r="BG23" s="583">
        <f>'MLK3-3'!T21</f>
        <v>79.5</v>
      </c>
      <c r="BH23" s="471"/>
    </row>
    <row r="24" spans="1:60" ht="15.75">
      <c r="A24" s="191">
        <v>18</v>
      </c>
      <c r="B24" s="529">
        <f>SISWA!B23</f>
        <v>0</v>
      </c>
      <c r="C24" s="572" t="str">
        <f>SISWA!C23</f>
        <v>Anak 18</v>
      </c>
      <c r="D24" s="596">
        <f>'PAI3'!E23</f>
        <v>99</v>
      </c>
      <c r="E24" s="596">
        <f>'PAI3'!F23</f>
        <v>99</v>
      </c>
      <c r="F24" s="596">
        <f>'PAI3'!G23</f>
        <v>99</v>
      </c>
      <c r="G24" s="597">
        <f>'PAI3'!R23</f>
        <v>99</v>
      </c>
      <c r="H24" s="597">
        <f>'PAI3'!S23</f>
        <v>99</v>
      </c>
      <c r="I24" s="597">
        <f>'PAI3'!T23</f>
        <v>99</v>
      </c>
      <c r="J24" s="589">
        <f>'PKN3'!F22</f>
        <v>99</v>
      </c>
      <c r="K24" s="589">
        <f>'PKN3'!G22</f>
        <v>99</v>
      </c>
      <c r="L24" s="589">
        <f>'PKN3'!M22</f>
        <v>79.5</v>
      </c>
      <c r="M24" s="589">
        <f>'PKN3'!N22</f>
        <v>89</v>
      </c>
      <c r="N24" s="589">
        <f>BIND3!F22</f>
        <v>99</v>
      </c>
      <c r="O24" s="589">
        <f>BIND3!G22</f>
        <v>99</v>
      </c>
      <c r="P24" s="589"/>
      <c r="Q24" s="589">
        <f>BIND3!U22</f>
        <v>99</v>
      </c>
      <c r="R24" s="589">
        <f>BIND3!V22</f>
        <v>99</v>
      </c>
      <c r="S24" s="589"/>
      <c r="T24" s="589">
        <f>'MTK3'!E22</f>
        <v>99</v>
      </c>
      <c r="U24" s="589">
        <f>'MTK3'!F22</f>
        <v>99</v>
      </c>
      <c r="V24" s="589">
        <f>'MTK3'!G22</f>
        <v>99</v>
      </c>
      <c r="W24" s="583">
        <f>'MTK3'!W22</f>
        <v>99</v>
      </c>
      <c r="X24" s="583">
        <f>'MTK3'!X22</f>
        <v>79.5</v>
      </c>
      <c r="Y24" s="583">
        <f>'MTK3'!Y22</f>
        <v>99</v>
      </c>
      <c r="Z24" s="589">
        <f>'IPA3'!E22</f>
        <v>99</v>
      </c>
      <c r="AA24" s="589">
        <f>'IPA3'!F22</f>
        <v>99</v>
      </c>
      <c r="AB24" s="589">
        <f>'IPA3'!R22</f>
        <v>99</v>
      </c>
      <c r="AC24" s="589">
        <f>'IPA3'!S22</f>
        <v>99</v>
      </c>
      <c r="AD24" s="589">
        <f>'IPS3'!E22</f>
        <v>99</v>
      </c>
      <c r="AE24" s="589">
        <f>'IPS3'!F22</f>
        <v>99</v>
      </c>
      <c r="AF24" s="589">
        <f>'IPS3'!R22</f>
        <v>99</v>
      </c>
      <c r="AG24" s="589">
        <f>'IPS3'!S22</f>
        <v>99</v>
      </c>
      <c r="AH24" s="589">
        <f>SBDP3!F22</f>
        <v>99</v>
      </c>
      <c r="AI24" s="589">
        <f>SBDP3!G22</f>
        <v>99</v>
      </c>
      <c r="AJ24" s="589">
        <f>SBDP3!H22</f>
        <v>99</v>
      </c>
      <c r="AK24" s="589">
        <f>SBDP3!S22</f>
        <v>99</v>
      </c>
      <c r="AL24" s="589">
        <f>SBDP3!T22</f>
        <v>99</v>
      </c>
      <c r="AM24" s="589">
        <f>SBDP3!U22</f>
        <v>99</v>
      </c>
      <c r="AN24" s="589">
        <f>PJOK3!E22</f>
        <v>99</v>
      </c>
      <c r="AO24" s="589">
        <f>PJOK3!F22</f>
        <v>99</v>
      </c>
      <c r="AP24" s="583">
        <f>PJOK3!R22</f>
        <v>79.5</v>
      </c>
      <c r="AQ24" s="583">
        <f>PJOK3!S22</f>
        <v>89</v>
      </c>
      <c r="AR24" s="589">
        <f>'MLK1-3'!E22</f>
        <v>99</v>
      </c>
      <c r="AS24" s="589">
        <f>'MLK1-3'!F22</f>
        <v>99</v>
      </c>
      <c r="AT24" s="589">
        <f>'MLK1-3'!G22</f>
        <v>99</v>
      </c>
      <c r="AU24" s="583">
        <f>'MLK1-3'!T22</f>
        <v>79.5</v>
      </c>
      <c r="AV24" s="583">
        <f>'MLK1-3'!U22</f>
        <v>89</v>
      </c>
      <c r="AW24" s="583">
        <f>'MLK1-3'!V22</f>
        <v>0</v>
      </c>
      <c r="AX24" s="589">
        <f>'MLK2-3'!E22</f>
        <v>99</v>
      </c>
      <c r="AY24" s="589">
        <f>'MLK2-3'!F22</f>
        <v>99</v>
      </c>
      <c r="AZ24" s="589">
        <f>'MLK2-3'!G22</f>
        <v>99</v>
      </c>
      <c r="BA24" s="583">
        <f>'MLK2-3'!S22</f>
        <v>79.5</v>
      </c>
      <c r="BB24" s="583">
        <f>'MLK2-3'!T22</f>
        <v>89</v>
      </c>
      <c r="BC24" s="583">
        <f>'MLK2-3'!U22</f>
        <v>0</v>
      </c>
      <c r="BD24" s="589">
        <f>'MLK3-3'!E22</f>
        <v>99</v>
      </c>
      <c r="BE24" s="589">
        <f>'MLK3-3'!F22</f>
        <v>99</v>
      </c>
      <c r="BF24" s="583">
        <f>'MLK3-3'!S22</f>
        <v>79.5</v>
      </c>
      <c r="BG24" s="583">
        <f>'MLK3-3'!T22</f>
        <v>89</v>
      </c>
      <c r="BH24" s="471"/>
    </row>
    <row r="25" spans="1:60" ht="15.75">
      <c r="A25" s="191">
        <v>19</v>
      </c>
      <c r="B25" s="529">
        <f>SISWA!B24</f>
        <v>0</v>
      </c>
      <c r="C25" s="572" t="str">
        <f>SISWA!C24</f>
        <v>Anak 19</v>
      </c>
      <c r="D25" s="596">
        <f>'PAI3'!E24</f>
        <v>99</v>
      </c>
      <c r="E25" s="596">
        <f>'PAI3'!F24</f>
        <v>99</v>
      </c>
      <c r="F25" s="596">
        <f>'PAI3'!G24</f>
        <v>99</v>
      </c>
      <c r="G25" s="597">
        <f>'PAI3'!R24</f>
        <v>99</v>
      </c>
      <c r="H25" s="597">
        <f>'PAI3'!S24</f>
        <v>99</v>
      </c>
      <c r="I25" s="597">
        <f>'PAI3'!T24</f>
        <v>99</v>
      </c>
      <c r="J25" s="589">
        <f>'PKN3'!F23</f>
        <v>99</v>
      </c>
      <c r="K25" s="589">
        <f>'PKN3'!G23</f>
        <v>99</v>
      </c>
      <c r="L25" s="589">
        <f>'PKN3'!M23</f>
        <v>89</v>
      </c>
      <c r="M25" s="589">
        <f>'PKN3'!N23</f>
        <v>81</v>
      </c>
      <c r="N25" s="589">
        <f>BIND3!F23</f>
        <v>99</v>
      </c>
      <c r="O25" s="589">
        <f>BIND3!G23</f>
        <v>99</v>
      </c>
      <c r="P25" s="589"/>
      <c r="Q25" s="589">
        <f>BIND3!U23</f>
        <v>99</v>
      </c>
      <c r="R25" s="589">
        <f>BIND3!V23</f>
        <v>99</v>
      </c>
      <c r="S25" s="589"/>
      <c r="T25" s="589">
        <f>'MTK3'!E23</f>
        <v>99</v>
      </c>
      <c r="U25" s="589">
        <f>'MTK3'!F23</f>
        <v>99</v>
      </c>
      <c r="V25" s="589">
        <f>'MTK3'!G23</f>
        <v>99</v>
      </c>
      <c r="W25" s="583">
        <f>'MTK3'!W23</f>
        <v>99</v>
      </c>
      <c r="X25" s="583">
        <f>'MTK3'!X23</f>
        <v>89</v>
      </c>
      <c r="Y25" s="583">
        <f>'MTK3'!Y23</f>
        <v>99</v>
      </c>
      <c r="Z25" s="589">
        <f>'IPA3'!E23</f>
        <v>99</v>
      </c>
      <c r="AA25" s="589">
        <f>'IPA3'!F23</f>
        <v>99</v>
      </c>
      <c r="AB25" s="589">
        <f>'IPA3'!R23</f>
        <v>99</v>
      </c>
      <c r="AC25" s="589">
        <f>'IPA3'!S23</f>
        <v>99</v>
      </c>
      <c r="AD25" s="589">
        <f>'IPS3'!E23</f>
        <v>99</v>
      </c>
      <c r="AE25" s="589">
        <f>'IPS3'!F23</f>
        <v>99</v>
      </c>
      <c r="AF25" s="589">
        <f>'IPS3'!R23</f>
        <v>99</v>
      </c>
      <c r="AG25" s="589">
        <f>'IPS3'!S23</f>
        <v>99</v>
      </c>
      <c r="AH25" s="589">
        <f>SBDP3!F23</f>
        <v>99</v>
      </c>
      <c r="AI25" s="589">
        <f>SBDP3!G23</f>
        <v>99</v>
      </c>
      <c r="AJ25" s="589">
        <f>SBDP3!H23</f>
        <v>99</v>
      </c>
      <c r="AK25" s="589">
        <f>SBDP3!S23</f>
        <v>99</v>
      </c>
      <c r="AL25" s="589">
        <f>SBDP3!T23</f>
        <v>99</v>
      </c>
      <c r="AM25" s="589">
        <f>SBDP3!U23</f>
        <v>99</v>
      </c>
      <c r="AN25" s="589">
        <f>PJOK3!E23</f>
        <v>99</v>
      </c>
      <c r="AO25" s="589">
        <f>PJOK3!F23</f>
        <v>99</v>
      </c>
      <c r="AP25" s="583">
        <f>PJOK3!R23</f>
        <v>89</v>
      </c>
      <c r="AQ25" s="583">
        <f>PJOK3!S23</f>
        <v>81</v>
      </c>
      <c r="AR25" s="589">
        <f>'MLK1-3'!E23</f>
        <v>99</v>
      </c>
      <c r="AS25" s="589">
        <f>'MLK1-3'!F23</f>
        <v>99</v>
      </c>
      <c r="AT25" s="589">
        <f>'MLK1-3'!G23</f>
        <v>99</v>
      </c>
      <c r="AU25" s="583">
        <f>'MLK1-3'!T23</f>
        <v>89</v>
      </c>
      <c r="AV25" s="583">
        <f>'MLK1-3'!U23</f>
        <v>81</v>
      </c>
      <c r="AW25" s="583">
        <f>'MLK1-3'!V23</f>
        <v>0</v>
      </c>
      <c r="AX25" s="589">
        <f>'MLK2-3'!E23</f>
        <v>99</v>
      </c>
      <c r="AY25" s="589">
        <f>'MLK2-3'!F23</f>
        <v>99</v>
      </c>
      <c r="AZ25" s="589">
        <f>'MLK2-3'!G23</f>
        <v>99</v>
      </c>
      <c r="BA25" s="583">
        <f>'MLK2-3'!S23</f>
        <v>89</v>
      </c>
      <c r="BB25" s="583">
        <f>'MLK2-3'!T23</f>
        <v>81</v>
      </c>
      <c r="BC25" s="583">
        <f>'MLK2-3'!U23</f>
        <v>0</v>
      </c>
      <c r="BD25" s="589">
        <f>'MLK3-3'!E23</f>
        <v>99</v>
      </c>
      <c r="BE25" s="589">
        <f>'MLK3-3'!F23</f>
        <v>99</v>
      </c>
      <c r="BF25" s="583">
        <f>'MLK3-3'!S23</f>
        <v>89</v>
      </c>
      <c r="BG25" s="583">
        <f>'MLK3-3'!T23</f>
        <v>81</v>
      </c>
      <c r="BH25" s="471"/>
    </row>
    <row r="26" spans="1:60" ht="15.75">
      <c r="A26" s="191">
        <v>20</v>
      </c>
      <c r="B26" s="529">
        <f>SISWA!B25</f>
        <v>0</v>
      </c>
      <c r="C26" s="572" t="str">
        <f>SISWA!C25</f>
        <v>Anak 20</v>
      </c>
      <c r="D26" s="596">
        <f>'PAI3'!E25</f>
        <v>99</v>
      </c>
      <c r="E26" s="596">
        <f>'PAI3'!F25</f>
        <v>99</v>
      </c>
      <c r="F26" s="596">
        <f>'PAI3'!G25</f>
        <v>99</v>
      </c>
      <c r="G26" s="597">
        <f>'PAI3'!R25</f>
        <v>99</v>
      </c>
      <c r="H26" s="597">
        <f>'PAI3'!S25</f>
        <v>99</v>
      </c>
      <c r="I26" s="597">
        <f>'PAI3'!T25</f>
        <v>99</v>
      </c>
      <c r="J26" s="589">
        <f>'PKN3'!F24</f>
        <v>99</v>
      </c>
      <c r="K26" s="589">
        <f>'PKN3'!G24</f>
        <v>99</v>
      </c>
      <c r="L26" s="589">
        <f>'PKN3'!M24</f>
        <v>81</v>
      </c>
      <c r="M26" s="589">
        <f>'PKN3'!N24</f>
        <v>76.5</v>
      </c>
      <c r="N26" s="589">
        <f>BIND3!F24</f>
        <v>99</v>
      </c>
      <c r="O26" s="589">
        <f>BIND3!G24</f>
        <v>99</v>
      </c>
      <c r="P26" s="589"/>
      <c r="Q26" s="589">
        <f>BIND3!U24</f>
        <v>99</v>
      </c>
      <c r="R26" s="589">
        <f>BIND3!V24</f>
        <v>99</v>
      </c>
      <c r="S26" s="589"/>
      <c r="T26" s="589">
        <f>'MTK3'!E24</f>
        <v>99</v>
      </c>
      <c r="U26" s="589">
        <f>'MTK3'!F24</f>
        <v>99</v>
      </c>
      <c r="V26" s="589">
        <f>'MTK3'!G24</f>
        <v>99</v>
      </c>
      <c r="W26" s="583">
        <f>'MTK3'!W24</f>
        <v>99</v>
      </c>
      <c r="X26" s="583">
        <f>'MTK3'!X24</f>
        <v>81</v>
      </c>
      <c r="Y26" s="583">
        <f>'MTK3'!Y24</f>
        <v>99</v>
      </c>
      <c r="Z26" s="589">
        <f>'IPA3'!E24</f>
        <v>99</v>
      </c>
      <c r="AA26" s="589">
        <f>'IPA3'!F24</f>
        <v>99</v>
      </c>
      <c r="AB26" s="589">
        <f>'IPA3'!R24</f>
        <v>99</v>
      </c>
      <c r="AC26" s="589">
        <f>'IPA3'!S24</f>
        <v>99</v>
      </c>
      <c r="AD26" s="589">
        <f>'IPS3'!E24</f>
        <v>99</v>
      </c>
      <c r="AE26" s="589">
        <f>'IPS3'!F24</f>
        <v>99</v>
      </c>
      <c r="AF26" s="589">
        <f>'IPS3'!R24</f>
        <v>99</v>
      </c>
      <c r="AG26" s="589">
        <f>'IPS3'!S24</f>
        <v>99</v>
      </c>
      <c r="AH26" s="589">
        <f>SBDP3!F24</f>
        <v>99</v>
      </c>
      <c r="AI26" s="589">
        <f>SBDP3!G24</f>
        <v>99</v>
      </c>
      <c r="AJ26" s="589">
        <f>SBDP3!H24</f>
        <v>99</v>
      </c>
      <c r="AK26" s="589">
        <f>SBDP3!S24</f>
        <v>99</v>
      </c>
      <c r="AL26" s="589">
        <f>SBDP3!T24</f>
        <v>99</v>
      </c>
      <c r="AM26" s="589">
        <f>SBDP3!U24</f>
        <v>99</v>
      </c>
      <c r="AN26" s="589">
        <f>PJOK3!E24</f>
        <v>99</v>
      </c>
      <c r="AO26" s="589">
        <f>PJOK3!F24</f>
        <v>99</v>
      </c>
      <c r="AP26" s="583">
        <f>PJOK3!R24</f>
        <v>81</v>
      </c>
      <c r="AQ26" s="583">
        <f>PJOK3!S24</f>
        <v>76.5</v>
      </c>
      <c r="AR26" s="589">
        <f>'MLK1-3'!E24</f>
        <v>99</v>
      </c>
      <c r="AS26" s="589">
        <f>'MLK1-3'!F24</f>
        <v>99</v>
      </c>
      <c r="AT26" s="589">
        <f>'MLK1-3'!G24</f>
        <v>99</v>
      </c>
      <c r="AU26" s="583">
        <f>'MLK1-3'!T24</f>
        <v>81</v>
      </c>
      <c r="AV26" s="583">
        <f>'MLK1-3'!U24</f>
        <v>76.5</v>
      </c>
      <c r="AW26" s="583">
        <f>'MLK1-3'!V24</f>
        <v>0</v>
      </c>
      <c r="AX26" s="589">
        <f>'MLK2-3'!E24</f>
        <v>99</v>
      </c>
      <c r="AY26" s="589">
        <f>'MLK2-3'!F24</f>
        <v>99</v>
      </c>
      <c r="AZ26" s="589">
        <f>'MLK2-3'!G24</f>
        <v>99</v>
      </c>
      <c r="BA26" s="583">
        <f>'MLK2-3'!S24</f>
        <v>81</v>
      </c>
      <c r="BB26" s="583">
        <f>'MLK2-3'!T24</f>
        <v>76.5</v>
      </c>
      <c r="BC26" s="583">
        <f>'MLK2-3'!U24</f>
        <v>0</v>
      </c>
      <c r="BD26" s="589">
        <f>'MLK3-3'!E24</f>
        <v>99</v>
      </c>
      <c r="BE26" s="589">
        <f>'MLK3-3'!F24</f>
        <v>99</v>
      </c>
      <c r="BF26" s="583">
        <f>'MLK3-3'!S24</f>
        <v>81</v>
      </c>
      <c r="BG26" s="583">
        <f>'MLK3-3'!T24</f>
        <v>76.5</v>
      </c>
      <c r="BH26" s="471"/>
    </row>
    <row r="27" spans="1:60" ht="15.75">
      <c r="A27" s="191">
        <v>21</v>
      </c>
      <c r="B27" s="529">
        <f>SISWA!B26</f>
        <v>0</v>
      </c>
      <c r="C27" s="572" t="str">
        <f>SISWA!C26</f>
        <v>Anak 21</v>
      </c>
      <c r="D27" s="596">
        <f>'PAI3'!E26</f>
        <v>99</v>
      </c>
      <c r="E27" s="596">
        <f>'PAI3'!F26</f>
        <v>99</v>
      </c>
      <c r="F27" s="596">
        <f>'PAI3'!G26</f>
        <v>99</v>
      </c>
      <c r="G27" s="597">
        <f>'PAI3'!R26</f>
        <v>99</v>
      </c>
      <c r="H27" s="597">
        <f>'PAI3'!S26</f>
        <v>99</v>
      </c>
      <c r="I27" s="597">
        <f>'PAI3'!T26</f>
        <v>99</v>
      </c>
      <c r="J27" s="589">
        <f>'PKN3'!F25</f>
        <v>99</v>
      </c>
      <c r="K27" s="589">
        <f>'PKN3'!G25</f>
        <v>99</v>
      </c>
      <c r="L27" s="589">
        <f>'PKN3'!M25</f>
        <v>76.5</v>
      </c>
      <c r="M27" s="589">
        <f>'PKN3'!N25</f>
        <v>86.5</v>
      </c>
      <c r="N27" s="589">
        <f>BIND3!F25</f>
        <v>99</v>
      </c>
      <c r="O27" s="589">
        <f>BIND3!G25</f>
        <v>99</v>
      </c>
      <c r="P27" s="589"/>
      <c r="Q27" s="589">
        <f>BIND3!U25</f>
        <v>99</v>
      </c>
      <c r="R27" s="589">
        <f>BIND3!V25</f>
        <v>99</v>
      </c>
      <c r="S27" s="589"/>
      <c r="T27" s="589">
        <f>'MTK3'!E25</f>
        <v>99</v>
      </c>
      <c r="U27" s="589">
        <f>'MTK3'!F25</f>
        <v>99</v>
      </c>
      <c r="V27" s="589">
        <f>'MTK3'!G25</f>
        <v>99</v>
      </c>
      <c r="W27" s="583">
        <f>'MTK3'!W25</f>
        <v>99</v>
      </c>
      <c r="X27" s="583">
        <f>'MTK3'!X25</f>
        <v>76.5</v>
      </c>
      <c r="Y27" s="583">
        <f>'MTK3'!Y25</f>
        <v>99</v>
      </c>
      <c r="Z27" s="589">
        <f>'IPA3'!E25</f>
        <v>99</v>
      </c>
      <c r="AA27" s="589">
        <f>'IPA3'!F25</f>
        <v>99</v>
      </c>
      <c r="AB27" s="589">
        <f>'IPA3'!R25</f>
        <v>99</v>
      </c>
      <c r="AC27" s="589">
        <f>'IPA3'!S25</f>
        <v>99</v>
      </c>
      <c r="AD27" s="589">
        <f>'IPS3'!E25</f>
        <v>99</v>
      </c>
      <c r="AE27" s="589">
        <f>'IPS3'!F25</f>
        <v>99</v>
      </c>
      <c r="AF27" s="589">
        <f>'IPS3'!R25</f>
        <v>99</v>
      </c>
      <c r="AG27" s="589">
        <f>'IPS3'!S25</f>
        <v>99</v>
      </c>
      <c r="AH27" s="589">
        <f>SBDP3!F25</f>
        <v>99</v>
      </c>
      <c r="AI27" s="589">
        <f>SBDP3!G25</f>
        <v>99</v>
      </c>
      <c r="AJ27" s="589">
        <f>SBDP3!H25</f>
        <v>99</v>
      </c>
      <c r="AK27" s="589">
        <f>SBDP3!S25</f>
        <v>99</v>
      </c>
      <c r="AL27" s="589">
        <f>SBDP3!T25</f>
        <v>99</v>
      </c>
      <c r="AM27" s="589">
        <f>SBDP3!U25</f>
        <v>99</v>
      </c>
      <c r="AN27" s="589">
        <f>PJOK3!E25</f>
        <v>99</v>
      </c>
      <c r="AO27" s="589">
        <f>PJOK3!F25</f>
        <v>99</v>
      </c>
      <c r="AP27" s="583">
        <f>PJOK3!R25</f>
        <v>76.5</v>
      </c>
      <c r="AQ27" s="583">
        <f>PJOK3!S25</f>
        <v>86.5</v>
      </c>
      <c r="AR27" s="589">
        <f>'MLK1-3'!E25</f>
        <v>99</v>
      </c>
      <c r="AS27" s="589">
        <f>'MLK1-3'!F25</f>
        <v>99</v>
      </c>
      <c r="AT27" s="589">
        <f>'MLK1-3'!G25</f>
        <v>99</v>
      </c>
      <c r="AU27" s="583">
        <f>'MLK1-3'!T25</f>
        <v>76.5</v>
      </c>
      <c r="AV27" s="583">
        <f>'MLK1-3'!U25</f>
        <v>86.5</v>
      </c>
      <c r="AW27" s="583">
        <f>'MLK1-3'!V25</f>
        <v>0</v>
      </c>
      <c r="AX27" s="589">
        <f>'MLK2-3'!E25</f>
        <v>99</v>
      </c>
      <c r="AY27" s="589">
        <f>'MLK2-3'!F25</f>
        <v>99</v>
      </c>
      <c r="AZ27" s="589">
        <f>'MLK2-3'!G25</f>
        <v>99</v>
      </c>
      <c r="BA27" s="583">
        <f>'MLK2-3'!S25</f>
        <v>76.5</v>
      </c>
      <c r="BB27" s="583">
        <f>'MLK2-3'!T25</f>
        <v>86.5</v>
      </c>
      <c r="BC27" s="583">
        <f>'MLK2-3'!U25</f>
        <v>0</v>
      </c>
      <c r="BD27" s="589">
        <f>'MLK3-3'!E25</f>
        <v>99</v>
      </c>
      <c r="BE27" s="589">
        <f>'MLK3-3'!F25</f>
        <v>99</v>
      </c>
      <c r="BF27" s="583">
        <f>'MLK3-3'!S25</f>
        <v>76.5</v>
      </c>
      <c r="BG27" s="583">
        <f>'MLK3-3'!T25</f>
        <v>86.5</v>
      </c>
      <c r="BH27" s="471"/>
    </row>
    <row r="28" spans="1:60" ht="15.75">
      <c r="A28" s="191">
        <v>22</v>
      </c>
      <c r="B28" s="529">
        <f>SISWA!B27</f>
        <v>0</v>
      </c>
      <c r="C28" s="572" t="str">
        <f>SISWA!C27</f>
        <v>Anak 22</v>
      </c>
      <c r="D28" s="596">
        <f>'PAI3'!E27</f>
        <v>99</v>
      </c>
      <c r="E28" s="596">
        <f>'PAI3'!F27</f>
        <v>99</v>
      </c>
      <c r="F28" s="596">
        <f>'PAI3'!G27</f>
        <v>99</v>
      </c>
      <c r="G28" s="597">
        <f>'PAI3'!R27</f>
        <v>99</v>
      </c>
      <c r="H28" s="597">
        <f>'PAI3'!S27</f>
        <v>99</v>
      </c>
      <c r="I28" s="597">
        <f>'PAI3'!T27</f>
        <v>99</v>
      </c>
      <c r="J28" s="589">
        <f>'PKN3'!F26</f>
        <v>99</v>
      </c>
      <c r="K28" s="589">
        <f>'PKN3'!G26</f>
        <v>99</v>
      </c>
      <c r="L28" s="589">
        <f>'PKN3'!M26</f>
        <v>86.5</v>
      </c>
      <c r="M28" s="589">
        <f>'PKN3'!N26</f>
        <v>90</v>
      </c>
      <c r="N28" s="589">
        <f>BIND3!F26</f>
        <v>99</v>
      </c>
      <c r="O28" s="589">
        <f>BIND3!G26</f>
        <v>99</v>
      </c>
      <c r="P28" s="589"/>
      <c r="Q28" s="589">
        <f>BIND3!U26</f>
        <v>99</v>
      </c>
      <c r="R28" s="589">
        <f>BIND3!V26</f>
        <v>99</v>
      </c>
      <c r="S28" s="589"/>
      <c r="T28" s="589">
        <f>'MTK3'!E26</f>
        <v>99</v>
      </c>
      <c r="U28" s="589">
        <f>'MTK3'!F26</f>
        <v>99</v>
      </c>
      <c r="V28" s="589">
        <f>'MTK3'!G26</f>
        <v>99</v>
      </c>
      <c r="W28" s="583">
        <f>'MTK3'!W26</f>
        <v>99</v>
      </c>
      <c r="X28" s="583">
        <f>'MTK3'!X26</f>
        <v>86.5</v>
      </c>
      <c r="Y28" s="583">
        <f>'MTK3'!Y26</f>
        <v>99</v>
      </c>
      <c r="Z28" s="589">
        <f>'IPA3'!E26</f>
        <v>99</v>
      </c>
      <c r="AA28" s="589">
        <f>'IPA3'!F26</f>
        <v>99</v>
      </c>
      <c r="AB28" s="589">
        <f>'IPA3'!R26</f>
        <v>99</v>
      </c>
      <c r="AC28" s="589">
        <f>'IPA3'!S26</f>
        <v>99</v>
      </c>
      <c r="AD28" s="589">
        <f>'IPS3'!E26</f>
        <v>99</v>
      </c>
      <c r="AE28" s="589">
        <f>'IPS3'!F26</f>
        <v>99</v>
      </c>
      <c r="AF28" s="589">
        <f>'IPS3'!R26</f>
        <v>99</v>
      </c>
      <c r="AG28" s="589">
        <f>'IPS3'!S26</f>
        <v>99</v>
      </c>
      <c r="AH28" s="589">
        <f>SBDP3!F26</f>
        <v>99</v>
      </c>
      <c r="AI28" s="589">
        <f>SBDP3!G26</f>
        <v>99</v>
      </c>
      <c r="AJ28" s="589">
        <f>SBDP3!H26</f>
        <v>99</v>
      </c>
      <c r="AK28" s="589">
        <f>SBDP3!S26</f>
        <v>99</v>
      </c>
      <c r="AL28" s="589">
        <f>SBDP3!T26</f>
        <v>99</v>
      </c>
      <c r="AM28" s="589">
        <f>SBDP3!U26</f>
        <v>99</v>
      </c>
      <c r="AN28" s="589">
        <f>PJOK3!E26</f>
        <v>99</v>
      </c>
      <c r="AO28" s="589">
        <f>PJOK3!F26</f>
        <v>99</v>
      </c>
      <c r="AP28" s="583">
        <f>PJOK3!R26</f>
        <v>86.5</v>
      </c>
      <c r="AQ28" s="583">
        <f>PJOK3!S26</f>
        <v>90</v>
      </c>
      <c r="AR28" s="589">
        <f>'MLK1-3'!E26</f>
        <v>99</v>
      </c>
      <c r="AS28" s="589">
        <f>'MLK1-3'!F26</f>
        <v>99</v>
      </c>
      <c r="AT28" s="589">
        <f>'MLK1-3'!G26</f>
        <v>99</v>
      </c>
      <c r="AU28" s="583">
        <f>'MLK1-3'!T26</f>
        <v>86.5</v>
      </c>
      <c r="AV28" s="583">
        <f>'MLK1-3'!U26</f>
        <v>90</v>
      </c>
      <c r="AW28" s="583">
        <f>'MLK1-3'!V26</f>
        <v>0</v>
      </c>
      <c r="AX28" s="589">
        <f>'MLK2-3'!E26</f>
        <v>99</v>
      </c>
      <c r="AY28" s="589">
        <f>'MLK2-3'!F26</f>
        <v>99</v>
      </c>
      <c r="AZ28" s="589">
        <f>'MLK2-3'!G26</f>
        <v>99</v>
      </c>
      <c r="BA28" s="583">
        <f>'MLK2-3'!S26</f>
        <v>86.5</v>
      </c>
      <c r="BB28" s="583">
        <f>'MLK2-3'!T26</f>
        <v>90</v>
      </c>
      <c r="BC28" s="583">
        <f>'MLK2-3'!U26</f>
        <v>0</v>
      </c>
      <c r="BD28" s="589">
        <f>'MLK3-3'!E26</f>
        <v>99</v>
      </c>
      <c r="BE28" s="589">
        <f>'MLK3-3'!F26</f>
        <v>99</v>
      </c>
      <c r="BF28" s="583">
        <f>'MLK3-3'!S26</f>
        <v>86.5</v>
      </c>
      <c r="BG28" s="583">
        <f>'MLK3-3'!T26</f>
        <v>90</v>
      </c>
      <c r="BH28" s="471"/>
    </row>
    <row r="29" spans="1:60" ht="15.75">
      <c r="A29" s="191">
        <v>23</v>
      </c>
      <c r="B29" s="529">
        <f>SISWA!B28</f>
        <v>0</v>
      </c>
      <c r="C29" s="572" t="str">
        <f>SISWA!C28</f>
        <v>Anak 23</v>
      </c>
      <c r="D29" s="596">
        <f>'PAI3'!E28</f>
        <v>99</v>
      </c>
      <c r="E29" s="596">
        <f>'PAI3'!F28</f>
        <v>99</v>
      </c>
      <c r="F29" s="596">
        <f>'PAI3'!G28</f>
        <v>99</v>
      </c>
      <c r="G29" s="597">
        <f>'PAI3'!R28</f>
        <v>99</v>
      </c>
      <c r="H29" s="597">
        <f>'PAI3'!S28</f>
        <v>99</v>
      </c>
      <c r="I29" s="597">
        <f>'PAI3'!T28</f>
        <v>99</v>
      </c>
      <c r="J29" s="589">
        <f>'PKN3'!F27</f>
        <v>99</v>
      </c>
      <c r="K29" s="589">
        <f>'PKN3'!G27</f>
        <v>99</v>
      </c>
      <c r="L29" s="589">
        <f>'PKN3'!M27</f>
        <v>90</v>
      </c>
      <c r="M29" s="589">
        <f>'PKN3'!N27</f>
        <v>76.5</v>
      </c>
      <c r="N29" s="589">
        <f>BIND3!F27</f>
        <v>99</v>
      </c>
      <c r="O29" s="589">
        <f>BIND3!G27</f>
        <v>99</v>
      </c>
      <c r="P29" s="589"/>
      <c r="Q29" s="589">
        <f>BIND3!U27</f>
        <v>99</v>
      </c>
      <c r="R29" s="589">
        <f>BIND3!V27</f>
        <v>99</v>
      </c>
      <c r="S29" s="589"/>
      <c r="T29" s="589">
        <f>'MTK3'!E27</f>
        <v>99</v>
      </c>
      <c r="U29" s="589">
        <f>'MTK3'!F27</f>
        <v>99</v>
      </c>
      <c r="V29" s="589">
        <f>'MTK3'!G27</f>
        <v>99</v>
      </c>
      <c r="W29" s="583">
        <f>'MTK3'!W27</f>
        <v>99</v>
      </c>
      <c r="X29" s="583">
        <f>'MTK3'!X27</f>
        <v>90</v>
      </c>
      <c r="Y29" s="583">
        <f>'MTK3'!Y27</f>
        <v>99</v>
      </c>
      <c r="Z29" s="589">
        <f>'IPA3'!E27</f>
        <v>99</v>
      </c>
      <c r="AA29" s="589">
        <f>'IPA3'!F27</f>
        <v>99</v>
      </c>
      <c r="AB29" s="589">
        <f>'IPA3'!R27</f>
        <v>99</v>
      </c>
      <c r="AC29" s="589">
        <f>'IPA3'!S27</f>
        <v>99</v>
      </c>
      <c r="AD29" s="589">
        <f>'IPS3'!E27</f>
        <v>99</v>
      </c>
      <c r="AE29" s="589">
        <f>'IPS3'!F27</f>
        <v>99</v>
      </c>
      <c r="AF29" s="589">
        <f>'IPS3'!R27</f>
        <v>99</v>
      </c>
      <c r="AG29" s="589">
        <f>'IPS3'!S27</f>
        <v>99</v>
      </c>
      <c r="AH29" s="589">
        <f>SBDP3!F27</f>
        <v>99</v>
      </c>
      <c r="AI29" s="589">
        <f>SBDP3!G27</f>
        <v>99</v>
      </c>
      <c r="AJ29" s="589">
        <f>SBDP3!H27</f>
        <v>99</v>
      </c>
      <c r="AK29" s="589">
        <f>SBDP3!S27</f>
        <v>99</v>
      </c>
      <c r="AL29" s="589">
        <f>SBDP3!T27</f>
        <v>99</v>
      </c>
      <c r="AM29" s="589">
        <f>SBDP3!U27</f>
        <v>99</v>
      </c>
      <c r="AN29" s="589">
        <f>PJOK3!E27</f>
        <v>99</v>
      </c>
      <c r="AO29" s="589">
        <f>PJOK3!F27</f>
        <v>99</v>
      </c>
      <c r="AP29" s="583">
        <f>PJOK3!R27</f>
        <v>90</v>
      </c>
      <c r="AQ29" s="583">
        <f>PJOK3!S27</f>
        <v>76.5</v>
      </c>
      <c r="AR29" s="589">
        <f>'MLK1-3'!E27</f>
        <v>99</v>
      </c>
      <c r="AS29" s="589">
        <f>'MLK1-3'!F27</f>
        <v>99</v>
      </c>
      <c r="AT29" s="589">
        <f>'MLK1-3'!G27</f>
        <v>99</v>
      </c>
      <c r="AU29" s="583">
        <f>'MLK1-3'!T27</f>
        <v>90</v>
      </c>
      <c r="AV29" s="583">
        <f>'MLK1-3'!U27</f>
        <v>76.5</v>
      </c>
      <c r="AW29" s="583">
        <f>'MLK1-3'!V27</f>
        <v>0</v>
      </c>
      <c r="AX29" s="589">
        <f>'MLK2-3'!E27</f>
        <v>99</v>
      </c>
      <c r="AY29" s="589">
        <f>'MLK2-3'!F27</f>
        <v>99</v>
      </c>
      <c r="AZ29" s="589">
        <f>'MLK2-3'!G27</f>
        <v>99</v>
      </c>
      <c r="BA29" s="583">
        <f>'MLK2-3'!S27</f>
        <v>90</v>
      </c>
      <c r="BB29" s="583">
        <f>'MLK2-3'!T27</f>
        <v>76.5</v>
      </c>
      <c r="BC29" s="583">
        <f>'MLK2-3'!U27</f>
        <v>0</v>
      </c>
      <c r="BD29" s="589">
        <f>'MLK3-3'!E27</f>
        <v>99</v>
      </c>
      <c r="BE29" s="589">
        <f>'MLK3-3'!F27</f>
        <v>99</v>
      </c>
      <c r="BF29" s="583">
        <f>'MLK3-3'!S27</f>
        <v>90</v>
      </c>
      <c r="BG29" s="583">
        <f>'MLK3-3'!T27</f>
        <v>76.5</v>
      </c>
      <c r="BH29" s="471"/>
    </row>
    <row r="30" spans="1:60" ht="15.75">
      <c r="A30" s="191">
        <v>24</v>
      </c>
      <c r="B30" s="529">
        <f>SISWA!B29</f>
        <v>0</v>
      </c>
      <c r="C30" s="572" t="str">
        <f>SISWA!C29</f>
        <v>Anak 24</v>
      </c>
      <c r="D30" s="596">
        <f>'PAI3'!E29</f>
        <v>99</v>
      </c>
      <c r="E30" s="596">
        <f>'PAI3'!F29</f>
        <v>99</v>
      </c>
      <c r="F30" s="596">
        <f>'PAI3'!G29</f>
        <v>99</v>
      </c>
      <c r="G30" s="597">
        <f>'PAI3'!R29</f>
        <v>99</v>
      </c>
      <c r="H30" s="597">
        <f>'PAI3'!S29</f>
        <v>99</v>
      </c>
      <c r="I30" s="597">
        <f>'PAI3'!T29</f>
        <v>99</v>
      </c>
      <c r="J30" s="589">
        <f>'PKN3'!F28</f>
        <v>99</v>
      </c>
      <c r="K30" s="589">
        <f>'PKN3'!G28</f>
        <v>99</v>
      </c>
      <c r="L30" s="589">
        <f>'PKN3'!M28</f>
        <v>76.5</v>
      </c>
      <c r="M30" s="589">
        <f>'PKN3'!N28</f>
        <v>83</v>
      </c>
      <c r="N30" s="589">
        <f>BIND3!F28</f>
        <v>99</v>
      </c>
      <c r="O30" s="589">
        <f>BIND3!G28</f>
        <v>99</v>
      </c>
      <c r="P30" s="589"/>
      <c r="Q30" s="589">
        <f>BIND3!U28</f>
        <v>99</v>
      </c>
      <c r="R30" s="589">
        <f>BIND3!V28</f>
        <v>99</v>
      </c>
      <c r="S30" s="589"/>
      <c r="T30" s="589">
        <f>'MTK3'!E28</f>
        <v>99</v>
      </c>
      <c r="U30" s="589">
        <f>'MTK3'!F28</f>
        <v>99</v>
      </c>
      <c r="V30" s="589">
        <f>'MTK3'!G28</f>
        <v>99</v>
      </c>
      <c r="W30" s="583">
        <f>'MTK3'!W28</f>
        <v>99</v>
      </c>
      <c r="X30" s="583">
        <f>'MTK3'!X28</f>
        <v>76.5</v>
      </c>
      <c r="Y30" s="583">
        <f>'MTK3'!Y28</f>
        <v>99</v>
      </c>
      <c r="Z30" s="589">
        <f>'IPA3'!E28</f>
        <v>99</v>
      </c>
      <c r="AA30" s="589">
        <f>'IPA3'!F28</f>
        <v>99</v>
      </c>
      <c r="AB30" s="589">
        <f>'IPA3'!R28</f>
        <v>99</v>
      </c>
      <c r="AC30" s="589">
        <f>'IPA3'!S28</f>
        <v>99</v>
      </c>
      <c r="AD30" s="589">
        <f>'IPS3'!E28</f>
        <v>99</v>
      </c>
      <c r="AE30" s="589">
        <f>'IPS3'!F28</f>
        <v>99</v>
      </c>
      <c r="AF30" s="589">
        <f>'IPS3'!R28</f>
        <v>99</v>
      </c>
      <c r="AG30" s="589">
        <f>'IPS3'!S28</f>
        <v>99</v>
      </c>
      <c r="AH30" s="589">
        <f>SBDP3!F28</f>
        <v>99</v>
      </c>
      <c r="AI30" s="589">
        <f>SBDP3!G28</f>
        <v>99</v>
      </c>
      <c r="AJ30" s="589">
        <f>SBDP3!H28</f>
        <v>99</v>
      </c>
      <c r="AK30" s="589">
        <f>SBDP3!S28</f>
        <v>99</v>
      </c>
      <c r="AL30" s="589">
        <f>SBDP3!T28</f>
        <v>99</v>
      </c>
      <c r="AM30" s="589">
        <f>SBDP3!U28</f>
        <v>99</v>
      </c>
      <c r="AN30" s="589">
        <f>PJOK3!E28</f>
        <v>99</v>
      </c>
      <c r="AO30" s="589">
        <f>PJOK3!F28</f>
        <v>99</v>
      </c>
      <c r="AP30" s="583">
        <f>PJOK3!R28</f>
        <v>76.5</v>
      </c>
      <c r="AQ30" s="583">
        <f>PJOK3!S28</f>
        <v>83</v>
      </c>
      <c r="AR30" s="589">
        <f>'MLK1-3'!E28</f>
        <v>99</v>
      </c>
      <c r="AS30" s="589">
        <f>'MLK1-3'!F28</f>
        <v>99</v>
      </c>
      <c r="AT30" s="589">
        <f>'MLK1-3'!G28</f>
        <v>99</v>
      </c>
      <c r="AU30" s="583">
        <f>'MLK1-3'!T28</f>
        <v>76.5</v>
      </c>
      <c r="AV30" s="583">
        <f>'MLK1-3'!U28</f>
        <v>83</v>
      </c>
      <c r="AW30" s="583">
        <f>'MLK1-3'!V28</f>
        <v>0</v>
      </c>
      <c r="AX30" s="589">
        <f>'MLK2-3'!E28</f>
        <v>99</v>
      </c>
      <c r="AY30" s="589">
        <f>'MLK2-3'!F28</f>
        <v>99</v>
      </c>
      <c r="AZ30" s="589">
        <f>'MLK2-3'!G28</f>
        <v>99</v>
      </c>
      <c r="BA30" s="583">
        <f>'MLK2-3'!S28</f>
        <v>76.5</v>
      </c>
      <c r="BB30" s="583">
        <f>'MLK2-3'!T28</f>
        <v>83</v>
      </c>
      <c r="BC30" s="583">
        <f>'MLK2-3'!U28</f>
        <v>0</v>
      </c>
      <c r="BD30" s="589">
        <f>'MLK3-3'!E28</f>
        <v>99</v>
      </c>
      <c r="BE30" s="589">
        <f>'MLK3-3'!F28</f>
        <v>99</v>
      </c>
      <c r="BF30" s="583">
        <f>'MLK3-3'!S28</f>
        <v>76.5</v>
      </c>
      <c r="BG30" s="583">
        <f>'MLK3-3'!T28</f>
        <v>83</v>
      </c>
      <c r="BH30" s="471"/>
    </row>
    <row r="31" spans="1:60" ht="15.75">
      <c r="A31" s="191">
        <v>25</v>
      </c>
      <c r="B31" s="529">
        <f>SISWA!B30</f>
        <v>0</v>
      </c>
      <c r="C31" s="572" t="str">
        <f>SISWA!C30</f>
        <v>Anak 25</v>
      </c>
      <c r="D31" s="596">
        <f>'PAI3'!E30</f>
        <v>99</v>
      </c>
      <c r="E31" s="596">
        <f>'PAI3'!F30</f>
        <v>99</v>
      </c>
      <c r="F31" s="596">
        <f>'PAI3'!G30</f>
        <v>99</v>
      </c>
      <c r="G31" s="597">
        <f>'PAI3'!R30</f>
        <v>99</v>
      </c>
      <c r="H31" s="597">
        <f>'PAI3'!S30</f>
        <v>99</v>
      </c>
      <c r="I31" s="597">
        <f>'PAI3'!T30</f>
        <v>99</v>
      </c>
      <c r="J31" s="589">
        <f>'PKN3'!F29</f>
        <v>99</v>
      </c>
      <c r="K31" s="589">
        <f>'PKN3'!G29</f>
        <v>99</v>
      </c>
      <c r="L31" s="589">
        <f>'PKN3'!M29</f>
        <v>83</v>
      </c>
      <c r="M31" s="589">
        <f>'PKN3'!N29</f>
        <v>74.5</v>
      </c>
      <c r="N31" s="589">
        <f>BIND3!F29</f>
        <v>99</v>
      </c>
      <c r="O31" s="589">
        <f>BIND3!G29</f>
        <v>99</v>
      </c>
      <c r="P31" s="589"/>
      <c r="Q31" s="589">
        <f>BIND3!U29</f>
        <v>99</v>
      </c>
      <c r="R31" s="589">
        <f>BIND3!V29</f>
        <v>99</v>
      </c>
      <c r="S31" s="589"/>
      <c r="T31" s="589">
        <f>'MTK3'!E29</f>
        <v>99</v>
      </c>
      <c r="U31" s="589">
        <f>'MTK3'!F29</f>
        <v>99</v>
      </c>
      <c r="V31" s="589">
        <f>'MTK3'!G29</f>
        <v>99</v>
      </c>
      <c r="W31" s="583">
        <f>'MTK3'!W29</f>
        <v>99</v>
      </c>
      <c r="X31" s="583">
        <f>'MTK3'!X29</f>
        <v>83</v>
      </c>
      <c r="Y31" s="583">
        <f>'MTK3'!Y29</f>
        <v>99</v>
      </c>
      <c r="Z31" s="589">
        <f>'IPA3'!E29</f>
        <v>99</v>
      </c>
      <c r="AA31" s="589">
        <f>'IPA3'!F29</f>
        <v>99</v>
      </c>
      <c r="AB31" s="589">
        <f>'IPA3'!R29</f>
        <v>99</v>
      </c>
      <c r="AC31" s="589">
        <f>'IPA3'!S29</f>
        <v>99</v>
      </c>
      <c r="AD31" s="589">
        <f>'IPS3'!E29</f>
        <v>99</v>
      </c>
      <c r="AE31" s="589">
        <f>'IPS3'!F29</f>
        <v>99</v>
      </c>
      <c r="AF31" s="589">
        <f>'IPS3'!R29</f>
        <v>99</v>
      </c>
      <c r="AG31" s="589">
        <f>'IPS3'!S29</f>
        <v>99</v>
      </c>
      <c r="AH31" s="589">
        <f>SBDP3!F29</f>
        <v>99</v>
      </c>
      <c r="AI31" s="589">
        <f>SBDP3!G29</f>
        <v>99</v>
      </c>
      <c r="AJ31" s="589">
        <f>SBDP3!H29</f>
        <v>99</v>
      </c>
      <c r="AK31" s="589">
        <f>SBDP3!S29</f>
        <v>99</v>
      </c>
      <c r="AL31" s="589">
        <f>SBDP3!T29</f>
        <v>99</v>
      </c>
      <c r="AM31" s="589">
        <f>SBDP3!U29</f>
        <v>99</v>
      </c>
      <c r="AN31" s="589">
        <f>PJOK3!E29</f>
        <v>99</v>
      </c>
      <c r="AO31" s="589">
        <f>PJOK3!F29</f>
        <v>99</v>
      </c>
      <c r="AP31" s="583">
        <f>PJOK3!R29</f>
        <v>83</v>
      </c>
      <c r="AQ31" s="583">
        <f>PJOK3!S29</f>
        <v>74.5</v>
      </c>
      <c r="AR31" s="589">
        <f>'MLK1-3'!E29</f>
        <v>99</v>
      </c>
      <c r="AS31" s="589">
        <f>'MLK1-3'!F29</f>
        <v>99</v>
      </c>
      <c r="AT31" s="589">
        <f>'MLK1-3'!G29</f>
        <v>99</v>
      </c>
      <c r="AU31" s="583">
        <f>'MLK1-3'!T29</f>
        <v>83</v>
      </c>
      <c r="AV31" s="583">
        <f>'MLK1-3'!U29</f>
        <v>74.5</v>
      </c>
      <c r="AW31" s="583">
        <f>'MLK1-3'!V29</f>
        <v>0</v>
      </c>
      <c r="AX31" s="589">
        <f>'MLK2-3'!E29</f>
        <v>99</v>
      </c>
      <c r="AY31" s="589">
        <f>'MLK2-3'!F29</f>
        <v>99</v>
      </c>
      <c r="AZ31" s="589">
        <f>'MLK2-3'!G29</f>
        <v>99</v>
      </c>
      <c r="BA31" s="583">
        <f>'MLK2-3'!S29</f>
        <v>83</v>
      </c>
      <c r="BB31" s="583">
        <f>'MLK2-3'!T29</f>
        <v>74.5</v>
      </c>
      <c r="BC31" s="583">
        <f>'MLK2-3'!U29</f>
        <v>0</v>
      </c>
      <c r="BD31" s="589">
        <f>'MLK3-3'!E29</f>
        <v>99</v>
      </c>
      <c r="BE31" s="589">
        <f>'MLK3-3'!F29</f>
        <v>99</v>
      </c>
      <c r="BF31" s="583">
        <f>'MLK3-3'!S29</f>
        <v>83</v>
      </c>
      <c r="BG31" s="583">
        <f>'MLK3-3'!T29</f>
        <v>74.5</v>
      </c>
      <c r="BH31" s="471"/>
    </row>
    <row r="32" spans="1:60" ht="15.75">
      <c r="A32" s="191">
        <v>26</v>
      </c>
      <c r="B32" s="529">
        <f>SISWA!B31</f>
        <v>0</v>
      </c>
      <c r="C32" s="572" t="str">
        <f>SISWA!C31</f>
        <v>Anak 26</v>
      </c>
      <c r="D32" s="596">
        <f>'PAI3'!E31</f>
        <v>99</v>
      </c>
      <c r="E32" s="596">
        <f>'PAI3'!F31</f>
        <v>99</v>
      </c>
      <c r="F32" s="596">
        <f>'PAI3'!G31</f>
        <v>99</v>
      </c>
      <c r="G32" s="597">
        <f>'PAI3'!R31</f>
        <v>99</v>
      </c>
      <c r="H32" s="597">
        <f>'PAI3'!S31</f>
        <v>99</v>
      </c>
      <c r="I32" s="597">
        <f>'PAI3'!T31</f>
        <v>99</v>
      </c>
      <c r="J32" s="589">
        <f>'PKN3'!F30</f>
        <v>99</v>
      </c>
      <c r="K32" s="589">
        <f>'PKN3'!G30</f>
        <v>99</v>
      </c>
      <c r="L32" s="589">
        <f>'PKN3'!M30</f>
        <v>74.5</v>
      </c>
      <c r="M32" s="589">
        <f>'PKN3'!N30</f>
        <v>74.5</v>
      </c>
      <c r="N32" s="589">
        <f>BIND3!F30</f>
        <v>99</v>
      </c>
      <c r="O32" s="589">
        <f>BIND3!G30</f>
        <v>99</v>
      </c>
      <c r="P32" s="589"/>
      <c r="Q32" s="589">
        <f>BIND3!U30</f>
        <v>99</v>
      </c>
      <c r="R32" s="589">
        <f>BIND3!V30</f>
        <v>99</v>
      </c>
      <c r="S32" s="589"/>
      <c r="T32" s="589">
        <f>'MTK3'!E30</f>
        <v>99</v>
      </c>
      <c r="U32" s="589">
        <f>'MTK3'!F30</f>
        <v>99</v>
      </c>
      <c r="V32" s="589">
        <f>'MTK3'!G30</f>
        <v>99</v>
      </c>
      <c r="W32" s="583">
        <f>'MTK3'!W30</f>
        <v>99</v>
      </c>
      <c r="X32" s="583">
        <f>'MTK3'!X30</f>
        <v>74.5</v>
      </c>
      <c r="Y32" s="583">
        <f>'MTK3'!Y30</f>
        <v>99</v>
      </c>
      <c r="Z32" s="589">
        <f>'IPA3'!E30</f>
        <v>99</v>
      </c>
      <c r="AA32" s="589">
        <f>'IPA3'!F30</f>
        <v>99</v>
      </c>
      <c r="AB32" s="589">
        <f>'IPA3'!R30</f>
        <v>99</v>
      </c>
      <c r="AC32" s="589">
        <f>'IPA3'!S30</f>
        <v>99</v>
      </c>
      <c r="AD32" s="589">
        <f>'IPS3'!E30</f>
        <v>99</v>
      </c>
      <c r="AE32" s="589">
        <f>'IPS3'!F30</f>
        <v>99</v>
      </c>
      <c r="AF32" s="589">
        <f>'IPS3'!R30</f>
        <v>99</v>
      </c>
      <c r="AG32" s="589">
        <f>'IPS3'!S30</f>
        <v>99</v>
      </c>
      <c r="AH32" s="589">
        <f>SBDP3!F30</f>
        <v>99</v>
      </c>
      <c r="AI32" s="589">
        <f>SBDP3!G30</f>
        <v>99</v>
      </c>
      <c r="AJ32" s="589">
        <f>SBDP3!H30</f>
        <v>99</v>
      </c>
      <c r="AK32" s="589">
        <f>SBDP3!S30</f>
        <v>99</v>
      </c>
      <c r="AL32" s="589">
        <f>SBDP3!T30</f>
        <v>99</v>
      </c>
      <c r="AM32" s="589">
        <f>SBDP3!U30</f>
        <v>99</v>
      </c>
      <c r="AN32" s="589">
        <f>PJOK3!E30</f>
        <v>99</v>
      </c>
      <c r="AO32" s="589">
        <f>PJOK3!F30</f>
        <v>99</v>
      </c>
      <c r="AP32" s="583">
        <f>PJOK3!R30</f>
        <v>74.5</v>
      </c>
      <c r="AQ32" s="583">
        <f>PJOK3!S30</f>
        <v>74.5</v>
      </c>
      <c r="AR32" s="589">
        <f>'MLK1-3'!E30</f>
        <v>99</v>
      </c>
      <c r="AS32" s="589">
        <f>'MLK1-3'!F30</f>
        <v>99</v>
      </c>
      <c r="AT32" s="589">
        <f>'MLK1-3'!G30</f>
        <v>99</v>
      </c>
      <c r="AU32" s="583">
        <f>'MLK1-3'!T30</f>
        <v>74.5</v>
      </c>
      <c r="AV32" s="583">
        <f>'MLK1-3'!U30</f>
        <v>74.5</v>
      </c>
      <c r="AW32" s="583">
        <f>'MLK1-3'!V30</f>
        <v>0</v>
      </c>
      <c r="AX32" s="589">
        <f>'MLK2-3'!E30</f>
        <v>99</v>
      </c>
      <c r="AY32" s="589">
        <f>'MLK2-3'!F30</f>
        <v>99</v>
      </c>
      <c r="AZ32" s="589">
        <f>'MLK2-3'!G30</f>
        <v>99</v>
      </c>
      <c r="BA32" s="583">
        <f>'MLK2-3'!S30</f>
        <v>74.5</v>
      </c>
      <c r="BB32" s="583">
        <f>'MLK2-3'!T30</f>
        <v>74.5</v>
      </c>
      <c r="BC32" s="583">
        <f>'MLK2-3'!U30</f>
        <v>0</v>
      </c>
      <c r="BD32" s="589">
        <f>'MLK3-3'!E30</f>
        <v>99</v>
      </c>
      <c r="BE32" s="589">
        <f>'MLK3-3'!F30</f>
        <v>99</v>
      </c>
      <c r="BF32" s="583">
        <f>'MLK3-3'!S30</f>
        <v>74.5</v>
      </c>
      <c r="BG32" s="583">
        <f>'MLK3-3'!T30</f>
        <v>74.5</v>
      </c>
      <c r="BH32" s="471"/>
    </row>
    <row r="33" spans="1:60" ht="15.75">
      <c r="A33" s="191">
        <v>27</v>
      </c>
      <c r="B33" s="529">
        <f>SISWA!B32</f>
        <v>0</v>
      </c>
      <c r="C33" s="572" t="str">
        <f>SISWA!C32</f>
        <v>Anak 27</v>
      </c>
      <c r="D33" s="596">
        <f>'PAI3'!E32</f>
        <v>99</v>
      </c>
      <c r="E33" s="596">
        <f>'PAI3'!F32</f>
        <v>99</v>
      </c>
      <c r="F33" s="596">
        <f>'PAI3'!G32</f>
        <v>99</v>
      </c>
      <c r="G33" s="597">
        <f>'PAI3'!R32</f>
        <v>99</v>
      </c>
      <c r="H33" s="597">
        <f>'PAI3'!S32</f>
        <v>99</v>
      </c>
      <c r="I33" s="597">
        <f>'PAI3'!T32</f>
        <v>99</v>
      </c>
      <c r="J33" s="589">
        <f>'PKN3'!F31</f>
        <v>99</v>
      </c>
      <c r="K33" s="589">
        <f>'PKN3'!G31</f>
        <v>99</v>
      </c>
      <c r="L33" s="589">
        <f>'PKN3'!M31</f>
        <v>74.5</v>
      </c>
      <c r="M33" s="589">
        <f>'PKN3'!N31</f>
        <v>74.5</v>
      </c>
      <c r="N33" s="589">
        <f>BIND3!F31</f>
        <v>99</v>
      </c>
      <c r="O33" s="589">
        <f>BIND3!G31</f>
        <v>99</v>
      </c>
      <c r="P33" s="589"/>
      <c r="Q33" s="589">
        <f>BIND3!U31</f>
        <v>99</v>
      </c>
      <c r="R33" s="589">
        <f>BIND3!V31</f>
        <v>99</v>
      </c>
      <c r="S33" s="589"/>
      <c r="T33" s="589">
        <f>'MTK3'!E31</f>
        <v>99</v>
      </c>
      <c r="U33" s="589">
        <f>'MTK3'!F31</f>
        <v>99</v>
      </c>
      <c r="V33" s="589">
        <f>'MTK3'!G31</f>
        <v>99</v>
      </c>
      <c r="W33" s="583">
        <f>'MTK3'!W31</f>
        <v>99</v>
      </c>
      <c r="X33" s="583">
        <f>'MTK3'!X31</f>
        <v>74.5</v>
      </c>
      <c r="Y33" s="583">
        <f>'MTK3'!Y31</f>
        <v>99</v>
      </c>
      <c r="Z33" s="589">
        <f>'IPA3'!E31</f>
        <v>99</v>
      </c>
      <c r="AA33" s="589">
        <f>'IPA3'!F31</f>
        <v>99</v>
      </c>
      <c r="AB33" s="589">
        <f>'IPA3'!R31</f>
        <v>99</v>
      </c>
      <c r="AC33" s="589">
        <f>'IPA3'!S31</f>
        <v>99</v>
      </c>
      <c r="AD33" s="589">
        <f>'IPS3'!E31</f>
        <v>99</v>
      </c>
      <c r="AE33" s="589">
        <f>'IPS3'!F31</f>
        <v>99</v>
      </c>
      <c r="AF33" s="589">
        <f>'IPS3'!R31</f>
        <v>99</v>
      </c>
      <c r="AG33" s="589">
        <f>'IPS3'!S31</f>
        <v>99</v>
      </c>
      <c r="AH33" s="589">
        <f>SBDP3!F31</f>
        <v>99</v>
      </c>
      <c r="AI33" s="589">
        <f>SBDP3!G31</f>
        <v>99</v>
      </c>
      <c r="AJ33" s="589">
        <f>SBDP3!H31</f>
        <v>99</v>
      </c>
      <c r="AK33" s="589">
        <f>SBDP3!S31</f>
        <v>99</v>
      </c>
      <c r="AL33" s="589">
        <f>SBDP3!T31</f>
        <v>99</v>
      </c>
      <c r="AM33" s="589">
        <f>SBDP3!U31</f>
        <v>99</v>
      </c>
      <c r="AN33" s="589">
        <f>PJOK3!E31</f>
        <v>99</v>
      </c>
      <c r="AO33" s="589">
        <f>PJOK3!F31</f>
        <v>99</v>
      </c>
      <c r="AP33" s="583">
        <f>PJOK3!R31</f>
        <v>74.5</v>
      </c>
      <c r="AQ33" s="583">
        <f>PJOK3!S31</f>
        <v>74.5</v>
      </c>
      <c r="AR33" s="589">
        <f>'MLK1-3'!E31</f>
        <v>99</v>
      </c>
      <c r="AS33" s="589">
        <f>'MLK1-3'!F31</f>
        <v>99</v>
      </c>
      <c r="AT33" s="589">
        <f>'MLK1-3'!G31</f>
        <v>99</v>
      </c>
      <c r="AU33" s="583">
        <f>'MLK1-3'!T31</f>
        <v>74.5</v>
      </c>
      <c r="AV33" s="583">
        <f>'MLK1-3'!U31</f>
        <v>74.5</v>
      </c>
      <c r="AW33" s="583">
        <f>'MLK1-3'!V31</f>
        <v>0</v>
      </c>
      <c r="AX33" s="589">
        <f>'MLK2-3'!E31</f>
        <v>99</v>
      </c>
      <c r="AY33" s="589">
        <f>'MLK2-3'!F31</f>
        <v>99</v>
      </c>
      <c r="AZ33" s="589">
        <f>'MLK2-3'!G31</f>
        <v>99</v>
      </c>
      <c r="BA33" s="583">
        <f>'MLK2-3'!S31</f>
        <v>74.5</v>
      </c>
      <c r="BB33" s="583">
        <f>'MLK2-3'!T31</f>
        <v>74.5</v>
      </c>
      <c r="BC33" s="583">
        <f>'MLK2-3'!U31</f>
        <v>0</v>
      </c>
      <c r="BD33" s="589">
        <f>'MLK3-3'!E31</f>
        <v>99</v>
      </c>
      <c r="BE33" s="589">
        <f>'MLK3-3'!F31</f>
        <v>99</v>
      </c>
      <c r="BF33" s="583">
        <f>'MLK3-3'!S31</f>
        <v>74.5</v>
      </c>
      <c r="BG33" s="583">
        <f>'MLK3-3'!T31</f>
        <v>74.5</v>
      </c>
      <c r="BH33" s="471"/>
    </row>
    <row r="34" spans="1:60" ht="15.75">
      <c r="A34" s="191">
        <v>28</v>
      </c>
      <c r="B34" s="529">
        <f>SISWA!B33</f>
        <v>0</v>
      </c>
      <c r="C34" s="572" t="str">
        <f>SISWA!C33</f>
        <v>Anak 28</v>
      </c>
      <c r="D34" s="596">
        <f>'PAI3'!E33</f>
        <v>99</v>
      </c>
      <c r="E34" s="596">
        <f>'PAI3'!F33</f>
        <v>99</v>
      </c>
      <c r="F34" s="596">
        <f>'PAI3'!G33</f>
        <v>99</v>
      </c>
      <c r="G34" s="597">
        <f>'PAI3'!R33</f>
        <v>99</v>
      </c>
      <c r="H34" s="597">
        <f>'PAI3'!S33</f>
        <v>99</v>
      </c>
      <c r="I34" s="597">
        <f>'PAI3'!T33</f>
        <v>99</v>
      </c>
      <c r="J34" s="589">
        <f>'PKN3'!F32</f>
        <v>99</v>
      </c>
      <c r="K34" s="589">
        <f>'PKN3'!G32</f>
        <v>99</v>
      </c>
      <c r="L34" s="589">
        <f>'PKN3'!M32</f>
        <v>74.5</v>
      </c>
      <c r="M34" s="589">
        <f>'PKN3'!N32</f>
        <v>84</v>
      </c>
      <c r="N34" s="589">
        <f>BIND3!F32</f>
        <v>99</v>
      </c>
      <c r="O34" s="589">
        <f>BIND3!G32</f>
        <v>99</v>
      </c>
      <c r="P34" s="589"/>
      <c r="Q34" s="589">
        <f>BIND3!U32</f>
        <v>99</v>
      </c>
      <c r="R34" s="589">
        <f>BIND3!V32</f>
        <v>99</v>
      </c>
      <c r="S34" s="589"/>
      <c r="T34" s="589">
        <f>'MTK3'!E32</f>
        <v>99</v>
      </c>
      <c r="U34" s="589">
        <f>'MTK3'!F32</f>
        <v>99</v>
      </c>
      <c r="V34" s="589">
        <f>'MTK3'!G32</f>
        <v>99</v>
      </c>
      <c r="W34" s="583">
        <f>'MTK3'!W32</f>
        <v>99</v>
      </c>
      <c r="X34" s="583">
        <f>'MTK3'!X32</f>
        <v>74.5</v>
      </c>
      <c r="Y34" s="583">
        <f>'MTK3'!Y32</f>
        <v>99</v>
      </c>
      <c r="Z34" s="589">
        <f>'IPA3'!E32</f>
        <v>99</v>
      </c>
      <c r="AA34" s="589">
        <f>'IPA3'!F32</f>
        <v>99</v>
      </c>
      <c r="AB34" s="589">
        <f>'IPA3'!R32</f>
        <v>99</v>
      </c>
      <c r="AC34" s="589">
        <f>'IPA3'!S32</f>
        <v>99</v>
      </c>
      <c r="AD34" s="589">
        <f>'IPS3'!E32</f>
        <v>99</v>
      </c>
      <c r="AE34" s="589">
        <f>'IPS3'!F32</f>
        <v>99</v>
      </c>
      <c r="AF34" s="589">
        <f>'IPS3'!R32</f>
        <v>99</v>
      </c>
      <c r="AG34" s="589">
        <f>'IPS3'!S32</f>
        <v>99</v>
      </c>
      <c r="AH34" s="589">
        <f>SBDP3!F32</f>
        <v>99</v>
      </c>
      <c r="AI34" s="589">
        <f>SBDP3!G32</f>
        <v>99</v>
      </c>
      <c r="AJ34" s="589">
        <f>SBDP3!H32</f>
        <v>99</v>
      </c>
      <c r="AK34" s="589">
        <f>SBDP3!S32</f>
        <v>99</v>
      </c>
      <c r="AL34" s="589">
        <f>SBDP3!T32</f>
        <v>99</v>
      </c>
      <c r="AM34" s="589">
        <f>SBDP3!U32</f>
        <v>99</v>
      </c>
      <c r="AN34" s="589">
        <f>PJOK3!E32</f>
        <v>99</v>
      </c>
      <c r="AO34" s="589">
        <f>PJOK3!F32</f>
        <v>99</v>
      </c>
      <c r="AP34" s="583">
        <f>PJOK3!R32</f>
        <v>74.5</v>
      </c>
      <c r="AQ34" s="583">
        <f>PJOK3!S32</f>
        <v>84</v>
      </c>
      <c r="AR34" s="589">
        <f>'MLK1-3'!E32</f>
        <v>99</v>
      </c>
      <c r="AS34" s="589">
        <f>'MLK1-3'!F32</f>
        <v>99</v>
      </c>
      <c r="AT34" s="589">
        <f>'MLK1-3'!G32</f>
        <v>99</v>
      </c>
      <c r="AU34" s="583">
        <f>'MLK1-3'!T32</f>
        <v>74.5</v>
      </c>
      <c r="AV34" s="583">
        <f>'MLK1-3'!U32</f>
        <v>84</v>
      </c>
      <c r="AW34" s="583">
        <f>'MLK1-3'!V32</f>
        <v>0</v>
      </c>
      <c r="AX34" s="589">
        <f>'MLK2-3'!E32</f>
        <v>99</v>
      </c>
      <c r="AY34" s="589">
        <f>'MLK2-3'!F32</f>
        <v>99</v>
      </c>
      <c r="AZ34" s="589">
        <f>'MLK2-3'!G32</f>
        <v>99</v>
      </c>
      <c r="BA34" s="583">
        <f>'MLK2-3'!S32</f>
        <v>74.5</v>
      </c>
      <c r="BB34" s="583">
        <f>'MLK2-3'!T32</f>
        <v>84</v>
      </c>
      <c r="BC34" s="583">
        <f>'MLK2-3'!U32</f>
        <v>0</v>
      </c>
      <c r="BD34" s="589">
        <f>'MLK3-3'!E32</f>
        <v>99</v>
      </c>
      <c r="BE34" s="589">
        <f>'MLK3-3'!F32</f>
        <v>99</v>
      </c>
      <c r="BF34" s="583">
        <f>'MLK3-3'!S32</f>
        <v>74.5</v>
      </c>
      <c r="BG34" s="583">
        <f>'MLK3-3'!T32</f>
        <v>84</v>
      </c>
      <c r="BH34" s="471"/>
    </row>
    <row r="35" spans="1:60" ht="15.75">
      <c r="A35" s="191">
        <v>29</v>
      </c>
      <c r="B35" s="529">
        <f>SISWA!B34</f>
        <v>0</v>
      </c>
      <c r="C35" s="572" t="str">
        <f>SISWA!C34</f>
        <v>Anak 29</v>
      </c>
      <c r="D35" s="596">
        <f>'PAI3'!E34</f>
        <v>99</v>
      </c>
      <c r="E35" s="596">
        <f>'PAI3'!F34</f>
        <v>99</v>
      </c>
      <c r="F35" s="596">
        <f>'PAI3'!G34</f>
        <v>99</v>
      </c>
      <c r="G35" s="597">
        <f>'PAI3'!R34</f>
        <v>99</v>
      </c>
      <c r="H35" s="597">
        <f>'PAI3'!S34</f>
        <v>99</v>
      </c>
      <c r="I35" s="597">
        <f>'PAI3'!T34</f>
        <v>99</v>
      </c>
      <c r="J35" s="589">
        <f>'PKN3'!F33</f>
        <v>99</v>
      </c>
      <c r="K35" s="589">
        <f>'PKN3'!G33</f>
        <v>99</v>
      </c>
      <c r="L35" s="589">
        <f>'PKN3'!M33</f>
        <v>84</v>
      </c>
      <c r="M35" s="589">
        <f>'PKN3'!N33</f>
        <v>68.75</v>
      </c>
      <c r="N35" s="589">
        <f>BIND3!F33</f>
        <v>99</v>
      </c>
      <c r="O35" s="589">
        <f>BIND3!G33</f>
        <v>99</v>
      </c>
      <c r="P35" s="589"/>
      <c r="Q35" s="589">
        <f>BIND3!U33</f>
        <v>99</v>
      </c>
      <c r="R35" s="589">
        <f>BIND3!V33</f>
        <v>99</v>
      </c>
      <c r="S35" s="589"/>
      <c r="T35" s="589">
        <f>'MTK3'!E33</f>
        <v>99</v>
      </c>
      <c r="U35" s="589">
        <f>'MTK3'!F33</f>
        <v>99</v>
      </c>
      <c r="V35" s="589">
        <f>'MTK3'!G33</f>
        <v>99</v>
      </c>
      <c r="W35" s="583">
        <f>'MTK3'!W33</f>
        <v>99</v>
      </c>
      <c r="X35" s="583">
        <f>'MTK3'!X33</f>
        <v>84</v>
      </c>
      <c r="Y35" s="583">
        <f>'MTK3'!Y33</f>
        <v>99</v>
      </c>
      <c r="Z35" s="589">
        <f>'IPA3'!E33</f>
        <v>99</v>
      </c>
      <c r="AA35" s="589">
        <f>'IPA3'!F33</f>
        <v>99</v>
      </c>
      <c r="AB35" s="589">
        <f>'IPA3'!R33</f>
        <v>99</v>
      </c>
      <c r="AC35" s="589">
        <f>'IPA3'!S33</f>
        <v>99</v>
      </c>
      <c r="AD35" s="589">
        <f>'IPS3'!E33</f>
        <v>99</v>
      </c>
      <c r="AE35" s="589">
        <f>'IPS3'!F33</f>
        <v>99</v>
      </c>
      <c r="AF35" s="589">
        <f>'IPS3'!R33</f>
        <v>99</v>
      </c>
      <c r="AG35" s="589">
        <f>'IPS3'!S33</f>
        <v>99</v>
      </c>
      <c r="AH35" s="589">
        <f>SBDP3!F33</f>
        <v>99</v>
      </c>
      <c r="AI35" s="589">
        <f>SBDP3!G33</f>
        <v>99</v>
      </c>
      <c r="AJ35" s="589">
        <f>SBDP3!H33</f>
        <v>99</v>
      </c>
      <c r="AK35" s="589">
        <f>SBDP3!S33</f>
        <v>99</v>
      </c>
      <c r="AL35" s="589">
        <f>SBDP3!T33</f>
        <v>99</v>
      </c>
      <c r="AM35" s="589">
        <f>SBDP3!U33</f>
        <v>99</v>
      </c>
      <c r="AN35" s="589">
        <f>PJOK3!E33</f>
        <v>99</v>
      </c>
      <c r="AO35" s="589">
        <f>PJOK3!F33</f>
        <v>99</v>
      </c>
      <c r="AP35" s="583">
        <f>PJOK3!R33</f>
        <v>84</v>
      </c>
      <c r="AQ35" s="583">
        <f>PJOK3!S33</f>
        <v>68.75</v>
      </c>
      <c r="AR35" s="589">
        <f>'MLK1-3'!E33</f>
        <v>99</v>
      </c>
      <c r="AS35" s="589">
        <f>'MLK1-3'!F33</f>
        <v>99</v>
      </c>
      <c r="AT35" s="589">
        <f>'MLK1-3'!G33</f>
        <v>99</v>
      </c>
      <c r="AU35" s="583">
        <f>'MLK1-3'!T33</f>
        <v>84</v>
      </c>
      <c r="AV35" s="583">
        <f>'MLK1-3'!U33</f>
        <v>68.75</v>
      </c>
      <c r="AW35" s="583">
        <f>'MLK1-3'!V33</f>
        <v>0</v>
      </c>
      <c r="AX35" s="589">
        <f>'MLK2-3'!E33</f>
        <v>99</v>
      </c>
      <c r="AY35" s="589">
        <f>'MLK2-3'!F33</f>
        <v>99</v>
      </c>
      <c r="AZ35" s="589">
        <f>'MLK2-3'!G33</f>
        <v>99</v>
      </c>
      <c r="BA35" s="583">
        <f>'MLK2-3'!S33</f>
        <v>84</v>
      </c>
      <c r="BB35" s="583">
        <f>'MLK2-3'!T33</f>
        <v>68.75</v>
      </c>
      <c r="BC35" s="583">
        <f>'MLK2-3'!U33</f>
        <v>0</v>
      </c>
      <c r="BD35" s="589">
        <f>'MLK3-3'!E33</f>
        <v>99</v>
      </c>
      <c r="BE35" s="589">
        <f>'MLK3-3'!F33</f>
        <v>99</v>
      </c>
      <c r="BF35" s="583">
        <f>'MLK3-3'!S33</f>
        <v>84</v>
      </c>
      <c r="BG35" s="583">
        <f>'MLK3-3'!T33</f>
        <v>68.75</v>
      </c>
      <c r="BH35" s="471"/>
    </row>
    <row r="36" spans="1:60" ht="15.75">
      <c r="A36" s="191">
        <v>30</v>
      </c>
      <c r="B36" s="529">
        <f>SISWA!B35</f>
        <v>0</v>
      </c>
      <c r="C36" s="572" t="str">
        <f>SISWA!C35</f>
        <v>Anak 30</v>
      </c>
      <c r="D36" s="596">
        <f>'PAI3'!E35</f>
        <v>99</v>
      </c>
      <c r="E36" s="596">
        <f>'PAI3'!F35</f>
        <v>99</v>
      </c>
      <c r="F36" s="596">
        <f>'PAI3'!G35</f>
        <v>99</v>
      </c>
      <c r="G36" s="597">
        <f>'PAI3'!R35</f>
        <v>99</v>
      </c>
      <c r="H36" s="597">
        <f>'PAI3'!S35</f>
        <v>99</v>
      </c>
      <c r="I36" s="597">
        <f>'PAI3'!T35</f>
        <v>99</v>
      </c>
      <c r="J36" s="589">
        <f>'PKN3'!F34</f>
        <v>99</v>
      </c>
      <c r="K36" s="589">
        <f>'PKN3'!G34</f>
        <v>99</v>
      </c>
      <c r="L36" s="589">
        <f>'PKN3'!M34</f>
        <v>84.5</v>
      </c>
      <c r="M36" s="589">
        <f>'PKN3'!N34</f>
        <v>69.75</v>
      </c>
      <c r="N36" s="589">
        <f>BIND3!F34</f>
        <v>99</v>
      </c>
      <c r="O36" s="589">
        <f>BIND3!G34</f>
        <v>99</v>
      </c>
      <c r="P36" s="589"/>
      <c r="Q36" s="589">
        <f>BIND3!U34</f>
        <v>99</v>
      </c>
      <c r="R36" s="589">
        <f>BIND3!V34</f>
        <v>99</v>
      </c>
      <c r="S36" s="589"/>
      <c r="T36" s="589">
        <f>'MTK3'!E34</f>
        <v>99</v>
      </c>
      <c r="U36" s="589">
        <f>'MTK3'!F34</f>
        <v>99</v>
      </c>
      <c r="V36" s="589">
        <f>'MTK3'!G34</f>
        <v>99</v>
      </c>
      <c r="W36" s="583">
        <f>'MTK3'!W34</f>
        <v>99</v>
      </c>
      <c r="X36" s="583">
        <f>'MTK3'!X34</f>
        <v>84.5</v>
      </c>
      <c r="Y36" s="583">
        <f>'MTK3'!Y34</f>
        <v>99</v>
      </c>
      <c r="Z36" s="589">
        <f>'IPA3'!E34</f>
        <v>99</v>
      </c>
      <c r="AA36" s="589">
        <f>'IPA3'!F34</f>
        <v>99</v>
      </c>
      <c r="AB36" s="589">
        <f>'IPA3'!R34</f>
        <v>99</v>
      </c>
      <c r="AC36" s="589">
        <f>'IPA3'!S34</f>
        <v>99</v>
      </c>
      <c r="AD36" s="589">
        <f>'IPS3'!E34</f>
        <v>99</v>
      </c>
      <c r="AE36" s="589">
        <f>'IPS3'!F34</f>
        <v>99</v>
      </c>
      <c r="AF36" s="589">
        <f>'IPS3'!R34</f>
        <v>99</v>
      </c>
      <c r="AG36" s="589">
        <f>'IPS3'!S34</f>
        <v>99</v>
      </c>
      <c r="AH36" s="589">
        <f>SBDP3!F34</f>
        <v>99</v>
      </c>
      <c r="AI36" s="589">
        <f>SBDP3!G34</f>
        <v>99</v>
      </c>
      <c r="AJ36" s="589">
        <f>SBDP3!H34</f>
        <v>99</v>
      </c>
      <c r="AK36" s="589">
        <f>SBDP3!S34</f>
        <v>99</v>
      </c>
      <c r="AL36" s="589">
        <f>SBDP3!T34</f>
        <v>99</v>
      </c>
      <c r="AM36" s="589">
        <f>SBDP3!U34</f>
        <v>99</v>
      </c>
      <c r="AN36" s="589">
        <f>PJOK3!E34</f>
        <v>99</v>
      </c>
      <c r="AO36" s="589">
        <f>PJOK3!F34</f>
        <v>99</v>
      </c>
      <c r="AP36" s="583">
        <f>PJOK3!R34</f>
        <v>84.5</v>
      </c>
      <c r="AQ36" s="583">
        <f>PJOK3!S34</f>
        <v>69.75</v>
      </c>
      <c r="AR36" s="589">
        <f>'MLK1-3'!E34</f>
        <v>99</v>
      </c>
      <c r="AS36" s="589">
        <f>'MLK1-3'!F34</f>
        <v>99</v>
      </c>
      <c r="AT36" s="589">
        <f>'MLK1-3'!G34</f>
        <v>99</v>
      </c>
      <c r="AU36" s="583">
        <f>'MLK1-3'!T34</f>
        <v>84.5</v>
      </c>
      <c r="AV36" s="583">
        <f>'MLK1-3'!U34</f>
        <v>69.75</v>
      </c>
      <c r="AW36" s="583">
        <f>'MLK1-3'!V34</f>
        <v>0</v>
      </c>
      <c r="AX36" s="589">
        <f>'MLK2-3'!E34</f>
        <v>99</v>
      </c>
      <c r="AY36" s="589">
        <f>'MLK2-3'!F34</f>
        <v>99</v>
      </c>
      <c r="AZ36" s="589">
        <f>'MLK2-3'!G34</f>
        <v>99</v>
      </c>
      <c r="BA36" s="583">
        <f>'MLK2-3'!S34</f>
        <v>84.5</v>
      </c>
      <c r="BB36" s="583">
        <f>'MLK2-3'!T34</f>
        <v>69.75</v>
      </c>
      <c r="BC36" s="583">
        <f>'MLK2-3'!U34</f>
        <v>0</v>
      </c>
      <c r="BD36" s="589">
        <f>'MLK3-3'!E34</f>
        <v>99</v>
      </c>
      <c r="BE36" s="589">
        <f>'MLK3-3'!F34</f>
        <v>99</v>
      </c>
      <c r="BF36" s="583">
        <f>'MLK3-3'!S34</f>
        <v>84.5</v>
      </c>
      <c r="BG36" s="583">
        <f>'MLK3-3'!T34</f>
        <v>69.75</v>
      </c>
      <c r="BH36" s="471"/>
    </row>
    <row r="37" spans="1:60" ht="15.75">
      <c r="A37" s="191">
        <v>31</v>
      </c>
      <c r="B37" s="529">
        <f>SISWA!B36</f>
        <v>0</v>
      </c>
      <c r="C37" s="572" t="str">
        <f>SISWA!C36</f>
        <v>Anak 31</v>
      </c>
      <c r="D37" s="596">
        <f>'PAI3'!E36</f>
        <v>99</v>
      </c>
      <c r="E37" s="596">
        <f>'PAI3'!F36</f>
        <v>99</v>
      </c>
      <c r="F37" s="596">
        <f>'PAI3'!G36</f>
        <v>99</v>
      </c>
      <c r="G37" s="597">
        <f>'PAI3'!R36</f>
        <v>99</v>
      </c>
      <c r="H37" s="597">
        <f>'PAI3'!S36</f>
        <v>99</v>
      </c>
      <c r="I37" s="597">
        <f>'PAI3'!T36</f>
        <v>99</v>
      </c>
      <c r="J37" s="589">
        <f>'PKN3'!F35</f>
        <v>99</v>
      </c>
      <c r="K37" s="589">
        <f>'PKN3'!G35</f>
        <v>99</v>
      </c>
      <c r="L37" s="589">
        <f>'PKN3'!M35</f>
        <v>72.5</v>
      </c>
      <c r="M37" s="589">
        <f>'PKN3'!N35</f>
        <v>77.25</v>
      </c>
      <c r="N37" s="589">
        <f>BIND3!F35</f>
        <v>99</v>
      </c>
      <c r="O37" s="589">
        <f>BIND3!G35</f>
        <v>99</v>
      </c>
      <c r="P37" s="589"/>
      <c r="Q37" s="589">
        <f>BIND3!U35</f>
        <v>99</v>
      </c>
      <c r="R37" s="589">
        <f>BIND3!V35</f>
        <v>99</v>
      </c>
      <c r="S37" s="589"/>
      <c r="T37" s="589">
        <f>'MTK3'!E35</f>
        <v>99</v>
      </c>
      <c r="U37" s="589">
        <f>'MTK3'!F35</f>
        <v>99</v>
      </c>
      <c r="V37" s="589">
        <f>'MTK3'!G35</f>
        <v>99</v>
      </c>
      <c r="W37" s="583">
        <f>'MTK3'!W35</f>
        <v>99</v>
      </c>
      <c r="X37" s="583">
        <f>'MTK3'!X35</f>
        <v>72.5</v>
      </c>
      <c r="Y37" s="583">
        <f>'MTK3'!Y35</f>
        <v>99</v>
      </c>
      <c r="Z37" s="589">
        <f>'IPA3'!E35</f>
        <v>99</v>
      </c>
      <c r="AA37" s="589">
        <f>'IPA3'!F35</f>
        <v>99</v>
      </c>
      <c r="AB37" s="589">
        <f>'IPA3'!R35</f>
        <v>99</v>
      </c>
      <c r="AC37" s="589">
        <f>'IPA3'!S35</f>
        <v>99</v>
      </c>
      <c r="AD37" s="589">
        <f>'IPS3'!E35</f>
        <v>99</v>
      </c>
      <c r="AE37" s="589">
        <f>'IPS3'!F35</f>
        <v>99</v>
      </c>
      <c r="AF37" s="589">
        <f>'IPS3'!R35</f>
        <v>99</v>
      </c>
      <c r="AG37" s="589">
        <f>'IPS3'!S35</f>
        <v>99</v>
      </c>
      <c r="AH37" s="589">
        <f>SBDP3!F35</f>
        <v>99</v>
      </c>
      <c r="AI37" s="589">
        <f>SBDP3!G35</f>
        <v>99</v>
      </c>
      <c r="AJ37" s="589">
        <f>SBDP3!H35</f>
        <v>99</v>
      </c>
      <c r="AK37" s="589">
        <f>SBDP3!S35</f>
        <v>99</v>
      </c>
      <c r="AL37" s="589">
        <f>SBDP3!T35</f>
        <v>99</v>
      </c>
      <c r="AM37" s="589">
        <f>SBDP3!U35</f>
        <v>99</v>
      </c>
      <c r="AN37" s="589">
        <f>PJOK3!E35</f>
        <v>99</v>
      </c>
      <c r="AO37" s="589">
        <f>PJOK3!F35</f>
        <v>99</v>
      </c>
      <c r="AP37" s="583">
        <f>PJOK3!R35</f>
        <v>72.5</v>
      </c>
      <c r="AQ37" s="583">
        <f>PJOK3!S35</f>
        <v>77.25</v>
      </c>
      <c r="AR37" s="589">
        <f>'MLK1-3'!E35</f>
        <v>99</v>
      </c>
      <c r="AS37" s="589">
        <f>'MLK1-3'!F35</f>
        <v>99</v>
      </c>
      <c r="AT37" s="589">
        <f>'MLK1-3'!G35</f>
        <v>99</v>
      </c>
      <c r="AU37" s="583">
        <f>'MLK1-3'!T35</f>
        <v>72.5</v>
      </c>
      <c r="AV37" s="583">
        <f>'MLK1-3'!U35</f>
        <v>77.25</v>
      </c>
      <c r="AW37" s="583">
        <f>'MLK1-3'!V35</f>
        <v>0</v>
      </c>
      <c r="AX37" s="589">
        <f>'MLK2-3'!E35</f>
        <v>99</v>
      </c>
      <c r="AY37" s="589">
        <f>'MLK2-3'!F35</f>
        <v>99</v>
      </c>
      <c r="AZ37" s="589">
        <f>'MLK2-3'!G35</f>
        <v>99</v>
      </c>
      <c r="BA37" s="583">
        <f>'MLK2-3'!S35</f>
        <v>72.5</v>
      </c>
      <c r="BB37" s="583">
        <f>'MLK2-3'!T35</f>
        <v>77.25</v>
      </c>
      <c r="BC37" s="583">
        <f>'MLK2-3'!U35</f>
        <v>0</v>
      </c>
      <c r="BD37" s="589">
        <f>'MLK3-3'!E35</f>
        <v>99</v>
      </c>
      <c r="BE37" s="589">
        <f>'MLK3-3'!F35</f>
        <v>99</v>
      </c>
      <c r="BF37" s="583">
        <f>'MLK3-3'!S35</f>
        <v>72.5</v>
      </c>
      <c r="BG37" s="583">
        <f>'MLK3-3'!T35</f>
        <v>77.25</v>
      </c>
      <c r="BH37" s="471"/>
    </row>
    <row r="38" spans="1:60" ht="15.75">
      <c r="A38" s="191">
        <v>32</v>
      </c>
      <c r="B38" s="529">
        <f>SISWA!B37</f>
        <v>0</v>
      </c>
      <c r="C38" s="572" t="str">
        <f>SISWA!C37</f>
        <v>Anak 32</v>
      </c>
      <c r="D38" s="596">
        <f>'PAI3'!E37</f>
        <v>99</v>
      </c>
      <c r="E38" s="596">
        <f>'PAI3'!F37</f>
        <v>99</v>
      </c>
      <c r="F38" s="596">
        <f>'PAI3'!G37</f>
        <v>99</v>
      </c>
      <c r="G38" s="597">
        <f>'PAI3'!R37</f>
        <v>99</v>
      </c>
      <c r="H38" s="597">
        <f>'PAI3'!S37</f>
        <v>99</v>
      </c>
      <c r="I38" s="597">
        <f>'PAI3'!T37</f>
        <v>99</v>
      </c>
      <c r="J38" s="589">
        <f>'PKN3'!F36</f>
        <v>99</v>
      </c>
      <c r="K38" s="589">
        <f>'PKN3'!G36</f>
        <v>99</v>
      </c>
      <c r="L38" s="589">
        <f>'PKN3'!M36</f>
        <v>80</v>
      </c>
      <c r="M38" s="589">
        <f>'PKN3'!N36</f>
        <v>71.75</v>
      </c>
      <c r="N38" s="589">
        <f>BIND3!F36</f>
        <v>99</v>
      </c>
      <c r="O38" s="589">
        <f>BIND3!G36</f>
        <v>99</v>
      </c>
      <c r="P38" s="589"/>
      <c r="Q38" s="589">
        <f>BIND3!U36</f>
        <v>99</v>
      </c>
      <c r="R38" s="589">
        <f>BIND3!V36</f>
        <v>99</v>
      </c>
      <c r="S38" s="589"/>
      <c r="T38" s="589">
        <f>'MTK3'!E36</f>
        <v>99</v>
      </c>
      <c r="U38" s="589">
        <f>'MTK3'!F36</f>
        <v>99</v>
      </c>
      <c r="V38" s="589">
        <f>'MTK3'!G36</f>
        <v>99</v>
      </c>
      <c r="W38" s="583">
        <f>'MTK3'!W36</f>
        <v>99</v>
      </c>
      <c r="X38" s="583">
        <f>'MTK3'!X36</f>
        <v>80</v>
      </c>
      <c r="Y38" s="583">
        <f>'MTK3'!Y36</f>
        <v>99</v>
      </c>
      <c r="Z38" s="589">
        <f>'IPA3'!E36</f>
        <v>99</v>
      </c>
      <c r="AA38" s="589">
        <f>'IPA3'!F36</f>
        <v>99</v>
      </c>
      <c r="AB38" s="589">
        <f>'IPA3'!R36</f>
        <v>99</v>
      </c>
      <c r="AC38" s="589">
        <f>'IPA3'!S36</f>
        <v>99</v>
      </c>
      <c r="AD38" s="589">
        <f>'IPS3'!E36</f>
        <v>99</v>
      </c>
      <c r="AE38" s="589">
        <f>'IPS3'!F36</f>
        <v>99</v>
      </c>
      <c r="AF38" s="589">
        <f>'IPS3'!R36</f>
        <v>99</v>
      </c>
      <c r="AG38" s="589">
        <f>'IPS3'!S36</f>
        <v>99</v>
      </c>
      <c r="AH38" s="589">
        <f>SBDP3!F36</f>
        <v>99</v>
      </c>
      <c r="AI38" s="589">
        <f>SBDP3!G36</f>
        <v>99</v>
      </c>
      <c r="AJ38" s="589">
        <f>SBDP3!H36</f>
        <v>99</v>
      </c>
      <c r="AK38" s="589">
        <f>SBDP3!S36</f>
        <v>99</v>
      </c>
      <c r="AL38" s="589">
        <f>SBDP3!T36</f>
        <v>99</v>
      </c>
      <c r="AM38" s="589">
        <f>SBDP3!U36</f>
        <v>99</v>
      </c>
      <c r="AN38" s="589">
        <f>PJOK3!E36</f>
        <v>99</v>
      </c>
      <c r="AO38" s="589">
        <f>PJOK3!F36</f>
        <v>99</v>
      </c>
      <c r="AP38" s="583">
        <f>PJOK3!R36</f>
        <v>80</v>
      </c>
      <c r="AQ38" s="583">
        <f>PJOK3!S36</f>
        <v>71.75</v>
      </c>
      <c r="AR38" s="589">
        <f>'MLK1-3'!E36</f>
        <v>99</v>
      </c>
      <c r="AS38" s="589">
        <f>'MLK1-3'!F36</f>
        <v>99</v>
      </c>
      <c r="AT38" s="589">
        <f>'MLK1-3'!G36</f>
        <v>99</v>
      </c>
      <c r="AU38" s="583">
        <f>'MLK1-3'!T36</f>
        <v>80</v>
      </c>
      <c r="AV38" s="583">
        <f>'MLK1-3'!U36</f>
        <v>71.75</v>
      </c>
      <c r="AW38" s="583">
        <f>'MLK1-3'!V36</f>
        <v>0</v>
      </c>
      <c r="AX38" s="589">
        <f>'MLK2-3'!E36</f>
        <v>99</v>
      </c>
      <c r="AY38" s="589">
        <f>'MLK2-3'!F36</f>
        <v>99</v>
      </c>
      <c r="AZ38" s="589">
        <f>'MLK2-3'!G36</f>
        <v>99</v>
      </c>
      <c r="BA38" s="583">
        <f>'MLK2-3'!S36</f>
        <v>80</v>
      </c>
      <c r="BB38" s="583">
        <f>'MLK2-3'!T36</f>
        <v>71.75</v>
      </c>
      <c r="BC38" s="583">
        <f>'MLK2-3'!U36</f>
        <v>0</v>
      </c>
      <c r="BD38" s="589">
        <f>'MLK3-3'!E36</f>
        <v>99</v>
      </c>
      <c r="BE38" s="589">
        <f>'MLK3-3'!F36</f>
        <v>99</v>
      </c>
      <c r="BF38" s="583">
        <f>'MLK3-3'!S36</f>
        <v>80</v>
      </c>
      <c r="BG38" s="583">
        <f>'MLK3-3'!T36</f>
        <v>71.75</v>
      </c>
      <c r="BH38" s="471"/>
    </row>
    <row r="39" spans="1:60" ht="15.75">
      <c r="A39" s="191">
        <v>33</v>
      </c>
      <c r="B39" s="529">
        <f>SISWA!B38</f>
        <v>0</v>
      </c>
      <c r="C39" s="572" t="str">
        <f>SISWA!C38</f>
        <v>Anak 33</v>
      </c>
      <c r="D39" s="596">
        <f>'PAI3'!E38</f>
        <v>99</v>
      </c>
      <c r="E39" s="596">
        <f>'PAI3'!F38</f>
        <v>99</v>
      </c>
      <c r="F39" s="596">
        <f>'PAI3'!G38</f>
        <v>99</v>
      </c>
      <c r="G39" s="597">
        <f>'PAI3'!R38</f>
        <v>99</v>
      </c>
      <c r="H39" s="597">
        <f>'PAI3'!S38</f>
        <v>76</v>
      </c>
      <c r="I39" s="597">
        <f>'PAI3'!T38</f>
        <v>88</v>
      </c>
      <c r="J39" s="589">
        <f>'PKN3'!F37</f>
        <v>99</v>
      </c>
      <c r="K39" s="589">
        <f>'PKN3'!G37</f>
        <v>99</v>
      </c>
      <c r="L39" s="589">
        <f>'PKN3'!M37</f>
        <v>79.5</v>
      </c>
      <c r="M39" s="589">
        <f>'PKN3'!N37</f>
        <v>76</v>
      </c>
      <c r="N39" s="589">
        <f>BIND3!F37</f>
        <v>99</v>
      </c>
      <c r="O39" s="589">
        <f>BIND3!G37</f>
        <v>99</v>
      </c>
      <c r="P39" s="589"/>
      <c r="Q39" s="589">
        <f>BIND3!U37</f>
        <v>99</v>
      </c>
      <c r="R39" s="589">
        <f>BIND3!V37</f>
        <v>99</v>
      </c>
      <c r="S39" s="589"/>
      <c r="T39" s="589">
        <f>'MTK3'!E37</f>
        <v>99</v>
      </c>
      <c r="U39" s="589">
        <f>'MTK3'!F37</f>
        <v>99</v>
      </c>
      <c r="V39" s="589">
        <f>'MTK3'!G37</f>
        <v>99</v>
      </c>
      <c r="W39" s="583">
        <f>'MTK3'!W37</f>
        <v>99</v>
      </c>
      <c r="X39" s="583">
        <f>'MTK3'!X37</f>
        <v>79.5</v>
      </c>
      <c r="Y39" s="583">
        <f>'MTK3'!Y37</f>
        <v>99</v>
      </c>
      <c r="Z39" s="589">
        <f>'IPA3'!E37</f>
        <v>99</v>
      </c>
      <c r="AA39" s="589">
        <f>'IPA3'!F37</f>
        <v>99</v>
      </c>
      <c r="AB39" s="589">
        <f>'IPA3'!R37</f>
        <v>99</v>
      </c>
      <c r="AC39" s="589">
        <f>'IPA3'!S37</f>
        <v>99</v>
      </c>
      <c r="AD39" s="589">
        <f>'IPS3'!E37</f>
        <v>99</v>
      </c>
      <c r="AE39" s="589">
        <f>'IPS3'!F37</f>
        <v>99</v>
      </c>
      <c r="AF39" s="589">
        <f>'IPS3'!R37</f>
        <v>99</v>
      </c>
      <c r="AG39" s="589">
        <f>'IPS3'!S37</f>
        <v>99</v>
      </c>
      <c r="AH39" s="589">
        <f>SBDP3!F37</f>
        <v>99</v>
      </c>
      <c r="AI39" s="589">
        <f>SBDP3!G37</f>
        <v>99</v>
      </c>
      <c r="AJ39" s="589">
        <f>SBDP3!H37</f>
        <v>99</v>
      </c>
      <c r="AK39" s="589">
        <f>SBDP3!S37</f>
        <v>99</v>
      </c>
      <c r="AL39" s="589">
        <f>SBDP3!T37</f>
        <v>99</v>
      </c>
      <c r="AM39" s="589">
        <f>SBDP3!U37</f>
        <v>99</v>
      </c>
      <c r="AN39" s="589">
        <f>PJOK3!E37</f>
        <v>99</v>
      </c>
      <c r="AO39" s="589">
        <f>PJOK3!F37</f>
        <v>99</v>
      </c>
      <c r="AP39" s="583">
        <f>PJOK3!R37</f>
        <v>79.5</v>
      </c>
      <c r="AQ39" s="583">
        <f>PJOK3!S37</f>
        <v>76</v>
      </c>
      <c r="AR39" s="589">
        <f>'MLK1-3'!E37</f>
        <v>99</v>
      </c>
      <c r="AS39" s="589">
        <f>'MLK1-3'!F37</f>
        <v>99</v>
      </c>
      <c r="AT39" s="589">
        <f>'MLK1-3'!G37</f>
        <v>99</v>
      </c>
      <c r="AU39" s="583">
        <f>'MLK1-3'!T37</f>
        <v>79.5</v>
      </c>
      <c r="AV39" s="583">
        <f>'MLK1-3'!U37</f>
        <v>76</v>
      </c>
      <c r="AW39" s="583">
        <f>'MLK1-3'!V37</f>
        <v>0</v>
      </c>
      <c r="AX39" s="589">
        <f>'MLK2-3'!E37</f>
        <v>99</v>
      </c>
      <c r="AY39" s="589">
        <f>'MLK2-3'!F37</f>
        <v>99</v>
      </c>
      <c r="AZ39" s="589">
        <f>'MLK2-3'!G37</f>
        <v>99</v>
      </c>
      <c r="BA39" s="583">
        <f>'MLK2-3'!S37</f>
        <v>79.5</v>
      </c>
      <c r="BB39" s="583">
        <f>'MLK2-3'!T37</f>
        <v>76</v>
      </c>
      <c r="BC39" s="583">
        <f>'MLK2-3'!U37</f>
        <v>0</v>
      </c>
      <c r="BD39" s="589">
        <f>'MLK3-3'!E37</f>
        <v>99</v>
      </c>
      <c r="BE39" s="589">
        <f>'MLK3-3'!F37</f>
        <v>99</v>
      </c>
      <c r="BF39" s="583">
        <f>'MLK3-3'!S37</f>
        <v>79.5</v>
      </c>
      <c r="BG39" s="583">
        <f>'MLK3-3'!T37</f>
        <v>76</v>
      </c>
      <c r="BH39" s="471"/>
    </row>
    <row r="40" spans="1:60" ht="15.75">
      <c r="A40" s="191">
        <v>34</v>
      </c>
      <c r="B40" s="529">
        <f>SISWA!B39</f>
        <v>0</v>
      </c>
      <c r="C40" s="572" t="str">
        <f>SISWA!C39</f>
        <v>Anak 34</v>
      </c>
      <c r="D40" s="596">
        <f>'PAI3'!E39</f>
        <v>99</v>
      </c>
      <c r="E40" s="596">
        <f>'PAI3'!F39</f>
        <v>99</v>
      </c>
      <c r="F40" s="596">
        <f>'PAI3'!G39</f>
        <v>99</v>
      </c>
      <c r="G40" s="597">
        <f>'PAI3'!R39</f>
        <v>99</v>
      </c>
      <c r="H40" s="597">
        <f>'PAI3'!S39</f>
        <v>99</v>
      </c>
      <c r="I40" s="597">
        <f>'PAI3'!T39</f>
        <v>99</v>
      </c>
      <c r="J40" s="589">
        <f>'PKN3'!F38</f>
        <v>99</v>
      </c>
      <c r="K40" s="589">
        <f>'PKN3'!G38</f>
        <v>99</v>
      </c>
      <c r="L40" s="589">
        <f>'PKN3'!M38</f>
        <v>79.5</v>
      </c>
      <c r="M40" s="589">
        <f>'PKN3'!N38</f>
        <v>82.75</v>
      </c>
      <c r="N40" s="589">
        <f>BIND3!F38</f>
        <v>99</v>
      </c>
      <c r="O40" s="589">
        <f>BIND3!G38</f>
        <v>99</v>
      </c>
      <c r="P40" s="589"/>
      <c r="Q40" s="589">
        <f>BIND3!U38</f>
        <v>99</v>
      </c>
      <c r="R40" s="589">
        <f>BIND3!V38</f>
        <v>99</v>
      </c>
      <c r="S40" s="589"/>
      <c r="T40" s="589">
        <f>'MTK3'!E38</f>
        <v>99</v>
      </c>
      <c r="U40" s="589">
        <f>'MTK3'!F38</f>
        <v>99</v>
      </c>
      <c r="V40" s="589">
        <f>'MTK3'!G38</f>
        <v>99</v>
      </c>
      <c r="W40" s="583">
        <f>'MTK3'!W38</f>
        <v>99</v>
      </c>
      <c r="X40" s="583">
        <f>'MTK3'!X38</f>
        <v>79.5</v>
      </c>
      <c r="Y40" s="583">
        <f>'MTK3'!Y38</f>
        <v>99</v>
      </c>
      <c r="Z40" s="589">
        <f>'IPA3'!E38</f>
        <v>99</v>
      </c>
      <c r="AA40" s="589">
        <f>'IPA3'!F38</f>
        <v>99</v>
      </c>
      <c r="AB40" s="589">
        <f>'IPA3'!R38</f>
        <v>99</v>
      </c>
      <c r="AC40" s="589">
        <f>'IPA3'!S38</f>
        <v>99</v>
      </c>
      <c r="AD40" s="589">
        <f>'IPS3'!E38</f>
        <v>99</v>
      </c>
      <c r="AE40" s="589">
        <f>'IPS3'!F38</f>
        <v>99</v>
      </c>
      <c r="AF40" s="589">
        <f>'IPS3'!R38</f>
        <v>99</v>
      </c>
      <c r="AG40" s="589">
        <f>'IPS3'!S38</f>
        <v>99</v>
      </c>
      <c r="AH40" s="589">
        <f>SBDP3!F38</f>
        <v>99</v>
      </c>
      <c r="AI40" s="589">
        <f>SBDP3!G38</f>
        <v>99</v>
      </c>
      <c r="AJ40" s="589">
        <f>SBDP3!H38</f>
        <v>99</v>
      </c>
      <c r="AK40" s="589">
        <f>SBDP3!S38</f>
        <v>99</v>
      </c>
      <c r="AL40" s="589">
        <f>SBDP3!T38</f>
        <v>99</v>
      </c>
      <c r="AM40" s="589">
        <f>SBDP3!U38</f>
        <v>99</v>
      </c>
      <c r="AN40" s="589">
        <f>PJOK3!E38</f>
        <v>99</v>
      </c>
      <c r="AO40" s="589">
        <f>PJOK3!F38</f>
        <v>99</v>
      </c>
      <c r="AP40" s="583">
        <f>PJOK3!R38</f>
        <v>79.5</v>
      </c>
      <c r="AQ40" s="583">
        <f>PJOK3!S38</f>
        <v>82.75</v>
      </c>
      <c r="AR40" s="589">
        <f>'MLK1-3'!E38</f>
        <v>99</v>
      </c>
      <c r="AS40" s="589">
        <f>'MLK1-3'!F38</f>
        <v>99</v>
      </c>
      <c r="AT40" s="589">
        <f>'MLK1-3'!G38</f>
        <v>99</v>
      </c>
      <c r="AU40" s="583">
        <f>'MLK1-3'!T38</f>
        <v>79.5</v>
      </c>
      <c r="AV40" s="583">
        <f>'MLK1-3'!U38</f>
        <v>82.75</v>
      </c>
      <c r="AW40" s="583">
        <f>'MLK1-3'!V38</f>
        <v>0</v>
      </c>
      <c r="AX40" s="589">
        <f>'MLK2-3'!E38</f>
        <v>99</v>
      </c>
      <c r="AY40" s="589">
        <f>'MLK2-3'!F38</f>
        <v>99</v>
      </c>
      <c r="AZ40" s="589">
        <f>'MLK2-3'!G38</f>
        <v>99</v>
      </c>
      <c r="BA40" s="583">
        <f>'MLK2-3'!S38</f>
        <v>79.5</v>
      </c>
      <c r="BB40" s="583">
        <f>'MLK2-3'!T38</f>
        <v>82.75</v>
      </c>
      <c r="BC40" s="583">
        <f>'MLK2-3'!U38</f>
        <v>0</v>
      </c>
      <c r="BD40" s="589">
        <f>'MLK3-3'!E38</f>
        <v>99</v>
      </c>
      <c r="BE40" s="589">
        <f>'MLK3-3'!F38</f>
        <v>99</v>
      </c>
      <c r="BF40" s="583">
        <f>'MLK3-3'!S38</f>
        <v>79.5</v>
      </c>
      <c r="BG40" s="583">
        <f>'MLK3-3'!T38</f>
        <v>82.75</v>
      </c>
      <c r="BH40" s="471"/>
    </row>
    <row r="41" spans="1:60" ht="15.75">
      <c r="A41" s="191">
        <v>35</v>
      </c>
      <c r="B41" s="529">
        <f>SISWA!B40</f>
        <v>0</v>
      </c>
      <c r="C41" s="572" t="str">
        <f>SISWA!C40</f>
        <v>Anak 35</v>
      </c>
      <c r="D41" s="596">
        <f>'PAI3'!E40</f>
        <v>99</v>
      </c>
      <c r="E41" s="596">
        <f>'PAI3'!F40</f>
        <v>99</v>
      </c>
      <c r="F41" s="596">
        <f>'PAI3'!G40</f>
        <v>99</v>
      </c>
      <c r="G41" s="597">
        <f>'PAI3'!R40</f>
        <v>99</v>
      </c>
      <c r="H41" s="597">
        <f>'PAI3'!S40</f>
        <v>99</v>
      </c>
      <c r="I41" s="597">
        <f>'PAI3'!T40</f>
        <v>99</v>
      </c>
      <c r="J41" s="589">
        <f>'PKN3'!F39</f>
        <v>99</v>
      </c>
      <c r="K41" s="589">
        <f>'PKN3'!G39</f>
        <v>99</v>
      </c>
      <c r="L41" s="589">
        <f>'PKN3'!M39</f>
        <v>79.5</v>
      </c>
      <c r="M41" s="589">
        <f>'PKN3'!N39</f>
        <v>74.75</v>
      </c>
      <c r="N41" s="589">
        <f>BIND3!F39</f>
        <v>99</v>
      </c>
      <c r="O41" s="589">
        <f>BIND3!G39</f>
        <v>99</v>
      </c>
      <c r="P41" s="589"/>
      <c r="Q41" s="589">
        <f>BIND3!U39</f>
        <v>99</v>
      </c>
      <c r="R41" s="589">
        <f>BIND3!V39</f>
        <v>99</v>
      </c>
      <c r="S41" s="589"/>
      <c r="T41" s="589">
        <f>'MTK3'!E39</f>
        <v>99</v>
      </c>
      <c r="U41" s="589">
        <f>'MTK3'!F39</f>
        <v>99</v>
      </c>
      <c r="V41" s="589">
        <f>'MTK3'!G39</f>
        <v>99</v>
      </c>
      <c r="W41" s="583">
        <f>'MTK3'!W39</f>
        <v>99</v>
      </c>
      <c r="X41" s="583">
        <f>'MTK3'!X39</f>
        <v>79.5</v>
      </c>
      <c r="Y41" s="583">
        <f>'MTK3'!Y39</f>
        <v>99</v>
      </c>
      <c r="Z41" s="589">
        <f>'IPA3'!E39</f>
        <v>99</v>
      </c>
      <c r="AA41" s="589">
        <f>'IPA3'!F39</f>
        <v>99</v>
      </c>
      <c r="AB41" s="589">
        <f>'IPA3'!R39</f>
        <v>99</v>
      </c>
      <c r="AC41" s="589">
        <f>'IPA3'!S39</f>
        <v>99</v>
      </c>
      <c r="AD41" s="589">
        <f>'IPS3'!E39</f>
        <v>99</v>
      </c>
      <c r="AE41" s="589">
        <f>'IPS3'!F39</f>
        <v>99</v>
      </c>
      <c r="AF41" s="589">
        <f>'IPS3'!R39</f>
        <v>99</v>
      </c>
      <c r="AG41" s="589">
        <f>'IPS3'!S39</f>
        <v>99</v>
      </c>
      <c r="AH41" s="589">
        <f>SBDP3!F39</f>
        <v>99</v>
      </c>
      <c r="AI41" s="589">
        <f>SBDP3!G39</f>
        <v>99</v>
      </c>
      <c r="AJ41" s="589">
        <f>SBDP3!H39</f>
        <v>99</v>
      </c>
      <c r="AK41" s="589">
        <f>SBDP3!S39</f>
        <v>99</v>
      </c>
      <c r="AL41" s="589">
        <f>SBDP3!T39</f>
        <v>99</v>
      </c>
      <c r="AM41" s="589">
        <f>SBDP3!U39</f>
        <v>99</v>
      </c>
      <c r="AN41" s="589">
        <f>PJOK3!E39</f>
        <v>99</v>
      </c>
      <c r="AO41" s="589">
        <f>PJOK3!F39</f>
        <v>99</v>
      </c>
      <c r="AP41" s="583">
        <f>PJOK3!R39</f>
        <v>79.5</v>
      </c>
      <c r="AQ41" s="583">
        <f>PJOK3!S39</f>
        <v>74.75</v>
      </c>
      <c r="AR41" s="589">
        <f>'MLK1-3'!E39</f>
        <v>99</v>
      </c>
      <c r="AS41" s="589">
        <f>'MLK1-3'!F39</f>
        <v>99</v>
      </c>
      <c r="AT41" s="589">
        <f>'MLK1-3'!G39</f>
        <v>99</v>
      </c>
      <c r="AU41" s="583">
        <f>'MLK1-3'!T39</f>
        <v>79.5</v>
      </c>
      <c r="AV41" s="583">
        <f>'MLK1-3'!U39</f>
        <v>74.75</v>
      </c>
      <c r="AW41" s="583">
        <f>'MLK1-3'!V39</f>
        <v>0</v>
      </c>
      <c r="AX41" s="589">
        <f>'MLK2-3'!E39</f>
        <v>99</v>
      </c>
      <c r="AY41" s="589">
        <f>'MLK2-3'!F39</f>
        <v>99</v>
      </c>
      <c r="AZ41" s="589">
        <f>'MLK2-3'!G39</f>
        <v>99</v>
      </c>
      <c r="BA41" s="583">
        <f>'MLK2-3'!S39</f>
        <v>79.5</v>
      </c>
      <c r="BB41" s="583">
        <f>'MLK2-3'!T39</f>
        <v>74.75</v>
      </c>
      <c r="BC41" s="583">
        <f>'MLK2-3'!U39</f>
        <v>0</v>
      </c>
      <c r="BD41" s="589">
        <f>'MLK3-3'!E39</f>
        <v>99</v>
      </c>
      <c r="BE41" s="589">
        <f>'MLK3-3'!F39</f>
        <v>99</v>
      </c>
      <c r="BF41" s="583">
        <f>'MLK3-3'!S39</f>
        <v>79.5</v>
      </c>
      <c r="BG41" s="583">
        <f>'MLK3-3'!T39</f>
        <v>74.75</v>
      </c>
      <c r="BH41" s="471"/>
    </row>
    <row r="42" spans="1:60" ht="15.75">
      <c r="A42" s="191">
        <v>36</v>
      </c>
      <c r="B42" s="529">
        <f>SISWA!B41</f>
        <v>0</v>
      </c>
      <c r="C42" s="572" t="str">
        <f>SISWA!C41</f>
        <v>Anak 36</v>
      </c>
      <c r="D42" s="596">
        <f>'PAI3'!E41</f>
        <v>99</v>
      </c>
      <c r="E42" s="596">
        <f>'PAI3'!F41</f>
        <v>99</v>
      </c>
      <c r="F42" s="596">
        <f>'PAI3'!G41</f>
        <v>99</v>
      </c>
      <c r="G42" s="597">
        <f>'PAI3'!R41</f>
        <v>99</v>
      </c>
      <c r="H42" s="597">
        <f>'PAI3'!S41</f>
        <v>99</v>
      </c>
      <c r="I42" s="597">
        <f>'PAI3'!T41</f>
        <v>99</v>
      </c>
      <c r="J42" s="589">
        <f>'PKN3'!F40</f>
        <v>99</v>
      </c>
      <c r="K42" s="589">
        <f>'PKN3'!G40</f>
        <v>99</v>
      </c>
      <c r="L42" s="589">
        <f>'PKN3'!M40</f>
        <v>89</v>
      </c>
      <c r="M42" s="589">
        <f>'PKN3'!N40</f>
        <v>75.25</v>
      </c>
      <c r="N42" s="589">
        <f>BIND3!F40</f>
        <v>99</v>
      </c>
      <c r="O42" s="589">
        <f>BIND3!G40</f>
        <v>99</v>
      </c>
      <c r="P42" s="589"/>
      <c r="Q42" s="589">
        <f>BIND3!U40</f>
        <v>99</v>
      </c>
      <c r="R42" s="589">
        <f>BIND3!V40</f>
        <v>99</v>
      </c>
      <c r="S42" s="589"/>
      <c r="T42" s="589">
        <f>'MTK3'!E40</f>
        <v>99</v>
      </c>
      <c r="U42" s="589">
        <f>'MTK3'!F40</f>
        <v>99</v>
      </c>
      <c r="V42" s="589">
        <f>'MTK3'!G40</f>
        <v>99</v>
      </c>
      <c r="W42" s="583">
        <f>'MTK3'!W40</f>
        <v>99</v>
      </c>
      <c r="X42" s="583">
        <f>'MTK3'!X40</f>
        <v>89</v>
      </c>
      <c r="Y42" s="583">
        <f>'MTK3'!Y40</f>
        <v>99</v>
      </c>
      <c r="Z42" s="589">
        <f>'IPA3'!E40</f>
        <v>99</v>
      </c>
      <c r="AA42" s="589">
        <f>'IPA3'!F40</f>
        <v>99</v>
      </c>
      <c r="AB42" s="589">
        <f>'IPA3'!R40</f>
        <v>99</v>
      </c>
      <c r="AC42" s="589">
        <f>'IPA3'!S40</f>
        <v>99</v>
      </c>
      <c r="AD42" s="589">
        <f>'IPS3'!E40</f>
        <v>99</v>
      </c>
      <c r="AE42" s="589">
        <f>'IPS3'!F40</f>
        <v>99</v>
      </c>
      <c r="AF42" s="589">
        <f>'IPS3'!R40</f>
        <v>99</v>
      </c>
      <c r="AG42" s="589">
        <f>'IPS3'!S40</f>
        <v>99</v>
      </c>
      <c r="AH42" s="589">
        <f>SBDP3!F40</f>
        <v>99</v>
      </c>
      <c r="AI42" s="589">
        <f>SBDP3!G40</f>
        <v>99</v>
      </c>
      <c r="AJ42" s="589">
        <f>SBDP3!H40</f>
        <v>99</v>
      </c>
      <c r="AK42" s="589">
        <f>SBDP3!S40</f>
        <v>99</v>
      </c>
      <c r="AL42" s="589">
        <f>SBDP3!T40</f>
        <v>99</v>
      </c>
      <c r="AM42" s="589">
        <f>SBDP3!U40</f>
        <v>99</v>
      </c>
      <c r="AN42" s="589">
        <f>PJOK3!E40</f>
        <v>99</v>
      </c>
      <c r="AO42" s="589">
        <f>PJOK3!F40</f>
        <v>99</v>
      </c>
      <c r="AP42" s="583">
        <f>PJOK3!R40</f>
        <v>89</v>
      </c>
      <c r="AQ42" s="583">
        <f>PJOK3!S40</f>
        <v>75.25</v>
      </c>
      <c r="AR42" s="589">
        <f>'MLK1-3'!E40</f>
        <v>99</v>
      </c>
      <c r="AS42" s="589">
        <f>'MLK1-3'!F40</f>
        <v>99</v>
      </c>
      <c r="AT42" s="589">
        <f>'MLK1-3'!G40</f>
        <v>99</v>
      </c>
      <c r="AU42" s="583">
        <f>'MLK1-3'!T40</f>
        <v>89</v>
      </c>
      <c r="AV42" s="583">
        <f>'MLK1-3'!U40</f>
        <v>75.25</v>
      </c>
      <c r="AW42" s="583">
        <f>'MLK1-3'!V40</f>
        <v>0</v>
      </c>
      <c r="AX42" s="589">
        <f>'MLK2-3'!E40</f>
        <v>99</v>
      </c>
      <c r="AY42" s="589">
        <f>'MLK2-3'!F40</f>
        <v>99</v>
      </c>
      <c r="AZ42" s="589">
        <f>'MLK2-3'!G40</f>
        <v>99</v>
      </c>
      <c r="BA42" s="583">
        <f>'MLK2-3'!S40</f>
        <v>89</v>
      </c>
      <c r="BB42" s="583">
        <f>'MLK2-3'!T40</f>
        <v>75.25</v>
      </c>
      <c r="BC42" s="583">
        <f>'MLK2-3'!U40</f>
        <v>0</v>
      </c>
      <c r="BD42" s="589">
        <f>'MLK3-3'!E40</f>
        <v>99</v>
      </c>
      <c r="BE42" s="589">
        <f>'MLK3-3'!F40</f>
        <v>99</v>
      </c>
      <c r="BF42" s="583">
        <f>'MLK3-3'!S40</f>
        <v>89</v>
      </c>
      <c r="BG42" s="583">
        <f>'MLK3-3'!T40</f>
        <v>75.25</v>
      </c>
      <c r="BH42" s="471"/>
    </row>
    <row r="43" spans="1:60" ht="15.75">
      <c r="A43" s="191">
        <v>37</v>
      </c>
      <c r="B43" s="529">
        <f>SISWA!B42</f>
        <v>0</v>
      </c>
      <c r="C43" s="572" t="str">
        <f>SISWA!C42</f>
        <v>Anak 37</v>
      </c>
      <c r="D43" s="596">
        <f>'PAI3'!E42</f>
        <v>99</v>
      </c>
      <c r="E43" s="596">
        <f>'PAI3'!F42</f>
        <v>99</v>
      </c>
      <c r="F43" s="596">
        <f>'PAI3'!G42</f>
        <v>99</v>
      </c>
      <c r="G43" s="597">
        <f>'PAI3'!R42</f>
        <v>99</v>
      </c>
      <c r="H43" s="597">
        <f>'PAI3'!S42</f>
        <v>99</v>
      </c>
      <c r="I43" s="597">
        <f>'PAI3'!T42</f>
        <v>99</v>
      </c>
      <c r="J43" s="589">
        <f>'PKN3'!F41</f>
        <v>99</v>
      </c>
      <c r="K43" s="589">
        <f>'PKN3'!G41</f>
        <v>99</v>
      </c>
      <c r="L43" s="589">
        <f>'PKN3'!M41</f>
        <v>81</v>
      </c>
      <c r="M43" s="589">
        <f>'PKN3'!N41</f>
        <v>80.5</v>
      </c>
      <c r="N43" s="589">
        <f>BIND3!F41</f>
        <v>99</v>
      </c>
      <c r="O43" s="589">
        <f>BIND3!G41</f>
        <v>99</v>
      </c>
      <c r="P43" s="589"/>
      <c r="Q43" s="589">
        <f>BIND3!U41</f>
        <v>99</v>
      </c>
      <c r="R43" s="589">
        <f>BIND3!V41</f>
        <v>99</v>
      </c>
      <c r="S43" s="589"/>
      <c r="T43" s="589">
        <f>'MTK3'!E41</f>
        <v>99</v>
      </c>
      <c r="U43" s="589">
        <f>'MTK3'!F41</f>
        <v>99</v>
      </c>
      <c r="V43" s="589">
        <f>'MTK3'!G41</f>
        <v>99</v>
      </c>
      <c r="W43" s="583">
        <f>'MTK3'!W41</f>
        <v>99</v>
      </c>
      <c r="X43" s="583">
        <f>'MTK3'!X41</f>
        <v>81</v>
      </c>
      <c r="Y43" s="583">
        <f>'MTK3'!Y41</f>
        <v>99</v>
      </c>
      <c r="Z43" s="589">
        <f>'IPA3'!E41</f>
        <v>99</v>
      </c>
      <c r="AA43" s="589">
        <f>'IPA3'!F41</f>
        <v>99</v>
      </c>
      <c r="AB43" s="589">
        <f>'IPA3'!R41</f>
        <v>99</v>
      </c>
      <c r="AC43" s="589">
        <f>'IPA3'!S41</f>
        <v>99</v>
      </c>
      <c r="AD43" s="589">
        <f>'IPS3'!E41</f>
        <v>99</v>
      </c>
      <c r="AE43" s="589">
        <f>'IPS3'!F41</f>
        <v>99</v>
      </c>
      <c r="AF43" s="589">
        <f>'IPS3'!R41</f>
        <v>99</v>
      </c>
      <c r="AG43" s="589">
        <f>'IPS3'!S41</f>
        <v>99</v>
      </c>
      <c r="AH43" s="589">
        <f>SBDP3!F41</f>
        <v>99</v>
      </c>
      <c r="AI43" s="589">
        <f>SBDP3!G41</f>
        <v>99</v>
      </c>
      <c r="AJ43" s="589">
        <f>SBDP3!H41</f>
        <v>99</v>
      </c>
      <c r="AK43" s="589">
        <f>SBDP3!S41</f>
        <v>99</v>
      </c>
      <c r="AL43" s="589">
        <f>SBDP3!T41</f>
        <v>99</v>
      </c>
      <c r="AM43" s="589">
        <f>SBDP3!U41</f>
        <v>99</v>
      </c>
      <c r="AN43" s="589">
        <f>PJOK3!E41</f>
        <v>99</v>
      </c>
      <c r="AO43" s="589">
        <f>PJOK3!F41</f>
        <v>99</v>
      </c>
      <c r="AP43" s="583">
        <f>PJOK3!R41</f>
        <v>81</v>
      </c>
      <c r="AQ43" s="583">
        <f>PJOK3!S41</f>
        <v>80.5</v>
      </c>
      <c r="AR43" s="589">
        <f>'MLK1-3'!E41</f>
        <v>99</v>
      </c>
      <c r="AS43" s="589">
        <f>'MLK1-3'!F41</f>
        <v>99</v>
      </c>
      <c r="AT43" s="589">
        <f>'MLK1-3'!G41</f>
        <v>99</v>
      </c>
      <c r="AU43" s="583">
        <f>'MLK1-3'!T41</f>
        <v>81</v>
      </c>
      <c r="AV43" s="583">
        <f>'MLK1-3'!U41</f>
        <v>80.5</v>
      </c>
      <c r="AW43" s="583">
        <f>'MLK1-3'!V41</f>
        <v>0</v>
      </c>
      <c r="AX43" s="589">
        <f>'MLK2-3'!E41</f>
        <v>99</v>
      </c>
      <c r="AY43" s="589">
        <f>'MLK2-3'!F41</f>
        <v>99</v>
      </c>
      <c r="AZ43" s="589">
        <f>'MLK2-3'!G41</f>
        <v>99</v>
      </c>
      <c r="BA43" s="583">
        <f>'MLK2-3'!S41</f>
        <v>81</v>
      </c>
      <c r="BB43" s="583">
        <f>'MLK2-3'!T41</f>
        <v>80.5</v>
      </c>
      <c r="BC43" s="583">
        <f>'MLK2-3'!U41</f>
        <v>0</v>
      </c>
      <c r="BD43" s="589">
        <f>'MLK3-3'!E41</f>
        <v>99</v>
      </c>
      <c r="BE43" s="589">
        <f>'MLK3-3'!F41</f>
        <v>99</v>
      </c>
      <c r="BF43" s="583">
        <f>'MLK3-3'!S41</f>
        <v>81</v>
      </c>
      <c r="BG43" s="583">
        <f>'MLK3-3'!T41</f>
        <v>80.5</v>
      </c>
      <c r="BH43" s="471"/>
    </row>
    <row r="44" spans="1:60" ht="15.75">
      <c r="A44" s="191">
        <v>38</v>
      </c>
      <c r="B44" s="529">
        <f>SISWA!B43</f>
        <v>0</v>
      </c>
      <c r="C44" s="572" t="str">
        <f>SISWA!C43</f>
        <v>Anak 38</v>
      </c>
      <c r="D44" s="596">
        <f>'PAI3'!E43</f>
        <v>99</v>
      </c>
      <c r="E44" s="596">
        <f>'PAI3'!F43</f>
        <v>99</v>
      </c>
      <c r="F44" s="596">
        <f>'PAI3'!G43</f>
        <v>99</v>
      </c>
      <c r="G44" s="597">
        <f>'PAI3'!R43</f>
        <v>99</v>
      </c>
      <c r="H44" s="597">
        <f>'PAI3'!S43</f>
        <v>99</v>
      </c>
      <c r="I44" s="597">
        <f>'PAI3'!T43</f>
        <v>99</v>
      </c>
      <c r="J44" s="589">
        <f>'PKN3'!F42</f>
        <v>99</v>
      </c>
      <c r="K44" s="589">
        <f>'PKN3'!G42</f>
        <v>99</v>
      </c>
      <c r="L44" s="589">
        <f>'PKN3'!M42</f>
        <v>76.5</v>
      </c>
      <c r="M44" s="589">
        <f>'PKN3'!N42</f>
        <v>86.5</v>
      </c>
      <c r="N44" s="589">
        <f>BIND3!F42</f>
        <v>99</v>
      </c>
      <c r="O44" s="589">
        <f>BIND3!G42</f>
        <v>99</v>
      </c>
      <c r="P44" s="589"/>
      <c r="Q44" s="589">
        <f>BIND3!U42</f>
        <v>99</v>
      </c>
      <c r="R44" s="589">
        <f>BIND3!V42</f>
        <v>99</v>
      </c>
      <c r="S44" s="589"/>
      <c r="T44" s="589">
        <f>'MTK3'!E42</f>
        <v>99</v>
      </c>
      <c r="U44" s="589">
        <f>'MTK3'!F42</f>
        <v>99</v>
      </c>
      <c r="V44" s="589">
        <f>'MTK3'!G42</f>
        <v>99</v>
      </c>
      <c r="W44" s="583">
        <f>'MTK3'!W42</f>
        <v>99</v>
      </c>
      <c r="X44" s="583">
        <f>'MTK3'!X42</f>
        <v>76.5</v>
      </c>
      <c r="Y44" s="583">
        <f>'MTK3'!Y42</f>
        <v>99</v>
      </c>
      <c r="Z44" s="589">
        <f>'IPA3'!E42</f>
        <v>99</v>
      </c>
      <c r="AA44" s="589">
        <f>'IPA3'!F42</f>
        <v>99</v>
      </c>
      <c r="AB44" s="589">
        <f>'IPA3'!R42</f>
        <v>99</v>
      </c>
      <c r="AC44" s="589">
        <f>'IPA3'!S42</f>
        <v>99</v>
      </c>
      <c r="AD44" s="589">
        <f>'IPS3'!E42</f>
        <v>99</v>
      </c>
      <c r="AE44" s="589">
        <f>'IPS3'!F42</f>
        <v>99</v>
      </c>
      <c r="AF44" s="589">
        <f>'IPS3'!R42</f>
        <v>99</v>
      </c>
      <c r="AG44" s="589">
        <f>'IPS3'!S42</f>
        <v>99</v>
      </c>
      <c r="AH44" s="589">
        <f>SBDP3!F42</f>
        <v>99</v>
      </c>
      <c r="AI44" s="589">
        <f>SBDP3!G42</f>
        <v>99</v>
      </c>
      <c r="AJ44" s="589">
        <f>SBDP3!H42</f>
        <v>99</v>
      </c>
      <c r="AK44" s="589">
        <f>SBDP3!S42</f>
        <v>99</v>
      </c>
      <c r="AL44" s="589">
        <f>SBDP3!T42</f>
        <v>99</v>
      </c>
      <c r="AM44" s="589">
        <f>SBDP3!U42</f>
        <v>99</v>
      </c>
      <c r="AN44" s="589">
        <f>PJOK3!E42</f>
        <v>99</v>
      </c>
      <c r="AO44" s="589">
        <f>PJOK3!F42</f>
        <v>99</v>
      </c>
      <c r="AP44" s="583">
        <f>PJOK3!R42</f>
        <v>76.5</v>
      </c>
      <c r="AQ44" s="583">
        <f>PJOK3!S42</f>
        <v>86.5</v>
      </c>
      <c r="AR44" s="589">
        <f>'MLK1-3'!E42</f>
        <v>99</v>
      </c>
      <c r="AS44" s="589">
        <f>'MLK1-3'!F42</f>
        <v>99</v>
      </c>
      <c r="AT44" s="589">
        <f>'MLK1-3'!G42</f>
        <v>99</v>
      </c>
      <c r="AU44" s="583">
        <f>'MLK1-3'!T42</f>
        <v>76.5</v>
      </c>
      <c r="AV44" s="583">
        <f>'MLK1-3'!U42</f>
        <v>86.5</v>
      </c>
      <c r="AW44" s="583">
        <f>'MLK1-3'!V42</f>
        <v>0</v>
      </c>
      <c r="AX44" s="589">
        <f>'MLK2-3'!E42</f>
        <v>99</v>
      </c>
      <c r="AY44" s="589">
        <f>'MLK2-3'!F42</f>
        <v>99</v>
      </c>
      <c r="AZ44" s="589">
        <f>'MLK2-3'!G42</f>
        <v>99</v>
      </c>
      <c r="BA44" s="583">
        <f>'MLK2-3'!S42</f>
        <v>76.5</v>
      </c>
      <c r="BB44" s="583">
        <f>'MLK2-3'!T42</f>
        <v>86.5</v>
      </c>
      <c r="BC44" s="583">
        <f>'MLK2-3'!U42</f>
        <v>0</v>
      </c>
      <c r="BD44" s="589">
        <f>'MLK3-3'!E42</f>
        <v>99</v>
      </c>
      <c r="BE44" s="589">
        <f>'MLK3-3'!F42</f>
        <v>99</v>
      </c>
      <c r="BF44" s="583">
        <f>'MLK3-3'!S42</f>
        <v>76.5</v>
      </c>
      <c r="BG44" s="583">
        <f>'MLK3-3'!T42</f>
        <v>86.5</v>
      </c>
      <c r="BH44" s="471"/>
    </row>
    <row r="45" spans="1:60" ht="15.75">
      <c r="A45" s="191">
        <v>39</v>
      </c>
      <c r="B45" s="529">
        <f>SISWA!B44</f>
        <v>0</v>
      </c>
      <c r="C45" s="572" t="str">
        <f>SISWA!C44</f>
        <v>Anak 39</v>
      </c>
      <c r="D45" s="596">
        <f>'PAI3'!E44</f>
        <v>99</v>
      </c>
      <c r="E45" s="596">
        <f>'PAI3'!F44</f>
        <v>99</v>
      </c>
      <c r="F45" s="596">
        <f>'PAI3'!G44</f>
        <v>99</v>
      </c>
      <c r="G45" s="597">
        <f>'PAI3'!R44</f>
        <v>99</v>
      </c>
      <c r="H45" s="597">
        <f>'PAI3'!S44</f>
        <v>99</v>
      </c>
      <c r="I45" s="597">
        <f>'PAI3'!T44</f>
        <v>99</v>
      </c>
      <c r="J45" s="589">
        <f>'PKN3'!F43</f>
        <v>99</v>
      </c>
      <c r="K45" s="589">
        <f>'PKN3'!G43</f>
        <v>99</v>
      </c>
      <c r="L45" s="589">
        <f>'PKN3'!M43</f>
        <v>86.5</v>
      </c>
      <c r="M45" s="589">
        <f>'PKN3'!N43</f>
        <v>76.75</v>
      </c>
      <c r="N45" s="589">
        <f>BIND3!F43</f>
        <v>99</v>
      </c>
      <c r="O45" s="589">
        <f>BIND3!G43</f>
        <v>99</v>
      </c>
      <c r="P45" s="589"/>
      <c r="Q45" s="589">
        <f>BIND3!U43</f>
        <v>99</v>
      </c>
      <c r="R45" s="589">
        <f>BIND3!V43</f>
        <v>99</v>
      </c>
      <c r="S45" s="589"/>
      <c r="T45" s="589">
        <f>'MTK3'!E43</f>
        <v>99</v>
      </c>
      <c r="U45" s="589">
        <f>'MTK3'!F43</f>
        <v>99</v>
      </c>
      <c r="V45" s="589">
        <f>'MTK3'!G43</f>
        <v>99</v>
      </c>
      <c r="W45" s="583">
        <f>'MTK3'!W43</f>
        <v>99</v>
      </c>
      <c r="X45" s="583">
        <f>'MTK3'!X43</f>
        <v>86.5</v>
      </c>
      <c r="Y45" s="583">
        <f>'MTK3'!Y43</f>
        <v>99</v>
      </c>
      <c r="Z45" s="589">
        <f>'IPA3'!E43</f>
        <v>99</v>
      </c>
      <c r="AA45" s="589">
        <f>'IPA3'!F43</f>
        <v>99</v>
      </c>
      <c r="AB45" s="589">
        <f>'IPA3'!R43</f>
        <v>99</v>
      </c>
      <c r="AC45" s="589">
        <f>'IPA3'!S43</f>
        <v>99</v>
      </c>
      <c r="AD45" s="589">
        <f>'IPS3'!E43</f>
        <v>99</v>
      </c>
      <c r="AE45" s="589">
        <f>'IPS3'!F43</f>
        <v>99</v>
      </c>
      <c r="AF45" s="589">
        <f>'IPS3'!R43</f>
        <v>99</v>
      </c>
      <c r="AG45" s="589">
        <f>'IPS3'!S43</f>
        <v>99</v>
      </c>
      <c r="AH45" s="589">
        <f>SBDP3!F43</f>
        <v>99</v>
      </c>
      <c r="AI45" s="589">
        <f>SBDP3!G43</f>
        <v>99</v>
      </c>
      <c r="AJ45" s="589">
        <f>SBDP3!H43</f>
        <v>99</v>
      </c>
      <c r="AK45" s="589">
        <f>SBDP3!S43</f>
        <v>99</v>
      </c>
      <c r="AL45" s="589">
        <f>SBDP3!T43</f>
        <v>99</v>
      </c>
      <c r="AM45" s="589">
        <f>SBDP3!U43</f>
        <v>99</v>
      </c>
      <c r="AN45" s="589">
        <f>PJOK3!E43</f>
        <v>99</v>
      </c>
      <c r="AO45" s="589">
        <f>PJOK3!F43</f>
        <v>99</v>
      </c>
      <c r="AP45" s="583">
        <f>PJOK3!R43</f>
        <v>86.5</v>
      </c>
      <c r="AQ45" s="583">
        <f>PJOK3!S43</f>
        <v>76.75</v>
      </c>
      <c r="AR45" s="589">
        <f>'MLK1-3'!E43</f>
        <v>99</v>
      </c>
      <c r="AS45" s="589">
        <f>'MLK1-3'!F43</f>
        <v>99</v>
      </c>
      <c r="AT45" s="589">
        <f>'MLK1-3'!G43</f>
        <v>99</v>
      </c>
      <c r="AU45" s="583">
        <f>'MLK1-3'!T43</f>
        <v>86.5</v>
      </c>
      <c r="AV45" s="583">
        <f>'MLK1-3'!U43</f>
        <v>76.75</v>
      </c>
      <c r="AW45" s="583">
        <f>'MLK1-3'!V43</f>
        <v>0</v>
      </c>
      <c r="AX45" s="589">
        <f>'MLK2-3'!E43</f>
        <v>99</v>
      </c>
      <c r="AY45" s="589">
        <f>'MLK2-3'!F43</f>
        <v>99</v>
      </c>
      <c r="AZ45" s="589">
        <f>'MLK2-3'!G43</f>
        <v>99</v>
      </c>
      <c r="BA45" s="583">
        <f>'MLK2-3'!S43</f>
        <v>86.5</v>
      </c>
      <c r="BB45" s="583">
        <f>'MLK2-3'!T43</f>
        <v>76.75</v>
      </c>
      <c r="BC45" s="583">
        <f>'MLK2-3'!U43</f>
        <v>0</v>
      </c>
      <c r="BD45" s="589">
        <f>'MLK3-3'!E43</f>
        <v>99</v>
      </c>
      <c r="BE45" s="589">
        <f>'MLK3-3'!F43</f>
        <v>99</v>
      </c>
      <c r="BF45" s="583">
        <f>'MLK3-3'!S43</f>
        <v>86.5</v>
      </c>
      <c r="BG45" s="583">
        <f>'MLK3-3'!T43</f>
        <v>76.75</v>
      </c>
      <c r="BH45" s="471"/>
    </row>
    <row r="46" spans="1:60" ht="15.75">
      <c r="A46" s="191">
        <v>40</v>
      </c>
      <c r="B46" s="529">
        <f>SISWA!B45</f>
        <v>0</v>
      </c>
      <c r="C46" s="572" t="str">
        <f>SISWA!C45</f>
        <v>Anak 40</v>
      </c>
      <c r="D46" s="596">
        <f>'PAI3'!E45</f>
        <v>99</v>
      </c>
      <c r="E46" s="596">
        <f>'PAI3'!F45</f>
        <v>99</v>
      </c>
      <c r="F46" s="596">
        <f>'PAI3'!G45</f>
        <v>99</v>
      </c>
      <c r="G46" s="597">
        <f>'PAI3'!R45</f>
        <v>99</v>
      </c>
      <c r="H46" s="597">
        <f>'PAI3'!S45</f>
        <v>99</v>
      </c>
      <c r="I46" s="597">
        <f>'PAI3'!T45</f>
        <v>99</v>
      </c>
      <c r="J46" s="589">
        <f>'PKN3'!F44</f>
        <v>99</v>
      </c>
      <c r="K46" s="589">
        <f>'PKN3'!G44</f>
        <v>99</v>
      </c>
      <c r="L46" s="589">
        <f>'PKN3'!M44</f>
        <v>90</v>
      </c>
      <c r="M46" s="589">
        <f>'PKN3'!N44</f>
        <v>77.75</v>
      </c>
      <c r="N46" s="589">
        <f>BIND3!F44</f>
        <v>99</v>
      </c>
      <c r="O46" s="589">
        <f>BIND3!G44</f>
        <v>99</v>
      </c>
      <c r="P46" s="589"/>
      <c r="Q46" s="589">
        <f>BIND3!U44</f>
        <v>99</v>
      </c>
      <c r="R46" s="589">
        <f>BIND3!V44</f>
        <v>99</v>
      </c>
      <c r="S46" s="589"/>
      <c r="T46" s="589">
        <f>'MTK3'!E44</f>
        <v>99</v>
      </c>
      <c r="U46" s="589">
        <f>'MTK3'!F44</f>
        <v>99</v>
      </c>
      <c r="V46" s="589">
        <f>'MTK3'!G44</f>
        <v>99</v>
      </c>
      <c r="W46" s="583">
        <f>'MTK3'!W44</f>
        <v>99</v>
      </c>
      <c r="X46" s="583">
        <f>'MTK3'!X44</f>
        <v>90</v>
      </c>
      <c r="Y46" s="583">
        <f>'MTK3'!Y44</f>
        <v>99</v>
      </c>
      <c r="Z46" s="589">
        <f>'IPA3'!E44</f>
        <v>99</v>
      </c>
      <c r="AA46" s="589">
        <f>'IPA3'!F44</f>
        <v>99</v>
      </c>
      <c r="AB46" s="589">
        <f>'IPA3'!R44</f>
        <v>99</v>
      </c>
      <c r="AC46" s="589">
        <f>'IPA3'!S44</f>
        <v>99</v>
      </c>
      <c r="AD46" s="589">
        <f>'IPS3'!E44</f>
        <v>99</v>
      </c>
      <c r="AE46" s="589">
        <f>'IPS3'!F44</f>
        <v>99</v>
      </c>
      <c r="AF46" s="589">
        <f>'IPS3'!R44</f>
        <v>99</v>
      </c>
      <c r="AG46" s="589">
        <f>'IPS3'!S44</f>
        <v>99</v>
      </c>
      <c r="AH46" s="589">
        <f>SBDP3!F44</f>
        <v>99</v>
      </c>
      <c r="AI46" s="589">
        <f>SBDP3!G44</f>
        <v>99</v>
      </c>
      <c r="AJ46" s="589">
        <f>SBDP3!H44</f>
        <v>99</v>
      </c>
      <c r="AK46" s="589">
        <f>SBDP3!S44</f>
        <v>99</v>
      </c>
      <c r="AL46" s="589">
        <f>SBDP3!T44</f>
        <v>99</v>
      </c>
      <c r="AM46" s="589">
        <f>SBDP3!U44</f>
        <v>99</v>
      </c>
      <c r="AN46" s="589">
        <f>PJOK3!E44</f>
        <v>99</v>
      </c>
      <c r="AO46" s="589">
        <f>PJOK3!F44</f>
        <v>99</v>
      </c>
      <c r="AP46" s="583">
        <f>PJOK3!R44</f>
        <v>90</v>
      </c>
      <c r="AQ46" s="583">
        <f>PJOK3!S44</f>
        <v>77.75</v>
      </c>
      <c r="AR46" s="589">
        <f>'MLK1-3'!E44</f>
        <v>99</v>
      </c>
      <c r="AS46" s="589">
        <f>'MLK1-3'!F44</f>
        <v>99</v>
      </c>
      <c r="AT46" s="589">
        <f>'MLK1-3'!G44</f>
        <v>99</v>
      </c>
      <c r="AU46" s="583">
        <f>'MLK1-3'!T44</f>
        <v>90</v>
      </c>
      <c r="AV46" s="583">
        <f>'MLK1-3'!U44</f>
        <v>77.75</v>
      </c>
      <c r="AW46" s="583">
        <f>'MLK1-3'!V44</f>
        <v>0</v>
      </c>
      <c r="AX46" s="589">
        <f>'MLK2-3'!E44</f>
        <v>99</v>
      </c>
      <c r="AY46" s="589">
        <f>'MLK2-3'!F44</f>
        <v>99</v>
      </c>
      <c r="AZ46" s="589">
        <f>'MLK2-3'!G44</f>
        <v>99</v>
      </c>
      <c r="BA46" s="583">
        <f>'MLK2-3'!S44</f>
        <v>90</v>
      </c>
      <c r="BB46" s="583">
        <f>'MLK2-3'!T44</f>
        <v>77.75</v>
      </c>
      <c r="BC46" s="583">
        <f>'MLK2-3'!U44</f>
        <v>0</v>
      </c>
      <c r="BD46" s="589">
        <f>'MLK3-3'!E44</f>
        <v>99</v>
      </c>
      <c r="BE46" s="589">
        <f>'MLK3-3'!F44</f>
        <v>99</v>
      </c>
      <c r="BF46" s="583">
        <f>'MLK3-3'!S44</f>
        <v>90</v>
      </c>
      <c r="BG46" s="583">
        <f>'MLK3-3'!T44</f>
        <v>77.75</v>
      </c>
      <c r="BH46" s="471"/>
    </row>
    <row r="47" spans="1:60" ht="15.75">
      <c r="A47" s="191">
        <v>41</v>
      </c>
      <c r="B47" s="529">
        <f>SISWA!B46</f>
        <v>0</v>
      </c>
      <c r="C47" s="572" t="str">
        <f>SISWA!C46</f>
        <v>Anak 41</v>
      </c>
      <c r="D47" s="596">
        <f>'PAI3'!E46</f>
        <v>99</v>
      </c>
      <c r="E47" s="596">
        <f>'PAI3'!F46</f>
        <v>99</v>
      </c>
      <c r="F47" s="596">
        <f>'PAI3'!G46</f>
        <v>99</v>
      </c>
      <c r="G47" s="597">
        <f>'PAI3'!R46</f>
        <v>99</v>
      </c>
      <c r="H47" s="597">
        <f>'PAI3'!S46</f>
        <v>99</v>
      </c>
      <c r="I47" s="597">
        <f>'PAI3'!T46</f>
        <v>99</v>
      </c>
      <c r="J47" s="589">
        <f>'PKN3'!F45</f>
        <v>99</v>
      </c>
      <c r="K47" s="589">
        <f>'PKN3'!G45</f>
        <v>99</v>
      </c>
      <c r="L47" s="589">
        <f>'PKN3'!M45</f>
        <v>76.5</v>
      </c>
      <c r="M47" s="589">
        <f>'PKN3'!N45</f>
        <v>90</v>
      </c>
      <c r="N47" s="589">
        <f>BIND3!F45</f>
        <v>99</v>
      </c>
      <c r="O47" s="589">
        <f>BIND3!G45</f>
        <v>99</v>
      </c>
      <c r="P47" s="589"/>
      <c r="Q47" s="589">
        <f>BIND3!U45</f>
        <v>99</v>
      </c>
      <c r="R47" s="589">
        <f>BIND3!V45</f>
        <v>99</v>
      </c>
      <c r="S47" s="589"/>
      <c r="T47" s="589">
        <f>'MTK3'!E45</f>
        <v>99</v>
      </c>
      <c r="U47" s="589">
        <f>'MTK3'!F45</f>
        <v>99</v>
      </c>
      <c r="V47" s="589">
        <f>'MTK3'!G45</f>
        <v>99</v>
      </c>
      <c r="W47" s="583">
        <f>'MTK3'!W45</f>
        <v>99</v>
      </c>
      <c r="X47" s="583">
        <f>'MTK3'!X45</f>
        <v>76.5</v>
      </c>
      <c r="Y47" s="583">
        <f>'MTK3'!Y45</f>
        <v>99</v>
      </c>
      <c r="Z47" s="589">
        <f>'IPA3'!E45</f>
        <v>99</v>
      </c>
      <c r="AA47" s="589">
        <f>'IPA3'!F45</f>
        <v>99</v>
      </c>
      <c r="AB47" s="589">
        <f>'IPA3'!R45</f>
        <v>99</v>
      </c>
      <c r="AC47" s="589">
        <f>'IPA3'!S45</f>
        <v>99</v>
      </c>
      <c r="AD47" s="589">
        <f>'IPS3'!E45</f>
        <v>99</v>
      </c>
      <c r="AE47" s="589">
        <f>'IPS3'!F45</f>
        <v>99</v>
      </c>
      <c r="AF47" s="589">
        <f>'IPS3'!R45</f>
        <v>99</v>
      </c>
      <c r="AG47" s="589">
        <f>'IPS3'!S45</f>
        <v>99</v>
      </c>
      <c r="AH47" s="589">
        <f>SBDP3!F45</f>
        <v>99</v>
      </c>
      <c r="AI47" s="589">
        <f>SBDP3!G45</f>
        <v>99</v>
      </c>
      <c r="AJ47" s="589">
        <f>SBDP3!H45</f>
        <v>99</v>
      </c>
      <c r="AK47" s="589">
        <f>SBDP3!S45</f>
        <v>99</v>
      </c>
      <c r="AL47" s="589">
        <f>SBDP3!T45</f>
        <v>99</v>
      </c>
      <c r="AM47" s="589">
        <f>SBDP3!U45</f>
        <v>99</v>
      </c>
      <c r="AN47" s="589">
        <f>PJOK3!E45</f>
        <v>99</v>
      </c>
      <c r="AO47" s="589">
        <f>PJOK3!F45</f>
        <v>99</v>
      </c>
      <c r="AP47" s="583">
        <f>PJOK3!R45</f>
        <v>76.5</v>
      </c>
      <c r="AQ47" s="583">
        <f>PJOK3!S45</f>
        <v>90</v>
      </c>
      <c r="AR47" s="589">
        <f>'MLK1-3'!E45</f>
        <v>99</v>
      </c>
      <c r="AS47" s="589">
        <f>'MLK1-3'!F45</f>
        <v>99</v>
      </c>
      <c r="AT47" s="589">
        <f>'MLK1-3'!G45</f>
        <v>99</v>
      </c>
      <c r="AU47" s="583">
        <f>'MLK1-3'!T45</f>
        <v>76.5</v>
      </c>
      <c r="AV47" s="583">
        <f>'MLK1-3'!U45</f>
        <v>90</v>
      </c>
      <c r="AW47" s="583">
        <f>'MLK1-3'!V45</f>
        <v>0</v>
      </c>
      <c r="AX47" s="589">
        <f>'MLK2-3'!E45</f>
        <v>99</v>
      </c>
      <c r="AY47" s="589">
        <f>'MLK2-3'!F45</f>
        <v>99</v>
      </c>
      <c r="AZ47" s="589">
        <f>'MLK2-3'!G45</f>
        <v>99</v>
      </c>
      <c r="BA47" s="583">
        <f>'MLK2-3'!S45</f>
        <v>76.5</v>
      </c>
      <c r="BB47" s="583">
        <f>'MLK2-3'!T45</f>
        <v>90</v>
      </c>
      <c r="BC47" s="583">
        <f>'MLK2-3'!U45</f>
        <v>0</v>
      </c>
      <c r="BD47" s="589">
        <f>'MLK3-3'!E45</f>
        <v>99</v>
      </c>
      <c r="BE47" s="589">
        <f>'MLK3-3'!F45</f>
        <v>99</v>
      </c>
      <c r="BF47" s="583">
        <f>'MLK3-3'!S45</f>
        <v>76.5</v>
      </c>
      <c r="BG47" s="583">
        <f>'MLK3-3'!T45</f>
        <v>90</v>
      </c>
      <c r="BH47" s="471"/>
    </row>
    <row r="48" spans="1:60" ht="15.75">
      <c r="A48" s="191">
        <v>42</v>
      </c>
      <c r="B48" s="529">
        <f>SISWA!B47</f>
        <v>0</v>
      </c>
      <c r="C48" s="572" t="str">
        <f>SISWA!C47</f>
        <v>Anak 42</v>
      </c>
      <c r="D48" s="596">
        <f>'PAI3'!E47</f>
        <v>99</v>
      </c>
      <c r="E48" s="596">
        <f>'PAI3'!F47</f>
        <v>99</v>
      </c>
      <c r="F48" s="596">
        <f>'PAI3'!G47</f>
        <v>99</v>
      </c>
      <c r="G48" s="597">
        <f>'PAI3'!R47</f>
        <v>99</v>
      </c>
      <c r="H48" s="597">
        <f>'PAI3'!S47</f>
        <v>99</v>
      </c>
      <c r="I48" s="597">
        <f>'PAI3'!T47</f>
        <v>99</v>
      </c>
      <c r="J48" s="589">
        <f>'PKN3'!F46</f>
        <v>99</v>
      </c>
      <c r="K48" s="589">
        <f>'PKN3'!G46</f>
        <v>99</v>
      </c>
      <c r="L48" s="589">
        <f>'PKN3'!M46</f>
        <v>83</v>
      </c>
      <c r="M48" s="589">
        <f>'PKN3'!N46</f>
        <v>87.25</v>
      </c>
      <c r="N48" s="589">
        <f>BIND3!F46</f>
        <v>99</v>
      </c>
      <c r="O48" s="589">
        <f>BIND3!G46</f>
        <v>99</v>
      </c>
      <c r="P48" s="589"/>
      <c r="Q48" s="589">
        <f>BIND3!U46</f>
        <v>99</v>
      </c>
      <c r="R48" s="589">
        <f>BIND3!V46</f>
        <v>99</v>
      </c>
      <c r="S48" s="589"/>
      <c r="T48" s="589">
        <f>'MTK3'!E46</f>
        <v>99</v>
      </c>
      <c r="U48" s="589">
        <f>'MTK3'!F46</f>
        <v>99</v>
      </c>
      <c r="V48" s="589">
        <f>'MTK3'!G46</f>
        <v>99</v>
      </c>
      <c r="W48" s="583">
        <f>'MTK3'!W46</f>
        <v>99</v>
      </c>
      <c r="X48" s="583">
        <f>'MTK3'!X46</f>
        <v>83</v>
      </c>
      <c r="Y48" s="583">
        <f>'MTK3'!Y46</f>
        <v>99</v>
      </c>
      <c r="Z48" s="589">
        <f>'IPA3'!E46</f>
        <v>99</v>
      </c>
      <c r="AA48" s="589">
        <f>'IPA3'!F46</f>
        <v>99</v>
      </c>
      <c r="AB48" s="589">
        <f>'IPA3'!R46</f>
        <v>99</v>
      </c>
      <c r="AC48" s="589">
        <f>'IPA3'!S46</f>
        <v>99</v>
      </c>
      <c r="AD48" s="589">
        <f>'IPS3'!E46</f>
        <v>99</v>
      </c>
      <c r="AE48" s="589">
        <f>'IPS3'!F46</f>
        <v>99</v>
      </c>
      <c r="AF48" s="589">
        <f>'IPS3'!R46</f>
        <v>99</v>
      </c>
      <c r="AG48" s="589">
        <f>'IPS3'!S46</f>
        <v>99</v>
      </c>
      <c r="AH48" s="589">
        <f>SBDP3!F46</f>
        <v>99</v>
      </c>
      <c r="AI48" s="589">
        <f>SBDP3!G46</f>
        <v>99</v>
      </c>
      <c r="AJ48" s="589">
        <f>SBDP3!H46</f>
        <v>99</v>
      </c>
      <c r="AK48" s="589">
        <f>SBDP3!S46</f>
        <v>99</v>
      </c>
      <c r="AL48" s="589">
        <f>SBDP3!T46</f>
        <v>99</v>
      </c>
      <c r="AM48" s="589">
        <f>SBDP3!U46</f>
        <v>99</v>
      </c>
      <c r="AN48" s="589">
        <f>PJOK3!E46</f>
        <v>99</v>
      </c>
      <c r="AO48" s="589">
        <f>PJOK3!F46</f>
        <v>99</v>
      </c>
      <c r="AP48" s="583">
        <f>PJOK3!R46</f>
        <v>83</v>
      </c>
      <c r="AQ48" s="583">
        <f>PJOK3!S46</f>
        <v>87.25</v>
      </c>
      <c r="AR48" s="589">
        <f>'MLK1-3'!E46</f>
        <v>99</v>
      </c>
      <c r="AS48" s="589">
        <f>'MLK1-3'!F46</f>
        <v>99</v>
      </c>
      <c r="AT48" s="589">
        <f>'MLK1-3'!G46</f>
        <v>99</v>
      </c>
      <c r="AU48" s="583">
        <f>'MLK1-3'!T46</f>
        <v>83</v>
      </c>
      <c r="AV48" s="583">
        <f>'MLK1-3'!U46</f>
        <v>87.25</v>
      </c>
      <c r="AW48" s="583">
        <f>'MLK1-3'!V46</f>
        <v>0</v>
      </c>
      <c r="AX48" s="589">
        <f>'MLK2-3'!E46</f>
        <v>99</v>
      </c>
      <c r="AY48" s="589">
        <f>'MLK2-3'!F46</f>
        <v>99</v>
      </c>
      <c r="AZ48" s="589">
        <f>'MLK2-3'!G46</f>
        <v>99</v>
      </c>
      <c r="BA48" s="583">
        <f>'MLK2-3'!S46</f>
        <v>83</v>
      </c>
      <c r="BB48" s="583">
        <f>'MLK2-3'!T46</f>
        <v>87.25</v>
      </c>
      <c r="BC48" s="583">
        <f>'MLK2-3'!U46</f>
        <v>0</v>
      </c>
      <c r="BD48" s="589">
        <f>'MLK3-3'!E46</f>
        <v>99</v>
      </c>
      <c r="BE48" s="589">
        <f>'MLK3-3'!F46</f>
        <v>99</v>
      </c>
      <c r="BF48" s="583">
        <f>'MLK3-3'!S46</f>
        <v>83</v>
      </c>
      <c r="BG48" s="583">
        <f>'MLK3-3'!T46</f>
        <v>87.25</v>
      </c>
      <c r="BH48" s="471"/>
    </row>
    <row r="49" spans="1:60" ht="15.75">
      <c r="A49" s="191">
        <v>43</v>
      </c>
      <c r="B49" s="529">
        <f>SISWA!B48</f>
        <v>0</v>
      </c>
      <c r="C49" s="572" t="str">
        <f>SISWA!C48</f>
        <v>Anak 43</v>
      </c>
      <c r="D49" s="596">
        <f>'PAI3'!E48</f>
        <v>99</v>
      </c>
      <c r="E49" s="596">
        <f>'PAI3'!F48</f>
        <v>99</v>
      </c>
      <c r="F49" s="596">
        <f>'PAI3'!G48</f>
        <v>99</v>
      </c>
      <c r="G49" s="597">
        <f>'PAI3'!R48</f>
        <v>99</v>
      </c>
      <c r="H49" s="597">
        <f>'PAI3'!S48</f>
        <v>99</v>
      </c>
      <c r="I49" s="597">
        <f>'PAI3'!T48</f>
        <v>99</v>
      </c>
      <c r="J49" s="589">
        <f>'PKN3'!F47</f>
        <v>99</v>
      </c>
      <c r="K49" s="589">
        <f>'PKN3'!G47</f>
        <v>99</v>
      </c>
      <c r="L49" s="589">
        <f>'PKN3'!M47</f>
        <v>74.5</v>
      </c>
      <c r="M49" s="589">
        <f>'PKN3'!N47</f>
        <v>77.5</v>
      </c>
      <c r="N49" s="589">
        <f>BIND3!F47</f>
        <v>99</v>
      </c>
      <c r="O49" s="589">
        <f>BIND3!G47</f>
        <v>99</v>
      </c>
      <c r="P49" s="589"/>
      <c r="Q49" s="589">
        <f>BIND3!U47</f>
        <v>99</v>
      </c>
      <c r="R49" s="589">
        <f>BIND3!V47</f>
        <v>99</v>
      </c>
      <c r="S49" s="589"/>
      <c r="T49" s="589">
        <f>'MTK3'!E47</f>
        <v>99</v>
      </c>
      <c r="U49" s="589">
        <f>'MTK3'!F47</f>
        <v>99</v>
      </c>
      <c r="V49" s="589">
        <f>'MTK3'!G47</f>
        <v>99</v>
      </c>
      <c r="W49" s="583">
        <f>'MTK3'!W47</f>
        <v>99</v>
      </c>
      <c r="X49" s="583">
        <f>'MTK3'!X47</f>
        <v>74.5</v>
      </c>
      <c r="Y49" s="583">
        <f>'MTK3'!Y47</f>
        <v>99</v>
      </c>
      <c r="Z49" s="589">
        <f>'IPA3'!E47</f>
        <v>99</v>
      </c>
      <c r="AA49" s="589">
        <f>'IPA3'!F47</f>
        <v>99</v>
      </c>
      <c r="AB49" s="589">
        <f>'IPA3'!R47</f>
        <v>99</v>
      </c>
      <c r="AC49" s="589">
        <f>'IPA3'!S47</f>
        <v>99</v>
      </c>
      <c r="AD49" s="589">
        <f>'IPS3'!E47</f>
        <v>99</v>
      </c>
      <c r="AE49" s="589">
        <f>'IPS3'!F47</f>
        <v>99</v>
      </c>
      <c r="AF49" s="589">
        <f>'IPS3'!R47</f>
        <v>99</v>
      </c>
      <c r="AG49" s="589">
        <f>'IPS3'!S47</f>
        <v>99</v>
      </c>
      <c r="AH49" s="589">
        <f>SBDP3!F47</f>
        <v>99</v>
      </c>
      <c r="AI49" s="589">
        <f>SBDP3!G47</f>
        <v>99</v>
      </c>
      <c r="AJ49" s="589">
        <f>SBDP3!H47</f>
        <v>99</v>
      </c>
      <c r="AK49" s="589">
        <f>SBDP3!S47</f>
        <v>99</v>
      </c>
      <c r="AL49" s="589">
        <f>SBDP3!T47</f>
        <v>99</v>
      </c>
      <c r="AM49" s="589">
        <f>SBDP3!U47</f>
        <v>99</v>
      </c>
      <c r="AN49" s="589">
        <f>PJOK3!E47</f>
        <v>99</v>
      </c>
      <c r="AO49" s="589">
        <f>PJOK3!F47</f>
        <v>99</v>
      </c>
      <c r="AP49" s="583">
        <f>PJOK3!R47</f>
        <v>74.5</v>
      </c>
      <c r="AQ49" s="583">
        <f>PJOK3!S47</f>
        <v>77.5</v>
      </c>
      <c r="AR49" s="589">
        <f>'MLK1-3'!E47</f>
        <v>99</v>
      </c>
      <c r="AS49" s="589">
        <f>'MLK1-3'!F47</f>
        <v>99</v>
      </c>
      <c r="AT49" s="589">
        <f>'MLK1-3'!G47</f>
        <v>99</v>
      </c>
      <c r="AU49" s="583">
        <f>'MLK1-3'!T47</f>
        <v>74.5</v>
      </c>
      <c r="AV49" s="583">
        <f>'MLK1-3'!U47</f>
        <v>77.5</v>
      </c>
      <c r="AW49" s="583">
        <f>'MLK1-3'!V47</f>
        <v>0</v>
      </c>
      <c r="AX49" s="589">
        <f>'MLK2-3'!E47</f>
        <v>99</v>
      </c>
      <c r="AY49" s="589">
        <f>'MLK2-3'!F47</f>
        <v>99</v>
      </c>
      <c r="AZ49" s="589">
        <f>'MLK2-3'!G47</f>
        <v>99</v>
      </c>
      <c r="BA49" s="583">
        <f>'MLK2-3'!S47</f>
        <v>74.5</v>
      </c>
      <c r="BB49" s="583">
        <f>'MLK2-3'!T47</f>
        <v>77.5</v>
      </c>
      <c r="BC49" s="583">
        <f>'MLK2-3'!U47</f>
        <v>0</v>
      </c>
      <c r="BD49" s="589">
        <f>'MLK3-3'!E47</f>
        <v>99</v>
      </c>
      <c r="BE49" s="589">
        <f>'MLK3-3'!F47</f>
        <v>99</v>
      </c>
      <c r="BF49" s="583">
        <f>'MLK3-3'!S47</f>
        <v>74.5</v>
      </c>
      <c r="BG49" s="583">
        <f>'MLK3-3'!T47</f>
        <v>77.5</v>
      </c>
      <c r="BH49" s="471"/>
    </row>
    <row r="50" spans="1:60" ht="15.75">
      <c r="A50" s="191">
        <v>44</v>
      </c>
      <c r="B50" s="529">
        <f>SISWA!B49</f>
        <v>0</v>
      </c>
      <c r="C50" s="572" t="str">
        <f>SISWA!C49</f>
        <v>Anak 44</v>
      </c>
      <c r="D50" s="596">
        <f>'PAI3'!E49</f>
        <v>99</v>
      </c>
      <c r="E50" s="596">
        <f>'PAI3'!F49</f>
        <v>99</v>
      </c>
      <c r="F50" s="596">
        <f>'PAI3'!G49</f>
        <v>99</v>
      </c>
      <c r="G50" s="597">
        <f>'PAI3'!R49</f>
        <v>99</v>
      </c>
      <c r="H50" s="597">
        <f>'PAI3'!S49</f>
        <v>99</v>
      </c>
      <c r="I50" s="597">
        <f>'PAI3'!T49</f>
        <v>99</v>
      </c>
      <c r="J50" s="589">
        <f>'PKN3'!F48</f>
        <v>99</v>
      </c>
      <c r="K50" s="589">
        <f>'PKN3'!G48</f>
        <v>99</v>
      </c>
      <c r="L50" s="589">
        <f>'PKN3'!M48</f>
        <v>74.5</v>
      </c>
      <c r="M50" s="589">
        <f>'PKN3'!N48</f>
        <v>80.25</v>
      </c>
      <c r="N50" s="589">
        <f>BIND3!F48</f>
        <v>99</v>
      </c>
      <c r="O50" s="589">
        <f>BIND3!G48</f>
        <v>99</v>
      </c>
      <c r="P50" s="589"/>
      <c r="Q50" s="589">
        <f>BIND3!U48</f>
        <v>99</v>
      </c>
      <c r="R50" s="589">
        <f>BIND3!V48</f>
        <v>99</v>
      </c>
      <c r="S50" s="589"/>
      <c r="T50" s="589">
        <f>'MTK3'!E48</f>
        <v>99</v>
      </c>
      <c r="U50" s="589">
        <f>'MTK3'!F48</f>
        <v>99</v>
      </c>
      <c r="V50" s="589">
        <f>'MTK3'!G48</f>
        <v>99</v>
      </c>
      <c r="W50" s="583">
        <f>'MTK3'!W48</f>
        <v>99</v>
      </c>
      <c r="X50" s="583">
        <f>'MTK3'!X48</f>
        <v>74.5</v>
      </c>
      <c r="Y50" s="583">
        <f>'MTK3'!Y48</f>
        <v>99</v>
      </c>
      <c r="Z50" s="589">
        <f>'IPA3'!E48</f>
        <v>99</v>
      </c>
      <c r="AA50" s="589">
        <f>'IPA3'!F48</f>
        <v>99</v>
      </c>
      <c r="AB50" s="589">
        <f>'IPA3'!R48</f>
        <v>99</v>
      </c>
      <c r="AC50" s="589">
        <f>'IPA3'!S48</f>
        <v>99</v>
      </c>
      <c r="AD50" s="589">
        <f>'IPS3'!E48</f>
        <v>99</v>
      </c>
      <c r="AE50" s="589">
        <f>'IPS3'!F48</f>
        <v>99</v>
      </c>
      <c r="AF50" s="589">
        <f>'IPS3'!R48</f>
        <v>99</v>
      </c>
      <c r="AG50" s="589">
        <f>'IPS3'!S48</f>
        <v>99</v>
      </c>
      <c r="AH50" s="589">
        <f>SBDP3!F48</f>
        <v>99</v>
      </c>
      <c r="AI50" s="589">
        <f>SBDP3!G48</f>
        <v>99</v>
      </c>
      <c r="AJ50" s="589">
        <f>SBDP3!H48</f>
        <v>99</v>
      </c>
      <c r="AK50" s="589">
        <f>SBDP3!S48</f>
        <v>99</v>
      </c>
      <c r="AL50" s="589">
        <f>SBDP3!T48</f>
        <v>99</v>
      </c>
      <c r="AM50" s="589">
        <f>SBDP3!U48</f>
        <v>99</v>
      </c>
      <c r="AN50" s="589">
        <f>PJOK3!E48</f>
        <v>99</v>
      </c>
      <c r="AO50" s="589">
        <f>PJOK3!F48</f>
        <v>99</v>
      </c>
      <c r="AP50" s="583">
        <f>PJOK3!R48</f>
        <v>74.5</v>
      </c>
      <c r="AQ50" s="583">
        <f>PJOK3!S48</f>
        <v>80.25</v>
      </c>
      <c r="AR50" s="589">
        <f>'MLK1-3'!E48</f>
        <v>99</v>
      </c>
      <c r="AS50" s="589">
        <f>'MLK1-3'!F48</f>
        <v>99</v>
      </c>
      <c r="AT50" s="589">
        <f>'MLK1-3'!G48</f>
        <v>99</v>
      </c>
      <c r="AU50" s="583">
        <f>'MLK1-3'!T48</f>
        <v>74.5</v>
      </c>
      <c r="AV50" s="583">
        <f>'MLK1-3'!U48</f>
        <v>80.25</v>
      </c>
      <c r="AW50" s="583">
        <f>'MLK1-3'!V48</f>
        <v>0</v>
      </c>
      <c r="AX50" s="589">
        <f>'MLK2-3'!E48</f>
        <v>99</v>
      </c>
      <c r="AY50" s="589">
        <f>'MLK2-3'!F48</f>
        <v>99</v>
      </c>
      <c r="AZ50" s="589">
        <f>'MLK2-3'!G48</f>
        <v>99</v>
      </c>
      <c r="BA50" s="583">
        <f>'MLK2-3'!S48</f>
        <v>74.5</v>
      </c>
      <c r="BB50" s="583">
        <f>'MLK2-3'!T48</f>
        <v>80.25</v>
      </c>
      <c r="BC50" s="583">
        <f>'MLK2-3'!U48</f>
        <v>0</v>
      </c>
      <c r="BD50" s="589">
        <f>'MLK3-3'!E48</f>
        <v>99</v>
      </c>
      <c r="BE50" s="589">
        <f>'MLK3-3'!F48</f>
        <v>99</v>
      </c>
      <c r="BF50" s="583">
        <f>'MLK3-3'!S48</f>
        <v>74.5</v>
      </c>
      <c r="BG50" s="583">
        <f>'MLK3-3'!T48</f>
        <v>80.25</v>
      </c>
      <c r="BH50" s="471"/>
    </row>
    <row r="51" spans="1:60" ht="15.75">
      <c r="A51" s="191">
        <v>45</v>
      </c>
      <c r="B51" s="529">
        <f>SISWA!B50</f>
        <v>0</v>
      </c>
      <c r="C51" s="572" t="str">
        <f>SISWA!C50</f>
        <v>Anak 45</v>
      </c>
      <c r="D51" s="596">
        <f>'PAI3'!E50</f>
        <v>99</v>
      </c>
      <c r="E51" s="596">
        <f>'PAI3'!F50</f>
        <v>99</v>
      </c>
      <c r="F51" s="596">
        <f>'PAI3'!G50</f>
        <v>99</v>
      </c>
      <c r="G51" s="597">
        <f>'PAI3'!R50</f>
        <v>99</v>
      </c>
      <c r="H51" s="597">
        <f>'PAI3'!S50</f>
        <v>99</v>
      </c>
      <c r="I51" s="597">
        <f>'PAI3'!T50</f>
        <v>99</v>
      </c>
      <c r="J51" s="589">
        <f>'PKN3'!F49</f>
        <v>99</v>
      </c>
      <c r="K51" s="589">
        <f>'PKN3'!G49</f>
        <v>99</v>
      </c>
      <c r="L51" s="589">
        <f>'PKN3'!M49</f>
        <v>74.5</v>
      </c>
      <c r="M51" s="589">
        <f>'PKN3'!N49</f>
        <v>72.25</v>
      </c>
      <c r="N51" s="589">
        <f>BIND3!F49</f>
        <v>99</v>
      </c>
      <c r="O51" s="589">
        <f>BIND3!G49</f>
        <v>99</v>
      </c>
      <c r="P51" s="589"/>
      <c r="Q51" s="589">
        <f>BIND3!U49</f>
        <v>99</v>
      </c>
      <c r="R51" s="589">
        <f>BIND3!V49</f>
        <v>99</v>
      </c>
      <c r="S51" s="589"/>
      <c r="T51" s="589">
        <f>'MTK3'!E49</f>
        <v>99</v>
      </c>
      <c r="U51" s="589">
        <f>'MTK3'!F49</f>
        <v>99</v>
      </c>
      <c r="V51" s="589">
        <f>'MTK3'!G49</f>
        <v>99</v>
      </c>
      <c r="W51" s="583">
        <f>'MTK3'!W49</f>
        <v>99</v>
      </c>
      <c r="X51" s="583">
        <f>'MTK3'!X49</f>
        <v>74.5</v>
      </c>
      <c r="Y51" s="583">
        <f>'MTK3'!Y49</f>
        <v>99</v>
      </c>
      <c r="Z51" s="589">
        <f>'IPA3'!E49</f>
        <v>99</v>
      </c>
      <c r="AA51" s="589">
        <f>'IPA3'!F49</f>
        <v>99</v>
      </c>
      <c r="AB51" s="589">
        <f>'IPA3'!R49</f>
        <v>99</v>
      </c>
      <c r="AC51" s="589">
        <f>'IPA3'!S49</f>
        <v>99</v>
      </c>
      <c r="AD51" s="589">
        <f>'IPS3'!E49</f>
        <v>99</v>
      </c>
      <c r="AE51" s="589">
        <f>'IPS3'!F49</f>
        <v>99</v>
      </c>
      <c r="AF51" s="589">
        <f>'IPS3'!R49</f>
        <v>99</v>
      </c>
      <c r="AG51" s="589">
        <f>'IPS3'!S49</f>
        <v>99</v>
      </c>
      <c r="AH51" s="589">
        <f>SBDP3!F49</f>
        <v>99</v>
      </c>
      <c r="AI51" s="589">
        <f>SBDP3!G49</f>
        <v>99</v>
      </c>
      <c r="AJ51" s="589">
        <f>SBDP3!H49</f>
        <v>99</v>
      </c>
      <c r="AK51" s="589">
        <f>SBDP3!S49</f>
        <v>99</v>
      </c>
      <c r="AL51" s="589">
        <f>SBDP3!T49</f>
        <v>99</v>
      </c>
      <c r="AM51" s="589">
        <f>SBDP3!U49</f>
        <v>99</v>
      </c>
      <c r="AN51" s="589">
        <f>PJOK3!E49</f>
        <v>99</v>
      </c>
      <c r="AO51" s="589">
        <f>PJOK3!F49</f>
        <v>99</v>
      </c>
      <c r="AP51" s="583">
        <f>PJOK3!R49</f>
        <v>74.5</v>
      </c>
      <c r="AQ51" s="583">
        <f>PJOK3!S49</f>
        <v>72.25</v>
      </c>
      <c r="AR51" s="589">
        <f>'MLK1-3'!E49</f>
        <v>99</v>
      </c>
      <c r="AS51" s="589">
        <f>'MLK1-3'!F49</f>
        <v>99</v>
      </c>
      <c r="AT51" s="589">
        <f>'MLK1-3'!G49</f>
        <v>99</v>
      </c>
      <c r="AU51" s="583">
        <f>'MLK1-3'!T49</f>
        <v>74.5</v>
      </c>
      <c r="AV51" s="583">
        <f>'MLK1-3'!U49</f>
        <v>72.25</v>
      </c>
      <c r="AW51" s="583">
        <f>'MLK1-3'!V49</f>
        <v>0</v>
      </c>
      <c r="AX51" s="589">
        <f>'MLK2-3'!E49</f>
        <v>99</v>
      </c>
      <c r="AY51" s="589">
        <f>'MLK2-3'!F49</f>
        <v>99</v>
      </c>
      <c r="AZ51" s="589">
        <f>'MLK2-3'!G49</f>
        <v>99</v>
      </c>
      <c r="BA51" s="583">
        <f>'MLK2-3'!S49</f>
        <v>74.5</v>
      </c>
      <c r="BB51" s="583">
        <f>'MLK2-3'!T49</f>
        <v>72.25</v>
      </c>
      <c r="BC51" s="583">
        <f>'MLK2-3'!U49</f>
        <v>0</v>
      </c>
      <c r="BD51" s="589">
        <f>'MLK3-3'!E49</f>
        <v>99</v>
      </c>
      <c r="BE51" s="589">
        <f>'MLK3-3'!F49</f>
        <v>99</v>
      </c>
      <c r="BF51" s="583">
        <f>'MLK3-3'!S49</f>
        <v>74.5</v>
      </c>
      <c r="BG51" s="583">
        <f>'MLK3-3'!T49</f>
        <v>72.25</v>
      </c>
      <c r="BH51" s="471"/>
    </row>
    <row r="52" spans="1:60" ht="15.75">
      <c r="A52" s="191">
        <v>46</v>
      </c>
      <c r="B52" s="529">
        <f>SISWA!B51</f>
        <v>0</v>
      </c>
      <c r="C52" s="572" t="str">
        <f>SISWA!C51</f>
        <v>Anak 46</v>
      </c>
      <c r="D52" s="596">
        <f>'PAI3'!E51</f>
        <v>99</v>
      </c>
      <c r="E52" s="596">
        <f>'PAI3'!F51</f>
        <v>99</v>
      </c>
      <c r="F52" s="596">
        <f>'PAI3'!G51</f>
        <v>99</v>
      </c>
      <c r="G52" s="597">
        <f>'PAI3'!R51</f>
        <v>99</v>
      </c>
      <c r="H52" s="597">
        <f>'PAI3'!S51</f>
        <v>99</v>
      </c>
      <c r="I52" s="597">
        <f>'PAI3'!T51</f>
        <v>99</v>
      </c>
      <c r="J52" s="589">
        <f>'PKN3'!F50</f>
        <v>99</v>
      </c>
      <c r="K52" s="589">
        <f>'PKN3'!G50</f>
        <v>99</v>
      </c>
      <c r="L52" s="589">
        <f>'PKN3'!M50</f>
        <v>84</v>
      </c>
      <c r="M52" s="589">
        <f>'PKN3'!N50</f>
        <v>84</v>
      </c>
      <c r="N52" s="589">
        <f>BIND3!F50</f>
        <v>99</v>
      </c>
      <c r="O52" s="589">
        <f>BIND3!G50</f>
        <v>99</v>
      </c>
      <c r="P52" s="589"/>
      <c r="Q52" s="589">
        <f>BIND3!U50</f>
        <v>99</v>
      </c>
      <c r="R52" s="589">
        <f>BIND3!V50</f>
        <v>99</v>
      </c>
      <c r="S52" s="589"/>
      <c r="T52" s="589">
        <f>'MTK3'!E50</f>
        <v>99</v>
      </c>
      <c r="U52" s="589">
        <f>'MTK3'!F50</f>
        <v>99</v>
      </c>
      <c r="V52" s="589">
        <f>'MTK3'!G50</f>
        <v>99</v>
      </c>
      <c r="W52" s="583">
        <f>'MTK3'!W50</f>
        <v>99</v>
      </c>
      <c r="X52" s="583">
        <f>'MTK3'!X50</f>
        <v>84</v>
      </c>
      <c r="Y52" s="583">
        <f>'MTK3'!Y50</f>
        <v>99</v>
      </c>
      <c r="Z52" s="589">
        <f>'IPA3'!E50</f>
        <v>99</v>
      </c>
      <c r="AA52" s="589">
        <f>'IPA3'!F50</f>
        <v>99</v>
      </c>
      <c r="AB52" s="589">
        <f>'IPA3'!R50</f>
        <v>99</v>
      </c>
      <c r="AC52" s="589">
        <f>'IPA3'!S50</f>
        <v>99</v>
      </c>
      <c r="AD52" s="589">
        <f>'IPS3'!E50</f>
        <v>99</v>
      </c>
      <c r="AE52" s="589">
        <f>'IPS3'!F50</f>
        <v>99</v>
      </c>
      <c r="AF52" s="589">
        <f>'IPS3'!R50</f>
        <v>99</v>
      </c>
      <c r="AG52" s="589">
        <f>'IPS3'!S50</f>
        <v>99</v>
      </c>
      <c r="AH52" s="589">
        <f>SBDP3!F50</f>
        <v>99</v>
      </c>
      <c r="AI52" s="589">
        <f>SBDP3!G50</f>
        <v>99</v>
      </c>
      <c r="AJ52" s="589">
        <f>SBDP3!H50</f>
        <v>99</v>
      </c>
      <c r="AK52" s="589">
        <f>SBDP3!S50</f>
        <v>99</v>
      </c>
      <c r="AL52" s="589">
        <f>SBDP3!T50</f>
        <v>99</v>
      </c>
      <c r="AM52" s="589">
        <f>SBDP3!U50</f>
        <v>99</v>
      </c>
      <c r="AN52" s="589">
        <f>PJOK3!E50</f>
        <v>99</v>
      </c>
      <c r="AO52" s="589">
        <f>PJOK3!F50</f>
        <v>99</v>
      </c>
      <c r="AP52" s="583">
        <f>PJOK3!R50</f>
        <v>84</v>
      </c>
      <c r="AQ52" s="583">
        <f>PJOK3!S50</f>
        <v>84</v>
      </c>
      <c r="AR52" s="589">
        <f>'MLK1-3'!E50</f>
        <v>99</v>
      </c>
      <c r="AS52" s="589">
        <f>'MLK1-3'!F50</f>
        <v>99</v>
      </c>
      <c r="AT52" s="589">
        <f>'MLK1-3'!G50</f>
        <v>99</v>
      </c>
      <c r="AU52" s="583">
        <f>'MLK1-3'!T50</f>
        <v>84</v>
      </c>
      <c r="AV52" s="583">
        <f>'MLK1-3'!U50</f>
        <v>84</v>
      </c>
      <c r="AW52" s="583">
        <f>'MLK1-3'!V50</f>
        <v>0</v>
      </c>
      <c r="AX52" s="589">
        <f>'MLK2-3'!E50</f>
        <v>99</v>
      </c>
      <c r="AY52" s="589">
        <f>'MLK2-3'!F50</f>
        <v>99</v>
      </c>
      <c r="AZ52" s="589">
        <f>'MLK2-3'!G50</f>
        <v>99</v>
      </c>
      <c r="BA52" s="583">
        <f>'MLK2-3'!S50</f>
        <v>84</v>
      </c>
      <c r="BB52" s="583">
        <f>'MLK2-3'!T50</f>
        <v>84</v>
      </c>
      <c r="BC52" s="583">
        <f>'MLK2-3'!U50</f>
        <v>0</v>
      </c>
      <c r="BD52" s="589">
        <f>'MLK3-3'!E50</f>
        <v>99</v>
      </c>
      <c r="BE52" s="589">
        <f>'MLK3-3'!F50</f>
        <v>99</v>
      </c>
      <c r="BF52" s="583">
        <f>'MLK3-3'!S50</f>
        <v>84</v>
      </c>
      <c r="BG52" s="583">
        <f>'MLK3-3'!T50</f>
        <v>84</v>
      </c>
      <c r="BH52" s="471"/>
    </row>
    <row r="53" spans="1:60" ht="15.75">
      <c r="A53" s="191">
        <v>47</v>
      </c>
      <c r="B53" s="529">
        <f>SISWA!B52</f>
        <v>0</v>
      </c>
      <c r="C53" s="572" t="str">
        <f>SISWA!C52</f>
        <v>Anak 47</v>
      </c>
      <c r="D53" s="596">
        <f>'PAI3'!E52</f>
        <v>99</v>
      </c>
      <c r="E53" s="596">
        <f>'PAI3'!F52</f>
        <v>99</v>
      </c>
      <c r="F53" s="596">
        <f>'PAI3'!G52</f>
        <v>99</v>
      </c>
      <c r="G53" s="597">
        <f>'PAI3'!R52</f>
        <v>99</v>
      </c>
      <c r="H53" s="597">
        <f>'PAI3'!S52</f>
        <v>99</v>
      </c>
      <c r="I53" s="597">
        <f>'PAI3'!T52</f>
        <v>99</v>
      </c>
      <c r="J53" s="589">
        <f>'PKN3'!F51</f>
        <v>99</v>
      </c>
      <c r="K53" s="589">
        <f>'PKN3'!G51</f>
        <v>99</v>
      </c>
      <c r="L53" s="589">
        <f>'PKN3'!M51</f>
        <v>68.75</v>
      </c>
      <c r="M53" s="589">
        <f>'PKN3'!N51</f>
        <v>68.75</v>
      </c>
      <c r="N53" s="589">
        <f>BIND3!F51</f>
        <v>99</v>
      </c>
      <c r="O53" s="589">
        <f>BIND3!G51</f>
        <v>99</v>
      </c>
      <c r="P53" s="589"/>
      <c r="Q53" s="589">
        <f>BIND3!U51</f>
        <v>99</v>
      </c>
      <c r="R53" s="589">
        <f>BIND3!V51</f>
        <v>99</v>
      </c>
      <c r="S53" s="589"/>
      <c r="T53" s="589">
        <f>'MTK3'!E51</f>
        <v>99</v>
      </c>
      <c r="U53" s="589">
        <f>'MTK3'!F51</f>
        <v>99</v>
      </c>
      <c r="V53" s="589">
        <f>'MTK3'!G51</f>
        <v>99</v>
      </c>
      <c r="W53" s="583">
        <f>'MTK3'!W51</f>
        <v>99</v>
      </c>
      <c r="X53" s="583">
        <f>'MTK3'!X51</f>
        <v>68.75</v>
      </c>
      <c r="Y53" s="583">
        <f>'MTK3'!Y51</f>
        <v>99</v>
      </c>
      <c r="Z53" s="589">
        <f>'IPA3'!E51</f>
        <v>99</v>
      </c>
      <c r="AA53" s="589">
        <f>'IPA3'!F51</f>
        <v>99</v>
      </c>
      <c r="AB53" s="589">
        <f>'IPA3'!R51</f>
        <v>99</v>
      </c>
      <c r="AC53" s="589">
        <f>'IPA3'!S51</f>
        <v>99</v>
      </c>
      <c r="AD53" s="589">
        <f>'IPS3'!E51</f>
        <v>99</v>
      </c>
      <c r="AE53" s="589">
        <f>'IPS3'!F51</f>
        <v>99</v>
      </c>
      <c r="AF53" s="589">
        <f>'IPS3'!R51</f>
        <v>99</v>
      </c>
      <c r="AG53" s="589">
        <f>'IPS3'!S51</f>
        <v>99</v>
      </c>
      <c r="AH53" s="589">
        <f>SBDP3!F51</f>
        <v>99</v>
      </c>
      <c r="AI53" s="589">
        <f>SBDP3!G51</f>
        <v>99</v>
      </c>
      <c r="AJ53" s="589">
        <f>SBDP3!H51</f>
        <v>99</v>
      </c>
      <c r="AK53" s="589">
        <f>SBDP3!S51</f>
        <v>99</v>
      </c>
      <c r="AL53" s="589">
        <f>SBDP3!T51</f>
        <v>99</v>
      </c>
      <c r="AM53" s="589">
        <f>SBDP3!U51</f>
        <v>99</v>
      </c>
      <c r="AN53" s="589">
        <f>PJOK3!E51</f>
        <v>99</v>
      </c>
      <c r="AO53" s="589">
        <f>PJOK3!F51</f>
        <v>99</v>
      </c>
      <c r="AP53" s="583">
        <f>PJOK3!R51</f>
        <v>68.75</v>
      </c>
      <c r="AQ53" s="583">
        <f>PJOK3!S51</f>
        <v>68.75</v>
      </c>
      <c r="AR53" s="589">
        <f>'MLK1-3'!E51</f>
        <v>99</v>
      </c>
      <c r="AS53" s="589">
        <f>'MLK1-3'!F51</f>
        <v>99</v>
      </c>
      <c r="AT53" s="589">
        <f>'MLK1-3'!G51</f>
        <v>99</v>
      </c>
      <c r="AU53" s="583">
        <f>'MLK1-3'!T51</f>
        <v>68.75</v>
      </c>
      <c r="AV53" s="583">
        <f>'MLK1-3'!U51</f>
        <v>68.75</v>
      </c>
      <c r="AW53" s="583">
        <f>'MLK1-3'!V51</f>
        <v>0</v>
      </c>
      <c r="AX53" s="589">
        <f>'MLK2-3'!E51</f>
        <v>99</v>
      </c>
      <c r="AY53" s="589">
        <f>'MLK2-3'!F51</f>
        <v>99</v>
      </c>
      <c r="AZ53" s="589">
        <f>'MLK2-3'!G51</f>
        <v>99</v>
      </c>
      <c r="BA53" s="583">
        <f>'MLK2-3'!S51</f>
        <v>68.75</v>
      </c>
      <c r="BB53" s="583">
        <f>'MLK2-3'!T51</f>
        <v>68.75</v>
      </c>
      <c r="BC53" s="583">
        <f>'MLK2-3'!U51</f>
        <v>0</v>
      </c>
      <c r="BD53" s="589">
        <f>'MLK3-3'!E51</f>
        <v>99</v>
      </c>
      <c r="BE53" s="589">
        <f>'MLK3-3'!F51</f>
        <v>99</v>
      </c>
      <c r="BF53" s="583">
        <f>'MLK3-3'!S51</f>
        <v>68.75</v>
      </c>
      <c r="BG53" s="583">
        <f>'MLK3-3'!T51</f>
        <v>68.75</v>
      </c>
      <c r="BH53" s="471"/>
    </row>
    <row r="54" spans="1:60" ht="15.75">
      <c r="A54" s="191">
        <v>48</v>
      </c>
      <c r="B54" s="529">
        <f>SISWA!B53</f>
        <v>0</v>
      </c>
      <c r="C54" s="572" t="str">
        <f>SISWA!C53</f>
        <v>Anak 48</v>
      </c>
      <c r="D54" s="596">
        <f>'PAI3'!E53</f>
        <v>99</v>
      </c>
      <c r="E54" s="596">
        <f>'PAI3'!F53</f>
        <v>99</v>
      </c>
      <c r="F54" s="596">
        <f>'PAI3'!G53</f>
        <v>99</v>
      </c>
      <c r="G54" s="597">
        <f>'PAI3'!R53</f>
        <v>99</v>
      </c>
      <c r="H54" s="597">
        <f>'PAI3'!S53</f>
        <v>99</v>
      </c>
      <c r="I54" s="597">
        <f>'PAI3'!T53</f>
        <v>99</v>
      </c>
      <c r="J54" s="589">
        <f>'PKN3'!F52</f>
        <v>99</v>
      </c>
      <c r="K54" s="589">
        <f>'PKN3'!G52</f>
        <v>99</v>
      </c>
      <c r="L54" s="589">
        <f>'PKN3'!M52</f>
        <v>69.75</v>
      </c>
      <c r="M54" s="589">
        <f>'PKN3'!N52</f>
        <v>69.75</v>
      </c>
      <c r="N54" s="589">
        <f>BIND3!F52</f>
        <v>99</v>
      </c>
      <c r="O54" s="589">
        <f>BIND3!G52</f>
        <v>99</v>
      </c>
      <c r="P54" s="589"/>
      <c r="Q54" s="589">
        <f>BIND3!U52</f>
        <v>99</v>
      </c>
      <c r="R54" s="589">
        <f>BIND3!V52</f>
        <v>99</v>
      </c>
      <c r="S54" s="589"/>
      <c r="T54" s="589">
        <f>'MTK3'!E52</f>
        <v>99</v>
      </c>
      <c r="U54" s="589">
        <f>'MTK3'!F52</f>
        <v>99</v>
      </c>
      <c r="V54" s="589">
        <f>'MTK3'!G52</f>
        <v>99</v>
      </c>
      <c r="W54" s="583">
        <f>'MTK3'!W52</f>
        <v>99</v>
      </c>
      <c r="X54" s="583">
        <f>'MTK3'!X52</f>
        <v>69.75</v>
      </c>
      <c r="Y54" s="583">
        <f>'MTK3'!Y52</f>
        <v>99</v>
      </c>
      <c r="Z54" s="589">
        <f>'IPA3'!E52</f>
        <v>99</v>
      </c>
      <c r="AA54" s="589">
        <f>'IPA3'!F52</f>
        <v>99</v>
      </c>
      <c r="AB54" s="589">
        <f>'IPA3'!R52</f>
        <v>99</v>
      </c>
      <c r="AC54" s="589">
        <f>'IPA3'!S52</f>
        <v>99</v>
      </c>
      <c r="AD54" s="589">
        <f>'IPS3'!E52</f>
        <v>99</v>
      </c>
      <c r="AE54" s="589">
        <f>'IPS3'!F52</f>
        <v>99</v>
      </c>
      <c r="AF54" s="589">
        <f>'IPS3'!R52</f>
        <v>99</v>
      </c>
      <c r="AG54" s="589">
        <f>'IPS3'!S52</f>
        <v>99</v>
      </c>
      <c r="AH54" s="589">
        <f>SBDP3!F52</f>
        <v>99</v>
      </c>
      <c r="AI54" s="589">
        <f>SBDP3!G52</f>
        <v>99</v>
      </c>
      <c r="AJ54" s="589">
        <f>SBDP3!H52</f>
        <v>99</v>
      </c>
      <c r="AK54" s="589">
        <f>SBDP3!S52</f>
        <v>99</v>
      </c>
      <c r="AL54" s="589">
        <f>SBDP3!T52</f>
        <v>99</v>
      </c>
      <c r="AM54" s="589">
        <f>SBDP3!U52</f>
        <v>99</v>
      </c>
      <c r="AN54" s="589">
        <f>PJOK3!E52</f>
        <v>99</v>
      </c>
      <c r="AO54" s="589">
        <f>PJOK3!F52</f>
        <v>99</v>
      </c>
      <c r="AP54" s="583">
        <f>PJOK3!R52</f>
        <v>69.75</v>
      </c>
      <c r="AQ54" s="583">
        <f>PJOK3!S52</f>
        <v>69.75</v>
      </c>
      <c r="AR54" s="589">
        <f>'MLK1-3'!E52</f>
        <v>99</v>
      </c>
      <c r="AS54" s="589">
        <f>'MLK1-3'!F52</f>
        <v>99</v>
      </c>
      <c r="AT54" s="589">
        <f>'MLK1-3'!G52</f>
        <v>99</v>
      </c>
      <c r="AU54" s="583">
        <f>'MLK1-3'!T52</f>
        <v>69.75</v>
      </c>
      <c r="AV54" s="583">
        <f>'MLK1-3'!U52</f>
        <v>69.75</v>
      </c>
      <c r="AW54" s="583">
        <f>'MLK1-3'!V52</f>
        <v>0</v>
      </c>
      <c r="AX54" s="589">
        <f>'MLK2-3'!E52</f>
        <v>99</v>
      </c>
      <c r="AY54" s="589">
        <f>'MLK2-3'!F52</f>
        <v>99</v>
      </c>
      <c r="AZ54" s="589">
        <f>'MLK2-3'!G52</f>
        <v>99</v>
      </c>
      <c r="BA54" s="583">
        <f>'MLK2-3'!S52</f>
        <v>69.75</v>
      </c>
      <c r="BB54" s="583">
        <f>'MLK2-3'!T52</f>
        <v>69.75</v>
      </c>
      <c r="BC54" s="583">
        <f>'MLK2-3'!U52</f>
        <v>0</v>
      </c>
      <c r="BD54" s="589">
        <f>'MLK3-3'!E52</f>
        <v>99</v>
      </c>
      <c r="BE54" s="589">
        <f>'MLK3-3'!F52</f>
        <v>99</v>
      </c>
      <c r="BF54" s="583">
        <f>'MLK3-3'!S52</f>
        <v>69.75</v>
      </c>
      <c r="BG54" s="583">
        <f>'MLK3-3'!T52</f>
        <v>69.75</v>
      </c>
      <c r="BH54" s="471"/>
    </row>
    <row r="55" spans="1:60" ht="15.75">
      <c r="A55" s="191">
        <v>49</v>
      </c>
      <c r="B55" s="529">
        <f>SISWA!B54</f>
        <v>0</v>
      </c>
      <c r="C55" s="572" t="str">
        <f>SISWA!C54</f>
        <v>Anak 49</v>
      </c>
      <c r="D55" s="596">
        <f>'PAI3'!E54</f>
        <v>99</v>
      </c>
      <c r="E55" s="596">
        <f>'PAI3'!F54</f>
        <v>99</v>
      </c>
      <c r="F55" s="596">
        <f>'PAI3'!G54</f>
        <v>99</v>
      </c>
      <c r="G55" s="597">
        <f>'PAI3'!R54</f>
        <v>99</v>
      </c>
      <c r="H55" s="597">
        <f>'PAI3'!S54</f>
        <v>99</v>
      </c>
      <c r="I55" s="597">
        <f>'PAI3'!T54</f>
        <v>99</v>
      </c>
      <c r="J55" s="589">
        <f>'PKN3'!F53</f>
        <v>99</v>
      </c>
      <c r="K55" s="589">
        <f>'PKN3'!G53</f>
        <v>99</v>
      </c>
      <c r="L55" s="589">
        <f>'PKN3'!M53</f>
        <v>90</v>
      </c>
      <c r="M55" s="589">
        <f>'PKN3'!N53</f>
        <v>77.25</v>
      </c>
      <c r="N55" s="589">
        <f>BIND3!F53</f>
        <v>99</v>
      </c>
      <c r="O55" s="589">
        <f>BIND3!G53</f>
        <v>99</v>
      </c>
      <c r="P55" s="589"/>
      <c r="Q55" s="589">
        <f>BIND3!U53</f>
        <v>99</v>
      </c>
      <c r="R55" s="589">
        <f>BIND3!V53</f>
        <v>99</v>
      </c>
      <c r="S55" s="589"/>
      <c r="T55" s="589">
        <f>'MTK3'!E53</f>
        <v>99</v>
      </c>
      <c r="U55" s="589">
        <f>'MTK3'!F53</f>
        <v>99</v>
      </c>
      <c r="V55" s="589">
        <f>'MTK3'!G53</f>
        <v>99</v>
      </c>
      <c r="W55" s="583">
        <f>'MTK3'!W53</f>
        <v>99</v>
      </c>
      <c r="X55" s="583">
        <f>'MTK3'!X53</f>
        <v>90</v>
      </c>
      <c r="Y55" s="583">
        <f>'MTK3'!Y53</f>
        <v>99</v>
      </c>
      <c r="Z55" s="589">
        <f>'IPA3'!E53</f>
        <v>99</v>
      </c>
      <c r="AA55" s="589">
        <f>'IPA3'!F53</f>
        <v>99</v>
      </c>
      <c r="AB55" s="589">
        <f>'IPA3'!R53</f>
        <v>99</v>
      </c>
      <c r="AC55" s="589">
        <f>'IPA3'!S53</f>
        <v>99</v>
      </c>
      <c r="AD55" s="589">
        <f>'IPS3'!E53</f>
        <v>99</v>
      </c>
      <c r="AE55" s="589">
        <f>'IPS3'!F53</f>
        <v>99</v>
      </c>
      <c r="AF55" s="589">
        <f>'IPS3'!R53</f>
        <v>99</v>
      </c>
      <c r="AG55" s="589">
        <f>'IPS3'!S53</f>
        <v>99</v>
      </c>
      <c r="AH55" s="589">
        <f>SBDP3!F53</f>
        <v>99</v>
      </c>
      <c r="AI55" s="589">
        <f>SBDP3!G53</f>
        <v>99</v>
      </c>
      <c r="AJ55" s="589">
        <f>SBDP3!H53</f>
        <v>99</v>
      </c>
      <c r="AK55" s="589">
        <f>SBDP3!S53</f>
        <v>99</v>
      </c>
      <c r="AL55" s="589">
        <f>SBDP3!T53</f>
        <v>99</v>
      </c>
      <c r="AM55" s="589">
        <f>SBDP3!U53</f>
        <v>99</v>
      </c>
      <c r="AN55" s="589">
        <f>PJOK3!E53</f>
        <v>99</v>
      </c>
      <c r="AO55" s="589">
        <f>PJOK3!F53</f>
        <v>99</v>
      </c>
      <c r="AP55" s="583">
        <f>PJOK3!R53</f>
        <v>90</v>
      </c>
      <c r="AQ55" s="583">
        <f>PJOK3!S53</f>
        <v>77.25</v>
      </c>
      <c r="AR55" s="589">
        <f>'MLK1-3'!E53</f>
        <v>99</v>
      </c>
      <c r="AS55" s="589">
        <f>'MLK1-3'!F53</f>
        <v>99</v>
      </c>
      <c r="AT55" s="589">
        <f>'MLK1-3'!G53</f>
        <v>99</v>
      </c>
      <c r="AU55" s="583">
        <f>'MLK1-3'!T53</f>
        <v>90</v>
      </c>
      <c r="AV55" s="583">
        <f>'MLK1-3'!U53</f>
        <v>77.25</v>
      </c>
      <c r="AW55" s="583">
        <f>'MLK1-3'!V53</f>
        <v>0</v>
      </c>
      <c r="AX55" s="589">
        <f>'MLK2-3'!E53</f>
        <v>99</v>
      </c>
      <c r="AY55" s="589">
        <f>'MLK2-3'!F53</f>
        <v>99</v>
      </c>
      <c r="AZ55" s="589">
        <f>'MLK2-3'!G53</f>
        <v>99</v>
      </c>
      <c r="BA55" s="583">
        <f>'MLK2-3'!S53</f>
        <v>90</v>
      </c>
      <c r="BB55" s="583">
        <f>'MLK2-3'!T53</f>
        <v>77.25</v>
      </c>
      <c r="BC55" s="583">
        <f>'MLK2-3'!U53</f>
        <v>0</v>
      </c>
      <c r="BD55" s="589">
        <f>'MLK3-3'!E53</f>
        <v>99</v>
      </c>
      <c r="BE55" s="589">
        <f>'MLK3-3'!F53</f>
        <v>99</v>
      </c>
      <c r="BF55" s="583">
        <f>'MLK3-3'!S53</f>
        <v>90</v>
      </c>
      <c r="BG55" s="583">
        <f>'MLK3-3'!T53</f>
        <v>77.25</v>
      </c>
      <c r="BH55" s="471"/>
    </row>
    <row r="56" spans="1:60" ht="15.75">
      <c r="A56" s="191">
        <v>50</v>
      </c>
      <c r="B56" s="529">
        <f>SISWA!B55</f>
        <v>0</v>
      </c>
      <c r="C56" s="572" t="str">
        <f>SISWA!C55</f>
        <v>Anak 50</v>
      </c>
      <c r="D56" s="596">
        <f>'PAI3'!E55</f>
        <v>99</v>
      </c>
      <c r="E56" s="596">
        <f>'PAI3'!F55</f>
        <v>99</v>
      </c>
      <c r="F56" s="596">
        <f>'PAI3'!G55</f>
        <v>99</v>
      </c>
      <c r="G56" s="597">
        <f>'PAI3'!R55</f>
        <v>99</v>
      </c>
      <c r="H56" s="597">
        <f>'PAI3'!S55</f>
        <v>99</v>
      </c>
      <c r="I56" s="597">
        <f>'PAI3'!T55</f>
        <v>99</v>
      </c>
      <c r="J56" s="589">
        <f>'PKN3'!F54</f>
        <v>99</v>
      </c>
      <c r="K56" s="589">
        <f>'PKN3'!G54</f>
        <v>99</v>
      </c>
      <c r="L56" s="589">
        <f>'PKN3'!M54</f>
        <v>87.25</v>
      </c>
      <c r="M56" s="589">
        <f>'PKN3'!N54</f>
        <v>71.75</v>
      </c>
      <c r="N56" s="589">
        <f>BIND3!F54</f>
        <v>99</v>
      </c>
      <c r="O56" s="589">
        <f>BIND3!G54</f>
        <v>99</v>
      </c>
      <c r="P56" s="589"/>
      <c r="Q56" s="589">
        <f>BIND3!U54</f>
        <v>99</v>
      </c>
      <c r="R56" s="589">
        <f>BIND3!V54</f>
        <v>99</v>
      </c>
      <c r="S56" s="589"/>
      <c r="T56" s="589">
        <f>'MTK3'!E54</f>
        <v>99</v>
      </c>
      <c r="U56" s="589">
        <f>'MTK3'!F54</f>
        <v>99</v>
      </c>
      <c r="V56" s="589">
        <f>'MTK3'!G54</f>
        <v>99</v>
      </c>
      <c r="W56" s="583">
        <f>'MTK3'!W54</f>
        <v>99</v>
      </c>
      <c r="X56" s="583">
        <f>'MTK3'!X54</f>
        <v>87.25</v>
      </c>
      <c r="Y56" s="583">
        <f>'MTK3'!Y54</f>
        <v>99</v>
      </c>
      <c r="Z56" s="589">
        <f>'IPA3'!E54</f>
        <v>99</v>
      </c>
      <c r="AA56" s="589">
        <f>'IPA3'!F54</f>
        <v>99</v>
      </c>
      <c r="AB56" s="589">
        <f>'IPA3'!R54</f>
        <v>99</v>
      </c>
      <c r="AC56" s="589">
        <f>'IPA3'!S54</f>
        <v>99</v>
      </c>
      <c r="AD56" s="589">
        <f>'IPS3'!E54</f>
        <v>99</v>
      </c>
      <c r="AE56" s="589">
        <f>'IPS3'!F54</f>
        <v>99</v>
      </c>
      <c r="AF56" s="589">
        <f>'IPS3'!R54</f>
        <v>99</v>
      </c>
      <c r="AG56" s="589">
        <f>'IPS3'!S54</f>
        <v>99</v>
      </c>
      <c r="AH56" s="589">
        <f>SBDP3!F54</f>
        <v>99</v>
      </c>
      <c r="AI56" s="589">
        <f>SBDP3!G54</f>
        <v>99</v>
      </c>
      <c r="AJ56" s="589">
        <f>SBDP3!H54</f>
        <v>99</v>
      </c>
      <c r="AK56" s="589">
        <f>SBDP3!S54</f>
        <v>99</v>
      </c>
      <c r="AL56" s="589">
        <f>SBDP3!T54</f>
        <v>99</v>
      </c>
      <c r="AM56" s="589">
        <f>SBDP3!U54</f>
        <v>99</v>
      </c>
      <c r="AN56" s="589">
        <f>PJOK3!E54</f>
        <v>99</v>
      </c>
      <c r="AO56" s="589">
        <f>PJOK3!F54</f>
        <v>99</v>
      </c>
      <c r="AP56" s="583">
        <f>PJOK3!R54</f>
        <v>87.25</v>
      </c>
      <c r="AQ56" s="583">
        <f>PJOK3!S54</f>
        <v>71.75</v>
      </c>
      <c r="AR56" s="589">
        <f>'MLK1-3'!E54</f>
        <v>99</v>
      </c>
      <c r="AS56" s="589">
        <f>'MLK1-3'!F54</f>
        <v>99</v>
      </c>
      <c r="AT56" s="589">
        <f>'MLK1-3'!G54</f>
        <v>99</v>
      </c>
      <c r="AU56" s="583">
        <f>'MLK1-3'!T54</f>
        <v>87.25</v>
      </c>
      <c r="AV56" s="583">
        <f>'MLK1-3'!U54</f>
        <v>71.75</v>
      </c>
      <c r="AW56" s="583">
        <f>'MLK1-3'!V54</f>
        <v>0</v>
      </c>
      <c r="AX56" s="589">
        <f>'MLK2-3'!E54</f>
        <v>99</v>
      </c>
      <c r="AY56" s="589">
        <f>'MLK2-3'!F54</f>
        <v>99</v>
      </c>
      <c r="AZ56" s="589">
        <f>'MLK2-3'!G54</f>
        <v>99</v>
      </c>
      <c r="BA56" s="583">
        <f>'MLK2-3'!S54</f>
        <v>87.25</v>
      </c>
      <c r="BB56" s="583">
        <f>'MLK2-3'!T54</f>
        <v>71.75</v>
      </c>
      <c r="BC56" s="583">
        <f>'MLK2-3'!U54</f>
        <v>0</v>
      </c>
      <c r="BD56" s="589">
        <f>'MLK3-3'!E54</f>
        <v>99</v>
      </c>
      <c r="BE56" s="589">
        <f>'MLK3-3'!F54</f>
        <v>99</v>
      </c>
      <c r="BF56" s="583">
        <f>'MLK3-3'!S54</f>
        <v>87.25</v>
      </c>
      <c r="BG56" s="583">
        <f>'MLK3-3'!T54</f>
        <v>71.75</v>
      </c>
      <c r="BH56" s="471"/>
    </row>
    <row r="57" spans="1:60"/>
  </sheetData>
  <mergeCells count="38">
    <mergeCell ref="BH3:BH5"/>
    <mergeCell ref="AX4:AZ4"/>
    <mergeCell ref="BA4:BC4"/>
    <mergeCell ref="BD4:BE4"/>
    <mergeCell ref="BF4:BG4"/>
    <mergeCell ref="AR3:AW3"/>
    <mergeCell ref="AX3:BC3"/>
    <mergeCell ref="BD3:BG3"/>
    <mergeCell ref="AN4:AO4"/>
    <mergeCell ref="AP4:AQ4"/>
    <mergeCell ref="AN3:AQ3"/>
    <mergeCell ref="AR4:AT4"/>
    <mergeCell ref="AU4:AW4"/>
    <mergeCell ref="AD4:AE4"/>
    <mergeCell ref="AF4:AG4"/>
    <mergeCell ref="AD3:AG3"/>
    <mergeCell ref="AH3:AM3"/>
    <mergeCell ref="AH4:AJ4"/>
    <mergeCell ref="AK4:AM4"/>
    <mergeCell ref="Z4:AA4"/>
    <mergeCell ref="AB4:AC4"/>
    <mergeCell ref="N3:S3"/>
    <mergeCell ref="T4:V4"/>
    <mergeCell ref="W4:Y4"/>
    <mergeCell ref="Z3:AC3"/>
    <mergeCell ref="T3:Y3"/>
    <mergeCell ref="N4:P4"/>
    <mergeCell ref="Q4:S4"/>
    <mergeCell ref="B1:N1"/>
    <mergeCell ref="D3:I3"/>
    <mergeCell ref="J3:M3"/>
    <mergeCell ref="A3:A5"/>
    <mergeCell ref="B3:B5"/>
    <mergeCell ref="C3:C5"/>
    <mergeCell ref="J4:K4"/>
    <mergeCell ref="L4:M4"/>
    <mergeCell ref="D4:F4"/>
    <mergeCell ref="G4:I4"/>
  </mergeCells>
  <pageMargins left="0.7" right="0.7" top="0.75" bottom="0.75" header="0.3" footer="0.3"/>
  <pageSetup orientation="portrait" horizontalDpi="4294967293" verticalDpi="0" r:id="rId1"/>
  <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144"/>
  <sheetViews>
    <sheetView view="pageBreakPreview" zoomScale="70" zoomScaleNormal="100" zoomScaleSheetLayoutView="70" workbookViewId="0">
      <selection sqref="A1:S1"/>
    </sheetView>
  </sheetViews>
  <sheetFormatPr defaultRowHeight="15"/>
  <cols>
    <col min="1" max="1" width="4.28515625" customWidth="1"/>
    <col min="2" max="2" width="3.5703125" customWidth="1"/>
    <col min="3" max="3" width="10.7109375" customWidth="1"/>
    <col min="4" max="4" width="4.42578125" customWidth="1"/>
    <col min="5" max="5" width="2" customWidth="1"/>
    <col min="6" max="6" width="3" customWidth="1"/>
    <col min="7" max="7" width="27.140625" customWidth="1"/>
    <col min="8" max="8" width="12" customWidth="1"/>
    <col min="9" max="11" width="6" customWidth="1"/>
    <col min="12" max="12" width="5.7109375" customWidth="1"/>
    <col min="13" max="18" width="6" customWidth="1"/>
    <col min="19" max="19" width="8.5703125" customWidth="1"/>
    <col min="21" max="21" width="22.5703125" customWidth="1"/>
  </cols>
  <sheetData>
    <row r="1" spans="1:20" s="5" customFormat="1" ht="18" customHeight="1">
      <c r="A1" s="1351" t="str">
        <f>CONCATENATE(" Pemerintah Kabupaten ",DEPAN!E20)</f>
        <v xml:space="preserve"> Pemerintah Kabupaten Lumajang </v>
      </c>
      <c r="B1" s="1351"/>
      <c r="C1" s="1351"/>
      <c r="D1" s="1351"/>
      <c r="E1" s="1351"/>
      <c r="F1" s="1351"/>
      <c r="G1" s="1351"/>
      <c r="H1" s="1351"/>
      <c r="I1" s="1351"/>
      <c r="J1" s="1351"/>
      <c r="K1" s="1351"/>
      <c r="L1" s="1351"/>
      <c r="M1" s="1351"/>
      <c r="N1" s="1351"/>
      <c r="O1" s="1351"/>
      <c r="P1" s="1351"/>
      <c r="Q1" s="1351"/>
      <c r="R1" s="1351"/>
      <c r="S1" s="1351"/>
    </row>
    <row r="2" spans="1:20" s="5" customFormat="1" ht="18" customHeight="1">
      <c r="A2" s="1351" t="s">
        <v>735</v>
      </c>
      <c r="B2" s="1351"/>
      <c r="C2" s="1351"/>
      <c r="D2" s="1351"/>
      <c r="E2" s="1351"/>
      <c r="F2" s="1351"/>
      <c r="G2" s="1351"/>
      <c r="H2" s="1351"/>
      <c r="I2" s="1351"/>
      <c r="J2" s="1351"/>
      <c r="K2" s="1351"/>
      <c r="L2" s="1351"/>
      <c r="M2" s="1351"/>
      <c r="N2" s="1351"/>
      <c r="O2" s="1351"/>
      <c r="P2" s="1351"/>
      <c r="Q2" s="1351"/>
      <c r="R2" s="1351"/>
      <c r="S2" s="1351"/>
    </row>
    <row r="3" spans="1:20" s="5" customFormat="1" ht="28.5">
      <c r="A3" s="1352" t="str">
        <f>DEPAN!E10</f>
        <v>SDN UJUNG ASPAL 01</v>
      </c>
      <c r="B3" s="1352"/>
      <c r="C3" s="1352"/>
      <c r="D3" s="1352"/>
      <c r="E3" s="1352"/>
      <c r="F3" s="1352"/>
      <c r="G3" s="1352"/>
      <c r="H3" s="1352"/>
      <c r="I3" s="1352"/>
      <c r="J3" s="1352"/>
      <c r="K3" s="1352"/>
      <c r="L3" s="1352"/>
      <c r="M3" s="1352"/>
      <c r="N3" s="1352"/>
      <c r="O3" s="1352"/>
      <c r="P3" s="1352"/>
      <c r="Q3" s="1352"/>
      <c r="R3" s="1352"/>
      <c r="S3" s="1352"/>
    </row>
    <row r="4" spans="1:20" s="5" customFormat="1" ht="20.25" customHeight="1">
      <c r="A4" s="1351" t="str">
        <f>DEPAN!E11</f>
        <v>Jl.Ndeso gang 33 Sidokuto</v>
      </c>
      <c r="B4" s="1351"/>
      <c r="C4" s="1351"/>
      <c r="D4" s="1351"/>
      <c r="E4" s="1351"/>
      <c r="F4" s="1351"/>
      <c r="G4" s="1351"/>
      <c r="H4" s="1351"/>
      <c r="I4" s="1351"/>
      <c r="J4" s="1351"/>
      <c r="K4" s="1351"/>
      <c r="L4" s="1351"/>
      <c r="M4" s="1351"/>
      <c r="N4" s="1351"/>
      <c r="O4" s="1351"/>
      <c r="P4" s="1351"/>
      <c r="Q4" s="1351"/>
      <c r="R4" s="1351"/>
      <c r="S4" s="1351"/>
    </row>
    <row r="5" spans="1:20" s="5" customFormat="1" ht="24" customHeight="1">
      <c r="A5" s="1353" t="str">
        <f>CONCATENATE("Kecamatan ",DEPAN!E19," Kabupaten ",DEPAN!E20," Propinsi ",DEPAN!E21)</f>
        <v>Kecamatan Ranuyoso Kabupaten Lumajang  Propinsi Jawa Timur</v>
      </c>
      <c r="B5" s="1353"/>
      <c r="C5" s="1353"/>
      <c r="D5" s="1353"/>
      <c r="E5" s="1353"/>
      <c r="F5" s="1353"/>
      <c r="G5" s="1353"/>
      <c r="H5" s="1353"/>
      <c r="I5" s="1353"/>
      <c r="J5" s="1353"/>
      <c r="K5" s="1353"/>
      <c r="L5" s="1353"/>
      <c r="M5" s="1353"/>
      <c r="N5" s="1353"/>
      <c r="O5" s="1353"/>
      <c r="P5" s="1353"/>
      <c r="Q5" s="1353"/>
      <c r="R5" s="1353"/>
      <c r="S5" s="1353"/>
    </row>
    <row r="6" spans="1:20" s="5" customFormat="1" ht="13.5" customHeight="1">
      <c r="A6" s="1350"/>
      <c r="B6" s="1350"/>
      <c r="C6" s="1350"/>
      <c r="D6" s="1350"/>
      <c r="E6" s="1350"/>
      <c r="F6" s="1350"/>
      <c r="G6" s="1350"/>
      <c r="H6" s="1350"/>
      <c r="I6" s="1350"/>
      <c r="J6" s="1350"/>
      <c r="K6" s="1350"/>
      <c r="L6" s="1350"/>
      <c r="M6" s="1350"/>
    </row>
    <row r="7" spans="1:20" ht="13.5" customHeight="1"/>
    <row r="8" spans="1:20" s="5" customFormat="1" ht="13.5" customHeight="1">
      <c r="A8" s="1350"/>
      <c r="B8" s="1350"/>
      <c r="C8" s="1350"/>
      <c r="D8" s="1350"/>
      <c r="E8" s="1350"/>
      <c r="F8" s="1350"/>
      <c r="G8" s="1350"/>
      <c r="H8" s="1350"/>
      <c r="I8" s="1350"/>
      <c r="J8" s="1350"/>
      <c r="K8" s="1350"/>
      <c r="L8" s="1350"/>
      <c r="M8" s="1350"/>
    </row>
    <row r="9" spans="1:20" ht="24.75" customHeight="1">
      <c r="A9" s="1382" t="s">
        <v>910</v>
      </c>
      <c r="B9" s="1382"/>
      <c r="C9" s="1382"/>
      <c r="D9" s="1382"/>
      <c r="E9" s="1382"/>
      <c r="F9" s="1382"/>
      <c r="G9" s="1382"/>
      <c r="H9" s="1382"/>
      <c r="I9" s="1382"/>
      <c r="J9" s="1382"/>
      <c r="K9" s="1382"/>
      <c r="L9" s="1382"/>
      <c r="M9" s="1382"/>
      <c r="N9" s="1382"/>
      <c r="O9" s="1382"/>
      <c r="P9" s="1382"/>
      <c r="Q9" s="1382"/>
      <c r="R9" s="1382"/>
    </row>
    <row r="10" spans="1:20" ht="15.75" customHeight="1">
      <c r="A10" s="24"/>
      <c r="B10" s="24"/>
      <c r="C10" s="24"/>
      <c r="D10" s="24"/>
      <c r="E10" s="24"/>
      <c r="F10" s="24"/>
      <c r="G10" s="24"/>
      <c r="H10" s="24"/>
      <c r="I10" s="24"/>
      <c r="J10" s="24"/>
      <c r="K10" s="24"/>
      <c r="L10" s="24"/>
      <c r="M10" s="24"/>
      <c r="N10" s="24"/>
      <c r="O10" s="24"/>
      <c r="P10" s="24"/>
      <c r="Q10" s="24"/>
      <c r="R10" s="24"/>
    </row>
    <row r="11" spans="1:20" ht="15.75">
      <c r="A11" s="1372" t="s">
        <v>291</v>
      </c>
      <c r="B11" s="1372"/>
      <c r="C11" s="1372"/>
      <c r="D11" s="1372"/>
      <c r="E11" s="536" t="s">
        <v>188</v>
      </c>
      <c r="F11" s="1372" t="str">
        <f>VLOOKUP(T13,'REKAP PTS'!A3:BS56,3)</f>
        <v>Anak 1</v>
      </c>
      <c r="G11" s="1372"/>
      <c r="H11" s="1372"/>
      <c r="I11" s="1372"/>
      <c r="J11" s="1372"/>
      <c r="K11" s="1372"/>
      <c r="L11" s="1372"/>
      <c r="M11" s="537" t="s">
        <v>629</v>
      </c>
      <c r="N11" s="537"/>
      <c r="O11" s="537"/>
      <c r="P11" s="538" t="s">
        <v>188</v>
      </c>
      <c r="Q11" s="538"/>
      <c r="R11" s="537" t="str">
        <f>DEPAN!E14</f>
        <v>4 (Empat)</v>
      </c>
    </row>
    <row r="12" spans="1:20" ht="15.75" customHeight="1">
      <c r="A12" s="1372" t="s">
        <v>712</v>
      </c>
      <c r="B12" s="1372"/>
      <c r="C12" s="1372"/>
      <c r="D12" s="1372"/>
      <c r="E12" s="536" t="s">
        <v>188</v>
      </c>
      <c r="F12" s="1372">
        <f>VLOOKUP(T13,'REKAP PTS'!A3:BS56,2)</f>
        <v>4822</v>
      </c>
      <c r="G12" s="1372"/>
      <c r="H12" s="1372"/>
      <c r="I12" s="1372"/>
      <c r="J12" s="539"/>
      <c r="K12" s="1372"/>
      <c r="L12" s="1372"/>
      <c r="M12" s="537" t="s">
        <v>13</v>
      </c>
      <c r="N12" s="537"/>
      <c r="O12" s="537"/>
      <c r="P12" s="538" t="s">
        <v>188</v>
      </c>
      <c r="Q12" s="538"/>
      <c r="R12" s="537" t="str">
        <f>DEPAN!G14</f>
        <v>Genap</v>
      </c>
    </row>
    <row r="13" spans="1:20" ht="16.5" customHeight="1">
      <c r="A13" s="1372" t="s">
        <v>11</v>
      </c>
      <c r="B13" s="1372"/>
      <c r="C13" s="1372"/>
      <c r="D13" s="1372"/>
      <c r="E13" s="536" t="s">
        <v>188</v>
      </c>
      <c r="F13" s="1372" t="str">
        <f>DEPAN!E10</f>
        <v>SDN UJUNG ASPAL 01</v>
      </c>
      <c r="G13" s="1372"/>
      <c r="H13" s="1372"/>
      <c r="I13" s="1372"/>
      <c r="J13" s="1372"/>
      <c r="K13" s="1372"/>
      <c r="L13" s="1372"/>
      <c r="M13" s="537" t="s">
        <v>590</v>
      </c>
      <c r="N13" s="537"/>
      <c r="O13" s="537"/>
      <c r="P13" s="538" t="s">
        <v>188</v>
      </c>
      <c r="Q13" s="538"/>
      <c r="R13" s="537" t="str">
        <f>DEPAN!E15</f>
        <v>2018/2019</v>
      </c>
      <c r="T13" s="1371">
        <v>1</v>
      </c>
    </row>
    <row r="14" spans="1:20" ht="15.75">
      <c r="A14" s="1372" t="s">
        <v>217</v>
      </c>
      <c r="B14" s="1372"/>
      <c r="C14" s="1372"/>
      <c r="D14" s="1372"/>
      <c r="E14" s="536" t="s">
        <v>188</v>
      </c>
      <c r="F14" s="1372" t="str">
        <f>DEPAN!E11</f>
        <v>Jl.Ndeso gang 33 Sidokuto</v>
      </c>
      <c r="G14" s="1372"/>
      <c r="H14" s="1372"/>
      <c r="I14" s="1372"/>
      <c r="J14" s="1372"/>
      <c r="K14" s="1372"/>
      <c r="L14" s="1372"/>
      <c r="M14" s="1372"/>
      <c r="N14" s="1372"/>
      <c r="O14" s="1372"/>
      <c r="P14" s="1372"/>
      <c r="Q14" s="1372"/>
      <c r="R14" s="1372"/>
      <c r="T14" s="1371"/>
    </row>
    <row r="15" spans="1:20" ht="15.75" customHeight="1">
      <c r="A15" s="501"/>
      <c r="B15" s="501"/>
      <c r="C15" s="540"/>
      <c r="D15" s="540"/>
      <c r="E15" s="540"/>
      <c r="F15" s="540"/>
      <c r="G15" s="540"/>
      <c r="H15" s="540"/>
      <c r="I15" s="540"/>
      <c r="J15" s="540"/>
      <c r="K15" s="540"/>
      <c r="L15" s="540"/>
      <c r="M15" s="540"/>
      <c r="N15" s="540"/>
      <c r="O15" s="540"/>
      <c r="P15" s="540"/>
      <c r="Q15" s="540"/>
      <c r="R15" s="540"/>
    </row>
    <row r="16" spans="1:20" ht="16.5" customHeight="1">
      <c r="A16" s="501"/>
      <c r="B16" s="501"/>
      <c r="C16" s="541" t="s">
        <v>713</v>
      </c>
      <c r="D16" s="541"/>
      <c r="E16" s="540"/>
      <c r="F16" s="540"/>
      <c r="G16" s="540"/>
      <c r="H16" s="540"/>
      <c r="I16" s="540"/>
      <c r="J16" s="540"/>
      <c r="K16" s="540"/>
      <c r="L16" s="540"/>
      <c r="M16" s="540"/>
      <c r="N16" s="540"/>
      <c r="O16" s="540"/>
      <c r="P16" s="540"/>
      <c r="Q16" s="540"/>
      <c r="R16" s="540"/>
    </row>
    <row r="17" spans="1:20" ht="15.75">
      <c r="A17" s="501"/>
      <c r="B17" s="501"/>
      <c r="C17" s="540"/>
      <c r="D17" s="540"/>
      <c r="E17" s="540"/>
      <c r="F17" s="540"/>
      <c r="G17" s="540"/>
      <c r="H17" s="540"/>
      <c r="I17" s="540"/>
      <c r="J17" s="540"/>
      <c r="K17" s="540"/>
      <c r="L17" s="540"/>
      <c r="M17" s="540"/>
      <c r="N17" s="540"/>
      <c r="O17" s="540"/>
      <c r="P17" s="540"/>
      <c r="Q17" s="540"/>
      <c r="R17" s="540"/>
      <c r="S17" s="24"/>
      <c r="T17" t="s">
        <v>714</v>
      </c>
    </row>
    <row r="18" spans="1:20" ht="15.75" customHeight="1">
      <c r="A18" s="1373" t="s">
        <v>16</v>
      </c>
      <c r="B18" s="1374" t="s">
        <v>222</v>
      </c>
      <c r="C18" s="1375"/>
      <c r="D18" s="1375"/>
      <c r="E18" s="1375"/>
      <c r="F18" s="1375"/>
      <c r="G18" s="1376"/>
      <c r="H18" s="1369" t="s">
        <v>451</v>
      </c>
      <c r="I18" s="1380" t="s">
        <v>731</v>
      </c>
      <c r="J18" s="1380"/>
      <c r="K18" s="1380"/>
      <c r="L18" s="1380"/>
      <c r="M18" s="1380"/>
      <c r="N18" s="1380"/>
      <c r="O18" s="1380"/>
      <c r="P18" s="1380"/>
      <c r="Q18" s="1380"/>
      <c r="R18" s="1380"/>
      <c r="S18" s="24"/>
    </row>
    <row r="19" spans="1:20" ht="18.75">
      <c r="A19" s="1373"/>
      <c r="B19" s="1377"/>
      <c r="C19" s="1378"/>
      <c r="D19" s="1378"/>
      <c r="E19" s="1378"/>
      <c r="F19" s="1378"/>
      <c r="G19" s="1379"/>
      <c r="H19" s="1370"/>
      <c r="I19" s="1381" t="s">
        <v>695</v>
      </c>
      <c r="J19" s="1381"/>
      <c r="K19" s="1381"/>
      <c r="L19" s="1381"/>
      <c r="M19" s="1381"/>
      <c r="N19" s="1381" t="s">
        <v>732</v>
      </c>
      <c r="O19" s="1381"/>
      <c r="P19" s="1381"/>
      <c r="Q19" s="1381"/>
      <c r="R19" s="1381"/>
      <c r="S19" s="542"/>
    </row>
    <row r="20" spans="1:20" ht="18.75" customHeight="1">
      <c r="A20" s="1367" t="s">
        <v>715</v>
      </c>
      <c r="B20" s="1355" t="s">
        <v>637</v>
      </c>
      <c r="C20" s="1356"/>
      <c r="D20" s="1356"/>
      <c r="E20" s="1356"/>
      <c r="F20" s="1356"/>
      <c r="G20" s="1357"/>
      <c r="H20" s="1369">
        <f>'KI3'!C4</f>
        <v>63</v>
      </c>
      <c r="I20" s="582">
        <f>'REKAP PTS'!D5</f>
        <v>3.1</v>
      </c>
      <c r="J20" s="582">
        <f>'REKAP PTS'!E5</f>
        <v>3.2</v>
      </c>
      <c r="K20" s="582">
        <f>'REKAP PTS'!F5</f>
        <v>3.6</v>
      </c>
      <c r="L20" s="592"/>
      <c r="M20" s="592"/>
      <c r="N20" s="595">
        <f>'REKAP PTS'!G5</f>
        <v>3.1</v>
      </c>
      <c r="O20" s="595">
        <f>'REKAP PTS'!H5</f>
        <v>3.2</v>
      </c>
      <c r="P20" s="595">
        <f>'REKAP PTS'!I5</f>
        <v>3.6</v>
      </c>
      <c r="Q20" s="592"/>
      <c r="R20" s="592"/>
      <c r="S20" s="542"/>
    </row>
    <row r="21" spans="1:20" ht="18.75" customHeight="1">
      <c r="A21" s="1368"/>
      <c r="B21" s="1358"/>
      <c r="C21" s="1359"/>
      <c r="D21" s="1359"/>
      <c r="E21" s="1359"/>
      <c r="F21" s="1359"/>
      <c r="G21" s="1360"/>
      <c r="H21" s="1370"/>
      <c r="I21" s="593">
        <f>VLOOKUP($T$13,'REKAP PTS'!$A$3:$BS$56,4)</f>
        <v>89</v>
      </c>
      <c r="J21" s="593">
        <f>VLOOKUP($T$13,'REKAP PTS'!$A$3:$BS$56,5)</f>
        <v>99</v>
      </c>
      <c r="K21" s="593">
        <f>VLOOKUP($T$13,'REKAP PTS'!$A$3:$BS$56,6)</f>
        <v>100</v>
      </c>
      <c r="L21" s="544"/>
      <c r="M21" s="573"/>
      <c r="N21" s="593">
        <f>VLOOKUP($T$13,'REKAP PTS'!$A$3:$BS$56,7)</f>
        <v>89</v>
      </c>
      <c r="O21" s="593">
        <f>VLOOKUP($T$13,'REKAP PTS'!$A$3:$BS$56,8)</f>
        <v>99</v>
      </c>
      <c r="P21" s="593">
        <f>VLOOKUP($T$13,'REKAP PTS'!$A$3:$BS$56,9)</f>
        <v>100</v>
      </c>
      <c r="Q21" s="573"/>
      <c r="R21" s="573"/>
      <c r="S21" s="545"/>
    </row>
    <row r="22" spans="1:20" ht="18.75" customHeight="1">
      <c r="A22" s="1367" t="s">
        <v>716</v>
      </c>
      <c r="B22" s="1355" t="s">
        <v>638</v>
      </c>
      <c r="C22" s="1356"/>
      <c r="D22" s="1356"/>
      <c r="E22" s="1356"/>
      <c r="F22" s="1356"/>
      <c r="G22" s="1357"/>
      <c r="H22" s="1369">
        <f>'KI3'!C6</f>
        <v>64</v>
      </c>
      <c r="I22" s="573" t="str">
        <f>'REKAP PTS'!J5</f>
        <v>3.3</v>
      </c>
      <c r="J22" s="573" t="str">
        <f>'REKAP PTS'!K5</f>
        <v>3.4</v>
      </c>
      <c r="K22" s="573"/>
      <c r="L22" s="544"/>
      <c r="M22" s="573"/>
      <c r="N22" s="573" t="str">
        <f>'REKAP PTS'!L5</f>
        <v>3.3</v>
      </c>
      <c r="O22" s="573" t="str">
        <f>'REKAP PTS'!M5</f>
        <v>3.4</v>
      </c>
      <c r="P22" s="573"/>
      <c r="Q22" s="573"/>
      <c r="R22" s="573"/>
      <c r="S22" s="546"/>
    </row>
    <row r="23" spans="1:20" ht="18.75" customHeight="1">
      <c r="A23" s="1368"/>
      <c r="B23" s="1358"/>
      <c r="C23" s="1359"/>
      <c r="D23" s="1359"/>
      <c r="E23" s="1359"/>
      <c r="F23" s="1359"/>
      <c r="G23" s="1360"/>
      <c r="H23" s="1370"/>
      <c r="I23" s="593">
        <f>VLOOKUP($T$13,'REKAP PTS'!$A$3:$BS$56,10)</f>
        <v>99</v>
      </c>
      <c r="J23" s="593">
        <f>VLOOKUP($T$13,'REKAP PTS'!$A$3:$BS$56,11)</f>
        <v>100</v>
      </c>
      <c r="K23" s="573"/>
      <c r="L23" s="544"/>
      <c r="M23" s="573"/>
      <c r="N23" s="593">
        <f>VLOOKUP($T$13,'REKAP PTS'!$A$3:$BS$56,12)</f>
        <v>61</v>
      </c>
      <c r="O23" s="593">
        <f>VLOOKUP($T$13,'REKAP PTS'!$A$3:$BS$56,13)</f>
        <v>100</v>
      </c>
      <c r="P23" s="573"/>
      <c r="Q23" s="573"/>
      <c r="R23" s="573"/>
      <c r="S23" s="546"/>
    </row>
    <row r="24" spans="1:20" ht="18.75" customHeight="1">
      <c r="A24" s="1367" t="s">
        <v>717</v>
      </c>
      <c r="B24" s="1355" t="s">
        <v>225</v>
      </c>
      <c r="C24" s="1356"/>
      <c r="D24" s="1356"/>
      <c r="E24" s="1356"/>
      <c r="F24" s="1356"/>
      <c r="G24" s="1357"/>
      <c r="H24" s="1369">
        <f>'KI3'!C8</f>
        <v>65</v>
      </c>
      <c r="I24" s="573" t="str">
        <f>'REKAP PTS'!N5</f>
        <v>3.6</v>
      </c>
      <c r="J24" s="573" t="str">
        <f>'REKAP PTS'!O5</f>
        <v>3.7</v>
      </c>
      <c r="K24" s="573">
        <f>'REKAP PTS'!P5</f>
        <v>0</v>
      </c>
      <c r="L24" s="544"/>
      <c r="M24" s="573"/>
      <c r="N24" s="573" t="str">
        <f>'REKAP PTS'!Q5</f>
        <v>3.6</v>
      </c>
      <c r="O24" s="573" t="str">
        <f>'REKAP PTS'!R5</f>
        <v>3.7</v>
      </c>
      <c r="P24" s="573">
        <f>'REKAP PTS'!S5</f>
        <v>0</v>
      </c>
      <c r="Q24" s="573"/>
      <c r="R24" s="573"/>
      <c r="S24" s="545"/>
    </row>
    <row r="25" spans="1:20" ht="18.75" customHeight="1">
      <c r="A25" s="1368"/>
      <c r="B25" s="1358"/>
      <c r="C25" s="1359"/>
      <c r="D25" s="1359"/>
      <c r="E25" s="1359"/>
      <c r="F25" s="1359"/>
      <c r="G25" s="1360"/>
      <c r="H25" s="1370"/>
      <c r="I25" s="593">
        <f>VLOOKUP($T$13,'REKAP PTS'!$A$3:$BS$56,14)</f>
        <v>89</v>
      </c>
      <c r="J25" s="593">
        <f>VLOOKUP($T$13,'REKAP PTS'!$A$3:$BS$56,15)</f>
        <v>89</v>
      </c>
      <c r="K25" s="593">
        <f>VLOOKUP($T$13,'REKAP PTS'!$A$3:$BS$56,16)</f>
        <v>0</v>
      </c>
      <c r="L25" s="544"/>
      <c r="M25" s="573"/>
      <c r="N25" s="593">
        <f>VLOOKUP($T$13,'REKAP PTS'!$A$3:$BS$56,17)</f>
        <v>67</v>
      </c>
      <c r="O25" s="593">
        <f>VLOOKUP($T$13,'REKAP PTS'!$A$3:$BS$56,18)</f>
        <v>77</v>
      </c>
      <c r="P25" s="593">
        <f>VLOOKUP($T$13,'REKAP PTS'!$A$3:$BS$56,19)</f>
        <v>0</v>
      </c>
      <c r="Q25" s="573"/>
      <c r="R25" s="573"/>
      <c r="S25" s="545"/>
    </row>
    <row r="26" spans="1:20" ht="18.75" customHeight="1">
      <c r="A26" s="1367" t="s">
        <v>718</v>
      </c>
      <c r="B26" s="1355" t="s">
        <v>226</v>
      </c>
      <c r="C26" s="1356"/>
      <c r="D26" s="1356"/>
      <c r="E26" s="1356"/>
      <c r="F26" s="1356"/>
      <c r="G26" s="1357"/>
      <c r="H26" s="1369">
        <f>'KI3'!C10</f>
        <v>66</v>
      </c>
      <c r="I26" s="573">
        <f>'REKAP PTS'!T5</f>
        <v>3.1</v>
      </c>
      <c r="J26" s="573">
        <f>'REKAP PTS'!U5</f>
        <v>3.2</v>
      </c>
      <c r="K26" s="573">
        <f>'REKAP PTS'!V5</f>
        <v>3.3</v>
      </c>
      <c r="L26" s="544"/>
      <c r="M26" s="573"/>
      <c r="N26" s="573">
        <f>'REKAP PTS'!W5</f>
        <v>3.1</v>
      </c>
      <c r="O26" s="573">
        <f>'REKAP PTS'!X5</f>
        <v>3.2</v>
      </c>
      <c r="P26" s="573">
        <f>'REKAP PTS'!Y5</f>
        <v>3.3</v>
      </c>
      <c r="Q26" s="573"/>
      <c r="R26" s="573"/>
      <c r="S26" s="542"/>
    </row>
    <row r="27" spans="1:20" ht="18.75" customHeight="1">
      <c r="A27" s="1368"/>
      <c r="B27" s="1358"/>
      <c r="C27" s="1359"/>
      <c r="D27" s="1359"/>
      <c r="E27" s="1359"/>
      <c r="F27" s="1359"/>
      <c r="G27" s="1360"/>
      <c r="H27" s="1370"/>
      <c r="I27" s="593">
        <f>VLOOKUP($T$13,'REKAP PTS'!$A$3:$BS$56,20)</f>
        <v>0</v>
      </c>
      <c r="J27" s="593">
        <f>VLOOKUP($T$13,'REKAP PTS'!$A$3:$BS$56,21)</f>
        <v>0</v>
      </c>
      <c r="K27" s="593">
        <f>VLOOKUP($T$13,'REKAP PTS'!$A$3:$BS$56,22)</f>
        <v>0</v>
      </c>
      <c r="L27" s="544"/>
      <c r="M27" s="573"/>
      <c r="N27" s="593">
        <f>VLOOKUP($T$13,'REKAP PTS'!$A$3:$BS$56,23)</f>
        <v>65</v>
      </c>
      <c r="O27" s="593">
        <f>VLOOKUP($T$13,'REKAP PTS'!$A$3:$BS$56,24)</f>
        <v>88</v>
      </c>
      <c r="P27" s="593">
        <f>VLOOKUP($T$13,'REKAP PTS'!$A$3:$BS$56,25)</f>
        <v>77</v>
      </c>
      <c r="Q27" s="573"/>
      <c r="R27" s="573"/>
      <c r="S27" s="542"/>
    </row>
    <row r="28" spans="1:20" ht="18.75" customHeight="1">
      <c r="A28" s="1367" t="s">
        <v>719</v>
      </c>
      <c r="B28" s="1355" t="s">
        <v>639</v>
      </c>
      <c r="C28" s="1356"/>
      <c r="D28" s="1356"/>
      <c r="E28" s="1356"/>
      <c r="F28" s="1356"/>
      <c r="G28" s="1357"/>
      <c r="H28" s="1369">
        <f>'KI3'!C12</f>
        <v>67</v>
      </c>
      <c r="I28" s="573" t="str">
        <f>'REKAP PTS'!Z5</f>
        <v>3.2</v>
      </c>
      <c r="J28" s="573" t="str">
        <f>'REKAP PTS'!AA5</f>
        <v>3.3</v>
      </c>
      <c r="K28" s="573"/>
      <c r="L28" s="544"/>
      <c r="M28" s="573"/>
      <c r="N28" s="573" t="str">
        <f>'REKAP PTS'!AB5</f>
        <v>3.2</v>
      </c>
      <c r="O28" s="573" t="str">
        <f>'REKAP PTS'!AC5</f>
        <v>3.3</v>
      </c>
      <c r="P28" s="573"/>
      <c r="Q28" s="573"/>
      <c r="R28" s="573"/>
      <c r="S28" s="542"/>
    </row>
    <row r="29" spans="1:20" ht="18.75" customHeight="1">
      <c r="A29" s="1368"/>
      <c r="B29" s="1358"/>
      <c r="C29" s="1359"/>
      <c r="D29" s="1359"/>
      <c r="E29" s="1359"/>
      <c r="F29" s="1359"/>
      <c r="G29" s="1360"/>
      <c r="H29" s="1370"/>
      <c r="I29" s="593">
        <f>VLOOKUP($T$13,'REKAP PTS'!$A$3:$BS$56,26)</f>
        <v>87</v>
      </c>
      <c r="J29" s="593">
        <f>VLOOKUP($T$13,'REKAP PTS'!$A$3:$BS$56,27)</f>
        <v>89</v>
      </c>
      <c r="K29" s="573"/>
      <c r="L29" s="544"/>
      <c r="M29" s="573"/>
      <c r="N29" s="593">
        <f>VLOOKUP($T$13,'REKAP PTS'!$A$3:$BS$56,28)</f>
        <v>87</v>
      </c>
      <c r="O29" s="593">
        <f>VLOOKUP($T$13,'REKAP PTS'!$A$3:$BS$56,29)</f>
        <v>89</v>
      </c>
      <c r="P29" s="573"/>
      <c r="Q29" s="573"/>
      <c r="R29" s="573"/>
      <c r="S29" s="542"/>
    </row>
    <row r="30" spans="1:20" ht="18.75" customHeight="1">
      <c r="A30" s="1367" t="s">
        <v>720</v>
      </c>
      <c r="B30" s="1355" t="s">
        <v>640</v>
      </c>
      <c r="C30" s="1356"/>
      <c r="D30" s="1356"/>
      <c r="E30" s="1356"/>
      <c r="F30" s="1356"/>
      <c r="G30" s="1357"/>
      <c r="H30" s="1369">
        <f>'KI3'!C14</f>
        <v>68</v>
      </c>
      <c r="I30" s="573" t="str">
        <f>'REKAP PTS'!AD5</f>
        <v>3.1</v>
      </c>
      <c r="J30" s="573" t="str">
        <f>'REKAP PTS'!AE5</f>
        <v>3.2</v>
      </c>
      <c r="K30" s="573"/>
      <c r="L30" s="544"/>
      <c r="M30" s="573"/>
      <c r="N30" s="573" t="str">
        <f>'REKAP PTS'!AF5</f>
        <v>3.1</v>
      </c>
      <c r="O30" s="573" t="str">
        <f>'REKAP PTS'!AG5</f>
        <v>3.2</v>
      </c>
      <c r="P30" s="573"/>
      <c r="Q30" s="573"/>
      <c r="R30" s="573"/>
      <c r="S30" s="547"/>
    </row>
    <row r="31" spans="1:20" ht="18.75" customHeight="1">
      <c r="A31" s="1368"/>
      <c r="B31" s="1358"/>
      <c r="C31" s="1359"/>
      <c r="D31" s="1359"/>
      <c r="E31" s="1359"/>
      <c r="F31" s="1359"/>
      <c r="G31" s="1360"/>
      <c r="H31" s="1370"/>
      <c r="I31" s="593">
        <f>VLOOKUP($T$13,'REKAP PTS'!$A$3:$BS$56,30)</f>
        <v>0</v>
      </c>
      <c r="J31" s="593">
        <f>VLOOKUP($T$13,'REKAP PTS'!$A$3:$BS$56,31)</f>
        <v>0</v>
      </c>
      <c r="K31" s="573"/>
      <c r="L31" s="544"/>
      <c r="M31" s="573"/>
      <c r="N31" s="593">
        <f>VLOOKUP($T$13,'REKAP PTS'!$A$3:$BS$56,32)</f>
        <v>98</v>
      </c>
      <c r="O31" s="593">
        <f>VLOOKUP($T$13,'REKAP PTS'!$A$3:$BS$56,33)</f>
        <v>77</v>
      </c>
      <c r="P31" s="573"/>
      <c r="Q31" s="573"/>
      <c r="R31" s="573"/>
      <c r="S31" s="547"/>
    </row>
    <row r="32" spans="1:20" ht="18.75" customHeight="1">
      <c r="A32" s="1367" t="s">
        <v>721</v>
      </c>
      <c r="B32" s="1355" t="s">
        <v>641</v>
      </c>
      <c r="C32" s="1356"/>
      <c r="D32" s="1356"/>
      <c r="E32" s="1356"/>
      <c r="F32" s="1356"/>
      <c r="G32" s="1357"/>
      <c r="H32" s="1369">
        <f>'KI3'!C16</f>
        <v>69</v>
      </c>
      <c r="I32" s="573" t="str">
        <f>'REKAP PTS'!AH5</f>
        <v>3.2</v>
      </c>
      <c r="J32" s="617" t="str">
        <f>'REKAP PTS'!AI5</f>
        <v>3.3</v>
      </c>
      <c r="K32" s="617" t="str">
        <f>'REKAP PTS'!AJ5</f>
        <v>3.4</v>
      </c>
      <c r="L32" s="544"/>
      <c r="M32" s="573"/>
      <c r="N32" s="573" t="str">
        <f>'REKAP PTS'!AK5</f>
        <v>3.2</v>
      </c>
      <c r="O32" s="617" t="str">
        <f>'REKAP PTS'!AL5</f>
        <v>3.3</v>
      </c>
      <c r="P32" s="617" t="str">
        <f>'REKAP PTS'!AM5</f>
        <v>3.4</v>
      </c>
      <c r="Q32" s="573"/>
      <c r="R32" s="573"/>
      <c r="S32" s="547"/>
    </row>
    <row r="33" spans="1:19" ht="18.75" customHeight="1">
      <c r="A33" s="1368"/>
      <c r="B33" s="1358"/>
      <c r="C33" s="1359"/>
      <c r="D33" s="1359"/>
      <c r="E33" s="1359"/>
      <c r="F33" s="1359"/>
      <c r="G33" s="1360"/>
      <c r="H33" s="1370"/>
      <c r="I33" s="593">
        <f>VLOOKUP($T$13,'REKAP PTS'!$A$3:$BS$56,34)</f>
        <v>89</v>
      </c>
      <c r="J33" s="593">
        <f>VLOOKUP($T$13,'REKAP PTS'!$A$3:$BS$56,35)</f>
        <v>97</v>
      </c>
      <c r="K33" s="593">
        <f>VLOOKUP($T$13,'REKAP PTS'!$A$3:$BS$56,36)</f>
        <v>99</v>
      </c>
      <c r="L33" s="544"/>
      <c r="M33" s="573"/>
      <c r="N33" s="593">
        <f>VLOOKUP($T$13,'REKAP PTS'!$A$3:$BS$56,37)</f>
        <v>89</v>
      </c>
      <c r="O33" s="593">
        <f>VLOOKUP($T$13,'REKAP PTS'!$A$3:$BS$56,38)</f>
        <v>87</v>
      </c>
      <c r="P33" s="593">
        <f>VLOOKUP($T$13,'REKAP PTS'!$A$3:$BS$56,39)</f>
        <v>89</v>
      </c>
      <c r="Q33" s="573"/>
      <c r="R33" s="573"/>
      <c r="S33" s="547"/>
    </row>
    <row r="34" spans="1:19" ht="18.75" customHeight="1">
      <c r="A34" s="1367" t="s">
        <v>722</v>
      </c>
      <c r="B34" s="1355" t="s">
        <v>642</v>
      </c>
      <c r="C34" s="1356"/>
      <c r="D34" s="1356"/>
      <c r="E34" s="1356"/>
      <c r="F34" s="1356"/>
      <c r="G34" s="1357"/>
      <c r="H34" s="1369">
        <f>'KI3'!C18</f>
        <v>70</v>
      </c>
      <c r="I34" s="573" t="str">
        <f>'REKAP PTS'!AN5</f>
        <v>3.3</v>
      </c>
      <c r="J34" s="573" t="str">
        <f>'REKAP PTS'!AO5</f>
        <v>3.2</v>
      </c>
      <c r="K34" s="573"/>
      <c r="L34" s="544"/>
      <c r="M34" s="573"/>
      <c r="N34" s="573" t="str">
        <f>'REKAP PTS'!AP5</f>
        <v>3.3</v>
      </c>
      <c r="O34" s="573" t="str">
        <f>'REKAP PTS'!AQ5</f>
        <v>3.2</v>
      </c>
      <c r="P34" s="573"/>
      <c r="Q34" s="573"/>
      <c r="R34" s="573"/>
      <c r="S34" s="547"/>
    </row>
    <row r="35" spans="1:19" ht="18.75" customHeight="1">
      <c r="A35" s="1368"/>
      <c r="B35" s="1358"/>
      <c r="C35" s="1359"/>
      <c r="D35" s="1359"/>
      <c r="E35" s="1359"/>
      <c r="F35" s="1359"/>
      <c r="G35" s="1360"/>
      <c r="H35" s="1370"/>
      <c r="I35" s="593">
        <f>VLOOKUP($T$13,'REKAP PTS'!$A$3:$BS$56,40)</f>
        <v>89</v>
      </c>
      <c r="J35" s="593">
        <f>VLOOKUP($T$13,'REKAP PTS'!$A$3:$BS$56,41)</f>
        <v>89</v>
      </c>
      <c r="K35" s="573"/>
      <c r="L35" s="544"/>
      <c r="M35" s="573"/>
      <c r="N35" s="593">
        <f>VLOOKUP($T$13,'REKAP PTS'!$A$3:$BS$56,42)</f>
        <v>89</v>
      </c>
      <c r="O35" s="593">
        <f>VLOOKUP($T$13,'REKAP PTS'!$A$3:$BS$56,43)</f>
        <v>51</v>
      </c>
      <c r="P35" s="573"/>
      <c r="Q35" s="573"/>
      <c r="R35" s="573"/>
      <c r="S35" s="547"/>
    </row>
    <row r="36" spans="1:19" ht="25.5">
      <c r="A36" s="543">
        <v>9</v>
      </c>
      <c r="B36" s="1361" t="s">
        <v>227</v>
      </c>
      <c r="C36" s="1362"/>
      <c r="D36" s="1362"/>
      <c r="E36" s="1362"/>
      <c r="F36" s="1362"/>
      <c r="G36" s="1363"/>
      <c r="H36" s="574"/>
      <c r="I36" s="573"/>
      <c r="J36" s="573"/>
      <c r="K36" s="573"/>
      <c r="L36" s="544"/>
      <c r="M36" s="573"/>
      <c r="N36" s="573"/>
      <c r="O36" s="573"/>
      <c r="P36" s="573"/>
      <c r="Q36" s="573"/>
      <c r="R36" s="573"/>
      <c r="S36" s="547"/>
    </row>
    <row r="37" spans="1:19" ht="21.75" customHeight="1">
      <c r="A37" s="1367"/>
      <c r="B37" s="1355" t="str">
        <f>CONCATENATE("a. ",KKM!X7)</f>
        <v>a. Bahasa Jawa</v>
      </c>
      <c r="C37" s="1356"/>
      <c r="D37" s="1356"/>
      <c r="E37" s="1356"/>
      <c r="F37" s="1356"/>
      <c r="G37" s="1357"/>
      <c r="H37" s="1369">
        <f>'KI3'!C21</f>
        <v>61</v>
      </c>
      <c r="I37" s="573" t="str">
        <f>'REKAP PTS'!AR5</f>
        <v>3.5</v>
      </c>
      <c r="J37" s="573" t="str">
        <f>'REKAP PTS'!AS5</f>
        <v>3.6</v>
      </c>
      <c r="K37" s="573" t="str">
        <f>'REKAP PTS'!AT5</f>
        <v>3.7</v>
      </c>
      <c r="L37" s="544"/>
      <c r="M37" s="573"/>
      <c r="N37" s="573" t="str">
        <f>'REKAP PTS'!AU5</f>
        <v>3.5</v>
      </c>
      <c r="O37" s="573" t="str">
        <f>'REKAP PTS'!AV5</f>
        <v>3.6</v>
      </c>
      <c r="P37" s="573" t="str">
        <f>'REKAP PTS'!AW5</f>
        <v>3.7</v>
      </c>
      <c r="Q37" s="573"/>
      <c r="R37" s="573"/>
      <c r="S37" s="547"/>
    </row>
    <row r="38" spans="1:19" ht="21.75" customHeight="1">
      <c r="A38" s="1368"/>
      <c r="B38" s="1358"/>
      <c r="C38" s="1359"/>
      <c r="D38" s="1359"/>
      <c r="E38" s="1359"/>
      <c r="F38" s="1359"/>
      <c r="G38" s="1360"/>
      <c r="H38" s="1370"/>
      <c r="I38" s="593">
        <f>VLOOKUP($T$13,'REKAP PTS'!$A$3:$BS$56,44)</f>
        <v>89</v>
      </c>
      <c r="J38" s="593">
        <f>VLOOKUP($T$13,'REKAP PTS'!$A$3:$BS$56,45)</f>
        <v>89</v>
      </c>
      <c r="K38" s="593">
        <f>VLOOKUP($T$13,'REKAP PTS'!$A$3:$BS$56,46)</f>
        <v>97</v>
      </c>
      <c r="L38" s="544"/>
      <c r="M38" s="573"/>
      <c r="N38" s="593">
        <f>VLOOKUP($T$13,'REKAP PTS'!$A$3:$BS$56,47)</f>
        <v>32</v>
      </c>
      <c r="O38" s="593">
        <f>VLOOKUP($T$13,'REKAP PTS'!$A$3:$BS$56,48)</f>
        <v>78</v>
      </c>
      <c r="P38" s="593">
        <f>VLOOKUP($T$13,'REKAP PTS'!$A$3:$BS$56,49)</f>
        <v>99</v>
      </c>
      <c r="Q38" s="573"/>
      <c r="R38" s="573"/>
      <c r="S38" s="547"/>
    </row>
    <row r="39" spans="1:19" ht="21.75" customHeight="1">
      <c r="A39" s="1367"/>
      <c r="B39" s="1355" t="str">
        <f>CONCATENATE("b. ",KKM!X8)</f>
        <v>b. Bahasa Inggris</v>
      </c>
      <c r="C39" s="1356"/>
      <c r="D39" s="1356"/>
      <c r="E39" s="1356"/>
      <c r="F39" s="1356"/>
      <c r="G39" s="1357"/>
      <c r="H39" s="1369">
        <f>'KI3'!C23</f>
        <v>62</v>
      </c>
      <c r="I39" s="573">
        <f>'REKAP PTS'!AX5</f>
        <v>3.1</v>
      </c>
      <c r="J39" s="573">
        <f>'REKAP PTS'!AY5</f>
        <v>3.2</v>
      </c>
      <c r="K39" s="573">
        <f>'REKAP PTS'!AZ5</f>
        <v>3.3</v>
      </c>
      <c r="L39" s="544"/>
      <c r="M39" s="573"/>
      <c r="N39" s="573">
        <f>'REKAP PTS'!BA5</f>
        <v>3.1</v>
      </c>
      <c r="O39" s="573">
        <f>'REKAP PTS'!BB5</f>
        <v>3.2</v>
      </c>
      <c r="P39" s="573">
        <f>'REKAP PTS'!BC5</f>
        <v>3.3</v>
      </c>
      <c r="Q39" s="573"/>
      <c r="R39" s="573"/>
      <c r="S39" s="547"/>
    </row>
    <row r="40" spans="1:19" ht="21.75" customHeight="1">
      <c r="A40" s="1368"/>
      <c r="B40" s="1358"/>
      <c r="C40" s="1359"/>
      <c r="D40" s="1359"/>
      <c r="E40" s="1359"/>
      <c r="F40" s="1359"/>
      <c r="G40" s="1360"/>
      <c r="H40" s="1370"/>
      <c r="I40" s="593">
        <f>VLOOKUP($T$13,'REKAP PTS'!$A$3:$BS$56,50)</f>
        <v>89</v>
      </c>
      <c r="J40" s="593">
        <f>VLOOKUP($T$13,'REKAP PTS'!$A$3:$BS$56,51)</f>
        <v>89</v>
      </c>
      <c r="K40" s="593">
        <f>VLOOKUP($T$13,'REKAP PTS'!$A$3:$BS$56,52)</f>
        <v>97</v>
      </c>
      <c r="L40" s="544"/>
      <c r="M40" s="573"/>
      <c r="N40" s="593">
        <f>VLOOKUP($T$13,'REKAP PTS'!$A$3:$BS$56,53)</f>
        <v>32</v>
      </c>
      <c r="O40" s="593">
        <f>VLOOKUP($T$13,'REKAP PTS'!$A$3:$BS$56,54)</f>
        <v>78</v>
      </c>
      <c r="P40" s="593">
        <f>VLOOKUP($T$13,'REKAP PTS'!$A$3:$BS$56,55)</f>
        <v>87</v>
      </c>
      <c r="Q40" s="573"/>
      <c r="R40" s="573"/>
      <c r="S40" s="547"/>
    </row>
    <row r="41" spans="1:19" ht="21.75" customHeight="1">
      <c r="A41" s="1367"/>
      <c r="B41" s="1355" t="str">
        <f>CONCATENATE("c. ",KKM!X9)</f>
        <v>c. TIK</v>
      </c>
      <c r="C41" s="1356"/>
      <c r="D41" s="1356"/>
      <c r="E41" s="1356"/>
      <c r="F41" s="1356"/>
      <c r="G41" s="1357"/>
      <c r="H41" s="1369">
        <f>'KI3'!C25</f>
        <v>60</v>
      </c>
      <c r="I41" s="573">
        <f>'REKAP PTS'!BD5</f>
        <v>3.1</v>
      </c>
      <c r="J41" s="573">
        <f>'REKAP PTS'!BE5</f>
        <v>3.2</v>
      </c>
      <c r="K41" s="573"/>
      <c r="L41" s="544"/>
      <c r="M41" s="573"/>
      <c r="N41" s="573">
        <f>'REKAP PTS'!BF5</f>
        <v>3.1</v>
      </c>
      <c r="O41" s="573">
        <f>'REKAP PTS'!BG5</f>
        <v>3.2</v>
      </c>
      <c r="P41" s="573"/>
      <c r="Q41" s="573"/>
      <c r="R41" s="573"/>
      <c r="S41" s="547"/>
    </row>
    <row r="42" spans="1:19" ht="21.75" customHeight="1">
      <c r="A42" s="1368"/>
      <c r="B42" s="1358"/>
      <c r="C42" s="1359"/>
      <c r="D42" s="1359"/>
      <c r="E42" s="1359"/>
      <c r="F42" s="1359"/>
      <c r="G42" s="1360"/>
      <c r="H42" s="1370"/>
      <c r="I42" s="593">
        <f>VLOOKUP($T$13,'REKAP PTS'!$A$3:$BS$56,56)</f>
        <v>87</v>
      </c>
      <c r="J42" s="593">
        <f>VLOOKUP($T$13,'REKAP PTS'!$A$3:$BS$56,57)</f>
        <v>89</v>
      </c>
      <c r="K42" s="573"/>
      <c r="L42" s="544"/>
      <c r="M42" s="573"/>
      <c r="N42" s="593">
        <f>VLOOKUP($T$13,'REKAP PTS'!$A$3:$BS$56,58)</f>
        <v>61</v>
      </c>
      <c r="O42" s="593">
        <f>VLOOKUP($T$13,'REKAP PTS'!$A$3:$BS$56,59)</f>
        <v>51</v>
      </c>
      <c r="P42" s="573"/>
      <c r="Q42" s="573"/>
      <c r="R42" s="573"/>
      <c r="S42" s="547"/>
    </row>
    <row r="43" spans="1:19" ht="25.5">
      <c r="A43" s="548"/>
      <c r="B43" s="549"/>
      <c r="C43" s="549"/>
      <c r="D43" s="549"/>
      <c r="E43" s="548"/>
      <c r="F43" s="548"/>
      <c r="G43" s="548"/>
      <c r="H43" s="548"/>
      <c r="I43" s="548"/>
      <c r="J43" s="548"/>
      <c r="K43" s="548"/>
      <c r="L43" s="548"/>
      <c r="M43" s="550"/>
      <c r="N43" s="548"/>
      <c r="O43" s="548"/>
      <c r="P43" s="548"/>
      <c r="Q43" s="548"/>
      <c r="R43" s="548"/>
      <c r="S43" s="551"/>
    </row>
    <row r="44" spans="1:19" ht="25.5">
      <c r="A44" s="536"/>
      <c r="B44" s="552"/>
      <c r="C44" s="553" t="s">
        <v>723</v>
      </c>
      <c r="D44" s="552"/>
      <c r="E44" s="552"/>
      <c r="F44" s="552"/>
      <c r="G44" s="552"/>
      <c r="H44" s="552"/>
      <c r="I44" s="552"/>
      <c r="J44" s="552"/>
      <c r="K44" s="552"/>
      <c r="L44" s="552"/>
      <c r="M44" s="552"/>
      <c r="N44" s="552"/>
      <c r="O44" s="552"/>
      <c r="P44" s="552"/>
      <c r="Q44" s="552"/>
      <c r="R44" s="552"/>
      <c r="S44" s="545"/>
    </row>
    <row r="45" spans="1:19" ht="54" customHeight="1">
      <c r="A45" s="1361">
        <f>VLOOKUP($T$13,'REKAP PTS'!$A$3:$BS$56,58)</f>
        <v>61</v>
      </c>
      <c r="B45" s="1362"/>
      <c r="C45" s="1362"/>
      <c r="D45" s="1362"/>
      <c r="E45" s="1362"/>
      <c r="F45" s="1362"/>
      <c r="G45" s="1362"/>
      <c r="H45" s="1362"/>
      <c r="I45" s="1362"/>
      <c r="J45" s="1362"/>
      <c r="K45" s="1362"/>
      <c r="L45" s="1362"/>
      <c r="M45" s="1362"/>
      <c r="N45" s="1362"/>
      <c r="O45" s="1362"/>
      <c r="P45" s="1362"/>
      <c r="Q45" s="1362"/>
      <c r="R45" s="1363"/>
      <c r="S45" s="545"/>
    </row>
    <row r="46" spans="1:19" ht="25.5">
      <c r="A46" s="540"/>
      <c r="B46" s="540"/>
      <c r="C46" s="554"/>
      <c r="D46" s="554"/>
      <c r="E46" s="554"/>
      <c r="F46" s="554"/>
      <c r="G46" s="554"/>
      <c r="H46" s="576"/>
      <c r="I46" s="554"/>
      <c r="J46" s="554"/>
      <c r="K46" s="554"/>
      <c r="L46" s="554"/>
      <c r="M46" s="554"/>
      <c r="N46" s="554"/>
      <c r="O46" s="554"/>
      <c r="P46" s="554"/>
      <c r="Q46" s="554"/>
      <c r="R46" s="554"/>
      <c r="S46" s="545"/>
    </row>
    <row r="47" spans="1:19" ht="25.5">
      <c r="A47" s="540"/>
      <c r="B47" s="540"/>
      <c r="C47" s="1365"/>
      <c r="D47" s="1365"/>
      <c r="E47" s="1365"/>
      <c r="F47" s="1365"/>
      <c r="G47" s="1365"/>
      <c r="H47" s="575"/>
      <c r="I47" s="541"/>
      <c r="J47" s="541"/>
      <c r="K47" s="541"/>
      <c r="L47" s="541"/>
      <c r="M47" s="1365" t="s">
        <v>468</v>
      </c>
      <c r="N47" s="1365"/>
      <c r="O47" s="1365"/>
      <c r="P47" s="1365"/>
      <c r="Q47" s="1365"/>
      <c r="R47" s="1365"/>
      <c r="S47" s="545"/>
    </row>
    <row r="48" spans="1:19" ht="25.5">
      <c r="A48" s="540"/>
      <c r="B48" s="540"/>
      <c r="C48" s="1365" t="s">
        <v>724</v>
      </c>
      <c r="D48" s="1365"/>
      <c r="E48" s="1365"/>
      <c r="F48" s="1365"/>
      <c r="G48" s="1365"/>
      <c r="H48" s="575"/>
      <c r="I48" s="552"/>
      <c r="J48" s="552"/>
      <c r="K48" s="552"/>
      <c r="L48" s="552"/>
      <c r="M48" s="1366" t="str">
        <f>CONCATENATE("Guru Kelas ",DEPAN!E14)</f>
        <v>Guru Kelas 4 (Empat)</v>
      </c>
      <c r="N48" s="1366"/>
      <c r="O48" s="1366"/>
      <c r="P48" s="1366"/>
      <c r="Q48" s="1366"/>
      <c r="R48" s="1366"/>
      <c r="S48" s="545"/>
    </row>
    <row r="49" spans="1:19" ht="25.5">
      <c r="A49" s="540"/>
      <c r="B49" s="540"/>
      <c r="C49" s="541"/>
      <c r="D49" s="541"/>
      <c r="E49" s="541"/>
      <c r="F49" s="541"/>
      <c r="G49" s="554"/>
      <c r="H49" s="576"/>
      <c r="I49" s="541"/>
      <c r="J49" s="541"/>
      <c r="K49" s="541"/>
      <c r="L49" s="541"/>
      <c r="M49" s="541"/>
      <c r="N49" s="541"/>
      <c r="O49" s="541"/>
      <c r="P49" s="541"/>
      <c r="Q49" s="541"/>
      <c r="R49" s="541"/>
      <c r="S49" s="545"/>
    </row>
    <row r="50" spans="1:19" ht="25.5">
      <c r="A50" s="540"/>
      <c r="B50" s="540"/>
      <c r="C50" s="541"/>
      <c r="D50" s="541"/>
      <c r="E50" s="541"/>
      <c r="F50" s="541"/>
      <c r="G50" s="554"/>
      <c r="H50" s="576"/>
      <c r="I50" s="553"/>
      <c r="J50" s="553"/>
      <c r="K50" s="553"/>
      <c r="L50" s="553"/>
      <c r="M50" s="553"/>
      <c r="N50" s="553"/>
      <c r="O50" s="553"/>
      <c r="P50" s="553"/>
      <c r="Q50" s="553"/>
      <c r="R50" s="553"/>
      <c r="S50" s="545"/>
    </row>
    <row r="51" spans="1:19" ht="25.5">
      <c r="A51" s="540"/>
      <c r="B51" s="540"/>
      <c r="C51" s="541"/>
      <c r="D51" s="541"/>
      <c r="E51" s="541"/>
      <c r="F51" s="541"/>
      <c r="G51" s="554"/>
      <c r="H51" s="576"/>
      <c r="I51" s="541"/>
      <c r="J51" s="541"/>
      <c r="K51" s="541"/>
      <c r="L51" s="541"/>
      <c r="M51" s="541"/>
      <c r="N51" s="541"/>
      <c r="O51" s="541"/>
      <c r="P51" s="541"/>
      <c r="Q51" s="541"/>
      <c r="R51" s="541"/>
      <c r="S51" s="545"/>
    </row>
    <row r="52" spans="1:19" ht="26.25" thickBot="1">
      <c r="A52" s="540"/>
      <c r="B52" s="540"/>
      <c r="C52" s="555"/>
      <c r="D52" s="555"/>
      <c r="E52" s="555"/>
      <c r="F52" s="555"/>
      <c r="G52" s="556"/>
      <c r="H52" s="586"/>
      <c r="I52" s="557"/>
      <c r="J52" s="557"/>
      <c r="K52" s="557"/>
      <c r="L52" s="557"/>
      <c r="M52" s="1364" t="str">
        <f>DEPAN!E16</f>
        <v>SITI PONIMAH,M.Pd</v>
      </c>
      <c r="N52" s="1364"/>
      <c r="O52" s="1364"/>
      <c r="P52" s="1364"/>
      <c r="Q52" s="1364"/>
      <c r="R52" s="1364"/>
      <c r="S52" s="545"/>
    </row>
    <row r="53" spans="1:19" ht="15.75" customHeight="1">
      <c r="A53" s="540"/>
      <c r="B53" s="540"/>
      <c r="C53" s="541"/>
      <c r="D53" s="541"/>
      <c r="E53" s="541"/>
      <c r="F53" s="541"/>
      <c r="G53" s="541"/>
      <c r="H53" s="541"/>
      <c r="I53" s="541"/>
      <c r="J53" s="541"/>
      <c r="K53" s="541"/>
      <c r="L53" s="541"/>
      <c r="M53" s="1354" t="str">
        <f>CONCATENATE("NIP. ",DEPAN!E17)</f>
        <v>NIP. 19616566 201808 2 033</v>
      </c>
      <c r="N53" s="1354"/>
      <c r="O53" s="1354"/>
      <c r="P53" s="1354"/>
      <c r="Q53" s="1354"/>
      <c r="R53" s="1354"/>
      <c r="S53" s="545"/>
    </row>
    <row r="54" spans="1:19" ht="25.5">
      <c r="A54" s="540"/>
      <c r="B54" s="540"/>
      <c r="C54" s="541"/>
      <c r="D54" s="541"/>
      <c r="E54" s="541"/>
      <c r="F54" s="541"/>
      <c r="G54" s="541"/>
      <c r="H54" s="1366" t="s">
        <v>244</v>
      </c>
      <c r="I54" s="1366"/>
      <c r="J54" s="1366"/>
      <c r="K54" s="1366"/>
      <c r="L54" s="537"/>
      <c r="M54" s="537"/>
      <c r="N54" s="537"/>
      <c r="O54" s="541"/>
      <c r="P54" s="541"/>
      <c r="Q54" s="541"/>
      <c r="R54" s="541"/>
      <c r="S54" s="545"/>
    </row>
    <row r="55" spans="1:19" ht="25.5">
      <c r="A55" s="540"/>
      <c r="B55" s="540"/>
      <c r="C55" s="541"/>
      <c r="D55" s="541"/>
      <c r="E55" s="541"/>
      <c r="F55" s="541"/>
      <c r="G55" s="541"/>
      <c r="H55" s="1366" t="s">
        <v>245</v>
      </c>
      <c r="I55" s="1366"/>
      <c r="J55" s="1366"/>
      <c r="K55" s="1366"/>
      <c r="L55" s="566"/>
      <c r="M55" s="566"/>
      <c r="N55" s="566"/>
      <c r="O55" s="541"/>
      <c r="P55" s="541"/>
      <c r="Q55" s="541"/>
      <c r="R55" s="541"/>
      <c r="S55" s="545"/>
    </row>
    <row r="56" spans="1:19" ht="25.5">
      <c r="A56" s="540"/>
      <c r="B56" s="540"/>
      <c r="C56" s="541"/>
      <c r="D56" s="541"/>
      <c r="E56" s="541"/>
      <c r="F56" s="541"/>
      <c r="G56" s="541"/>
      <c r="H56" s="541"/>
      <c r="I56" s="541"/>
      <c r="J56" s="541"/>
      <c r="K56" s="541"/>
      <c r="L56" s="541"/>
      <c r="M56" s="541"/>
      <c r="N56" s="541"/>
      <c r="O56" s="541"/>
      <c r="P56" s="541"/>
      <c r="Q56" s="541"/>
      <c r="R56" s="541"/>
      <c r="S56" s="545"/>
    </row>
    <row r="57" spans="1:19" ht="25.5">
      <c r="A57" s="540"/>
      <c r="B57" s="540"/>
      <c r="C57" s="541"/>
      <c r="D57" s="541"/>
      <c r="E57" s="541"/>
      <c r="F57" s="541"/>
      <c r="G57" s="541"/>
      <c r="H57" s="541"/>
      <c r="I57" s="541"/>
      <c r="J57" s="541"/>
      <c r="K57" s="541"/>
      <c r="L57" s="541"/>
      <c r="M57" s="541"/>
      <c r="N57" s="541"/>
      <c r="O57" s="541"/>
      <c r="P57" s="541"/>
      <c r="Q57" s="541"/>
      <c r="R57" s="541"/>
      <c r="S57" s="545"/>
    </row>
    <row r="58" spans="1:19" ht="25.5">
      <c r="A58" s="552"/>
      <c r="B58" s="552"/>
      <c r="C58" s="552"/>
      <c r="D58" s="552"/>
      <c r="E58" s="552"/>
      <c r="F58" s="552"/>
      <c r="G58" s="552"/>
      <c r="H58" s="552"/>
      <c r="I58" s="552"/>
      <c r="J58" s="552"/>
      <c r="K58" s="552"/>
      <c r="L58" s="552"/>
      <c r="M58" s="552"/>
      <c r="N58" s="552"/>
      <c r="O58" s="552"/>
      <c r="P58" s="552"/>
      <c r="Q58" s="552"/>
      <c r="R58" s="552"/>
      <c r="S58" s="545"/>
    </row>
    <row r="59" spans="1:19" ht="25.5">
      <c r="A59" s="554"/>
      <c r="B59" s="554"/>
      <c r="C59" s="554"/>
      <c r="D59" s="554"/>
      <c r="E59" s="554"/>
      <c r="F59" s="554"/>
      <c r="G59" s="554"/>
      <c r="H59" s="1383" t="str">
        <f>DEPAN!E12</f>
        <v>H. SAMSUDIN,M.Pd</v>
      </c>
      <c r="I59" s="1383"/>
      <c r="J59" s="1383"/>
      <c r="K59" s="1383"/>
      <c r="L59" s="552"/>
      <c r="M59" s="552"/>
      <c r="N59" s="552"/>
      <c r="O59" s="554"/>
      <c r="P59" s="554"/>
      <c r="Q59" s="554"/>
      <c r="R59" s="554"/>
      <c r="S59" s="545"/>
    </row>
    <row r="60" spans="1:19" ht="25.5">
      <c r="A60" s="540"/>
      <c r="B60" s="540"/>
      <c r="C60" s="541"/>
      <c r="D60" s="541"/>
      <c r="E60" s="541"/>
      <c r="F60" s="541"/>
      <c r="G60" s="541"/>
      <c r="H60" s="1384" t="str">
        <f>CONCATENATE("NIP. ",DEPAN!E13)</f>
        <v>NIP. 19921233 198777 1 336</v>
      </c>
      <c r="I60" s="1384"/>
      <c r="J60" s="1384"/>
      <c r="K60" s="1384"/>
      <c r="L60" s="552"/>
      <c r="M60" s="552"/>
      <c r="N60" s="552"/>
      <c r="O60" s="541"/>
      <c r="P60" s="541"/>
      <c r="Q60" s="541"/>
      <c r="R60" s="541"/>
      <c r="S60" s="545"/>
    </row>
    <row r="61" spans="1:19" ht="25.5">
      <c r="A61" s="540"/>
      <c r="B61" s="536"/>
      <c r="C61" s="558"/>
      <c r="D61" s="558"/>
      <c r="E61" s="558"/>
      <c r="F61" s="558"/>
      <c r="G61" s="558"/>
      <c r="H61" s="558"/>
      <c r="I61" s="558"/>
      <c r="J61" s="558"/>
      <c r="K61" s="558"/>
      <c r="L61" s="558"/>
      <c r="M61" s="558"/>
      <c r="N61" s="558"/>
      <c r="O61" s="558"/>
      <c r="P61" s="558"/>
      <c r="Q61" s="558"/>
      <c r="R61" s="558"/>
      <c r="S61" s="545"/>
    </row>
    <row r="62" spans="1:19" ht="25.5">
      <c r="A62" s="540"/>
      <c r="B62" s="536"/>
      <c r="C62" s="558"/>
      <c r="D62" s="558"/>
      <c r="E62" s="558"/>
      <c r="F62" s="558"/>
      <c r="G62" s="558"/>
      <c r="H62" s="558"/>
      <c r="I62" s="558"/>
      <c r="J62" s="558"/>
      <c r="K62" s="558"/>
      <c r="L62" s="558"/>
      <c r="M62" s="558"/>
      <c r="N62" s="558"/>
      <c r="O62" s="558"/>
      <c r="P62" s="558"/>
      <c r="Q62" s="558"/>
      <c r="R62" s="558"/>
      <c r="S62" s="545"/>
    </row>
    <row r="63" spans="1:19" ht="25.5">
      <c r="A63" s="540"/>
      <c r="B63" s="536"/>
      <c r="C63" s="558"/>
      <c r="D63" s="558"/>
      <c r="E63" s="558"/>
      <c r="F63" s="558"/>
      <c r="G63" s="558"/>
      <c r="H63" s="558"/>
      <c r="I63" s="558"/>
      <c r="J63" s="558"/>
      <c r="K63" s="558"/>
      <c r="L63" s="558"/>
      <c r="M63" s="558"/>
      <c r="N63" s="558"/>
      <c r="O63" s="558"/>
      <c r="P63" s="558"/>
      <c r="Q63" s="558"/>
      <c r="R63" s="558"/>
      <c r="S63" s="545"/>
    </row>
    <row r="64" spans="1:19" ht="25.5">
      <c r="A64" s="540"/>
      <c r="B64" s="540"/>
      <c r="C64" s="558"/>
      <c r="D64" s="558"/>
      <c r="E64" s="558"/>
      <c r="F64" s="558"/>
      <c r="G64" s="558"/>
      <c r="H64" s="558"/>
      <c r="I64" s="558"/>
      <c r="J64" s="558"/>
      <c r="K64" s="558"/>
      <c r="L64" s="558"/>
      <c r="M64" s="558"/>
      <c r="N64" s="558"/>
      <c r="O64" s="558"/>
      <c r="P64" s="558"/>
      <c r="Q64" s="558"/>
      <c r="R64" s="558"/>
      <c r="S64" s="545"/>
    </row>
    <row r="65" spans="1:19" ht="25.5">
      <c r="A65" s="540"/>
      <c r="B65" s="540"/>
      <c r="C65" s="558"/>
      <c r="D65" s="558"/>
      <c r="E65" s="558"/>
      <c r="F65" s="558"/>
      <c r="G65" s="558"/>
      <c r="H65" s="558"/>
      <c r="I65" s="558"/>
      <c r="J65" s="558"/>
      <c r="K65" s="558"/>
      <c r="L65" s="558"/>
      <c r="M65" s="558"/>
      <c r="N65" s="558"/>
      <c r="O65" s="558"/>
      <c r="P65" s="558"/>
      <c r="Q65" s="558"/>
      <c r="R65" s="558"/>
      <c r="S65" s="545"/>
    </row>
    <row r="66" spans="1:19" ht="25.5">
      <c r="A66" s="540"/>
      <c r="B66" s="540"/>
      <c r="C66" s="558"/>
      <c r="D66" s="558"/>
      <c r="E66" s="558"/>
      <c r="F66" s="558"/>
      <c r="G66" s="558"/>
      <c r="H66" s="558"/>
      <c r="I66" s="558"/>
      <c r="J66" s="558"/>
      <c r="K66" s="558"/>
      <c r="L66" s="558"/>
      <c r="M66" s="558"/>
      <c r="N66" s="558"/>
      <c r="O66" s="558"/>
      <c r="P66" s="558"/>
      <c r="Q66" s="558"/>
      <c r="R66" s="558"/>
      <c r="S66" s="545"/>
    </row>
    <row r="67" spans="1:19" ht="25.5">
      <c r="A67" s="540"/>
      <c r="B67" s="540"/>
      <c r="C67" s="559"/>
      <c r="D67" s="559"/>
      <c r="E67" s="559"/>
      <c r="F67" s="559"/>
      <c r="G67" s="559"/>
      <c r="H67" s="559"/>
      <c r="I67" s="559"/>
      <c r="J67" s="559"/>
      <c r="K67" s="559"/>
      <c r="L67" s="559"/>
      <c r="M67" s="559"/>
      <c r="N67" s="559"/>
      <c r="O67" s="559"/>
      <c r="P67" s="559"/>
      <c r="Q67" s="559"/>
      <c r="R67" s="559"/>
      <c r="S67" s="545"/>
    </row>
    <row r="68" spans="1:19" ht="25.5">
      <c r="A68" s="540"/>
      <c r="B68" s="536"/>
      <c r="C68" s="558"/>
      <c r="D68" s="558"/>
      <c r="E68" s="558"/>
      <c r="F68" s="558"/>
      <c r="G68" s="558"/>
      <c r="H68" s="558"/>
      <c r="I68" s="558"/>
      <c r="J68" s="558"/>
      <c r="K68" s="558"/>
      <c r="L68" s="558"/>
      <c r="M68" s="558"/>
      <c r="N68" s="558"/>
      <c r="O68" s="558"/>
      <c r="P68" s="558"/>
      <c r="Q68" s="558"/>
      <c r="R68" s="558"/>
      <c r="S68" s="545"/>
    </row>
    <row r="69" spans="1:19" ht="25.5">
      <c r="A69" s="540"/>
      <c r="B69" s="540"/>
      <c r="C69" s="558"/>
      <c r="D69" s="558"/>
      <c r="E69" s="558"/>
      <c r="F69" s="558"/>
      <c r="G69" s="558"/>
      <c r="H69" s="558"/>
      <c r="I69" s="558"/>
      <c r="J69" s="558"/>
      <c r="K69" s="558"/>
      <c r="L69" s="558"/>
      <c r="M69" s="558"/>
      <c r="N69" s="558"/>
      <c r="O69" s="558"/>
      <c r="P69" s="558"/>
      <c r="Q69" s="558"/>
      <c r="R69" s="558"/>
      <c r="S69" s="545"/>
    </row>
    <row r="70" spans="1:19" ht="25.5">
      <c r="A70" s="540"/>
      <c r="B70" s="540"/>
      <c r="C70" s="560"/>
      <c r="D70" s="560"/>
      <c r="E70" s="560"/>
      <c r="F70" s="560"/>
      <c r="G70" s="560"/>
      <c r="H70" s="560"/>
      <c r="I70" s="560"/>
      <c r="J70" s="560"/>
      <c r="K70" s="560"/>
      <c r="L70" s="560"/>
      <c r="M70" s="560"/>
      <c r="N70" s="560"/>
      <c r="O70" s="560"/>
      <c r="P70" s="560"/>
      <c r="Q70" s="560"/>
      <c r="R70" s="560"/>
      <c r="S70" s="545"/>
    </row>
    <row r="71" spans="1:19" ht="25.5">
      <c r="A71" s="540"/>
      <c r="B71" s="536"/>
      <c r="C71" s="558"/>
      <c r="D71" s="558"/>
      <c r="E71" s="558"/>
      <c r="F71" s="558"/>
      <c r="G71" s="558"/>
      <c r="H71" s="558"/>
      <c r="I71" s="558"/>
      <c r="J71" s="558"/>
      <c r="K71" s="558"/>
      <c r="L71" s="558"/>
      <c r="M71" s="558"/>
      <c r="N71" s="558"/>
      <c r="O71" s="558"/>
      <c r="P71" s="558"/>
      <c r="Q71" s="558"/>
      <c r="R71" s="558"/>
      <c r="S71" s="545"/>
    </row>
    <row r="72" spans="1:19" ht="25.5">
      <c r="A72" s="540"/>
      <c r="B72" s="536"/>
      <c r="C72" s="558"/>
      <c r="D72" s="558"/>
      <c r="E72" s="558"/>
      <c r="F72" s="558"/>
      <c r="G72" s="558"/>
      <c r="H72" s="558"/>
      <c r="I72" s="558"/>
      <c r="J72" s="558"/>
      <c r="K72" s="558"/>
      <c r="L72" s="558"/>
      <c r="M72" s="558"/>
      <c r="N72" s="558"/>
      <c r="O72" s="558"/>
      <c r="P72" s="558"/>
      <c r="Q72" s="558"/>
      <c r="R72" s="558"/>
      <c r="S72" s="545"/>
    </row>
    <row r="73" spans="1:19" ht="25.5">
      <c r="A73" s="540"/>
      <c r="B73" s="536"/>
      <c r="C73" s="558"/>
      <c r="D73" s="558"/>
      <c r="E73" s="558"/>
      <c r="F73" s="558"/>
      <c r="G73" s="558"/>
      <c r="H73" s="558"/>
      <c r="I73" s="558"/>
      <c r="J73" s="558"/>
      <c r="K73" s="558"/>
      <c r="L73" s="558"/>
      <c r="M73" s="558"/>
      <c r="N73" s="558"/>
      <c r="O73" s="558"/>
      <c r="P73" s="558"/>
      <c r="Q73" s="558"/>
      <c r="R73" s="558"/>
      <c r="S73" s="545"/>
    </row>
    <row r="74" spans="1:19" ht="25.5">
      <c r="A74" s="540"/>
      <c r="B74" s="536"/>
      <c r="C74" s="560"/>
      <c r="D74" s="560"/>
      <c r="E74" s="560"/>
      <c r="F74" s="560"/>
      <c r="G74" s="560"/>
      <c r="H74" s="560"/>
      <c r="I74" s="560"/>
      <c r="J74" s="560"/>
      <c r="K74" s="560"/>
      <c r="L74" s="560"/>
      <c r="M74" s="560"/>
      <c r="N74" s="560"/>
      <c r="O74" s="560"/>
      <c r="P74" s="560"/>
      <c r="Q74" s="560"/>
      <c r="R74" s="560"/>
      <c r="S74" s="545"/>
    </row>
    <row r="75" spans="1:19" ht="25.5">
      <c r="A75" s="540"/>
      <c r="B75" s="536"/>
      <c r="C75" s="558"/>
      <c r="D75" s="558"/>
      <c r="E75" s="558"/>
      <c r="F75" s="558"/>
      <c r="G75" s="558"/>
      <c r="H75" s="558"/>
      <c r="I75" s="558"/>
      <c r="J75" s="558"/>
      <c r="K75" s="558"/>
      <c r="L75" s="558"/>
      <c r="M75" s="558"/>
      <c r="N75" s="558"/>
      <c r="O75" s="558"/>
      <c r="P75" s="558"/>
      <c r="Q75" s="558"/>
      <c r="R75" s="558"/>
      <c r="S75" s="545"/>
    </row>
    <row r="76" spans="1:19" ht="25.5">
      <c r="A76" s="540"/>
      <c r="B76" s="536"/>
      <c r="C76" s="558"/>
      <c r="D76" s="558"/>
      <c r="E76" s="558"/>
      <c r="F76" s="558"/>
      <c r="G76" s="558"/>
      <c r="H76" s="558"/>
      <c r="I76" s="558"/>
      <c r="J76" s="558"/>
      <c r="K76" s="558"/>
      <c r="L76" s="558"/>
      <c r="M76" s="558"/>
      <c r="N76" s="558"/>
      <c r="O76" s="558"/>
      <c r="P76" s="558"/>
      <c r="Q76" s="558"/>
      <c r="R76" s="558"/>
      <c r="S76" s="545"/>
    </row>
    <row r="77" spans="1:19" ht="25.5">
      <c r="A77" s="540"/>
      <c r="B77" s="536"/>
      <c r="C77" s="558"/>
      <c r="D77" s="558"/>
      <c r="E77" s="558"/>
      <c r="F77" s="558"/>
      <c r="G77" s="558"/>
      <c r="H77" s="558"/>
      <c r="I77" s="558"/>
      <c r="J77" s="558"/>
      <c r="K77" s="558"/>
      <c r="L77" s="558"/>
      <c r="M77" s="558"/>
      <c r="N77" s="558"/>
      <c r="O77" s="558"/>
      <c r="P77" s="558"/>
      <c r="Q77" s="558"/>
      <c r="R77" s="558"/>
      <c r="S77" s="545"/>
    </row>
    <row r="78" spans="1:19" ht="25.5">
      <c r="A78" s="540"/>
      <c r="B78" s="536"/>
      <c r="C78" s="560"/>
      <c r="D78" s="560"/>
      <c r="E78" s="560"/>
      <c r="F78" s="560"/>
      <c r="G78" s="560"/>
      <c r="H78" s="560"/>
      <c r="I78" s="560"/>
      <c r="J78" s="560"/>
      <c r="K78" s="560"/>
      <c r="L78" s="560"/>
      <c r="M78" s="560"/>
      <c r="N78" s="560"/>
      <c r="O78" s="560"/>
      <c r="P78" s="560"/>
      <c r="Q78" s="560"/>
      <c r="R78" s="560"/>
      <c r="S78" s="545"/>
    </row>
    <row r="79" spans="1:19" ht="25.5">
      <c r="A79" s="540"/>
      <c r="B79" s="536"/>
      <c r="C79" s="558"/>
      <c r="D79" s="558"/>
      <c r="E79" s="558"/>
      <c r="F79" s="558"/>
      <c r="G79" s="558"/>
      <c r="H79" s="558"/>
      <c r="I79" s="558"/>
      <c r="J79" s="558"/>
      <c r="K79" s="558"/>
      <c r="L79" s="558"/>
      <c r="M79" s="558"/>
      <c r="N79" s="558"/>
      <c r="O79" s="558"/>
      <c r="P79" s="558"/>
      <c r="Q79" s="558"/>
      <c r="R79" s="558"/>
      <c r="S79" s="545"/>
    </row>
    <row r="80" spans="1:19" ht="25.5">
      <c r="A80" s="540"/>
      <c r="B80" s="536"/>
      <c r="C80" s="558"/>
      <c r="D80" s="558"/>
      <c r="E80" s="558"/>
      <c r="F80" s="558"/>
      <c r="G80" s="558"/>
      <c r="H80" s="558"/>
      <c r="I80" s="558"/>
      <c r="J80" s="558"/>
      <c r="K80" s="558"/>
      <c r="L80" s="558"/>
      <c r="M80" s="558"/>
      <c r="N80" s="558"/>
      <c r="O80" s="558"/>
      <c r="P80" s="558"/>
      <c r="Q80" s="558"/>
      <c r="R80" s="558"/>
      <c r="S80" s="545"/>
    </row>
    <row r="81" spans="1:19" ht="25.5">
      <c r="A81" s="540"/>
      <c r="B81" s="536"/>
      <c r="C81" s="560"/>
      <c r="D81" s="560"/>
      <c r="E81" s="560"/>
      <c r="F81" s="560"/>
      <c r="G81" s="560"/>
      <c r="H81" s="560"/>
      <c r="I81" s="560"/>
      <c r="J81" s="560"/>
      <c r="K81" s="560"/>
      <c r="L81" s="560"/>
      <c r="M81" s="560"/>
      <c r="N81" s="560"/>
      <c r="O81" s="560"/>
      <c r="P81" s="560"/>
      <c r="Q81" s="560"/>
      <c r="R81" s="560"/>
      <c r="S81" s="545"/>
    </row>
    <row r="82" spans="1:19" ht="25.5">
      <c r="A82" s="540"/>
      <c r="B82" s="536"/>
      <c r="C82" s="558"/>
      <c r="D82" s="558"/>
      <c r="E82" s="558"/>
      <c r="F82" s="558"/>
      <c r="G82" s="558"/>
      <c r="H82" s="558"/>
      <c r="I82" s="558"/>
      <c r="J82" s="558"/>
      <c r="K82" s="558"/>
      <c r="L82" s="558"/>
      <c r="M82" s="558"/>
      <c r="N82" s="558"/>
      <c r="O82" s="558"/>
      <c r="P82" s="558"/>
      <c r="Q82" s="558"/>
      <c r="R82" s="558"/>
      <c r="S82" s="545"/>
    </row>
    <row r="83" spans="1:19" ht="25.5">
      <c r="A83" s="540"/>
      <c r="B83" s="536"/>
      <c r="C83" s="558"/>
      <c r="D83" s="558"/>
      <c r="E83" s="558"/>
      <c r="F83" s="558"/>
      <c r="G83" s="558"/>
      <c r="H83" s="558"/>
      <c r="I83" s="558"/>
      <c r="J83" s="558"/>
      <c r="K83" s="558"/>
      <c r="L83" s="558"/>
      <c r="M83" s="558"/>
      <c r="N83" s="558"/>
      <c r="O83" s="558"/>
      <c r="P83" s="558"/>
      <c r="Q83" s="558"/>
      <c r="R83" s="558"/>
      <c r="S83" s="545"/>
    </row>
    <row r="84" spans="1:19" ht="25.5">
      <c r="A84" s="540"/>
      <c r="B84" s="536"/>
      <c r="C84" s="560"/>
      <c r="D84" s="560"/>
      <c r="E84" s="560"/>
      <c r="F84" s="560"/>
      <c r="G84" s="560"/>
      <c r="H84" s="560"/>
      <c r="I84" s="560"/>
      <c r="J84" s="560"/>
      <c r="K84" s="560"/>
      <c r="L84" s="560"/>
      <c r="M84" s="560"/>
      <c r="N84" s="560"/>
      <c r="O84" s="560"/>
      <c r="P84" s="560"/>
      <c r="Q84" s="560"/>
      <c r="R84" s="560"/>
      <c r="S84" s="545"/>
    </row>
    <row r="85" spans="1:19" ht="25.5">
      <c r="A85" s="540"/>
      <c r="B85" s="536"/>
      <c r="C85" s="558"/>
      <c r="D85" s="558"/>
      <c r="E85" s="558"/>
      <c r="F85" s="558"/>
      <c r="G85" s="558"/>
      <c r="H85" s="558"/>
      <c r="I85" s="558"/>
      <c r="J85" s="558"/>
      <c r="K85" s="558"/>
      <c r="L85" s="558"/>
      <c r="M85" s="558"/>
      <c r="N85" s="558"/>
      <c r="O85" s="558"/>
      <c r="P85" s="558"/>
      <c r="Q85" s="558"/>
      <c r="R85" s="558"/>
      <c r="S85" s="545"/>
    </row>
    <row r="86" spans="1:19" ht="25.5">
      <c r="A86" s="540"/>
      <c r="B86" s="536"/>
      <c r="C86" s="558"/>
      <c r="D86" s="558"/>
      <c r="E86" s="558"/>
      <c r="F86" s="558"/>
      <c r="G86" s="558"/>
      <c r="H86" s="558"/>
      <c r="I86" s="558"/>
      <c r="J86" s="558"/>
      <c r="K86" s="558"/>
      <c r="L86" s="558"/>
      <c r="M86" s="558"/>
      <c r="N86" s="558"/>
      <c r="O86" s="558"/>
      <c r="P86" s="558"/>
      <c r="Q86" s="558"/>
      <c r="R86" s="558"/>
      <c r="S86" s="545"/>
    </row>
    <row r="87" spans="1:19" ht="25.5">
      <c r="A87" s="540"/>
      <c r="B87" s="536"/>
      <c r="C87" s="558"/>
      <c r="D87" s="558"/>
      <c r="E87" s="558"/>
      <c r="F87" s="558"/>
      <c r="G87" s="558"/>
      <c r="H87" s="558"/>
      <c r="I87" s="558"/>
      <c r="J87" s="558"/>
      <c r="K87" s="558"/>
      <c r="L87" s="558"/>
      <c r="M87" s="558"/>
      <c r="N87" s="558"/>
      <c r="O87" s="558"/>
      <c r="P87" s="558"/>
      <c r="Q87" s="558"/>
      <c r="R87" s="558"/>
      <c r="S87" s="545"/>
    </row>
    <row r="88" spans="1:19" ht="25.5">
      <c r="A88" s="540"/>
      <c r="B88" s="536"/>
      <c r="C88" s="560"/>
      <c r="D88" s="560"/>
      <c r="E88" s="560"/>
      <c r="F88" s="560"/>
      <c r="G88" s="560"/>
      <c r="H88" s="560"/>
      <c r="I88" s="560"/>
      <c r="J88" s="560"/>
      <c r="K88" s="560"/>
      <c r="L88" s="560"/>
      <c r="M88" s="560"/>
      <c r="N88" s="560"/>
      <c r="O88" s="560"/>
      <c r="P88" s="560"/>
      <c r="Q88" s="560"/>
      <c r="R88" s="560"/>
      <c r="S88" s="545"/>
    </row>
    <row r="89" spans="1:19" ht="25.5">
      <c r="A89" s="540"/>
      <c r="B89" s="536"/>
      <c r="C89" s="558"/>
      <c r="D89" s="558"/>
      <c r="E89" s="558"/>
      <c r="F89" s="558"/>
      <c r="G89" s="558"/>
      <c r="H89" s="558"/>
      <c r="I89" s="558"/>
      <c r="J89" s="558"/>
      <c r="K89" s="558"/>
      <c r="L89" s="558"/>
      <c r="M89" s="558"/>
      <c r="N89" s="558"/>
      <c r="O89" s="558"/>
      <c r="P89" s="558"/>
      <c r="Q89" s="558"/>
      <c r="R89" s="558"/>
      <c r="S89" s="545"/>
    </row>
    <row r="90" spans="1:19" ht="25.5">
      <c r="A90" s="540"/>
      <c r="B90" s="536"/>
      <c r="C90" s="558"/>
      <c r="D90" s="558"/>
      <c r="E90" s="558"/>
      <c r="F90" s="558"/>
      <c r="G90" s="558"/>
      <c r="H90" s="558"/>
      <c r="I90" s="558"/>
      <c r="J90" s="558"/>
      <c r="K90" s="558"/>
      <c r="L90" s="558"/>
      <c r="M90" s="558"/>
      <c r="N90" s="558"/>
      <c r="O90" s="558"/>
      <c r="P90" s="558"/>
      <c r="Q90" s="558"/>
      <c r="R90" s="558"/>
      <c r="S90" s="545"/>
    </row>
    <row r="91" spans="1:19" ht="25.5">
      <c r="A91" s="540"/>
      <c r="B91" s="536"/>
      <c r="C91" s="560"/>
      <c r="D91" s="560"/>
      <c r="E91" s="560"/>
      <c r="F91" s="560"/>
      <c r="G91" s="560"/>
      <c r="H91" s="560"/>
      <c r="I91" s="560"/>
      <c r="J91" s="560"/>
      <c r="K91" s="560"/>
      <c r="L91" s="560"/>
      <c r="M91" s="560"/>
      <c r="N91" s="560"/>
      <c r="O91" s="560"/>
      <c r="P91" s="560"/>
      <c r="Q91" s="560"/>
      <c r="R91" s="560"/>
      <c r="S91" s="545"/>
    </row>
    <row r="92" spans="1:19" ht="25.5">
      <c r="A92" s="540"/>
      <c r="B92" s="536"/>
      <c r="C92" s="558"/>
      <c r="D92" s="558"/>
      <c r="E92" s="558"/>
      <c r="F92" s="558"/>
      <c r="G92" s="558"/>
      <c r="H92" s="558"/>
      <c r="I92" s="558"/>
      <c r="J92" s="558"/>
      <c r="K92" s="558"/>
      <c r="L92" s="558"/>
      <c r="M92" s="558"/>
      <c r="N92" s="558"/>
      <c r="O92" s="558"/>
      <c r="P92" s="558"/>
      <c r="Q92" s="558"/>
      <c r="R92" s="558"/>
      <c r="S92" s="545"/>
    </row>
    <row r="93" spans="1:19" ht="25.5">
      <c r="A93" s="540"/>
      <c r="B93" s="536"/>
      <c r="C93" s="558"/>
      <c r="D93" s="558"/>
      <c r="E93" s="558"/>
      <c r="F93" s="558"/>
      <c r="G93" s="558"/>
      <c r="H93" s="558"/>
      <c r="I93" s="558"/>
      <c r="J93" s="558"/>
      <c r="K93" s="558"/>
      <c r="L93" s="558"/>
      <c r="M93" s="558"/>
      <c r="N93" s="558"/>
      <c r="O93" s="558"/>
      <c r="P93" s="558"/>
      <c r="Q93" s="558"/>
      <c r="R93" s="558"/>
      <c r="S93" s="545"/>
    </row>
    <row r="94" spans="1:19" ht="25.5">
      <c r="A94" s="540"/>
      <c r="B94" s="536"/>
      <c r="C94" s="561"/>
      <c r="D94" s="561"/>
      <c r="E94" s="561"/>
      <c r="F94" s="561"/>
      <c r="G94" s="561"/>
      <c r="H94" s="561"/>
      <c r="I94" s="561"/>
      <c r="J94" s="561"/>
      <c r="K94" s="561"/>
      <c r="L94" s="561"/>
      <c r="M94" s="561"/>
      <c r="N94" s="561"/>
      <c r="O94" s="561"/>
      <c r="P94" s="561"/>
      <c r="Q94" s="561"/>
      <c r="R94" s="561"/>
      <c r="S94" s="545"/>
    </row>
    <row r="95" spans="1:19" ht="25.5">
      <c r="A95" s="540"/>
      <c r="B95" s="536"/>
      <c r="C95" s="561"/>
      <c r="D95" s="561"/>
      <c r="E95" s="561"/>
      <c r="F95" s="561"/>
      <c r="G95" s="561"/>
      <c r="H95" s="561"/>
      <c r="I95" s="561"/>
      <c r="J95" s="561"/>
      <c r="K95" s="561"/>
      <c r="L95" s="561"/>
      <c r="M95" s="561"/>
      <c r="N95" s="561"/>
      <c r="O95" s="561"/>
      <c r="P95" s="561"/>
      <c r="Q95" s="561"/>
      <c r="R95" s="561"/>
      <c r="S95" s="545"/>
    </row>
    <row r="96" spans="1:19" ht="25.5">
      <c r="A96" s="540"/>
      <c r="B96" s="536"/>
      <c r="C96" s="561"/>
      <c r="D96" s="561"/>
      <c r="E96" s="561"/>
      <c r="F96" s="561"/>
      <c r="G96" s="561"/>
      <c r="H96" s="561"/>
      <c r="I96" s="561"/>
      <c r="J96" s="561"/>
      <c r="K96" s="561"/>
      <c r="L96" s="561"/>
      <c r="M96" s="561"/>
      <c r="N96" s="561"/>
      <c r="O96" s="561"/>
      <c r="P96" s="561"/>
      <c r="Q96" s="561"/>
      <c r="R96" s="561"/>
      <c r="S96" s="545"/>
    </row>
    <row r="97" spans="1:19" ht="25.5">
      <c r="A97" s="540"/>
      <c r="B97" s="536"/>
      <c r="C97" s="561"/>
      <c r="D97" s="561"/>
      <c r="E97" s="561"/>
      <c r="F97" s="561"/>
      <c r="G97" s="561"/>
      <c r="H97" s="561"/>
      <c r="I97" s="561"/>
      <c r="J97" s="561"/>
      <c r="K97" s="561"/>
      <c r="L97" s="561"/>
      <c r="M97" s="561"/>
      <c r="N97" s="561"/>
      <c r="O97" s="561"/>
      <c r="P97" s="561"/>
      <c r="Q97" s="561"/>
      <c r="R97" s="561"/>
      <c r="S97" s="545"/>
    </row>
    <row r="98" spans="1:19" ht="25.5">
      <c r="A98" s="540"/>
      <c r="B98" s="536"/>
      <c r="C98" s="561"/>
      <c r="D98" s="561"/>
      <c r="E98" s="561"/>
      <c r="F98" s="561"/>
      <c r="G98" s="561"/>
      <c r="H98" s="561"/>
      <c r="I98" s="561"/>
      <c r="J98" s="561"/>
      <c r="K98" s="561"/>
      <c r="L98" s="561"/>
      <c r="M98" s="561"/>
      <c r="N98" s="561"/>
      <c r="O98" s="561"/>
      <c r="P98" s="561"/>
      <c r="Q98" s="561"/>
      <c r="R98" s="561"/>
      <c r="S98" s="545"/>
    </row>
    <row r="99" spans="1:19" ht="25.5">
      <c r="A99" s="540"/>
      <c r="B99" s="536"/>
      <c r="C99" s="561"/>
      <c r="D99" s="561"/>
      <c r="E99" s="561"/>
      <c r="F99" s="561"/>
      <c r="G99" s="561"/>
      <c r="H99" s="561"/>
      <c r="I99" s="561"/>
      <c r="J99" s="561"/>
      <c r="K99" s="561"/>
      <c r="L99" s="561"/>
      <c r="M99" s="561"/>
      <c r="N99" s="561"/>
      <c r="O99" s="561"/>
      <c r="P99" s="561"/>
      <c r="Q99" s="561"/>
      <c r="R99" s="561"/>
      <c r="S99" s="545"/>
    </row>
    <row r="100" spans="1:19" ht="25.5">
      <c r="A100" s="540"/>
      <c r="B100" s="536"/>
      <c r="C100" s="561"/>
      <c r="D100" s="561"/>
      <c r="E100" s="561"/>
      <c r="F100" s="561"/>
      <c r="G100" s="561"/>
      <c r="H100" s="561"/>
      <c r="I100" s="561"/>
      <c r="J100" s="561"/>
      <c r="K100" s="561"/>
      <c r="L100" s="561"/>
      <c r="M100" s="561"/>
      <c r="N100" s="561"/>
      <c r="O100" s="561"/>
      <c r="P100" s="561"/>
      <c r="Q100" s="561"/>
      <c r="R100" s="561"/>
      <c r="S100" s="545"/>
    </row>
    <row r="101" spans="1:19" ht="25.5">
      <c r="A101" s="540"/>
      <c r="B101" s="536"/>
      <c r="C101" s="561"/>
      <c r="D101" s="561"/>
      <c r="E101" s="561"/>
      <c r="F101" s="561"/>
      <c r="G101" s="561"/>
      <c r="H101" s="561"/>
      <c r="I101" s="561"/>
      <c r="J101" s="561"/>
      <c r="K101" s="561"/>
      <c r="L101" s="561"/>
      <c r="M101" s="561"/>
      <c r="N101" s="561"/>
      <c r="O101" s="561"/>
      <c r="P101" s="561"/>
      <c r="Q101" s="561"/>
      <c r="R101" s="561"/>
      <c r="S101" s="545"/>
    </row>
    <row r="102" spans="1:19" ht="25.5">
      <c r="A102" s="540"/>
      <c r="B102" s="536"/>
      <c r="C102" s="561"/>
      <c r="D102" s="561"/>
      <c r="E102" s="561"/>
      <c r="F102" s="561"/>
      <c r="G102" s="561"/>
      <c r="H102" s="561"/>
      <c r="I102" s="561"/>
      <c r="J102" s="561"/>
      <c r="K102" s="561"/>
      <c r="L102" s="561"/>
      <c r="M102" s="561"/>
      <c r="N102" s="561"/>
      <c r="O102" s="561"/>
      <c r="P102" s="561"/>
      <c r="Q102" s="561"/>
      <c r="R102" s="561"/>
      <c r="S102" s="545"/>
    </row>
    <row r="103" spans="1:19" ht="25.5">
      <c r="A103" s="552"/>
      <c r="B103" s="552"/>
      <c r="C103" s="552"/>
      <c r="D103" s="552"/>
      <c r="E103" s="552"/>
      <c r="F103" s="552"/>
      <c r="G103" s="552"/>
      <c r="H103" s="552"/>
      <c r="I103" s="552"/>
      <c r="J103" s="552"/>
      <c r="K103" s="552"/>
      <c r="L103" s="552"/>
      <c r="M103" s="552"/>
      <c r="N103" s="552"/>
      <c r="O103" s="552"/>
      <c r="P103" s="552"/>
      <c r="Q103" s="552"/>
      <c r="R103" s="552"/>
      <c r="S103" s="545"/>
    </row>
    <row r="104" spans="1:19" ht="25.5">
      <c r="A104" s="554"/>
      <c r="B104" s="554"/>
      <c r="C104" s="554"/>
      <c r="D104" s="554"/>
      <c r="E104" s="554"/>
      <c r="F104" s="554"/>
      <c r="G104" s="554"/>
      <c r="H104" s="576"/>
      <c r="I104" s="554"/>
      <c r="J104" s="554"/>
      <c r="K104" s="554"/>
      <c r="L104" s="554"/>
      <c r="M104" s="554"/>
      <c r="N104" s="554"/>
      <c r="O104" s="554"/>
      <c r="P104" s="554"/>
      <c r="Q104" s="554"/>
      <c r="R104" s="554"/>
      <c r="S104" s="545"/>
    </row>
    <row r="105" spans="1:19" ht="25.5">
      <c r="A105" s="540"/>
      <c r="B105" s="536"/>
      <c r="C105" s="561"/>
      <c r="D105" s="561"/>
      <c r="E105" s="561"/>
      <c r="F105" s="561"/>
      <c r="G105" s="561"/>
      <c r="H105" s="561"/>
      <c r="I105" s="561"/>
      <c r="J105" s="561"/>
      <c r="K105" s="561"/>
      <c r="L105" s="561"/>
      <c r="M105" s="561"/>
      <c r="N105" s="561"/>
      <c r="O105" s="561"/>
      <c r="P105" s="561"/>
      <c r="Q105" s="561"/>
      <c r="R105" s="561"/>
      <c r="S105" s="545"/>
    </row>
    <row r="106" spans="1:19" ht="25.5">
      <c r="A106" s="540"/>
      <c r="B106" s="562"/>
      <c r="C106" s="561"/>
      <c r="D106" s="561"/>
      <c r="E106" s="561"/>
      <c r="F106" s="561"/>
      <c r="G106" s="562"/>
      <c r="H106" s="562"/>
      <c r="I106" s="563"/>
      <c r="J106" s="563"/>
      <c r="K106" s="563"/>
      <c r="L106" s="563"/>
      <c r="M106" s="563"/>
      <c r="N106" s="563"/>
      <c r="O106" s="563"/>
      <c r="P106" s="563"/>
      <c r="Q106" s="563"/>
      <c r="R106" s="563"/>
      <c r="S106" s="545"/>
    </row>
    <row r="107" spans="1:19" ht="25.5">
      <c r="A107" s="540"/>
      <c r="B107" s="562"/>
      <c r="C107" s="561"/>
      <c r="D107" s="561"/>
      <c r="E107" s="561"/>
      <c r="F107" s="561"/>
      <c r="G107" s="562"/>
      <c r="H107" s="562"/>
      <c r="I107" s="563"/>
      <c r="J107" s="563"/>
      <c r="K107" s="563"/>
      <c r="L107" s="563"/>
      <c r="M107" s="563"/>
      <c r="N107" s="563"/>
      <c r="O107" s="563"/>
      <c r="P107" s="563"/>
      <c r="Q107" s="563"/>
      <c r="R107" s="563"/>
      <c r="S107" s="545"/>
    </row>
    <row r="108" spans="1:19" ht="25.5">
      <c r="A108" s="540"/>
      <c r="B108" s="562"/>
      <c r="C108" s="561"/>
      <c r="D108" s="561"/>
      <c r="E108" s="561"/>
      <c r="F108" s="561"/>
      <c r="G108" s="562"/>
      <c r="H108" s="562"/>
      <c r="I108" s="563"/>
      <c r="J108" s="563"/>
      <c r="K108" s="563"/>
      <c r="L108" s="563"/>
      <c r="M108" s="563"/>
      <c r="N108" s="563"/>
      <c r="O108" s="563"/>
      <c r="P108" s="563"/>
      <c r="Q108" s="563"/>
      <c r="R108" s="563"/>
      <c r="S108" s="545"/>
    </row>
    <row r="109" spans="1:19" ht="25.5">
      <c r="A109" s="540"/>
      <c r="B109" s="562"/>
      <c r="C109" s="561"/>
      <c r="D109" s="561"/>
      <c r="E109" s="561"/>
      <c r="F109" s="561"/>
      <c r="G109" s="562"/>
      <c r="H109" s="562"/>
      <c r="I109" s="563"/>
      <c r="J109" s="563"/>
      <c r="K109" s="563"/>
      <c r="L109" s="563"/>
      <c r="M109" s="563"/>
      <c r="N109" s="563"/>
      <c r="O109" s="563"/>
      <c r="P109" s="563"/>
      <c r="Q109" s="563"/>
      <c r="R109" s="563"/>
      <c r="S109" s="545"/>
    </row>
    <row r="110" spans="1:19" ht="25.5">
      <c r="A110" s="540"/>
      <c r="B110" s="562"/>
      <c r="C110" s="561"/>
      <c r="D110" s="561"/>
      <c r="E110" s="561"/>
      <c r="F110" s="561"/>
      <c r="G110" s="562"/>
      <c r="H110" s="562"/>
      <c r="I110" s="563"/>
      <c r="J110" s="563"/>
      <c r="K110" s="563"/>
      <c r="L110" s="563"/>
      <c r="M110" s="563"/>
      <c r="N110" s="563"/>
      <c r="O110" s="563"/>
      <c r="P110" s="563"/>
      <c r="Q110" s="563"/>
      <c r="R110" s="563"/>
      <c r="S110" s="545"/>
    </row>
    <row r="111" spans="1:19" ht="25.5">
      <c r="A111" s="540"/>
      <c r="B111" s="562"/>
      <c r="C111" s="561"/>
      <c r="D111" s="561"/>
      <c r="E111" s="561"/>
      <c r="F111" s="561"/>
      <c r="G111" s="562"/>
      <c r="H111" s="562"/>
      <c r="I111" s="563"/>
      <c r="J111" s="563"/>
      <c r="K111" s="563"/>
      <c r="L111" s="563"/>
      <c r="M111" s="563"/>
      <c r="N111" s="563"/>
      <c r="O111" s="563"/>
      <c r="P111" s="563"/>
      <c r="Q111" s="563"/>
      <c r="R111" s="563"/>
      <c r="S111" s="545"/>
    </row>
    <row r="112" spans="1:19" ht="25.5">
      <c r="A112" s="540"/>
      <c r="B112" s="562"/>
      <c r="C112" s="563"/>
      <c r="D112" s="563"/>
      <c r="E112" s="553"/>
      <c r="F112" s="553"/>
      <c r="G112" s="562"/>
      <c r="H112" s="562"/>
      <c r="I112" s="564"/>
      <c r="J112" s="564"/>
      <c r="K112" s="564"/>
      <c r="L112" s="564"/>
      <c r="M112" s="564"/>
      <c r="N112" s="564"/>
      <c r="O112" s="564"/>
      <c r="P112" s="564"/>
      <c r="Q112" s="564"/>
      <c r="R112" s="564"/>
      <c r="S112" s="545"/>
    </row>
    <row r="113" spans="1:19" ht="25.5">
      <c r="A113" s="540"/>
      <c r="B113" s="562"/>
      <c r="C113" s="563"/>
      <c r="D113" s="563"/>
      <c r="E113" s="563"/>
      <c r="F113" s="563"/>
      <c r="G113" s="565"/>
      <c r="H113" s="565"/>
      <c r="I113" s="564"/>
      <c r="J113" s="564"/>
      <c r="K113" s="564"/>
      <c r="L113" s="564"/>
      <c r="M113" s="564"/>
      <c r="N113" s="564"/>
      <c r="O113" s="564"/>
      <c r="P113" s="564"/>
      <c r="Q113" s="564"/>
      <c r="R113" s="564"/>
      <c r="S113" s="545"/>
    </row>
    <row r="114" spans="1:19" ht="25.5">
      <c r="A114" s="540"/>
      <c r="B114" s="562"/>
      <c r="C114" s="563"/>
      <c r="D114" s="563"/>
      <c r="E114" s="563"/>
      <c r="F114" s="563"/>
      <c r="G114" s="565"/>
      <c r="H114" s="565"/>
      <c r="I114" s="563"/>
      <c r="J114" s="563"/>
      <c r="K114" s="563"/>
      <c r="L114" s="563"/>
      <c r="M114" s="563"/>
      <c r="N114" s="563"/>
      <c r="O114" s="563"/>
      <c r="P114" s="563"/>
      <c r="Q114" s="563"/>
      <c r="R114" s="563"/>
      <c r="S114" s="545"/>
    </row>
    <row r="115" spans="1:19" ht="25.5">
      <c r="A115" s="540"/>
      <c r="B115" s="562"/>
      <c r="C115" s="563"/>
      <c r="D115" s="563"/>
      <c r="E115" s="563"/>
      <c r="F115" s="563"/>
      <c r="G115" s="562"/>
      <c r="H115" s="562"/>
      <c r="I115" s="563"/>
      <c r="J115" s="563"/>
      <c r="K115" s="563"/>
      <c r="L115" s="563"/>
      <c r="M115" s="563"/>
      <c r="N115" s="563"/>
      <c r="O115" s="563"/>
      <c r="P115" s="563"/>
      <c r="Q115" s="563"/>
      <c r="R115" s="563"/>
      <c r="S115" s="545"/>
    </row>
    <row r="116" spans="1:19" ht="25.5">
      <c r="A116" s="540"/>
      <c r="B116" s="562"/>
      <c r="C116" s="563"/>
      <c r="D116" s="563"/>
      <c r="E116" s="563"/>
      <c r="F116" s="563"/>
      <c r="G116" s="562"/>
      <c r="H116" s="562"/>
      <c r="I116" s="563"/>
      <c r="J116" s="563"/>
      <c r="K116" s="563"/>
      <c r="L116" s="563"/>
      <c r="M116" s="563"/>
      <c r="N116" s="563"/>
      <c r="O116" s="563"/>
      <c r="P116" s="563"/>
      <c r="Q116" s="563"/>
      <c r="R116" s="563"/>
      <c r="S116" s="545"/>
    </row>
    <row r="117" spans="1:19" ht="25.5">
      <c r="A117" s="540"/>
      <c r="B117" s="562"/>
      <c r="C117" s="563"/>
      <c r="D117" s="563"/>
      <c r="E117" s="563"/>
      <c r="F117" s="563"/>
      <c r="G117" s="565"/>
      <c r="H117" s="565"/>
      <c r="I117" s="563"/>
      <c r="J117" s="563"/>
      <c r="K117" s="563"/>
      <c r="L117" s="563"/>
      <c r="M117" s="563"/>
      <c r="N117" s="563"/>
      <c r="O117" s="563"/>
      <c r="P117" s="563"/>
      <c r="Q117" s="563"/>
      <c r="R117" s="563"/>
      <c r="S117" s="545"/>
    </row>
    <row r="118" spans="1:19" ht="25.5">
      <c r="A118" s="540"/>
      <c r="B118" s="562"/>
      <c r="C118" s="563"/>
      <c r="D118" s="563"/>
      <c r="E118" s="563"/>
      <c r="F118" s="563"/>
      <c r="G118" s="562"/>
      <c r="H118" s="562"/>
      <c r="I118" s="566"/>
      <c r="J118" s="566"/>
      <c r="K118" s="566"/>
      <c r="L118" s="566"/>
      <c r="M118" s="566"/>
      <c r="N118" s="566"/>
      <c r="O118" s="566"/>
      <c r="P118" s="566"/>
      <c r="Q118" s="566"/>
      <c r="R118" s="566"/>
      <c r="S118" s="545"/>
    </row>
    <row r="119" spans="1:19" ht="25.5">
      <c r="A119" s="540"/>
      <c r="B119" s="562"/>
      <c r="C119" s="563"/>
      <c r="D119" s="563"/>
      <c r="E119" s="563"/>
      <c r="F119" s="563"/>
      <c r="G119" s="562"/>
      <c r="H119" s="562"/>
      <c r="I119" s="563"/>
      <c r="J119" s="563"/>
      <c r="K119" s="563"/>
      <c r="L119" s="563"/>
      <c r="M119" s="563"/>
      <c r="N119" s="563"/>
      <c r="O119" s="563"/>
      <c r="P119" s="563"/>
      <c r="Q119" s="563"/>
      <c r="R119" s="563"/>
      <c r="S119" s="545"/>
    </row>
    <row r="120" spans="1:19" ht="25.5">
      <c r="A120" s="540"/>
      <c r="B120" s="562"/>
      <c r="C120" s="563"/>
      <c r="D120" s="563"/>
      <c r="E120" s="563"/>
      <c r="F120" s="563"/>
      <c r="G120" s="565"/>
      <c r="H120" s="565"/>
      <c r="I120" s="563"/>
      <c r="J120" s="563"/>
      <c r="K120" s="563"/>
      <c r="L120" s="563"/>
      <c r="M120" s="563"/>
      <c r="N120" s="563"/>
      <c r="O120" s="563"/>
      <c r="P120" s="563"/>
      <c r="Q120" s="563"/>
      <c r="R120" s="563"/>
      <c r="S120" s="545"/>
    </row>
    <row r="121" spans="1:19" ht="25.5">
      <c r="A121" s="540"/>
      <c r="B121" s="562"/>
      <c r="C121" s="563"/>
      <c r="D121" s="563"/>
      <c r="E121" s="563"/>
      <c r="F121" s="563"/>
      <c r="G121" s="562"/>
      <c r="H121" s="562"/>
      <c r="I121" s="563"/>
      <c r="J121" s="563"/>
      <c r="K121" s="563"/>
      <c r="L121" s="563"/>
      <c r="M121" s="563"/>
      <c r="N121" s="563"/>
      <c r="O121" s="563"/>
      <c r="P121" s="563"/>
      <c r="Q121" s="563"/>
      <c r="R121" s="563"/>
      <c r="S121" s="545"/>
    </row>
    <row r="122" spans="1:19" ht="25.5">
      <c r="A122" s="540"/>
      <c r="B122" s="562"/>
      <c r="C122" s="563"/>
      <c r="D122" s="563"/>
      <c r="E122" s="563"/>
      <c r="F122" s="563"/>
      <c r="G122" s="562"/>
      <c r="H122" s="562"/>
      <c r="I122" s="563"/>
      <c r="J122" s="563"/>
      <c r="K122" s="563"/>
      <c r="L122" s="563"/>
      <c r="M122" s="563"/>
      <c r="N122" s="563"/>
      <c r="O122" s="563"/>
      <c r="P122" s="563"/>
      <c r="Q122" s="563"/>
      <c r="R122" s="563"/>
      <c r="S122" s="545"/>
    </row>
    <row r="123" spans="1:19" ht="25.5">
      <c r="A123" s="540"/>
      <c r="B123" s="562"/>
      <c r="C123" s="563"/>
      <c r="D123" s="563"/>
      <c r="E123" s="563"/>
      <c r="F123" s="563"/>
      <c r="G123" s="562"/>
      <c r="H123" s="562"/>
      <c r="I123" s="563"/>
      <c r="J123" s="563"/>
      <c r="K123" s="563"/>
      <c r="L123" s="563"/>
      <c r="M123" s="563"/>
      <c r="N123" s="563"/>
      <c r="O123" s="563"/>
      <c r="P123" s="563"/>
      <c r="Q123" s="563"/>
      <c r="R123" s="563"/>
      <c r="S123" s="545"/>
    </row>
    <row r="124" spans="1:19" ht="25.5">
      <c r="A124" s="540"/>
      <c r="B124" s="562"/>
      <c r="C124" s="563"/>
      <c r="D124" s="563"/>
      <c r="E124" s="563"/>
      <c r="F124" s="563"/>
      <c r="G124" s="562"/>
      <c r="H124" s="562"/>
      <c r="I124" s="563"/>
      <c r="J124" s="563"/>
      <c r="K124" s="563"/>
      <c r="L124" s="563"/>
      <c r="M124" s="563"/>
      <c r="N124" s="563"/>
      <c r="O124" s="563"/>
      <c r="P124" s="563"/>
      <c r="Q124" s="563"/>
      <c r="R124" s="563"/>
      <c r="S124" s="545"/>
    </row>
    <row r="125" spans="1:19" ht="25.5">
      <c r="A125" s="540"/>
      <c r="B125" s="562"/>
      <c r="C125" s="563"/>
      <c r="D125" s="563"/>
      <c r="E125" s="563"/>
      <c r="F125" s="563"/>
      <c r="G125" s="562"/>
      <c r="H125" s="562"/>
      <c r="I125" s="563"/>
      <c r="J125" s="563"/>
      <c r="K125" s="563"/>
      <c r="L125" s="563"/>
      <c r="M125" s="563"/>
      <c r="N125" s="563"/>
      <c r="O125" s="563"/>
      <c r="P125" s="563"/>
      <c r="Q125" s="563"/>
      <c r="R125" s="563"/>
      <c r="S125" s="545"/>
    </row>
    <row r="126" spans="1:19" ht="25.5">
      <c r="A126" s="540"/>
      <c r="B126" s="562"/>
      <c r="C126" s="563"/>
      <c r="D126" s="563"/>
      <c r="E126" s="563"/>
      <c r="F126" s="563"/>
      <c r="G126" s="565"/>
      <c r="H126" s="565"/>
      <c r="I126" s="563"/>
      <c r="J126" s="563"/>
      <c r="K126" s="563"/>
      <c r="L126" s="563"/>
      <c r="M126" s="563"/>
      <c r="N126" s="563"/>
      <c r="O126" s="563"/>
      <c r="P126" s="563"/>
      <c r="Q126" s="563"/>
      <c r="R126" s="563"/>
      <c r="S126" s="545"/>
    </row>
    <row r="127" spans="1:19" ht="25.5">
      <c r="A127" s="540"/>
      <c r="B127" s="562"/>
      <c r="C127" s="563"/>
      <c r="D127" s="563"/>
      <c r="E127" s="563"/>
      <c r="F127" s="563"/>
      <c r="G127" s="562"/>
      <c r="H127" s="562"/>
      <c r="I127" s="563"/>
      <c r="J127" s="563"/>
      <c r="K127" s="563"/>
      <c r="L127" s="563"/>
      <c r="M127" s="563"/>
      <c r="N127" s="563"/>
      <c r="O127" s="563"/>
      <c r="P127" s="563"/>
      <c r="Q127" s="563"/>
      <c r="R127" s="563"/>
      <c r="S127" s="545"/>
    </row>
    <row r="128" spans="1:19" ht="25.5">
      <c r="A128" s="540"/>
      <c r="B128" s="562"/>
      <c r="C128" s="563"/>
      <c r="D128" s="563"/>
      <c r="E128" s="563"/>
      <c r="F128" s="563"/>
      <c r="G128" s="562"/>
      <c r="H128" s="562"/>
      <c r="I128" s="563"/>
      <c r="J128" s="563"/>
      <c r="K128" s="563"/>
      <c r="L128" s="563"/>
      <c r="M128" s="563"/>
      <c r="N128" s="563"/>
      <c r="O128" s="563"/>
      <c r="P128" s="563"/>
      <c r="Q128" s="563"/>
      <c r="R128" s="563"/>
      <c r="S128" s="545"/>
    </row>
    <row r="129" spans="1:19" ht="25.5">
      <c r="A129" s="540"/>
      <c r="B129" s="562"/>
      <c r="C129" s="563"/>
      <c r="D129" s="563"/>
      <c r="E129" s="563"/>
      <c r="F129" s="563"/>
      <c r="G129" s="562"/>
      <c r="H129" s="562"/>
      <c r="I129" s="563"/>
      <c r="J129" s="563"/>
      <c r="K129" s="563"/>
      <c r="L129" s="563"/>
      <c r="M129" s="563"/>
      <c r="N129" s="563"/>
      <c r="O129" s="563"/>
      <c r="P129" s="563"/>
      <c r="Q129" s="563"/>
      <c r="R129" s="563"/>
      <c r="S129" s="545"/>
    </row>
    <row r="130" spans="1:19" ht="25.5">
      <c r="A130" s="540"/>
      <c r="B130" s="538"/>
      <c r="C130" s="540"/>
      <c r="D130" s="540"/>
      <c r="E130" s="540"/>
      <c r="F130" s="540"/>
      <c r="G130" s="540"/>
      <c r="H130" s="540"/>
      <c r="I130" s="540"/>
      <c r="J130" s="540"/>
      <c r="K130" s="540"/>
      <c r="L130" s="540"/>
      <c r="M130" s="540"/>
      <c r="N130" s="540"/>
      <c r="O130" s="540"/>
      <c r="P130" s="540"/>
      <c r="Q130" s="540"/>
      <c r="R130" s="540"/>
      <c r="S130" s="545"/>
    </row>
    <row r="131" spans="1:19" ht="25.5">
      <c r="A131" s="540"/>
      <c r="B131" s="538"/>
      <c r="C131" s="540"/>
      <c r="D131" s="540"/>
      <c r="E131" s="540"/>
      <c r="F131" s="540"/>
      <c r="G131" s="540"/>
      <c r="H131" s="540"/>
      <c r="I131" s="540"/>
      <c r="J131" s="540"/>
      <c r="K131" s="540"/>
      <c r="L131" s="540"/>
      <c r="M131" s="540"/>
      <c r="N131" s="540"/>
      <c r="O131" s="540"/>
      <c r="P131" s="540"/>
      <c r="Q131" s="540"/>
      <c r="R131" s="540"/>
      <c r="S131" s="545"/>
    </row>
    <row r="132" spans="1:19" ht="25.5">
      <c r="A132" s="540"/>
      <c r="B132" s="538"/>
      <c r="C132" s="540"/>
      <c r="D132" s="540"/>
      <c r="E132" s="540"/>
      <c r="F132" s="540"/>
      <c r="G132" s="567"/>
      <c r="H132" s="567"/>
      <c r="I132" s="540"/>
      <c r="J132" s="540"/>
      <c r="K132" s="540"/>
      <c r="L132" s="566"/>
      <c r="M132" s="566"/>
      <c r="N132" s="566"/>
      <c r="O132" s="566"/>
      <c r="P132" s="566"/>
      <c r="Q132" s="566"/>
      <c r="R132" s="540"/>
      <c r="S132" s="545"/>
    </row>
    <row r="133" spans="1:19" ht="25.5">
      <c r="A133" s="540"/>
      <c r="B133" s="538"/>
      <c r="C133" s="540"/>
      <c r="D133" s="540"/>
      <c r="E133" s="567"/>
      <c r="F133" s="567"/>
      <c r="G133" s="568"/>
      <c r="H133" s="568"/>
      <c r="I133" s="568"/>
      <c r="J133" s="568"/>
      <c r="K133" s="567"/>
      <c r="L133" s="566"/>
      <c r="M133" s="566"/>
      <c r="N133" s="566"/>
      <c r="O133" s="566"/>
      <c r="P133" s="566"/>
      <c r="Q133" s="566"/>
      <c r="R133" s="540"/>
      <c r="S133" s="545"/>
    </row>
    <row r="134" spans="1:19" ht="25.5">
      <c r="A134" s="540"/>
      <c r="B134" s="538"/>
      <c r="C134" s="540"/>
      <c r="D134" s="540"/>
      <c r="E134" s="567"/>
      <c r="F134" s="567"/>
      <c r="G134" s="568"/>
      <c r="H134" s="568"/>
      <c r="I134" s="568"/>
      <c r="J134" s="568"/>
      <c r="K134" s="540"/>
      <c r="L134" s="540"/>
      <c r="M134" s="540"/>
      <c r="N134" s="540"/>
      <c r="O134" s="540"/>
      <c r="P134" s="540"/>
      <c r="Q134" s="540"/>
      <c r="R134" s="540"/>
      <c r="S134" s="545"/>
    </row>
    <row r="135" spans="1:19" ht="25.5">
      <c r="A135" s="540"/>
      <c r="B135" s="538"/>
      <c r="C135" s="540"/>
      <c r="D135" s="540"/>
      <c r="E135" s="567"/>
      <c r="F135" s="567"/>
      <c r="G135" s="568"/>
      <c r="H135" s="568"/>
      <c r="I135" s="568"/>
      <c r="J135" s="568"/>
      <c r="K135" s="540"/>
      <c r="L135" s="540"/>
      <c r="M135" s="540"/>
      <c r="N135" s="540"/>
      <c r="O135" s="540"/>
      <c r="P135" s="540"/>
      <c r="Q135" s="540"/>
      <c r="R135" s="540"/>
      <c r="S135" s="545"/>
    </row>
    <row r="136" spans="1:19" ht="25.5">
      <c r="A136" s="540"/>
      <c r="B136" s="538"/>
      <c r="C136" s="540"/>
      <c r="D136" s="540"/>
      <c r="E136" s="567"/>
      <c r="F136" s="567"/>
      <c r="G136" s="568"/>
      <c r="H136" s="568"/>
      <c r="I136" s="568"/>
      <c r="J136" s="568"/>
      <c r="K136" s="540"/>
      <c r="L136" s="540"/>
      <c r="M136" s="540"/>
      <c r="N136" s="540"/>
      <c r="O136" s="540"/>
      <c r="P136" s="540"/>
      <c r="Q136" s="540"/>
      <c r="R136" s="540"/>
      <c r="S136" s="545"/>
    </row>
    <row r="137" spans="1:19" ht="25.5">
      <c r="A137" s="540"/>
      <c r="B137" s="538"/>
      <c r="C137" s="540"/>
      <c r="D137" s="540"/>
      <c r="E137" s="567"/>
      <c r="F137" s="567"/>
      <c r="G137" s="568"/>
      <c r="H137" s="568"/>
      <c r="I137" s="568"/>
      <c r="J137" s="568"/>
      <c r="K137" s="540"/>
      <c r="L137" s="566"/>
      <c r="M137" s="566"/>
      <c r="N137" s="566"/>
      <c r="O137" s="566"/>
      <c r="P137" s="566"/>
      <c r="Q137" s="566"/>
      <c r="R137" s="540"/>
      <c r="S137" s="545"/>
    </row>
    <row r="138" spans="1:19" ht="25.5">
      <c r="A138" s="540"/>
      <c r="B138" s="538"/>
      <c r="C138" s="540"/>
      <c r="D138" s="540"/>
      <c r="E138" s="567"/>
      <c r="F138" s="567"/>
      <c r="G138" s="568"/>
      <c r="H138" s="568"/>
      <c r="I138" s="568"/>
      <c r="J138" s="568"/>
      <c r="K138" s="569"/>
      <c r="L138" s="570"/>
      <c r="M138" s="570"/>
      <c r="N138" s="570"/>
      <c r="O138" s="570"/>
      <c r="P138" s="570"/>
      <c r="Q138" s="570"/>
      <c r="R138" s="540"/>
      <c r="S138" s="545"/>
    </row>
    <row r="139" spans="1:19" ht="25.5">
      <c r="A139" s="540"/>
      <c r="B139" s="538"/>
      <c r="C139" s="540"/>
      <c r="D139" s="540"/>
      <c r="E139" s="540"/>
      <c r="F139" s="540"/>
      <c r="G139" s="540"/>
      <c r="H139" s="540"/>
      <c r="I139" s="540"/>
      <c r="J139" s="567"/>
      <c r="K139" s="540"/>
      <c r="L139" s="540"/>
      <c r="M139" s="540"/>
      <c r="N139" s="540"/>
      <c r="O139" s="540"/>
      <c r="P139" s="540"/>
      <c r="Q139" s="540"/>
      <c r="R139" s="540"/>
      <c r="S139" s="545"/>
    </row>
    <row r="140" spans="1:19" ht="25.5">
      <c r="A140" s="540"/>
      <c r="B140" s="538"/>
      <c r="C140" s="540"/>
      <c r="D140" s="540"/>
      <c r="E140" s="540"/>
      <c r="F140" s="540"/>
      <c r="G140" s="540"/>
      <c r="H140" s="540"/>
      <c r="I140" s="540"/>
      <c r="J140" s="540"/>
      <c r="K140" s="540"/>
      <c r="L140" s="540"/>
      <c r="M140" s="540"/>
      <c r="N140" s="540"/>
      <c r="O140" s="540"/>
      <c r="P140" s="540"/>
      <c r="Q140" s="540"/>
      <c r="R140" s="540"/>
      <c r="S140" s="545"/>
    </row>
    <row r="141" spans="1:19" ht="25.5">
      <c r="A141" s="540"/>
      <c r="B141" s="538"/>
      <c r="C141" s="540"/>
      <c r="D141" s="540"/>
      <c r="E141" s="540"/>
      <c r="F141" s="540"/>
      <c r="G141" s="540"/>
      <c r="H141" s="540"/>
      <c r="I141" s="540"/>
      <c r="J141" s="540"/>
      <c r="K141" s="540"/>
      <c r="L141" s="540"/>
      <c r="M141" s="540"/>
      <c r="N141" s="540"/>
      <c r="O141" s="540"/>
      <c r="P141" s="540"/>
      <c r="Q141" s="540"/>
      <c r="R141" s="540"/>
      <c r="S141" s="545"/>
    </row>
    <row r="142" spans="1:19" ht="25.5">
      <c r="A142" s="540"/>
      <c r="B142" s="538"/>
      <c r="C142" s="540"/>
      <c r="D142" s="540"/>
      <c r="E142" s="540"/>
      <c r="F142" s="540"/>
      <c r="G142" s="540"/>
      <c r="H142" s="540"/>
      <c r="I142" s="540"/>
      <c r="J142" s="540"/>
      <c r="K142" s="540"/>
      <c r="L142" s="540"/>
      <c r="M142" s="540"/>
      <c r="N142" s="540"/>
      <c r="O142" s="540"/>
      <c r="P142" s="540"/>
      <c r="Q142" s="540"/>
      <c r="R142" s="540"/>
      <c r="S142" s="545"/>
    </row>
    <row r="143" spans="1:19" ht="15.75">
      <c r="C143" s="571"/>
      <c r="D143" s="571"/>
      <c r="E143" s="571"/>
      <c r="F143" s="571"/>
      <c r="G143" s="571"/>
      <c r="H143" s="571"/>
      <c r="I143" s="571"/>
      <c r="J143" s="571"/>
      <c r="K143" s="571"/>
      <c r="L143" s="571"/>
      <c r="M143" s="571"/>
      <c r="N143" s="571"/>
      <c r="O143" s="571"/>
      <c r="P143" s="571"/>
      <c r="Q143" s="571"/>
      <c r="R143" s="571"/>
      <c r="S143" s="571"/>
    </row>
    <row r="144" spans="1:19" ht="15.75">
      <c r="C144" s="571"/>
      <c r="D144" s="571"/>
      <c r="E144" s="571"/>
      <c r="F144" s="571"/>
      <c r="G144" s="571"/>
      <c r="H144" s="571"/>
      <c r="I144" s="571"/>
      <c r="J144" s="571"/>
      <c r="K144" s="571"/>
      <c r="L144" s="571"/>
      <c r="M144" s="571"/>
      <c r="N144" s="571"/>
      <c r="O144" s="571"/>
      <c r="P144" s="571"/>
      <c r="Q144" s="571"/>
      <c r="R144" s="571"/>
      <c r="S144" s="571"/>
    </row>
  </sheetData>
  <mergeCells count="69">
    <mergeCell ref="A24:A25"/>
    <mergeCell ref="A26:A27"/>
    <mergeCell ref="A28:A29"/>
    <mergeCell ref="A30:A31"/>
    <mergeCell ref="A32:A33"/>
    <mergeCell ref="H60:K60"/>
    <mergeCell ref="H30:H31"/>
    <mergeCell ref="H32:H33"/>
    <mergeCell ref="H34:H35"/>
    <mergeCell ref="H37:H38"/>
    <mergeCell ref="H54:K54"/>
    <mergeCell ref="H55:K55"/>
    <mergeCell ref="H39:H40"/>
    <mergeCell ref="H41:H42"/>
    <mergeCell ref="B24:G25"/>
    <mergeCell ref="B26:G27"/>
    <mergeCell ref="B28:G29"/>
    <mergeCell ref="B30:G31"/>
    <mergeCell ref="H59:K59"/>
    <mergeCell ref="B39:G40"/>
    <mergeCell ref="B41:G42"/>
    <mergeCell ref="H24:H25"/>
    <mergeCell ref="H28:H29"/>
    <mergeCell ref="H26:H27"/>
    <mergeCell ref="A9:R9"/>
    <mergeCell ref="A11:D11"/>
    <mergeCell ref="F11:L11"/>
    <mergeCell ref="A12:D12"/>
    <mergeCell ref="F12:I12"/>
    <mergeCell ref="K12:L12"/>
    <mergeCell ref="T13:T14"/>
    <mergeCell ref="A14:D14"/>
    <mergeCell ref="F14:R14"/>
    <mergeCell ref="A18:A19"/>
    <mergeCell ref="B18:G19"/>
    <mergeCell ref="I18:R18"/>
    <mergeCell ref="I19:M19"/>
    <mergeCell ref="N19:R19"/>
    <mergeCell ref="A13:D13"/>
    <mergeCell ref="F13:L13"/>
    <mergeCell ref="H18:H19"/>
    <mergeCell ref="A20:A21"/>
    <mergeCell ref="B20:G21"/>
    <mergeCell ref="H20:H21"/>
    <mergeCell ref="A22:A23"/>
    <mergeCell ref="H22:H23"/>
    <mergeCell ref="B22:G23"/>
    <mergeCell ref="M53:R53"/>
    <mergeCell ref="B32:G33"/>
    <mergeCell ref="B34:G35"/>
    <mergeCell ref="B36:G36"/>
    <mergeCell ref="B37:G38"/>
    <mergeCell ref="M52:R52"/>
    <mergeCell ref="A45:R45"/>
    <mergeCell ref="C47:G47"/>
    <mergeCell ref="M47:R47"/>
    <mergeCell ref="C48:G48"/>
    <mergeCell ref="M48:R48"/>
    <mergeCell ref="A34:A35"/>
    <mergeCell ref="A37:A38"/>
    <mergeCell ref="A39:A40"/>
    <mergeCell ref="A41:A42"/>
    <mergeCell ref="A8:M8"/>
    <mergeCell ref="A6:M6"/>
    <mergeCell ref="A1:S1"/>
    <mergeCell ref="A2:S2"/>
    <mergeCell ref="A3:S3"/>
    <mergeCell ref="A4:S4"/>
    <mergeCell ref="A5:S5"/>
  </mergeCells>
  <dataValidations count="1">
    <dataValidation allowBlank="1" showErrorMessage="1" sqref="L59:XFD60 H56:XFD58 H59:H60 H61:XFD1048576 H9:H18 A32 I21:K53 A34 A36:A37 A39 A41 H32 H43:H55 H30 H20:K20 A9:A22 A24 A26 A28 A30 B6:G1048576 B2:G4 H34 I9:K19 L9:XFD55 A43:A1048576 H36:H37 H22 H24 H26 H28 H39 H41"/>
  </dataValidations>
  <pageMargins left="0.7" right="0.7" top="0.75" bottom="0.75" header="0.3" footer="0.3"/>
  <pageSetup paperSize="5" scale="65" orientation="portrait" horizontalDpi="4294967292"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79873" r:id="rId4" name="Spinner 1">
              <controlPr defaultSize="0" autoPict="0">
                <anchor moveWithCells="1" sizeWithCells="1">
                  <from>
                    <xdr:col>20</xdr:col>
                    <xdr:colOff>9525</xdr:colOff>
                    <xdr:row>12</xdr:row>
                    <xdr:rowOff>9525</xdr:rowOff>
                  </from>
                  <to>
                    <xdr:col>20</xdr:col>
                    <xdr:colOff>447675</xdr:colOff>
                    <xdr:row>14</xdr:row>
                    <xdr:rowOff>19050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55"/>
  <sheetViews>
    <sheetView zoomScale="90" zoomScaleNormal="90" workbookViewId="0">
      <pane xSplit="3" ySplit="4" topLeftCell="J5" activePane="bottomRight" state="frozen"/>
      <selection pane="topRight" activeCell="D1" sqref="D1"/>
      <selection pane="bottomLeft" activeCell="A5" sqref="A5"/>
      <selection pane="bottomRight" activeCell="AK5" sqref="AK5"/>
    </sheetView>
  </sheetViews>
  <sheetFormatPr defaultRowHeight="15"/>
  <cols>
    <col min="2" max="2" width="10.140625" hidden="1" customWidth="1"/>
    <col min="3" max="3" width="26.140625" customWidth="1"/>
    <col min="4" max="5" width="4" style="584" customWidth="1"/>
    <col min="6" max="6" width="9.5703125" style="584" customWidth="1"/>
    <col min="7" max="8" width="4" style="584" customWidth="1"/>
    <col min="9" max="9" width="8.28515625" style="584" customWidth="1"/>
    <col min="10" max="11" width="4" style="584" customWidth="1"/>
    <col min="12" max="12" width="9.140625" style="584" customWidth="1"/>
    <col min="13" max="36" width="4" style="584" customWidth="1"/>
    <col min="37" max="37" width="46.140625" customWidth="1"/>
  </cols>
  <sheetData>
    <row r="1" spans="1:37" ht="42" customHeight="1">
      <c r="B1" s="1337" t="s">
        <v>909</v>
      </c>
      <c r="C1" s="1337"/>
      <c r="D1" s="1337"/>
      <c r="E1" s="1337"/>
      <c r="F1" s="1337"/>
      <c r="G1" s="1337"/>
      <c r="H1" s="1337"/>
      <c r="I1" s="1337"/>
      <c r="J1" s="1337"/>
    </row>
    <row r="2" spans="1:37" ht="10.5" customHeight="1"/>
    <row r="3" spans="1:37" s="474" customFormat="1" ht="15.75" customHeight="1">
      <c r="A3" s="1198" t="s">
        <v>2</v>
      </c>
      <c r="B3" s="1385" t="s">
        <v>3</v>
      </c>
      <c r="C3" s="1198" t="s">
        <v>4</v>
      </c>
      <c r="D3" s="1338" t="s">
        <v>728</v>
      </c>
      <c r="E3" s="1339"/>
      <c r="F3" s="1339"/>
      <c r="G3" s="1338" t="s">
        <v>726</v>
      </c>
      <c r="H3" s="1339"/>
      <c r="I3" s="1339"/>
      <c r="J3" s="1338" t="s">
        <v>727</v>
      </c>
      <c r="K3" s="1339"/>
      <c r="L3" s="1339"/>
      <c r="M3" s="1338" t="s">
        <v>729</v>
      </c>
      <c r="N3" s="1339"/>
      <c r="O3" s="1339"/>
      <c r="P3" s="1338" t="s">
        <v>260</v>
      </c>
      <c r="Q3" s="1339"/>
      <c r="R3" s="1339"/>
      <c r="S3" s="1338" t="s">
        <v>261</v>
      </c>
      <c r="T3" s="1339"/>
      <c r="U3" s="1339"/>
      <c r="V3" s="1338" t="s">
        <v>265</v>
      </c>
      <c r="W3" s="1339"/>
      <c r="X3" s="1339"/>
      <c r="Y3" s="1338" t="s">
        <v>174</v>
      </c>
      <c r="Z3" s="1339"/>
      <c r="AA3" s="1339"/>
      <c r="AB3" s="1338" t="str">
        <f>KKM!X7</f>
        <v>Bahasa Jawa</v>
      </c>
      <c r="AC3" s="1339"/>
      <c r="AD3" s="1339"/>
      <c r="AE3" s="1344" t="str">
        <f>KKM!X8</f>
        <v>Bahasa Inggris</v>
      </c>
      <c r="AF3" s="1345"/>
      <c r="AG3" s="1345"/>
      <c r="AH3" s="1344" t="str">
        <f>KKM!X9</f>
        <v>TIK</v>
      </c>
      <c r="AI3" s="1345"/>
      <c r="AJ3" s="1345"/>
      <c r="AK3" s="1347" t="s">
        <v>733</v>
      </c>
    </row>
    <row r="4" spans="1:37" ht="47.25" customHeight="1">
      <c r="A4" s="1198"/>
      <c r="B4" s="1386"/>
      <c r="C4" s="1198"/>
      <c r="D4" s="716" t="s">
        <v>5</v>
      </c>
      <c r="E4" s="715" t="s">
        <v>6</v>
      </c>
      <c r="F4" s="717" t="s">
        <v>180</v>
      </c>
      <c r="G4" s="716" t="s">
        <v>5</v>
      </c>
      <c r="H4" s="715" t="s">
        <v>6</v>
      </c>
      <c r="I4" s="717" t="s">
        <v>180</v>
      </c>
      <c r="J4" s="716" t="s">
        <v>5</v>
      </c>
      <c r="K4" s="715" t="s">
        <v>6</v>
      </c>
      <c r="L4" s="717" t="s">
        <v>180</v>
      </c>
      <c r="M4" s="716" t="s">
        <v>5</v>
      </c>
      <c r="N4" s="715" t="s">
        <v>6</v>
      </c>
      <c r="O4" s="717" t="s">
        <v>180</v>
      </c>
      <c r="P4" s="716" t="s">
        <v>5</v>
      </c>
      <c r="Q4" s="715" t="s">
        <v>6</v>
      </c>
      <c r="R4" s="717" t="s">
        <v>180</v>
      </c>
      <c r="S4" s="716" t="s">
        <v>5</v>
      </c>
      <c r="T4" s="715" t="s">
        <v>6</v>
      </c>
      <c r="U4" s="717" t="s">
        <v>180</v>
      </c>
      <c r="V4" s="716" t="s">
        <v>5</v>
      </c>
      <c r="W4" s="715" t="s">
        <v>6</v>
      </c>
      <c r="X4" s="717" t="s">
        <v>180</v>
      </c>
      <c r="Y4" s="716" t="s">
        <v>5</v>
      </c>
      <c r="Z4" s="715" t="s">
        <v>6</v>
      </c>
      <c r="AA4" s="717" t="s">
        <v>180</v>
      </c>
      <c r="AB4" s="716" t="s">
        <v>5</v>
      </c>
      <c r="AC4" s="715" t="s">
        <v>6</v>
      </c>
      <c r="AD4" s="717" t="s">
        <v>180</v>
      </c>
      <c r="AE4" s="716" t="s">
        <v>5</v>
      </c>
      <c r="AF4" s="715" t="s">
        <v>6</v>
      </c>
      <c r="AG4" s="717" t="s">
        <v>180</v>
      </c>
      <c r="AH4" s="716" t="s">
        <v>5</v>
      </c>
      <c r="AI4" s="715" t="s">
        <v>6</v>
      </c>
      <c r="AJ4" s="717" t="s">
        <v>180</v>
      </c>
      <c r="AK4" s="1349"/>
    </row>
    <row r="5" spans="1:37" s="591" customFormat="1" ht="11.25">
      <c r="A5" s="590">
        <v>1</v>
      </c>
      <c r="B5" s="590">
        <v>2</v>
      </c>
      <c r="C5" s="590">
        <v>3</v>
      </c>
      <c r="D5" s="590">
        <v>4</v>
      </c>
      <c r="E5" s="590">
        <v>5</v>
      </c>
      <c r="F5" s="590">
        <v>6</v>
      </c>
      <c r="G5" s="590">
        <v>7</v>
      </c>
      <c r="H5" s="590">
        <v>8</v>
      </c>
      <c r="I5" s="590">
        <v>9</v>
      </c>
      <c r="J5" s="590">
        <v>10</v>
      </c>
      <c r="K5" s="590">
        <v>11</v>
      </c>
      <c r="L5" s="590">
        <v>12</v>
      </c>
      <c r="M5" s="590">
        <v>13</v>
      </c>
      <c r="N5" s="590">
        <v>14</v>
      </c>
      <c r="O5" s="590">
        <v>15</v>
      </c>
      <c r="P5" s="590">
        <v>16</v>
      </c>
      <c r="Q5" s="590">
        <v>17</v>
      </c>
      <c r="R5" s="590">
        <v>18</v>
      </c>
      <c r="S5" s="590">
        <v>19</v>
      </c>
      <c r="T5" s="590">
        <v>20</v>
      </c>
      <c r="U5" s="590">
        <v>21</v>
      </c>
      <c r="V5" s="590">
        <v>22</v>
      </c>
      <c r="W5" s="590">
        <v>23</v>
      </c>
      <c r="X5" s="590">
        <v>24</v>
      </c>
      <c r="Y5" s="590">
        <v>28</v>
      </c>
      <c r="Z5" s="590">
        <v>29</v>
      </c>
      <c r="AA5" s="590">
        <v>30</v>
      </c>
      <c r="AB5" s="590">
        <v>31</v>
      </c>
      <c r="AC5" s="590">
        <v>32</v>
      </c>
      <c r="AD5" s="590">
        <v>33</v>
      </c>
      <c r="AE5" s="590">
        <v>34</v>
      </c>
      <c r="AF5" s="590">
        <v>35</v>
      </c>
      <c r="AG5" s="590">
        <v>36</v>
      </c>
      <c r="AH5" s="590">
        <v>37</v>
      </c>
      <c r="AI5" s="590"/>
      <c r="AJ5" s="590">
        <v>38</v>
      </c>
      <c r="AK5" s="590">
        <v>39</v>
      </c>
    </row>
    <row r="6" spans="1:37" ht="15.75">
      <c r="A6" s="191">
        <v>1</v>
      </c>
      <c r="B6" s="529">
        <f>SISWA!B6</f>
        <v>4822</v>
      </c>
      <c r="C6" s="572" t="str">
        <f>SISWA!C6</f>
        <v>Anak 1</v>
      </c>
      <c r="D6" s="718">
        <f>'PAI3'!EX6</f>
        <v>96</v>
      </c>
      <c r="E6" s="718" t="str">
        <f>'PAI3'!EY6</f>
        <v>A</v>
      </c>
      <c r="F6" s="596" t="str">
        <f>'PAI3'!FD6</f>
        <v>Anak 1 sangat baik  dalam memahami manfaat gemar membaca, dan  baik  dalam memahami Q.S. al- Falaq dan Q.S. al- Fil dengan baik dan benar</v>
      </c>
      <c r="G6" s="589">
        <f>'PKN3'!BI5</f>
        <v>81</v>
      </c>
      <c r="H6" s="589" t="str">
        <f>'PKN3'!BJ5</f>
        <v>B</v>
      </c>
      <c r="I6" s="589" t="str">
        <f>'PKN3'!BO5</f>
        <v>Anak 1 sangat baik  dalam mengidentifikasi berbagai bentuk keragaman suku bangsa, sosial, dan budaya di Indonesia yang terikat persatuan dan kesatuan., dan  perlu bimbingan  dalam menjelaskan manfaat keberagaman karakteristik individu dalam kehidupan sehari-hari.</v>
      </c>
      <c r="J6" s="589">
        <f>BIND3!BT5</f>
        <v>72</v>
      </c>
      <c r="K6" s="589" t="str">
        <f>BIND3!BU5</f>
        <v>C</v>
      </c>
      <c r="L6" s="589" t="str">
        <f>BIND3!BZ5</f>
        <v>Anak 1 cukup baik  dalam menggali pengetahuan baru yang terdapat pada teks nonfiksi., dan  perlu bimbingan  dalam menggali isi dan amanat puisi yang disajikan secara lisan dan tulis dengan tujuan untuk kesenangan.</v>
      </c>
      <c r="M6" s="589">
        <f>'MTK3'!CC5</f>
        <v>77</v>
      </c>
      <c r="N6" s="589" t="str">
        <f>'MTK3'!CD5</f>
        <v>C</v>
      </c>
      <c r="O6" s="589" t="str">
        <f>'MTK3'!CI5</f>
        <v>Anak 1 baik  dalam menjelaskan berbagai bentuk pecahan (biasa, campuran, desimal, dan persen) dan hubungan di antaranya, dan  perlu bimbingan  dalam menjelaskan pecahan-pecahan senilai dengan gambar dan model konkret</v>
      </c>
      <c r="P6" s="589">
        <f>'IPA3'!BM5</f>
        <v>88</v>
      </c>
      <c r="Q6" s="589" t="str">
        <f>'IPA3'!BN5</f>
        <v>B</v>
      </c>
      <c r="R6" s="589" t="str">
        <f>'IPA3'!BS5</f>
        <v>Anak 1 baik  dalam mengidentifikasi macam-macam gaya, antara lain: gaya otot, gaya listrik, gaya magnet, gaya gravitasi, dan gaya gesekan., dan  baik  dalam membandingkan siklus hidup beberapa jenis makhluk hidup serta mengaitkan dengan upaya pelestariannya.</v>
      </c>
      <c r="S6" s="589">
        <f>'IPS3'!BM5</f>
        <v>88</v>
      </c>
      <c r="T6" s="589" t="str">
        <f>'IPS3'!BN5</f>
        <v>B</v>
      </c>
      <c r="U6" s="589" t="str">
        <f>'IPS3'!BS5</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V6" s="589">
        <f>SBDP3!BM5</f>
        <v>88</v>
      </c>
      <c r="W6" s="589" t="str">
        <f>SBDP3!BN5</f>
        <v>B</v>
      </c>
      <c r="X6" s="589" t="str">
        <f>SBDP3!BS5</f>
        <v>Anak 1 baik  dalam mengetahui tanda tempo dan tinggi rendah nada., dan  baik  dalam mengetahui gerak tari kreasi daerah.</v>
      </c>
      <c r="Y6" s="589">
        <f>PJOK3!BM5</f>
        <v>70</v>
      </c>
      <c r="Z6" s="589" t="str">
        <f>PJOK3!BN5</f>
        <v>C</v>
      </c>
      <c r="AA6" s="589" t="str">
        <f>PJOK3!BS5</f>
        <v>Anak 1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AB6" s="589">
        <f>'MLK1-3'!BT5</f>
        <v>70</v>
      </c>
      <c r="AC6" s="589" t="str">
        <f>'MLK1-3'!BU5</f>
        <v>C</v>
      </c>
      <c r="AD6" s="589" t="str">
        <f>'MLK1-3'!BZ5</f>
        <v>Anak 1 sangat baik  dalam mengenal, memahami, dan mengidentifikasi kata berimbuhan dalam teks sesuai kaidah, dan  perlu bimbingan  dalam mengenal dan memahmi teks tembang dolanan</v>
      </c>
      <c r="AE6" s="589">
        <f>'MLK2-3'!BP5</f>
        <v>69</v>
      </c>
      <c r="AF6" s="589" t="str">
        <f>'MLK2-3'!BQ5</f>
        <v>D</v>
      </c>
      <c r="AG6" s="589" t="str">
        <f>'MLK2-3'!BV5</f>
        <v>Anak 1 baik  dalam memahami penggunaan waktu, tanggal, bulan, dan tahun, dan  perlu bimbingan  dalam mengenal, memahami dan mengidentifikasi macam-macam kalimat (order, request, and prengenal obyek-obyek wisata dan memahami penggunaan kalimat ungkapan terima kasih</v>
      </c>
      <c r="AH6" s="589">
        <f>'MLK3-3'!BP5</f>
        <v>56</v>
      </c>
      <c r="AI6" s="589" t="str">
        <f>'MLK3-3'!BQ5</f>
        <v>D</v>
      </c>
      <c r="AJ6" s="589" t="str">
        <f>'MLK3-3'!BV5</f>
        <v>Anak 1 perlu bimbingan  dalam mengenal dan memahami penggunaan microsoft  word., dan  perlu bimbingan  dalam memahami pembuatan dokumen di microsoft  word</v>
      </c>
      <c r="AK6" s="471" t="s">
        <v>734</v>
      </c>
    </row>
    <row r="7" spans="1:37" ht="15.75">
      <c r="A7" s="191">
        <v>2</v>
      </c>
      <c r="B7" s="529">
        <f>SISWA!B7</f>
        <v>0</v>
      </c>
      <c r="C7" s="572" t="str">
        <f>SISWA!C7</f>
        <v>Anak 2</v>
      </c>
      <c r="D7" s="718">
        <f>'PAI3'!EX7</f>
        <v>99</v>
      </c>
      <c r="E7" s="718" t="str">
        <f>'PAI3'!EY7</f>
        <v>A</v>
      </c>
      <c r="F7" s="596" t="str">
        <f>'PAI3'!FD7</f>
        <v>Anak 2 sangat baik  dalam memahami Q.S. al- Falaq dan Q.S. al- Fil dengan baik dan benar</v>
      </c>
      <c r="G7" s="589">
        <f>'PKN3'!BI6</f>
        <v>95</v>
      </c>
      <c r="H7" s="589" t="str">
        <f>'PKN3'!BJ6</f>
        <v>A</v>
      </c>
      <c r="I7" s="589" t="str">
        <f>'PKN3'!BO6</f>
        <v>Anak 2 sangat baik  dalam menjelaskan manfaat keberagaman karakteristik individu dalam kehidupan sehari-hari., dan  sangat baik  dalam mengidentifikasi berbagai bentuk keragaman suku bangsa, sosial, dan budaya di Indonesia yang terikat persatuan dan kesatuan.</v>
      </c>
      <c r="J7" s="589">
        <f>BIND3!BT6</f>
        <v>99</v>
      </c>
      <c r="K7" s="589" t="str">
        <f>BIND3!BU6</f>
        <v>A</v>
      </c>
      <c r="L7" s="589" t="str">
        <f>BIND3!BZ6</f>
        <v>Anak 2 sangat baik  dalam menggali isi dan amanat puisi yang disajikan secara lisan dan tulis dengan tujuan untuk kesenangan.</v>
      </c>
      <c r="M7" s="589">
        <f>'MTK3'!CC6</f>
        <v>69</v>
      </c>
      <c r="N7" s="589" t="str">
        <f>'MTK3'!CD6</f>
        <v>D</v>
      </c>
      <c r="O7" s="589" t="str">
        <f>'MTK3'!CI6</f>
        <v>Anak 2 cukup baik  dalam menjelaskan pecahan-pecahan senilai dengan gambar dan model konkret, dan  perlu bimbingan  dalam menjelaskan berbagai bentuk pecahan (biasa, campuran, desimal, dan persen) dan hubungan di antaranya</v>
      </c>
      <c r="P7" s="589">
        <f>'IPA3'!BM6</f>
        <v>88</v>
      </c>
      <c r="Q7" s="589" t="str">
        <f>'IPA3'!BN6</f>
        <v>B</v>
      </c>
      <c r="R7" s="589" t="str">
        <f>'IPA3'!BS6</f>
        <v>Anak 2 baik  dalam mengidentifikasi macam-macam gaya, antara lain: gaya otot, gaya listrik, gaya magnet, gaya gravitasi, dan gaya gesekan., dan  baik  dalam membandingkan siklus hidup beberapa jenis makhluk hidup serta mengaitkan dengan upaya pelestariannya.</v>
      </c>
      <c r="S7" s="589">
        <f>'IPS3'!BM6</f>
        <v>88</v>
      </c>
      <c r="T7" s="589" t="str">
        <f>'IPS3'!BN6</f>
        <v>B</v>
      </c>
      <c r="U7" s="589" t="str">
        <f>'IPS3'!BS6</f>
        <v>Anak 2 baik  dalam mengidentifikasi keragaman sosial, ekonomi, budaya, etnis, dan agama di provinsi setempat sebagai identitas bangsa Indonesia serta hubungannya dengan karakteristik ruang., dan  baik  dalam mengidentifikasi karakteristik ruang dan pemanfaatan sumberdaya alam untuk kesejahteraan masyarakat dari tingkatkota/kabupaten sampai tingkat provinsi.</v>
      </c>
      <c r="V7" s="589">
        <f>SBDP3!BM6</f>
        <v>94</v>
      </c>
      <c r="W7" s="589" t="str">
        <f>SBDP3!BN6</f>
        <v>A</v>
      </c>
      <c r="X7" s="589" t="str">
        <f>SBDP3!BS6</f>
        <v>Anak 2 sangat baik  dalam mengetahui tanda tempo dan tinggi rendah nada., dan  baik  dalam mengetahui gerak tari kreasi daerah.</v>
      </c>
      <c r="Y7" s="589">
        <f>PJOK3!BM6</f>
        <v>95</v>
      </c>
      <c r="Z7" s="589" t="str">
        <f>PJOK3!BN6</f>
        <v>A</v>
      </c>
      <c r="AA7" s="589" t="str">
        <f>PJOK3!BS6</f>
        <v>Anak 2 sangat baik  dalam memahami konsep variasi dan kombinasi pola gerak dasar lokomotorr dan nonlokomotor untuk membentuk gerakan dasar atletik jalan cepat dan lari melalui permainan dan atau olahraga tradisional, dan  sangat baik  dalam memahami konsep variasi dan kombinasi gerak dasar lokomotor,non lokomotor, dan manipulative dalam berbagai permainan dan atau olahraga tradisional bola kecii.</v>
      </c>
      <c r="AB7" s="589">
        <f>'MLK1-3'!BT6</f>
        <v>87</v>
      </c>
      <c r="AC7" s="589" t="str">
        <f>'MLK1-3'!BU6</f>
        <v>B</v>
      </c>
      <c r="AD7" s="589" t="str">
        <f>'MLK1-3'!BZ6</f>
        <v>Anak 2 baik  dalam mengenal dan memahmi teks tembang dolanan</v>
      </c>
      <c r="AE7" s="589">
        <f>'MLK2-3'!BP6</f>
        <v>79</v>
      </c>
      <c r="AF7" s="589" t="str">
        <f>'MLK2-3'!BQ6</f>
        <v>C</v>
      </c>
      <c r="AG7" s="589" t="str">
        <f>'MLK2-3'!BV6</f>
        <v>Anak 2 baik  dalam memahami penggunaan waktu, tanggal, bulan, dan tahun, dan  perlu bimbingan  dalam mengenal, memahami dan mengidentifikasi macam-macam kalimat (order, request, and prengenal obyek-obyek wisata dan memahami penggunaan kalimat ungkapan terima kasih</v>
      </c>
      <c r="AH7" s="589">
        <f>'MLK3-3'!BP6</f>
        <v>95</v>
      </c>
      <c r="AI7" s="589" t="str">
        <f>'MLK3-3'!BQ6</f>
        <v>A</v>
      </c>
      <c r="AJ7" s="589" t="str">
        <f>'MLK3-3'!BV6</f>
        <v>Anak 2 sangat baik  dalam mengenal dan memahami penggunaan microsoft  word., dan  sangat baik  dalam memahami pembuatan dokumen di microsoft  word</v>
      </c>
      <c r="AK7" s="471" t="s">
        <v>734</v>
      </c>
    </row>
    <row r="8" spans="1:37" ht="15.75">
      <c r="A8" s="191">
        <v>3</v>
      </c>
      <c r="B8" s="529">
        <f>SISWA!B8</f>
        <v>0</v>
      </c>
      <c r="C8" s="572" t="str">
        <f>SISWA!C8</f>
        <v>Anak 3</v>
      </c>
      <c r="D8" s="718">
        <f>'PAI3'!EX8</f>
        <v>99</v>
      </c>
      <c r="E8" s="718" t="str">
        <f>'PAI3'!EY8</f>
        <v>A</v>
      </c>
      <c r="F8" s="596" t="str">
        <f>'PAI3'!FD8</f>
        <v>Anak 3 sangat baik  dalam memahami Q.S. al- Falaq dan Q.S. al- Fil dengan baik dan benar</v>
      </c>
      <c r="G8" s="589">
        <f>'PKN3'!BI7</f>
        <v>87</v>
      </c>
      <c r="H8" s="589" t="str">
        <f>'PKN3'!BJ7</f>
        <v>B</v>
      </c>
      <c r="I8" s="589" t="str">
        <f>'PKN3'!BO7</f>
        <v>Anak 3 sangat baik  dalam menjelaskan manfaat keberagaman karakteristik individu dalam kehidupan sehari-hari., dan  cukup baik  dalam mengidentifikasi berbagai bentuk keragaman suku bangsa, sosial, dan budaya di Indonesia yang terikat persatuan dan kesatuan.</v>
      </c>
      <c r="J8" s="589">
        <f>BIND3!BT7</f>
        <v>99</v>
      </c>
      <c r="K8" s="589" t="str">
        <f>BIND3!BU7</f>
        <v>A</v>
      </c>
      <c r="L8" s="589" t="str">
        <f>BIND3!BZ7</f>
        <v>Anak 3 sangat baik  dalam menggali isi dan amanat puisi yang disajikan secara lisan dan tulis dengan tujuan untuk kesenangan.</v>
      </c>
      <c r="M8" s="589">
        <f>'MTK3'!CC7</f>
        <v>98</v>
      </c>
      <c r="N8" s="589" t="str">
        <f>'MTK3'!CD7</f>
        <v>A</v>
      </c>
      <c r="O8" s="589" t="str">
        <f>'MTK3'!CI7</f>
        <v>Anak 3 sangat baik  dalam menjelaskan pecahan-pecahan senilai dengan gambar dan model konkret, dan  sangat baik  dalam menjelaskan berbagai bentuk pecahan (biasa, campuran, desimal, dan persen) dan hubungan di antaranya</v>
      </c>
      <c r="P8" s="589">
        <f>'IPA3'!BM7</f>
        <v>99</v>
      </c>
      <c r="Q8" s="589" t="str">
        <f>'IPA3'!BN7</f>
        <v>A</v>
      </c>
      <c r="R8" s="589" t="str">
        <f>'IPA3'!BS7</f>
        <v>Anak 3 sangat baik  dalam membandingkan siklus hidup beberapa jenis makhluk hidup serta mengaitkan dengan upaya pelestariannya.</v>
      </c>
      <c r="S8" s="589">
        <f>'IPS3'!BM7</f>
        <v>99</v>
      </c>
      <c r="T8" s="589" t="str">
        <f>'IPS3'!BN7</f>
        <v>A</v>
      </c>
      <c r="U8" s="589" t="str">
        <f>'IPS3'!BS7</f>
        <v>Anak 3 sangat baik  dalam mengidentifikasi karakteristik ruang dan pemanfaatan sumberdaya alam untuk kesejahteraan masyarakat dari tingkatkota/kabupaten sampai tingkat provinsi.</v>
      </c>
      <c r="V8" s="589">
        <f>SBDP3!BM7</f>
        <v>94</v>
      </c>
      <c r="W8" s="589" t="str">
        <f>SBDP3!BN7</f>
        <v>A</v>
      </c>
      <c r="X8" s="589" t="str">
        <f>SBDP3!BS7</f>
        <v>Anak 3 sangat baik  dalam mengetahui tanda tempo dan tinggi rendah nada., dan  baik  dalam mengetahui gerak tari kreasi daerah.</v>
      </c>
      <c r="Y8" s="589">
        <f>PJOK3!BM7</f>
        <v>87</v>
      </c>
      <c r="Z8" s="589" t="str">
        <f>PJOK3!BN7</f>
        <v>B</v>
      </c>
      <c r="AA8" s="589" t="str">
        <f>PJOK3!BS7</f>
        <v>Anak 3 sangat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8" s="589">
        <f>'MLK1-3'!BT7</f>
        <v>87</v>
      </c>
      <c r="AC8" s="589" t="str">
        <f>'MLK1-3'!BU7</f>
        <v>B</v>
      </c>
      <c r="AD8" s="589" t="str">
        <f>'MLK1-3'!BZ7</f>
        <v>Anak 3 sangat baik  dalam mengenal dan memahmi teks tembang dolanan, dan  cukup baik  dalam mengenal dan memahami sandhangan aksara Jawa.</v>
      </c>
      <c r="AE8" s="589">
        <f>'MLK2-3'!BP7</f>
        <v>87</v>
      </c>
      <c r="AF8" s="589" t="str">
        <f>'MLK2-3'!BQ7</f>
        <v>B</v>
      </c>
      <c r="AG8" s="589" t="str">
        <f>'MLK2-3'!BV7</f>
        <v>Anak 3 sangat baik  dalam mengenal, memahami dan mengidentifikasi macam-macam kalimat (order, request, and prengenal obyek-obyek wisata dan memahami penggunaan kalimat ungkapan terima kasih, dan  cukup baik  dalam memahami penggunaan kalimat yang menunjukkan letak suatu tempat</v>
      </c>
      <c r="AH8" s="589">
        <f>'MLK3-3'!BP7</f>
        <v>87</v>
      </c>
      <c r="AI8" s="589" t="str">
        <f>'MLK3-3'!BQ7</f>
        <v>B</v>
      </c>
      <c r="AJ8" s="589" t="str">
        <f>'MLK3-3'!BV7</f>
        <v>Anak 3 sangat baik  dalam mengenal dan memahami penggunaan microsoft  word., dan  cukup baik  dalam memahami pembuatan dokumen di microsoft  word</v>
      </c>
      <c r="AK8" s="471" t="s">
        <v>734</v>
      </c>
    </row>
    <row r="9" spans="1:37" ht="15.75">
      <c r="A9" s="191">
        <v>4</v>
      </c>
      <c r="B9" s="529">
        <f>SISWA!B9</f>
        <v>0</v>
      </c>
      <c r="C9" s="572" t="str">
        <f>SISWA!C9</f>
        <v>Anak 4</v>
      </c>
      <c r="D9" s="718">
        <f>'PAI3'!EX9</f>
        <v>99</v>
      </c>
      <c r="E9" s="718" t="str">
        <f>'PAI3'!EY9</f>
        <v>A</v>
      </c>
      <c r="F9" s="596" t="str">
        <f>'PAI3'!FD9</f>
        <v>Anak 4 sangat baik  dalam memahami Q.S. al- Falaq dan Q.S. al- Fil dengan baik dan benar</v>
      </c>
      <c r="G9" s="589">
        <f>'PKN3'!BI8</f>
        <v>79</v>
      </c>
      <c r="H9" s="589" t="str">
        <f>'PKN3'!BJ8</f>
        <v>C</v>
      </c>
      <c r="I9" s="589" t="str">
        <f>'PKN3'!BO8</f>
        <v>Anak 4 cukup baik  dalam menjelaskan manfaat keberagaman karakteristik individu dalam kehidupan sehari-hari.</v>
      </c>
      <c r="J9" s="589">
        <f>BIND3!BT8</f>
        <v>77</v>
      </c>
      <c r="K9" s="589" t="str">
        <f>BIND3!BU8</f>
        <v>C</v>
      </c>
      <c r="L9" s="589" t="str">
        <f>BIND3!BZ8</f>
        <v>Anak 4 baik  dalam menggali pengetahuan baru yang terdapat pada teks nonfiksi., dan  perlu bimbingan  dalam menggali isi dan amanat puisi yang disajikan secara lisan dan tulis dengan tujuan untuk kesenangan.</v>
      </c>
      <c r="M9" s="589">
        <f>'MTK3'!CC8</f>
        <v>92</v>
      </c>
      <c r="N9" s="589" t="str">
        <f>'MTK3'!CD8</f>
        <v>A</v>
      </c>
      <c r="O9" s="589" t="str">
        <f>'MTK3'!CI8</f>
        <v>Anak 4 sangat baik  dalam menjelaskan pecahan-pecahan senilai dengan gambar dan model konkret, dan  cukup baik  dalam menjelaskan berbagai bentuk pecahan (biasa, campuran, desimal, dan persen) dan hubungan di antaranya</v>
      </c>
      <c r="P9" s="589">
        <f>'IPA3'!BM8</f>
        <v>74</v>
      </c>
      <c r="Q9" s="589" t="str">
        <f>'IPA3'!BN8</f>
        <v>C</v>
      </c>
      <c r="R9" s="589" t="str">
        <f>'IPA3'!BS8</f>
        <v>Anak 4 cukup baik  dalam mengidentifikasi macam-macam gaya, antara lain: gaya otot, gaya listrik, gaya magnet, gaya gravitasi, dan gaya gesekan., dan  perlu bimbingan  dalam membandingkan siklus hidup beberapa jenis makhluk hidup serta mengaitkan dengan upaya pelestariannya.</v>
      </c>
      <c r="S9" s="589">
        <f>'IPS3'!BM8</f>
        <v>99</v>
      </c>
      <c r="T9" s="589" t="str">
        <f>'IPS3'!BN8</f>
        <v>A</v>
      </c>
      <c r="U9" s="589" t="str">
        <f>'IPS3'!BS8</f>
        <v>Anak 4 sangat baik  dalam mengidentifikasi karakteristik ruang dan pemanfaatan sumberdaya alam untuk kesejahteraan masyarakat dari tingkatkota/kabupaten sampai tingkat provinsi.</v>
      </c>
      <c r="V9" s="589">
        <f>SBDP3!BM8</f>
        <v>95</v>
      </c>
      <c r="W9" s="589" t="str">
        <f>SBDP3!BN8</f>
        <v>A</v>
      </c>
      <c r="X9" s="589" t="str">
        <f>SBDP3!BS8</f>
        <v>Anak 4 sangat baik  dalam mengetahui tanda tempo dan tinggi rendah nada., dan  baik  dalam mengetahui gerak tari kreasi daerah.</v>
      </c>
      <c r="Y9" s="589">
        <f>PJOK3!BM8</f>
        <v>79</v>
      </c>
      <c r="Z9" s="589" t="str">
        <f>PJOK3!BN8</f>
        <v>C</v>
      </c>
      <c r="AA9" s="589" t="str">
        <f>PJOK3!BS8</f>
        <v>Anak 4 cukup baik  dalam memahami konsep variasi dan kombinasi pola gerak dasar lokomotorr dan nonlokomotor untuk membentuk gerakan dasar atletik jalan cepat dan lari melalui permainan dan atau olahraga tradisional</v>
      </c>
      <c r="AB9" s="589">
        <f>'MLK1-3'!BT8</f>
        <v>79</v>
      </c>
      <c r="AC9" s="589" t="str">
        <f>'MLK1-3'!BU8</f>
        <v>C</v>
      </c>
      <c r="AD9" s="589" t="str">
        <f>'MLK1-3'!BZ8</f>
        <v>Anak 4 cukup baik  dalam mengenal dan memahmi teks tembang dolanan</v>
      </c>
      <c r="AE9" s="589">
        <f>'MLK2-3'!BP8</f>
        <v>79</v>
      </c>
      <c r="AF9" s="589" t="str">
        <f>'MLK2-3'!BQ8</f>
        <v>C</v>
      </c>
      <c r="AG9" s="589" t="str">
        <f>'MLK2-3'!BV8</f>
        <v>Anak 4 cukup baik  dalam mengenal, memahami dan mengidentifikasi macam-macam kalimat (order, request, and prengenal obyek-obyek wisata dan memahami penggunaan kalimat ungkapan terima kasih</v>
      </c>
      <c r="AH9" s="589">
        <f>'MLK3-3'!BP8</f>
        <v>79</v>
      </c>
      <c r="AI9" s="589" t="str">
        <f>'MLK3-3'!BQ8</f>
        <v>C</v>
      </c>
      <c r="AJ9" s="589" t="str">
        <f>'MLK3-3'!BV8</f>
        <v>Anak 4 cukup baik  dalam mengenal dan memahami penggunaan microsoft  word.</v>
      </c>
      <c r="AK9" s="471" t="s">
        <v>734</v>
      </c>
    </row>
    <row r="10" spans="1:37" ht="15.75">
      <c r="A10" s="191">
        <v>5</v>
      </c>
      <c r="B10" s="529">
        <f>SISWA!B10</f>
        <v>0</v>
      </c>
      <c r="C10" s="572" t="str">
        <f>SISWA!C10</f>
        <v>Anak 5</v>
      </c>
      <c r="D10" s="718">
        <f>'PAI3'!EX10</f>
        <v>99</v>
      </c>
      <c r="E10" s="718" t="str">
        <f>'PAI3'!EY10</f>
        <v>A</v>
      </c>
      <c r="F10" s="596" t="str">
        <f>'PAI3'!FD10</f>
        <v>Anak 5 sangat baik  dalam memahami Q.S. al- Falaq dan Q.S. al- Fil dengan baik dan benar</v>
      </c>
      <c r="G10" s="589">
        <f>'PKN3'!BI9</f>
        <v>79</v>
      </c>
      <c r="H10" s="589" t="str">
        <f>'PKN3'!BJ9</f>
        <v>C</v>
      </c>
      <c r="I10" s="589" t="str">
        <f>'PKN3'!BO9</f>
        <v>Anak 5 cukup baik  dalam menjelaskan manfaat keberagaman karakteristik individu dalam kehidupan sehari-hari.</v>
      </c>
      <c r="J10" s="589">
        <f>BIND3!BT9</f>
        <v>99</v>
      </c>
      <c r="K10" s="589" t="str">
        <f>BIND3!BU9</f>
        <v>A</v>
      </c>
      <c r="L10" s="589" t="str">
        <f>BIND3!BZ9</f>
        <v>Anak 5 sangat baik  dalam menggali isi dan amanat puisi yang disajikan secara lisan dan tulis dengan tujuan untuk kesenangan.</v>
      </c>
      <c r="M10" s="589">
        <f>'MTK3'!CC9</f>
        <v>92</v>
      </c>
      <c r="N10" s="589" t="str">
        <f>'MTK3'!CD9</f>
        <v>A</v>
      </c>
      <c r="O10" s="589" t="str">
        <f>'MTK3'!CI9</f>
        <v>Anak 5 sangat baik  dalam menjelaskan pecahan-pecahan senilai dengan gambar dan model konkret, dan  cukup baik  dalam menjelaskan berbagai bentuk pecahan (biasa, campuran, desimal, dan persen) dan hubungan di antaranya</v>
      </c>
      <c r="P10" s="589">
        <f>'IPA3'!BM9</f>
        <v>99</v>
      </c>
      <c r="Q10" s="589" t="str">
        <f>'IPA3'!BN9</f>
        <v>A</v>
      </c>
      <c r="R10" s="589" t="str">
        <f>'IPA3'!BS9</f>
        <v>Anak 5 sangat baik  dalam membandingkan siklus hidup beberapa jenis makhluk hidup serta mengaitkan dengan upaya pelestariannya.</v>
      </c>
      <c r="S10" s="589">
        <f>'IPS3'!BM9</f>
        <v>99</v>
      </c>
      <c r="T10" s="589" t="str">
        <f>'IPS3'!BN9</f>
        <v>A</v>
      </c>
      <c r="U10" s="589" t="str">
        <f>'IPS3'!BS9</f>
        <v>Anak 5 sangat baik  dalam mengidentifikasi karakteristik ruang dan pemanfaatan sumberdaya alam untuk kesejahteraan masyarakat dari tingkatkota/kabupaten sampai tingkat provinsi.</v>
      </c>
      <c r="V10" s="589">
        <f>SBDP3!BM9</f>
        <v>99</v>
      </c>
      <c r="W10" s="589" t="str">
        <f>SBDP3!BN9</f>
        <v>A</v>
      </c>
      <c r="X10" s="589" t="str">
        <f>SBDP3!BS9</f>
        <v>Anak 5 sangat baik  dalam mengetahui tanda tempo dan tinggi rendah nada.</v>
      </c>
      <c r="Y10" s="589">
        <f>PJOK3!BM9</f>
        <v>79</v>
      </c>
      <c r="Z10" s="589" t="str">
        <f>PJOK3!BN9</f>
        <v>C</v>
      </c>
      <c r="AA10" s="589" t="str">
        <f>PJOK3!BS9</f>
        <v>Anak 5 cukup baik  dalam memahami konsep variasi dan kombinasi pola gerak dasar lokomotorr dan nonlokomotor untuk membentuk gerakan dasar atletik jalan cepat dan lari melalui permainan dan atau olahraga tradisional</v>
      </c>
      <c r="AB10" s="589">
        <f>'MLK1-3'!BT9</f>
        <v>79</v>
      </c>
      <c r="AC10" s="589" t="str">
        <f>'MLK1-3'!BU9</f>
        <v>C</v>
      </c>
      <c r="AD10" s="589" t="str">
        <f>'MLK1-3'!BZ9</f>
        <v>Anak 5 cukup baik  dalam mengenal dan memahmi teks tembang dolanan</v>
      </c>
      <c r="AE10" s="589">
        <f>'MLK2-3'!BP9</f>
        <v>79</v>
      </c>
      <c r="AF10" s="589" t="str">
        <f>'MLK2-3'!BQ9</f>
        <v>C</v>
      </c>
      <c r="AG10" s="589" t="str">
        <f>'MLK2-3'!BV9</f>
        <v>Anak 5 cukup baik  dalam mengenal, memahami dan mengidentifikasi macam-macam kalimat (order, request, and prengenal obyek-obyek wisata dan memahami penggunaan kalimat ungkapan terima kasih</v>
      </c>
      <c r="AH10" s="589">
        <f>'MLK3-3'!BP9</f>
        <v>79</v>
      </c>
      <c r="AI10" s="589" t="str">
        <f>'MLK3-3'!BQ9</f>
        <v>C</v>
      </c>
      <c r="AJ10" s="589" t="str">
        <f>'MLK3-3'!BV9</f>
        <v>Anak 5 cukup baik  dalam mengenal dan memahami penggunaan microsoft  word.</v>
      </c>
      <c r="AK10" s="471" t="s">
        <v>734</v>
      </c>
    </row>
    <row r="11" spans="1:37" ht="15.75">
      <c r="A11" s="191">
        <v>6</v>
      </c>
      <c r="B11" s="529">
        <f>SISWA!B11</f>
        <v>0</v>
      </c>
      <c r="C11" s="572" t="str">
        <f>SISWA!C11</f>
        <v>Anak 6</v>
      </c>
      <c r="D11" s="718">
        <f>'PAI3'!EX11</f>
        <v>99</v>
      </c>
      <c r="E11" s="718" t="str">
        <f>'PAI3'!EY11</f>
        <v>A</v>
      </c>
      <c r="F11" s="596" t="str">
        <f>'PAI3'!FD11</f>
        <v>Anak 6 sangat baik  dalam memahami Q.S. al- Falaq dan Q.S. al- Fil dengan baik dan benar</v>
      </c>
      <c r="G11" s="589">
        <f>'PKN3'!BI10</f>
        <v>74</v>
      </c>
      <c r="H11" s="589" t="str">
        <f>'PKN3'!BJ10</f>
        <v>C</v>
      </c>
      <c r="I11" s="589" t="str">
        <f>'PKN3'!BO10</f>
        <v>Anak 6 cukup baik  dalam menjelaskan manfaat keberagaman karakteristik individu dalam kehidupan sehari-hari., dan  perlu bimbingan  dalam mengidentifikasi berbagai bentuk keragaman suku bangsa, sosial, dan budaya di Indonesia yang terikat persatuan dan kesatuan.</v>
      </c>
      <c r="J11" s="589">
        <f>BIND3!BT10</f>
        <v>99</v>
      </c>
      <c r="K11" s="589" t="str">
        <f>BIND3!BU10</f>
        <v>A</v>
      </c>
      <c r="L11" s="589" t="str">
        <f>BIND3!BZ10</f>
        <v>Anak 6 sangat baik  dalam menggali isi dan amanat puisi yang disajikan secara lisan dan tulis dengan tujuan untuk kesenangan.</v>
      </c>
      <c r="M11" s="589">
        <f>'MTK3'!CC10</f>
        <v>92</v>
      </c>
      <c r="N11" s="589" t="str">
        <f>'MTK3'!CD10</f>
        <v>A</v>
      </c>
      <c r="O11" s="589" t="str">
        <f>'MTK3'!CI10</f>
        <v>Anak 6 sangat baik  dalam menjelaskan pecahan-pecahan senilai dengan gambar dan model konkret, dan  cukup baik  dalam menjelaskan berbagai bentuk pecahan (biasa, campuran, desimal, dan persen) dan hubungan di antaranya</v>
      </c>
      <c r="P11" s="589">
        <f>'IPA3'!BM10</f>
        <v>99</v>
      </c>
      <c r="Q11" s="589" t="str">
        <f>'IPA3'!BN10</f>
        <v>A</v>
      </c>
      <c r="R11" s="589" t="str">
        <f>'IPA3'!BS10</f>
        <v>Anak 6 sangat baik  dalam membandingkan siklus hidup beberapa jenis makhluk hidup serta mengaitkan dengan upaya pelestariannya.</v>
      </c>
      <c r="S11" s="589">
        <f>'IPS3'!BM10</f>
        <v>99</v>
      </c>
      <c r="T11" s="589" t="str">
        <f>'IPS3'!BN10</f>
        <v>A</v>
      </c>
      <c r="U11" s="589" t="str">
        <f>'IPS3'!BS10</f>
        <v>Anak 6 sangat baik  dalam mengidentifikasi karakteristik ruang dan pemanfaatan sumberdaya alam untuk kesejahteraan masyarakat dari tingkatkota/kabupaten sampai tingkat provinsi.</v>
      </c>
      <c r="V11" s="589">
        <f>SBDP3!BM10</f>
        <v>99</v>
      </c>
      <c r="W11" s="589" t="str">
        <f>SBDP3!BN10</f>
        <v>A</v>
      </c>
      <c r="X11" s="589" t="str">
        <f>SBDP3!BS10</f>
        <v>Anak 6 sangat baik  dalam mengetahui tanda tempo dan tinggi rendah nada.</v>
      </c>
      <c r="Y11" s="589">
        <f>PJOK3!BM10</f>
        <v>74</v>
      </c>
      <c r="Z11" s="589" t="str">
        <f>PJOK3!BN10</f>
        <v>C</v>
      </c>
      <c r="AA11" s="589" t="str">
        <f>PJOK3!BS10</f>
        <v>Anak 6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AB11" s="589">
        <f>'MLK1-3'!BT10</f>
        <v>74</v>
      </c>
      <c r="AC11" s="589" t="str">
        <f>'MLK1-3'!BU10</f>
        <v>C</v>
      </c>
      <c r="AD11" s="589" t="str">
        <f>'MLK1-3'!BZ10</f>
        <v>Anak 6 cukup baik  dalam mengenal dan memahmi teks tembang dolanan, dan  perlu bimbingan  dalam mengenal dan memahami sandhangan aksara Jawa.</v>
      </c>
      <c r="AE11" s="589">
        <f>'MLK2-3'!BP10</f>
        <v>74</v>
      </c>
      <c r="AF11" s="589" t="str">
        <f>'MLK2-3'!BQ10</f>
        <v>C</v>
      </c>
      <c r="AG11" s="589" t="str">
        <f>'MLK2-3'!BV10</f>
        <v>Anak 6 cukup baik  dalam mengenal, memahami dan mengidentifikasi macam-macam kalimat (order, request, and prengenal obyek-obyek wisata dan memahami penggunaan kalimat ungkapan terima kasih, dan  perlu bimbingan  dalam memahami penggunaan kalimat yang menunjukkan letak suatu tempat</v>
      </c>
      <c r="AH11" s="589">
        <f>'MLK3-3'!BP10</f>
        <v>74</v>
      </c>
      <c r="AI11" s="589" t="str">
        <f>'MLK3-3'!BQ10</f>
        <v>C</v>
      </c>
      <c r="AJ11" s="589" t="str">
        <f>'MLK3-3'!BV10</f>
        <v>Anak 6 cukup baik  dalam mengenal dan memahami penggunaan microsoft  word., dan  perlu bimbingan  dalam memahami pembuatan dokumen di microsoft  word</v>
      </c>
      <c r="AK11" s="471" t="s">
        <v>734</v>
      </c>
    </row>
    <row r="12" spans="1:37" ht="15.75">
      <c r="A12" s="191">
        <v>7</v>
      </c>
      <c r="B12" s="529">
        <f>SISWA!B12</f>
        <v>0</v>
      </c>
      <c r="C12" s="572" t="str">
        <f>SISWA!C12</f>
        <v>Anak 7</v>
      </c>
      <c r="D12" s="718">
        <f>'PAI3'!EX12</f>
        <v>99</v>
      </c>
      <c r="E12" s="718" t="str">
        <f>'PAI3'!EY12</f>
        <v>A</v>
      </c>
      <c r="F12" s="596" t="str">
        <f>'PAI3'!FD12</f>
        <v>Anak 7 sangat baik  dalam memahami Q.S. al- Falaq dan Q.S. al- Fil dengan baik dan benar</v>
      </c>
      <c r="G12" s="589">
        <f>'PKN3'!BI11</f>
        <v>69</v>
      </c>
      <c r="H12" s="589" t="str">
        <f>'PKN3'!BJ11</f>
        <v>D</v>
      </c>
      <c r="I12" s="589" t="str">
        <f>'PKN3'!BO11</f>
        <v>Anak 7 perlu bimbingan  dalam mengidentifikasi berbagai bentuk keragaman suku bangsa, sosial, dan budaya di Indonesia yang terikat persatuan dan kesatuan., dan  perlu bimbingan  dalam menjelaskan manfaat keberagaman karakteristik individu dalam kehidupan sehari-hari.</v>
      </c>
      <c r="J12" s="589">
        <f>BIND3!BT11</f>
        <v>99</v>
      </c>
      <c r="K12" s="589" t="str">
        <f>BIND3!BU11</f>
        <v>A</v>
      </c>
      <c r="L12" s="589" t="str">
        <f>BIND3!BZ11</f>
        <v>Anak 7 sangat baik  dalam menggali isi dan amanat puisi yang disajikan secara lisan dan tulis dengan tujuan untuk kesenangan.</v>
      </c>
      <c r="M12" s="589">
        <f>'MTK3'!CC11</f>
        <v>89</v>
      </c>
      <c r="N12" s="589" t="str">
        <f>'MTK3'!CD11</f>
        <v>B</v>
      </c>
      <c r="O12" s="589" t="str">
        <f>'MTK3'!CI11</f>
        <v>Anak 7 sangat baik  dalam menjelaskan pecahan-pecahan senilai dengan gambar dan model konkret, dan  perlu bimbingan  dalam menjelaskan berbagai bentuk pecahan (biasa, campuran, desimal, dan persen) dan hubungan di antaranya</v>
      </c>
      <c r="P12" s="589">
        <f>'IPA3'!BM11</f>
        <v>99</v>
      </c>
      <c r="Q12" s="589" t="str">
        <f>'IPA3'!BN11</f>
        <v>A</v>
      </c>
      <c r="R12" s="589" t="str">
        <f>'IPA3'!BS11</f>
        <v>Anak 7 sangat baik  dalam membandingkan siklus hidup beberapa jenis makhluk hidup serta mengaitkan dengan upaya pelestariannya.</v>
      </c>
      <c r="S12" s="589">
        <f>'IPS3'!BM11</f>
        <v>99</v>
      </c>
      <c r="T12" s="589" t="str">
        <f>'IPS3'!BN11</f>
        <v>A</v>
      </c>
      <c r="U12" s="589" t="str">
        <f>'IPS3'!BS11</f>
        <v>Anak 7 sangat baik  dalam mengidentifikasi karakteristik ruang dan pemanfaatan sumberdaya alam untuk kesejahteraan masyarakat dari tingkatkota/kabupaten sampai tingkat provinsi.</v>
      </c>
      <c r="V12" s="589">
        <f>SBDP3!BM11</f>
        <v>99</v>
      </c>
      <c r="W12" s="589" t="str">
        <f>SBDP3!BN11</f>
        <v>A</v>
      </c>
      <c r="X12" s="589" t="str">
        <f>SBDP3!BS11</f>
        <v>Anak 7 sangat baik  dalam mengetahui tanda tempo dan tinggi rendah nada.</v>
      </c>
      <c r="Y12" s="589">
        <f>PJOK3!BM11</f>
        <v>69</v>
      </c>
      <c r="Z12" s="589" t="str">
        <f>PJOK3!BN11</f>
        <v>D</v>
      </c>
      <c r="AA12" s="589" t="str">
        <f>PJOK3!BS11</f>
        <v>Anak 7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AB12" s="589">
        <f>'MLK1-3'!BT11</f>
        <v>69</v>
      </c>
      <c r="AC12" s="589" t="str">
        <f>'MLK1-3'!BU11</f>
        <v>D</v>
      </c>
      <c r="AD12" s="589" t="str">
        <f>'MLK1-3'!BZ11</f>
        <v>Anak 7 perlu bimbingan  dalam mengenal dan memahami sandhangan aksara Jawa., dan  perlu bimbingan  dalam mengenal dan memahmi teks tembang dolanan</v>
      </c>
      <c r="AE12" s="589">
        <f>'MLK2-3'!BP11</f>
        <v>69</v>
      </c>
      <c r="AF12" s="589" t="str">
        <f>'MLK2-3'!BQ11</f>
        <v>D</v>
      </c>
      <c r="AG12" s="589" t="str">
        <f>'MLK2-3'!BV11</f>
        <v>Anak 7 perlu bimbingan  dalam memahami penggunaan kalimat yang menunjukkan letak suatu tempat, dan  perlu bimbingan  dalam mengenal, memahami dan mengidentifikasi macam-macam kalimat (order, request, and prengenal obyek-obyek wisata dan memahami penggunaan kalimat ungkapan terima kasih</v>
      </c>
      <c r="AH12" s="589">
        <f>'MLK3-3'!BP11</f>
        <v>69</v>
      </c>
      <c r="AI12" s="589" t="str">
        <f>'MLK3-3'!BQ11</f>
        <v>D</v>
      </c>
      <c r="AJ12" s="589" t="str">
        <f>'MLK3-3'!BV11</f>
        <v>Anak 7 perlu bimbingan  dalam memahami pembuatan dokumen di microsoft  word, dan  perlu bimbingan  dalam mengenal dan memahami penggunaan microsoft  word.</v>
      </c>
      <c r="AK12" s="471" t="s">
        <v>734</v>
      </c>
    </row>
    <row r="13" spans="1:37" ht="15.75">
      <c r="A13" s="191">
        <v>8</v>
      </c>
      <c r="B13" s="529">
        <f>SISWA!B13</f>
        <v>0</v>
      </c>
      <c r="C13" s="572" t="str">
        <f>SISWA!C13</f>
        <v>Anak 8</v>
      </c>
      <c r="D13" s="718">
        <f>'PAI3'!EX13</f>
        <v>99</v>
      </c>
      <c r="E13" s="718" t="str">
        <f>'PAI3'!EY13</f>
        <v>A</v>
      </c>
      <c r="F13" s="596" t="str">
        <f>'PAI3'!FD13</f>
        <v>Anak 8 sangat baik  dalam memahami Q.S. al- Falaq dan Q.S. al- Fil dengan baik dan benar</v>
      </c>
      <c r="G13" s="589">
        <f>'PKN3'!BI12</f>
        <v>75</v>
      </c>
      <c r="H13" s="589" t="str">
        <f>'PKN3'!BJ12</f>
        <v>C</v>
      </c>
      <c r="I13" s="589" t="str">
        <f>'PKN3'!BO12</f>
        <v>Anak 8 cukup baik  dalam mengidentifikasi berbagai bentuk keragaman suku bangsa, sosial, dan budaya di Indonesia yang terikat persatuan dan kesatuan., dan  perlu bimbingan  dalam menjelaskan manfaat keberagaman karakteristik individu dalam kehidupan sehari-hari.</v>
      </c>
      <c r="J13" s="589">
        <f>BIND3!BT12</f>
        <v>99</v>
      </c>
      <c r="K13" s="589" t="str">
        <f>BIND3!BU12</f>
        <v>A</v>
      </c>
      <c r="L13" s="589" t="str">
        <f>BIND3!BZ12</f>
        <v>Anak 8 sangat baik  dalam menggali isi dan amanat puisi yang disajikan secara lisan dan tulis dengan tujuan untuk kesenangan.</v>
      </c>
      <c r="M13" s="589">
        <f>'MTK3'!CC12</f>
        <v>89</v>
      </c>
      <c r="N13" s="589" t="str">
        <f>'MTK3'!CD12</f>
        <v>B</v>
      </c>
      <c r="O13" s="589" t="str">
        <f>'MTK3'!CI12</f>
        <v>Anak 8 sangat baik  dalam menjelaskan pecahan-pecahan senilai dengan gambar dan model konkret, dan  perlu bimbingan  dalam menjelaskan berbagai bentuk pecahan (biasa, campuran, desimal, dan persen) dan hubungan di antaranya</v>
      </c>
      <c r="P13" s="589">
        <f>'IPA3'!BM12</f>
        <v>99</v>
      </c>
      <c r="Q13" s="589" t="str">
        <f>'IPA3'!BN12</f>
        <v>A</v>
      </c>
      <c r="R13" s="589" t="str">
        <f>'IPA3'!BS12</f>
        <v>Anak 8 sangat baik  dalam membandingkan siklus hidup beberapa jenis makhluk hidup serta mengaitkan dengan upaya pelestariannya.</v>
      </c>
      <c r="S13" s="589">
        <f>'IPS3'!BM12</f>
        <v>99</v>
      </c>
      <c r="T13" s="589" t="str">
        <f>'IPS3'!BN12</f>
        <v>A</v>
      </c>
      <c r="U13" s="589" t="str">
        <f>'IPS3'!BS12</f>
        <v>Anak 8 sangat baik  dalam mengidentifikasi karakteristik ruang dan pemanfaatan sumberdaya alam untuk kesejahteraan masyarakat dari tingkatkota/kabupaten sampai tingkat provinsi.</v>
      </c>
      <c r="V13" s="589">
        <f>SBDP3!BM12</f>
        <v>99</v>
      </c>
      <c r="W13" s="589" t="str">
        <f>SBDP3!BN12</f>
        <v>A</v>
      </c>
      <c r="X13" s="589" t="str">
        <f>SBDP3!BS12</f>
        <v>Anak 8 sangat baik  dalam mengetahui tanda tempo dan tinggi rendah nada.</v>
      </c>
      <c r="Y13" s="589">
        <f>PJOK3!BM12</f>
        <v>75</v>
      </c>
      <c r="Z13" s="589" t="str">
        <f>PJOK3!BN12</f>
        <v>C</v>
      </c>
      <c r="AA13" s="589" t="str">
        <f>PJOK3!BS12</f>
        <v>Anak 8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AB13" s="589">
        <f>'MLK1-3'!BT12</f>
        <v>75</v>
      </c>
      <c r="AC13" s="589" t="str">
        <f>'MLK1-3'!BU12</f>
        <v>C</v>
      </c>
      <c r="AD13" s="589" t="str">
        <f>'MLK1-3'!BZ12</f>
        <v>Anak 8 cukup baik  dalam mengenal dan memahami sandhangan aksara Jawa., dan  perlu bimbingan  dalam mengenal dan memahmi teks tembang dolanan</v>
      </c>
      <c r="AE13" s="589">
        <f>'MLK2-3'!BP12</f>
        <v>75</v>
      </c>
      <c r="AF13" s="589" t="str">
        <f>'MLK2-3'!BQ12</f>
        <v>C</v>
      </c>
      <c r="AG13" s="589" t="str">
        <f>'MLK2-3'!BV12</f>
        <v>Anak 8 cukup baik  dalam memahami penggunaan kalimat yang menunjukkan letak suatu tempat, dan  perlu bimbingan  dalam mengenal, memahami dan mengidentifikasi macam-macam kalimat (order, request, and prengenal obyek-obyek wisata dan memahami penggunaan kalimat ungkapan terima kasih</v>
      </c>
      <c r="AH13" s="589">
        <f>'MLK3-3'!BP12</f>
        <v>75</v>
      </c>
      <c r="AI13" s="589" t="str">
        <f>'MLK3-3'!BQ12</f>
        <v>C</v>
      </c>
      <c r="AJ13" s="589" t="str">
        <f>'MLK3-3'!BV12</f>
        <v>Anak 8 cukup baik  dalam memahami pembuatan dokumen di microsoft  word, dan  perlu bimbingan  dalam mengenal dan memahami penggunaan microsoft  word.</v>
      </c>
      <c r="AK13" s="471" t="s">
        <v>734</v>
      </c>
    </row>
    <row r="14" spans="1:37" ht="15.75">
      <c r="A14" s="191">
        <v>9</v>
      </c>
      <c r="B14" s="529">
        <f>SISWA!B14</f>
        <v>0</v>
      </c>
      <c r="C14" s="572" t="str">
        <f>SISWA!C14</f>
        <v>Anak 9</v>
      </c>
      <c r="D14" s="718">
        <f>'PAI3'!EX14</f>
        <v>99</v>
      </c>
      <c r="E14" s="718" t="str">
        <f>'PAI3'!EY14</f>
        <v>A</v>
      </c>
      <c r="F14" s="596" t="str">
        <f>'PAI3'!FD14</f>
        <v>Anak 9 sangat baik  dalam memahami Q.S. al- Falaq dan Q.S. al- Fil dengan baik dan benar</v>
      </c>
      <c r="G14" s="589">
        <f>'PKN3'!BI13</f>
        <v>74</v>
      </c>
      <c r="H14" s="589" t="str">
        <f>'PKN3'!BJ13</f>
        <v>C</v>
      </c>
      <c r="I14" s="589" t="str">
        <f>'PKN3'!BO13</f>
        <v>Anak 9 cukup baik  dalam menjelaskan manfaat keberagaman karakteristik individu dalam kehidupan sehari-hari., dan  perlu bimbingan  dalam mengidentifikasi berbagai bentuk keragaman suku bangsa, sosial, dan budaya di Indonesia yang terikat persatuan dan kesatuan.</v>
      </c>
      <c r="J14" s="589">
        <f>BIND3!BT13</f>
        <v>99</v>
      </c>
      <c r="K14" s="589" t="str">
        <f>BIND3!BU13</f>
        <v>A</v>
      </c>
      <c r="L14" s="589" t="str">
        <f>BIND3!BZ13</f>
        <v>Anak 9 sangat baik  dalam menggali isi dan amanat puisi yang disajikan secara lisan dan tulis dengan tujuan untuk kesenangan.</v>
      </c>
      <c r="M14" s="589">
        <f>'MTK3'!CC13</f>
        <v>93</v>
      </c>
      <c r="N14" s="589" t="str">
        <f>'MTK3'!CD13</f>
        <v>A</v>
      </c>
      <c r="O14" s="589" t="str">
        <f>'MTK3'!CI13</f>
        <v>Anak 9 sangat baik  dalam menjelaskan pecahan-pecahan senilai dengan gambar dan model konkret, dan  cukup baik  dalam menjelaskan berbagai bentuk pecahan (biasa, campuran, desimal, dan persen) dan hubungan di antaranya</v>
      </c>
      <c r="P14" s="589">
        <f>'IPA3'!BM13</f>
        <v>99</v>
      </c>
      <c r="Q14" s="589" t="str">
        <f>'IPA3'!BN13</f>
        <v>A</v>
      </c>
      <c r="R14" s="589" t="str">
        <f>'IPA3'!BS13</f>
        <v>Anak 9 sangat baik  dalam membandingkan siklus hidup beberapa jenis makhluk hidup serta mengaitkan dengan upaya pelestariannya.</v>
      </c>
      <c r="S14" s="589">
        <f>'IPS3'!BM13</f>
        <v>99</v>
      </c>
      <c r="T14" s="589" t="str">
        <f>'IPS3'!BN13</f>
        <v>A</v>
      </c>
      <c r="U14" s="589" t="str">
        <f>'IPS3'!BS13</f>
        <v>Anak 9 sangat baik  dalam mengidentifikasi karakteristik ruang dan pemanfaatan sumberdaya alam untuk kesejahteraan masyarakat dari tingkatkota/kabupaten sampai tingkat provinsi.</v>
      </c>
      <c r="V14" s="589">
        <f>SBDP3!BM13</f>
        <v>99</v>
      </c>
      <c r="W14" s="589" t="str">
        <f>SBDP3!BN13</f>
        <v>A</v>
      </c>
      <c r="X14" s="589" t="str">
        <f>SBDP3!BS13</f>
        <v>Anak 9 sangat baik  dalam mengetahui tanda tempo dan tinggi rendah nada.</v>
      </c>
      <c r="Y14" s="589">
        <f>PJOK3!BM13</f>
        <v>74</v>
      </c>
      <c r="Z14" s="589" t="str">
        <f>PJOK3!BN13</f>
        <v>C</v>
      </c>
      <c r="AA14" s="589" t="str">
        <f>PJOK3!BS13</f>
        <v>Anak 9 cukup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AB14" s="589">
        <f>'MLK1-3'!BT13</f>
        <v>74</v>
      </c>
      <c r="AC14" s="589" t="str">
        <f>'MLK1-3'!BU13</f>
        <v>C</v>
      </c>
      <c r="AD14" s="589" t="str">
        <f>'MLK1-3'!BZ13</f>
        <v>Anak 9 cukup baik  dalam mengenal dan memahmi teks tembang dolanan, dan  perlu bimbingan  dalam mengenal dan memahami sandhangan aksara Jawa.</v>
      </c>
      <c r="AE14" s="589">
        <f>'MLK2-3'!BP13</f>
        <v>74</v>
      </c>
      <c r="AF14" s="589" t="str">
        <f>'MLK2-3'!BQ13</f>
        <v>C</v>
      </c>
      <c r="AG14" s="589" t="str">
        <f>'MLK2-3'!BV13</f>
        <v>Anak 9 cukup baik  dalam mengenal, memahami dan mengidentifikasi macam-macam kalimat (order, request, and prengenal obyek-obyek wisata dan memahami penggunaan kalimat ungkapan terima kasih, dan  perlu bimbingan  dalam memahami penggunaan kalimat yang menunjukkan letak suatu tempat</v>
      </c>
      <c r="AH14" s="589">
        <f>'MLK3-3'!BP13</f>
        <v>74</v>
      </c>
      <c r="AI14" s="589" t="str">
        <f>'MLK3-3'!BQ13</f>
        <v>C</v>
      </c>
      <c r="AJ14" s="589" t="str">
        <f>'MLK3-3'!BV13</f>
        <v>Anak 9 cukup baik  dalam mengenal dan memahami penggunaan microsoft  word., dan  perlu bimbingan  dalam memahami pembuatan dokumen di microsoft  word</v>
      </c>
      <c r="AK14" s="471" t="s">
        <v>734</v>
      </c>
    </row>
    <row r="15" spans="1:37" ht="15.75">
      <c r="A15" s="191">
        <v>10</v>
      </c>
      <c r="B15" s="529">
        <f>SISWA!B15</f>
        <v>0</v>
      </c>
      <c r="C15" s="572" t="str">
        <f>SISWA!C15</f>
        <v>Anak 10</v>
      </c>
      <c r="D15" s="718">
        <f>'PAI3'!EX15</f>
        <v>99</v>
      </c>
      <c r="E15" s="718" t="str">
        <f>'PAI3'!EY15</f>
        <v>A</v>
      </c>
      <c r="F15" s="596" t="str">
        <f>'PAI3'!FD15</f>
        <v>Anak 10 sangat baik  dalam memahami Q.S. al- Falaq dan Q.S. al- Fil dengan baik dan benar</v>
      </c>
      <c r="G15" s="589">
        <f>'PKN3'!BI14</f>
        <v>69</v>
      </c>
      <c r="H15" s="589" t="str">
        <f>'PKN3'!BJ14</f>
        <v>D</v>
      </c>
      <c r="I15" s="589" t="str">
        <f>'PKN3'!BO14</f>
        <v>Anak 10 perlu bimbingan  dalam mengidentifikasi berbagai bentuk keragaman suku bangsa, sosial, dan budaya di Indonesia yang terikat persatuan dan kesatuan., dan  perlu bimbingan  dalam menjelaskan manfaat keberagaman karakteristik individu dalam kehidupan sehari-hari.</v>
      </c>
      <c r="J15" s="589">
        <f>BIND3!BT14</f>
        <v>99</v>
      </c>
      <c r="K15" s="589" t="str">
        <f>BIND3!BU14</f>
        <v>A</v>
      </c>
      <c r="L15" s="589" t="str">
        <f>BIND3!BZ14</f>
        <v>Anak 10 sangat baik  dalam menggali isi dan amanat puisi yang disajikan secara lisan dan tulis dengan tujuan untuk kesenangan.</v>
      </c>
      <c r="M15" s="589">
        <f>'MTK3'!CC14</f>
        <v>89</v>
      </c>
      <c r="N15" s="589" t="str">
        <f>'MTK3'!CD14</f>
        <v>B</v>
      </c>
      <c r="O15" s="589" t="str">
        <f>'MTK3'!CI14</f>
        <v>Anak 10 sangat baik  dalam menjelaskan pecahan-pecahan senilai dengan gambar dan model konkret, dan  perlu bimbingan  dalam menjelaskan berbagai bentuk pecahan (biasa, campuran, desimal, dan persen) dan hubungan di antaranya</v>
      </c>
      <c r="P15" s="589">
        <f>'IPA3'!BM14</f>
        <v>99</v>
      </c>
      <c r="Q15" s="589" t="str">
        <f>'IPA3'!BN14</f>
        <v>A</v>
      </c>
      <c r="R15" s="589" t="str">
        <f>'IPA3'!BS14</f>
        <v>Anak 10 sangat baik  dalam membandingkan siklus hidup beberapa jenis makhluk hidup serta mengaitkan dengan upaya pelestariannya.</v>
      </c>
      <c r="S15" s="589">
        <f>'IPS3'!BM14</f>
        <v>99</v>
      </c>
      <c r="T15" s="589" t="str">
        <f>'IPS3'!BN14</f>
        <v>A</v>
      </c>
      <c r="U15" s="589" t="str">
        <f>'IPS3'!BS14</f>
        <v>Anak 10 sangat baik  dalam mengidentifikasi karakteristik ruang dan pemanfaatan sumberdaya alam untuk kesejahteraan masyarakat dari tingkatkota/kabupaten sampai tingkat provinsi.</v>
      </c>
      <c r="V15" s="589">
        <f>SBDP3!BM14</f>
        <v>99</v>
      </c>
      <c r="W15" s="589" t="str">
        <f>SBDP3!BN14</f>
        <v>A</v>
      </c>
      <c r="X15" s="589" t="str">
        <f>SBDP3!BS14</f>
        <v>Anak 10 sangat baik  dalam mengetahui tanda tempo dan tinggi rendah nada.</v>
      </c>
      <c r="Y15" s="589">
        <f>PJOK3!BM14</f>
        <v>69</v>
      </c>
      <c r="Z15" s="589" t="str">
        <f>PJOK3!BN14</f>
        <v>D</v>
      </c>
      <c r="AA15" s="589" t="str">
        <f>PJOK3!BS14</f>
        <v>Anak 10 perlu bimbingan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AB15" s="589">
        <f>'MLK1-3'!BT14</f>
        <v>69</v>
      </c>
      <c r="AC15" s="589" t="str">
        <f>'MLK1-3'!BU14</f>
        <v>D</v>
      </c>
      <c r="AD15" s="589" t="str">
        <f>'MLK1-3'!BZ14</f>
        <v>Anak 10 perlu bimbingan  dalam mengenal dan memahami sandhangan aksara Jawa., dan  perlu bimbingan  dalam mengenal dan memahmi teks tembang dolanan</v>
      </c>
      <c r="AE15" s="589">
        <f>'MLK2-3'!BP14</f>
        <v>69</v>
      </c>
      <c r="AF15" s="589" t="str">
        <f>'MLK2-3'!BQ14</f>
        <v>D</v>
      </c>
      <c r="AG15" s="589" t="str">
        <f>'MLK2-3'!BV14</f>
        <v>Anak 10 perlu bimbingan  dalam memahami penggunaan kalimat yang menunjukkan letak suatu tempat, dan  perlu bimbingan  dalam mengenal, memahami dan mengidentifikasi macam-macam kalimat (order, request, and prengenal obyek-obyek wisata dan memahami penggunaan kalimat ungkapan terima kasih</v>
      </c>
      <c r="AH15" s="589">
        <f>'MLK3-3'!BP14</f>
        <v>69</v>
      </c>
      <c r="AI15" s="589" t="str">
        <f>'MLK3-3'!BQ14</f>
        <v>D</v>
      </c>
      <c r="AJ15" s="589" t="str">
        <f>'MLK3-3'!BV14</f>
        <v>Anak 10 perlu bimbingan  dalam memahami pembuatan dokumen di microsoft  word, dan  perlu bimbingan  dalam mengenal dan memahami penggunaan microsoft  word.</v>
      </c>
      <c r="AK15" s="471" t="s">
        <v>734</v>
      </c>
    </row>
    <row r="16" spans="1:37" ht="15.75">
      <c r="A16" s="191">
        <v>11</v>
      </c>
      <c r="B16" s="529">
        <f>SISWA!B16</f>
        <v>0</v>
      </c>
      <c r="C16" s="572" t="str">
        <f>SISWA!C16</f>
        <v>Anak 11</v>
      </c>
      <c r="D16" s="718">
        <f>'PAI3'!EX16</f>
        <v>99</v>
      </c>
      <c r="E16" s="718" t="str">
        <f>'PAI3'!EY16</f>
        <v>A</v>
      </c>
      <c r="F16" s="596" t="str">
        <f>'PAI3'!FD16</f>
        <v>Anak 11 sangat baik  dalam memahami Q.S. al- Falaq dan Q.S. al- Fil dengan baik dan benar</v>
      </c>
      <c r="G16" s="589">
        <f>'PKN3'!BI15</f>
        <v>70</v>
      </c>
      <c r="H16" s="589" t="str">
        <f>'PKN3'!BJ15</f>
        <v>C</v>
      </c>
      <c r="I16" s="589" t="str">
        <f>'PKN3'!BO15</f>
        <v>Anak 11 cukup baik  dalam mengidentifikasi berbagai bentuk keragaman suku bangsa, sosial, dan budaya di Indonesia yang terikat persatuan dan kesatuan., dan  perlu bimbingan  dalam menjelaskan manfaat keberagaman karakteristik individu dalam kehidupan sehari-hari.</v>
      </c>
      <c r="J16" s="589">
        <f>BIND3!BT15</f>
        <v>99</v>
      </c>
      <c r="K16" s="589" t="str">
        <f>BIND3!BU15</f>
        <v>A</v>
      </c>
      <c r="L16" s="589" t="str">
        <f>BIND3!BZ15</f>
        <v>Anak 11 sangat baik  dalam menggali isi dan amanat puisi yang disajikan secara lisan dan tulis dengan tujuan untuk kesenangan.</v>
      </c>
      <c r="M16" s="589">
        <f>'MTK3'!CC15</f>
        <v>89</v>
      </c>
      <c r="N16" s="589" t="str">
        <f>'MTK3'!CD15</f>
        <v>B</v>
      </c>
      <c r="O16" s="589" t="str">
        <f>'MTK3'!CI15</f>
        <v>Anak 11 sangat baik  dalam menjelaskan pecahan-pecahan senilai dengan gambar dan model konkret, dan  perlu bimbingan  dalam menjelaskan berbagai bentuk pecahan (biasa, campuran, desimal, dan persen) dan hubungan di antaranya</v>
      </c>
      <c r="P16" s="589">
        <f>'IPA3'!BM15</f>
        <v>99</v>
      </c>
      <c r="Q16" s="589" t="str">
        <f>'IPA3'!BN15</f>
        <v>A</v>
      </c>
      <c r="R16" s="589" t="str">
        <f>'IPA3'!BS15</f>
        <v>Anak 11 sangat baik  dalam membandingkan siklus hidup beberapa jenis makhluk hidup serta mengaitkan dengan upaya pelestariannya.</v>
      </c>
      <c r="S16" s="589">
        <f>'IPS3'!BM15</f>
        <v>99</v>
      </c>
      <c r="T16" s="589" t="str">
        <f>'IPS3'!BN15</f>
        <v>A</v>
      </c>
      <c r="U16" s="589" t="str">
        <f>'IPS3'!BS15</f>
        <v>Anak 11 sangat baik  dalam mengidentifikasi karakteristik ruang dan pemanfaatan sumberdaya alam untuk kesejahteraan masyarakat dari tingkatkota/kabupaten sampai tingkat provinsi.</v>
      </c>
      <c r="V16" s="589">
        <f>SBDP3!BM15</f>
        <v>99</v>
      </c>
      <c r="W16" s="589" t="str">
        <f>SBDP3!BN15</f>
        <v>A</v>
      </c>
      <c r="X16" s="589" t="str">
        <f>SBDP3!BS15</f>
        <v>Anak 11 sangat baik  dalam mengetahui tanda tempo dan tinggi rendah nada.</v>
      </c>
      <c r="Y16" s="589">
        <f>PJOK3!BM15</f>
        <v>70</v>
      </c>
      <c r="Z16" s="589" t="str">
        <f>PJOK3!BN15</f>
        <v>C</v>
      </c>
      <c r="AA16" s="589" t="str">
        <f>PJOK3!BS15</f>
        <v>Anak 11 cukup baik  dalam memahami konsep variasi dan kombinasi gerak dasar lokomotor,non lokomotor, dan manipulative dalam berbagai permainan dan atau olahraga tradisional bola kecii., dan  perlu bimbingan  dalam memahami konsep variasi dan kombinasi pola gerak dasar lokomotorr dan nonlokomotor untuk membentuk gerakan dasar atletik jalan cepat dan lari melalui permainan dan atau olahraga tradisional</v>
      </c>
      <c r="AB16" s="589">
        <f>'MLK1-3'!BT15</f>
        <v>70</v>
      </c>
      <c r="AC16" s="589" t="str">
        <f>'MLK1-3'!BU15</f>
        <v>C</v>
      </c>
      <c r="AD16" s="589" t="str">
        <f>'MLK1-3'!BZ15</f>
        <v>Anak 11 cukup baik  dalam mengenal dan memahami sandhangan aksara Jawa., dan  perlu bimbingan  dalam mengenal dan memahmi teks tembang dolanan</v>
      </c>
      <c r="AE16" s="589">
        <f>'MLK2-3'!BP15</f>
        <v>70</v>
      </c>
      <c r="AF16" s="589" t="str">
        <f>'MLK2-3'!BQ15</f>
        <v>C</v>
      </c>
      <c r="AG16" s="589" t="str">
        <f>'MLK2-3'!BV15</f>
        <v>Anak 11 cukup baik  dalam memahami penggunaan kalimat yang menunjukkan letak suatu tempat, dan  perlu bimbingan  dalam mengenal, memahami dan mengidentifikasi macam-macam kalimat (order, request, and prengenal obyek-obyek wisata dan memahami penggunaan kalimat ungkapan terima kasih</v>
      </c>
      <c r="AH16" s="589">
        <f>'MLK3-3'!BP15</f>
        <v>70</v>
      </c>
      <c r="AI16" s="589" t="str">
        <f>'MLK3-3'!BQ15</f>
        <v>C</v>
      </c>
      <c r="AJ16" s="589" t="str">
        <f>'MLK3-3'!BV15</f>
        <v>Anak 11 cukup baik  dalam memahami pembuatan dokumen di microsoft  word, dan  perlu bimbingan  dalam mengenal dan memahami penggunaan microsoft  word.</v>
      </c>
      <c r="AK16" s="471" t="s">
        <v>734</v>
      </c>
    </row>
    <row r="17" spans="1:37" ht="15.75">
      <c r="A17" s="191">
        <v>12</v>
      </c>
      <c r="B17" s="529">
        <f>SISWA!B17</f>
        <v>0</v>
      </c>
      <c r="C17" s="572" t="str">
        <f>SISWA!C17</f>
        <v>Anak 12</v>
      </c>
      <c r="D17" s="718">
        <f>'PAI3'!EX17</f>
        <v>99</v>
      </c>
      <c r="E17" s="718" t="str">
        <f>'PAI3'!EY17</f>
        <v>A</v>
      </c>
      <c r="F17" s="596" t="str">
        <f>'PAI3'!FD17</f>
        <v>Anak 12 sangat baik  dalam memahami Q.S. al- Falaq dan Q.S. al- Fil dengan baik dan benar</v>
      </c>
      <c r="G17" s="589">
        <f>'PKN3'!BI16</f>
        <v>78</v>
      </c>
      <c r="H17" s="589" t="str">
        <f>'PKN3'!BJ16</f>
        <v>C</v>
      </c>
      <c r="I17" s="589" t="str">
        <f>'PKN3'!BO16</f>
        <v>Anak 12 baik  dalam mengidentifikasi berbagai bentuk keragaman suku bangsa, sosial, dan budaya di Indonesia yang terikat persatuan dan kesatuan., dan  cukup baik  dalam menjelaskan manfaat keberagaman karakteristik individu dalam kehidupan sehari-hari.</v>
      </c>
      <c r="J17" s="589">
        <f>BIND3!BT16</f>
        <v>99</v>
      </c>
      <c r="K17" s="589" t="str">
        <f>BIND3!BU16</f>
        <v>A</v>
      </c>
      <c r="L17" s="589" t="str">
        <f>BIND3!BZ16</f>
        <v>Anak 12 sangat baik  dalam menggali isi dan amanat puisi yang disajikan secara lisan dan tulis dengan tujuan untuk kesenangan.</v>
      </c>
      <c r="M17" s="589">
        <f>'MTK3'!CC16</f>
        <v>90</v>
      </c>
      <c r="N17" s="589" t="str">
        <f>'MTK3'!CD16</f>
        <v>B</v>
      </c>
      <c r="O17" s="589" t="str">
        <f>'MTK3'!CI16</f>
        <v>Anak 12 sangat baik  dalam menjelaskan pecahan-pecahan senilai dengan gambar dan model konkret, dan  cukup baik  dalam menjelaskan berbagai bentuk pecahan (biasa, campuran, desimal, dan persen) dan hubungan di antaranya</v>
      </c>
      <c r="P17" s="589">
        <f>'IPA3'!BM16</f>
        <v>99</v>
      </c>
      <c r="Q17" s="589" t="str">
        <f>'IPA3'!BN16</f>
        <v>A</v>
      </c>
      <c r="R17" s="589" t="str">
        <f>'IPA3'!BS16</f>
        <v>Anak 12 sangat baik  dalam membandingkan siklus hidup beberapa jenis makhluk hidup serta mengaitkan dengan upaya pelestariannya.</v>
      </c>
      <c r="S17" s="589">
        <f>'IPS3'!BM16</f>
        <v>99</v>
      </c>
      <c r="T17" s="589" t="str">
        <f>'IPS3'!BN16</f>
        <v>A</v>
      </c>
      <c r="U17" s="589" t="str">
        <f>'IPS3'!BS16</f>
        <v>Anak 12 sangat baik  dalam mengidentifikasi karakteristik ruang dan pemanfaatan sumberdaya alam untuk kesejahteraan masyarakat dari tingkatkota/kabupaten sampai tingkat provinsi.</v>
      </c>
      <c r="V17" s="589">
        <f>SBDP3!BM16</f>
        <v>99</v>
      </c>
      <c r="W17" s="589" t="str">
        <f>SBDP3!BN16</f>
        <v>A</v>
      </c>
      <c r="X17" s="589" t="str">
        <f>SBDP3!BS16</f>
        <v>Anak 12 sangat baik  dalam mengetahui tanda tempo dan tinggi rendah nada.</v>
      </c>
      <c r="Y17" s="589">
        <f>PJOK3!BM16</f>
        <v>78</v>
      </c>
      <c r="Z17" s="589" t="str">
        <f>PJOK3!BN16</f>
        <v>C</v>
      </c>
      <c r="AA17" s="589" t="str">
        <f>PJOK3!BS16</f>
        <v>Anak 12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17" s="589">
        <f>'MLK1-3'!BT16</f>
        <v>78</v>
      </c>
      <c r="AC17" s="589" t="str">
        <f>'MLK1-3'!BU16</f>
        <v>C</v>
      </c>
      <c r="AD17" s="589" t="str">
        <f>'MLK1-3'!BZ16</f>
        <v>Anak 12 baik  dalam mengenal dan memahami sandhangan aksara Jawa., dan  cukup baik  dalam mengenal dan memahmi teks tembang dolanan</v>
      </c>
      <c r="AE17" s="589">
        <f>'MLK2-3'!BP16</f>
        <v>78</v>
      </c>
      <c r="AF17" s="589" t="str">
        <f>'MLK2-3'!BQ16</f>
        <v>C</v>
      </c>
      <c r="AG17" s="589" t="str">
        <f>'MLK2-3'!BV16</f>
        <v>Anak 12 baik  dalam memahami penggunaan kalimat yang menunjukkan letak suatu tempat, dan  cukup baik  dalam mengenal, memahami dan mengidentifikasi macam-macam kalimat (order, request, and prengenal obyek-obyek wisata dan memahami penggunaan kalimat ungkapan terima kasih</v>
      </c>
      <c r="AH17" s="589">
        <f>'MLK3-3'!BP16</f>
        <v>78</v>
      </c>
      <c r="AI17" s="589" t="str">
        <f>'MLK3-3'!BQ16</f>
        <v>C</v>
      </c>
      <c r="AJ17" s="589" t="str">
        <f>'MLK3-3'!BV16</f>
        <v>Anak 12 baik  dalam memahami pembuatan dokumen di microsoft  word, dan  cukup baik  dalam mengenal dan memahami penggunaan microsoft  word.</v>
      </c>
      <c r="AK17" s="471" t="s">
        <v>734</v>
      </c>
    </row>
    <row r="18" spans="1:37" ht="15.75">
      <c r="A18" s="191">
        <v>13</v>
      </c>
      <c r="B18" s="529">
        <f>SISWA!B18</f>
        <v>0</v>
      </c>
      <c r="C18" s="572" t="str">
        <f>SISWA!C18</f>
        <v>Anak 13</v>
      </c>
      <c r="D18" s="718">
        <f>'PAI3'!EX18</f>
        <v>99</v>
      </c>
      <c r="E18" s="718" t="str">
        <f>'PAI3'!EY18</f>
        <v>A</v>
      </c>
      <c r="F18" s="596" t="str">
        <f>'PAI3'!FD18</f>
        <v>Anak 13 sangat baik  dalam memahami Q.S. al- Falaq dan Q.S. al- Fil dengan baik dan benar</v>
      </c>
      <c r="G18" s="589">
        <f>'PKN3'!BI17</f>
        <v>79</v>
      </c>
      <c r="H18" s="589" t="str">
        <f>'PKN3'!BJ17</f>
        <v>C</v>
      </c>
      <c r="I18" s="589" t="str">
        <f>'PKN3'!BO17</f>
        <v>Anak 13 baik  dalam menjelaskan manfaat keberagaman karakteristik individu dalam kehidupan sehari-hari., dan  cukup baik  dalam mengidentifikasi berbagai bentuk keragaman suku bangsa, sosial, dan budaya di Indonesia yang terikat persatuan dan kesatuan.</v>
      </c>
      <c r="J18" s="589">
        <f>BIND3!BT17</f>
        <v>99</v>
      </c>
      <c r="K18" s="589" t="str">
        <f>BIND3!BU17</f>
        <v>A</v>
      </c>
      <c r="L18" s="589" t="str">
        <f>BIND3!BZ17</f>
        <v>Anak 13 sangat baik  dalam menggali isi dan amanat puisi yang disajikan secara lisan dan tulis dengan tujuan untuk kesenangan.</v>
      </c>
      <c r="M18" s="589">
        <f>'MTK3'!CC17</f>
        <v>94</v>
      </c>
      <c r="N18" s="589" t="str">
        <f>'MTK3'!CD17</f>
        <v>A</v>
      </c>
      <c r="O18" s="589" t="str">
        <f>'MTK3'!CI17</f>
        <v>Anak 13 sangat baik  dalam menjelaskan pecahan-pecahan senilai dengan gambar dan model konkret, dan  baik  dalam menjelaskan berbagai bentuk pecahan (biasa, campuran, desimal, dan persen) dan hubungan di antaranya</v>
      </c>
      <c r="P18" s="589">
        <f>'IPA3'!BM17</f>
        <v>99</v>
      </c>
      <c r="Q18" s="589" t="str">
        <f>'IPA3'!BN17</f>
        <v>A</v>
      </c>
      <c r="R18" s="589" t="str">
        <f>'IPA3'!BS17</f>
        <v>Anak 13 sangat baik  dalam membandingkan siklus hidup beberapa jenis makhluk hidup serta mengaitkan dengan upaya pelestariannya.</v>
      </c>
      <c r="S18" s="589">
        <f>'IPS3'!BM17</f>
        <v>99</v>
      </c>
      <c r="T18" s="589" t="str">
        <f>'IPS3'!BN17</f>
        <v>A</v>
      </c>
      <c r="U18" s="589" t="str">
        <f>'IPS3'!BS17</f>
        <v>Anak 13 sangat baik  dalam mengidentifikasi karakteristik ruang dan pemanfaatan sumberdaya alam untuk kesejahteraan masyarakat dari tingkatkota/kabupaten sampai tingkat provinsi.</v>
      </c>
      <c r="V18" s="589">
        <f>SBDP3!BM17</f>
        <v>99</v>
      </c>
      <c r="W18" s="589" t="str">
        <f>SBDP3!BN17</f>
        <v>A</v>
      </c>
      <c r="X18" s="589" t="str">
        <f>SBDP3!BS17</f>
        <v>Anak 13 sangat baik  dalam mengetahui tanda tempo dan tinggi rendah nada.</v>
      </c>
      <c r="Y18" s="589">
        <f>PJOK3!BM17</f>
        <v>79</v>
      </c>
      <c r="Z18" s="589" t="str">
        <f>PJOK3!BN17</f>
        <v>C</v>
      </c>
      <c r="AA18" s="589" t="str">
        <f>PJOK3!BS17</f>
        <v>Anak 13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18" s="589">
        <f>'MLK1-3'!BT17</f>
        <v>79</v>
      </c>
      <c r="AC18" s="589" t="str">
        <f>'MLK1-3'!BU17</f>
        <v>C</v>
      </c>
      <c r="AD18" s="589" t="str">
        <f>'MLK1-3'!BZ17</f>
        <v>Anak 13 baik  dalam mengenal dan memahmi teks tembang dolanan, dan  cukup baik  dalam mengenal dan memahami sandhangan aksara Jawa.</v>
      </c>
      <c r="AE18" s="589">
        <f>'MLK2-3'!BP17</f>
        <v>79</v>
      </c>
      <c r="AF18" s="589" t="str">
        <f>'MLK2-3'!BQ17</f>
        <v>C</v>
      </c>
      <c r="AG18" s="589" t="str">
        <f>'MLK2-3'!BV17</f>
        <v>Anak 13 baik  dalam mengenal, memahami dan mengidentifikasi macam-macam kalimat (order, request, and prengenal obyek-obyek wisata dan memahami penggunaan kalimat ungkapan terima kasih, dan  cukup baik  dalam memahami penggunaan kalimat yang menunjukkan letak suatu tempat</v>
      </c>
      <c r="AH18" s="589">
        <f>'MLK3-3'!BP17</f>
        <v>79</v>
      </c>
      <c r="AI18" s="589" t="str">
        <f>'MLK3-3'!BQ17</f>
        <v>C</v>
      </c>
      <c r="AJ18" s="589" t="str">
        <f>'MLK3-3'!BV17</f>
        <v>Anak 13 baik  dalam mengenal dan memahami penggunaan microsoft  word., dan  cukup baik  dalam memahami pembuatan dokumen di microsoft  word</v>
      </c>
      <c r="AK18" s="471" t="s">
        <v>734</v>
      </c>
    </row>
    <row r="19" spans="1:37" ht="15.75">
      <c r="A19" s="191">
        <v>14</v>
      </c>
      <c r="B19" s="529">
        <f>SISWA!B19</f>
        <v>0</v>
      </c>
      <c r="C19" s="572" t="str">
        <f>SISWA!C19</f>
        <v>Anak 14</v>
      </c>
      <c r="D19" s="718">
        <f>'PAI3'!EX19</f>
        <v>99</v>
      </c>
      <c r="E19" s="718" t="str">
        <f>'PAI3'!EY19</f>
        <v>A</v>
      </c>
      <c r="F19" s="596" t="str">
        <f>'PAI3'!FD19</f>
        <v>Anak 14 sangat baik  dalam memahami Q.S. al- Falaq dan Q.S. al- Fil dengan baik dan benar</v>
      </c>
      <c r="G19" s="589">
        <f>'PKN3'!BI18</f>
        <v>76</v>
      </c>
      <c r="H19" s="589" t="str">
        <f>'PKN3'!BJ18</f>
        <v>C</v>
      </c>
      <c r="I19" s="589" t="str">
        <f>'PKN3'!BO18</f>
        <v>Anak 14 cukup baik  dalam mengidentifikasi berbagai bentuk keragaman suku bangsa, sosial, dan budaya di Indonesia yang terikat persatuan dan kesatuan., dan  cukup baik  dalam menjelaskan manfaat keberagaman karakteristik individu dalam kehidupan sehari-hari.</v>
      </c>
      <c r="J19" s="589">
        <f>BIND3!BT18</f>
        <v>99</v>
      </c>
      <c r="K19" s="589" t="str">
        <f>BIND3!BU18</f>
        <v>A</v>
      </c>
      <c r="L19" s="589" t="str">
        <f>BIND3!BZ18</f>
        <v>Anak 14 sangat baik  dalam menggali isi dan amanat puisi yang disajikan secara lisan dan tulis dengan tujuan untuk kesenangan.</v>
      </c>
      <c r="M19" s="589">
        <f>'MTK3'!CC18</f>
        <v>90</v>
      </c>
      <c r="N19" s="589" t="str">
        <f>'MTK3'!CD18</f>
        <v>B</v>
      </c>
      <c r="O19" s="589" t="str">
        <f>'MTK3'!CI18</f>
        <v>Anak 14 sangat baik  dalam menjelaskan pecahan-pecahan senilai dengan gambar dan model konkret, dan  cukup baik  dalam menjelaskan berbagai bentuk pecahan (biasa, campuran, desimal, dan persen) dan hubungan di antaranya</v>
      </c>
      <c r="P19" s="589">
        <f>'IPA3'!BM18</f>
        <v>99</v>
      </c>
      <c r="Q19" s="589" t="str">
        <f>'IPA3'!BN18</f>
        <v>A</v>
      </c>
      <c r="R19" s="589" t="str">
        <f>'IPA3'!BS18</f>
        <v>Anak 14 sangat baik  dalam membandingkan siklus hidup beberapa jenis makhluk hidup serta mengaitkan dengan upaya pelestariannya.</v>
      </c>
      <c r="S19" s="589">
        <f>'IPS3'!BM18</f>
        <v>99</v>
      </c>
      <c r="T19" s="589" t="str">
        <f>'IPS3'!BN18</f>
        <v>A</v>
      </c>
      <c r="U19" s="589" t="str">
        <f>'IPS3'!BS18</f>
        <v>Anak 14 sangat baik  dalam mengidentifikasi karakteristik ruang dan pemanfaatan sumberdaya alam untuk kesejahteraan masyarakat dari tingkatkota/kabupaten sampai tingkat provinsi.</v>
      </c>
      <c r="V19" s="589">
        <f>SBDP3!BM18</f>
        <v>99</v>
      </c>
      <c r="W19" s="589" t="str">
        <f>SBDP3!BN18</f>
        <v>A</v>
      </c>
      <c r="X19" s="589" t="str">
        <f>SBDP3!BS18</f>
        <v>Anak 14 sangat baik  dalam mengetahui tanda tempo dan tinggi rendah nada.</v>
      </c>
      <c r="Y19" s="589">
        <f>PJOK3!BM18</f>
        <v>76</v>
      </c>
      <c r="Z19" s="589" t="str">
        <f>PJOK3!BN18</f>
        <v>C</v>
      </c>
      <c r="AA19" s="589" t="str">
        <f>PJOK3!BS18</f>
        <v>Anak 14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19" s="589">
        <f>'MLK1-3'!BT18</f>
        <v>76</v>
      </c>
      <c r="AC19" s="589" t="str">
        <f>'MLK1-3'!BU18</f>
        <v>C</v>
      </c>
      <c r="AD19" s="589" t="str">
        <f>'MLK1-3'!BZ18</f>
        <v>Anak 14 cukup baik  dalam mengenal dan memahami sandhangan aksara Jawa., dan  cukup baik  dalam mengenal dan memahmi teks tembang dolanan</v>
      </c>
      <c r="AE19" s="589">
        <f>'MLK2-3'!BP18</f>
        <v>76</v>
      </c>
      <c r="AF19" s="589" t="str">
        <f>'MLK2-3'!BQ18</f>
        <v>C</v>
      </c>
      <c r="AG19" s="589" t="str">
        <f>'MLK2-3'!BV18</f>
        <v>Anak 14 cukup baik  dalam memahami penggunaan kalimat yang menunjukkan letak suatu tempat, dan  cukup baik  dalam mengenal, memahami dan mengidentifikasi macam-macam kalimat (order, request, and prengenal obyek-obyek wisata dan memahami penggunaan kalimat ungkapan terima kasih</v>
      </c>
      <c r="AH19" s="589">
        <f>'MLK3-3'!BP18</f>
        <v>76</v>
      </c>
      <c r="AI19" s="589" t="str">
        <f>'MLK3-3'!BQ18</f>
        <v>C</v>
      </c>
      <c r="AJ19" s="589" t="str">
        <f>'MLK3-3'!BV18</f>
        <v>Anak 14 cukup baik  dalam memahami pembuatan dokumen di microsoft  word, dan  cukup baik  dalam mengenal dan memahami penggunaan microsoft  word.</v>
      </c>
      <c r="AK19" s="471" t="s">
        <v>734</v>
      </c>
    </row>
    <row r="20" spans="1:37" ht="15.75">
      <c r="A20" s="191">
        <v>15</v>
      </c>
      <c r="B20" s="529">
        <f>SISWA!B20</f>
        <v>0</v>
      </c>
      <c r="C20" s="572" t="str">
        <f>SISWA!C20</f>
        <v>Anak 15</v>
      </c>
      <c r="D20" s="718">
        <f>'PAI3'!EX20</f>
        <v>99</v>
      </c>
      <c r="E20" s="718" t="str">
        <f>'PAI3'!EY20</f>
        <v>A</v>
      </c>
      <c r="F20" s="596" t="str">
        <f>'PAI3'!FD20</f>
        <v>Anak 15 sangat baik  dalam memahami Q.S. al- Falaq dan Q.S. al- Fil dengan baik dan benar</v>
      </c>
      <c r="G20" s="589">
        <f>'PKN3'!BI19</f>
        <v>80</v>
      </c>
      <c r="H20" s="589" t="str">
        <f>'PKN3'!BJ19</f>
        <v>C</v>
      </c>
      <c r="I20" s="589" t="str">
        <f>'PKN3'!BO19</f>
        <v>Anak 15 cukup baik  dalam menjelaskan manfaat keberagaman karakteristik individu dalam kehidupan sehari-hari., dan  cukup baik  dalam mengidentifikasi berbagai bentuk keragaman suku bangsa, sosial, dan budaya di Indonesia yang terikat persatuan dan kesatuan.</v>
      </c>
      <c r="J20" s="589">
        <f>BIND3!BT19</f>
        <v>99</v>
      </c>
      <c r="K20" s="589" t="str">
        <f>BIND3!BU19</f>
        <v>A</v>
      </c>
      <c r="L20" s="589" t="str">
        <f>BIND3!BZ19</f>
        <v>Anak 15 sangat baik  dalam menggali isi dan amanat puisi yang disajikan secara lisan dan tulis dengan tujuan untuk kesenangan.</v>
      </c>
      <c r="M20" s="589">
        <f>'MTK3'!CC19</f>
        <v>93</v>
      </c>
      <c r="N20" s="589" t="str">
        <f>'MTK3'!CD19</f>
        <v>A</v>
      </c>
      <c r="O20" s="589" t="str">
        <f>'MTK3'!CI19</f>
        <v>Anak 15 sangat baik  dalam menjelaskan pecahan-pecahan senilai dengan gambar dan model konkret, dan  cukup baik  dalam menjelaskan berbagai bentuk pecahan (biasa, campuran, desimal, dan persen) dan hubungan di antaranya</v>
      </c>
      <c r="P20" s="589">
        <f>'IPA3'!BM19</f>
        <v>99</v>
      </c>
      <c r="Q20" s="589" t="str">
        <f>'IPA3'!BN19</f>
        <v>A</v>
      </c>
      <c r="R20" s="589" t="str">
        <f>'IPA3'!BS19</f>
        <v>Anak 15 sangat baik  dalam membandingkan siklus hidup beberapa jenis makhluk hidup serta mengaitkan dengan upaya pelestariannya.</v>
      </c>
      <c r="S20" s="589">
        <f>'IPS3'!BM19</f>
        <v>99</v>
      </c>
      <c r="T20" s="589" t="str">
        <f>'IPS3'!BN19</f>
        <v>A</v>
      </c>
      <c r="U20" s="589" t="str">
        <f>'IPS3'!BS19</f>
        <v>Anak 15 sangat baik  dalam mengidentifikasi karakteristik ruang dan pemanfaatan sumberdaya alam untuk kesejahteraan masyarakat dari tingkatkota/kabupaten sampai tingkat provinsi.</v>
      </c>
      <c r="V20" s="589">
        <f>SBDP3!BM19</f>
        <v>99</v>
      </c>
      <c r="W20" s="589" t="str">
        <f>SBDP3!BN19</f>
        <v>A</v>
      </c>
      <c r="X20" s="589" t="str">
        <f>SBDP3!BS19</f>
        <v>Anak 15 sangat baik  dalam mengetahui tanda tempo dan tinggi rendah nada.</v>
      </c>
      <c r="Y20" s="589">
        <f>PJOK3!BM19</f>
        <v>80</v>
      </c>
      <c r="Z20" s="589" t="str">
        <f>PJOK3!BN19</f>
        <v>C</v>
      </c>
      <c r="AA20" s="589" t="str">
        <f>PJOK3!BS19</f>
        <v>Anak 15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20" s="589">
        <f>'MLK1-3'!BT19</f>
        <v>80</v>
      </c>
      <c r="AC20" s="589" t="str">
        <f>'MLK1-3'!BU19</f>
        <v>C</v>
      </c>
      <c r="AD20" s="589" t="str">
        <f>'MLK1-3'!BZ19</f>
        <v>Anak 15 cukup baik  dalam mengenal dan memahmi teks tembang dolanan, dan  cukup baik  dalam mengenal dan memahami sandhangan aksara Jawa.</v>
      </c>
      <c r="AE20" s="589">
        <f>'MLK2-3'!BP19</f>
        <v>80</v>
      </c>
      <c r="AF20" s="589" t="str">
        <f>'MLK2-3'!BQ19</f>
        <v>C</v>
      </c>
      <c r="AG20" s="589" t="str">
        <f>'MLK2-3'!BV19</f>
        <v>Anak 15 cukup baik  dalam mengenal, memahami dan mengidentifikasi macam-macam kalimat (order, request, and prengenal obyek-obyek wisata dan memahami penggunaan kalimat ungkapan terima kasih, dan  cukup baik  dalam memahami penggunaan kalimat yang menunjukkan letak suatu tempat</v>
      </c>
      <c r="AH20" s="589">
        <f>'MLK3-3'!BP19</f>
        <v>80</v>
      </c>
      <c r="AI20" s="589" t="str">
        <f>'MLK3-3'!BQ19</f>
        <v>C</v>
      </c>
      <c r="AJ20" s="589" t="str">
        <f>'MLK3-3'!BV19</f>
        <v>Anak 15 cukup baik  dalam mengenal dan memahami penggunaan microsoft  word., dan  cukup baik  dalam memahami pembuatan dokumen di microsoft  word</v>
      </c>
      <c r="AK20" s="471" t="s">
        <v>734</v>
      </c>
    </row>
    <row r="21" spans="1:37" ht="15.75">
      <c r="A21" s="191">
        <v>16</v>
      </c>
      <c r="B21" s="529">
        <f>SISWA!B21</f>
        <v>0</v>
      </c>
      <c r="C21" s="572" t="str">
        <f>SISWA!C21</f>
        <v>Anak 16</v>
      </c>
      <c r="D21" s="718">
        <f>'PAI3'!EX21</f>
        <v>99</v>
      </c>
      <c r="E21" s="718" t="str">
        <f>'PAI3'!EY21</f>
        <v>A</v>
      </c>
      <c r="F21" s="596" t="str">
        <f>'PAI3'!FD21</f>
        <v>Anak 16 sangat baik  dalam memahami Q.S. al- Falaq dan Q.S. al- Fil dengan baik dan benar</v>
      </c>
      <c r="G21" s="589">
        <f>'PKN3'!BI20</f>
        <v>80</v>
      </c>
      <c r="H21" s="589" t="str">
        <f>'PKN3'!BJ20</f>
        <v>C</v>
      </c>
      <c r="I21" s="589" t="str">
        <f>'PKN3'!BO20</f>
        <v>Anak 16 cukup baik  dalam menjelaskan manfaat keberagaman karakteristik individu dalam kehidupan sehari-hari.</v>
      </c>
      <c r="J21" s="589">
        <f>BIND3!BT20</f>
        <v>99</v>
      </c>
      <c r="K21" s="589" t="str">
        <f>BIND3!BU20</f>
        <v>A</v>
      </c>
      <c r="L21" s="589" t="str">
        <f>BIND3!BZ20</f>
        <v>Anak 16 sangat baik  dalam menggali isi dan amanat puisi yang disajikan secara lisan dan tulis dengan tujuan untuk kesenangan.</v>
      </c>
      <c r="M21" s="589">
        <f>'MTK3'!CC20</f>
        <v>93</v>
      </c>
      <c r="N21" s="589" t="str">
        <f>'MTK3'!CD20</f>
        <v>A</v>
      </c>
      <c r="O21" s="589" t="str">
        <f>'MTK3'!CI20</f>
        <v>Anak 16 sangat baik  dalam menjelaskan pecahan-pecahan senilai dengan gambar dan model konkret, dan  cukup baik  dalam menjelaskan berbagai bentuk pecahan (biasa, campuran, desimal, dan persen) dan hubungan di antaranya</v>
      </c>
      <c r="P21" s="589">
        <f>'IPA3'!BM20</f>
        <v>99</v>
      </c>
      <c r="Q21" s="589" t="str">
        <f>'IPA3'!BN20</f>
        <v>A</v>
      </c>
      <c r="R21" s="589" t="str">
        <f>'IPA3'!BS20</f>
        <v>Anak 16 sangat baik  dalam membandingkan siklus hidup beberapa jenis makhluk hidup serta mengaitkan dengan upaya pelestariannya.</v>
      </c>
      <c r="S21" s="589">
        <f>'IPS3'!BM20</f>
        <v>99</v>
      </c>
      <c r="T21" s="589" t="str">
        <f>'IPS3'!BN20</f>
        <v>A</v>
      </c>
      <c r="U21" s="589" t="str">
        <f>'IPS3'!BS20</f>
        <v>Anak 16 sangat baik  dalam mengidentifikasi karakteristik ruang dan pemanfaatan sumberdaya alam untuk kesejahteraan masyarakat dari tingkatkota/kabupaten sampai tingkat provinsi.</v>
      </c>
      <c r="V21" s="589">
        <f>SBDP3!BM20</f>
        <v>99</v>
      </c>
      <c r="W21" s="589" t="str">
        <f>SBDP3!BN20</f>
        <v>A</v>
      </c>
      <c r="X21" s="589" t="str">
        <f>SBDP3!BS20</f>
        <v>Anak 16 sangat baik  dalam mengetahui tanda tempo dan tinggi rendah nada.</v>
      </c>
      <c r="Y21" s="589">
        <f>PJOK3!BM20</f>
        <v>80</v>
      </c>
      <c r="Z21" s="589" t="str">
        <f>PJOK3!BN20</f>
        <v>C</v>
      </c>
      <c r="AA21" s="589" t="str">
        <f>PJOK3!BS20</f>
        <v>Anak 16 cukup baik  dalam memahami konsep variasi dan kombinasi pola gerak dasar lokomotorr dan nonlokomotor untuk membentuk gerakan dasar atletik jalan cepat dan lari melalui permainan dan atau olahraga tradisional</v>
      </c>
      <c r="AB21" s="589">
        <f>'MLK1-3'!BT20</f>
        <v>80</v>
      </c>
      <c r="AC21" s="589" t="str">
        <f>'MLK1-3'!BU20</f>
        <v>C</v>
      </c>
      <c r="AD21" s="589" t="str">
        <f>'MLK1-3'!BZ20</f>
        <v>Anak 16 cukup baik  dalam mengenal dan memahmi teks tembang dolanan</v>
      </c>
      <c r="AE21" s="589">
        <f>'MLK2-3'!BP20</f>
        <v>80</v>
      </c>
      <c r="AF21" s="589" t="str">
        <f>'MLK2-3'!BQ20</f>
        <v>C</v>
      </c>
      <c r="AG21" s="589" t="str">
        <f>'MLK2-3'!BV20</f>
        <v>Anak 16 cukup baik  dalam mengenal, memahami dan mengidentifikasi macam-macam kalimat (order, request, and prengenal obyek-obyek wisata dan memahami penggunaan kalimat ungkapan terima kasih</v>
      </c>
      <c r="AH21" s="589">
        <f>'MLK3-3'!BP20</f>
        <v>80</v>
      </c>
      <c r="AI21" s="589" t="str">
        <f>'MLK3-3'!BQ20</f>
        <v>C</v>
      </c>
      <c r="AJ21" s="589" t="str">
        <f>'MLK3-3'!BV20</f>
        <v>Anak 16 cukup baik  dalam mengenal dan memahami penggunaan microsoft  word.</v>
      </c>
      <c r="AK21" s="471" t="s">
        <v>734</v>
      </c>
    </row>
    <row r="22" spans="1:37" ht="15.75">
      <c r="A22" s="191">
        <v>17</v>
      </c>
      <c r="B22" s="529">
        <f>SISWA!B22</f>
        <v>0</v>
      </c>
      <c r="C22" s="572" t="str">
        <f>SISWA!C22</f>
        <v>Anak 17</v>
      </c>
      <c r="D22" s="718">
        <f>'PAI3'!EX22</f>
        <v>99</v>
      </c>
      <c r="E22" s="718" t="str">
        <f>'PAI3'!EY22</f>
        <v>A</v>
      </c>
      <c r="F22" s="596" t="str">
        <f>'PAI3'!FD22</f>
        <v>Anak 17 sangat baik  dalam memahami Q.S. al- Falaq dan Q.S. al- Fil dengan baik dan benar</v>
      </c>
      <c r="G22" s="589">
        <f>'PKN3'!BI21</f>
        <v>80</v>
      </c>
      <c r="H22" s="589" t="str">
        <f>'PKN3'!BJ21</f>
        <v>C</v>
      </c>
      <c r="I22" s="589" t="str">
        <f>'PKN3'!BO21</f>
        <v>Anak 17 cukup baik  dalam menjelaskan manfaat keberagaman karakteristik individu dalam kehidupan sehari-hari.</v>
      </c>
      <c r="J22" s="589">
        <f>BIND3!BT21</f>
        <v>99</v>
      </c>
      <c r="K22" s="589" t="str">
        <f>BIND3!BU21</f>
        <v>A</v>
      </c>
      <c r="L22" s="589" t="str">
        <f>BIND3!BZ21</f>
        <v>Anak 17 sangat baik  dalam menggali isi dan amanat puisi yang disajikan secara lisan dan tulis dengan tujuan untuk kesenangan.</v>
      </c>
      <c r="M22" s="589">
        <f>'MTK3'!CC21</f>
        <v>93</v>
      </c>
      <c r="N22" s="589" t="str">
        <f>'MTK3'!CD21</f>
        <v>A</v>
      </c>
      <c r="O22" s="589" t="str">
        <f>'MTK3'!CI21</f>
        <v>Anak 17 sangat baik  dalam menjelaskan pecahan-pecahan senilai dengan gambar dan model konkret, dan  cukup baik  dalam menjelaskan berbagai bentuk pecahan (biasa, campuran, desimal, dan persen) dan hubungan di antaranya</v>
      </c>
      <c r="P22" s="589">
        <f>'IPA3'!BM21</f>
        <v>99</v>
      </c>
      <c r="Q22" s="589" t="str">
        <f>'IPA3'!BN21</f>
        <v>A</v>
      </c>
      <c r="R22" s="589" t="str">
        <f>'IPA3'!BS21</f>
        <v>Anak 17 sangat baik  dalam membandingkan siklus hidup beberapa jenis makhluk hidup serta mengaitkan dengan upaya pelestariannya.</v>
      </c>
      <c r="S22" s="589">
        <f>'IPS3'!BM21</f>
        <v>99</v>
      </c>
      <c r="T22" s="589" t="str">
        <f>'IPS3'!BN21</f>
        <v>A</v>
      </c>
      <c r="U22" s="589" t="str">
        <f>'IPS3'!BS21</f>
        <v>Anak 17 sangat baik  dalam mengidentifikasi karakteristik ruang dan pemanfaatan sumberdaya alam untuk kesejahteraan masyarakat dari tingkatkota/kabupaten sampai tingkat provinsi.</v>
      </c>
      <c r="V22" s="589">
        <f>SBDP3!BM21</f>
        <v>99</v>
      </c>
      <c r="W22" s="589" t="str">
        <f>SBDP3!BN21</f>
        <v>A</v>
      </c>
      <c r="X22" s="589" t="str">
        <f>SBDP3!BS21</f>
        <v>Anak 17 sangat baik  dalam mengetahui tanda tempo dan tinggi rendah nada.</v>
      </c>
      <c r="Y22" s="589">
        <f>PJOK3!BM21</f>
        <v>80</v>
      </c>
      <c r="Z22" s="589" t="str">
        <f>PJOK3!BN21</f>
        <v>C</v>
      </c>
      <c r="AA22" s="589" t="str">
        <f>PJOK3!BS21</f>
        <v>Anak 17 cukup baik  dalam memahami konsep variasi dan kombinasi pola gerak dasar lokomotorr dan nonlokomotor untuk membentuk gerakan dasar atletik jalan cepat dan lari melalui permainan dan atau olahraga tradisional</v>
      </c>
      <c r="AB22" s="589">
        <f>'MLK1-3'!BT21</f>
        <v>80</v>
      </c>
      <c r="AC22" s="589" t="str">
        <f>'MLK1-3'!BU21</f>
        <v>C</v>
      </c>
      <c r="AD22" s="589" t="str">
        <f>'MLK1-3'!BZ21</f>
        <v>Anak 17 cukup baik  dalam mengenal dan memahmi teks tembang dolanan</v>
      </c>
      <c r="AE22" s="589">
        <f>'MLK2-3'!BP21</f>
        <v>80</v>
      </c>
      <c r="AF22" s="589" t="str">
        <f>'MLK2-3'!BQ21</f>
        <v>C</v>
      </c>
      <c r="AG22" s="589" t="str">
        <f>'MLK2-3'!BV21</f>
        <v>Anak 17 cukup baik  dalam mengenal, memahami dan mengidentifikasi macam-macam kalimat (order, request, and prengenal obyek-obyek wisata dan memahami penggunaan kalimat ungkapan terima kasih</v>
      </c>
      <c r="AH22" s="589">
        <f>'MLK3-3'!BP21</f>
        <v>80</v>
      </c>
      <c r="AI22" s="589" t="str">
        <f>'MLK3-3'!BQ21</f>
        <v>C</v>
      </c>
      <c r="AJ22" s="589" t="str">
        <f>'MLK3-3'!BV21</f>
        <v>Anak 17 cukup baik  dalam mengenal dan memahami penggunaan microsoft  word.</v>
      </c>
      <c r="AK22" s="471" t="s">
        <v>734</v>
      </c>
    </row>
    <row r="23" spans="1:37" ht="15.75">
      <c r="A23" s="191">
        <v>18</v>
      </c>
      <c r="B23" s="529">
        <f>SISWA!B23</f>
        <v>0</v>
      </c>
      <c r="C23" s="572" t="str">
        <f>SISWA!C23</f>
        <v>Anak 18</v>
      </c>
      <c r="D23" s="718">
        <f>'PAI3'!EX23</f>
        <v>99</v>
      </c>
      <c r="E23" s="718" t="str">
        <f>'PAI3'!EY23</f>
        <v>A</v>
      </c>
      <c r="F23" s="596" t="str">
        <f>'PAI3'!FD23</f>
        <v>Anak 18 sangat baik  dalam memahami Q.S. al- Falaq dan Q.S. al- Fil dengan baik dan benar</v>
      </c>
      <c r="G23" s="589">
        <f>'PKN3'!BI22</f>
        <v>84</v>
      </c>
      <c r="H23" s="589" t="str">
        <f>'PKN3'!BJ22</f>
        <v>B</v>
      </c>
      <c r="I23" s="589" t="str">
        <f>'PKN3'!BO22</f>
        <v>Anak 18 baik  dalam mengidentifikasi berbagai bentuk keragaman suku bangsa, sosial, dan budaya di Indonesia yang terikat persatuan dan kesatuan., dan  cukup baik  dalam menjelaskan manfaat keberagaman karakteristik individu dalam kehidupan sehari-hari.</v>
      </c>
      <c r="J23" s="589">
        <f>BIND3!BT22</f>
        <v>99</v>
      </c>
      <c r="K23" s="589" t="str">
        <f>BIND3!BU22</f>
        <v>A</v>
      </c>
      <c r="L23" s="589" t="str">
        <f>BIND3!BZ22</f>
        <v>Anak 18 sangat baik  dalam menggali isi dan amanat puisi yang disajikan secara lisan dan tulis dengan tujuan untuk kesenangan.</v>
      </c>
      <c r="M23" s="589">
        <f>'MTK3'!CC22</f>
        <v>93</v>
      </c>
      <c r="N23" s="589" t="str">
        <f>'MTK3'!CD22</f>
        <v>A</v>
      </c>
      <c r="O23" s="589" t="str">
        <f>'MTK3'!CI22</f>
        <v>Anak 18 sangat baik  dalam menjelaskan pecahan-pecahan senilai dengan gambar dan model konkret, dan  cukup baik  dalam menjelaskan berbagai bentuk pecahan (biasa, campuran, desimal, dan persen) dan hubungan di antaranya</v>
      </c>
      <c r="P23" s="589">
        <f>'IPA3'!BM22</f>
        <v>99</v>
      </c>
      <c r="Q23" s="589" t="str">
        <f>'IPA3'!BN22</f>
        <v>A</v>
      </c>
      <c r="R23" s="589" t="str">
        <f>'IPA3'!BS22</f>
        <v>Anak 18 sangat baik  dalam membandingkan siklus hidup beberapa jenis makhluk hidup serta mengaitkan dengan upaya pelestariannya.</v>
      </c>
      <c r="S23" s="589">
        <f>'IPS3'!BM22</f>
        <v>99</v>
      </c>
      <c r="T23" s="589" t="str">
        <f>'IPS3'!BN22</f>
        <v>A</v>
      </c>
      <c r="U23" s="589" t="str">
        <f>'IPS3'!BS22</f>
        <v>Anak 18 sangat baik  dalam mengidentifikasi karakteristik ruang dan pemanfaatan sumberdaya alam untuk kesejahteraan masyarakat dari tingkatkota/kabupaten sampai tingkat provinsi.</v>
      </c>
      <c r="V23" s="589">
        <f>SBDP3!BM22</f>
        <v>99</v>
      </c>
      <c r="W23" s="589" t="str">
        <f>SBDP3!BN22</f>
        <v>A</v>
      </c>
      <c r="X23" s="589" t="str">
        <f>SBDP3!BS22</f>
        <v>Anak 18 sangat baik  dalam mengetahui tanda tempo dan tinggi rendah nada.</v>
      </c>
      <c r="Y23" s="589">
        <f>PJOK3!BM22</f>
        <v>84</v>
      </c>
      <c r="Z23" s="589" t="str">
        <f>PJOK3!BN22</f>
        <v>B</v>
      </c>
      <c r="AA23" s="589" t="str">
        <f>PJOK3!BS22</f>
        <v>Anak 18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23" s="589">
        <f>'MLK1-3'!BT22</f>
        <v>84</v>
      </c>
      <c r="AC23" s="589" t="str">
        <f>'MLK1-3'!BU22</f>
        <v>B</v>
      </c>
      <c r="AD23" s="589" t="str">
        <f>'MLK1-3'!BZ22</f>
        <v>Anak 18 baik  dalam mengenal dan memahami sandhangan aksara Jawa., dan  cukup baik  dalam mengenal dan memahmi teks tembang dolanan</v>
      </c>
      <c r="AE23" s="589">
        <f>'MLK2-3'!BP22</f>
        <v>84</v>
      </c>
      <c r="AF23" s="589" t="str">
        <f>'MLK2-3'!BQ22</f>
        <v>B</v>
      </c>
      <c r="AG23" s="589" t="str">
        <f>'MLK2-3'!BV22</f>
        <v>Anak 18 baik  dalam memahami penggunaan kalimat yang menunjukkan letak suatu tempat, dan  cukup baik  dalam mengenal, memahami dan mengidentifikasi macam-macam kalimat (order, request, and prengenal obyek-obyek wisata dan memahami penggunaan kalimat ungkapan terima kasih</v>
      </c>
      <c r="AH23" s="589">
        <f>'MLK3-3'!BP22</f>
        <v>84</v>
      </c>
      <c r="AI23" s="589" t="str">
        <f>'MLK3-3'!BQ22</f>
        <v>B</v>
      </c>
      <c r="AJ23" s="589" t="str">
        <f>'MLK3-3'!BV22</f>
        <v>Anak 18 baik  dalam memahami pembuatan dokumen di microsoft  word, dan  cukup baik  dalam mengenal dan memahami penggunaan microsoft  word.</v>
      </c>
      <c r="AK23" s="471" t="s">
        <v>734</v>
      </c>
    </row>
    <row r="24" spans="1:37" ht="15.75">
      <c r="A24" s="191">
        <v>19</v>
      </c>
      <c r="B24" s="529">
        <f>SISWA!B24</f>
        <v>0</v>
      </c>
      <c r="C24" s="572" t="str">
        <f>SISWA!C24</f>
        <v>Anak 19</v>
      </c>
      <c r="D24" s="718">
        <f>'PAI3'!EX24</f>
        <v>99</v>
      </c>
      <c r="E24" s="718" t="str">
        <f>'PAI3'!EY24</f>
        <v>A</v>
      </c>
      <c r="F24" s="596" t="str">
        <f>'PAI3'!FD24</f>
        <v>Anak 19 sangat baik  dalam memahami Q.S. al- Falaq dan Q.S. al- Fil dengan baik dan benar</v>
      </c>
      <c r="G24" s="589">
        <f>'PKN3'!BI23</f>
        <v>85</v>
      </c>
      <c r="H24" s="589" t="str">
        <f>'PKN3'!BJ23</f>
        <v>B</v>
      </c>
      <c r="I24" s="589" t="str">
        <f>'PKN3'!BO23</f>
        <v>Anak 19 baik  dalam menjelaskan manfaat keberagaman karakteristik individu dalam kehidupan sehari-hari., dan  baik  dalam mengidentifikasi berbagai bentuk keragaman suku bangsa, sosial, dan budaya di Indonesia yang terikat persatuan dan kesatuan.</v>
      </c>
      <c r="J24" s="589">
        <f>BIND3!BT23</f>
        <v>99</v>
      </c>
      <c r="K24" s="589" t="str">
        <f>BIND3!BU23</f>
        <v>A</v>
      </c>
      <c r="L24" s="589" t="str">
        <f>BIND3!BZ23</f>
        <v>Anak 19 sangat baik  dalam menggali isi dan amanat puisi yang disajikan secara lisan dan tulis dengan tujuan untuk kesenangan.</v>
      </c>
      <c r="M24" s="589">
        <f>'MTK3'!CC23</f>
        <v>96</v>
      </c>
      <c r="N24" s="589" t="str">
        <f>'MTK3'!CD23</f>
        <v>A</v>
      </c>
      <c r="O24" s="589" t="str">
        <f>'MTK3'!CI23</f>
        <v>Anak 19 sangat baik  dalam menjelaskan pecahan-pecahan senilai dengan gambar dan model konkret, dan  baik  dalam menjelaskan berbagai bentuk pecahan (biasa, campuran, desimal, dan persen) dan hubungan di antaranya</v>
      </c>
      <c r="P24" s="589">
        <f>'IPA3'!BM23</f>
        <v>99</v>
      </c>
      <c r="Q24" s="589" t="str">
        <f>'IPA3'!BN23</f>
        <v>A</v>
      </c>
      <c r="R24" s="589" t="str">
        <f>'IPA3'!BS23</f>
        <v>Anak 19 sangat baik  dalam membandingkan siklus hidup beberapa jenis makhluk hidup serta mengaitkan dengan upaya pelestariannya.</v>
      </c>
      <c r="S24" s="589">
        <f>'IPS3'!BM23</f>
        <v>99</v>
      </c>
      <c r="T24" s="589" t="str">
        <f>'IPS3'!BN23</f>
        <v>A</v>
      </c>
      <c r="U24" s="589" t="str">
        <f>'IPS3'!BS23</f>
        <v>Anak 19 sangat baik  dalam mengidentifikasi karakteristik ruang dan pemanfaatan sumberdaya alam untuk kesejahteraan masyarakat dari tingkatkota/kabupaten sampai tingkat provinsi.</v>
      </c>
      <c r="V24" s="589">
        <f>SBDP3!BM23</f>
        <v>99</v>
      </c>
      <c r="W24" s="589" t="str">
        <f>SBDP3!BN23</f>
        <v>A</v>
      </c>
      <c r="X24" s="589" t="str">
        <f>SBDP3!BS23</f>
        <v>Anak 19 sangat baik  dalam mengetahui tanda tempo dan tinggi rendah nada.</v>
      </c>
      <c r="Y24" s="589">
        <f>PJOK3!BM23</f>
        <v>85</v>
      </c>
      <c r="Z24" s="589" t="str">
        <f>PJOK3!BN23</f>
        <v>B</v>
      </c>
      <c r="AA24" s="589" t="str">
        <f>PJOK3!BS23</f>
        <v>Anak 19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c r="AB24" s="589">
        <f>'MLK1-3'!BT23</f>
        <v>85</v>
      </c>
      <c r="AC24" s="589" t="str">
        <f>'MLK1-3'!BU23</f>
        <v>B</v>
      </c>
      <c r="AD24" s="589" t="str">
        <f>'MLK1-3'!BZ23</f>
        <v>Anak 19 baik  dalam mengenal dan memahmi teks tembang dolanan, dan  baik  dalam mengenal dan memahami sandhangan aksara Jawa.</v>
      </c>
      <c r="AE24" s="589">
        <f>'MLK2-3'!BP23</f>
        <v>85</v>
      </c>
      <c r="AF24" s="589" t="str">
        <f>'MLK2-3'!BQ23</f>
        <v>B</v>
      </c>
      <c r="AG24" s="589" t="str">
        <f>'MLK2-3'!BV23</f>
        <v>Anak 19 baik  dalam mengenal, memahami dan mengidentifikasi macam-macam kalimat (order, request, and prengenal obyek-obyek wisata dan memahami penggunaan kalimat ungkapan terima kasih, dan  baik  dalam memahami penggunaan kalimat yang menunjukkan letak suatu tempat</v>
      </c>
      <c r="AH24" s="589">
        <f>'MLK3-3'!BP23</f>
        <v>85</v>
      </c>
      <c r="AI24" s="589" t="str">
        <f>'MLK3-3'!BQ23</f>
        <v>B</v>
      </c>
      <c r="AJ24" s="589" t="str">
        <f>'MLK3-3'!BV23</f>
        <v>Anak 19 baik  dalam mengenal dan memahami penggunaan microsoft  word., dan  baik  dalam memahami pembuatan dokumen di microsoft  word</v>
      </c>
      <c r="AK24" s="471" t="s">
        <v>734</v>
      </c>
    </row>
    <row r="25" spans="1:37" ht="15.75">
      <c r="A25" s="191">
        <v>20</v>
      </c>
      <c r="B25" s="529">
        <f>SISWA!B25</f>
        <v>0</v>
      </c>
      <c r="C25" s="572" t="str">
        <f>SISWA!C25</f>
        <v>Anak 20</v>
      </c>
      <c r="D25" s="718">
        <f>'PAI3'!EX25</f>
        <v>99</v>
      </c>
      <c r="E25" s="718" t="str">
        <f>'PAI3'!EY25</f>
        <v>A</v>
      </c>
      <c r="F25" s="596" t="str">
        <f>'PAI3'!FD25</f>
        <v>Anak 20 sangat baik  dalam memahami Q.S. al- Falaq dan Q.S. al- Fil dengan baik dan benar</v>
      </c>
      <c r="G25" s="589">
        <f>'PKN3'!BI24</f>
        <v>79</v>
      </c>
      <c r="H25" s="589" t="str">
        <f>'PKN3'!BJ24</f>
        <v>C</v>
      </c>
      <c r="I25" s="589" t="str">
        <f>'PKN3'!BO24</f>
        <v>Anak 20 baik  dalam menjelaskan manfaat keberagaman karakteristik individu dalam kehidupan sehari-hari., dan  cukup baik  dalam mengidentifikasi berbagai bentuk keragaman suku bangsa, sosial, dan budaya di Indonesia yang terikat persatuan dan kesatuan.</v>
      </c>
      <c r="J25" s="589">
        <f>BIND3!BT24</f>
        <v>99</v>
      </c>
      <c r="K25" s="589" t="str">
        <f>BIND3!BU24</f>
        <v>A</v>
      </c>
      <c r="L25" s="589" t="str">
        <f>BIND3!BZ24</f>
        <v>Anak 20 sangat baik  dalam menggali isi dan amanat puisi yang disajikan secara lisan dan tulis dengan tujuan untuk kesenangan.</v>
      </c>
      <c r="M25" s="589">
        <f>'MTK3'!CC24</f>
        <v>93</v>
      </c>
      <c r="N25" s="589" t="str">
        <f>'MTK3'!CD24</f>
        <v>A</v>
      </c>
      <c r="O25" s="589" t="str">
        <f>'MTK3'!CI24</f>
        <v>Anak 20 sangat baik  dalam menjelaskan pecahan-pecahan senilai dengan gambar dan model konkret, dan  baik  dalam menjelaskan berbagai bentuk pecahan (biasa, campuran, desimal, dan persen) dan hubungan di antaranya</v>
      </c>
      <c r="P25" s="589">
        <f>'IPA3'!BM24</f>
        <v>99</v>
      </c>
      <c r="Q25" s="589" t="str">
        <f>'IPA3'!BN24</f>
        <v>A</v>
      </c>
      <c r="R25" s="589" t="str">
        <f>'IPA3'!BS24</f>
        <v>Anak 20 sangat baik  dalam membandingkan siklus hidup beberapa jenis makhluk hidup serta mengaitkan dengan upaya pelestariannya.</v>
      </c>
      <c r="S25" s="589">
        <f>'IPS3'!BM24</f>
        <v>99</v>
      </c>
      <c r="T25" s="589" t="str">
        <f>'IPS3'!BN24</f>
        <v>A</v>
      </c>
      <c r="U25" s="589" t="str">
        <f>'IPS3'!BS24</f>
        <v>Anak 20 sangat baik  dalam mengidentifikasi karakteristik ruang dan pemanfaatan sumberdaya alam untuk kesejahteraan masyarakat dari tingkatkota/kabupaten sampai tingkat provinsi.</v>
      </c>
      <c r="V25" s="589">
        <f>SBDP3!BM24</f>
        <v>99</v>
      </c>
      <c r="W25" s="589" t="str">
        <f>SBDP3!BN24</f>
        <v>A</v>
      </c>
      <c r="X25" s="589" t="str">
        <f>SBDP3!BS24</f>
        <v>Anak 20 sangat baik  dalam mengetahui tanda tempo dan tinggi rendah nada.</v>
      </c>
      <c r="Y25" s="589">
        <f>PJOK3!BM24</f>
        <v>79</v>
      </c>
      <c r="Z25" s="589" t="str">
        <f>PJOK3!BN24</f>
        <v>C</v>
      </c>
      <c r="AA25" s="589" t="str">
        <f>PJOK3!BS24</f>
        <v>Anak 20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25" s="589">
        <f>'MLK1-3'!BT24</f>
        <v>79</v>
      </c>
      <c r="AC25" s="589" t="str">
        <f>'MLK1-3'!BU24</f>
        <v>C</v>
      </c>
      <c r="AD25" s="589" t="str">
        <f>'MLK1-3'!BZ24</f>
        <v>Anak 20 baik  dalam mengenal dan memahmi teks tembang dolanan, dan  cukup baik  dalam mengenal dan memahami sandhangan aksara Jawa.</v>
      </c>
      <c r="AE25" s="589">
        <f>'MLK2-3'!BP24</f>
        <v>79</v>
      </c>
      <c r="AF25" s="589" t="str">
        <f>'MLK2-3'!BQ24</f>
        <v>C</v>
      </c>
      <c r="AG25" s="589" t="str">
        <f>'MLK2-3'!BV24</f>
        <v>Anak 20 baik  dalam mengenal, memahami dan mengidentifikasi macam-macam kalimat (order, request, and prengenal obyek-obyek wisata dan memahami penggunaan kalimat ungkapan terima kasih, dan  cukup baik  dalam memahami penggunaan kalimat yang menunjukkan letak suatu tempat</v>
      </c>
      <c r="AH25" s="589">
        <f>'MLK3-3'!BP24</f>
        <v>79</v>
      </c>
      <c r="AI25" s="589" t="str">
        <f>'MLK3-3'!BQ24</f>
        <v>C</v>
      </c>
      <c r="AJ25" s="589" t="str">
        <f>'MLK3-3'!BV24</f>
        <v>Anak 20 baik  dalam mengenal dan memahami penggunaan microsoft  word., dan  cukup baik  dalam memahami pembuatan dokumen di microsoft  word</v>
      </c>
      <c r="AK25" s="471" t="s">
        <v>734</v>
      </c>
    </row>
    <row r="26" spans="1:37" ht="15.75">
      <c r="A26" s="191">
        <v>21</v>
      </c>
      <c r="B26" s="529">
        <f>SISWA!B26</f>
        <v>0</v>
      </c>
      <c r="C26" s="572" t="str">
        <f>SISWA!C26</f>
        <v>Anak 21</v>
      </c>
      <c r="D26" s="718">
        <f>'PAI3'!EX26</f>
        <v>99</v>
      </c>
      <c r="E26" s="718" t="str">
        <f>'PAI3'!EY26</f>
        <v>A</v>
      </c>
      <c r="F26" s="596" t="str">
        <f>'PAI3'!FD26</f>
        <v>Anak 21 sangat baik  dalam memahami Q.S. al- Falaq dan Q.S. al- Fil dengan baik dan benar</v>
      </c>
      <c r="G26" s="589">
        <f>'PKN3'!BI25</f>
        <v>82</v>
      </c>
      <c r="H26" s="589" t="str">
        <f>'PKN3'!BJ25</f>
        <v>B</v>
      </c>
      <c r="I26" s="589" t="str">
        <f>'PKN3'!BO25</f>
        <v>Anak 21 baik  dalam mengidentifikasi berbagai bentuk keragaman suku bangsa, sosial, dan budaya di Indonesia yang terikat persatuan dan kesatuan., dan  cukup baik  dalam menjelaskan manfaat keberagaman karakteristik individu dalam kehidupan sehari-hari.</v>
      </c>
      <c r="J26" s="589">
        <f>BIND3!BT25</f>
        <v>99</v>
      </c>
      <c r="K26" s="589" t="str">
        <f>BIND3!BU25</f>
        <v>A</v>
      </c>
      <c r="L26" s="589" t="str">
        <f>BIND3!BZ25</f>
        <v>Anak 21 sangat baik  dalam menggali isi dan amanat puisi yang disajikan secara lisan dan tulis dengan tujuan untuk kesenangan.</v>
      </c>
      <c r="M26" s="589">
        <f>'MTK3'!CC25</f>
        <v>92</v>
      </c>
      <c r="N26" s="589" t="str">
        <f>'MTK3'!CD25</f>
        <v>A</v>
      </c>
      <c r="O26" s="589" t="str">
        <f>'MTK3'!CI25</f>
        <v>Anak 21 sangat baik  dalam menjelaskan pecahan-pecahan senilai dengan gambar dan model konkret, dan  cukup baik  dalam menjelaskan berbagai bentuk pecahan (biasa, campuran, desimal, dan persen) dan hubungan di antaranya</v>
      </c>
      <c r="P26" s="589">
        <f>'IPA3'!BM25</f>
        <v>99</v>
      </c>
      <c r="Q26" s="589" t="str">
        <f>'IPA3'!BN25</f>
        <v>A</v>
      </c>
      <c r="R26" s="589" t="str">
        <f>'IPA3'!BS25</f>
        <v>Anak 21 sangat baik  dalam membandingkan siklus hidup beberapa jenis makhluk hidup serta mengaitkan dengan upaya pelestariannya.</v>
      </c>
      <c r="S26" s="589">
        <f>'IPS3'!BM25</f>
        <v>99</v>
      </c>
      <c r="T26" s="589" t="str">
        <f>'IPS3'!BN25</f>
        <v>A</v>
      </c>
      <c r="U26" s="589" t="str">
        <f>'IPS3'!BS25</f>
        <v>Anak 21 sangat baik  dalam mengidentifikasi karakteristik ruang dan pemanfaatan sumberdaya alam untuk kesejahteraan masyarakat dari tingkatkota/kabupaten sampai tingkat provinsi.</v>
      </c>
      <c r="V26" s="589">
        <f>SBDP3!BM25</f>
        <v>99</v>
      </c>
      <c r="W26" s="589" t="str">
        <f>SBDP3!BN25</f>
        <v>A</v>
      </c>
      <c r="X26" s="589" t="str">
        <f>SBDP3!BS25</f>
        <v>Anak 21 sangat baik  dalam mengetahui tanda tempo dan tinggi rendah nada.</v>
      </c>
      <c r="Y26" s="589">
        <f>PJOK3!BM25</f>
        <v>82</v>
      </c>
      <c r="Z26" s="589" t="str">
        <f>PJOK3!BN25</f>
        <v>B</v>
      </c>
      <c r="AA26" s="589" t="str">
        <f>PJOK3!BS25</f>
        <v>Anak 21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26" s="589">
        <f>'MLK1-3'!BT25</f>
        <v>82</v>
      </c>
      <c r="AC26" s="589" t="str">
        <f>'MLK1-3'!BU25</f>
        <v>B</v>
      </c>
      <c r="AD26" s="589" t="str">
        <f>'MLK1-3'!BZ25</f>
        <v>Anak 21 baik  dalam mengenal dan memahami sandhangan aksara Jawa., dan  cukup baik  dalam mengenal dan memahmi teks tembang dolanan</v>
      </c>
      <c r="AE26" s="589">
        <f>'MLK2-3'!BP25</f>
        <v>82</v>
      </c>
      <c r="AF26" s="589" t="str">
        <f>'MLK2-3'!BQ25</f>
        <v>B</v>
      </c>
      <c r="AG26" s="589" t="str">
        <f>'MLK2-3'!BV25</f>
        <v>Anak 21 baik  dalam memahami penggunaan kalimat yang menunjukkan letak suatu tempat, dan  cukup baik  dalam mengenal, memahami dan mengidentifikasi macam-macam kalimat (order, request, and prengenal obyek-obyek wisata dan memahami penggunaan kalimat ungkapan terima kasih</v>
      </c>
      <c r="AH26" s="589">
        <f>'MLK3-3'!BP25</f>
        <v>82</v>
      </c>
      <c r="AI26" s="589" t="str">
        <f>'MLK3-3'!BQ25</f>
        <v>B</v>
      </c>
      <c r="AJ26" s="589" t="str">
        <f>'MLK3-3'!BV25</f>
        <v>Anak 21 baik  dalam memahami pembuatan dokumen di microsoft  word, dan  cukup baik  dalam mengenal dan memahami penggunaan microsoft  word.</v>
      </c>
      <c r="AK26" s="471" t="s">
        <v>734</v>
      </c>
    </row>
    <row r="27" spans="1:37" ht="15.75">
      <c r="A27" s="191">
        <v>22</v>
      </c>
      <c r="B27" s="529">
        <f>SISWA!B27</f>
        <v>0</v>
      </c>
      <c r="C27" s="572" t="str">
        <f>SISWA!C27</f>
        <v>Anak 22</v>
      </c>
      <c r="D27" s="718">
        <f>'PAI3'!EX27</f>
        <v>99</v>
      </c>
      <c r="E27" s="718" t="str">
        <f>'PAI3'!EY27</f>
        <v>A</v>
      </c>
      <c r="F27" s="596" t="str">
        <f>'PAI3'!FD27</f>
        <v>Anak 22 sangat baik  dalam memahami Q.S. al- Falaq dan Q.S. al- Fil dengan baik dan benar</v>
      </c>
      <c r="G27" s="589">
        <f>'PKN3'!BI26</f>
        <v>88</v>
      </c>
      <c r="H27" s="589" t="str">
        <f>'PKN3'!BJ26</f>
        <v>B</v>
      </c>
      <c r="I27" s="589" t="str">
        <f>'PKN3'!BO26</f>
        <v>Anak 22 baik  dalam mengidentifikasi berbagai bentuk keragaman suku bangsa, sosial, dan budaya di Indonesia yang terikat persatuan dan kesatuan., dan  baik  dalam menjelaskan manfaat keberagaman karakteristik individu dalam kehidupan sehari-hari.</v>
      </c>
      <c r="J27" s="589">
        <f>BIND3!BT26</f>
        <v>99</v>
      </c>
      <c r="K27" s="589" t="str">
        <f>BIND3!BU26</f>
        <v>A</v>
      </c>
      <c r="L27" s="589" t="str">
        <f>BIND3!BZ26</f>
        <v>Anak 22 sangat baik  dalam menggali isi dan amanat puisi yang disajikan secara lisan dan tulis dengan tujuan untuk kesenangan.</v>
      </c>
      <c r="M27" s="589">
        <f>'MTK3'!CC26</f>
        <v>95</v>
      </c>
      <c r="N27" s="589" t="str">
        <f>'MTK3'!CD26</f>
        <v>A</v>
      </c>
      <c r="O27" s="589" t="str">
        <f>'MTK3'!CI26</f>
        <v>Anak 22 sangat baik  dalam menjelaskan pecahan-pecahan senilai dengan gambar dan model konkret, dan  baik  dalam menjelaskan berbagai bentuk pecahan (biasa, campuran, desimal, dan persen) dan hubungan di antaranya</v>
      </c>
      <c r="P27" s="589">
        <f>'IPA3'!BM26</f>
        <v>99</v>
      </c>
      <c r="Q27" s="589" t="str">
        <f>'IPA3'!BN26</f>
        <v>A</v>
      </c>
      <c r="R27" s="589" t="str">
        <f>'IPA3'!BS26</f>
        <v>Anak 22 sangat baik  dalam membandingkan siklus hidup beberapa jenis makhluk hidup serta mengaitkan dengan upaya pelestariannya.</v>
      </c>
      <c r="S27" s="589">
        <f>'IPS3'!BM26</f>
        <v>99</v>
      </c>
      <c r="T27" s="589" t="str">
        <f>'IPS3'!BN26</f>
        <v>A</v>
      </c>
      <c r="U27" s="589" t="str">
        <f>'IPS3'!BS26</f>
        <v>Anak 22 sangat baik  dalam mengidentifikasi karakteristik ruang dan pemanfaatan sumberdaya alam untuk kesejahteraan masyarakat dari tingkatkota/kabupaten sampai tingkat provinsi.</v>
      </c>
      <c r="V27" s="589">
        <f>SBDP3!BM26</f>
        <v>99</v>
      </c>
      <c r="W27" s="589" t="str">
        <f>SBDP3!BN26</f>
        <v>A</v>
      </c>
      <c r="X27" s="589" t="str">
        <f>SBDP3!BS26</f>
        <v>Anak 22 sangat baik  dalam mengetahui tanda tempo dan tinggi rendah nada.</v>
      </c>
      <c r="Y27" s="589">
        <f>PJOK3!BM26</f>
        <v>88</v>
      </c>
      <c r="Z27" s="589" t="str">
        <f>PJOK3!BN26</f>
        <v>B</v>
      </c>
      <c r="AA27" s="589" t="str">
        <f>PJOK3!BS26</f>
        <v>Anak 22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c r="AB27" s="589">
        <f>'MLK1-3'!BT26</f>
        <v>88</v>
      </c>
      <c r="AC27" s="589" t="str">
        <f>'MLK1-3'!BU26</f>
        <v>B</v>
      </c>
      <c r="AD27" s="589" t="str">
        <f>'MLK1-3'!BZ26</f>
        <v>Anak 22 baik  dalam mengenal dan memahami sandhangan aksara Jawa., dan  baik  dalam mengenal dan memahmi teks tembang dolanan</v>
      </c>
      <c r="AE27" s="589">
        <f>'MLK2-3'!BP26</f>
        <v>88</v>
      </c>
      <c r="AF27" s="589" t="str">
        <f>'MLK2-3'!BQ26</f>
        <v>B</v>
      </c>
      <c r="AG27" s="589" t="str">
        <f>'MLK2-3'!BV26</f>
        <v>Anak 22 baik  dalam memahami penggunaan kalimat yang menunjukkan letak suatu tempat, dan  baik  dalam mengenal, memahami dan mengidentifikasi macam-macam kalimat (order, request, and prengenal obyek-obyek wisata dan memahami penggunaan kalimat ungkapan terima kasih</v>
      </c>
      <c r="AH27" s="589">
        <f>'MLK3-3'!BP26</f>
        <v>88</v>
      </c>
      <c r="AI27" s="589" t="str">
        <f>'MLK3-3'!BQ26</f>
        <v>B</v>
      </c>
      <c r="AJ27" s="589" t="str">
        <f>'MLK3-3'!BV26</f>
        <v>Anak 22 baik  dalam memahami pembuatan dokumen di microsoft  word, dan  baik  dalam mengenal dan memahami penggunaan microsoft  word.</v>
      </c>
      <c r="AK27" s="471" t="s">
        <v>734</v>
      </c>
    </row>
    <row r="28" spans="1:37" ht="15.75">
      <c r="A28" s="191">
        <v>23</v>
      </c>
      <c r="B28" s="529">
        <f>SISWA!B28</f>
        <v>0</v>
      </c>
      <c r="C28" s="572" t="str">
        <f>SISWA!C28</f>
        <v>Anak 23</v>
      </c>
      <c r="D28" s="718">
        <f>'PAI3'!EX28</f>
        <v>99</v>
      </c>
      <c r="E28" s="718" t="str">
        <f>'PAI3'!EY28</f>
        <v>A</v>
      </c>
      <c r="F28" s="596" t="str">
        <f>'PAI3'!FD28</f>
        <v>Anak 23 sangat baik  dalam memahami Q.S. al- Falaq dan Q.S. al- Fil dengan baik dan benar</v>
      </c>
      <c r="G28" s="589">
        <f>'PKN3'!BI27</f>
        <v>83</v>
      </c>
      <c r="H28" s="589" t="str">
        <f>'PKN3'!BJ27</f>
        <v>B</v>
      </c>
      <c r="I28" s="589" t="str">
        <f>'PKN3'!BO27</f>
        <v>Anak 23 baik  dalam menjelaskan manfaat keberagaman karakteristik individu dalam kehidupan sehari-hari., dan  cukup baik  dalam mengidentifikasi berbagai bentuk keragaman suku bangsa, sosial, dan budaya di Indonesia yang terikat persatuan dan kesatuan.</v>
      </c>
      <c r="J28" s="589">
        <f>BIND3!BT27</f>
        <v>99</v>
      </c>
      <c r="K28" s="589" t="str">
        <f>BIND3!BU27</f>
        <v>A</v>
      </c>
      <c r="L28" s="589" t="str">
        <f>BIND3!BZ27</f>
        <v>Anak 23 sangat baik  dalam menggali isi dan amanat puisi yang disajikan secara lisan dan tulis dengan tujuan untuk kesenangan.</v>
      </c>
      <c r="M28" s="589">
        <f>'MTK3'!CC27</f>
        <v>96</v>
      </c>
      <c r="N28" s="589" t="str">
        <f>'MTK3'!CD27</f>
        <v>A</v>
      </c>
      <c r="O28" s="589" t="str">
        <f>'MTK3'!CI27</f>
        <v>Anak 23 sangat baik  dalam menjelaskan pecahan-pecahan senilai dengan gambar dan model konkret, dan  baik  dalam menjelaskan berbagai bentuk pecahan (biasa, campuran, desimal, dan persen) dan hubungan di antaranya</v>
      </c>
      <c r="P28" s="589">
        <f>'IPA3'!BM27</f>
        <v>99</v>
      </c>
      <c r="Q28" s="589" t="str">
        <f>'IPA3'!BN27</f>
        <v>A</v>
      </c>
      <c r="R28" s="589" t="str">
        <f>'IPA3'!BS27</f>
        <v>Anak 23 sangat baik  dalam membandingkan siklus hidup beberapa jenis makhluk hidup serta mengaitkan dengan upaya pelestariannya.</v>
      </c>
      <c r="S28" s="589">
        <f>'IPS3'!BM27</f>
        <v>99</v>
      </c>
      <c r="T28" s="589" t="str">
        <f>'IPS3'!BN27</f>
        <v>A</v>
      </c>
      <c r="U28" s="589" t="str">
        <f>'IPS3'!BS27</f>
        <v>Anak 23 sangat baik  dalam mengidentifikasi karakteristik ruang dan pemanfaatan sumberdaya alam untuk kesejahteraan masyarakat dari tingkatkota/kabupaten sampai tingkat provinsi.</v>
      </c>
      <c r="V28" s="589">
        <f>SBDP3!BM27</f>
        <v>99</v>
      </c>
      <c r="W28" s="589" t="str">
        <f>SBDP3!BN27</f>
        <v>A</v>
      </c>
      <c r="X28" s="589" t="str">
        <f>SBDP3!BS27</f>
        <v>Anak 23 sangat baik  dalam mengetahui tanda tempo dan tinggi rendah nada.</v>
      </c>
      <c r="Y28" s="589">
        <f>PJOK3!BM27</f>
        <v>83</v>
      </c>
      <c r="Z28" s="589" t="str">
        <f>PJOK3!BN27</f>
        <v>B</v>
      </c>
      <c r="AA28" s="589" t="str">
        <f>PJOK3!BS27</f>
        <v>Anak 23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28" s="589">
        <f>'MLK1-3'!BT27</f>
        <v>83</v>
      </c>
      <c r="AC28" s="589" t="str">
        <f>'MLK1-3'!BU27</f>
        <v>B</v>
      </c>
      <c r="AD28" s="589" t="str">
        <f>'MLK1-3'!BZ27</f>
        <v>Anak 23 baik  dalam mengenal dan memahmi teks tembang dolanan, dan  cukup baik  dalam mengenal dan memahami sandhangan aksara Jawa.</v>
      </c>
      <c r="AE28" s="589">
        <f>'MLK2-3'!BP27</f>
        <v>83</v>
      </c>
      <c r="AF28" s="589" t="str">
        <f>'MLK2-3'!BQ27</f>
        <v>B</v>
      </c>
      <c r="AG28" s="589" t="str">
        <f>'MLK2-3'!BV27</f>
        <v>Anak 23 baik  dalam mengenal, memahami dan mengidentifikasi macam-macam kalimat (order, request, and prengenal obyek-obyek wisata dan memahami penggunaan kalimat ungkapan terima kasih, dan  cukup baik  dalam memahami penggunaan kalimat yang menunjukkan letak suatu tempat</v>
      </c>
      <c r="AH28" s="589">
        <f>'MLK3-3'!BP27</f>
        <v>83</v>
      </c>
      <c r="AI28" s="589" t="str">
        <f>'MLK3-3'!BQ27</f>
        <v>B</v>
      </c>
      <c r="AJ28" s="589" t="str">
        <f>'MLK3-3'!BV27</f>
        <v>Anak 23 baik  dalam mengenal dan memahami penggunaan microsoft  word., dan  cukup baik  dalam memahami pembuatan dokumen di microsoft  word</v>
      </c>
      <c r="AK28" s="471" t="s">
        <v>734</v>
      </c>
    </row>
    <row r="29" spans="1:37" ht="15.75">
      <c r="A29" s="191">
        <v>24</v>
      </c>
      <c r="B29" s="529">
        <f>SISWA!B29</f>
        <v>0</v>
      </c>
      <c r="C29" s="572" t="str">
        <f>SISWA!C29</f>
        <v>Anak 24</v>
      </c>
      <c r="D29" s="718">
        <f>'PAI3'!EX29</f>
        <v>99</v>
      </c>
      <c r="E29" s="718" t="str">
        <f>'PAI3'!EY29</f>
        <v>A</v>
      </c>
      <c r="F29" s="596" t="str">
        <f>'PAI3'!FD29</f>
        <v>Anak 24 sangat baik  dalam memahami Q.S. al- Falaq dan Q.S. al- Fil dengan baik dan benar</v>
      </c>
      <c r="G29" s="589">
        <f>'PKN3'!BI28</f>
        <v>80</v>
      </c>
      <c r="H29" s="589" t="str">
        <f>'PKN3'!BJ28</f>
        <v>C</v>
      </c>
      <c r="I29" s="589" t="str">
        <f>'PKN3'!BO28</f>
        <v>Anak 24 baik  dalam mengidentifikasi berbagai bentuk keragaman suku bangsa, sosial, dan budaya di Indonesia yang terikat persatuan dan kesatuan., dan  cukup baik  dalam menjelaskan manfaat keberagaman karakteristik individu dalam kehidupan sehari-hari.</v>
      </c>
      <c r="J29" s="589">
        <f>BIND3!BT28</f>
        <v>99</v>
      </c>
      <c r="K29" s="589" t="str">
        <f>BIND3!BU28</f>
        <v>A</v>
      </c>
      <c r="L29" s="589" t="str">
        <f>BIND3!BZ28</f>
        <v>Anak 24 sangat baik  dalam menggali isi dan amanat puisi yang disajikan secara lisan dan tulis dengan tujuan untuk kesenangan.</v>
      </c>
      <c r="M29" s="589">
        <f>'MTK3'!CC28</f>
        <v>92</v>
      </c>
      <c r="N29" s="589" t="str">
        <f>'MTK3'!CD28</f>
        <v>A</v>
      </c>
      <c r="O29" s="589" t="str">
        <f>'MTK3'!CI28</f>
        <v>Anak 24 sangat baik  dalam menjelaskan pecahan-pecahan senilai dengan gambar dan model konkret, dan  cukup baik  dalam menjelaskan berbagai bentuk pecahan (biasa, campuran, desimal, dan persen) dan hubungan di antaranya</v>
      </c>
      <c r="P29" s="589">
        <f>'IPA3'!BM28</f>
        <v>99</v>
      </c>
      <c r="Q29" s="589" t="str">
        <f>'IPA3'!BN28</f>
        <v>A</v>
      </c>
      <c r="R29" s="589" t="str">
        <f>'IPA3'!BS28</f>
        <v>Anak 24 sangat baik  dalam membandingkan siklus hidup beberapa jenis makhluk hidup serta mengaitkan dengan upaya pelestariannya.</v>
      </c>
      <c r="S29" s="589">
        <f>'IPS3'!BM28</f>
        <v>99</v>
      </c>
      <c r="T29" s="589" t="str">
        <f>'IPS3'!BN28</f>
        <v>A</v>
      </c>
      <c r="U29" s="589" t="str">
        <f>'IPS3'!BS28</f>
        <v>Anak 24 sangat baik  dalam mengidentifikasi karakteristik ruang dan pemanfaatan sumberdaya alam untuk kesejahteraan masyarakat dari tingkatkota/kabupaten sampai tingkat provinsi.</v>
      </c>
      <c r="V29" s="589">
        <f>SBDP3!BM28</f>
        <v>99</v>
      </c>
      <c r="W29" s="589" t="str">
        <f>SBDP3!BN28</f>
        <v>A</v>
      </c>
      <c r="X29" s="589" t="str">
        <f>SBDP3!BS28</f>
        <v>Anak 24 sangat baik  dalam mengetahui tanda tempo dan tinggi rendah nada.</v>
      </c>
      <c r="Y29" s="589">
        <f>PJOK3!BM28</f>
        <v>80</v>
      </c>
      <c r="Z29" s="589" t="str">
        <f>PJOK3!BN28</f>
        <v>C</v>
      </c>
      <c r="AA29" s="589" t="str">
        <f>PJOK3!BS28</f>
        <v>Anak 24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29" s="589">
        <f>'MLK1-3'!BT28</f>
        <v>80</v>
      </c>
      <c r="AC29" s="589" t="str">
        <f>'MLK1-3'!BU28</f>
        <v>C</v>
      </c>
      <c r="AD29" s="589" t="str">
        <f>'MLK1-3'!BZ28</f>
        <v>Anak 24 baik  dalam mengenal dan memahami sandhangan aksara Jawa., dan  cukup baik  dalam mengenal dan memahmi teks tembang dolanan</v>
      </c>
      <c r="AE29" s="589">
        <f>'MLK2-3'!BP28</f>
        <v>80</v>
      </c>
      <c r="AF29" s="589" t="str">
        <f>'MLK2-3'!BQ28</f>
        <v>C</v>
      </c>
      <c r="AG29" s="589" t="str">
        <f>'MLK2-3'!BV28</f>
        <v>Anak 24 baik  dalam memahami penggunaan kalimat yang menunjukkan letak suatu tempat, dan  cukup baik  dalam mengenal, memahami dan mengidentifikasi macam-macam kalimat (order, request, and prengenal obyek-obyek wisata dan memahami penggunaan kalimat ungkapan terima kasih</v>
      </c>
      <c r="AH29" s="589">
        <f>'MLK3-3'!BP28</f>
        <v>80</v>
      </c>
      <c r="AI29" s="589" t="str">
        <f>'MLK3-3'!BQ28</f>
        <v>C</v>
      </c>
      <c r="AJ29" s="589" t="str">
        <f>'MLK3-3'!BV28</f>
        <v>Anak 24 baik  dalam memahami pembuatan dokumen di microsoft  word, dan  cukup baik  dalam mengenal dan memahami penggunaan microsoft  word.</v>
      </c>
      <c r="AK29" s="471" t="s">
        <v>734</v>
      </c>
    </row>
    <row r="30" spans="1:37" ht="15.75">
      <c r="A30" s="191">
        <v>25</v>
      </c>
      <c r="B30" s="529">
        <f>SISWA!B30</f>
        <v>0</v>
      </c>
      <c r="C30" s="572" t="str">
        <f>SISWA!C30</f>
        <v>Anak 25</v>
      </c>
      <c r="D30" s="718">
        <f>'PAI3'!EX30</f>
        <v>99</v>
      </c>
      <c r="E30" s="718" t="str">
        <f>'PAI3'!EY30</f>
        <v>A</v>
      </c>
      <c r="F30" s="596" t="str">
        <f>'PAI3'!FD30</f>
        <v>Anak 25 sangat baik  dalam memahami Q.S. al- Falaq dan Q.S. al- Fil dengan baik dan benar</v>
      </c>
      <c r="G30" s="589">
        <f>'PKN3'!BI29</f>
        <v>79</v>
      </c>
      <c r="H30" s="589" t="str">
        <f>'PKN3'!BJ29</f>
        <v>C</v>
      </c>
      <c r="I30" s="589" t="str">
        <f>'PKN3'!BO29</f>
        <v>Anak 25 baik  dalam menjelaskan manfaat keberagaman karakteristik individu dalam kehidupan sehari-hari., dan  cukup baik  dalam mengidentifikasi berbagai bentuk keragaman suku bangsa, sosial, dan budaya di Indonesia yang terikat persatuan dan kesatuan.</v>
      </c>
      <c r="J30" s="589">
        <f>BIND3!BT29</f>
        <v>99</v>
      </c>
      <c r="K30" s="589" t="str">
        <f>BIND3!BU29</f>
        <v>A</v>
      </c>
      <c r="L30" s="589" t="str">
        <f>BIND3!BZ29</f>
        <v>Anak 25 sangat baik  dalam menggali isi dan amanat puisi yang disajikan secara lisan dan tulis dengan tujuan untuk kesenangan.</v>
      </c>
      <c r="M30" s="589">
        <f>'MTK3'!CC29</f>
        <v>94</v>
      </c>
      <c r="N30" s="589" t="str">
        <f>'MTK3'!CD29</f>
        <v>A</v>
      </c>
      <c r="O30" s="589" t="str">
        <f>'MTK3'!CI29</f>
        <v>Anak 25 sangat baik  dalam menjelaskan pecahan-pecahan senilai dengan gambar dan model konkret, dan  baik  dalam menjelaskan berbagai bentuk pecahan (biasa, campuran, desimal, dan persen) dan hubungan di antaranya</v>
      </c>
      <c r="P30" s="589">
        <f>'IPA3'!BM29</f>
        <v>99</v>
      </c>
      <c r="Q30" s="589" t="str">
        <f>'IPA3'!BN29</f>
        <v>A</v>
      </c>
      <c r="R30" s="589" t="str">
        <f>'IPA3'!BS29</f>
        <v>Anak 25 sangat baik  dalam membandingkan siklus hidup beberapa jenis makhluk hidup serta mengaitkan dengan upaya pelestariannya.</v>
      </c>
      <c r="S30" s="589">
        <f>'IPS3'!BM29</f>
        <v>99</v>
      </c>
      <c r="T30" s="589" t="str">
        <f>'IPS3'!BN29</f>
        <v>A</v>
      </c>
      <c r="U30" s="589" t="str">
        <f>'IPS3'!BS29</f>
        <v>Anak 25 sangat baik  dalam mengidentifikasi karakteristik ruang dan pemanfaatan sumberdaya alam untuk kesejahteraan masyarakat dari tingkatkota/kabupaten sampai tingkat provinsi.</v>
      </c>
      <c r="V30" s="589">
        <f>SBDP3!BM29</f>
        <v>99</v>
      </c>
      <c r="W30" s="589" t="str">
        <f>SBDP3!BN29</f>
        <v>A</v>
      </c>
      <c r="X30" s="589" t="str">
        <f>SBDP3!BS29</f>
        <v>Anak 25 sangat baik  dalam mengetahui tanda tempo dan tinggi rendah nada.</v>
      </c>
      <c r="Y30" s="589">
        <f>PJOK3!BM29</f>
        <v>79</v>
      </c>
      <c r="Z30" s="589" t="str">
        <f>PJOK3!BN29</f>
        <v>C</v>
      </c>
      <c r="AA30" s="589" t="str">
        <f>PJOK3!BS29</f>
        <v>Anak 25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30" s="589">
        <f>'MLK1-3'!BT29</f>
        <v>79</v>
      </c>
      <c r="AC30" s="589" t="str">
        <f>'MLK1-3'!BU29</f>
        <v>C</v>
      </c>
      <c r="AD30" s="589" t="str">
        <f>'MLK1-3'!BZ29</f>
        <v>Anak 25 baik  dalam mengenal dan memahmi teks tembang dolanan, dan  cukup baik  dalam mengenal dan memahami sandhangan aksara Jawa.</v>
      </c>
      <c r="AE30" s="589">
        <f>'MLK2-3'!BP29</f>
        <v>79</v>
      </c>
      <c r="AF30" s="589" t="str">
        <f>'MLK2-3'!BQ29</f>
        <v>C</v>
      </c>
      <c r="AG30" s="589" t="str">
        <f>'MLK2-3'!BV29</f>
        <v>Anak 25 baik  dalam mengenal, memahami dan mengidentifikasi macam-macam kalimat (order, request, and prengenal obyek-obyek wisata dan memahami penggunaan kalimat ungkapan terima kasih, dan  cukup baik  dalam memahami penggunaan kalimat yang menunjukkan letak suatu tempat</v>
      </c>
      <c r="AH30" s="589">
        <f>'MLK3-3'!BP29</f>
        <v>79</v>
      </c>
      <c r="AI30" s="589" t="str">
        <f>'MLK3-3'!BQ29</f>
        <v>C</v>
      </c>
      <c r="AJ30" s="589" t="str">
        <f>'MLK3-3'!BV29</f>
        <v>Anak 25 baik  dalam mengenal dan memahami penggunaan microsoft  word., dan  cukup baik  dalam memahami pembuatan dokumen di microsoft  word</v>
      </c>
      <c r="AK30" s="471" t="s">
        <v>734</v>
      </c>
    </row>
    <row r="31" spans="1:37" ht="15.75">
      <c r="A31" s="191">
        <v>26</v>
      </c>
      <c r="B31" s="529">
        <f>SISWA!B31</f>
        <v>0</v>
      </c>
      <c r="C31" s="572" t="str">
        <f>SISWA!C31</f>
        <v>Anak 26</v>
      </c>
      <c r="D31" s="718">
        <f>'PAI3'!EX31</f>
        <v>99</v>
      </c>
      <c r="E31" s="718" t="str">
        <f>'PAI3'!EY31</f>
        <v>A</v>
      </c>
      <c r="F31" s="596" t="str">
        <f>'PAI3'!FD31</f>
        <v>Anak 26 sangat baik  dalam memahami Q.S. al- Falaq dan Q.S. al- Fil dengan baik dan benar</v>
      </c>
      <c r="G31" s="589">
        <f>'PKN3'!BI30</f>
        <v>75</v>
      </c>
      <c r="H31" s="589" t="str">
        <f>'PKN3'!BJ30</f>
        <v>C</v>
      </c>
      <c r="I31" s="589" t="str">
        <f>'PKN3'!BO30</f>
        <v>Anak 26 cukup baik  dalam menjelaskan manfaat keberagaman karakteristik individu dalam kehidupan sehari-hari.</v>
      </c>
      <c r="J31" s="589">
        <f>BIND3!BT30</f>
        <v>99</v>
      </c>
      <c r="K31" s="589" t="str">
        <f>BIND3!BU30</f>
        <v>A</v>
      </c>
      <c r="L31" s="589" t="str">
        <f>BIND3!BZ30</f>
        <v>Anak 26 sangat baik  dalam menggali isi dan amanat puisi yang disajikan secara lisan dan tulis dengan tujuan untuk kesenangan.</v>
      </c>
      <c r="M31" s="589">
        <f>'MTK3'!CC30</f>
        <v>91</v>
      </c>
      <c r="N31" s="589" t="str">
        <f>'MTK3'!CD30</f>
        <v>A</v>
      </c>
      <c r="O31" s="589" t="str">
        <f>'MTK3'!CI30</f>
        <v>Anak 26 sangat baik  dalam menjelaskan pecahan-pecahan senilai dengan gambar dan model konkret, dan  cukup baik  dalam menjelaskan berbagai bentuk pecahan (biasa, campuran, desimal, dan persen) dan hubungan di antaranya</v>
      </c>
      <c r="P31" s="589">
        <f>'IPA3'!BM30</f>
        <v>99</v>
      </c>
      <c r="Q31" s="589" t="str">
        <f>'IPA3'!BN30</f>
        <v>A</v>
      </c>
      <c r="R31" s="589" t="str">
        <f>'IPA3'!BS30</f>
        <v>Anak 26 sangat baik  dalam membandingkan siklus hidup beberapa jenis makhluk hidup serta mengaitkan dengan upaya pelestariannya.</v>
      </c>
      <c r="S31" s="589">
        <f>'IPS3'!BM30</f>
        <v>99</v>
      </c>
      <c r="T31" s="589" t="str">
        <f>'IPS3'!BN30</f>
        <v>A</v>
      </c>
      <c r="U31" s="589" t="str">
        <f>'IPS3'!BS30</f>
        <v>Anak 26 sangat baik  dalam mengidentifikasi karakteristik ruang dan pemanfaatan sumberdaya alam untuk kesejahteraan masyarakat dari tingkatkota/kabupaten sampai tingkat provinsi.</v>
      </c>
      <c r="V31" s="589">
        <f>SBDP3!BM30</f>
        <v>99</v>
      </c>
      <c r="W31" s="589" t="str">
        <f>SBDP3!BN30</f>
        <v>A</v>
      </c>
      <c r="X31" s="589" t="str">
        <f>SBDP3!BS30</f>
        <v>Anak 26 sangat baik  dalam mengetahui tanda tempo dan tinggi rendah nada.</v>
      </c>
      <c r="Y31" s="589">
        <f>PJOK3!BM30</f>
        <v>75</v>
      </c>
      <c r="Z31" s="589" t="str">
        <f>PJOK3!BN30</f>
        <v>C</v>
      </c>
      <c r="AA31" s="589" t="str">
        <f>PJOK3!BS30</f>
        <v>Anak 26 cukup baik  dalam memahami konsep variasi dan kombinasi pola gerak dasar lokomotorr dan nonlokomotor untuk membentuk gerakan dasar atletik jalan cepat dan lari melalui permainan dan atau olahraga tradisional</v>
      </c>
      <c r="AB31" s="589">
        <f>'MLK1-3'!BT30</f>
        <v>75</v>
      </c>
      <c r="AC31" s="589" t="str">
        <f>'MLK1-3'!BU30</f>
        <v>C</v>
      </c>
      <c r="AD31" s="589" t="str">
        <f>'MLK1-3'!BZ30</f>
        <v>Anak 26 cukup baik  dalam mengenal dan memahmi teks tembang dolanan</v>
      </c>
      <c r="AE31" s="589">
        <f>'MLK2-3'!BP30</f>
        <v>75</v>
      </c>
      <c r="AF31" s="589" t="str">
        <f>'MLK2-3'!BQ30</f>
        <v>C</v>
      </c>
      <c r="AG31" s="589" t="str">
        <f>'MLK2-3'!BV30</f>
        <v>Anak 26 cukup baik  dalam mengenal, memahami dan mengidentifikasi macam-macam kalimat (order, request, and prengenal obyek-obyek wisata dan memahami penggunaan kalimat ungkapan terima kasih</v>
      </c>
      <c r="AH31" s="589">
        <f>'MLK3-3'!BP30</f>
        <v>75</v>
      </c>
      <c r="AI31" s="589" t="str">
        <f>'MLK3-3'!BQ30</f>
        <v>C</v>
      </c>
      <c r="AJ31" s="589" t="str">
        <f>'MLK3-3'!BV30</f>
        <v>Anak 26 cukup baik  dalam mengenal dan memahami penggunaan microsoft  word.</v>
      </c>
      <c r="AK31" s="471" t="s">
        <v>734</v>
      </c>
    </row>
    <row r="32" spans="1:37" ht="15.75">
      <c r="A32" s="191">
        <v>27</v>
      </c>
      <c r="B32" s="529">
        <f>SISWA!B32</f>
        <v>0</v>
      </c>
      <c r="C32" s="572" t="str">
        <f>SISWA!C32</f>
        <v>Anak 27</v>
      </c>
      <c r="D32" s="718">
        <f>'PAI3'!EX32</f>
        <v>99</v>
      </c>
      <c r="E32" s="718" t="str">
        <f>'PAI3'!EY32</f>
        <v>A</v>
      </c>
      <c r="F32" s="596" t="str">
        <f>'PAI3'!FD32</f>
        <v>Anak 27 sangat baik  dalam memahami Q.S. al- Falaq dan Q.S. al- Fil dengan baik dan benar</v>
      </c>
      <c r="G32" s="589">
        <f>'PKN3'!BI31</f>
        <v>75</v>
      </c>
      <c r="H32" s="589" t="str">
        <f>'PKN3'!BJ31</f>
        <v>C</v>
      </c>
      <c r="I32" s="589" t="str">
        <f>'PKN3'!BO31</f>
        <v>Anak 27 cukup baik  dalam menjelaskan manfaat keberagaman karakteristik individu dalam kehidupan sehari-hari.</v>
      </c>
      <c r="J32" s="589">
        <f>BIND3!BT31</f>
        <v>99</v>
      </c>
      <c r="K32" s="589" t="str">
        <f>BIND3!BU31</f>
        <v>A</v>
      </c>
      <c r="L32" s="589" t="str">
        <f>BIND3!BZ31</f>
        <v>Anak 27 sangat baik  dalam menggali isi dan amanat puisi yang disajikan secara lisan dan tulis dengan tujuan untuk kesenangan.</v>
      </c>
      <c r="M32" s="589">
        <f>'MTK3'!CC31</f>
        <v>91</v>
      </c>
      <c r="N32" s="589" t="str">
        <f>'MTK3'!CD31</f>
        <v>A</v>
      </c>
      <c r="O32" s="589" t="str">
        <f>'MTK3'!CI31</f>
        <v>Anak 27 sangat baik  dalam menjelaskan pecahan-pecahan senilai dengan gambar dan model konkret, dan  cukup baik  dalam menjelaskan berbagai bentuk pecahan (biasa, campuran, desimal, dan persen) dan hubungan di antaranya</v>
      </c>
      <c r="P32" s="589">
        <f>'IPA3'!BM31</f>
        <v>99</v>
      </c>
      <c r="Q32" s="589" t="str">
        <f>'IPA3'!BN31</f>
        <v>A</v>
      </c>
      <c r="R32" s="589" t="str">
        <f>'IPA3'!BS31</f>
        <v>Anak 27 sangat baik  dalam membandingkan siklus hidup beberapa jenis makhluk hidup serta mengaitkan dengan upaya pelestariannya.</v>
      </c>
      <c r="S32" s="589">
        <f>'IPS3'!BM31</f>
        <v>99</v>
      </c>
      <c r="T32" s="589" t="str">
        <f>'IPS3'!BN31</f>
        <v>A</v>
      </c>
      <c r="U32" s="589" t="str">
        <f>'IPS3'!BS31</f>
        <v>Anak 27 sangat baik  dalam mengidentifikasi karakteristik ruang dan pemanfaatan sumberdaya alam untuk kesejahteraan masyarakat dari tingkatkota/kabupaten sampai tingkat provinsi.</v>
      </c>
      <c r="V32" s="589">
        <f>SBDP3!BM31</f>
        <v>99</v>
      </c>
      <c r="W32" s="589" t="str">
        <f>SBDP3!BN31</f>
        <v>A</v>
      </c>
      <c r="X32" s="589" t="str">
        <f>SBDP3!BS31</f>
        <v>Anak 27 sangat baik  dalam mengetahui tanda tempo dan tinggi rendah nada.</v>
      </c>
      <c r="Y32" s="589">
        <f>PJOK3!BM31</f>
        <v>75</v>
      </c>
      <c r="Z32" s="589" t="str">
        <f>PJOK3!BN31</f>
        <v>C</v>
      </c>
      <c r="AA32" s="589" t="str">
        <f>PJOK3!BS31</f>
        <v>Anak 27 cukup baik  dalam memahami konsep variasi dan kombinasi pola gerak dasar lokomotorr dan nonlokomotor untuk membentuk gerakan dasar atletik jalan cepat dan lari melalui permainan dan atau olahraga tradisional</v>
      </c>
      <c r="AB32" s="589">
        <f>'MLK1-3'!BT31</f>
        <v>75</v>
      </c>
      <c r="AC32" s="589" t="str">
        <f>'MLK1-3'!BU31</f>
        <v>C</v>
      </c>
      <c r="AD32" s="589" t="str">
        <f>'MLK1-3'!BZ31</f>
        <v>Anak 27 cukup baik  dalam mengenal dan memahmi teks tembang dolanan</v>
      </c>
      <c r="AE32" s="589">
        <f>'MLK2-3'!BP31</f>
        <v>75</v>
      </c>
      <c r="AF32" s="589" t="str">
        <f>'MLK2-3'!BQ31</f>
        <v>C</v>
      </c>
      <c r="AG32" s="589" t="str">
        <f>'MLK2-3'!BV31</f>
        <v>Anak 27 cukup baik  dalam mengenal, memahami dan mengidentifikasi macam-macam kalimat (order, request, and prengenal obyek-obyek wisata dan memahami penggunaan kalimat ungkapan terima kasih</v>
      </c>
      <c r="AH32" s="589">
        <f>'MLK3-3'!BP31</f>
        <v>75</v>
      </c>
      <c r="AI32" s="589" t="str">
        <f>'MLK3-3'!BQ31</f>
        <v>C</v>
      </c>
      <c r="AJ32" s="589" t="str">
        <f>'MLK3-3'!BV31</f>
        <v>Anak 27 cukup baik  dalam mengenal dan memahami penggunaan microsoft  word.</v>
      </c>
      <c r="AK32" s="471" t="s">
        <v>734</v>
      </c>
    </row>
    <row r="33" spans="1:37" ht="15.75">
      <c r="A33" s="191">
        <v>28</v>
      </c>
      <c r="B33" s="529">
        <f>SISWA!B33</f>
        <v>0</v>
      </c>
      <c r="C33" s="572" t="str">
        <f>SISWA!C33</f>
        <v>Anak 28</v>
      </c>
      <c r="D33" s="718">
        <f>'PAI3'!EX33</f>
        <v>99</v>
      </c>
      <c r="E33" s="718" t="str">
        <f>'PAI3'!EY33</f>
        <v>A</v>
      </c>
      <c r="F33" s="596" t="str">
        <f>'PAI3'!FD33</f>
        <v>Anak 28 sangat baik  dalam memahami Q.S. al- Falaq dan Q.S. al- Fil dengan baik dan benar</v>
      </c>
      <c r="G33" s="589">
        <f>'PKN3'!BI32</f>
        <v>79</v>
      </c>
      <c r="H33" s="589" t="str">
        <f>'PKN3'!BJ32</f>
        <v>C</v>
      </c>
      <c r="I33" s="589" t="str">
        <f>'PKN3'!BO32</f>
        <v>Anak 28 baik  dalam mengidentifikasi berbagai bentuk keragaman suku bangsa, sosial, dan budaya di Indonesia yang terikat persatuan dan kesatuan., dan  cukup baik  dalam menjelaskan manfaat keberagaman karakteristik individu dalam kehidupan sehari-hari.</v>
      </c>
      <c r="J33" s="589">
        <f>BIND3!BT32</f>
        <v>99</v>
      </c>
      <c r="K33" s="589" t="str">
        <f>BIND3!BU32</f>
        <v>A</v>
      </c>
      <c r="L33" s="589" t="str">
        <f>BIND3!BZ32</f>
        <v>Anak 28 sangat baik  dalam menggali isi dan amanat puisi yang disajikan secara lisan dan tulis dengan tujuan untuk kesenangan.</v>
      </c>
      <c r="M33" s="589">
        <f>'MTK3'!CC32</f>
        <v>91</v>
      </c>
      <c r="N33" s="589" t="str">
        <f>'MTK3'!CD32</f>
        <v>A</v>
      </c>
      <c r="O33" s="589" t="str">
        <f>'MTK3'!CI32</f>
        <v>Anak 28 sangat baik  dalam menjelaskan pecahan-pecahan senilai dengan gambar dan model konkret, dan  cukup baik  dalam menjelaskan berbagai bentuk pecahan (biasa, campuran, desimal, dan persen) dan hubungan di antaranya</v>
      </c>
      <c r="P33" s="589">
        <f>'IPA3'!BM32</f>
        <v>99</v>
      </c>
      <c r="Q33" s="589" t="str">
        <f>'IPA3'!BN32</f>
        <v>A</v>
      </c>
      <c r="R33" s="589" t="str">
        <f>'IPA3'!BS32</f>
        <v>Anak 28 sangat baik  dalam membandingkan siklus hidup beberapa jenis makhluk hidup serta mengaitkan dengan upaya pelestariannya.</v>
      </c>
      <c r="S33" s="589">
        <f>'IPS3'!BM32</f>
        <v>99</v>
      </c>
      <c r="T33" s="589" t="str">
        <f>'IPS3'!BN32</f>
        <v>A</v>
      </c>
      <c r="U33" s="589" t="str">
        <f>'IPS3'!BS32</f>
        <v>Anak 28 sangat baik  dalam mengidentifikasi karakteristik ruang dan pemanfaatan sumberdaya alam untuk kesejahteraan masyarakat dari tingkatkota/kabupaten sampai tingkat provinsi.</v>
      </c>
      <c r="V33" s="589">
        <f>SBDP3!BM32</f>
        <v>99</v>
      </c>
      <c r="W33" s="589" t="str">
        <f>SBDP3!BN32</f>
        <v>A</v>
      </c>
      <c r="X33" s="589" t="str">
        <f>SBDP3!BS32</f>
        <v>Anak 28 sangat baik  dalam mengetahui tanda tempo dan tinggi rendah nada.</v>
      </c>
      <c r="Y33" s="589">
        <f>PJOK3!BM32</f>
        <v>79</v>
      </c>
      <c r="Z33" s="589" t="str">
        <f>PJOK3!BN32</f>
        <v>C</v>
      </c>
      <c r="AA33" s="589" t="str">
        <f>PJOK3!BS32</f>
        <v>Anak 28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33" s="589">
        <f>'MLK1-3'!BT32</f>
        <v>79</v>
      </c>
      <c r="AC33" s="589" t="str">
        <f>'MLK1-3'!BU32</f>
        <v>C</v>
      </c>
      <c r="AD33" s="589" t="str">
        <f>'MLK1-3'!BZ32</f>
        <v>Anak 28 baik  dalam mengenal dan memahami sandhangan aksara Jawa., dan  cukup baik  dalam mengenal dan memahmi teks tembang dolanan</v>
      </c>
      <c r="AE33" s="589">
        <f>'MLK2-3'!BP32</f>
        <v>79</v>
      </c>
      <c r="AF33" s="589" t="str">
        <f>'MLK2-3'!BQ32</f>
        <v>C</v>
      </c>
      <c r="AG33" s="589" t="str">
        <f>'MLK2-3'!BV32</f>
        <v>Anak 28 baik  dalam memahami penggunaan kalimat yang menunjukkan letak suatu tempat, dan  cukup baik  dalam mengenal, memahami dan mengidentifikasi macam-macam kalimat (order, request, and prengenal obyek-obyek wisata dan memahami penggunaan kalimat ungkapan terima kasih</v>
      </c>
      <c r="AH33" s="589">
        <f>'MLK3-3'!BP32</f>
        <v>79</v>
      </c>
      <c r="AI33" s="589" t="str">
        <f>'MLK3-3'!BQ32</f>
        <v>C</v>
      </c>
      <c r="AJ33" s="589" t="str">
        <f>'MLK3-3'!BV32</f>
        <v>Anak 28 baik  dalam memahami pembuatan dokumen di microsoft  word, dan  cukup baik  dalam mengenal dan memahami penggunaan microsoft  word.</v>
      </c>
      <c r="AK33" s="471" t="s">
        <v>734</v>
      </c>
    </row>
    <row r="34" spans="1:37" ht="15.75">
      <c r="A34" s="191">
        <v>29</v>
      </c>
      <c r="B34" s="529">
        <f>SISWA!B34</f>
        <v>0</v>
      </c>
      <c r="C34" s="572" t="str">
        <f>SISWA!C34</f>
        <v>Anak 29</v>
      </c>
      <c r="D34" s="718">
        <f>'PAI3'!EX34</f>
        <v>99</v>
      </c>
      <c r="E34" s="718" t="str">
        <f>'PAI3'!EY34</f>
        <v>A</v>
      </c>
      <c r="F34" s="596" t="str">
        <f>'PAI3'!FD34</f>
        <v>Anak 29 sangat baik  dalam memahami Q.S. al- Falaq dan Q.S. al- Fil dengan baik dan benar</v>
      </c>
      <c r="G34" s="589">
        <f>'PKN3'!BI33</f>
        <v>76</v>
      </c>
      <c r="H34" s="589" t="str">
        <f>'PKN3'!BJ33</f>
        <v>C</v>
      </c>
      <c r="I34" s="589" t="str">
        <f>'PKN3'!BO33</f>
        <v>Anak 29 baik  dalam menjelaskan manfaat keberagaman karakteristik individu dalam kehidupan sehari-hari., dan  perlu bimbingan  dalam mengidentifikasi berbagai bentuk keragaman suku bangsa, sosial, dan budaya di Indonesia yang terikat persatuan dan kesatuan.</v>
      </c>
      <c r="J34" s="589">
        <f>BIND3!BT33</f>
        <v>99</v>
      </c>
      <c r="K34" s="589" t="str">
        <f>BIND3!BU33</f>
        <v>A</v>
      </c>
      <c r="L34" s="589" t="str">
        <f>BIND3!BZ33</f>
        <v>Anak 29 sangat baik  dalam menggali isi dan amanat puisi yang disajikan secara lisan dan tulis dengan tujuan untuk kesenangan.</v>
      </c>
      <c r="M34" s="589">
        <f>'MTK3'!CC33</f>
        <v>94</v>
      </c>
      <c r="N34" s="589" t="str">
        <f>'MTK3'!CD33</f>
        <v>A</v>
      </c>
      <c r="O34" s="589" t="str">
        <f>'MTK3'!CI33</f>
        <v>Anak 29 sangat baik  dalam menjelaskan pecahan-pecahan senilai dengan gambar dan model konkret, dan  baik  dalam menjelaskan berbagai bentuk pecahan (biasa, campuran, desimal, dan persen) dan hubungan di antaranya</v>
      </c>
      <c r="P34" s="589">
        <f>'IPA3'!BM33</f>
        <v>99</v>
      </c>
      <c r="Q34" s="589" t="str">
        <f>'IPA3'!BN33</f>
        <v>A</v>
      </c>
      <c r="R34" s="589" t="str">
        <f>'IPA3'!BS33</f>
        <v>Anak 29 sangat baik  dalam membandingkan siklus hidup beberapa jenis makhluk hidup serta mengaitkan dengan upaya pelestariannya.</v>
      </c>
      <c r="S34" s="589">
        <f>'IPS3'!BM33</f>
        <v>99</v>
      </c>
      <c r="T34" s="589" t="str">
        <f>'IPS3'!BN33</f>
        <v>A</v>
      </c>
      <c r="U34" s="589" t="str">
        <f>'IPS3'!BS33</f>
        <v>Anak 29 sangat baik  dalam mengidentifikasi karakteristik ruang dan pemanfaatan sumberdaya alam untuk kesejahteraan masyarakat dari tingkatkota/kabupaten sampai tingkat provinsi.</v>
      </c>
      <c r="V34" s="589">
        <f>SBDP3!BM33</f>
        <v>99</v>
      </c>
      <c r="W34" s="589" t="str">
        <f>SBDP3!BN33</f>
        <v>A</v>
      </c>
      <c r="X34" s="589" t="str">
        <f>SBDP3!BS33</f>
        <v>Anak 29 sangat baik  dalam mengetahui tanda tempo dan tinggi rendah nada.</v>
      </c>
      <c r="Y34" s="589">
        <f>PJOK3!BM33</f>
        <v>76</v>
      </c>
      <c r="Z34" s="589" t="str">
        <f>PJOK3!BN33</f>
        <v>C</v>
      </c>
      <c r="AA34" s="589" t="str">
        <f>PJOK3!BS33</f>
        <v>Anak 29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AB34" s="589">
        <f>'MLK1-3'!BT33</f>
        <v>76</v>
      </c>
      <c r="AC34" s="589" t="str">
        <f>'MLK1-3'!BU33</f>
        <v>C</v>
      </c>
      <c r="AD34" s="589" t="str">
        <f>'MLK1-3'!BZ33</f>
        <v>Anak 29 baik  dalam mengenal dan memahmi teks tembang dolanan, dan  perlu bimbingan  dalam mengenal dan memahami sandhangan aksara Jawa.</v>
      </c>
      <c r="AE34" s="589">
        <f>'MLK2-3'!BP33</f>
        <v>76</v>
      </c>
      <c r="AF34" s="589" t="str">
        <f>'MLK2-3'!BQ33</f>
        <v>C</v>
      </c>
      <c r="AG34" s="589" t="str">
        <f>'MLK2-3'!BV33</f>
        <v>Anak 29 baik  dalam mengenal, memahami dan mengidentifikasi macam-macam kalimat (order, request, and prengenal obyek-obyek wisata dan memahami penggunaan kalimat ungkapan terima kasih, dan  perlu bimbingan  dalam memahami penggunaan kalimat yang menunjukkan letak suatu tempat</v>
      </c>
      <c r="AH34" s="589">
        <f>'MLK3-3'!BP33</f>
        <v>76</v>
      </c>
      <c r="AI34" s="589" t="str">
        <f>'MLK3-3'!BQ33</f>
        <v>C</v>
      </c>
      <c r="AJ34" s="589" t="str">
        <f>'MLK3-3'!BV33</f>
        <v>Anak 29 baik  dalam mengenal dan memahami penggunaan microsoft  word., dan  perlu bimbingan  dalam memahami pembuatan dokumen di microsoft  word</v>
      </c>
      <c r="AK34" s="471" t="s">
        <v>734</v>
      </c>
    </row>
    <row r="35" spans="1:37" ht="15.75">
      <c r="A35" s="191">
        <v>30</v>
      </c>
      <c r="B35" s="529">
        <f>SISWA!B35</f>
        <v>0</v>
      </c>
      <c r="C35" s="572" t="str">
        <f>SISWA!C35</f>
        <v>Anak 30</v>
      </c>
      <c r="D35" s="718">
        <f>'PAI3'!EX35</f>
        <v>99</v>
      </c>
      <c r="E35" s="718" t="str">
        <f>'PAI3'!EY35</f>
        <v>A</v>
      </c>
      <c r="F35" s="596" t="str">
        <f>'PAI3'!FD35</f>
        <v>Anak 30 sangat baik  dalam memahami Q.S. al- Falaq dan Q.S. al- Fil dengan baik dan benar</v>
      </c>
      <c r="G35" s="589">
        <f>'PKN3'!BI34</f>
        <v>77</v>
      </c>
      <c r="H35" s="589" t="str">
        <f>'PKN3'!BJ34</f>
        <v>C</v>
      </c>
      <c r="I35" s="589" t="str">
        <f>'PKN3'!BO34</f>
        <v>Anak 30 baik  dalam menjelaskan manfaat keberagaman karakteristik individu dalam kehidupan sehari-hari., dan  perlu bimbingan  dalam mengidentifikasi berbagai bentuk keragaman suku bangsa, sosial, dan budaya di Indonesia yang terikat persatuan dan kesatuan.</v>
      </c>
      <c r="J35" s="589">
        <f>BIND3!BT34</f>
        <v>99</v>
      </c>
      <c r="K35" s="589" t="str">
        <f>BIND3!BU34</f>
        <v>A</v>
      </c>
      <c r="L35" s="589" t="str">
        <f>BIND3!BZ34</f>
        <v>Anak 30 sangat baik  dalam menggali isi dan amanat puisi yang disajikan secara lisan dan tulis dengan tujuan untuk kesenangan.</v>
      </c>
      <c r="M35" s="589">
        <f>'MTK3'!CC34</f>
        <v>94</v>
      </c>
      <c r="N35" s="589" t="str">
        <f>'MTK3'!CD34</f>
        <v>A</v>
      </c>
      <c r="O35" s="589" t="str">
        <f>'MTK3'!CI34</f>
        <v>Anak 30 sangat baik  dalam menjelaskan pecahan-pecahan senilai dengan gambar dan model konkret, dan  baik  dalam menjelaskan berbagai bentuk pecahan (biasa, campuran, desimal, dan persen) dan hubungan di antaranya</v>
      </c>
      <c r="P35" s="589">
        <f>'IPA3'!BM34</f>
        <v>99</v>
      </c>
      <c r="Q35" s="589" t="str">
        <f>'IPA3'!BN34</f>
        <v>A</v>
      </c>
      <c r="R35" s="589" t="str">
        <f>'IPA3'!BS34</f>
        <v>Anak 30 sangat baik  dalam membandingkan siklus hidup beberapa jenis makhluk hidup serta mengaitkan dengan upaya pelestariannya.</v>
      </c>
      <c r="S35" s="589">
        <f>'IPS3'!BM34</f>
        <v>99</v>
      </c>
      <c r="T35" s="589" t="str">
        <f>'IPS3'!BN34</f>
        <v>A</v>
      </c>
      <c r="U35" s="589" t="str">
        <f>'IPS3'!BS34</f>
        <v>Anak 30 sangat baik  dalam mengidentifikasi karakteristik ruang dan pemanfaatan sumberdaya alam untuk kesejahteraan masyarakat dari tingkatkota/kabupaten sampai tingkat provinsi.</v>
      </c>
      <c r="V35" s="589">
        <f>SBDP3!BM34</f>
        <v>99</v>
      </c>
      <c r="W35" s="589" t="str">
        <f>SBDP3!BN34</f>
        <v>A</v>
      </c>
      <c r="X35" s="589" t="str">
        <f>SBDP3!BS34</f>
        <v>Anak 30 sangat baik  dalam mengetahui tanda tempo dan tinggi rendah nada.</v>
      </c>
      <c r="Y35" s="589">
        <f>PJOK3!BM34</f>
        <v>77</v>
      </c>
      <c r="Z35" s="589" t="str">
        <f>PJOK3!BN34</f>
        <v>C</v>
      </c>
      <c r="AA35" s="589" t="str">
        <f>PJOK3!BS34</f>
        <v>Anak 30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AB35" s="589">
        <f>'MLK1-3'!BT34</f>
        <v>77</v>
      </c>
      <c r="AC35" s="589" t="str">
        <f>'MLK1-3'!BU34</f>
        <v>C</v>
      </c>
      <c r="AD35" s="589" t="str">
        <f>'MLK1-3'!BZ34</f>
        <v>Anak 30 baik  dalam mengenal dan memahmi teks tembang dolanan, dan  perlu bimbingan  dalam mengenal dan memahami sandhangan aksara Jawa.</v>
      </c>
      <c r="AE35" s="589">
        <f>'MLK2-3'!BP34</f>
        <v>77</v>
      </c>
      <c r="AF35" s="589" t="str">
        <f>'MLK2-3'!BQ34</f>
        <v>C</v>
      </c>
      <c r="AG35" s="589" t="str">
        <f>'MLK2-3'!BV34</f>
        <v>Anak 30 baik  dalam mengenal, memahami dan mengidentifikasi macam-macam kalimat (order, request, and prengenal obyek-obyek wisata dan memahami penggunaan kalimat ungkapan terima kasih, dan  perlu bimbingan  dalam memahami penggunaan kalimat yang menunjukkan letak suatu tempat</v>
      </c>
      <c r="AH35" s="589">
        <f>'MLK3-3'!BP34</f>
        <v>77</v>
      </c>
      <c r="AI35" s="589" t="str">
        <f>'MLK3-3'!BQ34</f>
        <v>C</v>
      </c>
      <c r="AJ35" s="589" t="str">
        <f>'MLK3-3'!BV34</f>
        <v>Anak 30 baik  dalam mengenal dan memahami penggunaan microsoft  word., dan  perlu bimbingan  dalam memahami pembuatan dokumen di microsoft  word</v>
      </c>
      <c r="AK35" s="471" t="s">
        <v>734</v>
      </c>
    </row>
    <row r="36" spans="1:37" ht="15.75">
      <c r="A36" s="191">
        <v>31</v>
      </c>
      <c r="B36" s="529">
        <f>SISWA!B36</f>
        <v>0</v>
      </c>
      <c r="C36" s="572" t="str">
        <f>SISWA!C36</f>
        <v>Anak 31</v>
      </c>
      <c r="D36" s="718">
        <f>'PAI3'!EX36</f>
        <v>99</v>
      </c>
      <c r="E36" s="718" t="str">
        <f>'PAI3'!EY36</f>
        <v>A</v>
      </c>
      <c r="F36" s="596" t="str">
        <f>'PAI3'!FD36</f>
        <v>Anak 31 sangat baik  dalam memahami Q.S. al- Falaq dan Q.S. al- Fil dengan baik dan benar</v>
      </c>
      <c r="G36" s="589">
        <f>'PKN3'!BI35</f>
        <v>75</v>
      </c>
      <c r="H36" s="589" t="str">
        <f>'PKN3'!BJ35</f>
        <v>C</v>
      </c>
      <c r="I36" s="589" t="str">
        <f>'PKN3'!BO35</f>
        <v>Anak 31 cukup baik  dalam mengidentifikasi berbagai bentuk keragaman suku bangsa, sosial, dan budaya di Indonesia yang terikat persatuan dan kesatuan., dan  cukup baik  dalam menjelaskan manfaat keberagaman karakteristik individu dalam kehidupan sehari-hari.</v>
      </c>
      <c r="J36" s="589">
        <f>BIND3!BT35</f>
        <v>99</v>
      </c>
      <c r="K36" s="589" t="str">
        <f>BIND3!BU35</f>
        <v>A</v>
      </c>
      <c r="L36" s="589" t="str">
        <f>BIND3!BZ35</f>
        <v>Anak 31 sangat baik  dalam menggali isi dan amanat puisi yang disajikan secara lisan dan tulis dengan tujuan untuk kesenangan.</v>
      </c>
      <c r="M36" s="589">
        <f>'MTK3'!CC35</f>
        <v>90</v>
      </c>
      <c r="N36" s="589" t="str">
        <f>'MTK3'!CD35</f>
        <v>B</v>
      </c>
      <c r="O36" s="589" t="str">
        <f>'MTK3'!CI35</f>
        <v>Anak 31 sangat baik  dalam menjelaskan pecahan-pecahan senilai dengan gambar dan model konkret, dan  cukup baik  dalam menjelaskan berbagai bentuk pecahan (biasa, campuran, desimal, dan persen) dan hubungan di antaranya</v>
      </c>
      <c r="P36" s="589">
        <f>'IPA3'!BM35</f>
        <v>99</v>
      </c>
      <c r="Q36" s="589" t="str">
        <f>'IPA3'!BN35</f>
        <v>A</v>
      </c>
      <c r="R36" s="589" t="str">
        <f>'IPA3'!BS35</f>
        <v>Anak 31 sangat baik  dalam membandingkan siklus hidup beberapa jenis makhluk hidup serta mengaitkan dengan upaya pelestariannya.</v>
      </c>
      <c r="S36" s="589">
        <f>'IPS3'!BM35</f>
        <v>99</v>
      </c>
      <c r="T36" s="589" t="str">
        <f>'IPS3'!BN35</f>
        <v>A</v>
      </c>
      <c r="U36" s="589" t="str">
        <f>'IPS3'!BS35</f>
        <v>Anak 31 sangat baik  dalam mengidentifikasi karakteristik ruang dan pemanfaatan sumberdaya alam untuk kesejahteraan masyarakat dari tingkatkota/kabupaten sampai tingkat provinsi.</v>
      </c>
      <c r="V36" s="589">
        <f>SBDP3!BM35</f>
        <v>99</v>
      </c>
      <c r="W36" s="589" t="str">
        <f>SBDP3!BN35</f>
        <v>A</v>
      </c>
      <c r="X36" s="589" t="str">
        <f>SBDP3!BS35</f>
        <v>Anak 31 sangat baik  dalam mengetahui tanda tempo dan tinggi rendah nada.</v>
      </c>
      <c r="Y36" s="589">
        <f>PJOK3!BM35</f>
        <v>75</v>
      </c>
      <c r="Z36" s="589" t="str">
        <f>PJOK3!BN35</f>
        <v>C</v>
      </c>
      <c r="AA36" s="589" t="str">
        <f>PJOK3!BS35</f>
        <v>Anak 31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36" s="589">
        <f>'MLK1-3'!BT35</f>
        <v>75</v>
      </c>
      <c r="AC36" s="589" t="str">
        <f>'MLK1-3'!BU35</f>
        <v>C</v>
      </c>
      <c r="AD36" s="589" t="str">
        <f>'MLK1-3'!BZ35</f>
        <v>Anak 31 cukup baik  dalam mengenal dan memahami sandhangan aksara Jawa., dan  cukup baik  dalam mengenal dan memahmi teks tembang dolanan</v>
      </c>
      <c r="AE36" s="589">
        <f>'MLK2-3'!BP35</f>
        <v>75</v>
      </c>
      <c r="AF36" s="589" t="str">
        <f>'MLK2-3'!BQ35</f>
        <v>C</v>
      </c>
      <c r="AG36" s="589" t="str">
        <f>'MLK2-3'!BV35</f>
        <v>Anak 31 cukup baik  dalam memahami penggunaan kalimat yang menunjukkan letak suatu tempat, dan  cukup baik  dalam mengenal, memahami dan mengidentifikasi macam-macam kalimat (order, request, and prengenal obyek-obyek wisata dan memahami penggunaan kalimat ungkapan terima kasih</v>
      </c>
      <c r="AH36" s="589">
        <f>'MLK3-3'!BP35</f>
        <v>75</v>
      </c>
      <c r="AI36" s="589" t="str">
        <f>'MLK3-3'!BQ35</f>
        <v>C</v>
      </c>
      <c r="AJ36" s="589" t="str">
        <f>'MLK3-3'!BV35</f>
        <v>Anak 31 cukup baik  dalam memahami pembuatan dokumen di microsoft  word, dan  cukup baik  dalam mengenal dan memahami penggunaan microsoft  word.</v>
      </c>
      <c r="AK36" s="471" t="s">
        <v>734</v>
      </c>
    </row>
    <row r="37" spans="1:37" ht="15.75">
      <c r="A37" s="191">
        <v>32</v>
      </c>
      <c r="B37" s="529">
        <f>SISWA!B37</f>
        <v>0</v>
      </c>
      <c r="C37" s="572" t="str">
        <f>SISWA!C37</f>
        <v>Anak 32</v>
      </c>
      <c r="D37" s="718">
        <f>'PAI3'!EX37</f>
        <v>99</v>
      </c>
      <c r="E37" s="718" t="str">
        <f>'PAI3'!EY37</f>
        <v>A</v>
      </c>
      <c r="F37" s="596" t="str">
        <f>'PAI3'!FD37</f>
        <v>Anak 32 sangat baik  dalam memahami Q.S. al- Falaq dan Q.S. al- Fil dengan baik dan benar</v>
      </c>
      <c r="G37" s="589">
        <f>'PKN3'!BI36</f>
        <v>76</v>
      </c>
      <c r="H37" s="589" t="str">
        <f>'PKN3'!BJ36</f>
        <v>C</v>
      </c>
      <c r="I37" s="589" t="str">
        <f>'PKN3'!BO36</f>
        <v>Anak 32 cukup baik  dalam menjelaskan manfaat keberagaman karakteristik individu dalam kehidupan sehari-hari., dan  cukup baik  dalam mengidentifikasi berbagai bentuk keragaman suku bangsa, sosial, dan budaya di Indonesia yang terikat persatuan dan kesatuan.</v>
      </c>
      <c r="J37" s="589">
        <f>BIND3!BT36</f>
        <v>99</v>
      </c>
      <c r="K37" s="589" t="str">
        <f>BIND3!BU36</f>
        <v>A</v>
      </c>
      <c r="L37" s="589" t="str">
        <f>BIND3!BZ36</f>
        <v>Anak 32 sangat baik  dalam menggali isi dan amanat puisi yang disajikan secara lisan dan tulis dengan tujuan untuk kesenangan.</v>
      </c>
      <c r="M37" s="589">
        <f>'MTK3'!CC36</f>
        <v>93</v>
      </c>
      <c r="N37" s="589" t="str">
        <f>'MTK3'!CD36</f>
        <v>A</v>
      </c>
      <c r="O37" s="589" t="str">
        <f>'MTK3'!CI36</f>
        <v>Anak 32 sangat baik  dalam menjelaskan pecahan-pecahan senilai dengan gambar dan model konkret, dan  cukup baik  dalam menjelaskan berbagai bentuk pecahan (biasa, campuran, desimal, dan persen) dan hubungan di antaranya</v>
      </c>
      <c r="P37" s="589">
        <f>'IPA3'!BM36</f>
        <v>99</v>
      </c>
      <c r="Q37" s="589" t="str">
        <f>'IPA3'!BN36</f>
        <v>A</v>
      </c>
      <c r="R37" s="589" t="str">
        <f>'IPA3'!BS36</f>
        <v>Anak 32 sangat baik  dalam membandingkan siklus hidup beberapa jenis makhluk hidup serta mengaitkan dengan upaya pelestariannya.</v>
      </c>
      <c r="S37" s="589">
        <f>'IPS3'!BM36</f>
        <v>99</v>
      </c>
      <c r="T37" s="589" t="str">
        <f>'IPS3'!BN36</f>
        <v>A</v>
      </c>
      <c r="U37" s="589" t="str">
        <f>'IPS3'!BS36</f>
        <v>Anak 32 sangat baik  dalam mengidentifikasi karakteristik ruang dan pemanfaatan sumberdaya alam untuk kesejahteraan masyarakat dari tingkatkota/kabupaten sampai tingkat provinsi.</v>
      </c>
      <c r="V37" s="589">
        <f>SBDP3!BM36</f>
        <v>99</v>
      </c>
      <c r="W37" s="589" t="str">
        <f>SBDP3!BN36</f>
        <v>A</v>
      </c>
      <c r="X37" s="589" t="str">
        <f>SBDP3!BS36</f>
        <v>Anak 32 sangat baik  dalam mengetahui tanda tempo dan tinggi rendah nada.</v>
      </c>
      <c r="Y37" s="589">
        <f>PJOK3!BM36</f>
        <v>76</v>
      </c>
      <c r="Z37" s="589" t="str">
        <f>PJOK3!BN36</f>
        <v>C</v>
      </c>
      <c r="AA37" s="589" t="str">
        <f>PJOK3!BS36</f>
        <v>Anak 32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37" s="589">
        <f>'MLK1-3'!BT36</f>
        <v>76</v>
      </c>
      <c r="AC37" s="589" t="str">
        <f>'MLK1-3'!BU36</f>
        <v>C</v>
      </c>
      <c r="AD37" s="589" t="str">
        <f>'MLK1-3'!BZ36</f>
        <v>Anak 32 cukup baik  dalam mengenal dan memahmi teks tembang dolanan, dan  cukup baik  dalam mengenal dan memahami sandhangan aksara Jawa.</v>
      </c>
      <c r="AE37" s="589">
        <f>'MLK2-3'!BP36</f>
        <v>76</v>
      </c>
      <c r="AF37" s="589" t="str">
        <f>'MLK2-3'!BQ36</f>
        <v>C</v>
      </c>
      <c r="AG37" s="589" t="str">
        <f>'MLK2-3'!BV36</f>
        <v>Anak 32 cukup baik  dalam mengenal, memahami dan mengidentifikasi macam-macam kalimat (order, request, and prengenal obyek-obyek wisata dan memahami penggunaan kalimat ungkapan terima kasih, dan  cukup baik  dalam memahami penggunaan kalimat yang menunjukkan letak suatu tempat</v>
      </c>
      <c r="AH37" s="589">
        <f>'MLK3-3'!BP36</f>
        <v>76</v>
      </c>
      <c r="AI37" s="589" t="str">
        <f>'MLK3-3'!BQ36</f>
        <v>C</v>
      </c>
      <c r="AJ37" s="589" t="str">
        <f>'MLK3-3'!BV36</f>
        <v>Anak 32 cukup baik  dalam mengenal dan memahami penggunaan microsoft  word., dan  cukup baik  dalam memahami pembuatan dokumen di microsoft  word</v>
      </c>
      <c r="AK37" s="471" t="s">
        <v>734</v>
      </c>
    </row>
    <row r="38" spans="1:37" ht="15.75">
      <c r="A38" s="191">
        <v>33</v>
      </c>
      <c r="B38" s="529">
        <f>SISWA!B38</f>
        <v>0</v>
      </c>
      <c r="C38" s="572" t="str">
        <f>SISWA!C38</f>
        <v>Anak 33</v>
      </c>
      <c r="D38" s="718">
        <f>'PAI3'!EX38</f>
        <v>88</v>
      </c>
      <c r="E38" s="718" t="str">
        <f>'PAI3'!EY38</f>
        <v>B</v>
      </c>
      <c r="F38" s="596" t="str">
        <f>'PAI3'!FD38</f>
        <v>Anak 33 sangat baik  dalam memahami Q.S. al- Falaq dan Q.S. al- Fil dengan baik dan benar, dan  cukup baik  dalam memahami makna iman kepada malaikat-malaikat Allah berdasar kan pengamatan terha dap dirinya dan alam sekitar</v>
      </c>
      <c r="G38" s="589">
        <f>'PKN3'!BI37</f>
        <v>78</v>
      </c>
      <c r="H38" s="589" t="str">
        <f>'PKN3'!BJ37</f>
        <v>C</v>
      </c>
      <c r="I38" s="589" t="str">
        <f>'PKN3'!BO37</f>
        <v>Anak 33 cukup baik  dalam menjelaskan manfaat keberagaman karakteristik individu dalam kehidupan sehari-hari., dan  cukup baik  dalam mengidentifikasi berbagai bentuk keragaman suku bangsa, sosial, dan budaya di Indonesia yang terikat persatuan dan kesatuan.</v>
      </c>
      <c r="J38" s="589">
        <f>BIND3!BT37</f>
        <v>99</v>
      </c>
      <c r="K38" s="589" t="str">
        <f>BIND3!BU37</f>
        <v>A</v>
      </c>
      <c r="L38" s="589" t="str">
        <f>BIND3!BZ37</f>
        <v>Anak 33 sangat baik  dalam menggali isi dan amanat puisi yang disajikan secara lisan dan tulis dengan tujuan untuk kesenangan.</v>
      </c>
      <c r="M38" s="589">
        <f>'MTK3'!CC37</f>
        <v>93</v>
      </c>
      <c r="N38" s="589" t="str">
        <f>'MTK3'!CD37</f>
        <v>A</v>
      </c>
      <c r="O38" s="589" t="str">
        <f>'MTK3'!CI37</f>
        <v>Anak 33 sangat baik  dalam menjelaskan pecahan-pecahan senilai dengan gambar dan model konkret, dan  cukup baik  dalam menjelaskan berbagai bentuk pecahan (biasa, campuran, desimal, dan persen) dan hubungan di antaranya</v>
      </c>
      <c r="P38" s="589">
        <f>'IPA3'!BM37</f>
        <v>99</v>
      </c>
      <c r="Q38" s="589" t="str">
        <f>'IPA3'!BN37</f>
        <v>A</v>
      </c>
      <c r="R38" s="589" t="str">
        <f>'IPA3'!BS37</f>
        <v>Anak 33 sangat baik  dalam membandingkan siklus hidup beberapa jenis makhluk hidup serta mengaitkan dengan upaya pelestariannya.</v>
      </c>
      <c r="S38" s="589">
        <f>'IPS3'!BM37</f>
        <v>99</v>
      </c>
      <c r="T38" s="589" t="str">
        <f>'IPS3'!BN37</f>
        <v>A</v>
      </c>
      <c r="U38" s="589" t="str">
        <f>'IPS3'!BS37</f>
        <v>Anak 33 sangat baik  dalam mengidentifikasi karakteristik ruang dan pemanfaatan sumberdaya alam untuk kesejahteraan masyarakat dari tingkatkota/kabupaten sampai tingkat provinsi.</v>
      </c>
      <c r="V38" s="589">
        <f>SBDP3!BM37</f>
        <v>99</v>
      </c>
      <c r="W38" s="589" t="str">
        <f>SBDP3!BN37</f>
        <v>A</v>
      </c>
      <c r="X38" s="589" t="str">
        <f>SBDP3!BS37</f>
        <v>Anak 33 sangat baik  dalam mengetahui tanda tempo dan tinggi rendah nada.</v>
      </c>
      <c r="Y38" s="589">
        <f>PJOK3!BM37</f>
        <v>78</v>
      </c>
      <c r="Z38" s="589" t="str">
        <f>PJOK3!BN37</f>
        <v>C</v>
      </c>
      <c r="AA38" s="589" t="str">
        <f>PJOK3!BS37</f>
        <v>Anak 33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38" s="589">
        <f>'MLK1-3'!BT37</f>
        <v>78</v>
      </c>
      <c r="AC38" s="589" t="str">
        <f>'MLK1-3'!BU37</f>
        <v>C</v>
      </c>
      <c r="AD38" s="589" t="str">
        <f>'MLK1-3'!BZ37</f>
        <v>Anak 33 cukup baik  dalam mengenal dan memahmi teks tembang dolanan, dan  cukup baik  dalam mengenal dan memahami sandhangan aksara Jawa.</v>
      </c>
      <c r="AE38" s="589">
        <f>'MLK2-3'!BP37</f>
        <v>78</v>
      </c>
      <c r="AF38" s="589" t="str">
        <f>'MLK2-3'!BQ37</f>
        <v>C</v>
      </c>
      <c r="AG38" s="589" t="str">
        <f>'MLK2-3'!BV37</f>
        <v>Anak 33 cukup baik  dalam mengenal, memahami dan mengidentifikasi macam-macam kalimat (order, request, and prengenal obyek-obyek wisata dan memahami penggunaan kalimat ungkapan terima kasih, dan  cukup baik  dalam memahami penggunaan kalimat yang menunjukkan letak suatu tempat</v>
      </c>
      <c r="AH38" s="589">
        <f>'MLK3-3'!BP37</f>
        <v>78</v>
      </c>
      <c r="AI38" s="589" t="str">
        <f>'MLK3-3'!BQ37</f>
        <v>C</v>
      </c>
      <c r="AJ38" s="589" t="str">
        <f>'MLK3-3'!BV37</f>
        <v>Anak 33 cukup baik  dalam mengenal dan memahami penggunaan microsoft  word., dan  cukup baik  dalam memahami pembuatan dokumen di microsoft  word</v>
      </c>
      <c r="AK38" s="471" t="s">
        <v>734</v>
      </c>
    </row>
    <row r="39" spans="1:37" ht="15.75">
      <c r="A39" s="191">
        <v>34</v>
      </c>
      <c r="B39" s="529">
        <f>SISWA!B39</f>
        <v>0</v>
      </c>
      <c r="C39" s="572" t="str">
        <f>SISWA!C39</f>
        <v>Anak 34</v>
      </c>
      <c r="D39" s="718">
        <f>'PAI3'!EX39</f>
        <v>99</v>
      </c>
      <c r="E39" s="718" t="str">
        <f>'PAI3'!EY39</f>
        <v>A</v>
      </c>
      <c r="F39" s="596" t="str">
        <f>'PAI3'!FD39</f>
        <v>Anak 34 sangat baik  dalam memahami Q.S. al- Falaq dan Q.S. al- Fil dengan baik dan benar</v>
      </c>
      <c r="G39" s="589">
        <f>'PKN3'!BI38</f>
        <v>81</v>
      </c>
      <c r="H39" s="589" t="str">
        <f>'PKN3'!BJ38</f>
        <v>B</v>
      </c>
      <c r="I39" s="589" t="str">
        <f>'PKN3'!BO38</f>
        <v>Anak 34 baik  dalam mengidentifikasi berbagai bentuk keragaman suku bangsa, sosial, dan budaya di Indonesia yang terikat persatuan dan kesatuan., dan  cukup baik  dalam menjelaskan manfaat keberagaman karakteristik individu dalam kehidupan sehari-hari.</v>
      </c>
      <c r="J39" s="589">
        <f>BIND3!BT38</f>
        <v>99</v>
      </c>
      <c r="K39" s="589" t="str">
        <f>BIND3!BU38</f>
        <v>A</v>
      </c>
      <c r="L39" s="589" t="str">
        <f>BIND3!BZ38</f>
        <v>Anak 34 sangat baik  dalam menggali isi dan amanat puisi yang disajikan secara lisan dan tulis dengan tujuan untuk kesenangan.</v>
      </c>
      <c r="M39" s="589">
        <f>'MTK3'!CC38</f>
        <v>93</v>
      </c>
      <c r="N39" s="589" t="str">
        <f>'MTK3'!CD38</f>
        <v>A</v>
      </c>
      <c r="O39" s="589" t="str">
        <f>'MTK3'!CI38</f>
        <v>Anak 34 sangat baik  dalam menjelaskan pecahan-pecahan senilai dengan gambar dan model konkret, dan  cukup baik  dalam menjelaskan berbagai bentuk pecahan (biasa, campuran, desimal, dan persen) dan hubungan di antaranya</v>
      </c>
      <c r="P39" s="589">
        <f>'IPA3'!BM38</f>
        <v>99</v>
      </c>
      <c r="Q39" s="589" t="str">
        <f>'IPA3'!BN38</f>
        <v>A</v>
      </c>
      <c r="R39" s="589" t="str">
        <f>'IPA3'!BS38</f>
        <v>Anak 34 sangat baik  dalam membandingkan siklus hidup beberapa jenis makhluk hidup serta mengaitkan dengan upaya pelestariannya.</v>
      </c>
      <c r="S39" s="589">
        <f>'IPS3'!BM38</f>
        <v>99</v>
      </c>
      <c r="T39" s="589" t="str">
        <f>'IPS3'!BN38</f>
        <v>A</v>
      </c>
      <c r="U39" s="589" t="str">
        <f>'IPS3'!BS38</f>
        <v>Anak 34 sangat baik  dalam mengidentifikasi karakteristik ruang dan pemanfaatan sumberdaya alam untuk kesejahteraan masyarakat dari tingkatkota/kabupaten sampai tingkat provinsi.</v>
      </c>
      <c r="V39" s="589">
        <f>SBDP3!BM38</f>
        <v>99</v>
      </c>
      <c r="W39" s="589" t="str">
        <f>SBDP3!BN38</f>
        <v>A</v>
      </c>
      <c r="X39" s="589" t="str">
        <f>SBDP3!BS38</f>
        <v>Anak 34 sangat baik  dalam mengetahui tanda tempo dan tinggi rendah nada.</v>
      </c>
      <c r="Y39" s="589">
        <f>PJOK3!BM38</f>
        <v>81</v>
      </c>
      <c r="Z39" s="589" t="str">
        <f>PJOK3!BN38</f>
        <v>B</v>
      </c>
      <c r="AA39" s="589" t="str">
        <f>PJOK3!BS38</f>
        <v>Anak 34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39" s="589">
        <f>'MLK1-3'!BT38</f>
        <v>81</v>
      </c>
      <c r="AC39" s="589" t="str">
        <f>'MLK1-3'!BU38</f>
        <v>B</v>
      </c>
      <c r="AD39" s="589" t="str">
        <f>'MLK1-3'!BZ38</f>
        <v>Anak 34 baik  dalam mengenal dan memahami sandhangan aksara Jawa., dan  cukup baik  dalam mengenal dan memahmi teks tembang dolanan</v>
      </c>
      <c r="AE39" s="589">
        <f>'MLK2-3'!BP38</f>
        <v>81</v>
      </c>
      <c r="AF39" s="589" t="str">
        <f>'MLK2-3'!BQ38</f>
        <v>B</v>
      </c>
      <c r="AG39" s="589" t="str">
        <f>'MLK2-3'!BV38</f>
        <v>Anak 34 baik  dalam memahami penggunaan kalimat yang menunjukkan letak suatu tempat, dan  cukup baik  dalam mengenal, memahami dan mengidentifikasi macam-macam kalimat (order, request, and prengenal obyek-obyek wisata dan memahami penggunaan kalimat ungkapan terima kasih</v>
      </c>
      <c r="AH39" s="589">
        <f>'MLK3-3'!BP38</f>
        <v>81</v>
      </c>
      <c r="AI39" s="589" t="str">
        <f>'MLK3-3'!BQ38</f>
        <v>B</v>
      </c>
      <c r="AJ39" s="589" t="str">
        <f>'MLK3-3'!BV38</f>
        <v>Anak 34 baik  dalam memahami pembuatan dokumen di microsoft  word, dan  cukup baik  dalam mengenal dan memahami penggunaan microsoft  word.</v>
      </c>
      <c r="AK39" s="471" t="s">
        <v>734</v>
      </c>
    </row>
    <row r="40" spans="1:37" ht="15.75">
      <c r="A40" s="191">
        <v>35</v>
      </c>
      <c r="B40" s="529">
        <f>SISWA!B40</f>
        <v>0</v>
      </c>
      <c r="C40" s="572" t="str">
        <f>SISWA!C40</f>
        <v>Anak 35</v>
      </c>
      <c r="D40" s="718">
        <f>'PAI3'!EX40</f>
        <v>99</v>
      </c>
      <c r="E40" s="718" t="str">
        <f>'PAI3'!EY40</f>
        <v>A</v>
      </c>
      <c r="F40" s="596" t="str">
        <f>'PAI3'!FD40</f>
        <v>Anak 35 sangat baik  dalam memahami Q.S. al- Falaq dan Q.S. al- Fil dengan baik dan benar</v>
      </c>
      <c r="G40" s="589">
        <f>'PKN3'!BI39</f>
        <v>77</v>
      </c>
      <c r="H40" s="589" t="str">
        <f>'PKN3'!BJ39</f>
        <v>C</v>
      </c>
      <c r="I40" s="589" t="str">
        <f>'PKN3'!BO39</f>
        <v>Anak 35 cukup baik  dalam menjelaskan manfaat keberagaman karakteristik individu dalam kehidupan sehari-hari., dan  cukup baik  dalam mengidentifikasi berbagai bentuk keragaman suku bangsa, sosial, dan budaya di Indonesia yang terikat persatuan dan kesatuan.</v>
      </c>
      <c r="J40" s="589">
        <f>BIND3!BT39</f>
        <v>99</v>
      </c>
      <c r="K40" s="589" t="str">
        <f>BIND3!BU39</f>
        <v>A</v>
      </c>
      <c r="L40" s="589" t="str">
        <f>BIND3!BZ39</f>
        <v>Anak 35 sangat baik  dalam menggali isi dan amanat puisi yang disajikan secara lisan dan tulis dengan tujuan untuk kesenangan.</v>
      </c>
      <c r="M40" s="589">
        <f>'MTK3'!CC39</f>
        <v>93</v>
      </c>
      <c r="N40" s="589" t="str">
        <f>'MTK3'!CD39</f>
        <v>A</v>
      </c>
      <c r="O40" s="589" t="str">
        <f>'MTK3'!CI39</f>
        <v>Anak 35 sangat baik  dalam menjelaskan pecahan-pecahan senilai dengan gambar dan model konkret, dan  cukup baik  dalam menjelaskan berbagai bentuk pecahan (biasa, campuran, desimal, dan persen) dan hubungan di antaranya</v>
      </c>
      <c r="P40" s="589">
        <f>'IPA3'!BM39</f>
        <v>99</v>
      </c>
      <c r="Q40" s="589" t="str">
        <f>'IPA3'!BN39</f>
        <v>A</v>
      </c>
      <c r="R40" s="589" t="str">
        <f>'IPA3'!BS39</f>
        <v>Anak 35 sangat baik  dalam membandingkan siklus hidup beberapa jenis makhluk hidup serta mengaitkan dengan upaya pelestariannya.</v>
      </c>
      <c r="S40" s="589">
        <f>'IPS3'!BM39</f>
        <v>99</v>
      </c>
      <c r="T40" s="589" t="str">
        <f>'IPS3'!BN39</f>
        <v>A</v>
      </c>
      <c r="U40" s="589" t="str">
        <f>'IPS3'!BS39</f>
        <v>Anak 35 sangat baik  dalam mengidentifikasi karakteristik ruang dan pemanfaatan sumberdaya alam untuk kesejahteraan masyarakat dari tingkatkota/kabupaten sampai tingkat provinsi.</v>
      </c>
      <c r="V40" s="589">
        <f>SBDP3!BM39</f>
        <v>99</v>
      </c>
      <c r="W40" s="589" t="str">
        <f>SBDP3!BN39</f>
        <v>A</v>
      </c>
      <c r="X40" s="589" t="str">
        <f>SBDP3!BS39</f>
        <v>Anak 35 sangat baik  dalam mengetahui tanda tempo dan tinggi rendah nada.</v>
      </c>
      <c r="Y40" s="589">
        <f>PJOK3!BM39</f>
        <v>77</v>
      </c>
      <c r="Z40" s="589" t="str">
        <f>PJOK3!BN39</f>
        <v>C</v>
      </c>
      <c r="AA40" s="589" t="str">
        <f>PJOK3!BS39</f>
        <v>Anak 35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40" s="589">
        <f>'MLK1-3'!BT39</f>
        <v>77</v>
      </c>
      <c r="AC40" s="589" t="str">
        <f>'MLK1-3'!BU39</f>
        <v>C</v>
      </c>
      <c r="AD40" s="589" t="str">
        <f>'MLK1-3'!BZ39</f>
        <v>Anak 35 cukup baik  dalam mengenal dan memahmi teks tembang dolanan, dan  cukup baik  dalam mengenal dan memahami sandhangan aksara Jawa.</v>
      </c>
      <c r="AE40" s="589">
        <f>'MLK2-3'!BP39</f>
        <v>77</v>
      </c>
      <c r="AF40" s="589" t="str">
        <f>'MLK2-3'!BQ39</f>
        <v>C</v>
      </c>
      <c r="AG40" s="589" t="str">
        <f>'MLK2-3'!BV39</f>
        <v>Anak 35 cukup baik  dalam mengenal, memahami dan mengidentifikasi macam-macam kalimat (order, request, and prengenal obyek-obyek wisata dan memahami penggunaan kalimat ungkapan terima kasih, dan  cukup baik  dalam memahami penggunaan kalimat yang menunjukkan letak suatu tempat</v>
      </c>
      <c r="AH40" s="589">
        <f>'MLK3-3'!BP39</f>
        <v>77</v>
      </c>
      <c r="AI40" s="589" t="str">
        <f>'MLK3-3'!BQ39</f>
        <v>C</v>
      </c>
      <c r="AJ40" s="589" t="str">
        <f>'MLK3-3'!BV39</f>
        <v>Anak 35 cukup baik  dalam mengenal dan memahami penggunaan microsoft  word., dan  cukup baik  dalam memahami pembuatan dokumen di microsoft  word</v>
      </c>
      <c r="AK40" s="471" t="s">
        <v>734</v>
      </c>
    </row>
    <row r="41" spans="1:37" ht="15.75">
      <c r="A41" s="191">
        <v>36</v>
      </c>
      <c r="B41" s="529">
        <f>SISWA!B41</f>
        <v>0</v>
      </c>
      <c r="C41" s="572" t="str">
        <f>SISWA!C41</f>
        <v>Anak 36</v>
      </c>
      <c r="D41" s="718">
        <f>'PAI3'!EX41</f>
        <v>99</v>
      </c>
      <c r="E41" s="718" t="str">
        <f>'PAI3'!EY41</f>
        <v>A</v>
      </c>
      <c r="F41" s="596" t="str">
        <f>'PAI3'!FD41</f>
        <v>Anak 36 sangat baik  dalam memahami Q.S. al- Falaq dan Q.S. al- Fil dengan baik dan benar</v>
      </c>
      <c r="G41" s="589">
        <f>'PKN3'!BI40</f>
        <v>82</v>
      </c>
      <c r="H41" s="589" t="str">
        <f>'PKN3'!BJ40</f>
        <v>B</v>
      </c>
      <c r="I41" s="589" t="str">
        <f>'PKN3'!BO40</f>
        <v>Anak 36 baik  dalam menjelaskan manfaat keberagaman karakteristik individu dalam kehidupan sehari-hari., dan  cukup baik  dalam mengidentifikasi berbagai bentuk keragaman suku bangsa, sosial, dan budaya di Indonesia yang terikat persatuan dan kesatuan.</v>
      </c>
      <c r="J41" s="589">
        <f>BIND3!BT40</f>
        <v>99</v>
      </c>
      <c r="K41" s="589" t="str">
        <f>BIND3!BU40</f>
        <v>A</v>
      </c>
      <c r="L41" s="589" t="str">
        <f>BIND3!BZ40</f>
        <v>Anak 36 sangat baik  dalam menggali isi dan amanat puisi yang disajikan secara lisan dan tulis dengan tujuan untuk kesenangan.</v>
      </c>
      <c r="M41" s="589">
        <f>'MTK3'!CC40</f>
        <v>96</v>
      </c>
      <c r="N41" s="589" t="str">
        <f>'MTK3'!CD40</f>
        <v>A</v>
      </c>
      <c r="O41" s="589" t="str">
        <f>'MTK3'!CI40</f>
        <v>Anak 36 sangat baik  dalam menjelaskan pecahan-pecahan senilai dengan gambar dan model konkret, dan  baik  dalam menjelaskan berbagai bentuk pecahan (biasa, campuran, desimal, dan persen) dan hubungan di antaranya</v>
      </c>
      <c r="P41" s="589">
        <f>'IPA3'!BM40</f>
        <v>99</v>
      </c>
      <c r="Q41" s="589" t="str">
        <f>'IPA3'!BN40</f>
        <v>A</v>
      </c>
      <c r="R41" s="589" t="str">
        <f>'IPA3'!BS40</f>
        <v>Anak 36 sangat baik  dalam membandingkan siklus hidup beberapa jenis makhluk hidup serta mengaitkan dengan upaya pelestariannya.</v>
      </c>
      <c r="S41" s="589">
        <f>'IPS3'!BM40</f>
        <v>99</v>
      </c>
      <c r="T41" s="589" t="str">
        <f>'IPS3'!BN40</f>
        <v>A</v>
      </c>
      <c r="U41" s="589" t="str">
        <f>'IPS3'!BS40</f>
        <v>Anak 36 sangat baik  dalam mengidentifikasi karakteristik ruang dan pemanfaatan sumberdaya alam untuk kesejahteraan masyarakat dari tingkatkota/kabupaten sampai tingkat provinsi.</v>
      </c>
      <c r="V41" s="589">
        <f>SBDP3!BM40</f>
        <v>99</v>
      </c>
      <c r="W41" s="589" t="str">
        <f>SBDP3!BN40</f>
        <v>A</v>
      </c>
      <c r="X41" s="589" t="str">
        <f>SBDP3!BS40</f>
        <v>Anak 36 sangat baik  dalam mengetahui tanda tempo dan tinggi rendah nada.</v>
      </c>
      <c r="Y41" s="589">
        <f>PJOK3!BM40</f>
        <v>82</v>
      </c>
      <c r="Z41" s="589" t="str">
        <f>PJOK3!BN40</f>
        <v>B</v>
      </c>
      <c r="AA41" s="589" t="str">
        <f>PJOK3!BS40</f>
        <v>Anak 36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41" s="589">
        <f>'MLK1-3'!BT40</f>
        <v>82</v>
      </c>
      <c r="AC41" s="589" t="str">
        <f>'MLK1-3'!BU40</f>
        <v>B</v>
      </c>
      <c r="AD41" s="589" t="str">
        <f>'MLK1-3'!BZ40</f>
        <v>Anak 36 baik  dalam mengenal dan memahmi teks tembang dolanan, dan  cukup baik  dalam mengenal dan memahami sandhangan aksara Jawa.</v>
      </c>
      <c r="AE41" s="589">
        <f>'MLK2-3'!BP40</f>
        <v>82</v>
      </c>
      <c r="AF41" s="589" t="str">
        <f>'MLK2-3'!BQ40</f>
        <v>B</v>
      </c>
      <c r="AG41" s="589" t="str">
        <f>'MLK2-3'!BV40</f>
        <v>Anak 36 baik  dalam mengenal, memahami dan mengidentifikasi macam-macam kalimat (order, request, and prengenal obyek-obyek wisata dan memahami penggunaan kalimat ungkapan terima kasih, dan  cukup baik  dalam memahami penggunaan kalimat yang menunjukkan letak suatu tempat</v>
      </c>
      <c r="AH41" s="589">
        <f>'MLK3-3'!BP40</f>
        <v>82</v>
      </c>
      <c r="AI41" s="589" t="str">
        <f>'MLK3-3'!BQ40</f>
        <v>B</v>
      </c>
      <c r="AJ41" s="589" t="str">
        <f>'MLK3-3'!BV40</f>
        <v>Anak 36 baik  dalam mengenal dan memahami penggunaan microsoft  word., dan  cukup baik  dalam memahami pembuatan dokumen di microsoft  word</v>
      </c>
      <c r="AK41" s="471" t="s">
        <v>734</v>
      </c>
    </row>
    <row r="42" spans="1:37" ht="15.75">
      <c r="A42" s="191">
        <v>37</v>
      </c>
      <c r="B42" s="529">
        <f>SISWA!B42</f>
        <v>0</v>
      </c>
      <c r="C42" s="572" t="str">
        <f>SISWA!C42</f>
        <v>Anak 37</v>
      </c>
      <c r="D42" s="718">
        <f>'PAI3'!EX42</f>
        <v>99</v>
      </c>
      <c r="E42" s="718" t="str">
        <f>'PAI3'!EY42</f>
        <v>A</v>
      </c>
      <c r="F42" s="596" t="str">
        <f>'PAI3'!FD42</f>
        <v>Anak 37 sangat baik  dalam memahami Q.S. al- Falaq dan Q.S. al- Fil dengan baik dan benar</v>
      </c>
      <c r="G42" s="589">
        <f>'PKN3'!BI41</f>
        <v>81</v>
      </c>
      <c r="H42" s="589" t="str">
        <f>'PKN3'!BJ41</f>
        <v>B</v>
      </c>
      <c r="I42" s="589" t="str">
        <f>'PKN3'!BO41</f>
        <v>Anak 37 baik  dalam menjelaskan manfaat keberagaman karakteristik individu dalam kehidupan sehari-hari., dan  baik  dalam mengidentifikasi berbagai bentuk keragaman suku bangsa, sosial, dan budaya di Indonesia yang terikat persatuan dan kesatuan.</v>
      </c>
      <c r="J42" s="589">
        <f>BIND3!BT41</f>
        <v>99</v>
      </c>
      <c r="K42" s="589" t="str">
        <f>BIND3!BU41</f>
        <v>A</v>
      </c>
      <c r="L42" s="589" t="str">
        <f>BIND3!BZ41</f>
        <v>Anak 37 sangat baik  dalam menggali isi dan amanat puisi yang disajikan secara lisan dan tulis dengan tujuan untuk kesenangan.</v>
      </c>
      <c r="M42" s="589">
        <f>'MTK3'!CC41</f>
        <v>93</v>
      </c>
      <c r="N42" s="589" t="str">
        <f>'MTK3'!CD41</f>
        <v>A</v>
      </c>
      <c r="O42" s="589" t="str">
        <f>'MTK3'!CI41</f>
        <v>Anak 37 sangat baik  dalam menjelaskan pecahan-pecahan senilai dengan gambar dan model konkret, dan  baik  dalam menjelaskan berbagai bentuk pecahan (biasa, campuran, desimal, dan persen) dan hubungan di antaranya</v>
      </c>
      <c r="P42" s="589">
        <f>'IPA3'!BM41</f>
        <v>99</v>
      </c>
      <c r="Q42" s="589" t="str">
        <f>'IPA3'!BN41</f>
        <v>A</v>
      </c>
      <c r="R42" s="589" t="str">
        <f>'IPA3'!BS41</f>
        <v>Anak 37 sangat baik  dalam membandingkan siklus hidup beberapa jenis makhluk hidup serta mengaitkan dengan upaya pelestariannya.</v>
      </c>
      <c r="S42" s="589">
        <f>'IPS3'!BM41</f>
        <v>99</v>
      </c>
      <c r="T42" s="589" t="str">
        <f>'IPS3'!BN41</f>
        <v>A</v>
      </c>
      <c r="U42" s="589" t="str">
        <f>'IPS3'!BS41</f>
        <v>Anak 37 sangat baik  dalam mengidentifikasi karakteristik ruang dan pemanfaatan sumberdaya alam untuk kesejahteraan masyarakat dari tingkatkota/kabupaten sampai tingkat provinsi.</v>
      </c>
      <c r="V42" s="589">
        <f>SBDP3!BM41</f>
        <v>99</v>
      </c>
      <c r="W42" s="589" t="str">
        <f>SBDP3!BN41</f>
        <v>A</v>
      </c>
      <c r="X42" s="589" t="str">
        <f>SBDP3!BS41</f>
        <v>Anak 37 sangat baik  dalam mengetahui tanda tempo dan tinggi rendah nada.</v>
      </c>
      <c r="Y42" s="589">
        <f>PJOK3!BM41</f>
        <v>81</v>
      </c>
      <c r="Z42" s="589" t="str">
        <f>PJOK3!BN41</f>
        <v>B</v>
      </c>
      <c r="AA42" s="589" t="str">
        <f>PJOK3!BS41</f>
        <v>Anak 37 baik  dalam memahami konsep variasi dan kombinasi pola gerak dasar lokomotorr dan nonlokomotor untuk membentuk gerakan dasar atletik jalan cepat dan lari melalui permainan dan atau olahraga tradisional, dan  baik  dalam memahami konsep variasi dan kombinasi gerak dasar lokomotor,non lokomotor, dan manipulative dalam berbagai permainan dan atau olahraga tradisional bola kecii.</v>
      </c>
      <c r="AB42" s="589">
        <f>'MLK1-3'!BT41</f>
        <v>81</v>
      </c>
      <c r="AC42" s="589" t="str">
        <f>'MLK1-3'!BU41</f>
        <v>B</v>
      </c>
      <c r="AD42" s="589" t="str">
        <f>'MLK1-3'!BZ41</f>
        <v>Anak 37 baik  dalam mengenal dan memahmi teks tembang dolanan, dan  baik  dalam mengenal dan memahami sandhangan aksara Jawa.</v>
      </c>
      <c r="AE42" s="589">
        <f>'MLK2-3'!BP41</f>
        <v>81</v>
      </c>
      <c r="AF42" s="589" t="str">
        <f>'MLK2-3'!BQ41</f>
        <v>B</v>
      </c>
      <c r="AG42" s="589" t="str">
        <f>'MLK2-3'!BV41</f>
        <v>Anak 37 baik  dalam mengenal, memahami dan mengidentifikasi macam-macam kalimat (order, request, and prengenal obyek-obyek wisata dan memahami penggunaan kalimat ungkapan terima kasih, dan  baik  dalam memahami penggunaan kalimat yang menunjukkan letak suatu tempat</v>
      </c>
      <c r="AH42" s="589">
        <f>'MLK3-3'!BP41</f>
        <v>81</v>
      </c>
      <c r="AI42" s="589" t="str">
        <f>'MLK3-3'!BQ41</f>
        <v>B</v>
      </c>
      <c r="AJ42" s="589" t="str">
        <f>'MLK3-3'!BV41</f>
        <v>Anak 37 baik  dalam mengenal dan memahami penggunaan microsoft  word., dan  baik  dalam memahami pembuatan dokumen di microsoft  word</v>
      </c>
      <c r="AK42" s="471" t="s">
        <v>734</v>
      </c>
    </row>
    <row r="43" spans="1:37" ht="15.75">
      <c r="A43" s="191">
        <v>38</v>
      </c>
      <c r="B43" s="529">
        <f>SISWA!B43</f>
        <v>0</v>
      </c>
      <c r="C43" s="572" t="str">
        <f>SISWA!C43</f>
        <v>Anak 38</v>
      </c>
      <c r="D43" s="718">
        <f>'PAI3'!EX43</f>
        <v>99</v>
      </c>
      <c r="E43" s="718" t="str">
        <f>'PAI3'!EY43</f>
        <v>A</v>
      </c>
      <c r="F43" s="596" t="str">
        <f>'PAI3'!FD43</f>
        <v>Anak 38 sangat baik  dalam memahami Q.S. al- Falaq dan Q.S. al- Fil dengan baik dan benar</v>
      </c>
      <c r="G43" s="589">
        <f>'PKN3'!BI42</f>
        <v>82</v>
      </c>
      <c r="H43" s="589" t="str">
        <f>'PKN3'!BJ42</f>
        <v>B</v>
      </c>
      <c r="I43" s="589" t="str">
        <f>'PKN3'!BO42</f>
        <v>Anak 38 baik  dalam mengidentifikasi berbagai bentuk keragaman suku bangsa, sosial, dan budaya di Indonesia yang terikat persatuan dan kesatuan., dan  cukup baik  dalam menjelaskan manfaat keberagaman karakteristik individu dalam kehidupan sehari-hari.</v>
      </c>
      <c r="J43" s="589">
        <f>BIND3!BT42</f>
        <v>99</v>
      </c>
      <c r="K43" s="589" t="str">
        <f>BIND3!BU42</f>
        <v>A</v>
      </c>
      <c r="L43" s="589" t="str">
        <f>BIND3!BZ42</f>
        <v>Anak 38 sangat baik  dalam menggali isi dan amanat puisi yang disajikan secara lisan dan tulis dengan tujuan untuk kesenangan.</v>
      </c>
      <c r="M43" s="589">
        <f>'MTK3'!CC42</f>
        <v>92</v>
      </c>
      <c r="N43" s="589" t="str">
        <f>'MTK3'!CD42</f>
        <v>A</v>
      </c>
      <c r="O43" s="589" t="str">
        <f>'MTK3'!CI42</f>
        <v>Anak 38 sangat baik  dalam menjelaskan pecahan-pecahan senilai dengan gambar dan model konkret, dan  cukup baik  dalam menjelaskan berbagai bentuk pecahan (biasa, campuran, desimal, dan persen) dan hubungan di antaranya</v>
      </c>
      <c r="P43" s="589">
        <f>'IPA3'!BM42</f>
        <v>99</v>
      </c>
      <c r="Q43" s="589" t="str">
        <f>'IPA3'!BN42</f>
        <v>A</v>
      </c>
      <c r="R43" s="589" t="str">
        <f>'IPA3'!BS42</f>
        <v>Anak 38 sangat baik  dalam membandingkan siklus hidup beberapa jenis makhluk hidup serta mengaitkan dengan upaya pelestariannya.</v>
      </c>
      <c r="S43" s="589">
        <f>'IPS3'!BM42</f>
        <v>99</v>
      </c>
      <c r="T43" s="589" t="str">
        <f>'IPS3'!BN42</f>
        <v>A</v>
      </c>
      <c r="U43" s="589" t="str">
        <f>'IPS3'!BS42</f>
        <v>Anak 38 sangat baik  dalam mengidentifikasi karakteristik ruang dan pemanfaatan sumberdaya alam untuk kesejahteraan masyarakat dari tingkatkota/kabupaten sampai tingkat provinsi.</v>
      </c>
      <c r="V43" s="589">
        <f>SBDP3!BM42</f>
        <v>99</v>
      </c>
      <c r="W43" s="589" t="str">
        <f>SBDP3!BN42</f>
        <v>A</v>
      </c>
      <c r="X43" s="589" t="str">
        <f>SBDP3!BS42</f>
        <v>Anak 38 sangat baik  dalam mengetahui tanda tempo dan tinggi rendah nada.</v>
      </c>
      <c r="Y43" s="589">
        <f>PJOK3!BM42</f>
        <v>82</v>
      </c>
      <c r="Z43" s="589" t="str">
        <f>PJOK3!BN42</f>
        <v>B</v>
      </c>
      <c r="AA43" s="589" t="str">
        <f>PJOK3!BS42</f>
        <v>Anak 38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43" s="589">
        <f>'MLK1-3'!BT42</f>
        <v>82</v>
      </c>
      <c r="AC43" s="589" t="str">
        <f>'MLK1-3'!BU42</f>
        <v>B</v>
      </c>
      <c r="AD43" s="589" t="str">
        <f>'MLK1-3'!BZ42</f>
        <v>Anak 38 baik  dalam mengenal dan memahami sandhangan aksara Jawa., dan  cukup baik  dalam mengenal dan memahmi teks tembang dolanan</v>
      </c>
      <c r="AE43" s="589">
        <f>'MLK2-3'!BP42</f>
        <v>82</v>
      </c>
      <c r="AF43" s="589" t="str">
        <f>'MLK2-3'!BQ42</f>
        <v>B</v>
      </c>
      <c r="AG43" s="589" t="str">
        <f>'MLK2-3'!BV42</f>
        <v>Anak 38 baik  dalam memahami penggunaan kalimat yang menunjukkan letak suatu tempat, dan  cukup baik  dalam mengenal, memahami dan mengidentifikasi macam-macam kalimat (order, request, and prengenal obyek-obyek wisata dan memahami penggunaan kalimat ungkapan terima kasih</v>
      </c>
      <c r="AH43" s="589">
        <f>'MLK3-3'!BP42</f>
        <v>82</v>
      </c>
      <c r="AI43" s="589" t="str">
        <f>'MLK3-3'!BQ42</f>
        <v>B</v>
      </c>
      <c r="AJ43" s="589" t="str">
        <f>'MLK3-3'!BV42</f>
        <v>Anak 38 baik  dalam memahami pembuatan dokumen di microsoft  word, dan  cukup baik  dalam mengenal dan memahami penggunaan microsoft  word.</v>
      </c>
      <c r="AK43" s="471" t="s">
        <v>734</v>
      </c>
    </row>
    <row r="44" spans="1:37" ht="15.75">
      <c r="A44" s="191">
        <v>39</v>
      </c>
      <c r="B44" s="529">
        <f>SISWA!B44</f>
        <v>0</v>
      </c>
      <c r="C44" s="572" t="str">
        <f>SISWA!C44</f>
        <v>Anak 39</v>
      </c>
      <c r="D44" s="718">
        <f>'PAI3'!EX44</f>
        <v>99</v>
      </c>
      <c r="E44" s="718" t="str">
        <f>'PAI3'!EY44</f>
        <v>A</v>
      </c>
      <c r="F44" s="596" t="str">
        <f>'PAI3'!FD44</f>
        <v>Anak 39 sangat baik  dalam memahami Q.S. al- Falaq dan Q.S. al- Fil dengan baik dan benar</v>
      </c>
      <c r="G44" s="589">
        <f>'PKN3'!BI43</f>
        <v>82</v>
      </c>
      <c r="H44" s="589" t="str">
        <f>'PKN3'!BJ43</f>
        <v>B</v>
      </c>
      <c r="I44" s="589" t="str">
        <f>'PKN3'!BO43</f>
        <v>Anak 39 baik  dalam menjelaskan manfaat keberagaman karakteristik individu dalam kehidupan sehari-hari., dan  cukup baik  dalam mengidentifikasi berbagai bentuk keragaman suku bangsa, sosial, dan budaya di Indonesia yang terikat persatuan dan kesatuan.</v>
      </c>
      <c r="J44" s="589">
        <f>BIND3!BT43</f>
        <v>99</v>
      </c>
      <c r="K44" s="589" t="str">
        <f>BIND3!BU43</f>
        <v>A</v>
      </c>
      <c r="L44" s="589" t="str">
        <f>BIND3!BZ43</f>
        <v>Anak 39 sangat baik  dalam menggali isi dan amanat puisi yang disajikan secara lisan dan tulis dengan tujuan untuk kesenangan.</v>
      </c>
      <c r="M44" s="589">
        <f>'MTK3'!CC43</f>
        <v>95</v>
      </c>
      <c r="N44" s="589" t="str">
        <f>'MTK3'!CD43</f>
        <v>A</v>
      </c>
      <c r="O44" s="589" t="str">
        <f>'MTK3'!CI43</f>
        <v>Anak 39 sangat baik  dalam menjelaskan pecahan-pecahan senilai dengan gambar dan model konkret, dan  baik  dalam menjelaskan berbagai bentuk pecahan (biasa, campuran, desimal, dan persen) dan hubungan di antaranya</v>
      </c>
      <c r="P44" s="589">
        <f>'IPA3'!BM43</f>
        <v>99</v>
      </c>
      <c r="Q44" s="589" t="str">
        <f>'IPA3'!BN43</f>
        <v>A</v>
      </c>
      <c r="R44" s="589" t="str">
        <f>'IPA3'!BS43</f>
        <v>Anak 39 sangat baik  dalam membandingkan siklus hidup beberapa jenis makhluk hidup serta mengaitkan dengan upaya pelestariannya.</v>
      </c>
      <c r="S44" s="589">
        <f>'IPS3'!BM43</f>
        <v>99</v>
      </c>
      <c r="T44" s="589" t="str">
        <f>'IPS3'!BN43</f>
        <v>A</v>
      </c>
      <c r="U44" s="589" t="str">
        <f>'IPS3'!BS43</f>
        <v>Anak 39 sangat baik  dalam mengidentifikasi karakteristik ruang dan pemanfaatan sumberdaya alam untuk kesejahteraan masyarakat dari tingkatkota/kabupaten sampai tingkat provinsi.</v>
      </c>
      <c r="V44" s="589">
        <f>SBDP3!BM43</f>
        <v>99</v>
      </c>
      <c r="W44" s="589" t="str">
        <f>SBDP3!BN43</f>
        <v>A</v>
      </c>
      <c r="X44" s="589" t="str">
        <f>SBDP3!BS43</f>
        <v>Anak 39 sangat baik  dalam mengetahui tanda tempo dan tinggi rendah nada.</v>
      </c>
      <c r="Y44" s="589">
        <f>PJOK3!BM43</f>
        <v>82</v>
      </c>
      <c r="Z44" s="589" t="str">
        <f>PJOK3!BN43</f>
        <v>B</v>
      </c>
      <c r="AA44" s="589" t="str">
        <f>PJOK3!BS43</f>
        <v>Anak 39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44" s="589">
        <f>'MLK1-3'!BT43</f>
        <v>82</v>
      </c>
      <c r="AC44" s="589" t="str">
        <f>'MLK1-3'!BU43</f>
        <v>B</v>
      </c>
      <c r="AD44" s="589" t="str">
        <f>'MLK1-3'!BZ43</f>
        <v>Anak 39 baik  dalam mengenal dan memahmi teks tembang dolanan, dan  cukup baik  dalam mengenal dan memahami sandhangan aksara Jawa.</v>
      </c>
      <c r="AE44" s="589">
        <f>'MLK2-3'!BP43</f>
        <v>82</v>
      </c>
      <c r="AF44" s="589" t="str">
        <f>'MLK2-3'!BQ43</f>
        <v>B</v>
      </c>
      <c r="AG44" s="589" t="str">
        <f>'MLK2-3'!BV43</f>
        <v>Anak 39 baik  dalam mengenal, memahami dan mengidentifikasi macam-macam kalimat (order, request, and prengenal obyek-obyek wisata dan memahami penggunaan kalimat ungkapan terima kasih, dan  cukup baik  dalam memahami penggunaan kalimat yang menunjukkan letak suatu tempat</v>
      </c>
      <c r="AH44" s="589">
        <f>'MLK3-3'!BP43</f>
        <v>82</v>
      </c>
      <c r="AI44" s="589" t="str">
        <f>'MLK3-3'!BQ43</f>
        <v>B</v>
      </c>
      <c r="AJ44" s="589" t="str">
        <f>'MLK3-3'!BV43</f>
        <v>Anak 39 baik  dalam mengenal dan memahami penggunaan microsoft  word., dan  cukup baik  dalam memahami pembuatan dokumen di microsoft  word</v>
      </c>
      <c r="AK44" s="471" t="s">
        <v>734</v>
      </c>
    </row>
    <row r="45" spans="1:37" ht="15.75">
      <c r="A45" s="191">
        <v>40</v>
      </c>
      <c r="B45" s="529">
        <f>SISWA!B45</f>
        <v>0</v>
      </c>
      <c r="C45" s="572" t="str">
        <f>SISWA!C45</f>
        <v>Anak 40</v>
      </c>
      <c r="D45" s="718">
        <f>'PAI3'!EX45</f>
        <v>99</v>
      </c>
      <c r="E45" s="718" t="str">
        <f>'PAI3'!EY45</f>
        <v>A</v>
      </c>
      <c r="F45" s="596" t="str">
        <f>'PAI3'!FD45</f>
        <v>Anak 40 sangat baik  dalam memahami Q.S. al- Falaq dan Q.S. al- Fil dengan baik dan benar</v>
      </c>
      <c r="G45" s="589">
        <f>'PKN3'!BI44</f>
        <v>84</v>
      </c>
      <c r="H45" s="589" t="str">
        <f>'PKN3'!BJ44</f>
        <v>B</v>
      </c>
      <c r="I45" s="589" t="str">
        <f>'PKN3'!BO44</f>
        <v>Anak 40 baik  dalam menjelaskan manfaat keberagaman karakteristik individu dalam kehidupan sehari-hari., dan  cukup baik  dalam mengidentifikasi berbagai bentuk keragaman suku bangsa, sosial, dan budaya di Indonesia yang terikat persatuan dan kesatuan.</v>
      </c>
      <c r="J45" s="589">
        <f>BIND3!BT44</f>
        <v>99</v>
      </c>
      <c r="K45" s="589" t="str">
        <f>BIND3!BU44</f>
        <v>A</v>
      </c>
      <c r="L45" s="589" t="str">
        <f>BIND3!BZ44</f>
        <v>Anak 40 sangat baik  dalam menggali isi dan amanat puisi yang disajikan secara lisan dan tulis dengan tujuan untuk kesenangan.</v>
      </c>
      <c r="M45" s="589">
        <f>'MTK3'!CC44</f>
        <v>96</v>
      </c>
      <c r="N45" s="589" t="str">
        <f>'MTK3'!CD44</f>
        <v>A</v>
      </c>
      <c r="O45" s="589" t="str">
        <f>'MTK3'!CI44</f>
        <v>Anak 40 sangat baik  dalam menjelaskan pecahan-pecahan senilai dengan gambar dan model konkret, dan  baik  dalam menjelaskan berbagai bentuk pecahan (biasa, campuran, desimal, dan persen) dan hubungan di antaranya</v>
      </c>
      <c r="P45" s="589">
        <f>'IPA3'!BM44</f>
        <v>99</v>
      </c>
      <c r="Q45" s="589" t="str">
        <f>'IPA3'!BN44</f>
        <v>A</v>
      </c>
      <c r="R45" s="589" t="str">
        <f>'IPA3'!BS44</f>
        <v>Anak 40 sangat baik  dalam membandingkan siklus hidup beberapa jenis makhluk hidup serta mengaitkan dengan upaya pelestariannya.</v>
      </c>
      <c r="S45" s="589">
        <f>'IPS3'!BM44</f>
        <v>99</v>
      </c>
      <c r="T45" s="589" t="str">
        <f>'IPS3'!BN44</f>
        <v>A</v>
      </c>
      <c r="U45" s="589" t="str">
        <f>'IPS3'!BS44</f>
        <v>Anak 40 sangat baik  dalam mengidentifikasi karakteristik ruang dan pemanfaatan sumberdaya alam untuk kesejahteraan masyarakat dari tingkatkota/kabupaten sampai tingkat provinsi.</v>
      </c>
      <c r="V45" s="589">
        <f>SBDP3!BM44</f>
        <v>99</v>
      </c>
      <c r="W45" s="589" t="str">
        <f>SBDP3!BN44</f>
        <v>A</v>
      </c>
      <c r="X45" s="589" t="str">
        <f>SBDP3!BS44</f>
        <v>Anak 40 sangat baik  dalam mengetahui tanda tempo dan tinggi rendah nada.</v>
      </c>
      <c r="Y45" s="589">
        <f>PJOK3!BM44</f>
        <v>84</v>
      </c>
      <c r="Z45" s="589" t="str">
        <f>PJOK3!BN44</f>
        <v>B</v>
      </c>
      <c r="AA45" s="589" t="str">
        <f>PJOK3!BS44</f>
        <v>Anak 40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45" s="589">
        <f>'MLK1-3'!BT44</f>
        <v>84</v>
      </c>
      <c r="AC45" s="589" t="str">
        <f>'MLK1-3'!BU44</f>
        <v>B</v>
      </c>
      <c r="AD45" s="589" t="str">
        <f>'MLK1-3'!BZ44</f>
        <v>Anak 40 baik  dalam mengenal dan memahmi teks tembang dolanan, dan  cukup baik  dalam mengenal dan memahami sandhangan aksara Jawa.</v>
      </c>
      <c r="AE45" s="589">
        <f>'MLK2-3'!BP44</f>
        <v>84</v>
      </c>
      <c r="AF45" s="589" t="str">
        <f>'MLK2-3'!BQ44</f>
        <v>B</v>
      </c>
      <c r="AG45" s="589" t="str">
        <f>'MLK2-3'!BV44</f>
        <v>Anak 40 baik  dalam mengenal, memahami dan mengidentifikasi macam-macam kalimat (order, request, and prengenal obyek-obyek wisata dan memahami penggunaan kalimat ungkapan terima kasih, dan  cukup baik  dalam memahami penggunaan kalimat yang menunjukkan letak suatu tempat</v>
      </c>
      <c r="AH45" s="589">
        <f>'MLK3-3'!BP44</f>
        <v>84</v>
      </c>
      <c r="AI45" s="589" t="str">
        <f>'MLK3-3'!BQ44</f>
        <v>B</v>
      </c>
      <c r="AJ45" s="589" t="str">
        <f>'MLK3-3'!BV44</f>
        <v>Anak 40 baik  dalam mengenal dan memahami penggunaan microsoft  word., dan  cukup baik  dalam memahami pembuatan dokumen di microsoft  word</v>
      </c>
      <c r="AK45" s="471" t="s">
        <v>734</v>
      </c>
    </row>
    <row r="46" spans="1:37" ht="15.75">
      <c r="A46" s="191">
        <v>41</v>
      </c>
      <c r="B46" s="529">
        <f>SISWA!B46</f>
        <v>0</v>
      </c>
      <c r="C46" s="572" t="str">
        <f>SISWA!C46</f>
        <v>Anak 41</v>
      </c>
      <c r="D46" s="718">
        <f>'PAI3'!EX46</f>
        <v>99</v>
      </c>
      <c r="E46" s="718" t="str">
        <f>'PAI3'!EY46</f>
        <v>A</v>
      </c>
      <c r="F46" s="596" t="str">
        <f>'PAI3'!FD46</f>
        <v>Anak 41 sangat baik  dalam memahami Q.S. al- Falaq dan Q.S. al- Fil dengan baik dan benar</v>
      </c>
      <c r="G46" s="589">
        <f>'PKN3'!BI45</f>
        <v>83</v>
      </c>
      <c r="H46" s="589" t="str">
        <f>'PKN3'!BJ45</f>
        <v>B</v>
      </c>
      <c r="I46" s="589" t="str">
        <f>'PKN3'!BO45</f>
        <v>Anak 41 baik  dalam mengidentifikasi berbagai bentuk keragaman suku bangsa, sosial, dan budaya di Indonesia yang terikat persatuan dan kesatuan., dan  cukup baik  dalam menjelaskan manfaat keberagaman karakteristik individu dalam kehidupan sehari-hari.</v>
      </c>
      <c r="J46" s="589">
        <f>BIND3!BT45</f>
        <v>99</v>
      </c>
      <c r="K46" s="589" t="str">
        <f>BIND3!BU45</f>
        <v>A</v>
      </c>
      <c r="L46" s="589" t="str">
        <f>BIND3!BZ45</f>
        <v>Anak 41 sangat baik  dalam menggali isi dan amanat puisi yang disajikan secara lisan dan tulis dengan tujuan untuk kesenangan.</v>
      </c>
      <c r="M46" s="589">
        <f>'MTK3'!CC45</f>
        <v>92</v>
      </c>
      <c r="N46" s="589" t="str">
        <f>'MTK3'!CD45</f>
        <v>A</v>
      </c>
      <c r="O46" s="589" t="str">
        <f>'MTK3'!CI45</f>
        <v>Anak 41 sangat baik  dalam menjelaskan pecahan-pecahan senilai dengan gambar dan model konkret, dan  cukup baik  dalam menjelaskan berbagai bentuk pecahan (biasa, campuran, desimal, dan persen) dan hubungan di antaranya</v>
      </c>
      <c r="P46" s="589">
        <f>'IPA3'!BM45</f>
        <v>99</v>
      </c>
      <c r="Q46" s="589" t="str">
        <f>'IPA3'!BN45</f>
        <v>A</v>
      </c>
      <c r="R46" s="589" t="str">
        <f>'IPA3'!BS45</f>
        <v>Anak 41 sangat baik  dalam membandingkan siklus hidup beberapa jenis makhluk hidup serta mengaitkan dengan upaya pelestariannya.</v>
      </c>
      <c r="S46" s="589">
        <f>'IPS3'!BM45</f>
        <v>99</v>
      </c>
      <c r="T46" s="589" t="str">
        <f>'IPS3'!BN45</f>
        <v>A</v>
      </c>
      <c r="U46" s="589" t="str">
        <f>'IPS3'!BS45</f>
        <v>Anak 41 sangat baik  dalam mengidentifikasi karakteristik ruang dan pemanfaatan sumberdaya alam untuk kesejahteraan masyarakat dari tingkatkota/kabupaten sampai tingkat provinsi.</v>
      </c>
      <c r="V46" s="589">
        <f>SBDP3!BM45</f>
        <v>99</v>
      </c>
      <c r="W46" s="589" t="str">
        <f>SBDP3!BN45</f>
        <v>A</v>
      </c>
      <c r="X46" s="589" t="str">
        <f>SBDP3!BS45</f>
        <v>Anak 41 sangat baik  dalam mengetahui tanda tempo dan tinggi rendah nada.</v>
      </c>
      <c r="Y46" s="589">
        <f>PJOK3!BM45</f>
        <v>83</v>
      </c>
      <c r="Z46" s="589" t="str">
        <f>PJOK3!BN45</f>
        <v>B</v>
      </c>
      <c r="AA46" s="589" t="str">
        <f>PJOK3!BS45</f>
        <v>Anak 41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46" s="589">
        <f>'MLK1-3'!BT45</f>
        <v>83</v>
      </c>
      <c r="AC46" s="589" t="str">
        <f>'MLK1-3'!BU45</f>
        <v>B</v>
      </c>
      <c r="AD46" s="589" t="str">
        <f>'MLK1-3'!BZ45</f>
        <v>Anak 41 baik  dalam mengenal dan memahami sandhangan aksara Jawa., dan  cukup baik  dalam mengenal dan memahmi teks tembang dolanan</v>
      </c>
      <c r="AE46" s="589">
        <f>'MLK2-3'!BP45</f>
        <v>83</v>
      </c>
      <c r="AF46" s="589" t="str">
        <f>'MLK2-3'!BQ45</f>
        <v>B</v>
      </c>
      <c r="AG46" s="589" t="str">
        <f>'MLK2-3'!BV45</f>
        <v>Anak 41 baik  dalam memahami penggunaan kalimat yang menunjukkan letak suatu tempat, dan  cukup baik  dalam mengenal, memahami dan mengidentifikasi macam-macam kalimat (order, request, and prengenal obyek-obyek wisata dan memahami penggunaan kalimat ungkapan terima kasih</v>
      </c>
      <c r="AH46" s="589">
        <f>'MLK3-3'!BP45</f>
        <v>83</v>
      </c>
      <c r="AI46" s="589" t="str">
        <f>'MLK3-3'!BQ45</f>
        <v>B</v>
      </c>
      <c r="AJ46" s="589" t="str">
        <f>'MLK3-3'!BV45</f>
        <v>Anak 41 baik  dalam memahami pembuatan dokumen di microsoft  word, dan  cukup baik  dalam mengenal dan memahami penggunaan microsoft  word.</v>
      </c>
      <c r="AK46" s="471" t="s">
        <v>734</v>
      </c>
    </row>
    <row r="47" spans="1:37" ht="15.75">
      <c r="A47" s="191">
        <v>42</v>
      </c>
      <c r="B47" s="529">
        <f>SISWA!B47</f>
        <v>0</v>
      </c>
      <c r="C47" s="572" t="str">
        <f>SISWA!C47</f>
        <v>Anak 42</v>
      </c>
      <c r="D47" s="718">
        <f>'PAI3'!EX47</f>
        <v>99</v>
      </c>
      <c r="E47" s="718" t="str">
        <f>'PAI3'!EY47</f>
        <v>A</v>
      </c>
      <c r="F47" s="596" t="str">
        <f>'PAI3'!FD47</f>
        <v>Anak 42 sangat baik  dalam memahami Q.S. al- Falaq dan Q.S. al- Fil dengan baik dan benar</v>
      </c>
      <c r="G47" s="589">
        <f>'PKN3'!BI46</f>
        <v>85</v>
      </c>
      <c r="H47" s="589" t="str">
        <f>'PKN3'!BJ46</f>
        <v>B</v>
      </c>
      <c r="I47" s="589" t="str">
        <f>'PKN3'!BO46</f>
        <v>Anak 42 baik  dalam mengidentifikasi berbagai bentuk keragaman suku bangsa, sosial, dan budaya di Indonesia yang terikat persatuan dan kesatuan., dan  baik  dalam menjelaskan manfaat keberagaman karakteristik individu dalam kehidupan sehari-hari.</v>
      </c>
      <c r="J47" s="589">
        <f>BIND3!BT46</f>
        <v>99</v>
      </c>
      <c r="K47" s="589" t="str">
        <f>BIND3!BU46</f>
        <v>A</v>
      </c>
      <c r="L47" s="589" t="str">
        <f>BIND3!BZ46</f>
        <v>Anak 42 sangat baik  dalam menggali isi dan amanat puisi yang disajikan secara lisan dan tulis dengan tujuan untuk kesenangan.</v>
      </c>
      <c r="M47" s="589">
        <f>'MTK3'!CC46</f>
        <v>94</v>
      </c>
      <c r="N47" s="589" t="str">
        <f>'MTK3'!CD46</f>
        <v>A</v>
      </c>
      <c r="O47" s="589" t="str">
        <f>'MTK3'!CI46</f>
        <v>Anak 42 sangat baik  dalam menjelaskan pecahan-pecahan senilai dengan gambar dan model konkret, dan  baik  dalam menjelaskan berbagai bentuk pecahan (biasa, campuran, desimal, dan persen) dan hubungan di antaranya</v>
      </c>
      <c r="P47" s="589">
        <f>'IPA3'!BM46</f>
        <v>99</v>
      </c>
      <c r="Q47" s="589" t="str">
        <f>'IPA3'!BN46</f>
        <v>A</v>
      </c>
      <c r="R47" s="589" t="str">
        <f>'IPA3'!BS46</f>
        <v>Anak 42 sangat baik  dalam membandingkan siklus hidup beberapa jenis makhluk hidup serta mengaitkan dengan upaya pelestariannya.</v>
      </c>
      <c r="S47" s="589">
        <f>'IPS3'!BM46</f>
        <v>99</v>
      </c>
      <c r="T47" s="589" t="str">
        <f>'IPS3'!BN46</f>
        <v>A</v>
      </c>
      <c r="U47" s="589" t="str">
        <f>'IPS3'!BS46</f>
        <v>Anak 42 sangat baik  dalam mengidentifikasi karakteristik ruang dan pemanfaatan sumberdaya alam untuk kesejahteraan masyarakat dari tingkatkota/kabupaten sampai tingkat provinsi.</v>
      </c>
      <c r="V47" s="589">
        <f>SBDP3!BM46</f>
        <v>99</v>
      </c>
      <c r="W47" s="589" t="str">
        <f>SBDP3!BN46</f>
        <v>A</v>
      </c>
      <c r="X47" s="589" t="str">
        <f>SBDP3!BS46</f>
        <v>Anak 42 sangat baik  dalam mengetahui tanda tempo dan tinggi rendah nada.</v>
      </c>
      <c r="Y47" s="589">
        <f>PJOK3!BM46</f>
        <v>85</v>
      </c>
      <c r="Z47" s="589" t="str">
        <f>PJOK3!BN46</f>
        <v>B</v>
      </c>
      <c r="AA47" s="589" t="str">
        <f>PJOK3!BS46</f>
        <v>Anak 42 baik  dalam memahami konsep variasi dan kombinasi gerak dasar lokomotor,non lokomotor, dan manipulative dalam berbagai permainan dan atau olahraga tradisional bola kecii., dan  baik  dalam memahami konsep variasi dan kombinasi pola gerak dasar lokomotorr dan nonlokomotor untuk membentuk gerakan dasar atletik jalan cepat dan lari melalui permainan dan atau olahraga tradisional</v>
      </c>
      <c r="AB47" s="589">
        <f>'MLK1-3'!BT46</f>
        <v>85</v>
      </c>
      <c r="AC47" s="589" t="str">
        <f>'MLK1-3'!BU46</f>
        <v>B</v>
      </c>
      <c r="AD47" s="589" t="str">
        <f>'MLK1-3'!BZ46</f>
        <v>Anak 42 baik  dalam mengenal dan memahami sandhangan aksara Jawa., dan  baik  dalam mengenal dan memahmi teks tembang dolanan</v>
      </c>
      <c r="AE47" s="589">
        <f>'MLK2-3'!BP46</f>
        <v>85</v>
      </c>
      <c r="AF47" s="589" t="str">
        <f>'MLK2-3'!BQ46</f>
        <v>B</v>
      </c>
      <c r="AG47" s="589" t="str">
        <f>'MLK2-3'!BV46</f>
        <v>Anak 42 baik  dalam memahami penggunaan kalimat yang menunjukkan letak suatu tempat, dan  baik  dalam mengenal, memahami dan mengidentifikasi macam-macam kalimat (order, request, and prengenal obyek-obyek wisata dan memahami penggunaan kalimat ungkapan terima kasih</v>
      </c>
      <c r="AH47" s="589">
        <f>'MLK3-3'!BP46</f>
        <v>85</v>
      </c>
      <c r="AI47" s="589" t="str">
        <f>'MLK3-3'!BQ46</f>
        <v>B</v>
      </c>
      <c r="AJ47" s="589" t="str">
        <f>'MLK3-3'!BV46</f>
        <v>Anak 42 baik  dalam memahami pembuatan dokumen di microsoft  word, dan  baik  dalam mengenal dan memahami penggunaan microsoft  word.</v>
      </c>
      <c r="AK47" s="471" t="s">
        <v>734</v>
      </c>
    </row>
    <row r="48" spans="1:37" ht="15.75">
      <c r="A48" s="191">
        <v>43</v>
      </c>
      <c r="B48" s="529">
        <f>SISWA!B48</f>
        <v>0</v>
      </c>
      <c r="C48" s="572" t="str">
        <f>SISWA!C48</f>
        <v>Anak 43</v>
      </c>
      <c r="D48" s="718">
        <f>'PAI3'!EX48</f>
        <v>99</v>
      </c>
      <c r="E48" s="718" t="str">
        <f>'PAI3'!EY48</f>
        <v>A</v>
      </c>
      <c r="F48" s="596" t="str">
        <f>'PAI3'!FD48</f>
        <v>Anak 43 sangat baik  dalam memahami Q.S. al- Falaq dan Q.S. al- Fil dengan baik dan benar</v>
      </c>
      <c r="G48" s="589">
        <f>'PKN3'!BI47</f>
        <v>76</v>
      </c>
      <c r="H48" s="589" t="str">
        <f>'PKN3'!BJ47</f>
        <v>C</v>
      </c>
      <c r="I48" s="589" t="str">
        <f>'PKN3'!BO47</f>
        <v>Anak 43 cukup baik  dalam mengidentifikasi berbagai bentuk keragaman suku bangsa, sosial, dan budaya di Indonesia yang terikat persatuan dan kesatuan., dan  cukup baik  dalam menjelaskan manfaat keberagaman karakteristik individu dalam kehidupan sehari-hari.</v>
      </c>
      <c r="J48" s="589">
        <f>BIND3!BT47</f>
        <v>99</v>
      </c>
      <c r="K48" s="589" t="str">
        <f>BIND3!BU47</f>
        <v>A</v>
      </c>
      <c r="L48" s="589" t="str">
        <f>BIND3!BZ47</f>
        <v>Anak 43 sangat baik  dalam menggali isi dan amanat puisi yang disajikan secara lisan dan tulis dengan tujuan untuk kesenangan.</v>
      </c>
      <c r="M48" s="589">
        <f>'MTK3'!CC47</f>
        <v>91</v>
      </c>
      <c r="N48" s="589" t="str">
        <f>'MTK3'!CD47</f>
        <v>A</v>
      </c>
      <c r="O48" s="589" t="str">
        <f>'MTK3'!CI47</f>
        <v>Anak 43 sangat baik  dalam menjelaskan pecahan-pecahan senilai dengan gambar dan model konkret, dan  cukup baik  dalam menjelaskan berbagai bentuk pecahan (biasa, campuran, desimal, dan persen) dan hubungan di antaranya</v>
      </c>
      <c r="P48" s="589">
        <f>'IPA3'!BM47</f>
        <v>99</v>
      </c>
      <c r="Q48" s="589" t="str">
        <f>'IPA3'!BN47</f>
        <v>A</v>
      </c>
      <c r="R48" s="589" t="str">
        <f>'IPA3'!BS47</f>
        <v>Anak 43 sangat baik  dalam membandingkan siklus hidup beberapa jenis makhluk hidup serta mengaitkan dengan upaya pelestariannya.</v>
      </c>
      <c r="S48" s="589">
        <f>'IPS3'!BM47</f>
        <v>99</v>
      </c>
      <c r="T48" s="589" t="str">
        <f>'IPS3'!BN47</f>
        <v>A</v>
      </c>
      <c r="U48" s="589" t="str">
        <f>'IPS3'!BS47</f>
        <v>Anak 43 sangat baik  dalam mengidentifikasi karakteristik ruang dan pemanfaatan sumberdaya alam untuk kesejahteraan masyarakat dari tingkatkota/kabupaten sampai tingkat provinsi.</v>
      </c>
      <c r="V48" s="589">
        <f>SBDP3!BM47</f>
        <v>99</v>
      </c>
      <c r="W48" s="589" t="str">
        <f>SBDP3!BN47</f>
        <v>A</v>
      </c>
      <c r="X48" s="589" t="str">
        <f>SBDP3!BS47</f>
        <v>Anak 43 sangat baik  dalam mengetahui tanda tempo dan tinggi rendah nada.</v>
      </c>
      <c r="Y48" s="589">
        <f>PJOK3!BM47</f>
        <v>76</v>
      </c>
      <c r="Z48" s="589" t="str">
        <f>PJOK3!BN47</f>
        <v>C</v>
      </c>
      <c r="AA48" s="589" t="str">
        <f>PJOK3!BS47</f>
        <v>Anak 43 cukup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48" s="589">
        <f>'MLK1-3'!BT47</f>
        <v>76</v>
      </c>
      <c r="AC48" s="589" t="str">
        <f>'MLK1-3'!BU47</f>
        <v>C</v>
      </c>
      <c r="AD48" s="589" t="str">
        <f>'MLK1-3'!BZ47</f>
        <v>Anak 43 cukup baik  dalam mengenal dan memahami sandhangan aksara Jawa., dan  cukup baik  dalam mengenal dan memahmi teks tembang dolanan</v>
      </c>
      <c r="AE48" s="589">
        <f>'MLK2-3'!BP47</f>
        <v>76</v>
      </c>
      <c r="AF48" s="589" t="str">
        <f>'MLK2-3'!BQ47</f>
        <v>C</v>
      </c>
      <c r="AG48" s="589" t="str">
        <f>'MLK2-3'!BV47</f>
        <v>Anak 43 cukup baik  dalam memahami penggunaan kalimat yang menunjukkan letak suatu tempat, dan  cukup baik  dalam mengenal, memahami dan mengidentifikasi macam-macam kalimat (order, request, and prengenal obyek-obyek wisata dan memahami penggunaan kalimat ungkapan terima kasih</v>
      </c>
      <c r="AH48" s="589">
        <f>'MLK3-3'!BP47</f>
        <v>76</v>
      </c>
      <c r="AI48" s="589" t="str">
        <f>'MLK3-3'!BQ47</f>
        <v>C</v>
      </c>
      <c r="AJ48" s="589" t="str">
        <f>'MLK3-3'!BV47</f>
        <v>Anak 43 cukup baik  dalam memahami pembuatan dokumen di microsoft  word, dan  cukup baik  dalam mengenal dan memahami penggunaan microsoft  word.</v>
      </c>
      <c r="AK48" s="471" t="s">
        <v>734</v>
      </c>
    </row>
    <row r="49" spans="1:37" ht="15.75">
      <c r="A49" s="191">
        <v>44</v>
      </c>
      <c r="B49" s="529">
        <f>SISWA!B49</f>
        <v>0</v>
      </c>
      <c r="C49" s="572" t="str">
        <f>SISWA!C49</f>
        <v>Anak 44</v>
      </c>
      <c r="D49" s="718">
        <f>'PAI3'!EX49</f>
        <v>99</v>
      </c>
      <c r="E49" s="718" t="str">
        <f>'PAI3'!EY49</f>
        <v>A</v>
      </c>
      <c r="F49" s="596" t="str">
        <f>'PAI3'!FD49</f>
        <v>Anak 44 sangat baik  dalam memahami Q.S. al- Falaq dan Q.S. al- Fil dengan baik dan benar</v>
      </c>
      <c r="G49" s="589">
        <f>'PKN3'!BI48</f>
        <v>77</v>
      </c>
      <c r="H49" s="589" t="str">
        <f>'PKN3'!BJ48</f>
        <v>C</v>
      </c>
      <c r="I49" s="589" t="str">
        <f>'PKN3'!BO48</f>
        <v>Anak 44 baik  dalam mengidentifikasi berbagai bentuk keragaman suku bangsa, sosial, dan budaya di Indonesia yang terikat persatuan dan kesatuan., dan  cukup baik  dalam menjelaskan manfaat keberagaman karakteristik individu dalam kehidupan sehari-hari.</v>
      </c>
      <c r="J49" s="589">
        <f>BIND3!BT48</f>
        <v>99</v>
      </c>
      <c r="K49" s="589" t="str">
        <f>BIND3!BU48</f>
        <v>A</v>
      </c>
      <c r="L49" s="589" t="str">
        <f>BIND3!BZ48</f>
        <v>Anak 44 sangat baik  dalam menggali isi dan amanat puisi yang disajikan secara lisan dan tulis dengan tujuan untuk kesenangan.</v>
      </c>
      <c r="M49" s="589">
        <f>'MTK3'!CC48</f>
        <v>91</v>
      </c>
      <c r="N49" s="589" t="str">
        <f>'MTK3'!CD48</f>
        <v>A</v>
      </c>
      <c r="O49" s="589" t="str">
        <f>'MTK3'!CI48</f>
        <v>Anak 44 sangat baik  dalam menjelaskan pecahan-pecahan senilai dengan gambar dan model konkret, dan  cukup baik  dalam menjelaskan berbagai bentuk pecahan (biasa, campuran, desimal, dan persen) dan hubungan di antaranya</v>
      </c>
      <c r="P49" s="589">
        <f>'IPA3'!BM48</f>
        <v>99</v>
      </c>
      <c r="Q49" s="589" t="str">
        <f>'IPA3'!BN48</f>
        <v>A</v>
      </c>
      <c r="R49" s="589" t="str">
        <f>'IPA3'!BS48</f>
        <v>Anak 44 sangat baik  dalam membandingkan siklus hidup beberapa jenis makhluk hidup serta mengaitkan dengan upaya pelestariannya.</v>
      </c>
      <c r="S49" s="589">
        <f>'IPS3'!BM48</f>
        <v>99</v>
      </c>
      <c r="T49" s="589" t="str">
        <f>'IPS3'!BN48</f>
        <v>A</v>
      </c>
      <c r="U49" s="589" t="str">
        <f>'IPS3'!BS48</f>
        <v>Anak 44 sangat baik  dalam mengidentifikasi karakteristik ruang dan pemanfaatan sumberdaya alam untuk kesejahteraan masyarakat dari tingkatkota/kabupaten sampai tingkat provinsi.</v>
      </c>
      <c r="V49" s="589">
        <f>SBDP3!BM48</f>
        <v>99</v>
      </c>
      <c r="W49" s="589" t="str">
        <f>SBDP3!BN48</f>
        <v>A</v>
      </c>
      <c r="X49" s="589" t="str">
        <f>SBDP3!BS48</f>
        <v>Anak 44 sangat baik  dalam mengetahui tanda tempo dan tinggi rendah nada.</v>
      </c>
      <c r="Y49" s="589">
        <f>PJOK3!BM48</f>
        <v>77</v>
      </c>
      <c r="Z49" s="589" t="str">
        <f>PJOK3!BN48</f>
        <v>C</v>
      </c>
      <c r="AA49" s="589" t="str">
        <f>PJOK3!BS48</f>
        <v>Anak 44 baik  dalam memahami konsep variasi dan kombinasi gerak dasar lokomotor,non lokomotor, dan manipulative dalam berbagai permainan dan atau olahraga tradisional bola kecii., dan  cukup baik  dalam memahami konsep variasi dan kombinasi pola gerak dasar lokomotorr dan nonlokomotor untuk membentuk gerakan dasar atletik jalan cepat dan lari melalui permainan dan atau olahraga tradisional</v>
      </c>
      <c r="AB49" s="589">
        <f>'MLK1-3'!BT48</f>
        <v>77</v>
      </c>
      <c r="AC49" s="589" t="str">
        <f>'MLK1-3'!BU48</f>
        <v>C</v>
      </c>
      <c r="AD49" s="589" t="str">
        <f>'MLK1-3'!BZ48</f>
        <v>Anak 44 baik  dalam mengenal dan memahami sandhangan aksara Jawa., dan  cukup baik  dalam mengenal dan memahmi teks tembang dolanan</v>
      </c>
      <c r="AE49" s="589">
        <f>'MLK2-3'!BP48</f>
        <v>77</v>
      </c>
      <c r="AF49" s="589" t="str">
        <f>'MLK2-3'!BQ48</f>
        <v>C</v>
      </c>
      <c r="AG49" s="589" t="str">
        <f>'MLK2-3'!BV48</f>
        <v>Anak 44 baik  dalam memahami penggunaan kalimat yang menunjukkan letak suatu tempat, dan  cukup baik  dalam mengenal, memahami dan mengidentifikasi macam-macam kalimat (order, request, and prengenal obyek-obyek wisata dan memahami penggunaan kalimat ungkapan terima kasih</v>
      </c>
      <c r="AH49" s="589">
        <f>'MLK3-3'!BP48</f>
        <v>77</v>
      </c>
      <c r="AI49" s="589" t="str">
        <f>'MLK3-3'!BQ48</f>
        <v>C</v>
      </c>
      <c r="AJ49" s="589" t="str">
        <f>'MLK3-3'!BV48</f>
        <v>Anak 44 baik  dalam memahami pembuatan dokumen di microsoft  word, dan  cukup baik  dalam mengenal dan memahami penggunaan microsoft  word.</v>
      </c>
      <c r="AK49" s="471" t="s">
        <v>734</v>
      </c>
    </row>
    <row r="50" spans="1:37" ht="15.75">
      <c r="A50" s="191">
        <v>45</v>
      </c>
      <c r="B50" s="529">
        <f>SISWA!B50</f>
        <v>0</v>
      </c>
      <c r="C50" s="572" t="str">
        <f>SISWA!C50</f>
        <v>Anak 45</v>
      </c>
      <c r="D50" s="718">
        <f>'PAI3'!EX50</f>
        <v>99</v>
      </c>
      <c r="E50" s="718" t="str">
        <f>'PAI3'!EY50</f>
        <v>A</v>
      </c>
      <c r="F50" s="596" t="str">
        <f>'PAI3'!FD50</f>
        <v>Anak 45 sangat baik  dalam memahami Q.S. al- Falaq dan Q.S. al- Fil dengan baik dan benar</v>
      </c>
      <c r="G50" s="589">
        <f>'PKN3'!BI49</f>
        <v>73</v>
      </c>
      <c r="H50" s="589" t="str">
        <f>'PKN3'!BJ49</f>
        <v>C</v>
      </c>
      <c r="I50" s="589" t="str">
        <f>'PKN3'!BO49</f>
        <v>Anak 45 cukup baik  dalam menjelaskan manfaat keberagaman karakteristik individu dalam kehidupan sehari-hari., dan  cukup baik  dalam mengidentifikasi berbagai bentuk keragaman suku bangsa, sosial, dan budaya di Indonesia yang terikat persatuan dan kesatuan.</v>
      </c>
      <c r="J50" s="589">
        <f>BIND3!BT49</f>
        <v>99</v>
      </c>
      <c r="K50" s="589" t="str">
        <f>BIND3!BU49</f>
        <v>A</v>
      </c>
      <c r="L50" s="589" t="str">
        <f>BIND3!BZ49</f>
        <v>Anak 45 sangat baik  dalam menggali isi dan amanat puisi yang disajikan secara lisan dan tulis dengan tujuan untuk kesenangan.</v>
      </c>
      <c r="M50" s="589">
        <f>'MTK3'!CC49</f>
        <v>91</v>
      </c>
      <c r="N50" s="589" t="str">
        <f>'MTK3'!CD49</f>
        <v>A</v>
      </c>
      <c r="O50" s="589" t="str">
        <f>'MTK3'!CI49</f>
        <v>Anak 45 sangat baik  dalam menjelaskan pecahan-pecahan senilai dengan gambar dan model konkret, dan  cukup baik  dalam menjelaskan berbagai bentuk pecahan (biasa, campuran, desimal, dan persen) dan hubungan di antaranya</v>
      </c>
      <c r="P50" s="589">
        <f>'IPA3'!BM49</f>
        <v>99</v>
      </c>
      <c r="Q50" s="589" t="str">
        <f>'IPA3'!BN49</f>
        <v>A</v>
      </c>
      <c r="R50" s="589" t="str">
        <f>'IPA3'!BS49</f>
        <v>Anak 45 sangat baik  dalam membandingkan siklus hidup beberapa jenis makhluk hidup serta mengaitkan dengan upaya pelestariannya.</v>
      </c>
      <c r="S50" s="589">
        <f>'IPS3'!BM49</f>
        <v>99</v>
      </c>
      <c r="T50" s="589" t="str">
        <f>'IPS3'!BN49</f>
        <v>A</v>
      </c>
      <c r="U50" s="589" t="str">
        <f>'IPS3'!BS49</f>
        <v>Anak 45 sangat baik  dalam mengidentifikasi karakteristik ruang dan pemanfaatan sumberdaya alam untuk kesejahteraan masyarakat dari tingkatkota/kabupaten sampai tingkat provinsi.</v>
      </c>
      <c r="V50" s="589">
        <f>SBDP3!BM49</f>
        <v>99</v>
      </c>
      <c r="W50" s="589" t="str">
        <f>SBDP3!BN49</f>
        <v>A</v>
      </c>
      <c r="X50" s="589" t="str">
        <f>SBDP3!BS49</f>
        <v>Anak 45 sangat baik  dalam mengetahui tanda tempo dan tinggi rendah nada.</v>
      </c>
      <c r="Y50" s="589">
        <f>PJOK3!BM49</f>
        <v>73</v>
      </c>
      <c r="Z50" s="589" t="str">
        <f>PJOK3!BN49</f>
        <v>C</v>
      </c>
      <c r="AA50" s="589" t="str">
        <f>PJOK3!BS49</f>
        <v>Anak 45 cukup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50" s="589">
        <f>'MLK1-3'!BT49</f>
        <v>73</v>
      </c>
      <c r="AC50" s="589" t="str">
        <f>'MLK1-3'!BU49</f>
        <v>C</v>
      </c>
      <c r="AD50" s="589" t="str">
        <f>'MLK1-3'!BZ49</f>
        <v>Anak 45 cukup baik  dalam mengenal dan memahmi teks tembang dolanan, dan  cukup baik  dalam mengenal dan memahami sandhangan aksara Jawa.</v>
      </c>
      <c r="AE50" s="589">
        <f>'MLK2-3'!BP49</f>
        <v>73</v>
      </c>
      <c r="AF50" s="589" t="str">
        <f>'MLK2-3'!BQ49</f>
        <v>C</v>
      </c>
      <c r="AG50" s="589" t="str">
        <f>'MLK2-3'!BV49</f>
        <v>Anak 45 cukup baik  dalam mengenal, memahami dan mengidentifikasi macam-macam kalimat (order, request, and prengenal obyek-obyek wisata dan memahami penggunaan kalimat ungkapan terima kasih, dan  cukup baik  dalam memahami penggunaan kalimat yang menunjukkan letak suatu tempat</v>
      </c>
      <c r="AH50" s="589">
        <f>'MLK3-3'!BP49</f>
        <v>73</v>
      </c>
      <c r="AI50" s="589" t="str">
        <f>'MLK3-3'!BQ49</f>
        <v>C</v>
      </c>
      <c r="AJ50" s="589" t="str">
        <f>'MLK3-3'!BV49</f>
        <v>Anak 45 cukup baik  dalam mengenal dan memahami penggunaan microsoft  word., dan  cukup baik  dalam memahami pembuatan dokumen di microsoft  word</v>
      </c>
      <c r="AK50" s="471" t="s">
        <v>734</v>
      </c>
    </row>
    <row r="51" spans="1:37" ht="15.75">
      <c r="A51" s="191">
        <v>46</v>
      </c>
      <c r="B51" s="529">
        <f>SISWA!B51</f>
        <v>0</v>
      </c>
      <c r="C51" s="572" t="str">
        <f>SISWA!C51</f>
        <v>Anak 46</v>
      </c>
      <c r="D51" s="718">
        <f>'PAI3'!EX51</f>
        <v>99</v>
      </c>
      <c r="E51" s="718" t="str">
        <f>'PAI3'!EY51</f>
        <v>A</v>
      </c>
      <c r="F51" s="596" t="str">
        <f>'PAI3'!FD51</f>
        <v>Anak 46 sangat baik  dalam memahami Q.S. al- Falaq dan Q.S. al- Fil dengan baik dan benar</v>
      </c>
      <c r="G51" s="589">
        <f>'PKN3'!BI50</f>
        <v>84</v>
      </c>
      <c r="H51" s="589" t="str">
        <f>'PKN3'!BJ50</f>
        <v>B</v>
      </c>
      <c r="I51" s="589" t="str">
        <f>'PKN3'!BO50</f>
        <v>Anak 46 baik  dalam menjelaskan manfaat keberagaman karakteristik individu dalam kehidupan sehari-hari.</v>
      </c>
      <c r="J51" s="589">
        <f>BIND3!BT50</f>
        <v>99</v>
      </c>
      <c r="K51" s="589" t="str">
        <f>BIND3!BU50</f>
        <v>A</v>
      </c>
      <c r="L51" s="589" t="str">
        <f>BIND3!BZ50</f>
        <v>Anak 46 sangat baik  dalam menggali isi dan amanat puisi yang disajikan secara lisan dan tulis dengan tujuan untuk kesenangan.</v>
      </c>
      <c r="M51" s="589">
        <f>'MTK3'!CC50</f>
        <v>94</v>
      </c>
      <c r="N51" s="589" t="str">
        <f>'MTK3'!CD50</f>
        <v>A</v>
      </c>
      <c r="O51" s="589" t="str">
        <f>'MTK3'!CI50</f>
        <v>Anak 46 sangat baik  dalam menjelaskan pecahan-pecahan senilai dengan gambar dan model konkret, dan  baik  dalam menjelaskan berbagai bentuk pecahan (biasa, campuran, desimal, dan persen) dan hubungan di antaranya</v>
      </c>
      <c r="P51" s="589">
        <f>'IPA3'!BM50</f>
        <v>99</v>
      </c>
      <c r="Q51" s="589" t="str">
        <f>'IPA3'!BN50</f>
        <v>A</v>
      </c>
      <c r="R51" s="589" t="str">
        <f>'IPA3'!BS50</f>
        <v>Anak 46 sangat baik  dalam membandingkan siklus hidup beberapa jenis makhluk hidup serta mengaitkan dengan upaya pelestariannya.</v>
      </c>
      <c r="S51" s="589">
        <f>'IPS3'!BM50</f>
        <v>99</v>
      </c>
      <c r="T51" s="589" t="str">
        <f>'IPS3'!BN50</f>
        <v>A</v>
      </c>
      <c r="U51" s="589" t="str">
        <f>'IPS3'!BS50</f>
        <v>Anak 46 sangat baik  dalam mengidentifikasi karakteristik ruang dan pemanfaatan sumberdaya alam untuk kesejahteraan masyarakat dari tingkatkota/kabupaten sampai tingkat provinsi.</v>
      </c>
      <c r="V51" s="589">
        <f>SBDP3!BM50</f>
        <v>99</v>
      </c>
      <c r="W51" s="589" t="str">
        <f>SBDP3!BN50</f>
        <v>A</v>
      </c>
      <c r="X51" s="589" t="str">
        <f>SBDP3!BS50</f>
        <v>Anak 46 sangat baik  dalam mengetahui tanda tempo dan tinggi rendah nada.</v>
      </c>
      <c r="Y51" s="589">
        <f>PJOK3!BM50</f>
        <v>84</v>
      </c>
      <c r="Z51" s="589" t="str">
        <f>PJOK3!BN50</f>
        <v>B</v>
      </c>
      <c r="AA51" s="589" t="str">
        <f>PJOK3!BS50</f>
        <v>Anak 46 baik  dalam memahami konsep variasi dan kombinasi pola gerak dasar lokomotorr dan nonlokomotor untuk membentuk gerakan dasar atletik jalan cepat dan lari melalui permainan dan atau olahraga tradisional</v>
      </c>
      <c r="AB51" s="589">
        <f>'MLK1-3'!BT50</f>
        <v>84</v>
      </c>
      <c r="AC51" s="589" t="str">
        <f>'MLK1-3'!BU50</f>
        <v>B</v>
      </c>
      <c r="AD51" s="589" t="str">
        <f>'MLK1-3'!BZ50</f>
        <v>Anak 46 baik  dalam mengenal dan memahmi teks tembang dolanan</v>
      </c>
      <c r="AE51" s="589">
        <f>'MLK2-3'!BP50</f>
        <v>84</v>
      </c>
      <c r="AF51" s="589" t="str">
        <f>'MLK2-3'!BQ50</f>
        <v>B</v>
      </c>
      <c r="AG51" s="589" t="str">
        <f>'MLK2-3'!BV50</f>
        <v>Anak 46 baik  dalam mengenal, memahami dan mengidentifikasi macam-macam kalimat (order, request, and prengenal obyek-obyek wisata dan memahami penggunaan kalimat ungkapan terima kasih</v>
      </c>
      <c r="AH51" s="589">
        <f>'MLK3-3'!BP50</f>
        <v>84</v>
      </c>
      <c r="AI51" s="589" t="str">
        <f>'MLK3-3'!BQ50</f>
        <v>B</v>
      </c>
      <c r="AJ51" s="589" t="str">
        <f>'MLK3-3'!BV50</f>
        <v>Anak 46 baik  dalam mengenal dan memahami penggunaan microsoft  word.</v>
      </c>
      <c r="AK51" s="471" t="s">
        <v>734</v>
      </c>
    </row>
    <row r="52" spans="1:37" ht="15.75">
      <c r="A52" s="191">
        <v>47</v>
      </c>
      <c r="B52" s="529">
        <f>SISWA!B52</f>
        <v>0</v>
      </c>
      <c r="C52" s="572" t="str">
        <f>SISWA!C52</f>
        <v>Anak 47</v>
      </c>
      <c r="D52" s="718">
        <f>'PAI3'!EX52</f>
        <v>99</v>
      </c>
      <c r="E52" s="718" t="str">
        <f>'PAI3'!EY52</f>
        <v>A</v>
      </c>
      <c r="F52" s="596" t="str">
        <f>'PAI3'!FD52</f>
        <v>Anak 47 sangat baik  dalam memahami Q.S. al- Falaq dan Q.S. al- Fil dengan baik dan benar</v>
      </c>
      <c r="G52" s="589">
        <f>'PKN3'!BI51</f>
        <v>69</v>
      </c>
      <c r="H52" s="589" t="str">
        <f>'PKN3'!BJ51</f>
        <v>D</v>
      </c>
      <c r="I52" s="589" t="str">
        <f>'PKN3'!BO51</f>
        <v>Anak 47 perlu bimbingan  dalam menjelaskan manfaat keberagaman karakteristik individu dalam kehidupan sehari-hari.</v>
      </c>
      <c r="J52" s="589">
        <f>BIND3!BT51</f>
        <v>99</v>
      </c>
      <c r="K52" s="589" t="str">
        <f>BIND3!BU51</f>
        <v>A</v>
      </c>
      <c r="L52" s="589" t="str">
        <f>BIND3!BZ51</f>
        <v>Anak 47 sangat baik  dalam menggali isi dan amanat puisi yang disajikan secara lisan dan tulis dengan tujuan untuk kesenangan.</v>
      </c>
      <c r="M52" s="589">
        <f>'MTK3'!CC51</f>
        <v>89</v>
      </c>
      <c r="N52" s="589" t="str">
        <f>'MTK3'!CD51</f>
        <v>B</v>
      </c>
      <c r="O52" s="589" t="str">
        <f>'MTK3'!CI51</f>
        <v>Anak 47 sangat baik  dalam menjelaskan pecahan-pecahan senilai dengan gambar dan model konkret, dan  perlu bimbingan  dalam menjelaskan berbagai bentuk pecahan (biasa, campuran, desimal, dan persen) dan hubungan di antaranya</v>
      </c>
      <c r="P52" s="589">
        <f>'IPA3'!BM51</f>
        <v>99</v>
      </c>
      <c r="Q52" s="589" t="str">
        <f>'IPA3'!BN51</f>
        <v>A</v>
      </c>
      <c r="R52" s="589" t="str">
        <f>'IPA3'!BS51</f>
        <v>Anak 47 sangat baik  dalam membandingkan siklus hidup beberapa jenis makhluk hidup serta mengaitkan dengan upaya pelestariannya.</v>
      </c>
      <c r="S52" s="589">
        <f>'IPS3'!BM51</f>
        <v>99</v>
      </c>
      <c r="T52" s="589" t="str">
        <f>'IPS3'!BN51</f>
        <v>A</v>
      </c>
      <c r="U52" s="589" t="str">
        <f>'IPS3'!BS51</f>
        <v>Anak 47 sangat baik  dalam mengidentifikasi karakteristik ruang dan pemanfaatan sumberdaya alam untuk kesejahteraan masyarakat dari tingkatkota/kabupaten sampai tingkat provinsi.</v>
      </c>
      <c r="V52" s="589">
        <f>SBDP3!BM51</f>
        <v>99</v>
      </c>
      <c r="W52" s="589" t="str">
        <f>SBDP3!BN51</f>
        <v>A</v>
      </c>
      <c r="X52" s="589" t="str">
        <f>SBDP3!BS51</f>
        <v>Anak 47 sangat baik  dalam mengetahui tanda tempo dan tinggi rendah nada.</v>
      </c>
      <c r="Y52" s="589">
        <f>PJOK3!BM51</f>
        <v>69</v>
      </c>
      <c r="Z52" s="589" t="str">
        <f>PJOK3!BN51</f>
        <v>D</v>
      </c>
      <c r="AA52" s="589" t="str">
        <f>PJOK3!BS51</f>
        <v>Anak 47 perlu bimbingan  dalam memahami konsep variasi dan kombinasi pola gerak dasar lokomotorr dan nonlokomotor untuk membentuk gerakan dasar atletik jalan cepat dan lari melalui permainan dan atau olahraga tradisional</v>
      </c>
      <c r="AB52" s="589">
        <f>'MLK1-3'!BT51</f>
        <v>69</v>
      </c>
      <c r="AC52" s="589" t="str">
        <f>'MLK1-3'!BU51</f>
        <v>D</v>
      </c>
      <c r="AD52" s="589" t="str">
        <f>'MLK1-3'!BZ51</f>
        <v>Anak 47 perlu bimbingan  dalam mengenal dan memahmi teks tembang dolanan</v>
      </c>
      <c r="AE52" s="589">
        <f>'MLK2-3'!BP51</f>
        <v>69</v>
      </c>
      <c r="AF52" s="589" t="str">
        <f>'MLK2-3'!BQ51</f>
        <v>D</v>
      </c>
      <c r="AG52" s="589" t="str">
        <f>'MLK2-3'!BV51</f>
        <v>Anak 47 perlu bimbingan  dalam mengenal, memahami dan mengidentifikasi macam-macam kalimat (order, request, and prengenal obyek-obyek wisata dan memahami penggunaan kalimat ungkapan terima kasih</v>
      </c>
      <c r="AH52" s="589">
        <f>'MLK3-3'!BP51</f>
        <v>69</v>
      </c>
      <c r="AI52" s="589" t="str">
        <f>'MLK3-3'!BQ51</f>
        <v>D</v>
      </c>
      <c r="AJ52" s="589" t="str">
        <f>'MLK3-3'!BV51</f>
        <v>Anak 47 perlu bimbingan  dalam mengenal dan memahami penggunaan microsoft  word.</v>
      </c>
      <c r="AK52" s="471" t="s">
        <v>734</v>
      </c>
    </row>
    <row r="53" spans="1:37" ht="15.75">
      <c r="A53" s="191">
        <v>48</v>
      </c>
      <c r="B53" s="529">
        <f>SISWA!B53</f>
        <v>0</v>
      </c>
      <c r="C53" s="572" t="str">
        <f>SISWA!C53</f>
        <v>Anak 48</v>
      </c>
      <c r="D53" s="718">
        <f>'PAI3'!EX53</f>
        <v>99</v>
      </c>
      <c r="E53" s="718" t="str">
        <f>'PAI3'!EY53</f>
        <v>A</v>
      </c>
      <c r="F53" s="596" t="str">
        <f>'PAI3'!FD53</f>
        <v>Anak 48 sangat baik  dalam memahami Q.S. al- Falaq dan Q.S. al- Fil dengan baik dan benar</v>
      </c>
      <c r="G53" s="589">
        <f>'PKN3'!BI52</f>
        <v>70</v>
      </c>
      <c r="H53" s="589" t="str">
        <f>'PKN3'!BJ52</f>
        <v>C</v>
      </c>
      <c r="I53" s="589" t="str">
        <f>'PKN3'!BO52</f>
        <v>Anak 48 perlu bimbingan  dalam menjelaskan manfaat keberagaman karakteristik individu dalam kehidupan sehari-hari.</v>
      </c>
      <c r="J53" s="589">
        <f>BIND3!BT52</f>
        <v>99</v>
      </c>
      <c r="K53" s="589" t="str">
        <f>BIND3!BU52</f>
        <v>A</v>
      </c>
      <c r="L53" s="589" t="str">
        <f>BIND3!BZ52</f>
        <v>Anak 48 sangat baik  dalam menggali isi dan amanat puisi yang disajikan secara lisan dan tulis dengan tujuan untuk kesenangan.</v>
      </c>
      <c r="M53" s="589">
        <f>'MTK3'!CC52</f>
        <v>89</v>
      </c>
      <c r="N53" s="589" t="str">
        <f>'MTK3'!CD52</f>
        <v>B</v>
      </c>
      <c r="O53" s="589" t="str">
        <f>'MTK3'!CI52</f>
        <v>Anak 48 sangat baik  dalam menjelaskan pecahan-pecahan senilai dengan gambar dan model konkret, dan  perlu bimbingan  dalam menjelaskan berbagai bentuk pecahan (biasa, campuran, desimal, dan persen) dan hubungan di antaranya</v>
      </c>
      <c r="P53" s="589">
        <f>'IPA3'!BM52</f>
        <v>99</v>
      </c>
      <c r="Q53" s="589" t="str">
        <f>'IPA3'!BN52</f>
        <v>A</v>
      </c>
      <c r="R53" s="589" t="str">
        <f>'IPA3'!BS52</f>
        <v>Anak 48 sangat baik  dalam membandingkan siklus hidup beberapa jenis makhluk hidup serta mengaitkan dengan upaya pelestariannya.</v>
      </c>
      <c r="S53" s="589">
        <f>'IPS3'!BM52</f>
        <v>99</v>
      </c>
      <c r="T53" s="589" t="str">
        <f>'IPS3'!BN52</f>
        <v>A</v>
      </c>
      <c r="U53" s="589" t="str">
        <f>'IPS3'!BS52</f>
        <v>Anak 48 sangat baik  dalam mengidentifikasi karakteristik ruang dan pemanfaatan sumberdaya alam untuk kesejahteraan masyarakat dari tingkatkota/kabupaten sampai tingkat provinsi.</v>
      </c>
      <c r="V53" s="589">
        <f>SBDP3!BM52</f>
        <v>99</v>
      </c>
      <c r="W53" s="589" t="str">
        <f>SBDP3!BN52</f>
        <v>A</v>
      </c>
      <c r="X53" s="589" t="str">
        <f>SBDP3!BS52</f>
        <v>Anak 48 sangat baik  dalam mengetahui tanda tempo dan tinggi rendah nada.</v>
      </c>
      <c r="Y53" s="589">
        <f>PJOK3!BM52</f>
        <v>70</v>
      </c>
      <c r="Z53" s="589" t="str">
        <f>PJOK3!BN52</f>
        <v>C</v>
      </c>
      <c r="AA53" s="589" t="str">
        <f>PJOK3!BS52</f>
        <v>Anak 48 perlu bimbingan  dalam memahami konsep variasi dan kombinasi pola gerak dasar lokomotorr dan nonlokomotor untuk membentuk gerakan dasar atletik jalan cepat dan lari melalui permainan dan atau olahraga tradisional</v>
      </c>
      <c r="AB53" s="589">
        <f>'MLK1-3'!BT52</f>
        <v>70</v>
      </c>
      <c r="AC53" s="589" t="str">
        <f>'MLK1-3'!BU52</f>
        <v>C</v>
      </c>
      <c r="AD53" s="589" t="str">
        <f>'MLK1-3'!BZ52</f>
        <v>Anak 48 perlu bimbingan  dalam mengenal dan memahmi teks tembang dolanan</v>
      </c>
      <c r="AE53" s="589">
        <f>'MLK2-3'!BP52</f>
        <v>70</v>
      </c>
      <c r="AF53" s="589" t="str">
        <f>'MLK2-3'!BQ52</f>
        <v>C</v>
      </c>
      <c r="AG53" s="589" t="str">
        <f>'MLK2-3'!BV52</f>
        <v>Anak 48 perlu bimbingan  dalam mengenal, memahami dan mengidentifikasi macam-macam kalimat (order, request, and prengenal obyek-obyek wisata dan memahami penggunaan kalimat ungkapan terima kasih</v>
      </c>
      <c r="AH53" s="589">
        <f>'MLK3-3'!BP52</f>
        <v>70</v>
      </c>
      <c r="AI53" s="589" t="str">
        <f>'MLK3-3'!BQ52</f>
        <v>C</v>
      </c>
      <c r="AJ53" s="589" t="str">
        <f>'MLK3-3'!BV52</f>
        <v>Anak 48 perlu bimbingan  dalam mengenal dan memahami penggunaan microsoft  word.</v>
      </c>
      <c r="AK53" s="471" t="s">
        <v>734</v>
      </c>
    </row>
    <row r="54" spans="1:37" ht="15.75">
      <c r="A54" s="191">
        <v>49</v>
      </c>
      <c r="B54" s="529">
        <f>SISWA!B54</f>
        <v>0</v>
      </c>
      <c r="C54" s="572" t="str">
        <f>SISWA!C54</f>
        <v>Anak 49</v>
      </c>
      <c r="D54" s="718">
        <f>'PAI3'!EX54</f>
        <v>99</v>
      </c>
      <c r="E54" s="718" t="str">
        <f>'PAI3'!EY54</f>
        <v>A</v>
      </c>
      <c r="F54" s="596" t="str">
        <f>'PAI3'!FD54</f>
        <v>Anak 49 sangat baik  dalam memahami Q.S. al- Falaq dan Q.S. al- Fil dengan baik dan benar</v>
      </c>
      <c r="G54" s="589">
        <f>'PKN3'!BI53</f>
        <v>84</v>
      </c>
      <c r="H54" s="589" t="str">
        <f>'PKN3'!BJ53</f>
        <v>B</v>
      </c>
      <c r="I54" s="589" t="str">
        <f>'PKN3'!BO53</f>
        <v>Anak 49 baik  dalam menjelaskan manfaat keberagaman karakteristik individu dalam kehidupan sehari-hari., dan  cukup baik  dalam mengidentifikasi berbagai bentuk keragaman suku bangsa, sosial, dan budaya di Indonesia yang terikat persatuan dan kesatuan.</v>
      </c>
      <c r="J54" s="589">
        <f>BIND3!BT53</f>
        <v>99</v>
      </c>
      <c r="K54" s="589" t="str">
        <f>BIND3!BU53</f>
        <v>A</v>
      </c>
      <c r="L54" s="589" t="str">
        <f>BIND3!BZ53</f>
        <v>Anak 49 sangat baik  dalam menggali isi dan amanat puisi yang disajikan secara lisan dan tulis dengan tujuan untuk kesenangan.</v>
      </c>
      <c r="M54" s="589">
        <f>'MTK3'!CC53</f>
        <v>96</v>
      </c>
      <c r="N54" s="589" t="str">
        <f>'MTK3'!CD53</f>
        <v>A</v>
      </c>
      <c r="O54" s="589" t="str">
        <f>'MTK3'!CI53</f>
        <v>Anak 49 sangat baik  dalam menjelaskan pecahan-pecahan senilai dengan gambar dan model konkret, dan  baik  dalam menjelaskan berbagai bentuk pecahan (biasa, campuran, desimal, dan persen) dan hubungan di antaranya</v>
      </c>
      <c r="P54" s="589">
        <f>'IPA3'!BM53</f>
        <v>99</v>
      </c>
      <c r="Q54" s="589" t="str">
        <f>'IPA3'!BN53</f>
        <v>A</v>
      </c>
      <c r="R54" s="589" t="str">
        <f>'IPA3'!BS53</f>
        <v>Anak 49 sangat baik  dalam membandingkan siklus hidup beberapa jenis makhluk hidup serta mengaitkan dengan upaya pelestariannya.</v>
      </c>
      <c r="S54" s="589">
        <f>'IPS3'!BM53</f>
        <v>99</v>
      </c>
      <c r="T54" s="589" t="str">
        <f>'IPS3'!BN53</f>
        <v>A</v>
      </c>
      <c r="U54" s="589" t="str">
        <f>'IPS3'!BS53</f>
        <v>Anak 49 sangat baik  dalam mengidentifikasi karakteristik ruang dan pemanfaatan sumberdaya alam untuk kesejahteraan masyarakat dari tingkatkota/kabupaten sampai tingkat provinsi.</v>
      </c>
      <c r="V54" s="589">
        <f>SBDP3!BM53</f>
        <v>99</v>
      </c>
      <c r="W54" s="589" t="str">
        <f>SBDP3!BN53</f>
        <v>A</v>
      </c>
      <c r="X54" s="589" t="str">
        <f>SBDP3!BS53</f>
        <v>Anak 49 sangat baik  dalam mengetahui tanda tempo dan tinggi rendah nada.</v>
      </c>
      <c r="Y54" s="589">
        <f>PJOK3!BM53</f>
        <v>84</v>
      </c>
      <c r="Z54" s="589" t="str">
        <f>PJOK3!BN53</f>
        <v>B</v>
      </c>
      <c r="AA54" s="589" t="str">
        <f>PJOK3!BS53</f>
        <v>Anak 49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54" s="589">
        <f>'MLK1-3'!BT53</f>
        <v>84</v>
      </c>
      <c r="AC54" s="589" t="str">
        <f>'MLK1-3'!BU53</f>
        <v>B</v>
      </c>
      <c r="AD54" s="589" t="str">
        <f>'MLK1-3'!BZ53</f>
        <v>Anak 49 baik  dalam mengenal dan memahmi teks tembang dolanan, dan  cukup baik  dalam mengenal dan memahami sandhangan aksara Jawa.</v>
      </c>
      <c r="AE54" s="589">
        <f>'MLK2-3'!BP53</f>
        <v>84</v>
      </c>
      <c r="AF54" s="589" t="str">
        <f>'MLK2-3'!BQ53</f>
        <v>B</v>
      </c>
      <c r="AG54" s="589" t="str">
        <f>'MLK2-3'!BV53</f>
        <v>Anak 49 baik  dalam mengenal, memahami dan mengidentifikasi macam-macam kalimat (order, request, and prengenal obyek-obyek wisata dan memahami penggunaan kalimat ungkapan terima kasih, dan  cukup baik  dalam memahami penggunaan kalimat yang menunjukkan letak suatu tempat</v>
      </c>
      <c r="AH54" s="589">
        <f>'MLK3-3'!BP53</f>
        <v>84</v>
      </c>
      <c r="AI54" s="589" t="str">
        <f>'MLK3-3'!BQ53</f>
        <v>B</v>
      </c>
      <c r="AJ54" s="589" t="str">
        <f>'MLK3-3'!BV53</f>
        <v>Anak 49 baik  dalam mengenal dan memahami penggunaan microsoft  word., dan  cukup baik  dalam memahami pembuatan dokumen di microsoft  word</v>
      </c>
      <c r="AK54" s="471" t="s">
        <v>734</v>
      </c>
    </row>
    <row r="55" spans="1:37" ht="15.75">
      <c r="A55" s="191">
        <v>50</v>
      </c>
      <c r="B55" s="529">
        <f>SISWA!B55</f>
        <v>0</v>
      </c>
      <c r="C55" s="572" t="str">
        <f>SISWA!C55</f>
        <v>Anak 50</v>
      </c>
      <c r="D55" s="718">
        <f>'PAI3'!EX55</f>
        <v>99</v>
      </c>
      <c r="E55" s="718" t="str">
        <f>'PAI3'!EY55</f>
        <v>A</v>
      </c>
      <c r="F55" s="596" t="str">
        <f>'PAI3'!FD55</f>
        <v>Anak 50 sangat baik  dalam memahami Q.S. al- Falaq dan Q.S. al- Fil dengan baik dan benar</v>
      </c>
      <c r="G55" s="589">
        <f>'PKN3'!BI54</f>
        <v>80</v>
      </c>
      <c r="H55" s="589" t="str">
        <f>'PKN3'!BJ54</f>
        <v>C</v>
      </c>
      <c r="I55" s="589" t="str">
        <f>'PKN3'!BO54</f>
        <v>Anak 50 baik  dalam menjelaskan manfaat keberagaman karakteristik individu dalam kehidupan sehari-hari., dan  cukup baik  dalam mengidentifikasi berbagai bentuk keragaman suku bangsa, sosial, dan budaya di Indonesia yang terikat persatuan dan kesatuan.</v>
      </c>
      <c r="J55" s="589">
        <f>BIND3!BT54</f>
        <v>99</v>
      </c>
      <c r="K55" s="589" t="str">
        <f>BIND3!BU54</f>
        <v>A</v>
      </c>
      <c r="L55" s="589" t="str">
        <f>BIND3!BZ54</f>
        <v>Anak 50 sangat baik  dalam menggali isi dan amanat puisi yang disajikan secara lisan dan tulis dengan tujuan untuk kesenangan.</v>
      </c>
      <c r="M55" s="589">
        <f>'MTK3'!CC54</f>
        <v>95</v>
      </c>
      <c r="N55" s="589" t="str">
        <f>'MTK3'!CD54</f>
        <v>A</v>
      </c>
      <c r="O55" s="589" t="str">
        <f>'MTK3'!CI54</f>
        <v>Anak 50 sangat baik  dalam menjelaskan pecahan-pecahan senilai dengan gambar dan model konkret, dan  baik  dalam menjelaskan berbagai bentuk pecahan (biasa, campuran, desimal, dan persen) dan hubungan di antaranya</v>
      </c>
      <c r="P55" s="589">
        <f>'IPA3'!BM54</f>
        <v>99</v>
      </c>
      <c r="Q55" s="589" t="str">
        <f>'IPA3'!BN54</f>
        <v>A</v>
      </c>
      <c r="R55" s="589" t="str">
        <f>'IPA3'!BS54</f>
        <v>Anak 50 sangat baik  dalam membandingkan siklus hidup beberapa jenis makhluk hidup serta mengaitkan dengan upaya pelestariannya.</v>
      </c>
      <c r="S55" s="589">
        <f>'IPS3'!BM54</f>
        <v>99</v>
      </c>
      <c r="T55" s="589" t="str">
        <f>'IPS3'!BN54</f>
        <v>A</v>
      </c>
      <c r="U55" s="589" t="str">
        <f>'IPS3'!BS54</f>
        <v>Anak 50 sangat baik  dalam mengidentifikasi karakteristik ruang dan pemanfaatan sumberdaya alam untuk kesejahteraan masyarakat dari tingkatkota/kabupaten sampai tingkat provinsi.</v>
      </c>
      <c r="V55" s="589">
        <f>SBDP3!BM54</f>
        <v>99</v>
      </c>
      <c r="W55" s="589" t="str">
        <f>SBDP3!BN54</f>
        <v>A</v>
      </c>
      <c r="X55" s="589" t="str">
        <f>SBDP3!BS54</f>
        <v>Anak 50 sangat baik  dalam mengetahui tanda tempo dan tinggi rendah nada.</v>
      </c>
      <c r="Y55" s="589">
        <f>PJOK3!BM54</f>
        <v>80</v>
      </c>
      <c r="Z55" s="589" t="str">
        <f>PJOK3!BN54</f>
        <v>C</v>
      </c>
      <c r="AA55" s="589" t="str">
        <f>PJOK3!BS54</f>
        <v>Anak 50 baik  dalam memahami konsep variasi dan kombinasi pola gerak dasar lokomotorr dan nonlokomotor untuk membentuk gerakan dasar atletik jalan cepat dan lari melalui permainan dan atau olahraga tradisional, dan  cukup baik  dalam memahami konsep variasi dan kombinasi gerak dasar lokomotor,non lokomotor, dan manipulative dalam berbagai permainan dan atau olahraga tradisional bola kecii.</v>
      </c>
      <c r="AB55" s="589">
        <f>'MLK1-3'!BT54</f>
        <v>80</v>
      </c>
      <c r="AC55" s="589" t="str">
        <f>'MLK1-3'!BU54</f>
        <v>C</v>
      </c>
      <c r="AD55" s="589" t="str">
        <f>'MLK1-3'!BZ54</f>
        <v>Anak 50 baik  dalam mengenal dan memahmi teks tembang dolanan, dan  cukup baik  dalam mengenal dan memahami sandhangan aksara Jawa.</v>
      </c>
      <c r="AE55" s="589">
        <f>'MLK2-3'!BP54</f>
        <v>80</v>
      </c>
      <c r="AF55" s="589" t="str">
        <f>'MLK2-3'!BQ54</f>
        <v>C</v>
      </c>
      <c r="AG55" s="589" t="str">
        <f>'MLK2-3'!BV54</f>
        <v>Anak 50 baik  dalam mengenal, memahami dan mengidentifikasi macam-macam kalimat (order, request, and prengenal obyek-obyek wisata dan memahami penggunaan kalimat ungkapan terima kasih, dan  cukup baik  dalam memahami penggunaan kalimat yang menunjukkan letak suatu tempat</v>
      </c>
      <c r="AH55" s="589">
        <f>'MLK3-3'!BP54</f>
        <v>80</v>
      </c>
      <c r="AI55" s="589" t="str">
        <f>'MLK3-3'!BQ54</f>
        <v>C</v>
      </c>
      <c r="AJ55" s="589" t="str">
        <f>'MLK3-3'!BV54</f>
        <v>Anak 50 baik  dalam mengenal dan memahami penggunaan microsoft  word., dan  cukup baik  dalam memahami pembuatan dokumen di microsoft  word</v>
      </c>
      <c r="AK55" s="471" t="s">
        <v>734</v>
      </c>
    </row>
  </sheetData>
  <mergeCells count="16">
    <mergeCell ref="AE3:AG3"/>
    <mergeCell ref="AH3:AJ3"/>
    <mergeCell ref="AK3:AK4"/>
    <mergeCell ref="M3:O3"/>
    <mergeCell ref="P3:R3"/>
    <mergeCell ref="S3:U3"/>
    <mergeCell ref="V3:X3"/>
    <mergeCell ref="Y3:AA3"/>
    <mergeCell ref="AB3:AD3"/>
    <mergeCell ref="B1:J1"/>
    <mergeCell ref="A3:A4"/>
    <mergeCell ref="B3:B4"/>
    <mergeCell ref="C3:C4"/>
    <mergeCell ref="D3:F3"/>
    <mergeCell ref="G3:I3"/>
    <mergeCell ref="J3:L3"/>
  </mergeCells>
  <pageMargins left="0.7" right="0.7" top="0.75" bottom="0.75" header="0.3" footer="0.3"/>
  <pageSetup orientation="portrait" horizontalDpi="4294967293" verticalDpi="0" r:id="rId1"/>
  <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143"/>
  <sheetViews>
    <sheetView view="pageBreakPreview" zoomScale="70" zoomScaleNormal="100" zoomScaleSheetLayoutView="70" workbookViewId="0">
      <selection sqref="A1:S1"/>
    </sheetView>
  </sheetViews>
  <sheetFormatPr defaultRowHeight="15"/>
  <cols>
    <col min="1" max="1" width="4.28515625" customWidth="1"/>
    <col min="2" max="2" width="3.5703125" customWidth="1"/>
    <col min="3" max="3" width="10.7109375" customWidth="1"/>
    <col min="4" max="4" width="4.42578125" customWidth="1"/>
    <col min="5" max="5" width="2" customWidth="1"/>
    <col min="6" max="6" width="3" customWidth="1"/>
    <col min="7" max="7" width="12.85546875" customWidth="1"/>
    <col min="8" max="8" width="8" customWidth="1"/>
    <col min="9" max="9" width="9.85546875" customWidth="1"/>
    <col min="10" max="11" width="6" customWidth="1"/>
    <col min="12" max="12" width="5.7109375" customWidth="1"/>
    <col min="13" max="17" width="6" customWidth="1"/>
    <col min="18" max="18" width="40.140625" customWidth="1"/>
    <col min="19" max="19" width="2.28515625" customWidth="1"/>
    <col min="21" max="21" width="22.5703125" customWidth="1"/>
  </cols>
  <sheetData>
    <row r="1" spans="1:20" s="5" customFormat="1" ht="18" customHeight="1">
      <c r="A1" s="1351" t="str">
        <f>CONCATENATE(" Pemerintah Kabupaten ",DEPAN!E20)</f>
        <v xml:space="preserve"> Pemerintah Kabupaten Lumajang </v>
      </c>
      <c r="B1" s="1351"/>
      <c r="C1" s="1351"/>
      <c r="D1" s="1351"/>
      <c r="E1" s="1351"/>
      <c r="F1" s="1351"/>
      <c r="G1" s="1351"/>
      <c r="H1" s="1351"/>
      <c r="I1" s="1351"/>
      <c r="J1" s="1351"/>
      <c r="K1" s="1351"/>
      <c r="L1" s="1351"/>
      <c r="M1" s="1351"/>
      <c r="N1" s="1351"/>
      <c r="O1" s="1351"/>
      <c r="P1" s="1351"/>
      <c r="Q1" s="1351"/>
      <c r="R1" s="1351"/>
      <c r="S1" s="1351"/>
    </row>
    <row r="2" spans="1:20" s="5" customFormat="1" ht="18" customHeight="1">
      <c r="A2" s="1351" t="s">
        <v>735</v>
      </c>
      <c r="B2" s="1351"/>
      <c r="C2" s="1351"/>
      <c r="D2" s="1351"/>
      <c r="E2" s="1351"/>
      <c r="F2" s="1351"/>
      <c r="G2" s="1351"/>
      <c r="H2" s="1351"/>
      <c r="I2" s="1351"/>
      <c r="J2" s="1351"/>
      <c r="K2" s="1351"/>
      <c r="L2" s="1351"/>
      <c r="M2" s="1351"/>
      <c r="N2" s="1351"/>
      <c r="O2" s="1351"/>
      <c r="P2" s="1351"/>
      <c r="Q2" s="1351"/>
      <c r="R2" s="1351"/>
      <c r="S2" s="1351"/>
    </row>
    <row r="3" spans="1:20" s="5" customFormat="1" ht="28.5">
      <c r="A3" s="1352" t="str">
        <f>DEPAN!E10</f>
        <v>SDN UJUNG ASPAL 01</v>
      </c>
      <c r="B3" s="1352"/>
      <c r="C3" s="1352"/>
      <c r="D3" s="1352"/>
      <c r="E3" s="1352"/>
      <c r="F3" s="1352"/>
      <c r="G3" s="1352"/>
      <c r="H3" s="1352"/>
      <c r="I3" s="1352"/>
      <c r="J3" s="1352"/>
      <c r="K3" s="1352"/>
      <c r="L3" s="1352"/>
      <c r="M3" s="1352"/>
      <c r="N3" s="1352"/>
      <c r="O3" s="1352"/>
      <c r="P3" s="1352"/>
      <c r="Q3" s="1352"/>
      <c r="R3" s="1352"/>
      <c r="S3" s="1352"/>
    </row>
    <row r="4" spans="1:20" s="5" customFormat="1" ht="20.25" customHeight="1">
      <c r="A4" s="1351" t="str">
        <f>DEPAN!E11</f>
        <v>Jl.Ndeso gang 33 Sidokuto</v>
      </c>
      <c r="B4" s="1351"/>
      <c r="C4" s="1351"/>
      <c r="D4" s="1351"/>
      <c r="E4" s="1351"/>
      <c r="F4" s="1351"/>
      <c r="G4" s="1351"/>
      <c r="H4" s="1351"/>
      <c r="I4" s="1351"/>
      <c r="J4" s="1351"/>
      <c r="K4" s="1351"/>
      <c r="L4" s="1351"/>
      <c r="M4" s="1351"/>
      <c r="N4" s="1351"/>
      <c r="O4" s="1351"/>
      <c r="P4" s="1351"/>
      <c r="Q4" s="1351"/>
      <c r="R4" s="1351"/>
      <c r="S4" s="1351"/>
    </row>
    <row r="5" spans="1:20" s="5" customFormat="1" ht="24" customHeight="1">
      <c r="A5" s="1353" t="str">
        <f>CONCATENATE("Kecamatan ",DEPAN!E19," Kabupaten ",DEPAN!E20," Propinsi ",DEPAN!E21)</f>
        <v>Kecamatan Ranuyoso Kabupaten Lumajang  Propinsi Jawa Timur</v>
      </c>
      <c r="B5" s="1353"/>
      <c r="C5" s="1353"/>
      <c r="D5" s="1353"/>
      <c r="E5" s="1353"/>
      <c r="F5" s="1353"/>
      <c r="G5" s="1353"/>
      <c r="H5" s="1353"/>
      <c r="I5" s="1353"/>
      <c r="J5" s="1353"/>
      <c r="K5" s="1353"/>
      <c r="L5" s="1353"/>
      <c r="M5" s="1353"/>
      <c r="N5" s="1353"/>
      <c r="O5" s="1353"/>
      <c r="P5" s="1353"/>
      <c r="Q5" s="1353"/>
      <c r="R5" s="1353"/>
      <c r="S5" s="1353"/>
    </row>
    <row r="6" spans="1:20" s="5" customFormat="1" ht="13.5" customHeight="1">
      <c r="A6" s="1350"/>
      <c r="B6" s="1350"/>
      <c r="C6" s="1350"/>
      <c r="D6" s="1350"/>
      <c r="E6" s="1350"/>
      <c r="F6" s="1350"/>
      <c r="G6" s="1350"/>
      <c r="H6" s="1350"/>
      <c r="I6" s="1350"/>
      <c r="J6" s="1350"/>
      <c r="K6" s="1350"/>
      <c r="L6" s="1350"/>
      <c r="M6" s="1350"/>
    </row>
    <row r="7" spans="1:20" ht="13.5" customHeight="1"/>
    <row r="8" spans="1:20" s="5" customFormat="1" ht="13.5" customHeight="1">
      <c r="A8" s="1350"/>
      <c r="B8" s="1350"/>
      <c r="C8" s="1350"/>
      <c r="D8" s="1350"/>
      <c r="E8" s="1350"/>
      <c r="F8" s="1350"/>
      <c r="G8" s="1350"/>
      <c r="H8" s="1350"/>
      <c r="I8" s="1350"/>
      <c r="J8" s="1350"/>
      <c r="K8" s="1350"/>
      <c r="L8" s="1350"/>
      <c r="M8" s="1350"/>
    </row>
    <row r="9" spans="1:20" ht="24.75" customHeight="1">
      <c r="A9" s="1382" t="s">
        <v>910</v>
      </c>
      <c r="B9" s="1382"/>
      <c r="C9" s="1382"/>
      <c r="D9" s="1382"/>
      <c r="E9" s="1382"/>
      <c r="F9" s="1382"/>
      <c r="G9" s="1382"/>
      <c r="H9" s="1382"/>
      <c r="I9" s="1382"/>
      <c r="J9" s="1382"/>
      <c r="K9" s="1382"/>
      <c r="L9" s="1382"/>
      <c r="M9" s="1382"/>
      <c r="N9" s="1382"/>
      <c r="O9" s="1382"/>
      <c r="P9" s="1382"/>
      <c r="Q9" s="1382"/>
      <c r="R9" s="1382"/>
    </row>
    <row r="10" spans="1:20" ht="15.75" customHeight="1">
      <c r="A10" s="24"/>
      <c r="B10" s="24"/>
      <c r="C10" s="24"/>
      <c r="D10" s="24"/>
      <c r="E10" s="24"/>
      <c r="F10" s="24"/>
      <c r="G10" s="24"/>
      <c r="H10" s="24"/>
      <c r="I10" s="24"/>
      <c r="J10" s="24"/>
      <c r="K10" s="24"/>
      <c r="L10" s="24"/>
      <c r="M10" s="24"/>
      <c r="N10" s="24"/>
      <c r="O10" s="24"/>
      <c r="P10" s="24"/>
      <c r="Q10" s="24"/>
      <c r="R10" s="24"/>
    </row>
    <row r="11" spans="1:20" ht="15.75">
      <c r="A11" s="1372" t="s">
        <v>291</v>
      </c>
      <c r="B11" s="1372"/>
      <c r="C11" s="1372"/>
      <c r="D11" s="1372"/>
      <c r="E11" s="709" t="s">
        <v>188</v>
      </c>
      <c r="F11" s="1372" t="str">
        <f>VLOOKUP(T13,'REKAP PTS'!A3:BS56,3)</f>
        <v>Anak 1</v>
      </c>
      <c r="G11" s="1372"/>
      <c r="H11" s="1372"/>
      <c r="I11" s="1372"/>
      <c r="J11" s="1372"/>
      <c r="K11" s="1372"/>
      <c r="L11" s="1372"/>
      <c r="M11" s="537" t="s">
        <v>629</v>
      </c>
      <c r="N11" s="537"/>
      <c r="O11" s="537"/>
      <c r="P11" s="713" t="s">
        <v>188</v>
      </c>
      <c r="Q11" s="537" t="str">
        <f>DEPAN!E14</f>
        <v>4 (Empat)</v>
      </c>
    </row>
    <row r="12" spans="1:20" ht="15.75" customHeight="1">
      <c r="A12" s="1372" t="s">
        <v>712</v>
      </c>
      <c r="B12" s="1372"/>
      <c r="C12" s="1372"/>
      <c r="D12" s="1372"/>
      <c r="E12" s="709" t="s">
        <v>188</v>
      </c>
      <c r="F12" s="1372">
        <f>VLOOKUP(T13,'REKAP PTS'!A3:BS56,2)</f>
        <v>4822</v>
      </c>
      <c r="G12" s="1372"/>
      <c r="H12" s="1372"/>
      <c r="I12" s="1372"/>
      <c r="J12" s="539"/>
      <c r="K12" s="1372"/>
      <c r="L12" s="1372"/>
      <c r="M12" s="537" t="s">
        <v>13</v>
      </c>
      <c r="N12" s="537"/>
      <c r="O12" s="537"/>
      <c r="P12" s="713" t="s">
        <v>188</v>
      </c>
      <c r="Q12" s="537" t="str">
        <f>DEPAN!G14</f>
        <v>Genap</v>
      </c>
    </row>
    <row r="13" spans="1:20" ht="16.5" customHeight="1">
      <c r="A13" s="1372" t="s">
        <v>11</v>
      </c>
      <c r="B13" s="1372"/>
      <c r="C13" s="1372"/>
      <c r="D13" s="1372"/>
      <c r="E13" s="709" t="s">
        <v>188</v>
      </c>
      <c r="F13" s="1372" t="str">
        <f>DEPAN!E10</f>
        <v>SDN UJUNG ASPAL 01</v>
      </c>
      <c r="G13" s="1372"/>
      <c r="H13" s="1372"/>
      <c r="I13" s="1372"/>
      <c r="J13" s="1372"/>
      <c r="K13" s="1372"/>
      <c r="L13" s="1372"/>
      <c r="M13" s="537" t="s">
        <v>590</v>
      </c>
      <c r="N13" s="537"/>
      <c r="O13" s="537"/>
      <c r="P13" s="713" t="s">
        <v>188</v>
      </c>
      <c r="Q13" s="537" t="str">
        <f>DEPAN!E15</f>
        <v>2018/2019</v>
      </c>
      <c r="T13" s="1371">
        <v>1</v>
      </c>
    </row>
    <row r="14" spans="1:20" ht="15.75">
      <c r="A14" s="1372" t="s">
        <v>217</v>
      </c>
      <c r="B14" s="1372"/>
      <c r="C14" s="1372"/>
      <c r="D14" s="1372"/>
      <c r="E14" s="709" t="s">
        <v>188</v>
      </c>
      <c r="F14" s="1372" t="str">
        <f>DEPAN!E11</f>
        <v>Jl.Ndeso gang 33 Sidokuto</v>
      </c>
      <c r="G14" s="1372"/>
      <c r="H14" s="1372"/>
      <c r="I14" s="1372"/>
      <c r="J14" s="1372"/>
      <c r="K14" s="1372"/>
      <c r="L14" s="1372"/>
      <c r="M14" s="1372"/>
      <c r="N14" s="1372"/>
      <c r="O14" s="1372"/>
      <c r="P14" s="1372"/>
      <c r="Q14" s="1372"/>
      <c r="R14" s="1372"/>
      <c r="T14" s="1371"/>
    </row>
    <row r="15" spans="1:20" ht="15.75" customHeight="1">
      <c r="A15" s="501"/>
      <c r="B15" s="501"/>
      <c r="C15" s="540"/>
      <c r="D15" s="540"/>
      <c r="E15" s="540"/>
      <c r="F15" s="540"/>
      <c r="G15" s="540"/>
      <c r="H15" s="540"/>
      <c r="I15" s="540"/>
      <c r="J15" s="540"/>
      <c r="K15" s="540"/>
      <c r="L15" s="540"/>
      <c r="M15" s="540"/>
      <c r="N15" s="540"/>
      <c r="O15" s="540"/>
      <c r="P15" s="540"/>
      <c r="Q15" s="540"/>
      <c r="R15" s="540"/>
    </row>
    <row r="16" spans="1:20" ht="16.5" customHeight="1">
      <c r="A16" s="501"/>
      <c r="B16" s="501"/>
      <c r="C16" s="541" t="s">
        <v>713</v>
      </c>
      <c r="D16" s="541"/>
      <c r="E16" s="540"/>
      <c r="F16" s="540"/>
      <c r="G16" s="540"/>
      <c r="H16" s="540"/>
      <c r="I16" s="540"/>
      <c r="J16" s="540"/>
      <c r="K16" s="540"/>
      <c r="L16" s="540"/>
      <c r="M16" s="540"/>
      <c r="N16" s="540"/>
      <c r="O16" s="540"/>
      <c r="P16" s="540"/>
      <c r="Q16" s="540"/>
      <c r="R16" s="540"/>
    </row>
    <row r="17" spans="1:20" ht="15.75">
      <c r="A17" s="501"/>
      <c r="B17" s="501"/>
      <c r="C17" s="540"/>
      <c r="D17" s="540"/>
      <c r="E17" s="540"/>
      <c r="F17" s="540"/>
      <c r="G17" s="540"/>
      <c r="H17" s="540"/>
      <c r="I17" s="540"/>
      <c r="J17" s="540"/>
      <c r="K17" s="540"/>
      <c r="L17" s="540"/>
      <c r="M17" s="540"/>
      <c r="N17" s="540"/>
      <c r="O17" s="540"/>
      <c r="P17" s="540"/>
      <c r="Q17" s="540"/>
      <c r="R17" s="540"/>
      <c r="S17" s="24"/>
      <c r="T17" t="s">
        <v>714</v>
      </c>
    </row>
    <row r="18" spans="1:20" s="714" customFormat="1" ht="34.5" customHeight="1">
      <c r="A18" s="719" t="s">
        <v>16</v>
      </c>
      <c r="B18" s="1387" t="s">
        <v>222</v>
      </c>
      <c r="C18" s="1387"/>
      <c r="D18" s="1387"/>
      <c r="E18" s="1387"/>
      <c r="F18" s="1387"/>
      <c r="G18" s="1387"/>
      <c r="H18" s="720" t="s">
        <v>5</v>
      </c>
      <c r="I18" s="711" t="s">
        <v>6</v>
      </c>
      <c r="J18" s="1381" t="s">
        <v>180</v>
      </c>
      <c r="K18" s="1381"/>
      <c r="L18" s="1381"/>
      <c r="M18" s="1381"/>
      <c r="N18" s="1381"/>
      <c r="O18" s="1381"/>
      <c r="P18" s="1381"/>
      <c r="Q18" s="1381"/>
      <c r="R18" s="1381"/>
      <c r="S18" s="542"/>
    </row>
    <row r="19" spans="1:20" ht="27.75" customHeight="1">
      <c r="A19" s="1367" t="s">
        <v>715</v>
      </c>
      <c r="B19" s="1355" t="s">
        <v>637</v>
      </c>
      <c r="C19" s="1356"/>
      <c r="D19" s="1356"/>
      <c r="E19" s="1356"/>
      <c r="F19" s="1356"/>
      <c r="G19" s="1357"/>
      <c r="H19" s="1369">
        <f>VLOOKUP($T$13,'REKAP PTS 2'!$A$6:$AK$55,4)</f>
        <v>96</v>
      </c>
      <c r="I19" s="1369" t="str">
        <f>VLOOKUP($T$13,'REKAP PTS 2'!$A$6:$AK$55,5)</f>
        <v>A</v>
      </c>
      <c r="J19" s="1355" t="str">
        <f>VLOOKUP($T$13,'REKAP PTS 2'!$A$6:$AK$55,6)</f>
        <v>Anak 1 sangat baik  dalam memahami manfaat gemar membaca, dan  baik  dalam memahami Q.S. al- Falaq dan Q.S. al- Fil dengan baik dan benar</v>
      </c>
      <c r="K19" s="1356"/>
      <c r="L19" s="1356"/>
      <c r="M19" s="1356"/>
      <c r="N19" s="1356"/>
      <c r="O19" s="1356"/>
      <c r="P19" s="1356"/>
      <c r="Q19" s="1356"/>
      <c r="R19" s="1357"/>
      <c r="S19" s="542"/>
    </row>
    <row r="20" spans="1:20" ht="27.75" customHeight="1">
      <c r="A20" s="1368"/>
      <c r="B20" s="1358"/>
      <c r="C20" s="1359"/>
      <c r="D20" s="1359"/>
      <c r="E20" s="1359"/>
      <c r="F20" s="1359"/>
      <c r="G20" s="1360"/>
      <c r="H20" s="1370"/>
      <c r="I20" s="1370"/>
      <c r="J20" s="1358"/>
      <c r="K20" s="1359"/>
      <c r="L20" s="1359"/>
      <c r="M20" s="1359"/>
      <c r="N20" s="1359"/>
      <c r="O20" s="1359"/>
      <c r="P20" s="1359"/>
      <c r="Q20" s="1359"/>
      <c r="R20" s="1360"/>
      <c r="S20" s="545"/>
    </row>
    <row r="21" spans="1:20" ht="27.75" customHeight="1">
      <c r="A21" s="1367" t="s">
        <v>716</v>
      </c>
      <c r="B21" s="1355" t="s">
        <v>638</v>
      </c>
      <c r="C21" s="1356"/>
      <c r="D21" s="1356"/>
      <c r="E21" s="1356"/>
      <c r="F21" s="1356"/>
      <c r="G21" s="1357"/>
      <c r="H21" s="1369">
        <f>VLOOKUP($T$13,'REKAP PTS 2'!$A$6:$AK$55,7)</f>
        <v>81</v>
      </c>
      <c r="I21" s="1369" t="str">
        <f>VLOOKUP($T$13,'REKAP PTS 2'!$A$6:$AK$55,8)</f>
        <v>B</v>
      </c>
      <c r="J21" s="1355" t="str">
        <f>VLOOKUP($T$13,'REKAP PTS 2'!$A$6:$AK$55,9)</f>
        <v>Anak 1 sangat baik  dalam mengidentifikasi berbagai bentuk keragaman suku bangsa, sosial, dan budaya di Indonesia yang terikat persatuan dan kesatuan., dan  perlu bimbingan  dalam menjelaskan manfaat keberagaman karakteristik individu dalam kehidupan sehari-hari.</v>
      </c>
      <c r="K21" s="1356"/>
      <c r="L21" s="1356"/>
      <c r="M21" s="1356"/>
      <c r="N21" s="1356"/>
      <c r="O21" s="1356"/>
      <c r="P21" s="1356"/>
      <c r="Q21" s="1356"/>
      <c r="R21" s="1357"/>
      <c r="S21" s="546"/>
    </row>
    <row r="22" spans="1:20" ht="27.75" customHeight="1">
      <c r="A22" s="1368"/>
      <c r="B22" s="1358"/>
      <c r="C22" s="1359"/>
      <c r="D22" s="1359"/>
      <c r="E22" s="1359"/>
      <c r="F22" s="1359"/>
      <c r="G22" s="1360"/>
      <c r="H22" s="1370"/>
      <c r="I22" s="1370"/>
      <c r="J22" s="1358"/>
      <c r="K22" s="1359"/>
      <c r="L22" s="1359"/>
      <c r="M22" s="1359"/>
      <c r="N22" s="1359"/>
      <c r="O22" s="1359"/>
      <c r="P22" s="1359"/>
      <c r="Q22" s="1359"/>
      <c r="R22" s="1360"/>
      <c r="S22" s="546"/>
    </row>
    <row r="23" spans="1:20" ht="27.75" customHeight="1">
      <c r="A23" s="1367" t="s">
        <v>717</v>
      </c>
      <c r="B23" s="1355" t="s">
        <v>225</v>
      </c>
      <c r="C23" s="1356"/>
      <c r="D23" s="1356"/>
      <c r="E23" s="1356"/>
      <c r="F23" s="1356"/>
      <c r="G23" s="1357"/>
      <c r="H23" s="1369">
        <f>VLOOKUP($T$13,'REKAP PTS 2'!$A$6:$AK$55,10)</f>
        <v>72</v>
      </c>
      <c r="I23" s="1369" t="str">
        <f>VLOOKUP($T$13,'REKAP PTS 2'!$A$6:$AK$55,11)</f>
        <v>C</v>
      </c>
      <c r="J23" s="1355" t="str">
        <f>VLOOKUP($T$13,'REKAP PTS 2'!$A$6:$AK$55,12)</f>
        <v>Anak 1 cukup baik  dalam menggali pengetahuan baru yang terdapat pada teks nonfiksi., dan  perlu bimbingan  dalam menggali isi dan amanat puisi yang disajikan secara lisan dan tulis dengan tujuan untuk kesenangan.</v>
      </c>
      <c r="K23" s="1356"/>
      <c r="L23" s="1356"/>
      <c r="M23" s="1356"/>
      <c r="N23" s="1356"/>
      <c r="O23" s="1356"/>
      <c r="P23" s="1356"/>
      <c r="Q23" s="1356"/>
      <c r="R23" s="1357"/>
      <c r="S23" s="545"/>
    </row>
    <row r="24" spans="1:20" ht="27.75" customHeight="1">
      <c r="A24" s="1368"/>
      <c r="B24" s="1358"/>
      <c r="C24" s="1359"/>
      <c r="D24" s="1359"/>
      <c r="E24" s="1359"/>
      <c r="F24" s="1359"/>
      <c r="G24" s="1360"/>
      <c r="H24" s="1370"/>
      <c r="I24" s="1370"/>
      <c r="J24" s="1358"/>
      <c r="K24" s="1359"/>
      <c r="L24" s="1359"/>
      <c r="M24" s="1359"/>
      <c r="N24" s="1359"/>
      <c r="O24" s="1359"/>
      <c r="P24" s="1359"/>
      <c r="Q24" s="1359"/>
      <c r="R24" s="1360"/>
      <c r="S24" s="545"/>
    </row>
    <row r="25" spans="1:20" ht="27.75" customHeight="1">
      <c r="A25" s="1367" t="s">
        <v>718</v>
      </c>
      <c r="B25" s="1355" t="s">
        <v>226</v>
      </c>
      <c r="C25" s="1356"/>
      <c r="D25" s="1356"/>
      <c r="E25" s="1356"/>
      <c r="F25" s="1356"/>
      <c r="G25" s="1357"/>
      <c r="H25" s="1369">
        <f>VLOOKUP($T$13,'REKAP PTS 2'!$A$6:$AK$55,13)</f>
        <v>77</v>
      </c>
      <c r="I25" s="1369" t="str">
        <f>VLOOKUP($T$13,'REKAP PTS 2'!$A$6:$AK$55,14)</f>
        <v>C</v>
      </c>
      <c r="J25" s="1355" t="str">
        <f>VLOOKUP($T$13,'REKAP PTS 2'!$A$6:$AK$55,15)</f>
        <v>Anak 1 baik  dalam menjelaskan berbagai bentuk pecahan (biasa, campuran, desimal, dan persen) dan hubungan di antaranya, dan  perlu bimbingan  dalam menjelaskan pecahan-pecahan senilai dengan gambar dan model konkret</v>
      </c>
      <c r="K25" s="1356"/>
      <c r="L25" s="1356"/>
      <c r="M25" s="1356"/>
      <c r="N25" s="1356"/>
      <c r="O25" s="1356"/>
      <c r="P25" s="1356"/>
      <c r="Q25" s="1356"/>
      <c r="R25" s="1357"/>
      <c r="S25" s="542"/>
    </row>
    <row r="26" spans="1:20" ht="27.75" customHeight="1">
      <c r="A26" s="1368"/>
      <c r="B26" s="1358"/>
      <c r="C26" s="1359"/>
      <c r="D26" s="1359"/>
      <c r="E26" s="1359"/>
      <c r="F26" s="1359"/>
      <c r="G26" s="1360"/>
      <c r="H26" s="1370"/>
      <c r="I26" s="1370"/>
      <c r="J26" s="1358"/>
      <c r="K26" s="1359"/>
      <c r="L26" s="1359"/>
      <c r="M26" s="1359"/>
      <c r="N26" s="1359"/>
      <c r="O26" s="1359"/>
      <c r="P26" s="1359"/>
      <c r="Q26" s="1359"/>
      <c r="R26" s="1360"/>
      <c r="S26" s="542"/>
    </row>
    <row r="27" spans="1:20" ht="27.75" customHeight="1">
      <c r="A27" s="1367" t="s">
        <v>719</v>
      </c>
      <c r="B27" s="1355" t="s">
        <v>639</v>
      </c>
      <c r="C27" s="1356"/>
      <c r="D27" s="1356"/>
      <c r="E27" s="1356"/>
      <c r="F27" s="1356"/>
      <c r="G27" s="1357"/>
      <c r="H27" s="1369">
        <f>VLOOKUP($T$13,'REKAP PTS 2'!$A$6:$AK$55,16)</f>
        <v>88</v>
      </c>
      <c r="I27" s="1369" t="str">
        <f>VLOOKUP($T$13,'REKAP PTS 2'!$A$6:$AK$55,17)</f>
        <v>B</v>
      </c>
      <c r="J27" s="1355" t="str">
        <f>VLOOKUP($T$13,'REKAP PTS 2'!$A$6:$AK$55,18)</f>
        <v>Anak 1 baik  dalam mengidentifikasi macam-macam gaya, antara lain: gaya otot, gaya listrik, gaya magnet, gaya gravitasi, dan gaya gesekan., dan  baik  dalam membandingkan siklus hidup beberapa jenis makhluk hidup serta mengaitkan dengan upaya pelestariannya.</v>
      </c>
      <c r="K27" s="1356"/>
      <c r="L27" s="1356"/>
      <c r="M27" s="1356"/>
      <c r="N27" s="1356"/>
      <c r="O27" s="1356"/>
      <c r="P27" s="1356"/>
      <c r="Q27" s="1356"/>
      <c r="R27" s="1357"/>
      <c r="S27" s="542"/>
    </row>
    <row r="28" spans="1:20" ht="27.75" customHeight="1">
      <c r="A28" s="1368"/>
      <c r="B28" s="1358"/>
      <c r="C28" s="1359"/>
      <c r="D28" s="1359"/>
      <c r="E28" s="1359"/>
      <c r="F28" s="1359"/>
      <c r="G28" s="1360"/>
      <c r="H28" s="1370"/>
      <c r="I28" s="1370"/>
      <c r="J28" s="1358"/>
      <c r="K28" s="1359"/>
      <c r="L28" s="1359"/>
      <c r="M28" s="1359"/>
      <c r="N28" s="1359"/>
      <c r="O28" s="1359"/>
      <c r="P28" s="1359"/>
      <c r="Q28" s="1359"/>
      <c r="R28" s="1360"/>
      <c r="S28" s="542"/>
    </row>
    <row r="29" spans="1:20" ht="27.75" customHeight="1">
      <c r="A29" s="1367" t="s">
        <v>720</v>
      </c>
      <c r="B29" s="1355" t="s">
        <v>640</v>
      </c>
      <c r="C29" s="1356"/>
      <c r="D29" s="1356"/>
      <c r="E29" s="1356"/>
      <c r="F29" s="1356"/>
      <c r="G29" s="1357"/>
      <c r="H29" s="1369">
        <f>VLOOKUP($T$13,'REKAP PTS 2'!$A$6:$AK$55,19)</f>
        <v>88</v>
      </c>
      <c r="I29" s="1369" t="str">
        <f>VLOOKUP($T$13,'REKAP PTS 2'!$A$6:$AK$55,20)</f>
        <v>B</v>
      </c>
      <c r="J29" s="1355" t="str">
        <f>VLOOKUP($T$13,'REKAP PTS 2'!$A$6:$AK$55,21)</f>
        <v>Anak 1 sangat baik  dalam mengidentifikasi karakteristik ruang dan pemanfaatan sumberdaya alam untuk kesejahteraan masyarakat dari tingkatkota/kabupaten sampai tingkat provinsi., dan  cukup baik  dalam mengidentifikasi keragaman sosial, ekonomi, budaya, etnis, dan agama di provinsi setempat sebagai identitas bangsa Indonesia serta hubungannya dengan karakteristik ruang.</v>
      </c>
      <c r="K29" s="1356"/>
      <c r="L29" s="1356"/>
      <c r="M29" s="1356"/>
      <c r="N29" s="1356"/>
      <c r="O29" s="1356"/>
      <c r="P29" s="1356"/>
      <c r="Q29" s="1356"/>
      <c r="R29" s="1357"/>
      <c r="S29" s="547"/>
    </row>
    <row r="30" spans="1:20" ht="57.75" customHeight="1">
      <c r="A30" s="1368"/>
      <c r="B30" s="1358"/>
      <c r="C30" s="1359"/>
      <c r="D30" s="1359"/>
      <c r="E30" s="1359"/>
      <c r="F30" s="1359"/>
      <c r="G30" s="1360"/>
      <c r="H30" s="1370"/>
      <c r="I30" s="1370"/>
      <c r="J30" s="1358"/>
      <c r="K30" s="1359"/>
      <c r="L30" s="1359"/>
      <c r="M30" s="1359"/>
      <c r="N30" s="1359"/>
      <c r="O30" s="1359"/>
      <c r="P30" s="1359"/>
      <c r="Q30" s="1359"/>
      <c r="R30" s="1360"/>
      <c r="S30" s="547"/>
    </row>
    <row r="31" spans="1:20" ht="27.75" customHeight="1">
      <c r="A31" s="1367" t="s">
        <v>721</v>
      </c>
      <c r="B31" s="1355" t="s">
        <v>641</v>
      </c>
      <c r="C31" s="1356"/>
      <c r="D31" s="1356"/>
      <c r="E31" s="1356"/>
      <c r="F31" s="1356"/>
      <c r="G31" s="1357"/>
      <c r="H31" s="1369">
        <f>VLOOKUP($T$13,'REKAP PTS 2'!$A$6:$AK$55,22)</f>
        <v>88</v>
      </c>
      <c r="I31" s="1369" t="str">
        <f>VLOOKUP($T$13,'REKAP PTS 2'!$A$6:$AK$55,23)</f>
        <v>B</v>
      </c>
      <c r="J31" s="1355" t="str">
        <f>VLOOKUP($T$13,'REKAP PTS 2'!$A$6:$AK$55,24)</f>
        <v>Anak 1 baik  dalam mengetahui tanda tempo dan tinggi rendah nada., dan  baik  dalam mengetahui gerak tari kreasi daerah.</v>
      </c>
      <c r="K31" s="1356"/>
      <c r="L31" s="1356"/>
      <c r="M31" s="1356"/>
      <c r="N31" s="1356"/>
      <c r="O31" s="1356"/>
      <c r="P31" s="1356"/>
      <c r="Q31" s="1356"/>
      <c r="R31" s="1357"/>
      <c r="S31" s="547"/>
    </row>
    <row r="32" spans="1:20" ht="27.75" customHeight="1">
      <c r="A32" s="1368"/>
      <c r="B32" s="1358"/>
      <c r="C32" s="1359"/>
      <c r="D32" s="1359"/>
      <c r="E32" s="1359"/>
      <c r="F32" s="1359"/>
      <c r="G32" s="1360"/>
      <c r="H32" s="1370"/>
      <c r="I32" s="1370"/>
      <c r="J32" s="1358"/>
      <c r="K32" s="1359"/>
      <c r="L32" s="1359"/>
      <c r="M32" s="1359"/>
      <c r="N32" s="1359"/>
      <c r="O32" s="1359"/>
      <c r="P32" s="1359"/>
      <c r="Q32" s="1359"/>
      <c r="R32" s="1360"/>
      <c r="S32" s="547"/>
    </row>
    <row r="33" spans="1:19" ht="27.75" customHeight="1">
      <c r="A33" s="1367" t="s">
        <v>722</v>
      </c>
      <c r="B33" s="1355" t="s">
        <v>642</v>
      </c>
      <c r="C33" s="1356"/>
      <c r="D33" s="1356"/>
      <c r="E33" s="1356"/>
      <c r="F33" s="1356"/>
      <c r="G33" s="1357"/>
      <c r="H33" s="1369">
        <f>VLOOKUP($T$13,'REKAP PTS 2'!$A$6:$AK$55,25)</f>
        <v>70</v>
      </c>
      <c r="I33" s="1369" t="str">
        <f>VLOOKUP($T$13,'REKAP PTS 2'!$A$6:$AK$55,26)</f>
        <v>C</v>
      </c>
      <c r="J33" s="1355" t="str">
        <f>VLOOKUP($T$13,'REKAP PTS 2'!$A$6:$AK$55,27)</f>
        <v>Anak 1 baik  dalam memahami konsep variasi dan kombinasi pola gerak dasar lokomotorr dan nonlokomotor untuk membentuk gerakan dasar atletik jalan cepat dan lari melalui permainan dan atau olahraga tradisional, dan  perlu bimbingan  dalam memahami konsep variasi dan kombinasi gerak dasar lokomotor,non lokomotor, dan manipulative dalam berbagai permainan dan atau olahraga tradisional bola kecii.</v>
      </c>
      <c r="K33" s="1356"/>
      <c r="L33" s="1356"/>
      <c r="M33" s="1356"/>
      <c r="N33" s="1356"/>
      <c r="O33" s="1356"/>
      <c r="P33" s="1356"/>
      <c r="Q33" s="1356"/>
      <c r="R33" s="1357"/>
      <c r="S33" s="547"/>
    </row>
    <row r="34" spans="1:19" ht="61.5" customHeight="1">
      <c r="A34" s="1368"/>
      <c r="B34" s="1358"/>
      <c r="C34" s="1359"/>
      <c r="D34" s="1359"/>
      <c r="E34" s="1359"/>
      <c r="F34" s="1359"/>
      <c r="G34" s="1360"/>
      <c r="H34" s="1370"/>
      <c r="I34" s="1370"/>
      <c r="J34" s="1358"/>
      <c r="K34" s="1359"/>
      <c r="L34" s="1359"/>
      <c r="M34" s="1359"/>
      <c r="N34" s="1359"/>
      <c r="O34" s="1359"/>
      <c r="P34" s="1359"/>
      <c r="Q34" s="1359"/>
      <c r="R34" s="1360"/>
      <c r="S34" s="547"/>
    </row>
    <row r="35" spans="1:19" ht="25.5">
      <c r="A35" s="710">
        <v>9</v>
      </c>
      <c r="B35" s="1361" t="s">
        <v>227</v>
      </c>
      <c r="C35" s="1362"/>
      <c r="D35" s="1362"/>
      <c r="E35" s="1362"/>
      <c r="F35" s="1362"/>
      <c r="G35" s="1363"/>
      <c r="H35" s="712"/>
      <c r="I35" s="710"/>
      <c r="J35" s="1388"/>
      <c r="K35" s="1389"/>
      <c r="L35" s="1389"/>
      <c r="M35" s="1389"/>
      <c r="N35" s="1389"/>
      <c r="O35" s="1389"/>
      <c r="P35" s="1389"/>
      <c r="Q35" s="1389"/>
      <c r="R35" s="1390"/>
      <c r="S35" s="547"/>
    </row>
    <row r="36" spans="1:19" ht="21.75" customHeight="1">
      <c r="A36" s="1367"/>
      <c r="B36" s="1355" t="str">
        <f>CONCATENATE("a. ",KKM!X7)</f>
        <v>a. Bahasa Jawa</v>
      </c>
      <c r="C36" s="1356"/>
      <c r="D36" s="1356"/>
      <c r="E36" s="1356"/>
      <c r="F36" s="1356"/>
      <c r="G36" s="1357"/>
      <c r="H36" s="1369">
        <f>VLOOKUP($T$13,'REKAP PTS 2'!$A$6:$AK$55,28)</f>
        <v>70</v>
      </c>
      <c r="I36" s="1369" t="str">
        <f>VLOOKUP($T$13,'REKAP PTS 2'!$A$6:$AK$55,29)</f>
        <v>C</v>
      </c>
      <c r="J36" s="1355" t="str">
        <f>VLOOKUP($T$13,'REKAP PTS 2'!$A$6:$AK$55,30)</f>
        <v>Anak 1 sangat baik  dalam mengenal, memahami, dan mengidentifikasi kata berimbuhan dalam teks sesuai kaidah, dan  perlu bimbingan  dalam mengenal dan memahmi teks tembang dolanan</v>
      </c>
      <c r="K36" s="1356"/>
      <c r="L36" s="1356"/>
      <c r="M36" s="1356"/>
      <c r="N36" s="1356"/>
      <c r="O36" s="1356"/>
      <c r="P36" s="1356"/>
      <c r="Q36" s="1356"/>
      <c r="R36" s="1357"/>
      <c r="S36" s="547"/>
    </row>
    <row r="37" spans="1:19" ht="46.5" customHeight="1">
      <c r="A37" s="1368"/>
      <c r="B37" s="1358"/>
      <c r="C37" s="1359"/>
      <c r="D37" s="1359"/>
      <c r="E37" s="1359"/>
      <c r="F37" s="1359"/>
      <c r="G37" s="1360"/>
      <c r="H37" s="1370"/>
      <c r="I37" s="1370"/>
      <c r="J37" s="1358"/>
      <c r="K37" s="1359"/>
      <c r="L37" s="1359"/>
      <c r="M37" s="1359"/>
      <c r="N37" s="1359"/>
      <c r="O37" s="1359"/>
      <c r="P37" s="1359"/>
      <c r="Q37" s="1359"/>
      <c r="R37" s="1360"/>
      <c r="S37" s="547"/>
    </row>
    <row r="38" spans="1:19" ht="21.75" customHeight="1">
      <c r="A38" s="1367"/>
      <c r="B38" s="1355" t="str">
        <f>CONCATENATE("b. ",KKM!X8)</f>
        <v>b. Bahasa Inggris</v>
      </c>
      <c r="C38" s="1356"/>
      <c r="D38" s="1356"/>
      <c r="E38" s="1356"/>
      <c r="F38" s="1356"/>
      <c r="G38" s="1357"/>
      <c r="H38" s="1369">
        <f>VLOOKUP($T$13,'REKAP PTS 2'!$A$6:$AK$55,31)</f>
        <v>69</v>
      </c>
      <c r="I38" s="1369" t="str">
        <f>VLOOKUP($T$13,'REKAP PTS 2'!$A$6:$AK$55,32)</f>
        <v>D</v>
      </c>
      <c r="J38" s="1355" t="str">
        <f>VLOOKUP($T$13,'REKAP PTS 2'!$A$6:$AK$55,33)</f>
        <v>Anak 1 baik  dalam memahami penggunaan waktu, tanggal, bulan, dan tahun, dan  perlu bimbingan  dalam mengenal, memahami dan mengidentifikasi macam-macam kalimat (order, request, and prengenal obyek-obyek wisata dan memahami penggunaan kalimat ungkapan terima kasih</v>
      </c>
      <c r="K38" s="1356"/>
      <c r="L38" s="1356"/>
      <c r="M38" s="1356"/>
      <c r="N38" s="1356"/>
      <c r="O38" s="1356"/>
      <c r="P38" s="1356"/>
      <c r="Q38" s="1356"/>
      <c r="R38" s="1357"/>
      <c r="S38" s="547"/>
    </row>
    <row r="39" spans="1:19" ht="30" customHeight="1">
      <c r="A39" s="1368"/>
      <c r="B39" s="1358"/>
      <c r="C39" s="1359"/>
      <c r="D39" s="1359"/>
      <c r="E39" s="1359"/>
      <c r="F39" s="1359"/>
      <c r="G39" s="1360"/>
      <c r="H39" s="1370"/>
      <c r="I39" s="1370"/>
      <c r="J39" s="1358"/>
      <c r="K39" s="1359"/>
      <c r="L39" s="1359"/>
      <c r="M39" s="1359"/>
      <c r="N39" s="1359"/>
      <c r="O39" s="1359"/>
      <c r="P39" s="1359"/>
      <c r="Q39" s="1359"/>
      <c r="R39" s="1360"/>
      <c r="S39" s="547"/>
    </row>
    <row r="40" spans="1:19" ht="21.75" customHeight="1">
      <c r="A40" s="1367"/>
      <c r="B40" s="1355" t="str">
        <f>CONCATENATE("c. ",KKM!X9)</f>
        <v>c. TIK</v>
      </c>
      <c r="C40" s="1356"/>
      <c r="D40" s="1356"/>
      <c r="E40" s="1356"/>
      <c r="F40" s="1356"/>
      <c r="G40" s="1357"/>
      <c r="H40" s="1369">
        <f>VLOOKUP($T$13,'REKAP PTS 2'!$A$6:$AK$55,34)</f>
        <v>56</v>
      </c>
      <c r="I40" s="1369" t="str">
        <f>VLOOKUP($T$13,'REKAP PTS 2'!$A$6:$AK$55,35)</f>
        <v>D</v>
      </c>
      <c r="J40" s="1355" t="str">
        <f>VLOOKUP($T$13,'REKAP PTS 2'!$A$6:$AK$55,36)</f>
        <v>Anak 1 perlu bimbingan  dalam mengenal dan memahami penggunaan microsoft  word., dan  perlu bimbingan  dalam memahami pembuatan dokumen di microsoft  word</v>
      </c>
      <c r="K40" s="1356"/>
      <c r="L40" s="1356"/>
      <c r="M40" s="1356"/>
      <c r="N40" s="1356"/>
      <c r="O40" s="1356"/>
      <c r="P40" s="1356"/>
      <c r="Q40" s="1356"/>
      <c r="R40" s="1357"/>
      <c r="S40" s="547"/>
    </row>
    <row r="41" spans="1:19" ht="21.75" customHeight="1">
      <c r="A41" s="1368"/>
      <c r="B41" s="1358"/>
      <c r="C41" s="1359"/>
      <c r="D41" s="1359"/>
      <c r="E41" s="1359"/>
      <c r="F41" s="1359"/>
      <c r="G41" s="1360"/>
      <c r="H41" s="1370"/>
      <c r="I41" s="1370"/>
      <c r="J41" s="1358"/>
      <c r="K41" s="1359"/>
      <c r="L41" s="1359"/>
      <c r="M41" s="1359"/>
      <c r="N41" s="1359"/>
      <c r="O41" s="1359"/>
      <c r="P41" s="1359"/>
      <c r="Q41" s="1359"/>
      <c r="R41" s="1360"/>
      <c r="S41" s="547"/>
    </row>
    <row r="42" spans="1:19" ht="11.25" customHeight="1">
      <c r="A42" s="548"/>
      <c r="B42" s="549"/>
      <c r="C42" s="549"/>
      <c r="D42" s="549"/>
      <c r="E42" s="548"/>
      <c r="F42" s="548"/>
      <c r="G42" s="548"/>
      <c r="H42" s="548"/>
      <c r="I42" s="548"/>
      <c r="J42" s="548"/>
      <c r="K42" s="548"/>
      <c r="L42" s="548"/>
      <c r="M42" s="550"/>
      <c r="N42" s="548"/>
      <c r="O42" s="548"/>
      <c r="P42" s="548"/>
      <c r="Q42" s="548"/>
      <c r="R42" s="548"/>
      <c r="S42" s="551"/>
    </row>
    <row r="43" spans="1:19" ht="15.75" customHeight="1">
      <c r="A43" s="709"/>
      <c r="B43" s="552"/>
      <c r="C43" s="553" t="s">
        <v>723</v>
      </c>
      <c r="D43" s="552"/>
      <c r="E43" s="552"/>
      <c r="F43" s="552"/>
      <c r="G43" s="552"/>
      <c r="H43" s="552"/>
      <c r="I43" s="552"/>
      <c r="J43" s="552"/>
      <c r="K43" s="552"/>
      <c r="L43" s="552"/>
      <c r="M43" s="552"/>
      <c r="N43" s="552"/>
      <c r="O43" s="552"/>
      <c r="P43" s="552"/>
      <c r="Q43" s="552"/>
      <c r="R43" s="552"/>
      <c r="S43" s="545"/>
    </row>
    <row r="44" spans="1:19" ht="42.75" customHeight="1">
      <c r="A44" s="1361" t="str">
        <f>VLOOKUP($T$13,'REKAP PTS 2'!$A$6:$AK$55,37)</f>
        <v>Pertahankan prestasimu</v>
      </c>
      <c r="B44" s="1362"/>
      <c r="C44" s="1362"/>
      <c r="D44" s="1362"/>
      <c r="E44" s="1362"/>
      <c r="F44" s="1362"/>
      <c r="G44" s="1362"/>
      <c r="H44" s="1362"/>
      <c r="I44" s="1362"/>
      <c r="J44" s="1362"/>
      <c r="K44" s="1362"/>
      <c r="L44" s="1362"/>
      <c r="M44" s="1362"/>
      <c r="N44" s="1362"/>
      <c r="O44" s="1362"/>
      <c r="P44" s="1362"/>
      <c r="Q44" s="1362"/>
      <c r="R44" s="1363"/>
      <c r="S44" s="545"/>
    </row>
    <row r="45" spans="1:19" ht="0.75" customHeight="1">
      <c r="A45" s="540"/>
      <c r="B45" s="540"/>
      <c r="C45" s="708"/>
      <c r="D45" s="708"/>
      <c r="E45" s="708"/>
      <c r="F45" s="708"/>
      <c r="G45" s="708"/>
      <c r="H45" s="708"/>
      <c r="I45" s="708"/>
      <c r="J45" s="708"/>
      <c r="K45" s="708"/>
      <c r="L45" s="708"/>
      <c r="M45" s="708"/>
      <c r="N45" s="708"/>
      <c r="O45" s="708"/>
      <c r="P45" s="708"/>
      <c r="Q45" s="708"/>
      <c r="R45" s="708"/>
      <c r="S45" s="545"/>
    </row>
    <row r="46" spans="1:19" ht="25.5">
      <c r="A46" s="540"/>
      <c r="B46" s="540"/>
      <c r="C46" s="1365"/>
      <c r="D46" s="1365"/>
      <c r="E46" s="1365"/>
      <c r="F46" s="1365"/>
      <c r="G46" s="1365"/>
      <c r="H46" s="713"/>
      <c r="I46" s="541"/>
      <c r="J46" s="541"/>
      <c r="K46" s="541"/>
      <c r="L46" s="541"/>
      <c r="M46" s="1365" t="s">
        <v>468</v>
      </c>
      <c r="N46" s="1365"/>
      <c r="O46" s="1365"/>
      <c r="P46" s="1365"/>
      <c r="Q46" s="1365"/>
      <c r="R46" s="1365"/>
      <c r="S46" s="545"/>
    </row>
    <row r="47" spans="1:19" ht="25.5">
      <c r="A47" s="540"/>
      <c r="B47" s="540"/>
      <c r="C47" s="1365" t="s">
        <v>724</v>
      </c>
      <c r="D47" s="1365"/>
      <c r="E47" s="1365"/>
      <c r="F47" s="1365"/>
      <c r="G47" s="1365"/>
      <c r="H47" s="713"/>
      <c r="I47" s="552"/>
      <c r="J47" s="552"/>
      <c r="K47" s="552"/>
      <c r="L47" s="552"/>
      <c r="M47" s="1366" t="str">
        <f>CONCATENATE("Guru Kelas ",DEPAN!E14)</f>
        <v>Guru Kelas 4 (Empat)</v>
      </c>
      <c r="N47" s="1366"/>
      <c r="O47" s="1366"/>
      <c r="P47" s="1366"/>
      <c r="Q47" s="1366"/>
      <c r="R47" s="1366"/>
      <c r="S47" s="545"/>
    </row>
    <row r="48" spans="1:19" ht="25.5">
      <c r="A48" s="540"/>
      <c r="B48" s="540"/>
      <c r="C48" s="541"/>
      <c r="D48" s="541"/>
      <c r="E48" s="541"/>
      <c r="F48" s="541"/>
      <c r="G48" s="708"/>
      <c r="H48" s="708"/>
      <c r="I48" s="541"/>
      <c r="J48" s="541"/>
      <c r="K48" s="541"/>
      <c r="L48" s="541"/>
      <c r="M48" s="541"/>
      <c r="N48" s="541"/>
      <c r="O48" s="541"/>
      <c r="P48" s="541"/>
      <c r="Q48" s="541"/>
      <c r="R48" s="541"/>
      <c r="S48" s="545"/>
    </row>
    <row r="49" spans="1:19" ht="25.5">
      <c r="A49" s="540"/>
      <c r="B49" s="540"/>
      <c r="C49" s="541"/>
      <c r="D49" s="541"/>
      <c r="E49" s="541"/>
      <c r="F49" s="541"/>
      <c r="G49" s="708"/>
      <c r="H49" s="708"/>
      <c r="I49" s="553"/>
      <c r="J49" s="553"/>
      <c r="K49" s="553"/>
      <c r="L49" s="553"/>
      <c r="M49" s="553"/>
      <c r="N49" s="553"/>
      <c r="O49" s="553"/>
      <c r="P49" s="553"/>
      <c r="Q49" s="553"/>
      <c r="R49" s="553"/>
      <c r="S49" s="545"/>
    </row>
    <row r="50" spans="1:19" ht="25.5">
      <c r="A50" s="540"/>
      <c r="B50" s="540"/>
      <c r="C50" s="541"/>
      <c r="D50" s="541"/>
      <c r="E50" s="541"/>
      <c r="F50" s="541"/>
      <c r="G50" s="708"/>
      <c r="H50" s="708"/>
      <c r="I50" s="541"/>
      <c r="J50" s="541"/>
      <c r="K50" s="541"/>
      <c r="L50" s="541"/>
      <c r="M50" s="541"/>
      <c r="N50" s="541"/>
      <c r="O50" s="541"/>
      <c r="P50" s="541"/>
      <c r="Q50" s="541"/>
      <c r="R50" s="541"/>
      <c r="S50" s="545"/>
    </row>
    <row r="51" spans="1:19" ht="26.25" thickBot="1">
      <c r="A51" s="540"/>
      <c r="B51" s="540"/>
      <c r="C51" s="555"/>
      <c r="D51" s="555"/>
      <c r="E51" s="555"/>
      <c r="F51" s="555"/>
      <c r="G51" s="556"/>
      <c r="H51" s="586"/>
      <c r="I51" s="557"/>
      <c r="J51" s="557"/>
      <c r="K51" s="557"/>
      <c r="L51" s="557"/>
      <c r="M51" s="1364" t="str">
        <f>DEPAN!E16</f>
        <v>SITI PONIMAH,M.Pd</v>
      </c>
      <c r="N51" s="1364"/>
      <c r="O51" s="1364"/>
      <c r="P51" s="1364"/>
      <c r="Q51" s="1364"/>
      <c r="R51" s="1364"/>
      <c r="S51" s="545"/>
    </row>
    <row r="52" spans="1:19" ht="15.75" customHeight="1">
      <c r="A52" s="540"/>
      <c r="B52" s="540"/>
      <c r="C52" s="541"/>
      <c r="D52" s="541"/>
      <c r="E52" s="541"/>
      <c r="F52" s="541"/>
      <c r="G52" s="541"/>
      <c r="H52" s="541"/>
      <c r="I52" s="541"/>
      <c r="J52" s="541"/>
      <c r="K52" s="541"/>
      <c r="L52" s="541"/>
      <c r="M52" s="1354" t="str">
        <f>CONCATENATE("NIP. ",DEPAN!E17)</f>
        <v>NIP. 19616566 201808 2 033</v>
      </c>
      <c r="N52" s="1354"/>
      <c r="O52" s="1354"/>
      <c r="P52" s="1354"/>
      <c r="Q52" s="1354"/>
      <c r="R52" s="1354"/>
      <c r="S52" s="545"/>
    </row>
    <row r="53" spans="1:19" ht="25.5">
      <c r="A53" s="540"/>
      <c r="B53" s="540"/>
      <c r="C53" s="541"/>
      <c r="D53" s="541"/>
      <c r="E53" s="541"/>
      <c r="F53" s="541"/>
      <c r="G53" s="541"/>
      <c r="H53" s="1366" t="s">
        <v>244</v>
      </c>
      <c r="I53" s="1366"/>
      <c r="J53" s="1366"/>
      <c r="K53" s="1366"/>
      <c r="L53" s="1366"/>
      <c r="M53" s="1366"/>
      <c r="N53" s="1366"/>
      <c r="O53" s="1366"/>
      <c r="P53" s="541"/>
      <c r="Q53" s="541"/>
      <c r="R53" s="541"/>
      <c r="S53" s="545"/>
    </row>
    <row r="54" spans="1:19" ht="25.5">
      <c r="A54" s="540"/>
      <c r="B54" s="540"/>
      <c r="C54" s="541"/>
      <c r="D54" s="541"/>
      <c r="E54" s="541"/>
      <c r="F54" s="541"/>
      <c r="G54" s="541"/>
      <c r="H54" s="1366" t="s">
        <v>245</v>
      </c>
      <c r="I54" s="1366"/>
      <c r="J54" s="1366"/>
      <c r="K54" s="1366"/>
      <c r="L54" s="1366"/>
      <c r="M54" s="1366"/>
      <c r="N54" s="1366"/>
      <c r="O54" s="1366"/>
      <c r="P54" s="541"/>
      <c r="Q54" s="541"/>
      <c r="R54" s="541"/>
      <c r="S54" s="545"/>
    </row>
    <row r="55" spans="1:19" ht="25.5">
      <c r="A55" s="540"/>
      <c r="B55" s="540"/>
      <c r="C55" s="541"/>
      <c r="D55" s="541"/>
      <c r="E55" s="541"/>
      <c r="F55" s="541"/>
      <c r="G55" s="541"/>
      <c r="H55" s="541"/>
      <c r="I55" s="541"/>
      <c r="J55" s="541"/>
      <c r="L55" s="541"/>
      <c r="M55" s="541"/>
      <c r="N55" s="541"/>
      <c r="O55" s="541"/>
      <c r="P55" s="541"/>
      <c r="Q55" s="541"/>
      <c r="R55" s="541"/>
      <c r="S55" s="545"/>
    </row>
    <row r="56" spans="1:19" ht="25.5">
      <c r="A56" s="540"/>
      <c r="B56" s="540"/>
      <c r="C56" s="541"/>
      <c r="D56" s="541"/>
      <c r="E56" s="541"/>
      <c r="F56" s="541"/>
      <c r="G56" s="541"/>
      <c r="H56" s="541"/>
      <c r="I56" s="541"/>
      <c r="J56" s="541"/>
      <c r="L56" s="541"/>
      <c r="M56" s="541"/>
      <c r="N56" s="541"/>
      <c r="O56" s="541"/>
      <c r="P56" s="541"/>
      <c r="Q56" s="541"/>
      <c r="R56" s="541"/>
      <c r="S56" s="545"/>
    </row>
    <row r="57" spans="1:19" ht="25.5">
      <c r="A57" s="552"/>
      <c r="B57" s="552"/>
      <c r="C57" s="552"/>
      <c r="D57" s="552"/>
      <c r="E57" s="552"/>
      <c r="F57" s="552"/>
      <c r="G57" s="552"/>
      <c r="H57" s="552"/>
      <c r="I57" s="552"/>
      <c r="J57" s="552"/>
      <c r="L57" s="552"/>
      <c r="M57" s="552"/>
      <c r="N57" s="552"/>
      <c r="O57" s="552"/>
      <c r="P57" s="552"/>
      <c r="Q57" s="552"/>
      <c r="R57" s="552"/>
      <c r="S57" s="545"/>
    </row>
    <row r="58" spans="1:19" ht="25.5">
      <c r="A58" s="708"/>
      <c r="B58" s="708"/>
      <c r="C58" s="708"/>
      <c r="D58" s="708"/>
      <c r="E58" s="708"/>
      <c r="F58" s="708"/>
      <c r="G58" s="708"/>
      <c r="H58" s="1383" t="str">
        <f>DEPAN!E12</f>
        <v>H. SAMSUDIN,M.Pd</v>
      </c>
      <c r="I58" s="1383"/>
      <c r="J58" s="1383"/>
      <c r="K58" s="1383"/>
      <c r="L58" s="1383"/>
      <c r="M58" s="1383"/>
      <c r="N58" s="1383"/>
      <c r="O58" s="1383"/>
      <c r="P58" s="708"/>
      <c r="Q58" s="708"/>
      <c r="R58" s="708"/>
      <c r="S58" s="545"/>
    </row>
    <row r="59" spans="1:19" ht="25.5">
      <c r="A59" s="540"/>
      <c r="B59" s="540"/>
      <c r="C59" s="541"/>
      <c r="D59" s="541"/>
      <c r="E59" s="541"/>
      <c r="F59" s="541"/>
      <c r="G59" s="541"/>
      <c r="H59" s="1384" t="str">
        <f>CONCATENATE("NIP. ",DEPAN!E13)</f>
        <v>NIP. 19921233 198777 1 336</v>
      </c>
      <c r="I59" s="1384"/>
      <c r="J59" s="1384"/>
      <c r="K59" s="1384"/>
      <c r="L59" s="1384"/>
      <c r="M59" s="1384"/>
      <c r="N59" s="1384"/>
      <c r="O59" s="1384"/>
      <c r="P59" s="541"/>
      <c r="Q59" s="541"/>
      <c r="R59" s="541"/>
      <c r="S59" s="545"/>
    </row>
    <row r="60" spans="1:19" ht="25.5">
      <c r="A60" s="540"/>
      <c r="B60" s="709"/>
      <c r="C60" s="558"/>
      <c r="D60" s="558"/>
      <c r="E60" s="558"/>
      <c r="F60" s="558"/>
      <c r="G60" s="558"/>
      <c r="H60" s="558"/>
      <c r="I60" s="558"/>
      <c r="J60" s="558"/>
      <c r="K60" s="558"/>
      <c r="L60" s="558"/>
      <c r="M60" s="558"/>
      <c r="N60" s="558"/>
      <c r="O60" s="558"/>
      <c r="P60" s="558"/>
      <c r="Q60" s="558"/>
      <c r="R60" s="558"/>
      <c r="S60" s="545"/>
    </row>
    <row r="61" spans="1:19" ht="25.5">
      <c r="A61" s="540"/>
      <c r="B61" s="709"/>
      <c r="C61" s="558"/>
      <c r="D61" s="558"/>
      <c r="E61" s="558"/>
      <c r="F61" s="558"/>
      <c r="G61" s="558"/>
      <c r="H61" s="558"/>
      <c r="I61" s="558"/>
      <c r="J61" s="558"/>
      <c r="K61" s="558"/>
      <c r="L61" s="558"/>
      <c r="M61" s="558"/>
      <c r="N61" s="558"/>
      <c r="O61" s="558"/>
      <c r="P61" s="558"/>
      <c r="Q61" s="558"/>
      <c r="R61" s="558"/>
      <c r="S61" s="545"/>
    </row>
    <row r="62" spans="1:19" ht="25.5">
      <c r="A62" s="540"/>
      <c r="B62" s="709"/>
      <c r="C62" s="558"/>
      <c r="D62" s="558"/>
      <c r="E62" s="558"/>
      <c r="F62" s="558"/>
      <c r="G62" s="558"/>
      <c r="H62" s="558"/>
      <c r="I62" s="558"/>
      <c r="J62" s="558"/>
      <c r="K62" s="558"/>
      <c r="L62" s="558"/>
      <c r="M62" s="558"/>
      <c r="N62" s="558"/>
      <c r="O62" s="558"/>
      <c r="P62" s="558"/>
      <c r="Q62" s="558"/>
      <c r="R62" s="558"/>
      <c r="S62" s="545"/>
    </row>
    <row r="63" spans="1:19" ht="25.5">
      <c r="A63" s="540"/>
      <c r="B63" s="540"/>
      <c r="C63" s="558"/>
      <c r="D63" s="558"/>
      <c r="E63" s="558"/>
      <c r="F63" s="558"/>
      <c r="G63" s="558"/>
      <c r="H63" s="558"/>
      <c r="I63" s="558"/>
      <c r="J63" s="558"/>
      <c r="K63" s="558"/>
      <c r="L63" s="558"/>
      <c r="M63" s="558"/>
      <c r="N63" s="558"/>
      <c r="O63" s="558"/>
      <c r="P63" s="558"/>
      <c r="Q63" s="558"/>
      <c r="R63" s="558"/>
      <c r="S63" s="545"/>
    </row>
    <row r="64" spans="1:19" ht="25.5">
      <c r="A64" s="540"/>
      <c r="B64" s="540"/>
      <c r="C64" s="558"/>
      <c r="D64" s="558"/>
      <c r="E64" s="558"/>
      <c r="F64" s="558"/>
      <c r="G64" s="558"/>
      <c r="H64" s="558"/>
      <c r="I64" s="558"/>
      <c r="J64" s="558"/>
      <c r="K64" s="558"/>
      <c r="L64" s="558"/>
      <c r="M64" s="558"/>
      <c r="N64" s="558"/>
      <c r="O64" s="558"/>
      <c r="P64" s="558"/>
      <c r="Q64" s="558"/>
      <c r="R64" s="558"/>
      <c r="S64" s="545"/>
    </row>
    <row r="65" spans="1:19" ht="25.5">
      <c r="A65" s="540"/>
      <c r="B65" s="540"/>
      <c r="C65" s="558"/>
      <c r="D65" s="558"/>
      <c r="E65" s="558"/>
      <c r="F65" s="558"/>
      <c r="G65" s="558"/>
      <c r="H65" s="558"/>
      <c r="I65" s="558"/>
      <c r="J65" s="558"/>
      <c r="K65" s="558"/>
      <c r="L65" s="558"/>
      <c r="M65" s="558"/>
      <c r="N65" s="558"/>
      <c r="O65" s="558"/>
      <c r="P65" s="558"/>
      <c r="Q65" s="558"/>
      <c r="R65" s="558"/>
      <c r="S65" s="545"/>
    </row>
    <row r="66" spans="1:19" ht="25.5">
      <c r="A66" s="540"/>
      <c r="B66" s="540"/>
      <c r="C66" s="559"/>
      <c r="D66" s="559"/>
      <c r="E66" s="559"/>
      <c r="F66" s="559"/>
      <c r="G66" s="559"/>
      <c r="H66" s="559"/>
      <c r="I66" s="559"/>
      <c r="J66" s="559"/>
      <c r="K66" s="559"/>
      <c r="L66" s="559"/>
      <c r="M66" s="559"/>
      <c r="N66" s="559"/>
      <c r="O66" s="559"/>
      <c r="P66" s="559"/>
      <c r="Q66" s="559"/>
      <c r="R66" s="559"/>
      <c r="S66" s="545"/>
    </row>
    <row r="67" spans="1:19" ht="25.5">
      <c r="A67" s="540"/>
      <c r="B67" s="709"/>
      <c r="C67" s="558"/>
      <c r="D67" s="558"/>
      <c r="E67" s="558"/>
      <c r="F67" s="558"/>
      <c r="G67" s="558"/>
      <c r="H67" s="558"/>
      <c r="I67" s="558"/>
      <c r="J67" s="558"/>
      <c r="K67" s="558"/>
      <c r="L67" s="558"/>
      <c r="M67" s="558"/>
      <c r="N67" s="558"/>
      <c r="O67" s="558"/>
      <c r="P67" s="558"/>
      <c r="Q67" s="558"/>
      <c r="R67" s="558"/>
      <c r="S67" s="545"/>
    </row>
    <row r="68" spans="1:19" ht="25.5">
      <c r="A68" s="540"/>
      <c r="B68" s="540"/>
      <c r="C68" s="558"/>
      <c r="D68" s="558"/>
      <c r="E68" s="558"/>
      <c r="F68" s="558"/>
      <c r="G68" s="558"/>
      <c r="H68" s="558"/>
      <c r="I68" s="558"/>
      <c r="J68" s="558"/>
      <c r="K68" s="558"/>
      <c r="L68" s="558"/>
      <c r="M68" s="558"/>
      <c r="N68" s="558"/>
      <c r="O68" s="558"/>
      <c r="P68" s="558"/>
      <c r="Q68" s="558"/>
      <c r="R68" s="558"/>
      <c r="S68" s="545"/>
    </row>
    <row r="69" spans="1:19" ht="25.5">
      <c r="A69" s="540"/>
      <c r="B69" s="540"/>
      <c r="C69" s="560"/>
      <c r="D69" s="560"/>
      <c r="E69" s="560"/>
      <c r="F69" s="560"/>
      <c r="G69" s="560"/>
      <c r="H69" s="560"/>
      <c r="I69" s="560"/>
      <c r="J69" s="560"/>
      <c r="K69" s="560"/>
      <c r="L69" s="560"/>
      <c r="M69" s="560"/>
      <c r="N69" s="560"/>
      <c r="O69" s="560"/>
      <c r="P69" s="560"/>
      <c r="Q69" s="560"/>
      <c r="R69" s="560"/>
      <c r="S69" s="545"/>
    </row>
    <row r="70" spans="1:19" ht="25.5">
      <c r="A70" s="540"/>
      <c r="B70" s="709"/>
      <c r="C70" s="558"/>
      <c r="D70" s="558"/>
      <c r="E70" s="558"/>
      <c r="F70" s="558"/>
      <c r="G70" s="558"/>
      <c r="H70" s="558"/>
      <c r="I70" s="558"/>
      <c r="J70" s="558"/>
      <c r="K70" s="558"/>
      <c r="L70" s="558"/>
      <c r="M70" s="558"/>
      <c r="N70" s="558"/>
      <c r="O70" s="558"/>
      <c r="P70" s="558"/>
      <c r="Q70" s="558"/>
      <c r="R70" s="558"/>
      <c r="S70" s="545"/>
    </row>
    <row r="71" spans="1:19" ht="25.5">
      <c r="A71" s="540"/>
      <c r="B71" s="709"/>
      <c r="C71" s="558"/>
      <c r="D71" s="558"/>
      <c r="E71" s="558"/>
      <c r="F71" s="558"/>
      <c r="G71" s="558"/>
      <c r="H71" s="558"/>
      <c r="I71" s="558"/>
      <c r="J71" s="558"/>
      <c r="K71" s="558"/>
      <c r="L71" s="558"/>
      <c r="M71" s="558"/>
      <c r="N71" s="558"/>
      <c r="O71" s="558"/>
      <c r="P71" s="558"/>
      <c r="Q71" s="558"/>
      <c r="R71" s="558"/>
      <c r="S71" s="545"/>
    </row>
    <row r="72" spans="1:19" ht="25.5">
      <c r="A72" s="540"/>
      <c r="B72" s="709"/>
      <c r="C72" s="558"/>
      <c r="D72" s="558"/>
      <c r="E72" s="558"/>
      <c r="F72" s="558"/>
      <c r="G72" s="558"/>
      <c r="H72" s="558"/>
      <c r="I72" s="558"/>
      <c r="J72" s="558"/>
      <c r="K72" s="558"/>
      <c r="L72" s="558"/>
      <c r="M72" s="558"/>
      <c r="N72" s="558"/>
      <c r="O72" s="558"/>
      <c r="P72" s="558"/>
      <c r="Q72" s="558"/>
      <c r="R72" s="558"/>
      <c r="S72" s="545"/>
    </row>
    <row r="73" spans="1:19" ht="25.5">
      <c r="A73" s="540"/>
      <c r="B73" s="709"/>
      <c r="C73" s="560"/>
      <c r="D73" s="560"/>
      <c r="E73" s="560"/>
      <c r="F73" s="560"/>
      <c r="G73" s="560"/>
      <c r="H73" s="560"/>
      <c r="I73" s="560"/>
      <c r="J73" s="560"/>
      <c r="K73" s="560"/>
      <c r="L73" s="560"/>
      <c r="M73" s="560"/>
      <c r="N73" s="560"/>
      <c r="O73" s="560"/>
      <c r="P73" s="560"/>
      <c r="Q73" s="560"/>
      <c r="R73" s="560"/>
      <c r="S73" s="545"/>
    </row>
    <row r="74" spans="1:19" ht="25.5">
      <c r="A74" s="540"/>
      <c r="B74" s="709"/>
      <c r="C74" s="558"/>
      <c r="D74" s="558"/>
      <c r="E74" s="558"/>
      <c r="F74" s="558"/>
      <c r="G74" s="558"/>
      <c r="H74" s="558"/>
      <c r="I74" s="558"/>
      <c r="J74" s="558"/>
      <c r="K74" s="558"/>
      <c r="L74" s="558"/>
      <c r="M74" s="558"/>
      <c r="N74" s="558"/>
      <c r="O74" s="558"/>
      <c r="P74" s="558"/>
      <c r="Q74" s="558"/>
      <c r="R74" s="558"/>
      <c r="S74" s="545"/>
    </row>
    <row r="75" spans="1:19" ht="25.5">
      <c r="A75" s="540"/>
      <c r="B75" s="709"/>
      <c r="C75" s="558"/>
      <c r="D75" s="558"/>
      <c r="E75" s="558"/>
      <c r="F75" s="558"/>
      <c r="G75" s="558"/>
      <c r="H75" s="558"/>
      <c r="I75" s="558"/>
      <c r="J75" s="558"/>
      <c r="K75" s="558"/>
      <c r="L75" s="558"/>
      <c r="M75" s="558"/>
      <c r="N75" s="558"/>
      <c r="O75" s="558"/>
      <c r="P75" s="558"/>
      <c r="Q75" s="558"/>
      <c r="R75" s="558"/>
      <c r="S75" s="545"/>
    </row>
    <row r="76" spans="1:19" ht="25.5">
      <c r="A76" s="540"/>
      <c r="B76" s="709"/>
      <c r="C76" s="558"/>
      <c r="D76" s="558"/>
      <c r="E76" s="558"/>
      <c r="F76" s="558"/>
      <c r="G76" s="558"/>
      <c r="H76" s="558"/>
      <c r="I76" s="558"/>
      <c r="J76" s="558"/>
      <c r="K76" s="558"/>
      <c r="L76" s="558"/>
      <c r="M76" s="558"/>
      <c r="N76" s="558"/>
      <c r="O76" s="558"/>
      <c r="P76" s="558"/>
      <c r="Q76" s="558"/>
      <c r="R76" s="558"/>
      <c r="S76" s="545"/>
    </row>
    <row r="77" spans="1:19" ht="25.5">
      <c r="A77" s="540"/>
      <c r="B77" s="709"/>
      <c r="C77" s="560"/>
      <c r="D77" s="560"/>
      <c r="E77" s="560"/>
      <c r="F77" s="560"/>
      <c r="G77" s="560"/>
      <c r="H77" s="560"/>
      <c r="I77" s="560"/>
      <c r="J77" s="560"/>
      <c r="K77" s="560"/>
      <c r="L77" s="560"/>
      <c r="M77" s="560"/>
      <c r="N77" s="560"/>
      <c r="O77" s="560"/>
      <c r="P77" s="560"/>
      <c r="Q77" s="560"/>
      <c r="R77" s="560"/>
      <c r="S77" s="545"/>
    </row>
    <row r="78" spans="1:19" ht="25.5">
      <c r="A78" s="540"/>
      <c r="B78" s="709"/>
      <c r="C78" s="558"/>
      <c r="D78" s="558"/>
      <c r="E78" s="558"/>
      <c r="F78" s="558"/>
      <c r="G78" s="558"/>
      <c r="H78" s="558"/>
      <c r="I78" s="558"/>
      <c r="J78" s="558"/>
      <c r="K78" s="558"/>
      <c r="L78" s="558"/>
      <c r="M78" s="558"/>
      <c r="N78" s="558"/>
      <c r="O78" s="558"/>
      <c r="P78" s="558"/>
      <c r="Q78" s="558"/>
      <c r="R78" s="558"/>
      <c r="S78" s="545"/>
    </row>
    <row r="79" spans="1:19" ht="25.5">
      <c r="A79" s="540"/>
      <c r="B79" s="709"/>
      <c r="C79" s="558"/>
      <c r="D79" s="558"/>
      <c r="E79" s="558"/>
      <c r="F79" s="558"/>
      <c r="G79" s="558"/>
      <c r="H79" s="558"/>
      <c r="I79" s="558"/>
      <c r="J79" s="558"/>
      <c r="K79" s="558"/>
      <c r="L79" s="558"/>
      <c r="M79" s="558"/>
      <c r="N79" s="558"/>
      <c r="O79" s="558"/>
      <c r="P79" s="558"/>
      <c r="Q79" s="558"/>
      <c r="R79" s="558"/>
      <c r="S79" s="545"/>
    </row>
    <row r="80" spans="1:19" ht="25.5">
      <c r="A80" s="540"/>
      <c r="B80" s="709"/>
      <c r="C80" s="560"/>
      <c r="D80" s="560"/>
      <c r="E80" s="560"/>
      <c r="F80" s="560"/>
      <c r="G80" s="560"/>
      <c r="H80" s="560"/>
      <c r="I80" s="560"/>
      <c r="J80" s="560"/>
      <c r="K80" s="560"/>
      <c r="L80" s="560"/>
      <c r="M80" s="560"/>
      <c r="N80" s="560"/>
      <c r="O80" s="560"/>
      <c r="P80" s="560"/>
      <c r="Q80" s="560"/>
      <c r="R80" s="560"/>
      <c r="S80" s="545"/>
    </row>
    <row r="81" spans="1:19" ht="25.5">
      <c r="A81" s="540"/>
      <c r="B81" s="709"/>
      <c r="C81" s="558"/>
      <c r="D81" s="558"/>
      <c r="E81" s="558"/>
      <c r="F81" s="558"/>
      <c r="G81" s="558"/>
      <c r="H81" s="558"/>
      <c r="I81" s="558"/>
      <c r="J81" s="558"/>
      <c r="K81" s="558"/>
      <c r="L81" s="558"/>
      <c r="M81" s="558"/>
      <c r="N81" s="558"/>
      <c r="O81" s="558"/>
      <c r="P81" s="558"/>
      <c r="Q81" s="558"/>
      <c r="R81" s="558"/>
      <c r="S81" s="545"/>
    </row>
    <row r="82" spans="1:19" ht="25.5">
      <c r="A82" s="540"/>
      <c r="B82" s="709"/>
      <c r="C82" s="558"/>
      <c r="D82" s="558"/>
      <c r="E82" s="558"/>
      <c r="F82" s="558"/>
      <c r="G82" s="558"/>
      <c r="H82" s="558"/>
      <c r="I82" s="558"/>
      <c r="J82" s="558"/>
      <c r="K82" s="558"/>
      <c r="L82" s="558"/>
      <c r="M82" s="558"/>
      <c r="N82" s="558"/>
      <c r="O82" s="558"/>
      <c r="P82" s="558"/>
      <c r="Q82" s="558"/>
      <c r="R82" s="558"/>
      <c r="S82" s="545"/>
    </row>
    <row r="83" spans="1:19" ht="25.5">
      <c r="A83" s="540"/>
      <c r="B83" s="709"/>
      <c r="C83" s="560"/>
      <c r="D83" s="560"/>
      <c r="E83" s="560"/>
      <c r="F83" s="560"/>
      <c r="G83" s="560"/>
      <c r="H83" s="560"/>
      <c r="I83" s="560"/>
      <c r="J83" s="560"/>
      <c r="K83" s="560"/>
      <c r="L83" s="560"/>
      <c r="M83" s="560"/>
      <c r="N83" s="560"/>
      <c r="O83" s="560"/>
      <c r="P83" s="560"/>
      <c r="Q83" s="560"/>
      <c r="R83" s="560"/>
      <c r="S83" s="545"/>
    </row>
    <row r="84" spans="1:19" ht="25.5">
      <c r="A84" s="540"/>
      <c r="B84" s="709"/>
      <c r="C84" s="558"/>
      <c r="D84" s="558"/>
      <c r="E84" s="558"/>
      <c r="F84" s="558"/>
      <c r="G84" s="558"/>
      <c r="H84" s="558"/>
      <c r="I84" s="558"/>
      <c r="J84" s="558"/>
      <c r="K84" s="558"/>
      <c r="L84" s="558"/>
      <c r="M84" s="558"/>
      <c r="N84" s="558"/>
      <c r="O84" s="558"/>
      <c r="P84" s="558"/>
      <c r="Q84" s="558"/>
      <c r="R84" s="558"/>
      <c r="S84" s="545"/>
    </row>
    <row r="85" spans="1:19" ht="25.5">
      <c r="A85" s="540"/>
      <c r="B85" s="709"/>
      <c r="C85" s="558"/>
      <c r="D85" s="558"/>
      <c r="E85" s="558"/>
      <c r="F85" s="558"/>
      <c r="G85" s="558"/>
      <c r="H85" s="558"/>
      <c r="I85" s="558"/>
      <c r="J85" s="558"/>
      <c r="K85" s="558"/>
      <c r="L85" s="558"/>
      <c r="M85" s="558"/>
      <c r="N85" s="558"/>
      <c r="O85" s="558"/>
      <c r="P85" s="558"/>
      <c r="Q85" s="558"/>
      <c r="R85" s="558"/>
      <c r="S85" s="545"/>
    </row>
    <row r="86" spans="1:19" ht="25.5">
      <c r="A86" s="540"/>
      <c r="B86" s="709"/>
      <c r="C86" s="558"/>
      <c r="D86" s="558"/>
      <c r="E86" s="558"/>
      <c r="F86" s="558"/>
      <c r="G86" s="558"/>
      <c r="H86" s="558"/>
      <c r="I86" s="558"/>
      <c r="J86" s="558"/>
      <c r="K86" s="558"/>
      <c r="L86" s="558"/>
      <c r="M86" s="558"/>
      <c r="N86" s="558"/>
      <c r="O86" s="558"/>
      <c r="P86" s="558"/>
      <c r="Q86" s="558"/>
      <c r="R86" s="558"/>
      <c r="S86" s="545"/>
    </row>
    <row r="87" spans="1:19" ht="25.5">
      <c r="A87" s="540"/>
      <c r="B87" s="709"/>
      <c r="C87" s="560"/>
      <c r="D87" s="560"/>
      <c r="E87" s="560"/>
      <c r="F87" s="560"/>
      <c r="G87" s="560"/>
      <c r="H87" s="560"/>
      <c r="I87" s="560"/>
      <c r="J87" s="560"/>
      <c r="K87" s="560"/>
      <c r="L87" s="560"/>
      <c r="M87" s="560"/>
      <c r="N87" s="560"/>
      <c r="O87" s="560"/>
      <c r="P87" s="560"/>
      <c r="Q87" s="560"/>
      <c r="R87" s="560"/>
      <c r="S87" s="545"/>
    </row>
    <row r="88" spans="1:19" ht="25.5">
      <c r="A88" s="540"/>
      <c r="B88" s="709"/>
      <c r="C88" s="558"/>
      <c r="D88" s="558"/>
      <c r="E88" s="558"/>
      <c r="F88" s="558"/>
      <c r="G88" s="558"/>
      <c r="H88" s="558"/>
      <c r="I88" s="558"/>
      <c r="J88" s="558"/>
      <c r="K88" s="558"/>
      <c r="L88" s="558"/>
      <c r="M88" s="558"/>
      <c r="N88" s="558"/>
      <c r="O88" s="558"/>
      <c r="P88" s="558"/>
      <c r="Q88" s="558"/>
      <c r="R88" s="558"/>
      <c r="S88" s="545"/>
    </row>
    <row r="89" spans="1:19" ht="25.5">
      <c r="A89" s="540"/>
      <c r="B89" s="709"/>
      <c r="C89" s="558"/>
      <c r="D89" s="558"/>
      <c r="E89" s="558"/>
      <c r="F89" s="558"/>
      <c r="G89" s="558"/>
      <c r="H89" s="558"/>
      <c r="I89" s="558"/>
      <c r="J89" s="558"/>
      <c r="K89" s="558"/>
      <c r="L89" s="558"/>
      <c r="M89" s="558"/>
      <c r="N89" s="558"/>
      <c r="O89" s="558"/>
      <c r="P89" s="558"/>
      <c r="Q89" s="558"/>
      <c r="R89" s="558"/>
      <c r="S89" s="545"/>
    </row>
    <row r="90" spans="1:19" ht="25.5">
      <c r="A90" s="540"/>
      <c r="B90" s="709"/>
      <c r="C90" s="560"/>
      <c r="D90" s="560"/>
      <c r="E90" s="560"/>
      <c r="F90" s="560"/>
      <c r="G90" s="560"/>
      <c r="H90" s="560"/>
      <c r="I90" s="560"/>
      <c r="J90" s="560"/>
      <c r="K90" s="560"/>
      <c r="L90" s="560"/>
      <c r="M90" s="560"/>
      <c r="N90" s="560"/>
      <c r="O90" s="560"/>
      <c r="P90" s="560"/>
      <c r="Q90" s="560"/>
      <c r="R90" s="560"/>
      <c r="S90" s="545"/>
    </row>
    <row r="91" spans="1:19" ht="25.5">
      <c r="A91" s="540"/>
      <c r="B91" s="709"/>
      <c r="C91" s="558"/>
      <c r="D91" s="558"/>
      <c r="E91" s="558"/>
      <c r="F91" s="558"/>
      <c r="G91" s="558"/>
      <c r="H91" s="558"/>
      <c r="I91" s="558"/>
      <c r="J91" s="558"/>
      <c r="K91" s="558"/>
      <c r="L91" s="558"/>
      <c r="M91" s="558"/>
      <c r="N91" s="558"/>
      <c r="O91" s="558"/>
      <c r="P91" s="558"/>
      <c r="Q91" s="558"/>
      <c r="R91" s="558"/>
      <c r="S91" s="545"/>
    </row>
    <row r="92" spans="1:19" ht="25.5">
      <c r="A92" s="540"/>
      <c r="B92" s="709"/>
      <c r="C92" s="558"/>
      <c r="D92" s="558"/>
      <c r="E92" s="558"/>
      <c r="F92" s="558"/>
      <c r="G92" s="558"/>
      <c r="H92" s="558"/>
      <c r="I92" s="558"/>
      <c r="J92" s="558"/>
      <c r="K92" s="558"/>
      <c r="L92" s="558"/>
      <c r="M92" s="558"/>
      <c r="N92" s="558"/>
      <c r="O92" s="558"/>
      <c r="P92" s="558"/>
      <c r="Q92" s="558"/>
      <c r="R92" s="558"/>
      <c r="S92" s="545"/>
    </row>
    <row r="93" spans="1:19" ht="25.5">
      <c r="A93" s="540"/>
      <c r="B93" s="709"/>
      <c r="C93" s="561"/>
      <c r="D93" s="561"/>
      <c r="E93" s="561"/>
      <c r="F93" s="561"/>
      <c r="G93" s="561"/>
      <c r="H93" s="561"/>
      <c r="I93" s="561"/>
      <c r="J93" s="561"/>
      <c r="K93" s="561"/>
      <c r="L93" s="561"/>
      <c r="M93" s="561"/>
      <c r="N93" s="561"/>
      <c r="O93" s="561"/>
      <c r="P93" s="561"/>
      <c r="Q93" s="561"/>
      <c r="R93" s="561"/>
      <c r="S93" s="545"/>
    </row>
    <row r="94" spans="1:19" ht="25.5">
      <c r="A94" s="540"/>
      <c r="B94" s="709"/>
      <c r="C94" s="561"/>
      <c r="D94" s="561"/>
      <c r="E94" s="561"/>
      <c r="F94" s="561"/>
      <c r="G94" s="561"/>
      <c r="H94" s="561"/>
      <c r="I94" s="561"/>
      <c r="J94" s="561"/>
      <c r="K94" s="561"/>
      <c r="L94" s="561"/>
      <c r="M94" s="561"/>
      <c r="N94" s="561"/>
      <c r="O94" s="561"/>
      <c r="P94" s="561"/>
      <c r="Q94" s="561"/>
      <c r="R94" s="561"/>
      <c r="S94" s="545"/>
    </row>
    <row r="95" spans="1:19" ht="25.5">
      <c r="A95" s="540"/>
      <c r="B95" s="709"/>
      <c r="C95" s="561"/>
      <c r="D95" s="561"/>
      <c r="E95" s="561"/>
      <c r="F95" s="561"/>
      <c r="G95" s="561"/>
      <c r="H95" s="561"/>
      <c r="I95" s="561"/>
      <c r="J95" s="561"/>
      <c r="K95" s="561"/>
      <c r="L95" s="561"/>
      <c r="M95" s="561"/>
      <c r="N95" s="561"/>
      <c r="O95" s="561"/>
      <c r="P95" s="561"/>
      <c r="Q95" s="561"/>
      <c r="R95" s="561"/>
      <c r="S95" s="545"/>
    </row>
    <row r="96" spans="1:19" ht="25.5">
      <c r="A96" s="540"/>
      <c r="B96" s="709"/>
      <c r="C96" s="561"/>
      <c r="D96" s="561"/>
      <c r="E96" s="561"/>
      <c r="F96" s="561"/>
      <c r="G96" s="561"/>
      <c r="H96" s="561"/>
      <c r="I96" s="561"/>
      <c r="J96" s="561"/>
      <c r="K96" s="561"/>
      <c r="L96" s="561"/>
      <c r="M96" s="561"/>
      <c r="N96" s="561"/>
      <c r="O96" s="561"/>
      <c r="P96" s="561"/>
      <c r="Q96" s="561"/>
      <c r="R96" s="561"/>
      <c r="S96" s="545"/>
    </row>
    <row r="97" spans="1:19" ht="25.5">
      <c r="A97" s="540"/>
      <c r="B97" s="709"/>
      <c r="C97" s="561"/>
      <c r="D97" s="561"/>
      <c r="E97" s="561"/>
      <c r="F97" s="561"/>
      <c r="G97" s="561"/>
      <c r="H97" s="561"/>
      <c r="I97" s="561"/>
      <c r="J97" s="561"/>
      <c r="K97" s="561"/>
      <c r="L97" s="561"/>
      <c r="M97" s="561"/>
      <c r="N97" s="561"/>
      <c r="O97" s="561"/>
      <c r="P97" s="561"/>
      <c r="Q97" s="561"/>
      <c r="R97" s="561"/>
      <c r="S97" s="545"/>
    </row>
    <row r="98" spans="1:19" ht="25.5">
      <c r="A98" s="540"/>
      <c r="B98" s="709"/>
      <c r="C98" s="561"/>
      <c r="D98" s="561"/>
      <c r="E98" s="561"/>
      <c r="F98" s="561"/>
      <c r="G98" s="561"/>
      <c r="H98" s="561"/>
      <c r="I98" s="561"/>
      <c r="J98" s="561"/>
      <c r="K98" s="561"/>
      <c r="L98" s="561"/>
      <c r="M98" s="561"/>
      <c r="N98" s="561"/>
      <c r="O98" s="561"/>
      <c r="P98" s="561"/>
      <c r="Q98" s="561"/>
      <c r="R98" s="561"/>
      <c r="S98" s="545"/>
    </row>
    <row r="99" spans="1:19" ht="25.5">
      <c r="A99" s="540"/>
      <c r="B99" s="709"/>
      <c r="C99" s="561"/>
      <c r="D99" s="561"/>
      <c r="E99" s="561"/>
      <c r="F99" s="561"/>
      <c r="G99" s="561"/>
      <c r="H99" s="561"/>
      <c r="I99" s="561"/>
      <c r="J99" s="561"/>
      <c r="K99" s="561"/>
      <c r="L99" s="561"/>
      <c r="M99" s="561"/>
      <c r="N99" s="561"/>
      <c r="O99" s="561"/>
      <c r="P99" s="561"/>
      <c r="Q99" s="561"/>
      <c r="R99" s="561"/>
      <c r="S99" s="545"/>
    </row>
    <row r="100" spans="1:19" ht="25.5">
      <c r="A100" s="540"/>
      <c r="B100" s="709"/>
      <c r="C100" s="561"/>
      <c r="D100" s="561"/>
      <c r="E100" s="561"/>
      <c r="F100" s="561"/>
      <c r="G100" s="561"/>
      <c r="H100" s="561"/>
      <c r="I100" s="561"/>
      <c r="J100" s="561"/>
      <c r="K100" s="561"/>
      <c r="L100" s="561"/>
      <c r="M100" s="561"/>
      <c r="N100" s="561"/>
      <c r="O100" s="561"/>
      <c r="P100" s="561"/>
      <c r="Q100" s="561"/>
      <c r="R100" s="561"/>
      <c r="S100" s="545"/>
    </row>
    <row r="101" spans="1:19" ht="25.5">
      <c r="A101" s="540"/>
      <c r="B101" s="709"/>
      <c r="C101" s="561"/>
      <c r="D101" s="561"/>
      <c r="E101" s="561"/>
      <c r="F101" s="561"/>
      <c r="G101" s="561"/>
      <c r="H101" s="561"/>
      <c r="I101" s="561"/>
      <c r="J101" s="561"/>
      <c r="K101" s="561"/>
      <c r="L101" s="561"/>
      <c r="M101" s="561"/>
      <c r="N101" s="561"/>
      <c r="O101" s="561"/>
      <c r="P101" s="561"/>
      <c r="Q101" s="561"/>
      <c r="R101" s="561"/>
      <c r="S101" s="545"/>
    </row>
    <row r="102" spans="1:19" ht="25.5">
      <c r="A102" s="552"/>
      <c r="B102" s="552"/>
      <c r="C102" s="552"/>
      <c r="D102" s="552"/>
      <c r="E102" s="552"/>
      <c r="F102" s="552"/>
      <c r="G102" s="552"/>
      <c r="H102" s="552"/>
      <c r="I102" s="552"/>
      <c r="J102" s="552"/>
      <c r="K102" s="552"/>
      <c r="L102" s="552"/>
      <c r="M102" s="552"/>
      <c r="N102" s="552"/>
      <c r="O102" s="552"/>
      <c r="P102" s="552"/>
      <c r="Q102" s="552"/>
      <c r="R102" s="552"/>
      <c r="S102" s="545"/>
    </row>
    <row r="103" spans="1:19" ht="25.5">
      <c r="A103" s="708"/>
      <c r="B103" s="708"/>
      <c r="C103" s="708"/>
      <c r="D103" s="708"/>
      <c r="E103" s="708"/>
      <c r="F103" s="708"/>
      <c r="G103" s="708"/>
      <c r="H103" s="708"/>
      <c r="I103" s="708"/>
      <c r="J103" s="708"/>
      <c r="K103" s="708"/>
      <c r="L103" s="708"/>
      <c r="M103" s="708"/>
      <c r="N103" s="708"/>
      <c r="O103" s="708"/>
      <c r="P103" s="708"/>
      <c r="Q103" s="708"/>
      <c r="R103" s="708"/>
      <c r="S103" s="545"/>
    </row>
    <row r="104" spans="1:19" ht="25.5">
      <c r="A104" s="540"/>
      <c r="B104" s="709"/>
      <c r="C104" s="561"/>
      <c r="D104" s="561"/>
      <c r="E104" s="561"/>
      <c r="F104" s="561"/>
      <c r="G104" s="561"/>
      <c r="H104" s="561"/>
      <c r="I104" s="561"/>
      <c r="J104" s="561"/>
      <c r="K104" s="561"/>
      <c r="L104" s="561"/>
      <c r="M104" s="561"/>
      <c r="N104" s="561"/>
      <c r="O104" s="561"/>
      <c r="P104" s="561"/>
      <c r="Q104" s="561"/>
      <c r="R104" s="561"/>
      <c r="S104" s="545"/>
    </row>
    <row r="105" spans="1:19" ht="25.5">
      <c r="A105" s="540"/>
      <c r="B105" s="562"/>
      <c r="C105" s="561"/>
      <c r="D105" s="561"/>
      <c r="E105" s="561"/>
      <c r="F105" s="561"/>
      <c r="G105" s="562"/>
      <c r="H105" s="562"/>
      <c r="I105" s="563"/>
      <c r="J105" s="563"/>
      <c r="K105" s="563"/>
      <c r="L105" s="563"/>
      <c r="M105" s="563"/>
      <c r="N105" s="563"/>
      <c r="O105" s="563"/>
      <c r="P105" s="563"/>
      <c r="Q105" s="563"/>
      <c r="R105" s="563"/>
      <c r="S105" s="545"/>
    </row>
    <row r="106" spans="1:19" ht="25.5">
      <c r="A106" s="540"/>
      <c r="B106" s="562"/>
      <c r="C106" s="561"/>
      <c r="D106" s="561"/>
      <c r="E106" s="561"/>
      <c r="F106" s="561"/>
      <c r="G106" s="562"/>
      <c r="H106" s="562"/>
      <c r="I106" s="563"/>
      <c r="J106" s="563"/>
      <c r="K106" s="563"/>
      <c r="L106" s="563"/>
      <c r="M106" s="563"/>
      <c r="N106" s="563"/>
      <c r="O106" s="563"/>
      <c r="P106" s="563"/>
      <c r="Q106" s="563"/>
      <c r="R106" s="563"/>
      <c r="S106" s="545"/>
    </row>
    <row r="107" spans="1:19" ht="25.5">
      <c r="A107" s="540"/>
      <c r="B107" s="562"/>
      <c r="C107" s="561"/>
      <c r="D107" s="561"/>
      <c r="E107" s="561"/>
      <c r="F107" s="561"/>
      <c r="G107" s="562"/>
      <c r="H107" s="562"/>
      <c r="I107" s="563"/>
      <c r="J107" s="563"/>
      <c r="K107" s="563"/>
      <c r="L107" s="563"/>
      <c r="M107" s="563"/>
      <c r="N107" s="563"/>
      <c r="O107" s="563"/>
      <c r="P107" s="563"/>
      <c r="Q107" s="563"/>
      <c r="R107" s="563"/>
      <c r="S107" s="545"/>
    </row>
    <row r="108" spans="1:19" ht="25.5">
      <c r="A108" s="540"/>
      <c r="B108" s="562"/>
      <c r="C108" s="561"/>
      <c r="D108" s="561"/>
      <c r="E108" s="561"/>
      <c r="F108" s="561"/>
      <c r="G108" s="562"/>
      <c r="H108" s="562"/>
      <c r="I108" s="563"/>
      <c r="J108" s="563"/>
      <c r="K108" s="563"/>
      <c r="L108" s="563"/>
      <c r="M108" s="563"/>
      <c r="N108" s="563"/>
      <c r="O108" s="563"/>
      <c r="P108" s="563"/>
      <c r="Q108" s="563"/>
      <c r="R108" s="563"/>
      <c r="S108" s="545"/>
    </row>
    <row r="109" spans="1:19" ht="25.5">
      <c r="A109" s="540"/>
      <c r="B109" s="562"/>
      <c r="C109" s="561"/>
      <c r="D109" s="561"/>
      <c r="E109" s="561"/>
      <c r="F109" s="561"/>
      <c r="G109" s="562"/>
      <c r="H109" s="562"/>
      <c r="I109" s="563"/>
      <c r="J109" s="563"/>
      <c r="K109" s="563"/>
      <c r="L109" s="563"/>
      <c r="M109" s="563"/>
      <c r="N109" s="563"/>
      <c r="O109" s="563"/>
      <c r="P109" s="563"/>
      <c r="Q109" s="563"/>
      <c r="R109" s="563"/>
      <c r="S109" s="545"/>
    </row>
    <row r="110" spans="1:19" ht="25.5">
      <c r="A110" s="540"/>
      <c r="B110" s="562"/>
      <c r="C110" s="561"/>
      <c r="D110" s="561"/>
      <c r="E110" s="561"/>
      <c r="F110" s="561"/>
      <c r="G110" s="562"/>
      <c r="H110" s="562"/>
      <c r="I110" s="563"/>
      <c r="J110" s="563"/>
      <c r="K110" s="563"/>
      <c r="L110" s="563"/>
      <c r="M110" s="563"/>
      <c r="N110" s="563"/>
      <c r="O110" s="563"/>
      <c r="P110" s="563"/>
      <c r="Q110" s="563"/>
      <c r="R110" s="563"/>
      <c r="S110" s="545"/>
    </row>
    <row r="111" spans="1:19" ht="25.5">
      <c r="A111" s="540"/>
      <c r="B111" s="562"/>
      <c r="C111" s="563"/>
      <c r="D111" s="563"/>
      <c r="E111" s="553"/>
      <c r="F111" s="553"/>
      <c r="G111" s="562"/>
      <c r="H111" s="562"/>
      <c r="I111" s="564"/>
      <c r="J111" s="564"/>
      <c r="K111" s="564"/>
      <c r="L111" s="564"/>
      <c r="M111" s="564"/>
      <c r="N111" s="564"/>
      <c r="O111" s="564"/>
      <c r="P111" s="564"/>
      <c r="Q111" s="564"/>
      <c r="R111" s="564"/>
      <c r="S111" s="545"/>
    </row>
    <row r="112" spans="1:19" ht="25.5">
      <c r="A112" s="540"/>
      <c r="B112" s="562"/>
      <c r="C112" s="563"/>
      <c r="D112" s="563"/>
      <c r="E112" s="563"/>
      <c r="F112" s="563"/>
      <c r="G112" s="565"/>
      <c r="H112" s="565"/>
      <c r="I112" s="564"/>
      <c r="J112" s="564"/>
      <c r="K112" s="564"/>
      <c r="L112" s="564"/>
      <c r="M112" s="564"/>
      <c r="N112" s="564"/>
      <c r="O112" s="564"/>
      <c r="P112" s="564"/>
      <c r="Q112" s="564"/>
      <c r="R112" s="564"/>
      <c r="S112" s="545"/>
    </row>
    <row r="113" spans="1:19" ht="25.5">
      <c r="A113" s="540"/>
      <c r="B113" s="562"/>
      <c r="C113" s="563"/>
      <c r="D113" s="563"/>
      <c r="E113" s="563"/>
      <c r="F113" s="563"/>
      <c r="G113" s="565"/>
      <c r="H113" s="565"/>
      <c r="I113" s="563"/>
      <c r="J113" s="563"/>
      <c r="K113" s="563"/>
      <c r="L113" s="563"/>
      <c r="M113" s="563"/>
      <c r="N113" s="563"/>
      <c r="O113" s="563"/>
      <c r="P113" s="563"/>
      <c r="Q113" s="563"/>
      <c r="R113" s="563"/>
      <c r="S113" s="545"/>
    </row>
    <row r="114" spans="1:19" ht="25.5">
      <c r="A114" s="540"/>
      <c r="B114" s="562"/>
      <c r="C114" s="563"/>
      <c r="D114" s="563"/>
      <c r="E114" s="563"/>
      <c r="F114" s="563"/>
      <c r="G114" s="562"/>
      <c r="H114" s="562"/>
      <c r="I114" s="563"/>
      <c r="J114" s="563"/>
      <c r="K114" s="563"/>
      <c r="L114" s="563"/>
      <c r="M114" s="563"/>
      <c r="N114" s="563"/>
      <c r="O114" s="563"/>
      <c r="P114" s="563"/>
      <c r="Q114" s="563"/>
      <c r="R114" s="563"/>
      <c r="S114" s="545"/>
    </row>
    <row r="115" spans="1:19" ht="25.5">
      <c r="A115" s="540"/>
      <c r="B115" s="562"/>
      <c r="C115" s="563"/>
      <c r="D115" s="563"/>
      <c r="E115" s="563"/>
      <c r="F115" s="563"/>
      <c r="G115" s="562"/>
      <c r="H115" s="562"/>
      <c r="I115" s="563"/>
      <c r="J115" s="563"/>
      <c r="K115" s="563"/>
      <c r="L115" s="563"/>
      <c r="M115" s="563"/>
      <c r="N115" s="563"/>
      <c r="O115" s="563"/>
      <c r="P115" s="563"/>
      <c r="Q115" s="563"/>
      <c r="R115" s="563"/>
      <c r="S115" s="545"/>
    </row>
    <row r="116" spans="1:19" ht="25.5">
      <c r="A116" s="540"/>
      <c r="B116" s="562"/>
      <c r="C116" s="563"/>
      <c r="D116" s="563"/>
      <c r="E116" s="563"/>
      <c r="F116" s="563"/>
      <c r="G116" s="565"/>
      <c r="H116" s="565"/>
      <c r="I116" s="563"/>
      <c r="J116" s="563"/>
      <c r="K116" s="563"/>
      <c r="L116" s="563"/>
      <c r="M116" s="563"/>
      <c r="N116" s="563"/>
      <c r="O116" s="563"/>
      <c r="P116" s="563"/>
      <c r="Q116" s="563"/>
      <c r="R116" s="563"/>
      <c r="S116" s="545"/>
    </row>
    <row r="117" spans="1:19" ht="25.5">
      <c r="A117" s="540"/>
      <c r="B117" s="562"/>
      <c r="C117" s="563"/>
      <c r="D117" s="563"/>
      <c r="E117" s="563"/>
      <c r="F117" s="563"/>
      <c r="G117" s="562"/>
      <c r="H117" s="562"/>
      <c r="I117" s="566"/>
      <c r="J117" s="566"/>
      <c r="K117" s="566"/>
      <c r="L117" s="566"/>
      <c r="M117" s="566"/>
      <c r="N117" s="566"/>
      <c r="O117" s="566"/>
      <c r="P117" s="566"/>
      <c r="Q117" s="566"/>
      <c r="R117" s="566"/>
      <c r="S117" s="545"/>
    </row>
    <row r="118" spans="1:19" ht="25.5">
      <c r="A118" s="540"/>
      <c r="B118" s="562"/>
      <c r="C118" s="563"/>
      <c r="D118" s="563"/>
      <c r="E118" s="563"/>
      <c r="F118" s="563"/>
      <c r="G118" s="562"/>
      <c r="H118" s="562"/>
      <c r="I118" s="563"/>
      <c r="J118" s="563"/>
      <c r="K118" s="563"/>
      <c r="L118" s="563"/>
      <c r="M118" s="563"/>
      <c r="N118" s="563"/>
      <c r="O118" s="563"/>
      <c r="P118" s="563"/>
      <c r="Q118" s="563"/>
      <c r="R118" s="563"/>
      <c r="S118" s="545"/>
    </row>
    <row r="119" spans="1:19" ht="25.5">
      <c r="A119" s="540"/>
      <c r="B119" s="562"/>
      <c r="C119" s="563"/>
      <c r="D119" s="563"/>
      <c r="E119" s="563"/>
      <c r="F119" s="563"/>
      <c r="G119" s="565"/>
      <c r="H119" s="565"/>
      <c r="I119" s="563"/>
      <c r="J119" s="563"/>
      <c r="K119" s="563"/>
      <c r="L119" s="563"/>
      <c r="M119" s="563"/>
      <c r="N119" s="563"/>
      <c r="O119" s="563"/>
      <c r="P119" s="563"/>
      <c r="Q119" s="563"/>
      <c r="R119" s="563"/>
      <c r="S119" s="545"/>
    </row>
    <row r="120" spans="1:19" ht="25.5">
      <c r="A120" s="540"/>
      <c r="B120" s="562"/>
      <c r="C120" s="563"/>
      <c r="D120" s="563"/>
      <c r="E120" s="563"/>
      <c r="F120" s="563"/>
      <c r="G120" s="562"/>
      <c r="H120" s="562"/>
      <c r="I120" s="563"/>
      <c r="J120" s="563"/>
      <c r="K120" s="563"/>
      <c r="L120" s="563"/>
      <c r="M120" s="563"/>
      <c r="N120" s="563"/>
      <c r="O120" s="563"/>
      <c r="P120" s="563"/>
      <c r="Q120" s="563"/>
      <c r="R120" s="563"/>
      <c r="S120" s="545"/>
    </row>
    <row r="121" spans="1:19" ht="25.5">
      <c r="A121" s="540"/>
      <c r="B121" s="562"/>
      <c r="C121" s="563"/>
      <c r="D121" s="563"/>
      <c r="E121" s="563"/>
      <c r="F121" s="563"/>
      <c r="G121" s="562"/>
      <c r="H121" s="562"/>
      <c r="I121" s="563"/>
      <c r="J121" s="563"/>
      <c r="K121" s="563"/>
      <c r="L121" s="563"/>
      <c r="M121" s="563"/>
      <c r="N121" s="563"/>
      <c r="O121" s="563"/>
      <c r="P121" s="563"/>
      <c r="Q121" s="563"/>
      <c r="R121" s="563"/>
      <c r="S121" s="545"/>
    </row>
    <row r="122" spans="1:19" ht="25.5">
      <c r="A122" s="540"/>
      <c r="B122" s="562"/>
      <c r="C122" s="563"/>
      <c r="D122" s="563"/>
      <c r="E122" s="563"/>
      <c r="F122" s="563"/>
      <c r="G122" s="562"/>
      <c r="H122" s="562"/>
      <c r="I122" s="563"/>
      <c r="J122" s="563"/>
      <c r="K122" s="563"/>
      <c r="L122" s="563"/>
      <c r="M122" s="563"/>
      <c r="N122" s="563"/>
      <c r="O122" s="563"/>
      <c r="P122" s="563"/>
      <c r="Q122" s="563"/>
      <c r="R122" s="563"/>
      <c r="S122" s="545"/>
    </row>
    <row r="123" spans="1:19" ht="25.5">
      <c r="A123" s="540"/>
      <c r="B123" s="562"/>
      <c r="C123" s="563"/>
      <c r="D123" s="563"/>
      <c r="E123" s="563"/>
      <c r="F123" s="563"/>
      <c r="G123" s="562"/>
      <c r="H123" s="562"/>
      <c r="I123" s="563"/>
      <c r="J123" s="563"/>
      <c r="K123" s="563"/>
      <c r="L123" s="563"/>
      <c r="M123" s="563"/>
      <c r="N123" s="563"/>
      <c r="O123" s="563"/>
      <c r="P123" s="563"/>
      <c r="Q123" s="563"/>
      <c r="R123" s="563"/>
      <c r="S123" s="545"/>
    </row>
    <row r="124" spans="1:19" ht="25.5">
      <c r="A124" s="540"/>
      <c r="B124" s="562"/>
      <c r="C124" s="563"/>
      <c r="D124" s="563"/>
      <c r="E124" s="563"/>
      <c r="F124" s="563"/>
      <c r="G124" s="562"/>
      <c r="H124" s="562"/>
      <c r="I124" s="563"/>
      <c r="J124" s="563"/>
      <c r="K124" s="563"/>
      <c r="L124" s="563"/>
      <c r="M124" s="563"/>
      <c r="N124" s="563"/>
      <c r="O124" s="563"/>
      <c r="P124" s="563"/>
      <c r="Q124" s="563"/>
      <c r="R124" s="563"/>
      <c r="S124" s="545"/>
    </row>
    <row r="125" spans="1:19" ht="25.5">
      <c r="A125" s="540"/>
      <c r="B125" s="562"/>
      <c r="C125" s="563"/>
      <c r="D125" s="563"/>
      <c r="E125" s="563"/>
      <c r="F125" s="563"/>
      <c r="G125" s="565"/>
      <c r="H125" s="565"/>
      <c r="I125" s="563"/>
      <c r="J125" s="563"/>
      <c r="K125" s="563"/>
      <c r="L125" s="563"/>
      <c r="M125" s="563"/>
      <c r="N125" s="563"/>
      <c r="O125" s="563"/>
      <c r="P125" s="563"/>
      <c r="Q125" s="563"/>
      <c r="R125" s="563"/>
      <c r="S125" s="545"/>
    </row>
    <row r="126" spans="1:19" ht="25.5">
      <c r="A126" s="540"/>
      <c r="B126" s="562"/>
      <c r="C126" s="563"/>
      <c r="D126" s="563"/>
      <c r="E126" s="563"/>
      <c r="F126" s="563"/>
      <c r="G126" s="562"/>
      <c r="H126" s="562"/>
      <c r="I126" s="563"/>
      <c r="J126" s="563"/>
      <c r="K126" s="563"/>
      <c r="L126" s="563"/>
      <c r="M126" s="563"/>
      <c r="N126" s="563"/>
      <c r="O126" s="563"/>
      <c r="P126" s="563"/>
      <c r="Q126" s="563"/>
      <c r="R126" s="563"/>
      <c r="S126" s="545"/>
    </row>
    <row r="127" spans="1:19" ht="25.5">
      <c r="A127" s="540"/>
      <c r="B127" s="562"/>
      <c r="C127" s="563"/>
      <c r="D127" s="563"/>
      <c r="E127" s="563"/>
      <c r="F127" s="563"/>
      <c r="G127" s="562"/>
      <c r="H127" s="562"/>
      <c r="I127" s="563"/>
      <c r="J127" s="563"/>
      <c r="K127" s="563"/>
      <c r="L127" s="563"/>
      <c r="M127" s="563"/>
      <c r="N127" s="563"/>
      <c r="O127" s="563"/>
      <c r="P127" s="563"/>
      <c r="Q127" s="563"/>
      <c r="R127" s="563"/>
      <c r="S127" s="545"/>
    </row>
    <row r="128" spans="1:19" ht="25.5">
      <c r="A128" s="540"/>
      <c r="B128" s="562"/>
      <c r="C128" s="563"/>
      <c r="D128" s="563"/>
      <c r="E128" s="563"/>
      <c r="F128" s="563"/>
      <c r="G128" s="562"/>
      <c r="H128" s="562"/>
      <c r="I128" s="563"/>
      <c r="J128" s="563"/>
      <c r="K128" s="563"/>
      <c r="L128" s="563"/>
      <c r="M128" s="563"/>
      <c r="N128" s="563"/>
      <c r="O128" s="563"/>
      <c r="P128" s="563"/>
      <c r="Q128" s="563"/>
      <c r="R128" s="563"/>
      <c r="S128" s="545"/>
    </row>
    <row r="129" spans="1:19" ht="25.5">
      <c r="A129" s="540"/>
      <c r="B129" s="713"/>
      <c r="C129" s="540"/>
      <c r="D129" s="540"/>
      <c r="E129" s="540"/>
      <c r="F129" s="540"/>
      <c r="G129" s="540"/>
      <c r="H129" s="540"/>
      <c r="I129" s="540"/>
      <c r="J129" s="540"/>
      <c r="K129" s="540"/>
      <c r="L129" s="540"/>
      <c r="M129" s="540"/>
      <c r="N129" s="540"/>
      <c r="O129" s="540"/>
      <c r="P129" s="540"/>
      <c r="Q129" s="540"/>
      <c r="R129" s="540"/>
      <c r="S129" s="545"/>
    </row>
    <row r="130" spans="1:19" ht="25.5">
      <c r="A130" s="540"/>
      <c r="B130" s="713"/>
      <c r="C130" s="540"/>
      <c r="D130" s="540"/>
      <c r="E130" s="540"/>
      <c r="F130" s="540"/>
      <c r="G130" s="540"/>
      <c r="H130" s="540"/>
      <c r="I130" s="540"/>
      <c r="J130" s="540"/>
      <c r="K130" s="540"/>
      <c r="L130" s="540"/>
      <c r="M130" s="540"/>
      <c r="N130" s="540"/>
      <c r="O130" s="540"/>
      <c r="P130" s="540"/>
      <c r="Q130" s="540"/>
      <c r="R130" s="540"/>
      <c r="S130" s="545"/>
    </row>
    <row r="131" spans="1:19" ht="25.5">
      <c r="A131" s="540"/>
      <c r="B131" s="713"/>
      <c r="C131" s="540"/>
      <c r="D131" s="540"/>
      <c r="E131" s="540"/>
      <c r="F131" s="540"/>
      <c r="G131" s="567"/>
      <c r="H131" s="567"/>
      <c r="I131" s="540"/>
      <c r="J131" s="540"/>
      <c r="K131" s="540"/>
      <c r="L131" s="566"/>
      <c r="M131" s="566"/>
      <c r="N131" s="566"/>
      <c r="O131" s="566"/>
      <c r="P131" s="566"/>
      <c r="Q131" s="566"/>
      <c r="R131" s="540"/>
      <c r="S131" s="545"/>
    </row>
    <row r="132" spans="1:19" ht="25.5">
      <c r="A132" s="540"/>
      <c r="B132" s="713"/>
      <c r="C132" s="540"/>
      <c r="D132" s="540"/>
      <c r="E132" s="567"/>
      <c r="F132" s="567"/>
      <c r="G132" s="568"/>
      <c r="H132" s="568"/>
      <c r="I132" s="568"/>
      <c r="J132" s="568"/>
      <c r="K132" s="567"/>
      <c r="L132" s="566"/>
      <c r="M132" s="566"/>
      <c r="N132" s="566"/>
      <c r="O132" s="566"/>
      <c r="P132" s="566"/>
      <c r="Q132" s="566"/>
      <c r="R132" s="540"/>
      <c r="S132" s="545"/>
    </row>
    <row r="133" spans="1:19" ht="25.5">
      <c r="A133" s="540"/>
      <c r="B133" s="713"/>
      <c r="C133" s="540"/>
      <c r="D133" s="540"/>
      <c r="E133" s="567"/>
      <c r="F133" s="567"/>
      <c r="G133" s="568"/>
      <c r="H133" s="568"/>
      <c r="I133" s="568"/>
      <c r="J133" s="568"/>
      <c r="K133" s="540"/>
      <c r="L133" s="540"/>
      <c r="M133" s="540"/>
      <c r="N133" s="540"/>
      <c r="O133" s="540"/>
      <c r="P133" s="540"/>
      <c r="Q133" s="540"/>
      <c r="R133" s="540"/>
      <c r="S133" s="545"/>
    </row>
    <row r="134" spans="1:19" ht="25.5">
      <c r="A134" s="540"/>
      <c r="B134" s="713"/>
      <c r="C134" s="540"/>
      <c r="D134" s="540"/>
      <c r="E134" s="567"/>
      <c r="F134" s="567"/>
      <c r="G134" s="568"/>
      <c r="H134" s="568"/>
      <c r="I134" s="568"/>
      <c r="J134" s="568"/>
      <c r="K134" s="540"/>
      <c r="L134" s="540"/>
      <c r="M134" s="540"/>
      <c r="N134" s="540"/>
      <c r="O134" s="540"/>
      <c r="P134" s="540"/>
      <c r="Q134" s="540"/>
      <c r="R134" s="540"/>
      <c r="S134" s="545"/>
    </row>
    <row r="135" spans="1:19" ht="25.5">
      <c r="A135" s="540"/>
      <c r="B135" s="713"/>
      <c r="C135" s="540"/>
      <c r="D135" s="540"/>
      <c r="E135" s="567"/>
      <c r="F135" s="567"/>
      <c r="G135" s="568"/>
      <c r="H135" s="568"/>
      <c r="I135" s="568"/>
      <c r="J135" s="568"/>
      <c r="K135" s="540"/>
      <c r="L135" s="540"/>
      <c r="M135" s="540"/>
      <c r="N135" s="540"/>
      <c r="O135" s="540"/>
      <c r="P135" s="540"/>
      <c r="Q135" s="540"/>
      <c r="R135" s="540"/>
      <c r="S135" s="545"/>
    </row>
    <row r="136" spans="1:19" ht="25.5">
      <c r="A136" s="540"/>
      <c r="B136" s="713"/>
      <c r="C136" s="540"/>
      <c r="D136" s="540"/>
      <c r="E136" s="567"/>
      <c r="F136" s="567"/>
      <c r="G136" s="568"/>
      <c r="H136" s="568"/>
      <c r="I136" s="568"/>
      <c r="J136" s="568"/>
      <c r="K136" s="540"/>
      <c r="L136" s="566"/>
      <c r="M136" s="566"/>
      <c r="N136" s="566"/>
      <c r="O136" s="566"/>
      <c r="P136" s="566"/>
      <c r="Q136" s="566"/>
      <c r="R136" s="540"/>
      <c r="S136" s="545"/>
    </row>
    <row r="137" spans="1:19" ht="25.5">
      <c r="A137" s="540"/>
      <c r="B137" s="713"/>
      <c r="C137" s="540"/>
      <c r="D137" s="540"/>
      <c r="E137" s="567"/>
      <c r="F137" s="567"/>
      <c r="G137" s="568"/>
      <c r="H137" s="568"/>
      <c r="I137" s="568"/>
      <c r="J137" s="568"/>
      <c r="K137" s="569"/>
      <c r="L137" s="570"/>
      <c r="M137" s="570"/>
      <c r="N137" s="570"/>
      <c r="O137" s="570"/>
      <c r="P137" s="570"/>
      <c r="Q137" s="570"/>
      <c r="R137" s="540"/>
      <c r="S137" s="545"/>
    </row>
    <row r="138" spans="1:19" ht="25.5">
      <c r="A138" s="540"/>
      <c r="B138" s="713"/>
      <c r="C138" s="540"/>
      <c r="D138" s="540"/>
      <c r="E138" s="540"/>
      <c r="F138" s="540"/>
      <c r="G138" s="540"/>
      <c r="H138" s="540"/>
      <c r="I138" s="540"/>
      <c r="J138" s="567"/>
      <c r="K138" s="540"/>
      <c r="L138" s="540"/>
      <c r="M138" s="540"/>
      <c r="N138" s="540"/>
      <c r="O138" s="540"/>
      <c r="P138" s="540"/>
      <c r="Q138" s="540"/>
      <c r="R138" s="540"/>
      <c r="S138" s="545"/>
    </row>
    <row r="139" spans="1:19" ht="25.5">
      <c r="A139" s="540"/>
      <c r="B139" s="713"/>
      <c r="C139" s="540"/>
      <c r="D139" s="540"/>
      <c r="E139" s="540"/>
      <c r="F139" s="540"/>
      <c r="G139" s="540"/>
      <c r="H139" s="540"/>
      <c r="I139" s="540"/>
      <c r="J139" s="540"/>
      <c r="K139" s="540"/>
      <c r="L139" s="540"/>
      <c r="M139" s="540"/>
      <c r="N139" s="540"/>
      <c r="O139" s="540"/>
      <c r="P139" s="540"/>
      <c r="Q139" s="540"/>
      <c r="R139" s="540"/>
      <c r="S139" s="545"/>
    </row>
    <row r="140" spans="1:19" ht="25.5">
      <c r="A140" s="540"/>
      <c r="B140" s="713"/>
      <c r="C140" s="540"/>
      <c r="D140" s="540"/>
      <c r="E140" s="540"/>
      <c r="F140" s="540"/>
      <c r="G140" s="540"/>
      <c r="H140" s="540"/>
      <c r="I140" s="540"/>
      <c r="J140" s="540"/>
      <c r="K140" s="540"/>
      <c r="L140" s="540"/>
      <c r="M140" s="540"/>
      <c r="N140" s="540"/>
      <c r="O140" s="540"/>
      <c r="P140" s="540"/>
      <c r="Q140" s="540"/>
      <c r="R140" s="540"/>
      <c r="S140" s="545"/>
    </row>
    <row r="141" spans="1:19" ht="25.5">
      <c r="A141" s="540"/>
      <c r="B141" s="713"/>
      <c r="C141" s="540"/>
      <c r="D141" s="540"/>
      <c r="E141" s="540"/>
      <c r="F141" s="540"/>
      <c r="G141" s="540"/>
      <c r="H141" s="540"/>
      <c r="I141" s="540"/>
      <c r="J141" s="540"/>
      <c r="K141" s="540"/>
      <c r="L141" s="540"/>
      <c r="M141" s="540"/>
      <c r="N141" s="540"/>
      <c r="O141" s="540"/>
      <c r="P141" s="540"/>
      <c r="Q141" s="540"/>
      <c r="R141" s="540"/>
      <c r="S141" s="545"/>
    </row>
    <row r="142" spans="1:19" ht="15.75">
      <c r="C142" s="571"/>
      <c r="D142" s="571"/>
      <c r="E142" s="571"/>
      <c r="F142" s="571"/>
      <c r="G142" s="571"/>
      <c r="H142" s="571"/>
      <c r="I142" s="571"/>
      <c r="J142" s="571"/>
      <c r="K142" s="571"/>
      <c r="L142" s="571"/>
      <c r="M142" s="571"/>
      <c r="N142" s="571"/>
      <c r="O142" s="571"/>
      <c r="P142" s="571"/>
      <c r="Q142" s="571"/>
      <c r="R142" s="571"/>
      <c r="S142" s="571"/>
    </row>
    <row r="143" spans="1:19" ht="15.75">
      <c r="C143" s="571"/>
      <c r="D143" s="571"/>
      <c r="E143" s="571"/>
      <c r="F143" s="571"/>
      <c r="G143" s="571"/>
      <c r="H143" s="571"/>
      <c r="I143" s="571"/>
      <c r="J143" s="571"/>
      <c r="K143" s="571"/>
      <c r="L143" s="571"/>
      <c r="M143" s="571"/>
      <c r="N143" s="571"/>
      <c r="O143" s="571"/>
      <c r="P143" s="571"/>
      <c r="Q143" s="571"/>
      <c r="R143" s="571"/>
      <c r="S143" s="571"/>
    </row>
  </sheetData>
  <mergeCells count="88">
    <mergeCell ref="H54:O54"/>
    <mergeCell ref="H58:O58"/>
    <mergeCell ref="H59:O59"/>
    <mergeCell ref="J33:R34"/>
    <mergeCell ref="H36:H37"/>
    <mergeCell ref="I36:I37"/>
    <mergeCell ref="J36:R37"/>
    <mergeCell ref="H38:H39"/>
    <mergeCell ref="I38:I39"/>
    <mergeCell ref="J38:R39"/>
    <mergeCell ref="J35:R35"/>
    <mergeCell ref="H33:H34"/>
    <mergeCell ref="I33:I34"/>
    <mergeCell ref="H53:O53"/>
    <mergeCell ref="H31:H32"/>
    <mergeCell ref="I31:I32"/>
    <mergeCell ref="J31:R32"/>
    <mergeCell ref="H27:H28"/>
    <mergeCell ref="I27:I28"/>
    <mergeCell ref="H21:H22"/>
    <mergeCell ref="I21:I22"/>
    <mergeCell ref="J21:R22"/>
    <mergeCell ref="J27:R28"/>
    <mergeCell ref="H29:H30"/>
    <mergeCell ref="I29:I30"/>
    <mergeCell ref="J29:R30"/>
    <mergeCell ref="H23:H24"/>
    <mergeCell ref="I23:I24"/>
    <mergeCell ref="J23:R24"/>
    <mergeCell ref="H25:H26"/>
    <mergeCell ref="I25:I26"/>
    <mergeCell ref="J25:R26"/>
    <mergeCell ref="C47:G47"/>
    <mergeCell ref="M47:R47"/>
    <mergeCell ref="M51:R51"/>
    <mergeCell ref="M52:R52"/>
    <mergeCell ref="A40:A41"/>
    <mergeCell ref="B40:G41"/>
    <mergeCell ref="A44:R44"/>
    <mergeCell ref="C46:G46"/>
    <mergeCell ref="M46:R46"/>
    <mergeCell ref="H40:H41"/>
    <mergeCell ref="I40:I41"/>
    <mergeCell ref="J40:R41"/>
    <mergeCell ref="B35:G35"/>
    <mergeCell ref="A36:A37"/>
    <mergeCell ref="B36:G37"/>
    <mergeCell ref="A38:A39"/>
    <mergeCell ref="B38:G39"/>
    <mergeCell ref="A31:A32"/>
    <mergeCell ref="B31:G32"/>
    <mergeCell ref="A33:A34"/>
    <mergeCell ref="B33:G34"/>
    <mergeCell ref="A27:A28"/>
    <mergeCell ref="B27:G28"/>
    <mergeCell ref="A29:A30"/>
    <mergeCell ref="B29:G30"/>
    <mergeCell ref="A23:A24"/>
    <mergeCell ref="B23:G24"/>
    <mergeCell ref="A25:A26"/>
    <mergeCell ref="B25:G26"/>
    <mergeCell ref="A19:A20"/>
    <mergeCell ref="B19:G20"/>
    <mergeCell ref="A21:A22"/>
    <mergeCell ref="B21:G22"/>
    <mergeCell ref="J18:R18"/>
    <mergeCell ref="B18:G18"/>
    <mergeCell ref="H19:H20"/>
    <mergeCell ref="A13:D13"/>
    <mergeCell ref="F13:L13"/>
    <mergeCell ref="I19:I20"/>
    <mergeCell ref="J19:R20"/>
    <mergeCell ref="T13:T14"/>
    <mergeCell ref="A14:D14"/>
    <mergeCell ref="F14:R14"/>
    <mergeCell ref="A8:M8"/>
    <mergeCell ref="A9:R9"/>
    <mergeCell ref="A11:D11"/>
    <mergeCell ref="F11:L11"/>
    <mergeCell ref="A12:D12"/>
    <mergeCell ref="F12:I12"/>
    <mergeCell ref="K12:L12"/>
    <mergeCell ref="A6:M6"/>
    <mergeCell ref="A1:S1"/>
    <mergeCell ref="A2:S2"/>
    <mergeCell ref="A3:S3"/>
    <mergeCell ref="A4:S4"/>
    <mergeCell ref="A5:S5"/>
  </mergeCells>
  <dataValidations count="1">
    <dataValidation allowBlank="1" showErrorMessage="1" sqref="H58:H59 A31 A33 A35:A36 A38 A40 A23 A25 A27 A29 B2:H4 A42:A1048576 H55:J57 H60:XFD1048576 I35:J35 L55:L57 B19:G1048576 A19:A21 A9:A17 A18:B18 Q14:R17 I42:L52 S9:XFD59 B6:G17 K9:P17 Q11:Q13 Q9:R10 H6:H19 H35:H36 I36:J36 H29:J29 H42:H54 H31:J31 H33:J33 I9:J19 H21:J21 H23:J23 H25:J25 H27:J27 H38:J38 H40:J40 P42:R59 M42:O52 M55:O57"/>
  </dataValidations>
  <pageMargins left="0.4" right="0.31" top="0.34" bottom="0.27" header="0.3" footer="0.3"/>
  <pageSetup paperSize="5" scale="65" orientation="portrait" horizontalDpi="4294967292"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61" r:id="rId4" name="Spinner 1">
              <controlPr defaultSize="0" autoPict="0">
                <anchor moveWithCells="1" sizeWithCells="1">
                  <from>
                    <xdr:col>19</xdr:col>
                    <xdr:colOff>600075</xdr:colOff>
                    <xdr:row>12</xdr:row>
                    <xdr:rowOff>47625</xdr:rowOff>
                  </from>
                  <to>
                    <xdr:col>20</xdr:col>
                    <xdr:colOff>428625</xdr:colOff>
                    <xdr:row>14</xdr:row>
                    <xdr:rowOff>47625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S95"/>
  <sheetViews>
    <sheetView view="pageBreakPreview" zoomScale="80" zoomScaleSheetLayoutView="80" workbookViewId="0"/>
  </sheetViews>
  <sheetFormatPr defaultRowHeight="15"/>
  <cols>
    <col min="1" max="1" width="3.7109375" style="24" customWidth="1"/>
    <col min="2" max="9" width="5" style="24" customWidth="1"/>
    <col min="10" max="10" width="3.28515625" style="24" customWidth="1"/>
    <col min="11" max="24" width="5" style="24" customWidth="1"/>
    <col min="25" max="16384" width="9.140625" style="24"/>
  </cols>
  <sheetData>
    <row r="1" spans="4:18" ht="18.75">
      <c r="J1" s="1392" t="s">
        <v>472</v>
      </c>
      <c r="K1" s="1392"/>
      <c r="L1" s="1392"/>
      <c r="M1" s="1392"/>
      <c r="N1" s="1392"/>
      <c r="O1" s="1392"/>
      <c r="P1" s="1392"/>
      <c r="Q1" s="1392"/>
      <c r="R1" s="1392"/>
    </row>
    <row r="2" spans="4:18" ht="18.75">
      <c r="J2" s="1392" t="s">
        <v>45</v>
      </c>
      <c r="K2" s="1392"/>
      <c r="L2" s="1392"/>
      <c r="M2" s="1392" t="s">
        <v>473</v>
      </c>
      <c r="N2" s="1392"/>
      <c r="O2" s="1392"/>
      <c r="P2" s="1392"/>
      <c r="Q2" s="1392"/>
      <c r="R2" s="1392"/>
    </row>
    <row r="3" spans="4:18" ht="18.75">
      <c r="J3" s="493"/>
      <c r="K3" s="493"/>
      <c r="L3" s="493"/>
      <c r="M3" s="493"/>
      <c r="N3" s="493"/>
      <c r="O3" s="493"/>
      <c r="P3" s="493"/>
      <c r="Q3" s="493"/>
      <c r="R3" s="493"/>
    </row>
    <row r="4" spans="4:18" ht="18.75" customHeight="1">
      <c r="J4" s="493"/>
      <c r="K4" s="493"/>
      <c r="L4" s="493"/>
      <c r="M4" s="493"/>
      <c r="N4" s="493"/>
      <c r="O4" s="493"/>
      <c r="P4" s="493"/>
      <c r="Q4" s="493"/>
      <c r="R4" s="493"/>
    </row>
    <row r="5" spans="4:18" ht="23.25" customHeight="1">
      <c r="J5" s="494"/>
      <c r="K5" s="494"/>
      <c r="L5" s="494"/>
      <c r="M5" s="495"/>
      <c r="N5" s="495"/>
      <c r="O5" s="495"/>
    </row>
    <row r="6" spans="4:18" ht="16.5" customHeight="1">
      <c r="D6" s="496"/>
    </row>
    <row r="8" spans="4:18" ht="15.75">
      <c r="D8" s="496"/>
    </row>
    <row r="9" spans="4:18" ht="15.75">
      <c r="D9" s="496"/>
    </row>
    <row r="10" spans="4:18" ht="15.75">
      <c r="D10" s="496"/>
    </row>
    <row r="11" spans="4:18" ht="15.75">
      <c r="D11" s="496"/>
    </row>
    <row r="12" spans="4:18" ht="15.75">
      <c r="D12" s="496"/>
    </row>
    <row r="13" spans="4:18" ht="15.75">
      <c r="D13" s="496"/>
    </row>
    <row r="14" spans="4:18" ht="15.75">
      <c r="D14" s="496"/>
    </row>
    <row r="15" spans="4:18" ht="15.75">
      <c r="D15" s="496"/>
    </row>
    <row r="16" spans="4:18" ht="15.75">
      <c r="D16" s="496"/>
    </row>
    <row r="17" spans="2:18" ht="48.75">
      <c r="B17" s="1393" t="s">
        <v>474</v>
      </c>
      <c r="C17" s="1393"/>
      <c r="D17" s="1393"/>
      <c r="E17" s="1393"/>
      <c r="F17" s="1393"/>
      <c r="G17" s="1393"/>
      <c r="H17" s="1393"/>
      <c r="I17" s="1393"/>
      <c r="J17" s="1393"/>
      <c r="K17" s="1393"/>
      <c r="L17" s="1393"/>
      <c r="M17" s="1393"/>
      <c r="N17" s="1393"/>
      <c r="O17" s="1393"/>
      <c r="P17" s="1393"/>
      <c r="Q17" s="1393"/>
      <c r="R17" s="1393"/>
    </row>
    <row r="18" spans="2:18" ht="18">
      <c r="D18" s="497"/>
    </row>
    <row r="19" spans="2:18" ht="30">
      <c r="B19" s="1391" t="s">
        <v>475</v>
      </c>
      <c r="C19" s="1391"/>
      <c r="D19" s="1391"/>
      <c r="E19" s="1391"/>
      <c r="F19" s="1391"/>
      <c r="G19" s="1391"/>
      <c r="H19" s="1391"/>
      <c r="I19" s="1391"/>
      <c r="J19" s="1391"/>
      <c r="K19" s="1391"/>
      <c r="L19" s="1391"/>
      <c r="M19" s="1391"/>
      <c r="N19" s="1391"/>
      <c r="O19" s="1391"/>
      <c r="P19" s="1391"/>
      <c r="Q19" s="1391"/>
      <c r="R19" s="1391"/>
    </row>
    <row r="20" spans="2:18" ht="30">
      <c r="B20" s="1391" t="s">
        <v>476</v>
      </c>
      <c r="C20" s="1391"/>
      <c r="D20" s="1391"/>
      <c r="E20" s="1391"/>
      <c r="F20" s="1391"/>
      <c r="G20" s="1391"/>
      <c r="H20" s="1391"/>
      <c r="I20" s="1391"/>
      <c r="J20" s="1391"/>
      <c r="K20" s="1391"/>
      <c r="L20" s="1391"/>
      <c r="M20" s="1391"/>
      <c r="N20" s="1391"/>
      <c r="O20" s="1391"/>
      <c r="P20" s="1391"/>
      <c r="Q20" s="1391"/>
      <c r="R20" s="1391"/>
    </row>
    <row r="21" spans="2:18" ht="15.75">
      <c r="D21" s="498"/>
    </row>
    <row r="22" spans="2:18" ht="18">
      <c r="D22" s="499"/>
    </row>
    <row r="23" spans="2:18" ht="15.75">
      <c r="D23" s="500" t="s">
        <v>477</v>
      </c>
      <c r="E23" s="501"/>
      <c r="F23" s="501"/>
      <c r="G23" s="501"/>
      <c r="H23" s="501"/>
      <c r="I23" s="501"/>
      <c r="J23" s="500" t="s">
        <v>478</v>
      </c>
      <c r="K23" s="1395" t="str">
        <f>DEPAN!E10</f>
        <v>SDN UJUNG ASPAL 01</v>
      </c>
      <c r="L23" s="1395"/>
      <c r="M23" s="1395"/>
      <c r="N23" s="1395"/>
      <c r="O23" s="1395"/>
      <c r="P23" s="1395"/>
      <c r="Q23" s="1395"/>
      <c r="R23" s="1395"/>
    </row>
    <row r="24" spans="2:18" ht="15.75">
      <c r="D24" s="500" t="s">
        <v>269</v>
      </c>
      <c r="E24" s="501"/>
      <c r="F24" s="501"/>
      <c r="G24" s="501"/>
      <c r="H24" s="501"/>
      <c r="I24" s="501"/>
      <c r="J24" s="500" t="s">
        <v>478</v>
      </c>
      <c r="K24" s="1395">
        <f>DEPAN!E9</f>
        <v>665098</v>
      </c>
      <c r="L24" s="1395"/>
      <c r="M24" s="1395"/>
      <c r="N24" s="1395"/>
      <c r="O24" s="1395"/>
      <c r="P24" s="1395"/>
      <c r="Q24" s="1395"/>
      <c r="R24" s="1395"/>
    </row>
    <row r="25" spans="2:18" ht="15.75">
      <c r="D25" s="500" t="s">
        <v>479</v>
      </c>
      <c r="E25" s="501"/>
      <c r="F25" s="501"/>
      <c r="G25" s="501"/>
      <c r="H25" s="501"/>
      <c r="I25" s="501"/>
      <c r="J25" s="500" t="s">
        <v>478</v>
      </c>
      <c r="K25" s="1395" t="s">
        <v>564</v>
      </c>
      <c r="L25" s="1395"/>
      <c r="M25" s="1395"/>
      <c r="N25" s="1395"/>
      <c r="O25" s="1395"/>
      <c r="P25" s="1395"/>
      <c r="Q25" s="1395"/>
      <c r="R25" s="1395"/>
    </row>
    <row r="26" spans="2:18" ht="15.75">
      <c r="D26" s="500" t="s">
        <v>480</v>
      </c>
      <c r="E26" s="501"/>
      <c r="F26" s="501"/>
      <c r="G26" s="501"/>
      <c r="H26" s="501"/>
      <c r="I26" s="501"/>
      <c r="J26" s="500" t="s">
        <v>478</v>
      </c>
      <c r="K26" s="1395" t="str">
        <f>DEPAN!E11</f>
        <v>Jl.Ndeso gang 33 Sidokuto</v>
      </c>
      <c r="L26" s="1395"/>
      <c r="M26" s="1395"/>
      <c r="N26" s="1395"/>
      <c r="O26" s="1395"/>
      <c r="P26" s="1395"/>
      <c r="Q26" s="1395"/>
      <c r="R26" s="1395"/>
    </row>
    <row r="27" spans="2:18" ht="15.75">
      <c r="D27" s="500" t="s">
        <v>481</v>
      </c>
      <c r="E27" s="501"/>
      <c r="F27" s="501"/>
      <c r="G27" s="501"/>
      <c r="H27" s="501"/>
      <c r="I27" s="501"/>
      <c r="J27" s="500" t="s">
        <v>478</v>
      </c>
      <c r="K27" s="1395" t="str">
        <f>DEPAN!E18</f>
        <v>Tegalbangsri</v>
      </c>
      <c r="L27" s="1395"/>
      <c r="M27" s="1395"/>
      <c r="N27" s="1395"/>
      <c r="O27" s="1395"/>
      <c r="P27" s="1395"/>
      <c r="Q27" s="1395"/>
      <c r="R27" s="1395"/>
    </row>
    <row r="28" spans="2:18" ht="15.75">
      <c r="D28" s="500" t="s">
        <v>482</v>
      </c>
      <c r="E28" s="501"/>
      <c r="F28" s="501"/>
      <c r="G28" s="501"/>
      <c r="H28" s="501"/>
      <c r="I28" s="501"/>
      <c r="J28" s="500" t="s">
        <v>478</v>
      </c>
      <c r="K28" s="1395" t="str">
        <f>DEPAN!E19</f>
        <v>Ranuyoso</v>
      </c>
      <c r="L28" s="1395"/>
      <c r="M28" s="1395"/>
      <c r="N28" s="1395"/>
      <c r="O28" s="1395"/>
      <c r="P28" s="1395"/>
      <c r="Q28" s="1395"/>
      <c r="R28" s="1395"/>
    </row>
    <row r="29" spans="2:18" ht="15.75">
      <c r="D29" s="500" t="s">
        <v>483</v>
      </c>
      <c r="E29" s="501"/>
      <c r="F29" s="501"/>
      <c r="G29" s="501"/>
      <c r="H29" s="501"/>
      <c r="I29" s="501"/>
      <c r="J29" s="500" t="s">
        <v>478</v>
      </c>
      <c r="K29" s="1395" t="str">
        <f>DEPAN!E20</f>
        <v xml:space="preserve">Lumajang </v>
      </c>
      <c r="L29" s="1395"/>
      <c r="M29" s="1395"/>
      <c r="N29" s="1395"/>
      <c r="O29" s="1395"/>
      <c r="P29" s="1395"/>
      <c r="Q29" s="1395"/>
      <c r="R29" s="1395"/>
    </row>
    <row r="30" spans="2:18" ht="15.75">
      <c r="D30" s="500" t="s">
        <v>484</v>
      </c>
      <c r="E30" s="501"/>
      <c r="F30" s="501"/>
      <c r="G30" s="501"/>
      <c r="H30" s="501"/>
      <c r="I30" s="501"/>
      <c r="J30" s="500" t="s">
        <v>478</v>
      </c>
      <c r="K30" s="1395" t="str">
        <f>DEPAN!E21</f>
        <v>Jawa Timur</v>
      </c>
      <c r="L30" s="1395"/>
      <c r="M30" s="1395"/>
      <c r="N30" s="1395"/>
      <c r="O30" s="1395"/>
      <c r="P30" s="1395"/>
      <c r="Q30" s="1395"/>
      <c r="R30" s="1395"/>
    </row>
    <row r="31" spans="2:18" ht="20.25">
      <c r="D31" s="502"/>
    </row>
    <row r="32" spans="2:18" ht="19.5">
      <c r="D32" s="503"/>
    </row>
    <row r="33" spans="2:19" ht="18" customHeight="1">
      <c r="B33" s="1394" t="s">
        <v>485</v>
      </c>
      <c r="C33" s="1394"/>
      <c r="D33" s="1394"/>
      <c r="E33" s="1394"/>
      <c r="F33" s="1394"/>
      <c r="G33" s="1394"/>
      <c r="H33" s="1394"/>
      <c r="I33" s="1394"/>
      <c r="J33" s="1394"/>
      <c r="K33" s="1394"/>
      <c r="L33" s="1394"/>
      <c r="M33" s="1394"/>
      <c r="N33" s="1394"/>
      <c r="O33" s="1394"/>
      <c r="P33" s="1394"/>
      <c r="Q33" s="1394"/>
      <c r="R33" s="1394"/>
    </row>
    <row r="34" spans="2:19" ht="18" customHeight="1">
      <c r="B34" s="1394" t="s">
        <v>190</v>
      </c>
      <c r="C34" s="1394"/>
      <c r="D34" s="1394"/>
      <c r="E34" s="1394"/>
      <c r="F34" s="1394"/>
      <c r="G34" s="1394"/>
      <c r="H34" s="1394"/>
      <c r="I34" s="1394"/>
      <c r="J34" s="1394"/>
      <c r="K34" s="1394"/>
      <c r="L34" s="1394"/>
      <c r="M34" s="1394"/>
      <c r="N34" s="1394"/>
      <c r="O34" s="1394"/>
      <c r="P34" s="1394"/>
      <c r="Q34" s="1394"/>
      <c r="R34" s="1394"/>
    </row>
    <row r="38" spans="2:19">
      <c r="B38" s="1021" t="s">
        <v>486</v>
      </c>
      <c r="C38" s="1021"/>
      <c r="D38" s="1021"/>
      <c r="E38" s="1021"/>
      <c r="F38" s="1021"/>
      <c r="G38" s="1021"/>
      <c r="H38" s="1021"/>
      <c r="I38" s="1021"/>
      <c r="J38" s="1021"/>
      <c r="K38" s="1021"/>
      <c r="L38" s="1021"/>
      <c r="M38" s="1021"/>
      <c r="N38" s="1021"/>
      <c r="O38" s="1021"/>
      <c r="P38" s="1021"/>
      <c r="Q38" s="1021"/>
      <c r="R38" s="1021"/>
    </row>
    <row r="39" spans="2:19" s="504" customFormat="1" ht="11.25">
      <c r="B39" s="1397" t="s">
        <v>487</v>
      </c>
      <c r="C39" s="1397"/>
      <c r="D39" s="1397"/>
      <c r="E39" s="1397"/>
      <c r="F39" s="1397"/>
      <c r="G39" s="1397"/>
      <c r="H39" s="1397"/>
      <c r="I39" s="1397"/>
      <c r="J39" s="1397"/>
      <c r="K39" s="1397"/>
      <c r="L39" s="1397"/>
      <c r="M39" s="1397"/>
      <c r="N39" s="1397"/>
      <c r="O39" s="1397"/>
      <c r="P39" s="1397"/>
      <c r="Q39" s="1397"/>
      <c r="R39" s="1397"/>
    </row>
    <row r="40" spans="2:19" s="504" customFormat="1" ht="22.5" customHeight="1">
      <c r="B40" s="1396" t="s">
        <v>488</v>
      </c>
      <c r="C40" s="1396"/>
      <c r="D40" s="1396"/>
      <c r="E40" s="1396"/>
      <c r="F40" s="1396"/>
      <c r="G40" s="1396"/>
      <c r="H40" s="1396"/>
      <c r="I40" s="1396"/>
      <c r="J40" s="1396"/>
      <c r="K40" s="1396"/>
      <c r="L40" s="1396"/>
      <c r="M40" s="1396"/>
      <c r="N40" s="1396"/>
      <c r="O40" s="1396"/>
      <c r="P40" s="1396"/>
      <c r="Q40" s="1396"/>
      <c r="R40" s="1396"/>
      <c r="S40" s="1396"/>
    </row>
    <row r="41" spans="2:19" s="504" customFormat="1" ht="25.5" customHeight="1">
      <c r="B41" s="1396" t="s">
        <v>489</v>
      </c>
      <c r="C41" s="1396"/>
      <c r="D41" s="1396"/>
      <c r="E41" s="1396"/>
      <c r="F41" s="1396"/>
      <c r="G41" s="1396"/>
      <c r="H41" s="1396"/>
      <c r="I41" s="1396"/>
      <c r="J41" s="1396"/>
      <c r="K41" s="1396"/>
      <c r="L41" s="1396"/>
      <c r="M41" s="1396"/>
      <c r="N41" s="1396"/>
      <c r="O41" s="1396"/>
      <c r="P41" s="1396"/>
      <c r="Q41" s="1396"/>
      <c r="R41" s="1396"/>
    </row>
    <row r="42" spans="2:19" s="504" customFormat="1" ht="12.75" customHeight="1">
      <c r="B42" s="1396" t="s">
        <v>490</v>
      </c>
      <c r="C42" s="1396"/>
      <c r="D42" s="1396"/>
      <c r="E42" s="1396"/>
      <c r="F42" s="1396"/>
      <c r="G42" s="1396"/>
      <c r="H42" s="1396"/>
      <c r="I42" s="1396"/>
      <c r="J42" s="1396"/>
      <c r="K42" s="1396"/>
      <c r="L42" s="1396"/>
      <c r="M42" s="1396"/>
      <c r="N42" s="1396"/>
      <c r="O42" s="1396"/>
      <c r="P42" s="1396"/>
      <c r="Q42" s="1396"/>
      <c r="R42" s="1396"/>
    </row>
    <row r="43" spans="2:19" s="504" customFormat="1" ht="11.25">
      <c r="B43" s="1398" t="s">
        <v>491</v>
      </c>
      <c r="C43" s="1398"/>
      <c r="D43" s="1398"/>
      <c r="E43" s="1398"/>
      <c r="F43" s="1398"/>
      <c r="G43" s="1398"/>
      <c r="H43" s="1398"/>
      <c r="I43" s="1398"/>
      <c r="J43" s="1398"/>
      <c r="K43" s="1398"/>
      <c r="L43" s="1398"/>
      <c r="M43" s="1398"/>
      <c r="N43" s="1398"/>
      <c r="O43" s="1398"/>
      <c r="P43" s="1398"/>
      <c r="Q43" s="1398"/>
      <c r="R43" s="1398"/>
    </row>
    <row r="44" spans="2:19" s="504" customFormat="1" ht="11.25">
      <c r="B44" s="1398" t="s">
        <v>492</v>
      </c>
      <c r="C44" s="1398"/>
      <c r="D44" s="1398"/>
      <c r="E44" s="1398"/>
      <c r="F44" s="1398"/>
      <c r="G44" s="1398"/>
      <c r="H44" s="1398"/>
      <c r="I44" s="1398"/>
      <c r="J44" s="1398"/>
      <c r="K44" s="1398"/>
      <c r="L44" s="1398"/>
      <c r="M44" s="1398"/>
      <c r="N44" s="1398"/>
      <c r="O44" s="1398"/>
      <c r="P44" s="1398"/>
      <c r="Q44" s="1398"/>
      <c r="R44" s="1398"/>
    </row>
    <row r="45" spans="2:19" s="504" customFormat="1" ht="11.25"/>
    <row r="46" spans="2:19" s="504" customFormat="1" ht="11.25">
      <c r="B46" s="1397" t="s">
        <v>493</v>
      </c>
      <c r="C46" s="1397"/>
      <c r="D46" s="1397"/>
      <c r="E46" s="1397"/>
      <c r="F46" s="1397"/>
      <c r="G46" s="1397"/>
      <c r="H46" s="1397"/>
      <c r="I46" s="1397"/>
      <c r="J46" s="1397"/>
      <c r="K46" s="1397"/>
      <c r="L46" s="1397"/>
      <c r="M46" s="1397"/>
      <c r="N46" s="1397"/>
      <c r="O46" s="1397"/>
      <c r="P46" s="1397"/>
      <c r="Q46" s="1397"/>
      <c r="R46" s="1397"/>
    </row>
    <row r="47" spans="2:19" s="504" customFormat="1" ht="15" customHeight="1">
      <c r="B47" s="1399" t="s">
        <v>494</v>
      </c>
      <c r="C47" s="1399"/>
      <c r="D47" s="1399"/>
      <c r="E47" s="1399"/>
      <c r="F47" s="1399"/>
      <c r="G47" s="1399"/>
      <c r="H47" s="1399"/>
      <c r="I47" s="1399"/>
      <c r="J47" s="1399"/>
      <c r="K47" s="1399"/>
      <c r="L47" s="1399"/>
      <c r="M47" s="1399"/>
      <c r="N47" s="1399"/>
      <c r="O47" s="1399"/>
      <c r="P47" s="1399"/>
      <c r="Q47" s="1399"/>
      <c r="R47" s="1399"/>
    </row>
    <row r="48" spans="2:19" s="504" customFormat="1" ht="11.25">
      <c r="B48" s="1396" t="s">
        <v>495</v>
      </c>
      <c r="C48" s="1396"/>
      <c r="D48" s="1396"/>
      <c r="E48" s="1396"/>
      <c r="F48" s="1396"/>
      <c r="G48" s="1396"/>
      <c r="H48" s="1396"/>
      <c r="I48" s="1396"/>
      <c r="J48" s="1396"/>
      <c r="K48" s="1396"/>
      <c r="L48" s="1396"/>
      <c r="M48" s="1396"/>
      <c r="N48" s="1396"/>
      <c r="O48" s="1396"/>
      <c r="P48" s="1396"/>
      <c r="Q48" s="1396"/>
      <c r="R48" s="1396"/>
    </row>
    <row r="49" spans="2:18" s="504" customFormat="1" ht="11.25">
      <c r="B49" s="1396" t="s">
        <v>496</v>
      </c>
      <c r="C49" s="1396"/>
      <c r="D49" s="1396"/>
      <c r="E49" s="1396"/>
      <c r="F49" s="1396"/>
      <c r="G49" s="1396"/>
      <c r="H49" s="1396"/>
      <c r="I49" s="1396"/>
      <c r="J49" s="1396"/>
      <c r="K49" s="1396"/>
      <c r="L49" s="1396"/>
      <c r="M49" s="1396"/>
      <c r="N49" s="1396"/>
      <c r="O49" s="1396"/>
      <c r="P49" s="1396"/>
      <c r="Q49" s="1396"/>
      <c r="R49" s="1396"/>
    </row>
    <row r="50" spans="2:18" s="504" customFormat="1" ht="11.25">
      <c r="B50" s="1396" t="s">
        <v>497</v>
      </c>
      <c r="C50" s="1396"/>
      <c r="D50" s="1396"/>
      <c r="E50" s="1396"/>
      <c r="F50" s="1396"/>
      <c r="G50" s="1396"/>
      <c r="H50" s="1396"/>
      <c r="I50" s="1396"/>
      <c r="J50" s="1396"/>
      <c r="K50" s="1396"/>
      <c r="L50" s="1396"/>
      <c r="M50" s="1396"/>
      <c r="N50" s="1396"/>
      <c r="O50" s="1396"/>
      <c r="P50" s="1396"/>
      <c r="Q50" s="1396"/>
      <c r="R50" s="1396"/>
    </row>
    <row r="51" spans="2:18" s="504" customFormat="1" ht="11.25">
      <c r="B51" s="1396" t="s">
        <v>498</v>
      </c>
      <c r="C51" s="1396"/>
      <c r="D51" s="1396"/>
      <c r="E51" s="1396"/>
      <c r="F51" s="1396"/>
      <c r="G51" s="1396"/>
      <c r="H51" s="1396"/>
      <c r="I51" s="1396"/>
      <c r="J51" s="1396"/>
      <c r="K51" s="1396"/>
      <c r="L51" s="1396"/>
      <c r="M51" s="1396"/>
      <c r="N51" s="1396"/>
      <c r="O51" s="1396"/>
      <c r="P51" s="1396"/>
      <c r="Q51" s="1396"/>
      <c r="R51" s="1396"/>
    </row>
    <row r="52" spans="2:18" s="504" customFormat="1" ht="11.25">
      <c r="B52" s="1396" t="s">
        <v>499</v>
      </c>
      <c r="C52" s="1396"/>
      <c r="D52" s="1396"/>
      <c r="E52" s="1396"/>
      <c r="F52" s="1396"/>
      <c r="G52" s="1396"/>
      <c r="H52" s="1396"/>
      <c r="I52" s="1396"/>
      <c r="J52" s="1396"/>
      <c r="K52" s="1396"/>
      <c r="L52" s="1396"/>
      <c r="M52" s="1396"/>
      <c r="N52" s="1396"/>
      <c r="O52" s="1396"/>
      <c r="P52" s="1396"/>
      <c r="Q52" s="1396"/>
      <c r="R52" s="1396"/>
    </row>
    <row r="53" spans="2:18" s="504" customFormat="1" ht="11.25">
      <c r="B53" s="1396" t="s">
        <v>500</v>
      </c>
      <c r="C53" s="1396"/>
      <c r="D53" s="1396"/>
      <c r="E53" s="1396"/>
      <c r="F53" s="1396"/>
      <c r="G53" s="1396"/>
      <c r="H53" s="1396"/>
      <c r="I53" s="1396"/>
      <c r="J53" s="1396"/>
      <c r="K53" s="1396"/>
      <c r="L53" s="1396"/>
      <c r="M53" s="1396"/>
      <c r="N53" s="1396"/>
      <c r="O53" s="1396"/>
      <c r="P53" s="1396"/>
      <c r="Q53" s="1396"/>
      <c r="R53" s="1396"/>
    </row>
    <row r="54" spans="2:18" s="504" customFormat="1" ht="11.25">
      <c r="B54" s="1396" t="s">
        <v>501</v>
      </c>
      <c r="C54" s="1396"/>
      <c r="D54" s="1396"/>
      <c r="E54" s="1396"/>
      <c r="F54" s="1396"/>
      <c r="G54" s="1396"/>
      <c r="H54" s="1396"/>
      <c r="I54" s="1396"/>
      <c r="J54" s="1396"/>
      <c r="K54" s="1396"/>
      <c r="L54" s="1396"/>
      <c r="M54" s="1396"/>
      <c r="N54" s="1396"/>
      <c r="O54" s="1396"/>
      <c r="P54" s="1396"/>
      <c r="Q54" s="1396"/>
      <c r="R54" s="1396"/>
    </row>
    <row r="55" spans="2:18" s="504" customFormat="1" ht="11.25">
      <c r="B55" s="1396" t="s">
        <v>502</v>
      </c>
      <c r="C55" s="1396"/>
      <c r="D55" s="1396"/>
      <c r="E55" s="1396"/>
      <c r="F55" s="1396"/>
      <c r="G55" s="1396"/>
      <c r="H55" s="1396"/>
      <c r="I55" s="1396"/>
      <c r="J55" s="1396"/>
      <c r="K55" s="1396"/>
      <c r="L55" s="1396"/>
      <c r="M55" s="1396"/>
      <c r="N55" s="1396"/>
      <c r="O55" s="1396"/>
      <c r="P55" s="1396"/>
      <c r="Q55" s="1396"/>
      <c r="R55" s="1396"/>
    </row>
    <row r="56" spans="2:18" s="504" customFormat="1" ht="11.25">
      <c r="B56" s="1396" t="s">
        <v>503</v>
      </c>
      <c r="C56" s="1396"/>
      <c r="D56" s="1396"/>
      <c r="E56" s="1396"/>
      <c r="F56" s="1396"/>
      <c r="G56" s="1396"/>
      <c r="H56" s="1396"/>
      <c r="I56" s="1396"/>
      <c r="J56" s="1396"/>
      <c r="K56" s="1396"/>
      <c r="L56" s="1396"/>
      <c r="M56" s="1396"/>
      <c r="N56" s="1396"/>
      <c r="O56" s="1396"/>
      <c r="P56" s="1396"/>
      <c r="Q56" s="1396"/>
      <c r="R56" s="1396"/>
    </row>
    <row r="57" spans="2:18" s="504" customFormat="1" ht="11.25">
      <c r="B57" s="1396" t="s">
        <v>504</v>
      </c>
      <c r="C57" s="1396"/>
      <c r="D57" s="1396"/>
      <c r="E57" s="1396"/>
      <c r="F57" s="1396"/>
      <c r="G57" s="1396"/>
      <c r="H57" s="1396"/>
      <c r="I57" s="1396"/>
      <c r="J57" s="1396"/>
      <c r="K57" s="1396"/>
      <c r="L57" s="1396"/>
      <c r="M57" s="1396"/>
      <c r="N57" s="1396"/>
      <c r="O57" s="1396"/>
      <c r="P57" s="1396"/>
      <c r="Q57" s="1396"/>
      <c r="R57" s="1396"/>
    </row>
    <row r="58" spans="2:18" s="504" customFormat="1" ht="11.25">
      <c r="B58" s="1396" t="s">
        <v>505</v>
      </c>
      <c r="C58" s="1396"/>
      <c r="D58" s="1396"/>
      <c r="E58" s="1396"/>
      <c r="F58" s="1396"/>
      <c r="G58" s="1396"/>
      <c r="H58" s="1396"/>
      <c r="I58" s="1396"/>
      <c r="J58" s="1396"/>
      <c r="K58" s="1396"/>
      <c r="L58" s="1396"/>
      <c r="M58" s="1396"/>
      <c r="N58" s="1396"/>
      <c r="O58" s="1396"/>
      <c r="P58" s="1396"/>
      <c r="Q58" s="1396"/>
      <c r="R58" s="1396"/>
    </row>
    <row r="59" spans="2:18" s="504" customFormat="1" ht="11.25">
      <c r="B59" s="505"/>
      <c r="C59" s="505"/>
      <c r="D59" s="505"/>
      <c r="E59" s="505"/>
      <c r="F59" s="505"/>
      <c r="G59" s="505"/>
      <c r="H59" s="505"/>
      <c r="I59" s="505"/>
      <c r="J59" s="505"/>
      <c r="K59" s="505"/>
      <c r="L59" s="505"/>
      <c r="M59" s="505"/>
      <c r="N59" s="505"/>
      <c r="O59" s="505"/>
      <c r="P59" s="505"/>
      <c r="Q59" s="505"/>
      <c r="R59" s="505"/>
    </row>
    <row r="60" spans="2:18" s="504" customFormat="1" ht="11.25">
      <c r="B60" s="1399" t="s">
        <v>506</v>
      </c>
      <c r="C60" s="1399"/>
      <c r="D60" s="1399"/>
      <c r="E60" s="1399"/>
      <c r="F60" s="1399"/>
      <c r="G60" s="1399"/>
      <c r="H60" s="1399"/>
      <c r="I60" s="1399"/>
      <c r="J60" s="1399"/>
      <c r="K60" s="1399"/>
      <c r="L60" s="1399"/>
      <c r="M60" s="1399"/>
      <c r="N60" s="1399"/>
      <c r="O60" s="1399"/>
      <c r="P60" s="1399"/>
      <c r="Q60" s="1399"/>
      <c r="R60" s="1399"/>
    </row>
    <row r="61" spans="2:18" s="504" customFormat="1" ht="11.25">
      <c r="B61" s="1396" t="s">
        <v>507</v>
      </c>
      <c r="C61" s="1396"/>
      <c r="D61" s="1396"/>
      <c r="E61" s="1396"/>
      <c r="F61" s="1396"/>
      <c r="G61" s="1396"/>
      <c r="H61" s="1396"/>
      <c r="I61" s="1396"/>
      <c r="J61" s="1396"/>
      <c r="K61" s="1399" t="s">
        <v>508</v>
      </c>
      <c r="L61" s="1399"/>
      <c r="M61" s="1399"/>
      <c r="N61" s="1399"/>
      <c r="O61" s="1399"/>
      <c r="P61" s="1399"/>
      <c r="Q61" s="1399"/>
      <c r="R61" s="1399"/>
    </row>
    <row r="62" spans="2:18" s="504" customFormat="1" ht="11.25">
      <c r="B62" s="1396" t="s">
        <v>509</v>
      </c>
      <c r="C62" s="1396"/>
      <c r="D62" s="1396"/>
      <c r="E62" s="1396"/>
      <c r="F62" s="1396"/>
      <c r="G62" s="1396"/>
      <c r="H62" s="1396"/>
      <c r="I62" s="1396"/>
      <c r="J62" s="1396"/>
      <c r="K62" s="1400" t="s">
        <v>510</v>
      </c>
      <c r="L62" s="1400"/>
      <c r="M62" s="1400"/>
      <c r="N62" s="1400"/>
      <c r="O62" s="1400"/>
      <c r="P62" s="1400"/>
      <c r="Q62" s="1400"/>
      <c r="R62" s="1400"/>
    </row>
    <row r="63" spans="2:18" s="504" customFormat="1" ht="11.25">
      <c r="B63" s="1401" t="s">
        <v>511</v>
      </c>
      <c r="C63" s="1401"/>
      <c r="D63" s="1401"/>
      <c r="E63" s="1401"/>
      <c r="F63" s="1401"/>
      <c r="G63" s="1401"/>
      <c r="H63" s="1401"/>
      <c r="I63" s="1401"/>
      <c r="J63" s="1401"/>
      <c r="K63" s="1400" t="s">
        <v>512</v>
      </c>
      <c r="L63" s="1400"/>
      <c r="M63" s="1400"/>
      <c r="N63" s="1400"/>
      <c r="O63" s="1400"/>
      <c r="P63" s="1400"/>
      <c r="Q63" s="1400"/>
      <c r="R63" s="1400"/>
    </row>
    <row r="64" spans="2:18" s="504" customFormat="1" ht="11.25">
      <c r="B64" s="1396" t="s">
        <v>513</v>
      </c>
      <c r="C64" s="1396"/>
      <c r="D64" s="1396"/>
      <c r="E64" s="1396"/>
      <c r="F64" s="1396"/>
      <c r="G64" s="1396"/>
      <c r="H64" s="1396"/>
      <c r="I64" s="1396"/>
      <c r="J64" s="1396"/>
      <c r="K64" s="1400" t="s">
        <v>514</v>
      </c>
      <c r="L64" s="1400"/>
      <c r="M64" s="1400"/>
      <c r="N64" s="1400"/>
      <c r="O64" s="1400"/>
      <c r="P64" s="1400"/>
      <c r="Q64" s="1400"/>
      <c r="R64" s="1400"/>
    </row>
    <row r="65" spans="2:18" s="504" customFormat="1" ht="11.25">
      <c r="B65" s="1396" t="s">
        <v>515</v>
      </c>
      <c r="C65" s="1396"/>
      <c r="D65" s="1396"/>
      <c r="E65" s="1396"/>
      <c r="F65" s="1396"/>
      <c r="G65" s="1396"/>
      <c r="H65" s="1396"/>
      <c r="I65" s="1396"/>
      <c r="J65" s="1396"/>
      <c r="K65" s="1400" t="s">
        <v>516</v>
      </c>
      <c r="L65" s="1400"/>
      <c r="M65" s="1400"/>
      <c r="N65" s="1400"/>
      <c r="O65" s="1400"/>
      <c r="P65" s="1400"/>
      <c r="Q65" s="1400"/>
      <c r="R65" s="1400"/>
    </row>
    <row r="66" spans="2:18" s="504" customFormat="1" ht="11.25">
      <c r="B66" s="1396" t="s">
        <v>517</v>
      </c>
      <c r="C66" s="1396"/>
      <c r="D66" s="1396"/>
      <c r="E66" s="1396"/>
      <c r="F66" s="1396"/>
      <c r="G66" s="1396"/>
      <c r="H66" s="1396"/>
      <c r="I66" s="1396"/>
      <c r="J66" s="1396"/>
      <c r="K66" s="1400" t="s">
        <v>518</v>
      </c>
      <c r="L66" s="1400"/>
      <c r="M66" s="1400"/>
      <c r="N66" s="1400"/>
      <c r="O66" s="1400"/>
      <c r="P66" s="1400"/>
      <c r="Q66" s="1400"/>
      <c r="R66" s="1400"/>
    </row>
    <row r="67" spans="2:18" s="504" customFormat="1" ht="11.25">
      <c r="B67" s="1402" t="s">
        <v>519</v>
      </c>
      <c r="C67" s="1402"/>
      <c r="D67" s="1402"/>
      <c r="E67" s="1402"/>
      <c r="F67" s="1402"/>
      <c r="G67" s="1402"/>
      <c r="H67" s="1402"/>
      <c r="I67" s="1402"/>
      <c r="J67" s="1402"/>
      <c r="K67" s="1400" t="s">
        <v>520</v>
      </c>
      <c r="L67" s="1400"/>
      <c r="M67" s="1400"/>
      <c r="N67" s="1400"/>
      <c r="O67" s="1400"/>
      <c r="P67" s="1400"/>
      <c r="Q67" s="1400"/>
      <c r="R67" s="1400"/>
    </row>
    <row r="68" spans="2:18" s="504" customFormat="1" ht="11.25">
      <c r="B68" s="1396" t="s">
        <v>521</v>
      </c>
      <c r="C68" s="1396"/>
      <c r="D68" s="1396"/>
      <c r="E68" s="1396"/>
      <c r="F68" s="1396"/>
      <c r="G68" s="1396"/>
      <c r="H68" s="1396"/>
      <c r="I68" s="1396"/>
      <c r="J68" s="1396"/>
      <c r="K68" s="1400" t="s">
        <v>522</v>
      </c>
      <c r="L68" s="1400"/>
      <c r="M68" s="1400"/>
      <c r="N68" s="1400"/>
      <c r="O68" s="1400"/>
      <c r="P68" s="1400"/>
      <c r="Q68" s="1400"/>
      <c r="R68" s="1400"/>
    </row>
    <row r="69" spans="2:18" s="504" customFormat="1" ht="11.25">
      <c r="B69" s="1396" t="s">
        <v>523</v>
      </c>
      <c r="C69" s="1396"/>
      <c r="D69" s="1396"/>
      <c r="E69" s="1396"/>
      <c r="F69" s="1396"/>
      <c r="G69" s="1396"/>
      <c r="H69" s="1396"/>
      <c r="I69" s="1396"/>
      <c r="J69" s="1396"/>
      <c r="K69" s="1400" t="s">
        <v>524</v>
      </c>
      <c r="L69" s="1400"/>
      <c r="M69" s="1400"/>
      <c r="N69" s="1400"/>
      <c r="O69" s="1400"/>
      <c r="P69" s="1400"/>
      <c r="Q69" s="1400"/>
      <c r="R69" s="1400"/>
    </row>
    <row r="70" spans="2:18" s="504" customFormat="1" ht="11.25">
      <c r="B70" s="1396" t="s">
        <v>525</v>
      </c>
      <c r="C70" s="1396"/>
      <c r="D70" s="1396"/>
      <c r="E70" s="1396"/>
      <c r="F70" s="1396"/>
      <c r="G70" s="1396"/>
      <c r="H70" s="1396"/>
      <c r="I70" s="1396"/>
      <c r="J70" s="1396"/>
      <c r="K70" s="504" t="s">
        <v>526</v>
      </c>
    </row>
    <row r="71" spans="2:18" s="504" customFormat="1" ht="11.25">
      <c r="B71" s="1396" t="s">
        <v>527</v>
      </c>
      <c r="C71" s="1396"/>
      <c r="D71" s="1396"/>
      <c r="E71" s="1396"/>
      <c r="F71" s="1396"/>
      <c r="G71" s="1396"/>
      <c r="H71" s="1396"/>
      <c r="I71" s="1396"/>
      <c r="J71" s="1396"/>
      <c r="K71" s="1400" t="s">
        <v>528</v>
      </c>
      <c r="L71" s="1400"/>
      <c r="M71" s="1400"/>
      <c r="N71" s="1400"/>
      <c r="O71" s="1400"/>
      <c r="P71" s="1400"/>
      <c r="Q71" s="1400"/>
      <c r="R71" s="1400"/>
    </row>
    <row r="72" spans="2:18" s="504" customFormat="1" ht="11.25">
      <c r="B72" s="1396" t="s">
        <v>529</v>
      </c>
      <c r="C72" s="1396"/>
      <c r="D72" s="1396"/>
      <c r="E72" s="1396"/>
      <c r="F72" s="1396"/>
      <c r="G72" s="1396"/>
      <c r="H72" s="1396"/>
      <c r="I72" s="1396"/>
      <c r="J72" s="1396"/>
      <c r="K72" s="1399" t="s">
        <v>530</v>
      </c>
      <c r="L72" s="1399"/>
      <c r="M72" s="1399"/>
      <c r="N72" s="1399"/>
      <c r="O72" s="1399"/>
      <c r="P72" s="1399"/>
      <c r="Q72" s="1399"/>
      <c r="R72" s="1399"/>
    </row>
    <row r="73" spans="2:18" s="504" customFormat="1" ht="11.25">
      <c r="B73" s="1402" t="s">
        <v>531</v>
      </c>
      <c r="C73" s="1402"/>
      <c r="D73" s="1402"/>
      <c r="E73" s="1402"/>
      <c r="F73" s="1402"/>
      <c r="G73" s="1402"/>
      <c r="H73" s="1402"/>
      <c r="I73" s="1402"/>
      <c r="J73" s="1402"/>
      <c r="K73" s="1400" t="s">
        <v>532</v>
      </c>
      <c r="L73" s="1400"/>
      <c r="M73" s="1400"/>
      <c r="N73" s="1400"/>
      <c r="O73" s="1400"/>
      <c r="P73" s="1400"/>
      <c r="Q73" s="1400"/>
      <c r="R73" s="1400"/>
    </row>
    <row r="74" spans="2:18" s="504" customFormat="1" ht="11.25">
      <c r="B74" s="1396" t="s">
        <v>533</v>
      </c>
      <c r="C74" s="1396"/>
      <c r="D74" s="1396"/>
      <c r="E74" s="1396"/>
      <c r="F74" s="1396"/>
      <c r="G74" s="1396"/>
      <c r="H74" s="1396"/>
      <c r="I74" s="1396"/>
      <c r="J74" s="1396"/>
      <c r="K74" s="1400" t="s">
        <v>534</v>
      </c>
      <c r="L74" s="1400"/>
      <c r="M74" s="1400"/>
      <c r="N74" s="1400"/>
      <c r="O74" s="1400"/>
      <c r="P74" s="1400"/>
      <c r="Q74" s="1400"/>
      <c r="R74" s="1400"/>
    </row>
    <row r="75" spans="2:18" s="504" customFormat="1" ht="11.25">
      <c r="B75" s="1396" t="s">
        <v>535</v>
      </c>
      <c r="C75" s="1396"/>
      <c r="D75" s="1396"/>
      <c r="E75" s="1396"/>
      <c r="F75" s="1396"/>
      <c r="G75" s="1396"/>
      <c r="H75" s="1396"/>
      <c r="I75" s="1396"/>
      <c r="J75" s="1396"/>
      <c r="K75" s="1400" t="s">
        <v>536</v>
      </c>
      <c r="L75" s="1400"/>
      <c r="M75" s="1400"/>
      <c r="N75" s="1400"/>
      <c r="O75" s="1400"/>
      <c r="P75" s="1400"/>
      <c r="Q75" s="1400"/>
      <c r="R75" s="1400"/>
    </row>
    <row r="76" spans="2:18" s="504" customFormat="1" ht="11.25">
      <c r="B76" s="1396" t="s">
        <v>537</v>
      </c>
      <c r="C76" s="1396"/>
      <c r="D76" s="1396"/>
      <c r="E76" s="1396"/>
      <c r="F76" s="1396"/>
      <c r="G76" s="1396"/>
      <c r="H76" s="1396"/>
      <c r="I76" s="1396"/>
      <c r="J76" s="1396"/>
      <c r="K76" s="1400" t="s">
        <v>538</v>
      </c>
      <c r="L76" s="1400"/>
      <c r="M76" s="1400"/>
      <c r="N76" s="1400"/>
      <c r="O76" s="1400"/>
      <c r="P76" s="1400"/>
      <c r="Q76" s="1400"/>
      <c r="R76" s="1400"/>
    </row>
    <row r="77" spans="2:18" s="504" customFormat="1" ht="11.25">
      <c r="B77" s="1396"/>
      <c r="C77" s="1396"/>
      <c r="D77" s="1396"/>
      <c r="E77" s="1396"/>
      <c r="F77" s="1396"/>
      <c r="G77" s="1396"/>
      <c r="H77" s="1396"/>
      <c r="I77" s="1396"/>
      <c r="J77" s="1396"/>
      <c r="K77" s="1400" t="s">
        <v>539</v>
      </c>
      <c r="L77" s="1400"/>
      <c r="M77" s="1400"/>
      <c r="N77" s="1400"/>
      <c r="O77" s="1400"/>
      <c r="P77" s="1400"/>
      <c r="Q77" s="1400"/>
      <c r="R77" s="1400"/>
    </row>
    <row r="78" spans="2:18" s="504" customFormat="1" ht="11.25">
      <c r="B78" s="1402" t="s">
        <v>540</v>
      </c>
      <c r="C78" s="1402"/>
      <c r="D78" s="1402"/>
      <c r="E78" s="1402"/>
      <c r="F78" s="1402"/>
      <c r="G78" s="1402"/>
      <c r="H78" s="1402"/>
      <c r="I78" s="1402"/>
      <c r="J78" s="1402"/>
      <c r="K78" s="1400" t="s">
        <v>541</v>
      </c>
      <c r="L78" s="1400"/>
      <c r="M78" s="1400"/>
      <c r="N78" s="1400"/>
      <c r="O78" s="1400"/>
      <c r="P78" s="1400"/>
      <c r="Q78" s="1400"/>
      <c r="R78" s="1400"/>
    </row>
    <row r="79" spans="2:18" s="504" customFormat="1" ht="11.25">
      <c r="B79" s="1396" t="s">
        <v>542</v>
      </c>
      <c r="C79" s="1396"/>
      <c r="D79" s="1396"/>
      <c r="E79" s="1396"/>
      <c r="F79" s="1396"/>
      <c r="G79" s="1396"/>
      <c r="H79" s="1396"/>
      <c r="I79" s="1396"/>
      <c r="J79" s="1396"/>
      <c r="K79" s="1400" t="s">
        <v>543</v>
      </c>
      <c r="L79" s="1400"/>
      <c r="M79" s="1400"/>
      <c r="N79" s="1400"/>
      <c r="O79" s="1400"/>
      <c r="P79" s="1400"/>
      <c r="Q79" s="1400"/>
      <c r="R79" s="1400"/>
    </row>
    <row r="80" spans="2:18" s="504" customFormat="1" ht="11.25">
      <c r="B80" s="1396" t="s">
        <v>544</v>
      </c>
      <c r="C80" s="1396"/>
      <c r="D80" s="1396"/>
      <c r="E80" s="1396"/>
      <c r="F80" s="1396"/>
      <c r="G80" s="1396"/>
      <c r="H80" s="1396"/>
      <c r="I80" s="1396"/>
      <c r="J80" s="1396"/>
      <c r="K80" s="1400" t="s">
        <v>545</v>
      </c>
      <c r="L80" s="1400"/>
      <c r="M80" s="1400"/>
      <c r="N80" s="1400"/>
      <c r="O80" s="1400"/>
      <c r="P80" s="1400"/>
      <c r="Q80" s="1400"/>
      <c r="R80" s="1400"/>
    </row>
    <row r="81" spans="2:18" s="504" customFormat="1" ht="11.25">
      <c r="B81" s="1396" t="s">
        <v>546</v>
      </c>
      <c r="C81" s="1396"/>
      <c r="D81" s="1396"/>
      <c r="E81" s="1396"/>
      <c r="F81" s="1396"/>
      <c r="G81" s="1396"/>
      <c r="H81" s="1396"/>
      <c r="I81" s="1396"/>
      <c r="J81" s="1396"/>
      <c r="K81" s="1400" t="s">
        <v>547</v>
      </c>
      <c r="L81" s="1400"/>
      <c r="M81" s="1400"/>
      <c r="N81" s="1400"/>
      <c r="O81" s="1400"/>
      <c r="P81" s="1400"/>
      <c r="Q81" s="1400"/>
      <c r="R81" s="1400"/>
    </row>
    <row r="82" spans="2:18" s="504" customFormat="1" ht="11.25">
      <c r="B82" s="1396" t="s">
        <v>548</v>
      </c>
      <c r="C82" s="1396"/>
      <c r="D82" s="1396"/>
      <c r="E82" s="1396"/>
      <c r="F82" s="1396"/>
      <c r="G82" s="1396"/>
      <c r="H82" s="1396"/>
      <c r="I82" s="1396"/>
      <c r="J82" s="1396"/>
      <c r="K82" s="1399" t="s">
        <v>549</v>
      </c>
      <c r="L82" s="1399"/>
      <c r="M82" s="1399"/>
      <c r="N82" s="1399"/>
      <c r="O82" s="1399"/>
      <c r="P82" s="1399"/>
      <c r="Q82" s="1399"/>
      <c r="R82" s="1399"/>
    </row>
    <row r="83" spans="2:18" s="504" customFormat="1" ht="11.25">
      <c r="B83" s="1396" t="s">
        <v>550</v>
      </c>
      <c r="C83" s="1396"/>
      <c r="D83" s="1396"/>
      <c r="E83" s="1396"/>
      <c r="F83" s="1396"/>
      <c r="G83" s="1396"/>
      <c r="H83" s="1396"/>
      <c r="I83" s="1396"/>
      <c r="J83" s="1396"/>
      <c r="K83" s="1400" t="s">
        <v>551</v>
      </c>
      <c r="L83" s="1400"/>
      <c r="M83" s="1400"/>
      <c r="N83" s="1400"/>
      <c r="O83" s="1400"/>
      <c r="P83" s="1400"/>
      <c r="Q83" s="1400"/>
      <c r="R83" s="1400"/>
    </row>
    <row r="84" spans="2:18" s="504" customFormat="1" ht="11.25">
      <c r="B84" s="1396" t="s">
        <v>552</v>
      </c>
      <c r="C84" s="1396"/>
      <c r="D84" s="1396"/>
      <c r="E84" s="1396"/>
      <c r="F84" s="1396"/>
      <c r="G84" s="1396"/>
      <c r="H84" s="1396"/>
      <c r="I84" s="1396"/>
      <c r="J84" s="1396"/>
      <c r="K84" s="1400" t="s">
        <v>553</v>
      </c>
      <c r="L84" s="1400"/>
      <c r="M84" s="1400"/>
      <c r="N84" s="1400"/>
      <c r="O84" s="1400"/>
      <c r="P84" s="1400"/>
      <c r="Q84" s="1400"/>
      <c r="R84" s="1400"/>
    </row>
    <row r="85" spans="2:18" s="504" customFormat="1" ht="11.25">
      <c r="B85" s="1396" t="s">
        <v>554</v>
      </c>
      <c r="C85" s="1396"/>
      <c r="D85" s="1396"/>
      <c r="E85" s="1396"/>
      <c r="F85" s="1396"/>
      <c r="G85" s="1396"/>
      <c r="H85" s="1396"/>
      <c r="I85" s="1396"/>
      <c r="J85" s="1396"/>
      <c r="K85" s="1400" t="s">
        <v>555</v>
      </c>
      <c r="L85" s="1400"/>
      <c r="M85" s="1400"/>
      <c r="N85" s="1400"/>
      <c r="O85" s="1400"/>
      <c r="P85" s="1400"/>
      <c r="Q85" s="1400"/>
      <c r="R85" s="1400"/>
    </row>
    <row r="86" spans="2:18" s="504" customFormat="1" ht="11.25">
      <c r="B86" s="1396" t="s">
        <v>556</v>
      </c>
      <c r="C86" s="1396"/>
      <c r="D86" s="1396"/>
      <c r="E86" s="1396"/>
      <c r="F86" s="1396"/>
      <c r="G86" s="1396"/>
      <c r="H86" s="1396"/>
      <c r="I86" s="1396"/>
      <c r="J86" s="1396"/>
      <c r="K86" s="1403" t="s">
        <v>557</v>
      </c>
      <c r="L86" s="1403"/>
      <c r="M86" s="1403"/>
      <c r="N86" s="1403"/>
      <c r="O86" s="1403"/>
      <c r="P86" s="1403"/>
      <c r="Q86" s="1403"/>
      <c r="R86" s="1403"/>
    </row>
    <row r="87" spans="2:18" s="504" customFormat="1" ht="11.25">
      <c r="B87" s="504" t="s">
        <v>558</v>
      </c>
      <c r="K87" s="1403" t="s">
        <v>559</v>
      </c>
      <c r="L87" s="1403"/>
      <c r="M87" s="1403"/>
      <c r="N87" s="1403"/>
      <c r="O87" s="1403"/>
      <c r="P87" s="1403"/>
      <c r="Q87" s="1403"/>
      <c r="R87" s="1403"/>
    </row>
    <row r="88" spans="2:18" s="504" customFormat="1" ht="11.25">
      <c r="B88" s="504" t="s">
        <v>560</v>
      </c>
    </row>
    <row r="89" spans="2:18" s="504" customFormat="1" ht="11.25">
      <c r="B89" s="1400" t="s">
        <v>561</v>
      </c>
      <c r="C89" s="1400"/>
      <c r="D89" s="1400"/>
      <c r="E89" s="1400"/>
      <c r="F89" s="1400"/>
      <c r="G89" s="1400"/>
      <c r="H89" s="1400"/>
      <c r="I89" s="1400"/>
      <c r="K89" s="1399" t="s">
        <v>562</v>
      </c>
      <c r="L89" s="1399"/>
      <c r="M89" s="1399"/>
      <c r="N89" s="1399"/>
      <c r="O89" s="1399"/>
      <c r="P89" s="1399"/>
      <c r="Q89" s="1399"/>
      <c r="R89" s="1399"/>
    </row>
    <row r="90" spans="2:18" s="504" customFormat="1" ht="11.25">
      <c r="K90" s="1399" t="s">
        <v>563</v>
      </c>
      <c r="L90" s="1399"/>
      <c r="M90" s="1399"/>
      <c r="N90" s="1399"/>
      <c r="O90" s="1399"/>
      <c r="P90" s="1399"/>
      <c r="Q90" s="1399"/>
      <c r="R90" s="1399"/>
    </row>
    <row r="91" spans="2:18" s="504" customFormat="1" ht="11.25"/>
    <row r="92" spans="2:18" s="504" customFormat="1" ht="11.25"/>
    <row r="93" spans="2:18" s="504" customFormat="1" ht="11.25"/>
    <row r="94" spans="2:18" s="504" customFormat="1" ht="11.25"/>
    <row r="95" spans="2:18" s="504" customFormat="1" ht="11.25"/>
  </sheetData>
  <sheetProtection algorithmName="SHA-512" hashValue="++KrQS3AHqBR/ClgSkDSU+R4Bg+vb3p3jFgs39qRuwgzYzLPOQZUWjdNF+gpweRSbUenNzOWA6DCacUUViZH1w==" saltValue="nx+y4fDPXa8nrnHw7wJBiw==" spinCount="100000" sheet="1" objects="1" scenarios="1"/>
  <mergeCells count="93">
    <mergeCell ref="K90:R90"/>
    <mergeCell ref="B85:J85"/>
    <mergeCell ref="K85:R85"/>
    <mergeCell ref="B86:J86"/>
    <mergeCell ref="K86:R86"/>
    <mergeCell ref="K87:R87"/>
    <mergeCell ref="B89:I89"/>
    <mergeCell ref="K89:R89"/>
    <mergeCell ref="B82:J82"/>
    <mergeCell ref="K82:R82"/>
    <mergeCell ref="B83:J83"/>
    <mergeCell ref="K83:R83"/>
    <mergeCell ref="B84:J84"/>
    <mergeCell ref="K84:R84"/>
    <mergeCell ref="B79:J79"/>
    <mergeCell ref="K79:R79"/>
    <mergeCell ref="B80:J80"/>
    <mergeCell ref="K80:R80"/>
    <mergeCell ref="B81:J81"/>
    <mergeCell ref="K81:R81"/>
    <mergeCell ref="B76:J76"/>
    <mergeCell ref="K76:R76"/>
    <mergeCell ref="B77:J77"/>
    <mergeCell ref="K77:R77"/>
    <mergeCell ref="B78:J78"/>
    <mergeCell ref="K78:R78"/>
    <mergeCell ref="B73:J73"/>
    <mergeCell ref="K73:R73"/>
    <mergeCell ref="B74:J74"/>
    <mergeCell ref="K74:R74"/>
    <mergeCell ref="B75:J75"/>
    <mergeCell ref="K75:R75"/>
    <mergeCell ref="B72:J72"/>
    <mergeCell ref="K72:R72"/>
    <mergeCell ref="B66:J66"/>
    <mergeCell ref="K66:R66"/>
    <mergeCell ref="B67:J67"/>
    <mergeCell ref="K67:R67"/>
    <mergeCell ref="B68:J68"/>
    <mergeCell ref="K68:R68"/>
    <mergeCell ref="B69:J69"/>
    <mergeCell ref="K69:R69"/>
    <mergeCell ref="B70:J70"/>
    <mergeCell ref="B71:J71"/>
    <mergeCell ref="K71:R71"/>
    <mergeCell ref="B63:J63"/>
    <mergeCell ref="K63:R63"/>
    <mergeCell ref="B64:J64"/>
    <mergeCell ref="K64:R64"/>
    <mergeCell ref="B65:J65"/>
    <mergeCell ref="K65:R65"/>
    <mergeCell ref="B62:J62"/>
    <mergeCell ref="K62:R62"/>
    <mergeCell ref="B51:R51"/>
    <mergeCell ref="B52:R52"/>
    <mergeCell ref="B53:R53"/>
    <mergeCell ref="B54:R54"/>
    <mergeCell ref="B55:R55"/>
    <mergeCell ref="B56:R56"/>
    <mergeCell ref="B57:R57"/>
    <mergeCell ref="B58:R58"/>
    <mergeCell ref="B60:R60"/>
    <mergeCell ref="B61:J61"/>
    <mergeCell ref="K61:R61"/>
    <mergeCell ref="B50:R50"/>
    <mergeCell ref="B38:R38"/>
    <mergeCell ref="B39:R39"/>
    <mergeCell ref="B40:S40"/>
    <mergeCell ref="B41:R41"/>
    <mergeCell ref="B42:R42"/>
    <mergeCell ref="B43:R43"/>
    <mergeCell ref="B44:R44"/>
    <mergeCell ref="B46:R46"/>
    <mergeCell ref="B47:R47"/>
    <mergeCell ref="B48:R48"/>
    <mergeCell ref="B49:R49"/>
    <mergeCell ref="B34:R34"/>
    <mergeCell ref="B20:R20"/>
    <mergeCell ref="K23:R23"/>
    <mergeCell ref="K24:R24"/>
    <mergeCell ref="K25:R25"/>
    <mergeCell ref="K26:R26"/>
    <mergeCell ref="K27:R27"/>
    <mergeCell ref="K28:R28"/>
    <mergeCell ref="K29:R29"/>
    <mergeCell ref="K30:R30"/>
    <mergeCell ref="B33:R33"/>
    <mergeCell ref="B19:R19"/>
    <mergeCell ref="J1:L1"/>
    <mergeCell ref="M1:R1"/>
    <mergeCell ref="J2:L2"/>
    <mergeCell ref="M2:R2"/>
    <mergeCell ref="B17:R17"/>
  </mergeCells>
  <pageMargins left="0.7" right="0.7" top="0.75" bottom="0.75" header="0.3" footer="0.3"/>
  <pageSetup scale="98" orientation="portrait" horizontalDpi="4294967293" r:id="rId1"/>
  <rowBreaks count="1" manualBreakCount="1">
    <brk id="36" max="18" man="1"/>
  </rowBreaks>
  <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U93"/>
  <sheetViews>
    <sheetView view="pageBreakPreview" topLeftCell="A31" zoomScale="90" zoomScaleSheetLayoutView="90" workbookViewId="0">
      <selection activeCell="U5" sqref="U5:U7"/>
    </sheetView>
  </sheetViews>
  <sheetFormatPr defaultRowHeight="15"/>
  <cols>
    <col min="1" max="1" width="3.85546875" customWidth="1"/>
    <col min="2" max="2" width="5" customWidth="1"/>
    <col min="3" max="3" width="14.5703125" customWidth="1"/>
    <col min="4" max="4" width="9.85546875" customWidth="1"/>
    <col min="5" max="5" width="7.140625" customWidth="1"/>
    <col min="6" max="6" width="2.85546875" customWidth="1"/>
    <col min="7" max="18" width="4.28515625" customWidth="1"/>
    <col min="19" max="19" width="5" customWidth="1"/>
    <col min="20" max="20" width="4.140625" customWidth="1"/>
    <col min="21" max="21" width="12.42578125" customWidth="1"/>
  </cols>
  <sheetData>
    <row r="2" spans="2:21" ht="19.5">
      <c r="B2" s="1404" t="s">
        <v>565</v>
      </c>
      <c r="C2" s="1404"/>
      <c r="D2" s="1404"/>
      <c r="E2" s="1404"/>
      <c r="F2" s="1404"/>
      <c r="G2" s="1404"/>
      <c r="H2" s="1404"/>
      <c r="I2" s="1404"/>
      <c r="J2" s="1404"/>
      <c r="K2" s="1404"/>
      <c r="L2" s="1404"/>
      <c r="M2" s="1404"/>
      <c r="N2" s="1404"/>
      <c r="O2" s="1404"/>
      <c r="P2" s="1404"/>
      <c r="Q2" s="1404"/>
      <c r="R2" s="1404"/>
      <c r="S2" s="1404"/>
    </row>
    <row r="3" spans="2:21" ht="19.5">
      <c r="B3" s="457"/>
    </row>
    <row r="4" spans="2:21" ht="15.75" thickBot="1">
      <c r="B4" s="458"/>
    </row>
    <row r="5" spans="2:21" ht="16.5">
      <c r="C5" s="459" t="s">
        <v>45</v>
      </c>
      <c r="D5" s="459"/>
      <c r="E5" s="460" t="s">
        <v>478</v>
      </c>
      <c r="F5" s="1412">
        <f>VLOOKUP($U$5,SISWA!$A:$AT,2)</f>
        <v>4822</v>
      </c>
      <c r="G5" s="1412"/>
      <c r="H5" s="1412"/>
      <c r="I5" s="1412"/>
      <c r="J5" s="1412"/>
      <c r="K5" s="1412"/>
      <c r="L5" s="1412"/>
      <c r="M5" s="1412"/>
      <c r="U5" s="1406">
        <v>1</v>
      </c>
    </row>
    <row r="6" spans="2:21" ht="16.5">
      <c r="C6" s="459" t="s">
        <v>566</v>
      </c>
      <c r="D6" s="459"/>
      <c r="E6" s="460" t="s">
        <v>567</v>
      </c>
      <c r="F6" s="1412">
        <f>VLOOKUP($U$5,SISWA!$A:$AT,4)</f>
        <v>12345321</v>
      </c>
      <c r="G6" s="1412"/>
      <c r="H6" s="1412"/>
      <c r="I6" s="1412"/>
      <c r="J6" s="1412"/>
      <c r="K6" s="1412"/>
      <c r="L6" s="1412"/>
      <c r="M6" s="1412"/>
      <c r="U6" s="1407"/>
    </row>
    <row r="7" spans="2:21" ht="15.75" thickBot="1">
      <c r="B7" s="461"/>
      <c r="U7" s="1408"/>
    </row>
    <row r="8" spans="2:21">
      <c r="B8" s="462" t="s">
        <v>568</v>
      </c>
    </row>
    <row r="9" spans="2:21">
      <c r="B9" s="463">
        <v>1</v>
      </c>
      <c r="C9" s="464" t="s">
        <v>569</v>
      </c>
      <c r="D9" s="464"/>
      <c r="E9" s="464"/>
      <c r="F9" s="463" t="s">
        <v>188</v>
      </c>
      <c r="G9" s="1405" t="str">
        <f>VLOOKUP($U$5,SISWA!$A:$AT,3)</f>
        <v>Anak 1</v>
      </c>
      <c r="H9" s="1405"/>
      <c r="I9" s="1405"/>
      <c r="J9" s="1405"/>
      <c r="K9" s="1405"/>
      <c r="L9" s="1405"/>
      <c r="M9" s="1405"/>
      <c r="N9" s="1405"/>
      <c r="O9" s="1405"/>
      <c r="P9" s="1405"/>
      <c r="Q9" s="1405"/>
      <c r="R9" s="1405"/>
    </row>
    <row r="10" spans="2:21">
      <c r="B10" s="8"/>
      <c r="C10" s="464" t="s">
        <v>570</v>
      </c>
      <c r="D10" s="464"/>
      <c r="E10" s="464"/>
      <c r="F10" s="463" t="s">
        <v>188</v>
      </c>
      <c r="G10" s="1405" t="str">
        <f>VLOOKUP($U$5,SISWA!$A:$AT,5)</f>
        <v>Anak 1</v>
      </c>
      <c r="H10" s="1405"/>
      <c r="I10" s="1405"/>
      <c r="J10" s="1405"/>
      <c r="K10" s="1405"/>
      <c r="L10" s="1405"/>
      <c r="M10" s="1405"/>
      <c r="N10" s="1405"/>
      <c r="O10" s="1405"/>
      <c r="P10" s="1405"/>
      <c r="Q10" s="1405"/>
      <c r="R10" s="1405"/>
    </row>
    <row r="11" spans="2:21">
      <c r="B11" s="463">
        <v>2</v>
      </c>
      <c r="C11" s="464" t="s">
        <v>571</v>
      </c>
      <c r="D11" s="464"/>
      <c r="E11" s="464"/>
      <c r="F11" s="463" t="s">
        <v>188</v>
      </c>
      <c r="G11" s="1405" t="str">
        <f>VLOOKUP($U$5,SISWA!$A:$AT,6)</f>
        <v>Laki -laki</v>
      </c>
      <c r="H11" s="1405"/>
      <c r="I11" s="1405"/>
      <c r="J11" s="1405"/>
      <c r="K11" s="1405"/>
      <c r="L11" s="1405"/>
      <c r="M11" s="1405"/>
      <c r="N11" s="1405"/>
      <c r="O11" s="1405"/>
      <c r="P11" s="1405"/>
      <c r="Q11" s="1405"/>
      <c r="R11" s="1405"/>
    </row>
    <row r="12" spans="2:21">
      <c r="B12" s="463">
        <v>3</v>
      </c>
      <c r="C12" s="464" t="s">
        <v>572</v>
      </c>
      <c r="D12" s="464"/>
      <c r="E12" s="464"/>
      <c r="F12" s="463" t="s">
        <v>188</v>
      </c>
      <c r="G12" s="1405" t="str">
        <f>VLOOKUP($U$5,SISWA!$A:$AT,9)</f>
        <v>Lumajang, 20 Agustus 2004</v>
      </c>
      <c r="H12" s="1405"/>
      <c r="I12" s="1405"/>
      <c r="J12" s="1405"/>
      <c r="K12" s="1405"/>
      <c r="L12" s="1405"/>
      <c r="M12" s="1405"/>
      <c r="N12" s="1405"/>
      <c r="O12" s="1405"/>
      <c r="P12" s="1405"/>
      <c r="Q12" s="1405"/>
      <c r="R12" s="1405"/>
    </row>
    <row r="13" spans="2:21">
      <c r="B13" s="463">
        <v>4</v>
      </c>
      <c r="C13" s="464" t="s">
        <v>21</v>
      </c>
      <c r="D13" s="464"/>
      <c r="E13" s="464"/>
      <c r="F13" s="463" t="s">
        <v>188</v>
      </c>
      <c r="G13" s="1405" t="str">
        <f>VLOOKUP($U$5,SISWA!$A:$AT,7)</f>
        <v>Islam</v>
      </c>
      <c r="H13" s="1405"/>
      <c r="I13" s="1405"/>
      <c r="J13" s="1405"/>
      <c r="K13" s="1405"/>
      <c r="L13" s="1405"/>
      <c r="M13" s="1405"/>
      <c r="N13" s="1405"/>
      <c r="O13" s="1405"/>
      <c r="P13" s="1405"/>
      <c r="Q13" s="1405"/>
      <c r="R13" s="1405"/>
    </row>
    <row r="14" spans="2:21">
      <c r="B14" s="463">
        <v>5</v>
      </c>
      <c r="C14" s="464" t="s">
        <v>573</v>
      </c>
      <c r="D14" s="464"/>
      <c r="E14" s="464"/>
      <c r="F14" s="463" t="s">
        <v>188</v>
      </c>
      <c r="G14" s="1405" t="str">
        <f>VLOOKUP($U$5,SISWA!$A:$AT,8)</f>
        <v>WNI</v>
      </c>
      <c r="H14" s="1405"/>
      <c r="I14" s="1405"/>
      <c r="J14" s="1405"/>
      <c r="K14" s="1405"/>
      <c r="L14" s="1405"/>
      <c r="M14" s="1405"/>
      <c r="N14" s="1405"/>
      <c r="O14" s="1405"/>
      <c r="P14" s="1405"/>
      <c r="Q14" s="1405"/>
      <c r="R14" s="1405"/>
    </row>
    <row r="15" spans="2:21">
      <c r="B15" s="463">
        <v>6</v>
      </c>
      <c r="C15" s="464" t="s">
        <v>574</v>
      </c>
      <c r="D15" s="464"/>
      <c r="E15" s="464"/>
      <c r="F15" s="463" t="s">
        <v>188</v>
      </c>
      <c r="G15" s="1405">
        <f>VLOOKUP($U$5,SISWA!$A:$AT,10)</f>
        <v>2</v>
      </c>
      <c r="H15" s="1405"/>
      <c r="I15" s="1405"/>
      <c r="J15" s="1405"/>
      <c r="K15" s="1405"/>
      <c r="L15" s="1405"/>
      <c r="M15" s="1405"/>
      <c r="N15" s="1405"/>
      <c r="O15" s="1405"/>
      <c r="P15" s="1405"/>
      <c r="Q15" s="1405"/>
      <c r="R15" s="1405"/>
    </row>
    <row r="16" spans="2:21">
      <c r="B16" s="463">
        <v>7</v>
      </c>
      <c r="C16" s="464" t="s">
        <v>575</v>
      </c>
      <c r="D16" s="464"/>
      <c r="E16" s="464"/>
      <c r="F16" s="463" t="s">
        <v>188</v>
      </c>
      <c r="G16" s="1405">
        <f>VLOOKUP($U$5,SISWA!$A:$AT,11)</f>
        <v>1</v>
      </c>
      <c r="H16" s="1405"/>
      <c r="I16" s="1405"/>
      <c r="J16" s="1405"/>
      <c r="K16" s="1405"/>
      <c r="L16" s="1405"/>
      <c r="M16" s="1405"/>
      <c r="N16" s="1405"/>
      <c r="O16" s="1405"/>
      <c r="P16" s="1405"/>
      <c r="Q16" s="1405"/>
      <c r="R16" s="1405"/>
    </row>
    <row r="17" spans="2:18">
      <c r="B17" s="463">
        <v>8</v>
      </c>
      <c r="C17" s="464" t="s">
        <v>576</v>
      </c>
      <c r="D17" s="464"/>
      <c r="E17" s="464"/>
      <c r="F17" s="463" t="s">
        <v>188</v>
      </c>
      <c r="G17" s="1405" t="str">
        <f>VLOOKUP($U$5,SISWA!$A:$AT,12)</f>
        <v>-</v>
      </c>
      <c r="H17" s="1405"/>
      <c r="I17" s="1405"/>
      <c r="J17" s="1405"/>
      <c r="K17" s="1405"/>
      <c r="L17" s="1405"/>
      <c r="M17" s="1405"/>
      <c r="N17" s="1405"/>
      <c r="O17" s="1405"/>
      <c r="P17" s="1405"/>
      <c r="Q17" s="1405"/>
      <c r="R17" s="1405"/>
    </row>
    <row r="18" spans="2:18">
      <c r="B18" s="463">
        <v>9</v>
      </c>
      <c r="C18" s="464" t="s">
        <v>577</v>
      </c>
      <c r="D18" s="464"/>
      <c r="E18" s="464"/>
      <c r="F18" s="463" t="s">
        <v>188</v>
      </c>
      <c r="G18" s="1405" t="str">
        <f>VLOOKUP($U$5,SISWA!$A:$AT,13)</f>
        <v>-</v>
      </c>
      <c r="H18" s="1405"/>
      <c r="I18" s="1405"/>
      <c r="J18" s="1405"/>
      <c r="K18" s="1405"/>
      <c r="L18" s="1405"/>
      <c r="M18" s="1405"/>
      <c r="N18" s="1405"/>
      <c r="O18" s="1405"/>
      <c r="P18" s="1405"/>
      <c r="Q18" s="1405"/>
      <c r="R18" s="1405"/>
    </row>
    <row r="19" spans="2:18">
      <c r="B19" s="463">
        <v>10</v>
      </c>
      <c r="C19" s="464" t="s">
        <v>578</v>
      </c>
      <c r="D19" s="464"/>
      <c r="E19" s="464"/>
      <c r="F19" s="463" t="s">
        <v>188</v>
      </c>
      <c r="G19" s="1405" t="str">
        <f>VLOOKUP($U$5,SISWA!$A:$AT,14)</f>
        <v>Madura</v>
      </c>
      <c r="H19" s="1405"/>
      <c r="I19" s="1405"/>
      <c r="J19" s="1405"/>
      <c r="K19" s="1405"/>
      <c r="L19" s="1405"/>
      <c r="M19" s="1405"/>
      <c r="N19" s="1405"/>
      <c r="O19" s="1405"/>
      <c r="P19" s="1405"/>
      <c r="Q19" s="1405"/>
      <c r="R19" s="1405"/>
    </row>
    <row r="20" spans="2:18">
      <c r="B20" s="465"/>
    </row>
    <row r="21" spans="2:18">
      <c r="B21" s="462" t="s">
        <v>579</v>
      </c>
    </row>
    <row r="22" spans="2:18">
      <c r="B22" s="463">
        <v>11</v>
      </c>
      <c r="C22" s="464" t="s">
        <v>36</v>
      </c>
      <c r="D22" s="464"/>
      <c r="E22" s="464"/>
      <c r="F22" s="466" t="s">
        <v>188</v>
      </c>
      <c r="G22" s="1405" t="str">
        <f>VLOOKUP($U$5,SISWA!$A:$AT,15)</f>
        <v>Jl. Kapten Piere Tendean</v>
      </c>
      <c r="H22" s="1405"/>
      <c r="I22" s="1405"/>
      <c r="J22" s="1405"/>
      <c r="K22" s="1405"/>
      <c r="L22" s="1405"/>
      <c r="M22" s="1405"/>
      <c r="N22" s="1405"/>
      <c r="O22" s="1405"/>
      <c r="P22" s="1405"/>
      <c r="Q22" s="1405"/>
      <c r="R22" s="1405"/>
    </row>
    <row r="23" spans="2:18">
      <c r="B23" s="463">
        <v>12</v>
      </c>
      <c r="C23" s="464" t="s">
        <v>580</v>
      </c>
      <c r="D23" s="464"/>
      <c r="E23" s="464"/>
      <c r="F23" s="466" t="s">
        <v>188</v>
      </c>
      <c r="G23" s="1405" t="str">
        <f>VLOOKUP($U$5,SISWA!$A:$AT,16)</f>
        <v>082 222 333 444</v>
      </c>
      <c r="H23" s="1405"/>
      <c r="I23" s="1405"/>
      <c r="J23" s="1405"/>
      <c r="K23" s="1405"/>
      <c r="L23" s="1405"/>
      <c r="M23" s="1405"/>
      <c r="N23" s="1405"/>
      <c r="O23" s="1405"/>
      <c r="P23" s="1405"/>
      <c r="Q23" s="1405"/>
      <c r="R23" s="1405"/>
    </row>
    <row r="24" spans="2:18">
      <c r="B24" s="463">
        <v>13</v>
      </c>
      <c r="C24" s="464" t="s">
        <v>581</v>
      </c>
      <c r="D24" s="464"/>
      <c r="E24" s="464"/>
      <c r="F24" s="466" t="s">
        <v>188</v>
      </c>
      <c r="G24" s="1405" t="str">
        <f>VLOOKUP($U$5,SISWA!$A:$AT,17)</f>
        <v>Keluarga</v>
      </c>
      <c r="H24" s="1405"/>
      <c r="I24" s="1405"/>
      <c r="J24" s="1405"/>
      <c r="K24" s="1405"/>
      <c r="L24" s="1405"/>
      <c r="M24" s="1405"/>
      <c r="N24" s="1405"/>
      <c r="O24" s="1405"/>
      <c r="P24" s="1405"/>
      <c r="Q24" s="1405"/>
      <c r="R24" s="1405"/>
    </row>
    <row r="25" spans="2:18">
      <c r="B25" s="463">
        <v>14</v>
      </c>
      <c r="C25" s="464" t="s">
        <v>582</v>
      </c>
      <c r="D25" s="464"/>
      <c r="E25" s="464"/>
      <c r="F25" s="466" t="s">
        <v>188</v>
      </c>
      <c r="G25" s="1405" t="str">
        <f>VLOOKUP($U$5,SISWA!$A:$AT,18)</f>
        <v>7 Km</v>
      </c>
      <c r="H25" s="1405"/>
      <c r="I25" s="1405"/>
      <c r="J25" s="1405"/>
      <c r="K25" s="1405"/>
      <c r="L25" s="1405"/>
      <c r="M25" s="1405"/>
      <c r="N25" s="1405"/>
      <c r="O25" s="1405"/>
      <c r="P25" s="1405"/>
      <c r="Q25" s="1405"/>
      <c r="R25" s="1405"/>
    </row>
    <row r="26" spans="2:18">
      <c r="B26" s="468"/>
      <c r="F26" s="469"/>
    </row>
    <row r="27" spans="2:18">
      <c r="B27" s="462" t="s">
        <v>583</v>
      </c>
      <c r="F27" s="469"/>
    </row>
    <row r="28" spans="2:18">
      <c r="B28" s="463">
        <v>15</v>
      </c>
      <c r="C28" s="464" t="s">
        <v>584</v>
      </c>
      <c r="D28" s="464"/>
      <c r="E28" s="464"/>
      <c r="F28" s="466" t="s">
        <v>188</v>
      </c>
      <c r="G28" s="1405"/>
      <c r="H28" s="1405"/>
      <c r="I28" s="1405"/>
      <c r="J28" s="1405"/>
      <c r="K28" s="1405"/>
      <c r="L28" s="1405"/>
      <c r="M28" s="1405"/>
      <c r="N28" s="1405"/>
      <c r="O28" s="1405"/>
      <c r="P28" s="1405"/>
      <c r="Q28" s="1405"/>
      <c r="R28" s="1405"/>
    </row>
    <row r="29" spans="2:18">
      <c r="B29" s="463">
        <v>16</v>
      </c>
      <c r="C29" s="464" t="s">
        <v>586</v>
      </c>
      <c r="D29" s="464"/>
      <c r="E29" s="464"/>
      <c r="F29" s="466" t="s">
        <v>188</v>
      </c>
      <c r="G29" s="1405"/>
      <c r="H29" s="1405"/>
      <c r="I29" s="1405"/>
      <c r="J29" s="1405"/>
      <c r="K29" s="1405"/>
      <c r="L29" s="1405"/>
      <c r="M29" s="1405"/>
      <c r="N29" s="1405"/>
      <c r="O29" s="1405"/>
      <c r="P29" s="1405"/>
      <c r="Q29" s="1405"/>
      <c r="R29" s="1405"/>
    </row>
    <row r="30" spans="2:18">
      <c r="B30" s="463">
        <v>17</v>
      </c>
      <c r="C30" s="464" t="s">
        <v>587</v>
      </c>
      <c r="D30" s="464"/>
      <c r="E30" s="464"/>
      <c r="F30" s="466" t="s">
        <v>188</v>
      </c>
      <c r="G30" s="1405"/>
      <c r="H30" s="1405"/>
      <c r="I30" s="1405"/>
      <c r="J30" s="1405"/>
      <c r="K30" s="1405"/>
      <c r="L30" s="1405"/>
      <c r="M30" s="1405"/>
      <c r="N30" s="1405"/>
      <c r="O30" s="1405"/>
      <c r="P30" s="1405"/>
      <c r="Q30" s="1405"/>
      <c r="R30" s="1405"/>
    </row>
    <row r="31" spans="2:18">
      <c r="B31" s="463">
        <v>18</v>
      </c>
      <c r="C31" s="464" t="s">
        <v>588</v>
      </c>
      <c r="D31" s="464"/>
      <c r="E31" s="464"/>
      <c r="F31" s="469"/>
      <c r="G31" s="1405"/>
      <c r="H31" s="1405"/>
      <c r="I31" s="1405"/>
      <c r="J31" s="1405"/>
      <c r="K31" s="1405"/>
      <c r="L31" s="1405"/>
      <c r="M31" s="1405"/>
      <c r="N31" s="1405"/>
      <c r="O31" s="1405"/>
      <c r="P31" s="1405"/>
      <c r="Q31" s="1405"/>
      <c r="R31" s="1405"/>
    </row>
    <row r="32" spans="2:18">
      <c r="B32" s="463">
        <v>19</v>
      </c>
      <c r="C32" s="464" t="s">
        <v>589</v>
      </c>
      <c r="D32" s="464"/>
      <c r="E32" s="464"/>
      <c r="F32" s="467" t="s">
        <v>188</v>
      </c>
      <c r="G32" s="467" t="s">
        <v>585</v>
      </c>
    </row>
    <row r="33" spans="2:20">
      <c r="B33" s="467"/>
      <c r="C33" s="464" t="s">
        <v>590</v>
      </c>
      <c r="G33" s="1008" t="str">
        <f>DEPAN!E15</f>
        <v>2018/2019</v>
      </c>
      <c r="H33" s="1009"/>
      <c r="I33" s="1009"/>
      <c r="J33" s="1010"/>
      <c r="K33" s="1008"/>
      <c r="L33" s="1009"/>
      <c r="M33" s="1009"/>
      <c r="N33" s="1010"/>
      <c r="O33" s="1008"/>
      <c r="P33" s="1009"/>
      <c r="Q33" s="1009"/>
      <c r="R33" s="1010"/>
    </row>
    <row r="34" spans="2:20">
      <c r="B34" s="467"/>
      <c r="C34" s="464" t="s">
        <v>13</v>
      </c>
      <c r="G34" s="1409" t="s">
        <v>644</v>
      </c>
      <c r="H34" s="1409"/>
      <c r="I34" s="1409" t="s">
        <v>645</v>
      </c>
      <c r="J34" s="1409"/>
      <c r="K34" s="1409" t="s">
        <v>644</v>
      </c>
      <c r="L34" s="1409"/>
      <c r="M34" s="1409" t="s">
        <v>645</v>
      </c>
      <c r="N34" s="1409"/>
      <c r="O34" s="1409" t="s">
        <v>644</v>
      </c>
      <c r="P34" s="1409"/>
      <c r="Q34" s="1409" t="s">
        <v>645</v>
      </c>
      <c r="R34" s="1409"/>
      <c r="S34" s="468"/>
      <c r="T34" s="470"/>
    </row>
    <row r="35" spans="2:20">
      <c r="B35" s="467"/>
      <c r="C35" s="465" t="s">
        <v>234</v>
      </c>
      <c r="G35" s="1410" t="str">
        <f>VLOOKUP(U5,ABSEN!A7:W56,14)</f>
        <v>27 kg</v>
      </c>
      <c r="H35" s="1411"/>
      <c r="I35" s="1409"/>
      <c r="J35" s="1409"/>
      <c r="K35" s="1409"/>
      <c r="L35" s="1409"/>
      <c r="M35" s="1409"/>
      <c r="N35" s="1409"/>
      <c r="O35" s="1409"/>
      <c r="P35" s="1409"/>
      <c r="Q35" s="1409"/>
      <c r="R35" s="1409"/>
    </row>
    <row r="36" spans="2:20">
      <c r="B36" s="465"/>
      <c r="C36" s="465" t="s">
        <v>235</v>
      </c>
      <c r="G36" s="1410" t="str">
        <f>VLOOKUP(U5,ABSEN!A7:W56,13)</f>
        <v>137 cm</v>
      </c>
      <c r="H36" s="1411"/>
      <c r="I36" s="1409"/>
      <c r="J36" s="1409"/>
      <c r="K36" s="1409"/>
      <c r="L36" s="1409"/>
      <c r="M36" s="1409"/>
      <c r="N36" s="1409"/>
      <c r="O36" s="1409"/>
      <c r="P36" s="1409"/>
      <c r="Q36" s="1409"/>
      <c r="R36" s="1409"/>
    </row>
    <row r="37" spans="2:20">
      <c r="B37" s="465"/>
    </row>
    <row r="38" spans="2:20">
      <c r="B38" s="462" t="s">
        <v>591</v>
      </c>
    </row>
    <row r="39" spans="2:20">
      <c r="B39" s="466">
        <v>20</v>
      </c>
      <c r="C39" s="466" t="s">
        <v>23</v>
      </c>
      <c r="D39" s="467"/>
      <c r="E39" s="467"/>
    </row>
    <row r="40" spans="2:20">
      <c r="C40" s="466" t="s">
        <v>592</v>
      </c>
      <c r="D40" s="472"/>
      <c r="E40" s="472"/>
      <c r="F40" s="466" t="s">
        <v>593</v>
      </c>
    </row>
    <row r="41" spans="2:20">
      <c r="C41" s="466" t="s">
        <v>594</v>
      </c>
      <c r="D41" s="472"/>
      <c r="E41" s="472"/>
      <c r="F41" s="466" t="s">
        <v>188</v>
      </c>
      <c r="G41" s="1405" t="str">
        <f>VLOOKUP($U$5,SISWA!$A:$AT,19)</f>
        <v>TK Pembina</v>
      </c>
      <c r="H41" s="1405"/>
      <c r="I41" s="1405"/>
      <c r="J41" s="1405"/>
      <c r="K41" s="1405"/>
      <c r="L41" s="1405"/>
      <c r="M41" s="1405"/>
      <c r="N41" s="1405"/>
      <c r="O41" s="1405"/>
      <c r="P41" s="1405"/>
      <c r="Q41" s="1405"/>
      <c r="R41" s="1405"/>
    </row>
    <row r="42" spans="2:20">
      <c r="C42" s="466" t="s">
        <v>595</v>
      </c>
      <c r="D42" s="472"/>
      <c r="E42" s="472"/>
      <c r="F42" s="466" t="s">
        <v>188</v>
      </c>
      <c r="G42" s="1405"/>
      <c r="H42" s="1405"/>
      <c r="I42" s="1405"/>
      <c r="J42" s="1405"/>
      <c r="K42" s="1405"/>
      <c r="L42" s="1405"/>
      <c r="M42" s="1405"/>
      <c r="N42" s="1405"/>
      <c r="O42" s="1405"/>
      <c r="P42" s="1405"/>
      <c r="Q42" s="1405"/>
      <c r="R42" s="1405"/>
    </row>
    <row r="43" spans="2:20">
      <c r="C43" s="466" t="s">
        <v>596</v>
      </c>
      <c r="D43" s="472"/>
      <c r="E43" s="472"/>
      <c r="F43" s="466" t="s">
        <v>188</v>
      </c>
      <c r="G43" s="1405"/>
      <c r="H43" s="1405"/>
      <c r="I43" s="1405"/>
      <c r="J43" s="1405"/>
      <c r="K43" s="1405"/>
      <c r="L43" s="1405"/>
      <c r="M43" s="1405"/>
      <c r="N43" s="1405"/>
      <c r="O43" s="1405"/>
      <c r="P43" s="1405"/>
      <c r="Q43" s="1405"/>
      <c r="R43" s="1405"/>
    </row>
    <row r="44" spans="2:20">
      <c r="B44" s="466">
        <v>21</v>
      </c>
      <c r="C44" s="466" t="s">
        <v>597</v>
      </c>
      <c r="D44" s="467"/>
      <c r="E44" s="467"/>
    </row>
    <row r="45" spans="2:20">
      <c r="C45" s="466" t="s">
        <v>598</v>
      </c>
      <c r="D45" s="472"/>
      <c r="E45" s="472"/>
      <c r="F45" s="466" t="s">
        <v>188</v>
      </c>
    </row>
    <row r="46" spans="2:20">
      <c r="C46" s="466" t="s">
        <v>599</v>
      </c>
      <c r="D46" s="472"/>
      <c r="E46" s="472"/>
      <c r="F46" s="466" t="s">
        <v>188</v>
      </c>
    </row>
    <row r="47" spans="2:20">
      <c r="C47" s="466" t="s">
        <v>600</v>
      </c>
      <c r="D47" s="472"/>
      <c r="E47" s="472"/>
      <c r="F47" s="466" t="s">
        <v>188</v>
      </c>
    </row>
    <row r="48" spans="2:20">
      <c r="C48" s="466" t="s">
        <v>601</v>
      </c>
      <c r="D48" s="472"/>
      <c r="E48" s="472"/>
      <c r="F48" s="466" t="s">
        <v>188</v>
      </c>
    </row>
    <row r="49" spans="2:18">
      <c r="B49" s="466">
        <v>22</v>
      </c>
      <c r="C49" s="466" t="s">
        <v>602</v>
      </c>
      <c r="D49" s="467"/>
      <c r="E49" s="467"/>
    </row>
    <row r="50" spans="2:18">
      <c r="C50" s="466" t="s">
        <v>603</v>
      </c>
      <c r="D50" s="472"/>
      <c r="E50" s="472"/>
      <c r="F50" s="466" t="s">
        <v>188</v>
      </c>
    </row>
    <row r="51" spans="2:18">
      <c r="C51" s="466" t="s">
        <v>604</v>
      </c>
      <c r="D51" s="472"/>
      <c r="E51" s="472"/>
      <c r="F51" s="466" t="s">
        <v>188</v>
      </c>
    </row>
    <row r="52" spans="2:18">
      <c r="B52" s="462"/>
    </row>
    <row r="53" spans="2:18">
      <c r="B53" s="462" t="s">
        <v>605</v>
      </c>
    </row>
    <row r="54" spans="2:18">
      <c r="B54" s="463">
        <v>23</v>
      </c>
      <c r="C54" s="466" t="s">
        <v>34</v>
      </c>
      <c r="D54" s="467"/>
      <c r="E54" s="467"/>
      <c r="F54" s="466" t="s">
        <v>188</v>
      </c>
      <c r="G54" s="1405" t="str">
        <f>VLOOKUP($U$5,SISWA!$A:$AT,20)</f>
        <v>Khoirul Anwar</v>
      </c>
      <c r="H54" s="1405"/>
      <c r="I54" s="1405"/>
      <c r="J54" s="1405"/>
      <c r="K54" s="1405"/>
      <c r="L54" s="1405"/>
      <c r="M54" s="1405"/>
      <c r="N54" s="1405"/>
      <c r="O54" s="1405"/>
      <c r="P54" s="1405"/>
      <c r="Q54" s="1405"/>
      <c r="R54" s="1405"/>
    </row>
    <row r="55" spans="2:18">
      <c r="B55" s="463">
        <v>24</v>
      </c>
      <c r="C55" s="466" t="s">
        <v>656</v>
      </c>
      <c r="D55" s="467"/>
      <c r="E55" s="467"/>
      <c r="F55" s="466" t="s">
        <v>188</v>
      </c>
      <c r="G55" s="1405">
        <f>VLOOKUP($U$5,SISWA!$A:$AT,21)</f>
        <v>1978</v>
      </c>
      <c r="H55" s="1405"/>
      <c r="I55" s="1405"/>
      <c r="J55" s="1405"/>
      <c r="K55" s="1405"/>
      <c r="L55" s="1405"/>
      <c r="M55" s="1405"/>
      <c r="N55" s="1405"/>
      <c r="O55" s="1405"/>
      <c r="P55" s="1405"/>
      <c r="Q55" s="1405"/>
      <c r="R55" s="1405"/>
    </row>
    <row r="56" spans="2:18">
      <c r="B56" s="463">
        <v>25</v>
      </c>
      <c r="C56" s="466" t="s">
        <v>21</v>
      </c>
      <c r="D56" s="467"/>
      <c r="E56" s="467"/>
      <c r="F56" s="466" t="s">
        <v>188</v>
      </c>
      <c r="G56" s="1405" t="str">
        <f>VLOOKUP($U$5,SISWA!$A:$AT,22)</f>
        <v>Islam</v>
      </c>
      <c r="H56" s="1405"/>
      <c r="I56" s="1405"/>
      <c r="J56" s="1405"/>
      <c r="K56" s="1405"/>
      <c r="L56" s="1405"/>
      <c r="M56" s="1405"/>
      <c r="N56" s="1405"/>
      <c r="O56" s="1405"/>
      <c r="P56" s="1405"/>
      <c r="Q56" s="1405"/>
      <c r="R56" s="1405"/>
    </row>
    <row r="57" spans="2:18">
      <c r="B57" s="463">
        <v>26</v>
      </c>
      <c r="C57" s="466" t="s">
        <v>606</v>
      </c>
      <c r="D57" s="467"/>
      <c r="E57" s="467"/>
      <c r="F57" s="466" t="s">
        <v>188</v>
      </c>
      <c r="G57" s="1405" t="str">
        <f>VLOOKUP($U$5,SISWA!$A:$AT,23)</f>
        <v>S3</v>
      </c>
      <c r="H57" s="1405"/>
      <c r="I57" s="1405"/>
      <c r="J57" s="1405"/>
      <c r="K57" s="1405"/>
      <c r="L57" s="1405"/>
      <c r="M57" s="1405"/>
      <c r="N57" s="1405"/>
      <c r="O57" s="1405"/>
      <c r="P57" s="1405"/>
      <c r="Q57" s="1405"/>
      <c r="R57" s="1405"/>
    </row>
    <row r="58" spans="2:18">
      <c r="B58" s="463">
        <v>27</v>
      </c>
      <c r="C58" s="466" t="s">
        <v>35</v>
      </c>
      <c r="D58" s="467"/>
      <c r="E58" s="467"/>
      <c r="F58" s="466" t="s">
        <v>188</v>
      </c>
      <c r="G58" s="1405" t="str">
        <f>VLOOKUP($U$5,SISWA!$A:$AT,24)</f>
        <v>Pedagang</v>
      </c>
      <c r="H58" s="1405"/>
      <c r="I58" s="1405"/>
      <c r="J58" s="1405"/>
      <c r="K58" s="1405"/>
      <c r="L58" s="1405"/>
      <c r="M58" s="1405"/>
      <c r="N58" s="1405"/>
      <c r="O58" s="1405"/>
      <c r="P58" s="1405"/>
      <c r="Q58" s="1405"/>
      <c r="R58" s="1405"/>
    </row>
    <row r="59" spans="2:18">
      <c r="B59" s="462"/>
    </row>
    <row r="60" spans="2:18">
      <c r="B60" s="462" t="s">
        <v>608</v>
      </c>
      <c r="C60" s="462" t="s">
        <v>609</v>
      </c>
      <c r="D60" s="462"/>
      <c r="E60" s="462"/>
    </row>
    <row r="61" spans="2:18">
      <c r="B61" s="463">
        <v>29</v>
      </c>
      <c r="C61" s="466" t="s">
        <v>34</v>
      </c>
      <c r="D61" s="467"/>
      <c r="E61" s="467"/>
      <c r="F61" s="466" t="s">
        <v>188</v>
      </c>
      <c r="G61" s="1405" t="str">
        <f>VLOOKUP($U$5,SISWA!$A:$AT,25)</f>
        <v>Purwaningsih</v>
      </c>
      <c r="H61" s="1405"/>
      <c r="I61" s="1405"/>
      <c r="J61" s="1405"/>
      <c r="K61" s="1405"/>
      <c r="L61" s="1405"/>
      <c r="M61" s="1405"/>
      <c r="N61" s="1405"/>
      <c r="O61" s="1405"/>
      <c r="P61" s="1405"/>
      <c r="Q61" s="1405"/>
      <c r="R61" s="1405"/>
    </row>
    <row r="62" spans="2:18">
      <c r="B62" s="463">
        <v>30</v>
      </c>
      <c r="C62" s="466" t="s">
        <v>656</v>
      </c>
      <c r="D62" s="467"/>
      <c r="E62" s="467"/>
      <c r="F62" s="466" t="s">
        <v>188</v>
      </c>
      <c r="G62" s="1405">
        <f>VLOOKUP($U$5,SISWA!$A:$AT,26)</f>
        <v>1982</v>
      </c>
      <c r="H62" s="1405"/>
      <c r="I62" s="1405"/>
      <c r="J62" s="1405"/>
      <c r="K62" s="1405"/>
      <c r="L62" s="1405"/>
      <c r="M62" s="1405"/>
      <c r="N62" s="1405"/>
      <c r="O62" s="1405"/>
      <c r="P62" s="1405"/>
      <c r="Q62" s="1405"/>
      <c r="R62" s="1405"/>
    </row>
    <row r="63" spans="2:18">
      <c r="B63" s="463">
        <v>34</v>
      </c>
      <c r="C63" s="466" t="s">
        <v>21</v>
      </c>
      <c r="D63" s="467"/>
      <c r="E63" s="467"/>
      <c r="F63" s="466" t="s">
        <v>188</v>
      </c>
      <c r="G63" s="1405" t="str">
        <f>VLOOKUP($U$5,SISWA!$A:$AT,27)</f>
        <v>Islam</v>
      </c>
      <c r="H63" s="1405"/>
      <c r="I63" s="1405"/>
      <c r="J63" s="1405"/>
      <c r="K63" s="1405"/>
      <c r="L63" s="1405"/>
      <c r="M63" s="1405"/>
      <c r="N63" s="1405"/>
      <c r="O63" s="1405"/>
      <c r="P63" s="1405"/>
      <c r="Q63" s="1405"/>
      <c r="R63" s="1405"/>
    </row>
    <row r="64" spans="2:18">
      <c r="B64" s="463">
        <v>36</v>
      </c>
      <c r="C64" s="466" t="s">
        <v>606</v>
      </c>
      <c r="D64" s="467"/>
      <c r="E64" s="467"/>
      <c r="F64" s="466" t="s">
        <v>188</v>
      </c>
      <c r="G64" s="1405" t="str">
        <f>VLOOKUP($U$5,SISWA!$A:$AT,28)</f>
        <v>SD</v>
      </c>
      <c r="H64" s="1405"/>
      <c r="I64" s="1405"/>
      <c r="J64" s="1405"/>
      <c r="K64" s="1405"/>
      <c r="L64" s="1405"/>
      <c r="M64" s="1405"/>
      <c r="N64" s="1405"/>
      <c r="O64" s="1405"/>
      <c r="P64" s="1405"/>
      <c r="Q64" s="1405"/>
      <c r="R64" s="1405"/>
    </row>
    <row r="65" spans="2:18">
      <c r="B65" s="463">
        <v>37</v>
      </c>
      <c r="C65" s="466" t="s">
        <v>35</v>
      </c>
      <c r="D65" s="467"/>
      <c r="E65" s="467"/>
      <c r="F65" s="466" t="s">
        <v>188</v>
      </c>
      <c r="G65" s="1405" t="str">
        <f>VLOOKUP($U$5,SISWA!$A:$AT,29)</f>
        <v>Tidak Bekerja</v>
      </c>
      <c r="H65" s="1405"/>
      <c r="I65" s="1405"/>
      <c r="J65" s="1405"/>
      <c r="K65" s="1405"/>
      <c r="L65" s="1405"/>
      <c r="M65" s="1405"/>
      <c r="N65" s="1405"/>
      <c r="O65" s="1405"/>
      <c r="P65" s="1405"/>
      <c r="Q65" s="1405"/>
      <c r="R65" s="1405"/>
    </row>
    <row r="66" spans="2:18">
      <c r="B66" s="462"/>
    </row>
    <row r="67" spans="2:18">
      <c r="B67" s="462" t="s">
        <v>610</v>
      </c>
    </row>
    <row r="68" spans="2:18">
      <c r="B68" s="463">
        <v>41</v>
      </c>
      <c r="C68" s="466" t="s">
        <v>34</v>
      </c>
      <c r="D68" s="467"/>
      <c r="E68" s="467"/>
      <c r="F68" s="466" t="s">
        <v>188</v>
      </c>
      <c r="G68" s="1405" t="str">
        <f>VLOOKUP($U$5,SISWA!$A:$AT,36)</f>
        <v>_</v>
      </c>
      <c r="H68" s="1405"/>
      <c r="I68" s="1405"/>
      <c r="J68" s="1405"/>
      <c r="K68" s="1405"/>
      <c r="L68" s="1405"/>
      <c r="M68" s="1405"/>
      <c r="N68" s="1405"/>
      <c r="O68" s="1405"/>
      <c r="P68" s="1405"/>
      <c r="Q68" s="1405"/>
      <c r="R68" s="1405"/>
    </row>
    <row r="69" spans="2:18">
      <c r="B69" s="463">
        <v>42</v>
      </c>
      <c r="C69" s="466" t="s">
        <v>656</v>
      </c>
      <c r="D69" s="467"/>
      <c r="E69" s="467"/>
      <c r="F69" s="466" t="s">
        <v>188</v>
      </c>
      <c r="G69" s="1405" t="str">
        <f>VLOOKUP($U$5,SISWA!$A:$AT,37)</f>
        <v>_</v>
      </c>
      <c r="H69" s="1405"/>
      <c r="I69" s="1405"/>
      <c r="J69" s="1405"/>
      <c r="K69" s="1405"/>
      <c r="L69" s="1405"/>
      <c r="M69" s="1405"/>
      <c r="N69" s="1405"/>
      <c r="O69" s="1405"/>
      <c r="P69" s="1405"/>
      <c r="Q69" s="1405"/>
      <c r="R69" s="1405"/>
    </row>
    <row r="70" spans="2:18">
      <c r="B70" s="463">
        <v>43</v>
      </c>
      <c r="C70" s="466" t="s">
        <v>21</v>
      </c>
      <c r="D70" s="467"/>
      <c r="E70" s="467"/>
      <c r="F70" s="466" t="s">
        <v>188</v>
      </c>
      <c r="G70" s="1405" t="str">
        <f>VLOOKUP($U$5,SISWA!$A:$AT,38)</f>
        <v>_</v>
      </c>
      <c r="H70" s="1405"/>
      <c r="I70" s="1405"/>
      <c r="J70" s="1405"/>
      <c r="K70" s="1405"/>
      <c r="L70" s="1405"/>
      <c r="M70" s="1405"/>
      <c r="N70" s="1405"/>
      <c r="O70" s="1405"/>
      <c r="P70" s="1405"/>
      <c r="Q70" s="1405"/>
      <c r="R70" s="1405"/>
    </row>
    <row r="71" spans="2:18">
      <c r="B71" s="463">
        <v>45</v>
      </c>
      <c r="C71" s="466" t="s">
        <v>606</v>
      </c>
      <c r="D71" s="467"/>
      <c r="E71" s="467"/>
      <c r="F71" s="466" t="s">
        <v>188</v>
      </c>
      <c r="G71" s="1405" t="str">
        <f>VLOOKUP($U$5,SISWA!$A:$AT,39)</f>
        <v>_</v>
      </c>
      <c r="H71" s="1405"/>
      <c r="I71" s="1405"/>
      <c r="J71" s="1405"/>
      <c r="K71" s="1405"/>
      <c r="L71" s="1405"/>
      <c r="M71" s="1405"/>
      <c r="N71" s="1405"/>
      <c r="O71" s="1405"/>
      <c r="P71" s="1405"/>
      <c r="Q71" s="1405"/>
      <c r="R71" s="1405"/>
    </row>
    <row r="72" spans="2:18">
      <c r="B72" s="463">
        <v>46</v>
      </c>
      <c r="C72" s="466" t="s">
        <v>35</v>
      </c>
      <c r="D72" s="467"/>
      <c r="E72" s="467"/>
      <c r="F72" s="466" t="s">
        <v>188</v>
      </c>
      <c r="G72" s="1405" t="str">
        <f>VLOOKUP($U$5,SISWA!$A:$AT,40)</f>
        <v>_</v>
      </c>
      <c r="H72" s="1405"/>
      <c r="I72" s="1405"/>
      <c r="J72" s="1405"/>
      <c r="K72" s="1405"/>
      <c r="L72" s="1405"/>
      <c r="M72" s="1405"/>
      <c r="N72" s="1405"/>
      <c r="O72" s="1405"/>
      <c r="P72" s="1405"/>
      <c r="Q72" s="1405"/>
      <c r="R72" s="1405"/>
    </row>
    <row r="73" spans="2:18">
      <c r="B73" s="463">
        <v>48</v>
      </c>
      <c r="C73" s="466" t="s">
        <v>607</v>
      </c>
      <c r="D73" s="467"/>
      <c r="E73" s="467"/>
      <c r="F73" s="466" t="s">
        <v>188</v>
      </c>
      <c r="G73" s="1405" t="str">
        <f>VLOOKUP($U$5,SISWA!$A:$AT,41)</f>
        <v>_</v>
      </c>
      <c r="H73" s="1405"/>
      <c r="I73" s="1405"/>
      <c r="J73" s="1405"/>
      <c r="K73" s="1405"/>
      <c r="L73" s="1405"/>
      <c r="M73" s="1405"/>
      <c r="N73" s="1405"/>
      <c r="O73" s="1405"/>
      <c r="P73" s="1405"/>
      <c r="Q73" s="1405"/>
      <c r="R73" s="1405"/>
    </row>
    <row r="74" spans="2:18">
      <c r="B74" s="463">
        <v>49</v>
      </c>
      <c r="C74" s="466" t="s">
        <v>611</v>
      </c>
      <c r="D74" s="467"/>
      <c r="E74" s="467"/>
      <c r="F74" s="466" t="s">
        <v>188</v>
      </c>
      <c r="G74" s="1405" t="str">
        <f>VLOOKUP($U$5,SISWA!$A:$AT,42)</f>
        <v>_</v>
      </c>
      <c r="H74" s="1405"/>
      <c r="I74" s="1405"/>
      <c r="J74" s="1405"/>
      <c r="K74" s="1405"/>
      <c r="L74" s="1405"/>
      <c r="M74" s="1405"/>
      <c r="N74" s="1405"/>
      <c r="O74" s="1405"/>
      <c r="P74" s="1405"/>
      <c r="Q74" s="1405"/>
      <c r="R74" s="1405"/>
    </row>
    <row r="75" spans="2:18">
      <c r="B75" s="462"/>
    </row>
    <row r="76" spans="2:18">
      <c r="B76" s="462" t="s">
        <v>612</v>
      </c>
    </row>
    <row r="77" spans="2:18">
      <c r="B77" s="463">
        <v>50</v>
      </c>
      <c r="C77" s="466" t="s">
        <v>613</v>
      </c>
      <c r="D77" s="467"/>
      <c r="E77" s="467"/>
      <c r="F77" s="467" t="s">
        <v>188</v>
      </c>
    </row>
    <row r="78" spans="2:18">
      <c r="B78" s="8"/>
      <c r="C78" s="466" t="s">
        <v>614</v>
      </c>
      <c r="D78" s="467"/>
      <c r="E78" s="467"/>
    </row>
    <row r="79" spans="2:18">
      <c r="B79" s="8"/>
      <c r="C79" s="466" t="s">
        <v>614</v>
      </c>
      <c r="D79" s="467"/>
      <c r="E79" s="467"/>
    </row>
    <row r="80" spans="2:18">
      <c r="B80" s="8"/>
      <c r="C80" s="466" t="s">
        <v>614</v>
      </c>
      <c r="D80" s="467"/>
      <c r="E80" s="467"/>
    </row>
    <row r="81" spans="2:6">
      <c r="B81" s="8"/>
      <c r="C81" s="466" t="s">
        <v>614</v>
      </c>
      <c r="D81" s="467"/>
      <c r="E81" s="467"/>
    </row>
    <row r="82" spans="2:6">
      <c r="B82" s="463">
        <v>51</v>
      </c>
      <c r="C82" s="466" t="s">
        <v>615</v>
      </c>
      <c r="D82" s="467"/>
      <c r="E82" s="467"/>
    </row>
    <row r="83" spans="2:6">
      <c r="C83" s="466" t="s">
        <v>616</v>
      </c>
      <c r="E83" s="473"/>
      <c r="F83" s="463" t="s">
        <v>478</v>
      </c>
    </row>
    <row r="84" spans="2:6">
      <c r="C84" s="466" t="s">
        <v>617</v>
      </c>
      <c r="E84" s="473"/>
      <c r="F84" s="463" t="s">
        <v>478</v>
      </c>
    </row>
    <row r="85" spans="2:6">
      <c r="C85" s="466" t="s">
        <v>618</v>
      </c>
      <c r="E85" s="473"/>
      <c r="F85" s="463" t="s">
        <v>478</v>
      </c>
    </row>
    <row r="86" spans="2:6">
      <c r="C86" s="466" t="s">
        <v>619</v>
      </c>
      <c r="E86" s="473"/>
      <c r="F86" s="463" t="s">
        <v>478</v>
      </c>
    </row>
    <row r="87" spans="2:6">
      <c r="C87" s="466" t="s">
        <v>620</v>
      </c>
      <c r="E87" s="473"/>
      <c r="F87" s="463" t="s">
        <v>478</v>
      </c>
    </row>
    <row r="88" spans="2:6">
      <c r="C88" s="466" t="s">
        <v>621</v>
      </c>
      <c r="E88" s="473"/>
      <c r="F88" s="463" t="s">
        <v>478</v>
      </c>
    </row>
    <row r="89" spans="2:6">
      <c r="C89" s="466" t="s">
        <v>622</v>
      </c>
      <c r="E89" s="473"/>
      <c r="F89" s="463" t="s">
        <v>478</v>
      </c>
    </row>
    <row r="90" spans="2:6">
      <c r="B90" s="463">
        <v>52</v>
      </c>
      <c r="C90" s="466" t="s">
        <v>623</v>
      </c>
      <c r="D90" s="467"/>
      <c r="E90" s="467"/>
    </row>
    <row r="91" spans="2:6">
      <c r="C91" s="466" t="s">
        <v>624</v>
      </c>
      <c r="E91" s="473"/>
      <c r="F91" s="463" t="s">
        <v>478</v>
      </c>
    </row>
    <row r="92" spans="2:6">
      <c r="C92" s="466" t="s">
        <v>625</v>
      </c>
      <c r="E92" s="473"/>
      <c r="F92" s="463" t="s">
        <v>478</v>
      </c>
    </row>
    <row r="93" spans="2:6">
      <c r="C93" s="466" t="s">
        <v>626</v>
      </c>
      <c r="E93" s="473"/>
      <c r="F93" s="463" t="s">
        <v>478</v>
      </c>
    </row>
  </sheetData>
  <mergeCells count="64">
    <mergeCell ref="K33:N33"/>
    <mergeCell ref="O33:R33"/>
    <mergeCell ref="G36:H36"/>
    <mergeCell ref="I35:J35"/>
    <mergeCell ref="K35:L35"/>
    <mergeCell ref="M35:N35"/>
    <mergeCell ref="O35:P35"/>
    <mergeCell ref="Q35:R35"/>
    <mergeCell ref="I36:J36"/>
    <mergeCell ref="K36:L36"/>
    <mergeCell ref="M36:N36"/>
    <mergeCell ref="O36:P36"/>
    <mergeCell ref="G73:R73"/>
    <mergeCell ref="G74:R74"/>
    <mergeCell ref="F6:M6"/>
    <mergeCell ref="F5:M5"/>
    <mergeCell ref="G41:R41"/>
    <mergeCell ref="G42:R42"/>
    <mergeCell ref="G43:R43"/>
    <mergeCell ref="G34:H34"/>
    <mergeCell ref="I34:J34"/>
    <mergeCell ref="K34:L34"/>
    <mergeCell ref="G69:R69"/>
    <mergeCell ref="G70:R70"/>
    <mergeCell ref="G71:R71"/>
    <mergeCell ref="G72:R72"/>
    <mergeCell ref="Q36:R36"/>
    <mergeCell ref="G33:J33"/>
    <mergeCell ref="G55:R55"/>
    <mergeCell ref="G56:R56"/>
    <mergeCell ref="G57:R57"/>
    <mergeCell ref="G58:R58"/>
    <mergeCell ref="G68:R68"/>
    <mergeCell ref="G61:R61"/>
    <mergeCell ref="G62:R62"/>
    <mergeCell ref="G63:R63"/>
    <mergeCell ref="G64:R64"/>
    <mergeCell ref="G65:R65"/>
    <mergeCell ref="G54:R54"/>
    <mergeCell ref="M34:N34"/>
    <mergeCell ref="O34:P34"/>
    <mergeCell ref="Q34:R34"/>
    <mergeCell ref="G35:H35"/>
    <mergeCell ref="G25:R25"/>
    <mergeCell ref="G28:R28"/>
    <mergeCell ref="G29:R29"/>
    <mergeCell ref="G30:R30"/>
    <mergeCell ref="G31:R31"/>
    <mergeCell ref="U5:U7"/>
    <mergeCell ref="G9:R9"/>
    <mergeCell ref="G10:R10"/>
    <mergeCell ref="G11:R11"/>
    <mergeCell ref="G12:R12"/>
    <mergeCell ref="B2:S2"/>
    <mergeCell ref="G14:R14"/>
    <mergeCell ref="G15:R15"/>
    <mergeCell ref="G16:R16"/>
    <mergeCell ref="G24:R24"/>
    <mergeCell ref="G13:R13"/>
    <mergeCell ref="G17:R17"/>
    <mergeCell ref="G18:R18"/>
    <mergeCell ref="G19:R19"/>
    <mergeCell ref="G22:R22"/>
    <mergeCell ref="G23:R23"/>
  </mergeCells>
  <pageMargins left="0.7" right="0.36" top="0.3" bottom="0.56999999999999995" header="0.3" footer="0.3"/>
  <pageSetup scale="94" orientation="portrait" horizontalDpi="4294967293" r:id="rId1"/>
  <rowBreaks count="1" manualBreakCount="1">
    <brk id="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21</xdr:col>
                    <xdr:colOff>0</xdr:colOff>
                    <xdr:row>2</xdr:row>
                    <xdr:rowOff>161925</xdr:rowOff>
                  </from>
                  <to>
                    <xdr:col>21</xdr:col>
                    <xdr:colOff>542925</xdr:colOff>
                    <xdr:row>8</xdr:row>
                    <xdr:rowOff>76200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AJ71"/>
  <sheetViews>
    <sheetView view="pageBreakPreview" zoomScale="80" zoomScaleNormal="85" zoomScaleSheetLayoutView="80" workbookViewId="0">
      <selection activeCell="E17" sqref="E17:F28"/>
    </sheetView>
  </sheetViews>
  <sheetFormatPr defaultRowHeight="15"/>
  <cols>
    <col min="1" max="1" width="3.5703125" customWidth="1"/>
    <col min="2" max="2" width="5.42578125" customWidth="1"/>
    <col min="3" max="3" width="10.5703125" customWidth="1"/>
    <col min="4" max="4" width="19.42578125" customWidth="1"/>
    <col min="5" max="32" width="4.85546875" customWidth="1"/>
    <col min="33" max="47" width="4.140625" customWidth="1"/>
  </cols>
  <sheetData>
    <row r="1" spans="2:36" ht="21">
      <c r="C1" s="1497" t="s">
        <v>627</v>
      </c>
      <c r="D1" s="1497"/>
      <c r="E1" s="1497"/>
      <c r="F1" s="1497"/>
      <c r="G1" s="1497"/>
      <c r="H1" s="1497"/>
      <c r="I1" s="1497"/>
      <c r="J1" s="1497"/>
      <c r="K1" s="1497"/>
      <c r="L1" s="1497"/>
      <c r="M1" s="1497"/>
      <c r="N1" s="1497"/>
      <c r="O1" s="1497"/>
      <c r="P1" s="1497"/>
      <c r="Q1" s="1497"/>
      <c r="R1" s="1497"/>
      <c r="S1" s="1497"/>
      <c r="T1" s="1497"/>
      <c r="U1" s="1497"/>
      <c r="V1" s="1497"/>
      <c r="W1" s="1497"/>
      <c r="X1" s="1497"/>
      <c r="Y1" s="1497"/>
      <c r="Z1" s="1497"/>
      <c r="AA1" s="1497"/>
      <c r="AB1" s="1497"/>
      <c r="AC1" s="1497"/>
      <c r="AD1" s="1497"/>
      <c r="AE1" s="1497"/>
    </row>
    <row r="2" spans="2:36">
      <c r="C2" s="470"/>
      <c r="D2" s="470"/>
      <c r="E2" s="470"/>
      <c r="F2" s="470"/>
      <c r="G2" s="470"/>
      <c r="H2" s="470"/>
      <c r="I2" s="470"/>
      <c r="J2" s="470"/>
      <c r="K2" s="470"/>
      <c r="L2" s="470"/>
      <c r="M2" s="470"/>
      <c r="N2" s="470"/>
      <c r="O2" s="470"/>
      <c r="W2" s="474"/>
    </row>
    <row r="3" spans="2:36" ht="15.75" thickBot="1">
      <c r="B3" s="474" t="s">
        <v>628</v>
      </c>
      <c r="C3" s="474"/>
    </row>
    <row r="4" spans="2:36" s="5" customFormat="1" ht="21.75" customHeight="1">
      <c r="B4" s="1485" t="s">
        <v>13</v>
      </c>
      <c r="C4" s="1485"/>
      <c r="D4" s="475" t="s">
        <v>629</v>
      </c>
      <c r="E4" s="1484" t="str">
        <f>DEPAN!E14</f>
        <v>4 (Empat)</v>
      </c>
      <c r="F4" s="1484"/>
      <c r="G4" s="1484"/>
      <c r="H4" s="1484"/>
      <c r="I4" s="1484"/>
      <c r="J4" s="1484"/>
      <c r="K4" s="1484"/>
      <c r="L4" s="1484"/>
      <c r="M4" s="1484"/>
      <c r="N4" s="1484"/>
      <c r="O4" s="1484"/>
      <c r="P4" s="1484"/>
      <c r="Q4" s="1484"/>
      <c r="R4" s="1484"/>
      <c r="S4" s="1484"/>
      <c r="T4" s="1484"/>
      <c r="U4" s="1484"/>
      <c r="V4" s="1484"/>
      <c r="W4" s="1484"/>
      <c r="X4" s="1484"/>
      <c r="Y4" s="1484"/>
      <c r="Z4" s="1484"/>
      <c r="AA4" s="1484"/>
      <c r="AB4" s="1484"/>
      <c r="AC4" s="1484"/>
      <c r="AD4" s="1484"/>
      <c r="AE4" s="1484"/>
      <c r="AF4" s="1484"/>
      <c r="AI4" s="1493">
        <v>1</v>
      </c>
      <c r="AJ4" s="1494"/>
    </row>
    <row r="5" spans="2:36" s="5" customFormat="1" ht="21.75" customHeight="1" thickBot="1">
      <c r="B5" s="1485"/>
      <c r="C5" s="1485"/>
      <c r="D5" s="475" t="s">
        <v>590</v>
      </c>
      <c r="E5" s="1484" t="str">
        <f>DEPAN!E15</f>
        <v>2018/2019</v>
      </c>
      <c r="F5" s="1484"/>
      <c r="G5" s="1484"/>
      <c r="H5" s="1484"/>
      <c r="I5" s="1484"/>
      <c r="J5" s="1484"/>
      <c r="K5" s="1484"/>
      <c r="L5" s="1484"/>
      <c r="M5" s="1484"/>
      <c r="N5" s="1484"/>
      <c r="O5" s="1484"/>
      <c r="P5" s="1484"/>
      <c r="Q5" s="1484"/>
      <c r="R5" s="1484"/>
      <c r="S5" s="1484"/>
      <c r="T5" s="1484"/>
      <c r="U5" s="1484">
        <v>1</v>
      </c>
      <c r="V5" s="1484"/>
      <c r="W5" s="1484"/>
      <c r="X5" s="1484"/>
      <c r="Y5" s="1484"/>
      <c r="Z5" s="1484"/>
      <c r="AA5" s="1484"/>
      <c r="AB5" s="1484"/>
      <c r="AC5" s="1484"/>
      <c r="AD5" s="1484"/>
      <c r="AE5" s="1484"/>
      <c r="AF5" s="1484"/>
      <c r="AI5" s="1495"/>
      <c r="AJ5" s="1496"/>
    </row>
    <row r="6" spans="2:36" ht="111.75" customHeight="1">
      <c r="B6" s="1381" t="s">
        <v>675</v>
      </c>
      <c r="C6" s="1381"/>
      <c r="D6" s="475" t="s">
        <v>219</v>
      </c>
      <c r="E6" s="1486"/>
      <c r="F6" s="1487"/>
      <c r="G6" s="1487"/>
      <c r="H6" s="1487"/>
      <c r="I6" s="1487"/>
      <c r="J6" s="1487"/>
      <c r="K6" s="1488"/>
      <c r="L6" s="1484"/>
      <c r="M6" s="1484"/>
      <c r="N6" s="1484"/>
      <c r="O6" s="1484"/>
      <c r="P6" s="1484"/>
      <c r="Q6" s="1484"/>
      <c r="R6" s="1484"/>
      <c r="S6" s="1484"/>
      <c r="T6" s="1484"/>
      <c r="U6" s="1484"/>
      <c r="V6" s="1484"/>
      <c r="W6" s="1484"/>
      <c r="X6" s="1484"/>
      <c r="Y6" s="1484"/>
      <c r="Z6" s="1484"/>
      <c r="AA6" s="1484"/>
      <c r="AB6" s="1484"/>
      <c r="AC6" s="1484"/>
      <c r="AD6" s="1484"/>
      <c r="AE6" s="1484"/>
      <c r="AF6" s="1484"/>
      <c r="AG6" s="5"/>
      <c r="AH6" s="5"/>
    </row>
    <row r="7" spans="2:36" ht="111.75" customHeight="1">
      <c r="B7" s="1381"/>
      <c r="C7" s="1381"/>
      <c r="D7" s="476" t="s">
        <v>630</v>
      </c>
      <c r="E7" s="1486"/>
      <c r="F7" s="1487"/>
      <c r="G7" s="1487"/>
      <c r="H7" s="1487"/>
      <c r="I7" s="1487"/>
      <c r="J7" s="1487"/>
      <c r="K7" s="1488"/>
      <c r="L7" s="1484"/>
      <c r="M7" s="1484"/>
      <c r="N7" s="1484"/>
      <c r="O7" s="1484"/>
      <c r="P7" s="1484"/>
      <c r="Q7" s="1484"/>
      <c r="R7" s="1484"/>
      <c r="S7" s="1484"/>
      <c r="T7" s="1484"/>
      <c r="U7" s="1484"/>
      <c r="V7" s="1484"/>
      <c r="W7" s="1484"/>
      <c r="X7" s="1484"/>
      <c r="Y7" s="1484"/>
      <c r="Z7" s="1484"/>
      <c r="AA7" s="1484"/>
      <c r="AB7" s="1484"/>
      <c r="AC7" s="1484"/>
      <c r="AD7" s="1484"/>
      <c r="AE7" s="1484"/>
      <c r="AF7" s="1484"/>
      <c r="AG7" s="5"/>
      <c r="AH7" s="5"/>
    </row>
    <row r="8" spans="2:36" ht="111.75" customHeight="1">
      <c r="B8" s="1381" t="s">
        <v>676</v>
      </c>
      <c r="C8" s="1381"/>
      <c r="D8" s="475" t="s">
        <v>219</v>
      </c>
      <c r="E8" s="1486" t="str">
        <f>VLOOKUP($AI$4,REKAP!A:BS,4)</f>
        <v xml:space="preserve">Ananda Anak 1 baik dalam  ketaatan beribadah,  berperilaku syukur,  berdoa sebelum dan sesudah melakukan kegiatan,  toleransi dalam beribadah, </v>
      </c>
      <c r="F8" s="1487"/>
      <c r="G8" s="1487"/>
      <c r="H8" s="1487"/>
      <c r="I8" s="1487"/>
      <c r="J8" s="1487"/>
      <c r="K8" s="1488"/>
      <c r="L8" s="1484"/>
      <c r="M8" s="1484"/>
      <c r="N8" s="1484"/>
      <c r="O8" s="1484"/>
      <c r="P8" s="1484"/>
      <c r="Q8" s="1484"/>
      <c r="R8" s="1484"/>
      <c r="S8" s="1484"/>
      <c r="T8" s="1484"/>
      <c r="U8" s="1484"/>
      <c r="V8" s="1484"/>
      <c r="W8" s="1484"/>
      <c r="X8" s="1484"/>
      <c r="Y8" s="1484"/>
      <c r="Z8" s="1484"/>
      <c r="AA8" s="1484"/>
      <c r="AB8" s="1484"/>
      <c r="AC8" s="1484"/>
      <c r="AD8" s="1484"/>
      <c r="AE8" s="1484"/>
      <c r="AF8" s="1484"/>
      <c r="AG8" s="5"/>
      <c r="AH8" s="5"/>
    </row>
    <row r="9" spans="2:36" ht="111.75" customHeight="1">
      <c r="B9" s="1381"/>
      <c r="C9" s="1381"/>
      <c r="D9" s="476" t="s">
        <v>630</v>
      </c>
      <c r="E9" s="1486" t="str">
        <f>VLOOKUP($AI$4,REKAP!A:BS,5)</f>
        <v xml:space="preserve">Ananda Anak 1 baik dalam sikap jujur, disiplin, tanggung jawab, peduli, percaya diri, kerja sama, dan sudah mampu meningkatkan sikap santun, </v>
      </c>
      <c r="F9" s="1487"/>
      <c r="G9" s="1487"/>
      <c r="H9" s="1487"/>
      <c r="I9" s="1487"/>
      <c r="J9" s="1487"/>
      <c r="K9" s="1488"/>
      <c r="L9" s="1484"/>
      <c r="M9" s="1484"/>
      <c r="N9" s="1484"/>
      <c r="O9" s="1484"/>
      <c r="P9" s="1484"/>
      <c r="Q9" s="1484"/>
      <c r="R9" s="1484"/>
      <c r="S9" s="1484"/>
      <c r="T9" s="1484"/>
      <c r="U9" s="1484"/>
      <c r="V9" s="1484"/>
      <c r="W9" s="1484"/>
      <c r="X9" s="1484"/>
      <c r="Y9" s="1484"/>
      <c r="Z9" s="1484"/>
      <c r="AA9" s="1484"/>
      <c r="AB9" s="1484"/>
      <c r="AC9" s="1484"/>
      <c r="AD9" s="1484"/>
      <c r="AE9" s="1484"/>
      <c r="AF9" s="1484"/>
      <c r="AG9" s="5"/>
      <c r="AH9" s="5"/>
    </row>
    <row r="10" spans="2:36" ht="24" customHeight="1"/>
    <row r="11" spans="2:36" ht="24" customHeight="1">
      <c r="B11" s="474" t="s">
        <v>631</v>
      </c>
      <c r="C11" s="474"/>
    </row>
    <row r="12" spans="2:36" ht="24" customHeight="1">
      <c r="B12" s="1489" t="s">
        <v>629</v>
      </c>
      <c r="C12" s="1489"/>
      <c r="D12" s="1489"/>
      <c r="E12" s="1462" t="str">
        <f>DEPAN!$E$14</f>
        <v>4 (Empat)</v>
      </c>
      <c r="F12" s="1463"/>
      <c r="G12" s="1463"/>
      <c r="H12" s="1464"/>
      <c r="I12" s="1409"/>
      <c r="J12" s="1409"/>
      <c r="K12" s="1409"/>
      <c r="L12" s="1409"/>
      <c r="M12" s="1409"/>
      <c r="N12" s="1409"/>
      <c r="O12" s="1409"/>
      <c r="P12" s="1409"/>
      <c r="Q12" s="1409"/>
      <c r="R12" s="1409"/>
      <c r="S12" s="1409"/>
      <c r="T12" s="1409"/>
      <c r="U12" s="1409"/>
      <c r="V12" s="1409"/>
      <c r="W12" s="1409"/>
      <c r="X12" s="1409"/>
      <c r="Y12" s="1409"/>
      <c r="Z12" s="1409"/>
      <c r="AA12" s="1409"/>
      <c r="AB12" s="1409"/>
      <c r="AC12" s="1409"/>
      <c r="AD12" s="1409"/>
      <c r="AE12" s="1409"/>
      <c r="AF12" s="1409"/>
    </row>
    <row r="13" spans="2:36" ht="24" customHeight="1">
      <c r="B13" s="1489" t="s">
        <v>590</v>
      </c>
      <c r="C13" s="1489"/>
      <c r="D13" s="1489"/>
      <c r="E13" s="1462" t="str">
        <f>DEPAN!$E$15</f>
        <v>2018/2019</v>
      </c>
      <c r="F13" s="1463"/>
      <c r="G13" s="1463"/>
      <c r="H13" s="1464"/>
      <c r="I13" s="1409"/>
      <c r="J13" s="1409"/>
      <c r="K13" s="1409"/>
      <c r="L13" s="1409"/>
      <c r="M13" s="1409"/>
      <c r="N13" s="1409"/>
      <c r="O13" s="1409"/>
      <c r="P13" s="1409"/>
      <c r="Q13" s="1409"/>
      <c r="R13" s="1409"/>
      <c r="S13" s="1409"/>
      <c r="T13" s="1409"/>
      <c r="U13" s="1409"/>
      <c r="V13" s="1409"/>
      <c r="W13" s="1409"/>
      <c r="X13" s="1409"/>
      <c r="Y13" s="1409"/>
      <c r="Z13" s="1409"/>
      <c r="AA13" s="1409"/>
      <c r="AB13" s="1409"/>
      <c r="AC13" s="1409"/>
      <c r="AD13" s="1409"/>
      <c r="AE13" s="1409"/>
      <c r="AF13" s="1409"/>
    </row>
    <row r="14" spans="2:36" ht="24" customHeight="1">
      <c r="B14" s="1489" t="s">
        <v>13</v>
      </c>
      <c r="C14" s="1489"/>
      <c r="D14" s="1489"/>
      <c r="E14" s="1462" t="s">
        <v>632</v>
      </c>
      <c r="F14" s="1464"/>
      <c r="G14" s="1462" t="s">
        <v>633</v>
      </c>
      <c r="H14" s="1464"/>
      <c r="I14" s="1462" t="s">
        <v>632</v>
      </c>
      <c r="J14" s="1464"/>
      <c r="K14" s="1462" t="s">
        <v>633</v>
      </c>
      <c r="L14" s="1464"/>
      <c r="M14" s="1462" t="s">
        <v>632</v>
      </c>
      <c r="N14" s="1464"/>
      <c r="O14" s="1462" t="s">
        <v>633</v>
      </c>
      <c r="P14" s="1464"/>
      <c r="Q14" s="1462" t="s">
        <v>632</v>
      </c>
      <c r="R14" s="1464"/>
      <c r="S14" s="1462" t="s">
        <v>633</v>
      </c>
      <c r="T14" s="1464"/>
      <c r="U14" s="1462" t="s">
        <v>632</v>
      </c>
      <c r="V14" s="1464"/>
      <c r="W14" s="1462" t="s">
        <v>633</v>
      </c>
      <c r="X14" s="1464"/>
      <c r="Y14" s="1462" t="s">
        <v>632</v>
      </c>
      <c r="Z14" s="1464"/>
      <c r="AA14" s="1462" t="s">
        <v>633</v>
      </c>
      <c r="AB14" s="1464"/>
      <c r="AC14" s="1462" t="s">
        <v>632</v>
      </c>
      <c r="AD14" s="1464"/>
      <c r="AE14" s="1462" t="s">
        <v>633</v>
      </c>
      <c r="AF14" s="1464"/>
    </row>
    <row r="15" spans="2:36" ht="24" customHeight="1">
      <c r="B15" s="1489" t="s">
        <v>263</v>
      </c>
      <c r="C15" s="1489"/>
      <c r="D15" s="1489"/>
      <c r="E15" s="1462">
        <f>KKM!D8</f>
        <v>70</v>
      </c>
      <c r="F15" s="1464"/>
      <c r="G15" s="471"/>
      <c r="H15" s="471"/>
      <c r="I15" s="471"/>
      <c r="J15" s="471"/>
      <c r="K15" s="471"/>
      <c r="L15" s="471"/>
      <c r="M15" s="471"/>
      <c r="N15" s="471"/>
      <c r="O15" s="471"/>
      <c r="P15" s="471"/>
      <c r="Q15" s="471"/>
      <c r="R15" s="471"/>
      <c r="S15" s="471"/>
      <c r="T15" s="471"/>
      <c r="U15" s="471"/>
      <c r="V15" s="471"/>
      <c r="W15" s="471"/>
      <c r="X15" s="471"/>
      <c r="Y15" s="471"/>
      <c r="Z15" s="471"/>
      <c r="AA15" s="471"/>
      <c r="AB15" s="471"/>
      <c r="AC15" s="471"/>
      <c r="AD15" s="471"/>
      <c r="AE15" s="471"/>
      <c r="AF15" s="471"/>
    </row>
    <row r="16" spans="2:36" ht="24" customHeight="1">
      <c r="B16" s="1489" t="s">
        <v>634</v>
      </c>
      <c r="C16" s="1489"/>
      <c r="D16" s="1489"/>
      <c r="E16" s="477" t="s">
        <v>635</v>
      </c>
      <c r="F16" s="477" t="s">
        <v>636</v>
      </c>
      <c r="G16" s="477" t="s">
        <v>635</v>
      </c>
      <c r="H16" s="477" t="s">
        <v>636</v>
      </c>
      <c r="I16" s="477" t="s">
        <v>635</v>
      </c>
      <c r="J16" s="477" t="s">
        <v>636</v>
      </c>
      <c r="K16" s="477" t="s">
        <v>635</v>
      </c>
      <c r="L16" s="477" t="s">
        <v>636</v>
      </c>
      <c r="M16" s="477" t="s">
        <v>635</v>
      </c>
      <c r="N16" s="477" t="s">
        <v>636</v>
      </c>
      <c r="O16" s="477" t="s">
        <v>635</v>
      </c>
      <c r="P16" s="477" t="s">
        <v>636</v>
      </c>
      <c r="Q16" s="477" t="s">
        <v>635</v>
      </c>
      <c r="R16" s="477" t="s">
        <v>636</v>
      </c>
      <c r="S16" s="477" t="s">
        <v>635</v>
      </c>
      <c r="T16" s="477" t="s">
        <v>636</v>
      </c>
      <c r="U16" s="477" t="s">
        <v>635</v>
      </c>
      <c r="V16" s="477" t="s">
        <v>636</v>
      </c>
      <c r="W16" s="477" t="s">
        <v>635</v>
      </c>
      <c r="X16" s="477" t="s">
        <v>636</v>
      </c>
      <c r="Y16" s="477" t="s">
        <v>635</v>
      </c>
      <c r="Z16" s="477" t="s">
        <v>636</v>
      </c>
      <c r="AA16" s="477" t="s">
        <v>635</v>
      </c>
      <c r="AB16" s="477" t="s">
        <v>636</v>
      </c>
      <c r="AC16" s="477" t="s">
        <v>635</v>
      </c>
      <c r="AD16" s="477" t="s">
        <v>636</v>
      </c>
      <c r="AE16" s="477" t="s">
        <v>635</v>
      </c>
      <c r="AF16" s="477" t="s">
        <v>636</v>
      </c>
    </row>
    <row r="17" spans="2:32" ht="29.25" customHeight="1">
      <c r="B17" s="477">
        <v>1</v>
      </c>
      <c r="C17" s="1490" t="s">
        <v>637</v>
      </c>
      <c r="D17" s="1490"/>
      <c r="E17" s="477"/>
      <c r="F17" s="477"/>
      <c r="G17" s="646">
        <f>VLOOKUP($AI$4,REKAP!$A:$BS,6)</f>
        <v>92</v>
      </c>
      <c r="H17" s="646" t="str">
        <f>VLOOKUP($AI$4,REKAP!$A:$BS,7)</f>
        <v>A</v>
      </c>
      <c r="I17" s="471"/>
      <c r="J17" s="471"/>
      <c r="K17" s="471"/>
      <c r="L17" s="471"/>
      <c r="M17" s="471"/>
      <c r="N17" s="471"/>
      <c r="O17" s="471"/>
      <c r="P17" s="471"/>
      <c r="Q17" s="471"/>
      <c r="R17" s="471"/>
      <c r="S17" s="471"/>
      <c r="T17" s="471"/>
      <c r="U17" s="471"/>
      <c r="V17" s="471"/>
      <c r="W17" s="471"/>
      <c r="X17" s="471"/>
      <c r="Y17" s="471"/>
      <c r="Z17" s="471"/>
      <c r="AA17" s="471"/>
      <c r="AB17" s="471"/>
      <c r="AC17" s="471"/>
      <c r="AD17" s="471"/>
      <c r="AE17" s="471"/>
      <c r="AF17" s="471"/>
    </row>
    <row r="18" spans="2:32">
      <c r="B18" s="477">
        <v>2</v>
      </c>
      <c r="C18" s="1490" t="s">
        <v>638</v>
      </c>
      <c r="D18" s="1490"/>
      <c r="E18" s="477"/>
      <c r="F18" s="477"/>
      <c r="G18" s="646">
        <f>VLOOKUP($AI$4,REKAP!$A:$BS,9)</f>
        <v>93</v>
      </c>
      <c r="H18" s="646" t="str">
        <f>VLOOKUP($AI$4,REKAP!$A:$BS,10)</f>
        <v>A</v>
      </c>
      <c r="I18" s="471"/>
      <c r="J18" s="471"/>
      <c r="K18" s="471"/>
      <c r="L18" s="471"/>
      <c r="M18" s="471"/>
      <c r="N18" s="471"/>
      <c r="O18" s="471"/>
      <c r="P18" s="471"/>
      <c r="Q18" s="471"/>
      <c r="R18" s="471"/>
      <c r="S18" s="471"/>
      <c r="T18" s="471"/>
      <c r="U18" s="471"/>
      <c r="V18" s="471"/>
      <c r="W18" s="471"/>
      <c r="X18" s="471"/>
      <c r="Y18" s="471"/>
      <c r="Z18" s="471"/>
      <c r="AA18" s="471"/>
      <c r="AB18" s="471"/>
      <c r="AC18" s="471"/>
      <c r="AD18" s="471"/>
      <c r="AE18" s="471"/>
      <c r="AF18" s="471"/>
    </row>
    <row r="19" spans="2:32">
      <c r="B19" s="477">
        <v>3</v>
      </c>
      <c r="C19" s="1490" t="s">
        <v>225</v>
      </c>
      <c r="D19" s="1490"/>
      <c r="E19" s="477"/>
      <c r="F19" s="477"/>
      <c r="G19" s="646">
        <f>VLOOKUP($AI$4,REKAP!$A:$BS,12)</f>
        <v>85</v>
      </c>
      <c r="H19" s="646" t="str">
        <f>VLOOKUP($AI$4,REKAP!$A:$BS,13)</f>
        <v>B</v>
      </c>
      <c r="I19" s="471"/>
      <c r="J19" s="471"/>
      <c r="K19" s="471"/>
      <c r="L19" s="471"/>
      <c r="M19" s="471"/>
      <c r="N19" s="471"/>
      <c r="O19" s="471"/>
      <c r="P19" s="471"/>
      <c r="Q19" s="471"/>
      <c r="R19" s="471"/>
      <c r="S19" s="471"/>
      <c r="T19" s="471"/>
      <c r="U19" s="471"/>
      <c r="V19" s="471"/>
      <c r="W19" s="471"/>
      <c r="X19" s="471"/>
      <c r="Y19" s="471"/>
      <c r="Z19" s="471"/>
      <c r="AA19" s="471"/>
      <c r="AB19" s="471"/>
      <c r="AC19" s="471"/>
      <c r="AD19" s="471"/>
      <c r="AE19" s="471"/>
      <c r="AF19" s="471"/>
    </row>
    <row r="20" spans="2:32">
      <c r="B20" s="477">
        <v>4</v>
      </c>
      <c r="C20" s="1490" t="s">
        <v>226</v>
      </c>
      <c r="D20" s="1490"/>
      <c r="E20" s="477"/>
      <c r="F20" s="477"/>
      <c r="G20" s="646">
        <f>VLOOKUP($AI$4,REKAP!$A:$BS,15)</f>
        <v>79</v>
      </c>
      <c r="H20" s="646" t="str">
        <f>VLOOKUP($AI$4,REKAP!$A:$BS,16)</f>
        <v>C</v>
      </c>
      <c r="I20" s="471"/>
      <c r="J20" s="471"/>
      <c r="K20" s="471"/>
      <c r="L20" s="471"/>
      <c r="M20" s="471"/>
      <c r="N20" s="471"/>
      <c r="O20" s="471"/>
      <c r="P20" s="471"/>
      <c r="Q20" s="471"/>
      <c r="R20" s="471"/>
      <c r="S20" s="471"/>
      <c r="T20" s="471"/>
      <c r="U20" s="471"/>
      <c r="V20" s="471"/>
      <c r="W20" s="471"/>
      <c r="X20" s="471"/>
      <c r="Y20" s="471"/>
      <c r="Z20" s="471"/>
      <c r="AA20" s="471"/>
      <c r="AB20" s="471"/>
      <c r="AC20" s="471"/>
      <c r="AD20" s="471"/>
      <c r="AE20" s="471"/>
      <c r="AF20" s="471"/>
    </row>
    <row r="21" spans="2:32">
      <c r="B21" s="477">
        <v>5</v>
      </c>
      <c r="C21" s="1490" t="s">
        <v>639</v>
      </c>
      <c r="D21" s="1490"/>
      <c r="E21" s="477"/>
      <c r="F21" s="477"/>
      <c r="G21" s="646">
        <f>VLOOKUP($AI$4,REKAP!$A:$BS,18)</f>
        <v>93</v>
      </c>
      <c r="H21" s="646" t="str">
        <f>VLOOKUP($AI$4,REKAP!$A:$BS,19)</f>
        <v>A</v>
      </c>
      <c r="I21" s="471"/>
      <c r="J21" s="471"/>
      <c r="K21" s="471"/>
      <c r="L21" s="471"/>
      <c r="M21" s="471"/>
      <c r="N21" s="471"/>
      <c r="O21" s="471"/>
      <c r="P21" s="471"/>
      <c r="Q21" s="471"/>
      <c r="R21" s="471"/>
      <c r="S21" s="471"/>
      <c r="T21" s="471"/>
      <c r="U21" s="471"/>
      <c r="V21" s="471"/>
      <c r="W21" s="471"/>
      <c r="X21" s="471"/>
      <c r="Y21" s="471"/>
      <c r="Z21" s="471"/>
      <c r="AA21" s="471"/>
      <c r="AB21" s="471"/>
      <c r="AC21" s="471"/>
      <c r="AD21" s="471"/>
      <c r="AE21" s="471"/>
      <c r="AF21" s="471"/>
    </row>
    <row r="22" spans="2:32">
      <c r="B22" s="477">
        <v>6</v>
      </c>
      <c r="C22" s="1490" t="s">
        <v>640</v>
      </c>
      <c r="D22" s="1490"/>
      <c r="E22" s="477"/>
      <c r="F22" s="477"/>
      <c r="G22" s="646">
        <f>VLOOKUP($AI$4,REKAP!$A:$BS,21)</f>
        <v>88</v>
      </c>
      <c r="H22" s="646" t="str">
        <f>VLOOKUP($AI$4,REKAP!$A:$BS,22)</f>
        <v>B</v>
      </c>
      <c r="I22" s="471"/>
      <c r="J22" s="471"/>
      <c r="K22" s="471"/>
      <c r="L22" s="471"/>
      <c r="M22" s="471"/>
      <c r="N22" s="471"/>
      <c r="O22" s="471"/>
      <c r="P22" s="471"/>
      <c r="Q22" s="471"/>
      <c r="R22" s="471"/>
      <c r="S22" s="471"/>
      <c r="T22" s="471"/>
      <c r="U22" s="471"/>
      <c r="V22" s="471"/>
      <c r="W22" s="471"/>
      <c r="X22" s="471"/>
      <c r="Y22" s="471"/>
      <c r="Z22" s="471"/>
      <c r="AA22" s="471"/>
      <c r="AB22" s="471"/>
      <c r="AC22" s="471"/>
      <c r="AD22" s="471"/>
      <c r="AE22" s="471"/>
      <c r="AF22" s="471"/>
    </row>
    <row r="23" spans="2:32">
      <c r="B23" s="477">
        <v>7</v>
      </c>
      <c r="C23" s="1490" t="s">
        <v>641</v>
      </c>
      <c r="D23" s="1490"/>
      <c r="E23" s="477"/>
      <c r="F23" s="477"/>
      <c r="G23" s="646">
        <f>VLOOKUP($AI$4,REKAP!$A:$BS,24)</f>
        <v>95</v>
      </c>
      <c r="H23" s="646" t="str">
        <f>VLOOKUP($AI$4,REKAP!$A:$BS,25)</f>
        <v>A</v>
      </c>
      <c r="I23" s="471"/>
      <c r="J23" s="471"/>
      <c r="K23" s="471"/>
      <c r="L23" s="471"/>
      <c r="M23" s="471"/>
      <c r="N23" s="471"/>
      <c r="O23" s="471"/>
      <c r="P23" s="471"/>
      <c r="Q23" s="471"/>
      <c r="R23" s="471"/>
      <c r="S23" s="471"/>
      <c r="T23" s="471"/>
      <c r="U23" s="471"/>
      <c r="V23" s="471"/>
      <c r="W23" s="471"/>
      <c r="X23" s="471"/>
      <c r="Y23" s="471"/>
      <c r="Z23" s="471"/>
      <c r="AA23" s="471"/>
      <c r="AB23" s="471"/>
      <c r="AC23" s="471"/>
      <c r="AD23" s="471"/>
      <c r="AE23" s="471"/>
      <c r="AF23" s="471"/>
    </row>
    <row r="24" spans="2:32" ht="30" customHeight="1">
      <c r="B24" s="477">
        <v>8</v>
      </c>
      <c r="C24" s="1490" t="s">
        <v>642</v>
      </c>
      <c r="D24" s="1490"/>
      <c r="E24" s="477"/>
      <c r="F24" s="477"/>
      <c r="G24" s="646">
        <f>VLOOKUP($AI$4,REKAP!$A:$BS,27)</f>
        <v>86</v>
      </c>
      <c r="H24" s="646" t="str">
        <f>VLOOKUP($AI$4,REKAP!$A:$BS,28)</f>
        <v>B</v>
      </c>
      <c r="I24" s="471"/>
      <c r="J24" s="471"/>
      <c r="K24" s="471"/>
      <c r="L24" s="471"/>
      <c r="M24" s="471"/>
      <c r="N24" s="471"/>
      <c r="O24" s="471"/>
      <c r="P24" s="471"/>
      <c r="Q24" s="471"/>
      <c r="R24" s="471"/>
      <c r="S24" s="471"/>
      <c r="T24" s="471"/>
      <c r="U24" s="471"/>
      <c r="V24" s="471"/>
      <c r="W24" s="471"/>
      <c r="X24" s="471"/>
      <c r="Y24" s="471"/>
      <c r="Z24" s="471"/>
      <c r="AA24" s="471"/>
      <c r="AB24" s="471"/>
      <c r="AC24" s="471"/>
      <c r="AD24" s="471"/>
      <c r="AE24" s="471"/>
      <c r="AF24" s="471"/>
    </row>
    <row r="25" spans="2:32">
      <c r="B25" s="477">
        <v>9</v>
      </c>
      <c r="C25" s="1490" t="s">
        <v>227</v>
      </c>
      <c r="D25" s="1490"/>
      <c r="E25" s="471"/>
      <c r="F25" s="471"/>
      <c r="G25" s="471"/>
      <c r="H25" s="471"/>
      <c r="I25" s="471"/>
      <c r="J25" s="471"/>
      <c r="K25" s="471"/>
      <c r="L25" s="471"/>
      <c r="M25" s="471"/>
      <c r="N25" s="471"/>
      <c r="O25" s="471"/>
      <c r="P25" s="471"/>
      <c r="Q25" s="471"/>
      <c r="R25" s="471"/>
      <c r="S25" s="471"/>
      <c r="T25" s="471"/>
      <c r="U25" s="471"/>
      <c r="V25" s="471"/>
      <c r="W25" s="471"/>
      <c r="X25" s="471"/>
      <c r="Y25" s="471"/>
      <c r="Z25" s="471"/>
      <c r="AA25" s="471"/>
      <c r="AB25" s="471"/>
      <c r="AC25" s="471"/>
      <c r="AD25" s="471"/>
      <c r="AE25" s="471"/>
      <c r="AF25" s="471"/>
    </row>
    <row r="26" spans="2:32">
      <c r="B26" s="471"/>
      <c r="C26" s="1491" t="str">
        <f>KKM!$X$7</f>
        <v>Bahasa Jawa</v>
      </c>
      <c r="D26" s="1492"/>
      <c r="E26" s="477"/>
      <c r="F26" s="477"/>
      <c r="G26" s="646">
        <f>VLOOKUP($AI$4,REKAP!$A:$BS,30)</f>
        <v>80</v>
      </c>
      <c r="H26" s="646" t="str">
        <f>VLOOKUP($AI$4,REKAP!$A:$BS,31)</f>
        <v>C</v>
      </c>
      <c r="I26" s="471"/>
      <c r="J26" s="471"/>
      <c r="K26" s="471"/>
      <c r="L26" s="471"/>
      <c r="M26" s="471"/>
      <c r="N26" s="471"/>
      <c r="O26" s="471"/>
      <c r="P26" s="471"/>
      <c r="Q26" s="471"/>
      <c r="R26" s="471"/>
      <c r="S26" s="471"/>
      <c r="T26" s="471"/>
      <c r="U26" s="471"/>
      <c r="V26" s="471"/>
      <c r="W26" s="471"/>
      <c r="X26" s="471"/>
      <c r="Y26" s="471"/>
      <c r="Z26" s="471"/>
      <c r="AA26" s="471"/>
      <c r="AB26" s="471"/>
      <c r="AC26" s="471"/>
      <c r="AD26" s="471"/>
      <c r="AE26" s="471"/>
      <c r="AF26" s="471"/>
    </row>
    <row r="27" spans="2:32">
      <c r="B27" s="471"/>
      <c r="C27" s="1491" t="str">
        <f>KKM!$X$8</f>
        <v>Bahasa Inggris</v>
      </c>
      <c r="D27" s="1492"/>
      <c r="E27" s="477"/>
      <c r="F27" s="477"/>
      <c r="G27" s="646">
        <f>VLOOKUP($AI$4,REKAP!$A:$BS,33)</f>
        <v>81</v>
      </c>
      <c r="H27" s="646" t="str">
        <f>VLOOKUP($AI$4,REKAP!$A:$BS,34)</f>
        <v>B</v>
      </c>
      <c r="I27" s="471"/>
      <c r="J27" s="471"/>
      <c r="K27" s="471"/>
      <c r="L27" s="471"/>
      <c r="M27" s="471"/>
      <c r="N27" s="471"/>
      <c r="O27" s="471"/>
      <c r="P27" s="471"/>
      <c r="Q27" s="471"/>
      <c r="R27" s="471"/>
      <c r="S27" s="471"/>
      <c r="T27" s="471"/>
      <c r="U27" s="471"/>
      <c r="V27" s="471"/>
      <c r="W27" s="471"/>
      <c r="X27" s="471"/>
      <c r="Y27" s="471"/>
      <c r="Z27" s="471"/>
      <c r="AA27" s="471"/>
      <c r="AB27" s="471"/>
      <c r="AC27" s="471"/>
      <c r="AD27" s="471"/>
      <c r="AE27" s="471"/>
      <c r="AF27" s="471"/>
    </row>
    <row r="28" spans="2:32">
      <c r="B28" s="471"/>
      <c r="C28" s="1491" t="str">
        <f>KKM!$X$9</f>
        <v>TIK</v>
      </c>
      <c r="D28" s="1492"/>
      <c r="E28" s="477"/>
      <c r="F28" s="477"/>
      <c r="G28" s="646">
        <f>VLOOKUP($AI$4,REKAP!$A:$BS,36)</f>
        <v>72</v>
      </c>
      <c r="H28" s="646" t="str">
        <f>VLOOKUP($AI$4,REKAP!$A:$BS,37)</f>
        <v>C</v>
      </c>
      <c r="I28" s="471"/>
      <c r="J28" s="471"/>
      <c r="K28" s="471"/>
      <c r="L28" s="471"/>
      <c r="M28" s="471"/>
      <c r="N28" s="471"/>
      <c r="O28" s="471"/>
      <c r="P28" s="471"/>
      <c r="Q28" s="471"/>
      <c r="R28" s="471"/>
      <c r="S28" s="471"/>
      <c r="T28" s="471"/>
      <c r="U28" s="471"/>
      <c r="V28" s="471"/>
      <c r="W28" s="471"/>
      <c r="X28" s="471"/>
      <c r="Y28" s="471"/>
      <c r="Z28" s="471"/>
      <c r="AA28" s="471"/>
      <c r="AB28" s="471"/>
      <c r="AC28" s="471"/>
      <c r="AD28" s="471"/>
      <c r="AE28" s="471"/>
      <c r="AF28" s="471"/>
    </row>
    <row r="31" spans="2:32">
      <c r="B31" s="474" t="s">
        <v>643</v>
      </c>
      <c r="C31" s="474"/>
    </row>
    <row r="32" spans="2:32" ht="15.75">
      <c r="B32" s="1489" t="s">
        <v>629</v>
      </c>
      <c r="C32" s="1489"/>
      <c r="D32" s="1489"/>
      <c r="E32" s="1462" t="str">
        <f>DEPAN!$E$14</f>
        <v>4 (Empat)</v>
      </c>
      <c r="F32" s="1463"/>
      <c r="G32" s="1463"/>
      <c r="H32" s="1464"/>
      <c r="I32" s="1409"/>
      <c r="J32" s="1409"/>
      <c r="K32" s="1409"/>
      <c r="L32" s="1409"/>
      <c r="M32" s="1409"/>
      <c r="N32" s="1409"/>
      <c r="O32" s="1409"/>
      <c r="P32" s="1409"/>
      <c r="Q32" s="1409"/>
      <c r="R32" s="1409"/>
      <c r="S32" s="1409"/>
      <c r="T32" s="1409"/>
      <c r="U32" s="1409"/>
      <c r="V32" s="1409"/>
      <c r="W32" s="1409"/>
      <c r="X32" s="1409"/>
      <c r="Y32" s="1409"/>
      <c r="Z32" s="1409"/>
      <c r="AA32" s="1409"/>
      <c r="AB32" s="1409"/>
      <c r="AC32" s="1409"/>
      <c r="AD32" s="1409"/>
      <c r="AE32" s="1409"/>
      <c r="AF32" s="1409"/>
    </row>
    <row r="33" spans="2:32" ht="15.75">
      <c r="B33" s="1489" t="s">
        <v>590</v>
      </c>
      <c r="C33" s="1489"/>
      <c r="D33" s="1489"/>
      <c r="E33" s="1409" t="str">
        <f>DEPAN!$E$15</f>
        <v>2018/2019</v>
      </c>
      <c r="F33" s="1409"/>
      <c r="G33" s="1409"/>
      <c r="H33" s="1409"/>
      <c r="I33" s="1409"/>
      <c r="J33" s="1409"/>
      <c r="K33" s="1409"/>
      <c r="L33" s="1409"/>
      <c r="M33" s="1409"/>
      <c r="N33" s="1409"/>
      <c r="O33" s="1409"/>
      <c r="P33" s="1409"/>
      <c r="Q33" s="1409"/>
      <c r="R33" s="1409"/>
      <c r="S33" s="1409"/>
      <c r="T33" s="1409"/>
      <c r="U33" s="1409"/>
      <c r="V33" s="1409"/>
      <c r="W33" s="1409"/>
      <c r="X33" s="1409"/>
      <c r="Y33" s="1409"/>
      <c r="Z33" s="1409"/>
      <c r="AA33" s="1409"/>
      <c r="AB33" s="1409"/>
      <c r="AC33" s="1409"/>
      <c r="AD33" s="1409"/>
      <c r="AE33" s="1409"/>
      <c r="AF33" s="1409"/>
    </row>
    <row r="34" spans="2:32" ht="15.75">
      <c r="B34" s="1489" t="s">
        <v>13</v>
      </c>
      <c r="C34" s="1489"/>
      <c r="D34" s="1489"/>
      <c r="E34" s="1462" t="s">
        <v>632</v>
      </c>
      <c r="F34" s="1464"/>
      <c r="G34" s="1462" t="s">
        <v>633</v>
      </c>
      <c r="H34" s="1464"/>
      <c r="I34" s="1462" t="s">
        <v>632</v>
      </c>
      <c r="J34" s="1464"/>
      <c r="K34" s="1462" t="s">
        <v>633</v>
      </c>
      <c r="L34" s="1464"/>
      <c r="M34" s="1462" t="s">
        <v>632</v>
      </c>
      <c r="N34" s="1464"/>
      <c r="O34" s="1462" t="s">
        <v>633</v>
      </c>
      <c r="P34" s="1464"/>
      <c r="Q34" s="1462" t="s">
        <v>632</v>
      </c>
      <c r="R34" s="1464"/>
      <c r="S34" s="1462" t="s">
        <v>633</v>
      </c>
      <c r="T34" s="1464"/>
      <c r="U34" s="1462" t="s">
        <v>632</v>
      </c>
      <c r="V34" s="1464"/>
      <c r="W34" s="1462" t="s">
        <v>633</v>
      </c>
      <c r="X34" s="1464"/>
      <c r="Y34" s="1462" t="s">
        <v>632</v>
      </c>
      <c r="Z34" s="1464"/>
      <c r="AA34" s="1462" t="s">
        <v>633</v>
      </c>
      <c r="AB34" s="1464"/>
      <c r="AC34" s="1462" t="s">
        <v>632</v>
      </c>
      <c r="AD34" s="1464"/>
      <c r="AE34" s="1462" t="s">
        <v>633</v>
      </c>
      <c r="AF34" s="1464"/>
    </row>
    <row r="35" spans="2:32" ht="15.75">
      <c r="B35" s="1489" t="s">
        <v>263</v>
      </c>
      <c r="C35" s="1489"/>
      <c r="D35" s="1489"/>
      <c r="E35" s="471"/>
      <c r="F35" s="471"/>
      <c r="G35" s="471"/>
      <c r="H35" s="471"/>
      <c r="I35" s="471"/>
      <c r="J35" s="471"/>
      <c r="K35" s="471"/>
      <c r="L35" s="471"/>
      <c r="M35" s="471"/>
      <c r="N35" s="471"/>
      <c r="O35" s="471"/>
      <c r="P35" s="471"/>
      <c r="Q35" s="471"/>
      <c r="R35" s="471"/>
      <c r="S35" s="471"/>
      <c r="T35" s="471"/>
      <c r="U35" s="471"/>
      <c r="V35" s="471"/>
      <c r="W35" s="471"/>
      <c r="X35" s="471"/>
      <c r="Y35" s="471"/>
      <c r="Z35" s="471"/>
      <c r="AA35" s="471"/>
      <c r="AB35" s="471"/>
      <c r="AC35" s="471"/>
      <c r="AD35" s="471"/>
      <c r="AE35" s="471"/>
      <c r="AF35" s="471"/>
    </row>
    <row r="36" spans="2:32" ht="15.75">
      <c r="B36" s="1489" t="s">
        <v>634</v>
      </c>
      <c r="C36" s="1489"/>
      <c r="D36" s="1489"/>
      <c r="E36" s="477" t="s">
        <v>635</v>
      </c>
      <c r="F36" s="477" t="s">
        <v>636</v>
      </c>
      <c r="G36" s="477" t="s">
        <v>635</v>
      </c>
      <c r="H36" s="477" t="s">
        <v>636</v>
      </c>
      <c r="I36" s="477" t="s">
        <v>635</v>
      </c>
      <c r="J36" s="477" t="s">
        <v>636</v>
      </c>
      <c r="K36" s="477" t="s">
        <v>635</v>
      </c>
      <c r="L36" s="477" t="s">
        <v>636</v>
      </c>
      <c r="M36" s="477" t="s">
        <v>635</v>
      </c>
      <c r="N36" s="477" t="s">
        <v>636</v>
      </c>
      <c r="O36" s="477" t="s">
        <v>635</v>
      </c>
      <c r="P36" s="477" t="s">
        <v>636</v>
      </c>
      <c r="Q36" s="477" t="s">
        <v>635</v>
      </c>
      <c r="R36" s="477" t="s">
        <v>636</v>
      </c>
      <c r="S36" s="477" t="s">
        <v>635</v>
      </c>
      <c r="T36" s="477" t="s">
        <v>636</v>
      </c>
      <c r="U36" s="477" t="s">
        <v>635</v>
      </c>
      <c r="V36" s="477" t="s">
        <v>636</v>
      </c>
      <c r="W36" s="477" t="s">
        <v>635</v>
      </c>
      <c r="X36" s="477" t="s">
        <v>636</v>
      </c>
      <c r="Y36" s="477" t="s">
        <v>635</v>
      </c>
      <c r="Z36" s="477" t="s">
        <v>636</v>
      </c>
      <c r="AA36" s="477" t="s">
        <v>635</v>
      </c>
      <c r="AB36" s="477" t="s">
        <v>636</v>
      </c>
      <c r="AC36" s="477" t="s">
        <v>635</v>
      </c>
      <c r="AD36" s="477" t="s">
        <v>636</v>
      </c>
      <c r="AE36" s="477" t="s">
        <v>635</v>
      </c>
      <c r="AF36" s="477" t="s">
        <v>636</v>
      </c>
    </row>
    <row r="37" spans="2:32" ht="30" customHeight="1">
      <c r="B37" s="477">
        <v>1</v>
      </c>
      <c r="C37" s="1490" t="s">
        <v>637</v>
      </c>
      <c r="D37" s="1490"/>
      <c r="E37" s="477"/>
      <c r="F37" s="477"/>
      <c r="G37" s="646">
        <f>VLOOKUP($AI$4,REKAP!$A:$BS,39)</f>
        <v>88</v>
      </c>
      <c r="H37" s="646" t="str">
        <f>VLOOKUP($AI$4,REKAP!$A:$BS,40)</f>
        <v>B</v>
      </c>
      <c r="I37" s="471"/>
      <c r="J37" s="471"/>
      <c r="K37" s="471"/>
      <c r="L37" s="471"/>
      <c r="M37" s="471"/>
      <c r="N37" s="471"/>
      <c r="O37" s="471"/>
      <c r="P37" s="471"/>
      <c r="Q37" s="471"/>
      <c r="R37" s="471"/>
      <c r="S37" s="471"/>
      <c r="T37" s="471"/>
      <c r="U37" s="471"/>
      <c r="V37" s="471"/>
      <c r="W37" s="471"/>
      <c r="X37" s="471"/>
      <c r="Y37" s="471"/>
      <c r="Z37" s="471"/>
      <c r="AA37" s="471"/>
      <c r="AB37" s="471"/>
      <c r="AC37" s="471"/>
      <c r="AD37" s="471"/>
      <c r="AE37" s="471"/>
      <c r="AF37" s="471"/>
    </row>
    <row r="38" spans="2:32">
      <c r="B38" s="477">
        <v>2</v>
      </c>
      <c r="C38" s="1490" t="s">
        <v>638</v>
      </c>
      <c r="D38" s="1490"/>
      <c r="E38" s="477"/>
      <c r="F38" s="477"/>
      <c r="G38" s="646">
        <f>VLOOKUP($AI$4,REKAP!$A:$BS,42)</f>
        <v>84</v>
      </c>
      <c r="H38" s="646" t="str">
        <f>VLOOKUP($AI$4,REKAP!$A:$BS,43)</f>
        <v>B</v>
      </c>
      <c r="I38" s="471"/>
      <c r="J38" s="471"/>
      <c r="K38" s="471"/>
      <c r="L38" s="471"/>
      <c r="M38" s="471"/>
      <c r="N38" s="471"/>
      <c r="O38" s="471"/>
      <c r="P38" s="471"/>
      <c r="Q38" s="471"/>
      <c r="R38" s="471"/>
      <c r="S38" s="471"/>
      <c r="T38" s="471"/>
      <c r="U38" s="471"/>
      <c r="V38" s="471"/>
      <c r="W38" s="471"/>
      <c r="X38" s="471"/>
      <c r="Y38" s="471"/>
      <c r="Z38" s="471"/>
      <c r="AA38" s="471"/>
      <c r="AB38" s="471"/>
      <c r="AC38" s="471"/>
      <c r="AD38" s="471"/>
      <c r="AE38" s="471"/>
      <c r="AF38" s="471"/>
    </row>
    <row r="39" spans="2:32">
      <c r="B39" s="477">
        <v>3</v>
      </c>
      <c r="C39" s="1490" t="s">
        <v>225</v>
      </c>
      <c r="D39" s="1490"/>
      <c r="E39" s="477"/>
      <c r="F39" s="477"/>
      <c r="G39" s="646">
        <f>VLOOKUP($AI$4,REKAP!$A:$BS,45)</f>
        <v>87</v>
      </c>
      <c r="H39" s="646" t="str">
        <f>VLOOKUP($AI$4,REKAP!$A:$BS,46)</f>
        <v>B</v>
      </c>
      <c r="I39" s="471"/>
      <c r="J39" s="471"/>
      <c r="K39" s="471"/>
      <c r="L39" s="471"/>
      <c r="M39" s="471"/>
      <c r="N39" s="471"/>
      <c r="O39" s="471"/>
      <c r="P39" s="471"/>
      <c r="Q39" s="471"/>
      <c r="R39" s="471"/>
      <c r="S39" s="471"/>
      <c r="T39" s="471"/>
      <c r="U39" s="471"/>
      <c r="V39" s="471"/>
      <c r="W39" s="471"/>
      <c r="X39" s="471"/>
      <c r="Y39" s="471"/>
      <c r="Z39" s="471"/>
      <c r="AA39" s="471"/>
      <c r="AB39" s="471"/>
      <c r="AC39" s="471"/>
      <c r="AD39" s="471"/>
      <c r="AE39" s="471"/>
      <c r="AF39" s="471"/>
    </row>
    <row r="40" spans="2:32">
      <c r="B40" s="477">
        <v>4</v>
      </c>
      <c r="C40" s="1490" t="s">
        <v>226</v>
      </c>
      <c r="D40" s="1490"/>
      <c r="E40" s="477"/>
      <c r="F40" s="477"/>
      <c r="G40" s="646">
        <f>VLOOKUP($AI$4,REKAP!$A:$BS,48)</f>
        <v>85</v>
      </c>
      <c r="H40" s="646" t="str">
        <f>VLOOKUP($AI$4,REKAP!$A:$BS,49)</f>
        <v>B</v>
      </c>
      <c r="I40" s="471"/>
      <c r="J40" s="471"/>
      <c r="K40" s="471"/>
      <c r="L40" s="471"/>
      <c r="M40" s="471"/>
      <c r="N40" s="471"/>
      <c r="O40" s="471"/>
      <c r="P40" s="471"/>
      <c r="Q40" s="471"/>
      <c r="R40" s="471"/>
      <c r="S40" s="471"/>
      <c r="T40" s="471"/>
      <c r="U40" s="471"/>
      <c r="V40" s="471"/>
      <c r="W40" s="471"/>
      <c r="X40" s="471"/>
      <c r="Y40" s="471"/>
      <c r="Z40" s="471"/>
      <c r="AA40" s="471"/>
      <c r="AB40" s="471"/>
      <c r="AC40" s="471"/>
      <c r="AD40" s="471"/>
      <c r="AE40" s="471"/>
      <c r="AF40" s="471"/>
    </row>
    <row r="41" spans="2:32">
      <c r="B41" s="477">
        <v>5</v>
      </c>
      <c r="C41" s="1490" t="s">
        <v>639</v>
      </c>
      <c r="D41" s="1490"/>
      <c r="E41" s="477"/>
      <c r="F41" s="477"/>
      <c r="G41" s="646">
        <f>VLOOKUP($AI$4,REKAP!$A:$BS,51)</f>
        <v>87</v>
      </c>
      <c r="H41" s="646" t="str">
        <f>VLOOKUP($AI$4,REKAP!$A:$BS,52)</f>
        <v>B</v>
      </c>
      <c r="I41" s="471"/>
      <c r="J41" s="471"/>
      <c r="K41" s="471"/>
      <c r="L41" s="471"/>
      <c r="M41" s="471"/>
      <c r="N41" s="471"/>
      <c r="O41" s="471"/>
      <c r="P41" s="471"/>
      <c r="Q41" s="471"/>
      <c r="R41" s="471"/>
      <c r="S41" s="471"/>
      <c r="T41" s="471"/>
      <c r="U41" s="471"/>
      <c r="V41" s="471"/>
      <c r="W41" s="471"/>
      <c r="X41" s="471"/>
      <c r="Y41" s="471"/>
      <c r="Z41" s="471"/>
      <c r="AA41" s="471"/>
      <c r="AB41" s="471"/>
      <c r="AC41" s="471"/>
      <c r="AD41" s="471"/>
      <c r="AE41" s="471"/>
      <c r="AF41" s="471"/>
    </row>
    <row r="42" spans="2:32">
      <c r="B42" s="477">
        <v>6</v>
      </c>
      <c r="C42" s="1490" t="s">
        <v>640</v>
      </c>
      <c r="D42" s="1490"/>
      <c r="E42" s="477"/>
      <c r="F42" s="477"/>
      <c r="G42" s="646">
        <f>VLOOKUP($AI$4,REKAP!$A:$BS,54)</f>
        <v>89</v>
      </c>
      <c r="H42" s="646" t="str">
        <f>VLOOKUP($AI$4,REKAP!$A:$BS,55)</f>
        <v>B</v>
      </c>
      <c r="I42" s="471"/>
      <c r="J42" s="471"/>
      <c r="K42" s="471"/>
      <c r="L42" s="471"/>
      <c r="M42" s="471"/>
      <c r="N42" s="471"/>
      <c r="O42" s="471"/>
      <c r="P42" s="471"/>
      <c r="Q42" s="471"/>
      <c r="R42" s="471"/>
      <c r="S42" s="471"/>
      <c r="T42" s="471"/>
      <c r="U42" s="471"/>
      <c r="V42" s="471"/>
      <c r="W42" s="471"/>
      <c r="X42" s="471"/>
      <c r="Y42" s="471"/>
      <c r="Z42" s="471"/>
      <c r="AA42" s="471"/>
      <c r="AB42" s="471"/>
      <c r="AC42" s="471"/>
      <c r="AD42" s="471"/>
      <c r="AE42" s="471"/>
      <c r="AF42" s="471"/>
    </row>
    <row r="43" spans="2:32">
      <c r="B43" s="477">
        <v>7</v>
      </c>
      <c r="C43" s="1490" t="s">
        <v>641</v>
      </c>
      <c r="D43" s="1490"/>
      <c r="E43" s="477"/>
      <c r="F43" s="477"/>
      <c r="G43" s="646">
        <f>VLOOKUP($AI$4,REKAP!$A:$BS,57)</f>
        <v>83</v>
      </c>
      <c r="H43" s="646" t="str">
        <f>VLOOKUP($AI$4,REKAP!$A:$BS,58)</f>
        <v>B</v>
      </c>
      <c r="I43" s="471"/>
      <c r="J43" s="471"/>
      <c r="K43" s="471"/>
      <c r="L43" s="471"/>
      <c r="M43" s="471"/>
      <c r="N43" s="471"/>
      <c r="O43" s="471"/>
      <c r="P43" s="471"/>
      <c r="Q43" s="471"/>
      <c r="R43" s="471"/>
      <c r="S43" s="471"/>
      <c r="T43" s="471"/>
      <c r="U43" s="471"/>
      <c r="V43" s="471"/>
      <c r="W43" s="471"/>
      <c r="X43" s="471"/>
      <c r="Y43" s="471"/>
      <c r="Z43" s="471"/>
      <c r="AA43" s="471"/>
      <c r="AB43" s="471"/>
      <c r="AC43" s="471"/>
      <c r="AD43" s="471"/>
      <c r="AE43" s="471"/>
      <c r="AF43" s="471"/>
    </row>
    <row r="44" spans="2:32" ht="32.25" customHeight="1">
      <c r="B44" s="477">
        <v>8</v>
      </c>
      <c r="C44" s="1490" t="s">
        <v>642</v>
      </c>
      <c r="D44" s="1490"/>
      <c r="E44" s="477"/>
      <c r="F44" s="477"/>
      <c r="G44" s="646">
        <f>VLOOKUP($AI$4,REKAP!$A:$BS,60)</f>
        <v>87</v>
      </c>
      <c r="H44" s="646" t="str">
        <f>VLOOKUP($AI$4,REKAP!$A:$BS,61)</f>
        <v>B</v>
      </c>
      <c r="I44" s="471"/>
      <c r="J44" s="471"/>
      <c r="K44" s="471"/>
      <c r="L44" s="471"/>
      <c r="M44" s="471"/>
      <c r="N44" s="471"/>
      <c r="O44" s="471"/>
      <c r="P44" s="471"/>
      <c r="Q44" s="471"/>
      <c r="R44" s="471"/>
      <c r="S44" s="471"/>
      <c r="T44" s="471"/>
      <c r="U44" s="471"/>
      <c r="V44" s="471"/>
      <c r="W44" s="471"/>
      <c r="X44" s="471"/>
      <c r="Y44" s="471"/>
      <c r="Z44" s="471"/>
      <c r="AA44" s="471"/>
      <c r="AB44" s="471"/>
      <c r="AC44" s="471"/>
      <c r="AD44" s="471"/>
      <c r="AE44" s="471"/>
      <c r="AF44" s="471"/>
    </row>
    <row r="45" spans="2:32">
      <c r="B45" s="477">
        <v>9</v>
      </c>
      <c r="C45" s="1490" t="s">
        <v>227</v>
      </c>
      <c r="D45" s="1490"/>
      <c r="E45" s="471"/>
      <c r="F45" s="471"/>
      <c r="G45" s="471"/>
      <c r="H45" s="471"/>
      <c r="I45" s="471"/>
      <c r="J45" s="471"/>
      <c r="K45" s="471"/>
      <c r="L45" s="471"/>
      <c r="M45" s="471"/>
      <c r="N45" s="471"/>
      <c r="O45" s="471"/>
      <c r="P45" s="471"/>
      <c r="Q45" s="471"/>
      <c r="R45" s="471"/>
      <c r="S45" s="471"/>
      <c r="T45" s="471"/>
      <c r="U45" s="471"/>
      <c r="V45" s="471"/>
      <c r="W45" s="471"/>
      <c r="X45" s="471"/>
      <c r="Y45" s="471"/>
      <c r="Z45" s="471"/>
      <c r="AA45" s="471"/>
      <c r="AB45" s="471"/>
      <c r="AC45" s="471"/>
      <c r="AD45" s="471"/>
      <c r="AE45" s="471"/>
      <c r="AF45" s="471"/>
    </row>
    <row r="46" spans="2:32">
      <c r="B46" s="471"/>
      <c r="C46" s="1491" t="str">
        <f>KKM!$X$7</f>
        <v>Bahasa Jawa</v>
      </c>
      <c r="D46" s="1492"/>
      <c r="E46" s="477"/>
      <c r="F46" s="477"/>
      <c r="G46" s="646">
        <f>VLOOKUP($AI$4,REKAP!$A:$BS,63)</f>
        <v>84</v>
      </c>
      <c r="H46" s="646" t="str">
        <f>VLOOKUP($AI$4,REKAP!$A:$BS,64)</f>
        <v>B</v>
      </c>
      <c r="I46" s="471"/>
      <c r="J46" s="471"/>
      <c r="K46" s="471"/>
      <c r="L46" s="471"/>
      <c r="M46" s="471"/>
      <c r="N46" s="471"/>
      <c r="O46" s="471"/>
      <c r="P46" s="471"/>
      <c r="Q46" s="471"/>
      <c r="R46" s="471"/>
      <c r="S46" s="471"/>
      <c r="T46" s="471"/>
      <c r="U46" s="471"/>
      <c r="V46" s="471"/>
      <c r="W46" s="471"/>
      <c r="X46" s="471"/>
      <c r="Y46" s="471"/>
      <c r="Z46" s="471"/>
      <c r="AA46" s="471"/>
      <c r="AB46" s="471"/>
      <c r="AC46" s="471"/>
      <c r="AD46" s="471"/>
      <c r="AE46" s="471"/>
      <c r="AF46" s="471"/>
    </row>
    <row r="47" spans="2:32">
      <c r="B47" s="471"/>
      <c r="C47" s="1491" t="str">
        <f>KKM!$X$8</f>
        <v>Bahasa Inggris</v>
      </c>
      <c r="D47" s="1492"/>
      <c r="E47" s="477"/>
      <c r="F47" s="477"/>
      <c r="G47" s="646">
        <f>VLOOKUP($AI$4,REKAP!$A:$BS,66)</f>
        <v>83</v>
      </c>
      <c r="H47" s="646" t="str">
        <f>VLOOKUP($AI$4,REKAP!$A:$BS,67)</f>
        <v>B</v>
      </c>
      <c r="I47" s="471"/>
      <c r="J47" s="471"/>
      <c r="K47" s="471"/>
      <c r="L47" s="471"/>
      <c r="M47" s="471"/>
      <c r="N47" s="471"/>
      <c r="O47" s="471"/>
      <c r="P47" s="471"/>
      <c r="Q47" s="471"/>
      <c r="R47" s="471"/>
      <c r="S47" s="471"/>
      <c r="T47" s="471"/>
      <c r="U47" s="471"/>
      <c r="V47" s="471"/>
      <c r="W47" s="471"/>
      <c r="X47" s="471"/>
      <c r="Y47" s="471"/>
      <c r="Z47" s="471"/>
      <c r="AA47" s="471"/>
      <c r="AB47" s="471"/>
      <c r="AC47" s="471"/>
      <c r="AD47" s="471"/>
      <c r="AE47" s="471"/>
      <c r="AF47" s="471"/>
    </row>
    <row r="48" spans="2:32">
      <c r="B48" s="471"/>
      <c r="C48" s="1491" t="str">
        <f>KKM!$X$9</f>
        <v>TIK</v>
      </c>
      <c r="D48" s="1492"/>
      <c r="E48" s="477"/>
      <c r="F48" s="477"/>
      <c r="G48" s="646">
        <f>VLOOKUP($AI$4,REKAP!$A:$BS,69)</f>
        <v>82</v>
      </c>
      <c r="H48" s="646" t="str">
        <f>VLOOKUP($AI$4,REKAP!$A:$BS,70)</f>
        <v>B</v>
      </c>
      <c r="I48" s="471"/>
      <c r="J48" s="471"/>
      <c r="K48" s="471"/>
      <c r="L48" s="471"/>
      <c r="M48" s="471"/>
      <c r="N48" s="471"/>
      <c r="O48" s="471"/>
      <c r="P48" s="471"/>
      <c r="Q48" s="471"/>
      <c r="R48" s="471"/>
      <c r="S48" s="471"/>
      <c r="T48" s="471"/>
      <c r="U48" s="471"/>
      <c r="V48" s="471"/>
      <c r="W48" s="471"/>
      <c r="X48" s="471"/>
      <c r="Y48" s="471"/>
      <c r="Z48" s="471"/>
      <c r="AA48" s="471"/>
      <c r="AB48" s="471"/>
      <c r="AC48" s="471"/>
      <c r="AD48" s="471"/>
      <c r="AE48" s="471"/>
      <c r="AF48" s="471"/>
    </row>
    <row r="50" spans="2:32" ht="15.75" thickBot="1">
      <c r="B50" s="474" t="s">
        <v>673</v>
      </c>
    </row>
    <row r="51" spans="2:32">
      <c r="B51" s="1478" t="s">
        <v>13</v>
      </c>
      <c r="C51" s="1479"/>
      <c r="D51" s="489" t="s">
        <v>629</v>
      </c>
      <c r="E51" s="1455" t="str">
        <f>DEPAN!$E$14</f>
        <v>4 (Empat)</v>
      </c>
      <c r="F51" s="1456"/>
      <c r="G51" s="1456"/>
      <c r="H51" s="1457"/>
      <c r="I51" s="1455"/>
      <c r="J51" s="1456"/>
      <c r="K51" s="1456"/>
      <c r="L51" s="1457"/>
      <c r="M51" s="1455"/>
      <c r="N51" s="1456"/>
      <c r="O51" s="1456"/>
      <c r="P51" s="1457"/>
      <c r="Q51" s="1455"/>
      <c r="R51" s="1456"/>
      <c r="S51" s="1456"/>
      <c r="T51" s="1457"/>
      <c r="U51" s="1455"/>
      <c r="V51" s="1456"/>
      <c r="W51" s="1456"/>
      <c r="X51" s="1457"/>
      <c r="Y51" s="1455"/>
      <c r="Z51" s="1456"/>
      <c r="AA51" s="1456"/>
      <c r="AB51" s="1457"/>
      <c r="AC51" s="1455"/>
      <c r="AD51" s="1456"/>
      <c r="AE51" s="1456"/>
      <c r="AF51" s="1470"/>
    </row>
    <row r="52" spans="2:32" ht="15.75" thickBot="1">
      <c r="B52" s="1480"/>
      <c r="C52" s="1481"/>
      <c r="D52" s="490" t="s">
        <v>590</v>
      </c>
      <c r="E52" s="1435" t="str">
        <f>DEPAN!$E$15</f>
        <v>2018/2019</v>
      </c>
      <c r="F52" s="1435"/>
      <c r="G52" s="1435"/>
      <c r="H52" s="1435"/>
      <c r="I52" s="1435"/>
      <c r="J52" s="1435"/>
      <c r="K52" s="1435"/>
      <c r="L52" s="1435"/>
      <c r="M52" s="1435"/>
      <c r="N52" s="1435"/>
      <c r="O52" s="1435"/>
      <c r="P52" s="1435"/>
      <c r="Q52" s="1435"/>
      <c r="R52" s="1435"/>
      <c r="S52" s="1435"/>
      <c r="T52" s="1435"/>
      <c r="U52" s="1435"/>
      <c r="V52" s="1435"/>
      <c r="W52" s="1435"/>
      <c r="X52" s="1435"/>
      <c r="Y52" s="1435"/>
      <c r="Z52" s="1435"/>
      <c r="AA52" s="1435"/>
      <c r="AB52" s="1435"/>
      <c r="AC52" s="1435"/>
      <c r="AD52" s="1435"/>
      <c r="AE52" s="1435"/>
      <c r="AF52" s="1436"/>
    </row>
    <row r="53" spans="2:32">
      <c r="B53" s="1471" t="s">
        <v>675</v>
      </c>
      <c r="C53" s="1472"/>
      <c r="D53" s="488"/>
      <c r="E53" s="1482"/>
      <c r="F53" s="1482"/>
      <c r="G53" s="1482"/>
      <c r="H53" s="1482"/>
      <c r="I53" s="1466"/>
      <c r="J53" s="1467"/>
      <c r="K53" s="1467"/>
      <c r="L53" s="1468"/>
      <c r="M53" s="1466"/>
      <c r="N53" s="1467"/>
      <c r="O53" s="1467"/>
      <c r="P53" s="1468"/>
      <c r="Q53" s="1466"/>
      <c r="R53" s="1467"/>
      <c r="S53" s="1467"/>
      <c r="T53" s="1468"/>
      <c r="U53" s="1466"/>
      <c r="V53" s="1467"/>
      <c r="W53" s="1467"/>
      <c r="X53" s="1468"/>
      <c r="Y53" s="1466"/>
      <c r="Z53" s="1467"/>
      <c r="AA53" s="1467"/>
      <c r="AB53" s="1468"/>
      <c r="AC53" s="1466"/>
      <c r="AD53" s="1467"/>
      <c r="AE53" s="1467"/>
      <c r="AF53" s="1469"/>
    </row>
    <row r="54" spans="2:32">
      <c r="B54" s="1471"/>
      <c r="C54" s="1472"/>
      <c r="D54" s="483"/>
      <c r="E54" s="1483"/>
      <c r="F54" s="1483"/>
      <c r="G54" s="1483"/>
      <c r="H54" s="1483"/>
      <c r="I54" s="1409"/>
      <c r="J54" s="1409"/>
      <c r="K54" s="1409"/>
      <c r="L54" s="1409"/>
      <c r="M54" s="1409"/>
      <c r="N54" s="1409"/>
      <c r="O54" s="1409"/>
      <c r="P54" s="1409"/>
      <c r="Q54" s="1409"/>
      <c r="R54" s="1409"/>
      <c r="S54" s="1409"/>
      <c r="T54" s="1409"/>
      <c r="U54" s="1409"/>
      <c r="V54" s="1409"/>
      <c r="W54" s="1409"/>
      <c r="X54" s="1409"/>
      <c r="Y54" s="1409"/>
      <c r="Z54" s="1409"/>
      <c r="AA54" s="1409"/>
      <c r="AB54" s="1409"/>
      <c r="AC54" s="1409"/>
      <c r="AD54" s="1409"/>
      <c r="AE54" s="1409"/>
      <c r="AF54" s="1434"/>
    </row>
    <row r="55" spans="2:32">
      <c r="B55" s="1473"/>
      <c r="C55" s="1468"/>
      <c r="D55" s="484"/>
      <c r="E55" s="1483"/>
      <c r="F55" s="1483"/>
      <c r="G55" s="1483"/>
      <c r="H55" s="1483"/>
      <c r="I55" s="1462"/>
      <c r="J55" s="1463"/>
      <c r="K55" s="1463"/>
      <c r="L55" s="1464"/>
      <c r="M55" s="1462"/>
      <c r="N55" s="1463"/>
      <c r="O55" s="1463"/>
      <c r="P55" s="1464"/>
      <c r="Q55" s="1462"/>
      <c r="R55" s="1463"/>
      <c r="S55" s="1463"/>
      <c r="T55" s="1464"/>
      <c r="U55" s="1462"/>
      <c r="V55" s="1463"/>
      <c r="W55" s="1463"/>
      <c r="X55" s="1464"/>
      <c r="Y55" s="1462"/>
      <c r="Z55" s="1463"/>
      <c r="AA55" s="1463"/>
      <c r="AB55" s="1464"/>
      <c r="AC55" s="1462"/>
      <c r="AD55" s="1463"/>
      <c r="AE55" s="1463"/>
      <c r="AF55" s="1465"/>
    </row>
    <row r="56" spans="2:32">
      <c r="B56" s="1474" t="s">
        <v>676</v>
      </c>
      <c r="C56" s="1475"/>
      <c r="D56" s="471" t="str">
        <f>ABSEN!D5</f>
        <v>Pramuka</v>
      </c>
      <c r="E56" s="1462" t="str">
        <f>VLOOKUP($AI$4,ABSEN!A7:W56,4)</f>
        <v>Baik</v>
      </c>
      <c r="F56" s="1463"/>
      <c r="G56" s="1463"/>
      <c r="H56" s="1464"/>
      <c r="I56" s="1462"/>
      <c r="J56" s="1463"/>
      <c r="K56" s="1463"/>
      <c r="L56" s="1464"/>
      <c r="M56" s="1462"/>
      <c r="N56" s="1463"/>
      <c r="O56" s="1463"/>
      <c r="P56" s="1464"/>
      <c r="Q56" s="1462"/>
      <c r="R56" s="1463"/>
      <c r="S56" s="1463"/>
      <c r="T56" s="1464"/>
      <c r="U56" s="1462"/>
      <c r="V56" s="1463"/>
      <c r="W56" s="1463"/>
      <c r="X56" s="1464"/>
      <c r="Y56" s="1462"/>
      <c r="Z56" s="1463"/>
      <c r="AA56" s="1463"/>
      <c r="AB56" s="1464"/>
      <c r="AC56" s="1462"/>
      <c r="AD56" s="1463"/>
      <c r="AE56" s="1463"/>
      <c r="AF56" s="1465"/>
    </row>
    <row r="57" spans="2:32">
      <c r="B57" s="1471"/>
      <c r="C57" s="1472"/>
      <c r="D57" s="471" t="str">
        <f>VLOOKUP($AI$4,ABSEN!A7:W56,5)</f>
        <v>Futsal</v>
      </c>
      <c r="E57" s="1409" t="str">
        <f>VLOOKUP($AI$4,ABSEN!A7:W56,6)</f>
        <v>baik sekali</v>
      </c>
      <c r="F57" s="1409"/>
      <c r="G57" s="1409"/>
      <c r="H57" s="1409"/>
      <c r="I57" s="1409"/>
      <c r="J57" s="1409"/>
      <c r="K57" s="1409"/>
      <c r="L57" s="1409"/>
      <c r="M57" s="1409"/>
      <c r="N57" s="1409"/>
      <c r="O57" s="1409"/>
      <c r="P57" s="1409"/>
      <c r="Q57" s="1409"/>
      <c r="R57" s="1409"/>
      <c r="S57" s="1409"/>
      <c r="T57" s="1409"/>
      <c r="U57" s="1409"/>
      <c r="V57" s="1409"/>
      <c r="W57" s="1409"/>
      <c r="X57" s="1409"/>
      <c r="Y57" s="1409"/>
      <c r="Z57" s="1409"/>
      <c r="AA57" s="1409"/>
      <c r="AB57" s="1409"/>
      <c r="AC57" s="1409"/>
      <c r="AD57" s="1409"/>
      <c r="AE57" s="1409"/>
      <c r="AF57" s="1434"/>
    </row>
    <row r="58" spans="2:32" ht="15.75" thickBot="1">
      <c r="B58" s="1476"/>
      <c r="C58" s="1477"/>
      <c r="D58" s="491" t="str">
        <f>VLOOKUP($AI$4,ABSEN!A7:W56,7)</f>
        <v>Berenang</v>
      </c>
      <c r="E58" s="1458" t="str">
        <f>VLOOKUP($AI$4,ABSEN!A7:W56,8)</f>
        <v>Cukup</v>
      </c>
      <c r="F58" s="1459"/>
      <c r="G58" s="1459"/>
      <c r="H58" s="1460"/>
      <c r="I58" s="1458"/>
      <c r="J58" s="1459"/>
      <c r="K58" s="1459"/>
      <c r="L58" s="1460"/>
      <c r="M58" s="1458"/>
      <c r="N58" s="1459"/>
      <c r="O58" s="1459"/>
      <c r="P58" s="1460"/>
      <c r="Q58" s="1458"/>
      <c r="R58" s="1459"/>
      <c r="S58" s="1459"/>
      <c r="T58" s="1460"/>
      <c r="U58" s="1458"/>
      <c r="V58" s="1459"/>
      <c r="W58" s="1459"/>
      <c r="X58" s="1460"/>
      <c r="Y58" s="1458"/>
      <c r="Z58" s="1459"/>
      <c r="AA58" s="1459"/>
      <c r="AB58" s="1460"/>
      <c r="AC58" s="1458"/>
      <c r="AD58" s="1459"/>
      <c r="AE58" s="1459"/>
      <c r="AF58" s="1461"/>
    </row>
    <row r="60" spans="2:32" ht="15.75" thickBot="1">
      <c r="B60" s="474" t="s">
        <v>678</v>
      </c>
    </row>
    <row r="61" spans="2:32">
      <c r="B61" s="1442" t="s">
        <v>629</v>
      </c>
      <c r="C61" s="1443"/>
      <c r="D61" s="1443"/>
      <c r="E61" s="1455" t="str">
        <f>DEPAN!$E$14</f>
        <v>4 (Empat)</v>
      </c>
      <c r="F61" s="1456"/>
      <c r="G61" s="1456"/>
      <c r="H61" s="1457"/>
      <c r="I61" s="1437"/>
      <c r="J61" s="1437"/>
      <c r="K61" s="1437"/>
      <c r="L61" s="1437"/>
      <c r="M61" s="1437"/>
      <c r="N61" s="1437"/>
      <c r="O61" s="1437"/>
      <c r="P61" s="1437"/>
      <c r="Q61" s="1437"/>
      <c r="R61" s="1437"/>
      <c r="S61" s="1437"/>
      <c r="T61" s="1437"/>
      <c r="U61" s="1437"/>
      <c r="V61" s="1437"/>
      <c r="W61" s="1437"/>
      <c r="X61" s="1437"/>
      <c r="Y61" s="1437"/>
      <c r="Z61" s="1437"/>
      <c r="AA61" s="1437"/>
      <c r="AB61" s="1437"/>
      <c r="AC61" s="1437"/>
      <c r="AD61" s="1437"/>
      <c r="AE61" s="1437"/>
      <c r="AF61" s="1438"/>
    </row>
    <row r="62" spans="2:32">
      <c r="B62" s="1444" t="s">
        <v>590</v>
      </c>
      <c r="C62" s="1445"/>
      <c r="D62" s="1445"/>
      <c r="E62" s="1008" t="str">
        <f>DEPAN!$E$15</f>
        <v>2018/2019</v>
      </c>
      <c r="F62" s="1009"/>
      <c r="G62" s="1009"/>
      <c r="H62" s="1010"/>
      <c r="I62" s="485"/>
      <c r="J62" s="486"/>
      <c r="K62" s="486"/>
      <c r="L62" s="486"/>
      <c r="M62" s="486"/>
      <c r="N62" s="486"/>
      <c r="O62" s="486"/>
      <c r="P62" s="487"/>
      <c r="Q62" s="485"/>
      <c r="R62" s="486"/>
      <c r="S62" s="486"/>
      <c r="T62" s="486"/>
      <c r="U62" s="486"/>
      <c r="V62" s="486"/>
      <c r="W62" s="486"/>
      <c r="X62" s="487"/>
      <c r="Y62" s="485"/>
      <c r="Z62" s="486"/>
      <c r="AA62" s="486"/>
      <c r="AB62" s="486"/>
      <c r="AC62" s="486"/>
      <c r="AD62" s="486"/>
      <c r="AE62" s="486"/>
      <c r="AF62" s="492"/>
    </row>
    <row r="63" spans="2:32" ht="15.75" thickBot="1">
      <c r="B63" s="1446" t="s">
        <v>13</v>
      </c>
      <c r="C63" s="1447"/>
      <c r="D63" s="1447"/>
      <c r="E63" s="1432" t="s">
        <v>682</v>
      </c>
      <c r="F63" s="1433"/>
      <c r="G63" s="1432" t="s">
        <v>683</v>
      </c>
      <c r="H63" s="1433"/>
      <c r="I63" s="1432" t="s">
        <v>682</v>
      </c>
      <c r="J63" s="1433"/>
      <c r="K63" s="1432" t="s">
        <v>683</v>
      </c>
      <c r="L63" s="1433"/>
      <c r="M63" s="1432" t="s">
        <v>682</v>
      </c>
      <c r="N63" s="1433"/>
      <c r="O63" s="1432" t="s">
        <v>683</v>
      </c>
      <c r="P63" s="1433"/>
      <c r="Q63" s="1432" t="s">
        <v>682</v>
      </c>
      <c r="R63" s="1433"/>
      <c r="S63" s="1432" t="s">
        <v>683</v>
      </c>
      <c r="T63" s="1433"/>
      <c r="U63" s="1432" t="s">
        <v>682</v>
      </c>
      <c r="V63" s="1433"/>
      <c r="W63" s="1432" t="s">
        <v>683</v>
      </c>
      <c r="X63" s="1433"/>
      <c r="Y63" s="1432" t="s">
        <v>682</v>
      </c>
      <c r="Z63" s="1433"/>
      <c r="AA63" s="1432" t="s">
        <v>683</v>
      </c>
      <c r="AB63" s="1433"/>
      <c r="AC63" s="1432" t="s">
        <v>682</v>
      </c>
      <c r="AD63" s="1433"/>
      <c r="AE63" s="1432" t="s">
        <v>683</v>
      </c>
      <c r="AF63" s="1441"/>
    </row>
    <row r="64" spans="2:32">
      <c r="B64" s="1448" t="s">
        <v>71</v>
      </c>
      <c r="C64" s="1417"/>
      <c r="D64" s="1418"/>
      <c r="E64" s="1431"/>
      <c r="F64" s="1423"/>
      <c r="G64" s="1431" t="str">
        <f>VLOOKUP($AI$4,ABSEN!A7:W56,9)</f>
        <v>0 hari</v>
      </c>
      <c r="H64" s="1423"/>
      <c r="I64" s="1439"/>
      <c r="J64" s="1439"/>
      <c r="K64" s="1439"/>
      <c r="L64" s="1439"/>
      <c r="M64" s="1439"/>
      <c r="N64" s="1439"/>
      <c r="O64" s="1439"/>
      <c r="P64" s="1439"/>
      <c r="Q64" s="1439"/>
      <c r="R64" s="1439"/>
      <c r="S64" s="1439"/>
      <c r="T64" s="1439"/>
      <c r="U64" s="1439"/>
      <c r="V64" s="1439"/>
      <c r="W64" s="1439"/>
      <c r="X64" s="1439"/>
      <c r="Y64" s="1439"/>
      <c r="Z64" s="1439"/>
      <c r="AA64" s="1439"/>
      <c r="AB64" s="1439"/>
      <c r="AC64" s="1439"/>
      <c r="AD64" s="1439"/>
      <c r="AE64" s="1439"/>
      <c r="AF64" s="1440"/>
    </row>
    <row r="65" spans="2:32">
      <c r="B65" s="1449" t="s">
        <v>677</v>
      </c>
      <c r="C65" s="1450"/>
      <c r="D65" s="1451"/>
      <c r="E65" s="1008"/>
      <c r="F65" s="1009"/>
      <c r="G65" s="1008" t="str">
        <f>VLOOKUP($AI$4,ABSEN!A7:W56,10)</f>
        <v>0 hari</v>
      </c>
      <c r="H65" s="1009"/>
      <c r="I65" s="1409"/>
      <c r="J65" s="1409"/>
      <c r="K65" s="1409"/>
      <c r="L65" s="1409"/>
      <c r="M65" s="1409"/>
      <c r="N65" s="1409"/>
      <c r="O65" s="1409"/>
      <c r="P65" s="1409"/>
      <c r="Q65" s="1409"/>
      <c r="R65" s="1409"/>
      <c r="S65" s="1409"/>
      <c r="T65" s="1409"/>
      <c r="U65" s="1409"/>
      <c r="V65" s="1409"/>
      <c r="W65" s="1409"/>
      <c r="X65" s="1409"/>
      <c r="Y65" s="1409"/>
      <c r="Z65" s="1409"/>
      <c r="AA65" s="1409"/>
      <c r="AB65" s="1409"/>
      <c r="AC65" s="1409"/>
      <c r="AD65" s="1409"/>
      <c r="AE65" s="1409"/>
      <c r="AF65" s="1434"/>
    </row>
    <row r="66" spans="2:32" ht="15.75" thickBot="1">
      <c r="B66" s="1452" t="s">
        <v>73</v>
      </c>
      <c r="C66" s="1453"/>
      <c r="D66" s="1454"/>
      <c r="E66" s="1432"/>
      <c r="F66" s="1433"/>
      <c r="G66" s="1432" t="str">
        <f>VLOOKUP($AI$4,ABSEN!A7:W56,11)</f>
        <v>0 hari</v>
      </c>
      <c r="H66" s="1433"/>
      <c r="I66" s="1435"/>
      <c r="J66" s="1435"/>
      <c r="K66" s="1435"/>
      <c r="L66" s="1435"/>
      <c r="M66" s="1435"/>
      <c r="N66" s="1435"/>
      <c r="O66" s="1435"/>
      <c r="P66" s="1435"/>
      <c r="Q66" s="1435"/>
      <c r="R66" s="1435"/>
      <c r="S66" s="1435"/>
      <c r="T66" s="1435"/>
      <c r="U66" s="1435"/>
      <c r="V66" s="1435"/>
      <c r="W66" s="1435"/>
      <c r="X66" s="1435"/>
      <c r="Y66" s="1435"/>
      <c r="Z66" s="1435"/>
      <c r="AA66" s="1435"/>
      <c r="AB66" s="1435"/>
      <c r="AC66" s="1435"/>
      <c r="AD66" s="1435"/>
      <c r="AE66" s="1435"/>
      <c r="AF66" s="1436"/>
    </row>
    <row r="68" spans="2:32" ht="15.75" thickBot="1">
      <c r="B68" s="474" t="s">
        <v>679</v>
      </c>
    </row>
    <row r="69" spans="2:32" ht="72" customHeight="1">
      <c r="B69" s="1425" t="s">
        <v>680</v>
      </c>
      <c r="C69" s="1426"/>
      <c r="D69" s="1426"/>
      <c r="E69" s="1427" t="s">
        <v>681</v>
      </c>
      <c r="F69" s="1428"/>
      <c r="G69" s="1428"/>
      <c r="H69" s="1429"/>
      <c r="I69" s="1427" t="s">
        <v>681</v>
      </c>
      <c r="J69" s="1428"/>
      <c r="K69" s="1428"/>
      <c r="L69" s="1429"/>
      <c r="M69" s="1427" t="s">
        <v>681</v>
      </c>
      <c r="N69" s="1428"/>
      <c r="O69" s="1428"/>
      <c r="P69" s="1429"/>
      <c r="Q69" s="1427" t="s">
        <v>681</v>
      </c>
      <c r="R69" s="1428"/>
      <c r="S69" s="1428"/>
      <c r="T69" s="1429"/>
      <c r="U69" s="1427" t="s">
        <v>681</v>
      </c>
      <c r="V69" s="1428"/>
      <c r="W69" s="1428"/>
      <c r="X69" s="1429"/>
      <c r="Y69" s="1427" t="s">
        <v>681</v>
      </c>
      <c r="Z69" s="1428"/>
      <c r="AA69" s="1428"/>
      <c r="AB69" s="1429"/>
      <c r="AC69" s="1427" t="s">
        <v>681</v>
      </c>
      <c r="AD69" s="1428"/>
      <c r="AE69" s="1428"/>
      <c r="AF69" s="1430"/>
    </row>
    <row r="70" spans="2:32" ht="76.5" customHeight="1">
      <c r="B70" s="1413" t="s">
        <v>684</v>
      </c>
      <c r="C70" s="1414"/>
      <c r="D70" s="1415"/>
      <c r="E70" s="1419" t="str">
        <f>DEPAN!E16</f>
        <v>SITI PONIMAH,M.Pd</v>
      </c>
      <c r="F70" s="1420"/>
      <c r="G70" s="1420"/>
      <c r="H70" s="1421"/>
      <c r="I70" s="1419"/>
      <c r="J70" s="1420"/>
      <c r="K70" s="1420"/>
      <c r="L70" s="1421"/>
      <c r="M70" s="1419"/>
      <c r="N70" s="1420"/>
      <c r="O70" s="1420"/>
      <c r="P70" s="1421"/>
      <c r="Q70" s="1419"/>
      <c r="R70" s="1420"/>
      <c r="S70" s="1420"/>
      <c r="T70" s="1421"/>
      <c r="U70" s="1419"/>
      <c r="V70" s="1420"/>
      <c r="W70" s="1420"/>
      <c r="X70" s="1421"/>
      <c r="Y70" s="1419"/>
      <c r="Z70" s="1420"/>
      <c r="AA70" s="1420"/>
      <c r="AB70" s="1421"/>
      <c r="AC70" s="1419"/>
      <c r="AD70" s="1420"/>
      <c r="AE70" s="1420"/>
      <c r="AF70" s="1421"/>
    </row>
    <row r="71" spans="2:32">
      <c r="B71" s="1416"/>
      <c r="C71" s="1417"/>
      <c r="D71" s="1418"/>
      <c r="E71" s="1422" t="str">
        <f>DEPAN!E17</f>
        <v>19616566 201808 2 033</v>
      </c>
      <c r="F71" s="1423"/>
      <c r="G71" s="1423"/>
      <c r="H71" s="1424"/>
      <c r="I71" s="1422"/>
      <c r="J71" s="1423"/>
      <c r="K71" s="1423"/>
      <c r="L71" s="1424"/>
      <c r="M71" s="1422"/>
      <c r="N71" s="1423"/>
      <c r="O71" s="1423"/>
      <c r="P71" s="1424"/>
      <c r="Q71" s="1422"/>
      <c r="R71" s="1423"/>
      <c r="S71" s="1423"/>
      <c r="T71" s="1424"/>
      <c r="U71" s="1422"/>
      <c r="V71" s="1423"/>
      <c r="W71" s="1423"/>
      <c r="X71" s="1424"/>
      <c r="Y71" s="1422"/>
      <c r="Z71" s="1423"/>
      <c r="AA71" s="1423"/>
      <c r="AB71" s="1424"/>
      <c r="AC71" s="1422"/>
      <c r="AD71" s="1423"/>
      <c r="AE71" s="1423"/>
      <c r="AF71" s="1424"/>
    </row>
  </sheetData>
  <mergeCells count="251">
    <mergeCell ref="AI4:AJ5"/>
    <mergeCell ref="E15:F15"/>
    <mergeCell ref="C44:D44"/>
    <mergeCell ref="C45:D45"/>
    <mergeCell ref="C46:D46"/>
    <mergeCell ref="C47:D47"/>
    <mergeCell ref="C48:D48"/>
    <mergeCell ref="C1:AE1"/>
    <mergeCell ref="C38:D38"/>
    <mergeCell ref="C39:D39"/>
    <mergeCell ref="C40:D40"/>
    <mergeCell ref="C41:D41"/>
    <mergeCell ref="C42:D42"/>
    <mergeCell ref="C43:D43"/>
    <mergeCell ref="AA34:AB34"/>
    <mergeCell ref="AC34:AD34"/>
    <mergeCell ref="AE34:AF34"/>
    <mergeCell ref="B35:D35"/>
    <mergeCell ref="B36:D36"/>
    <mergeCell ref="C37:D37"/>
    <mergeCell ref="O34:P34"/>
    <mergeCell ref="Q34:R34"/>
    <mergeCell ref="S34:T34"/>
    <mergeCell ref="U34:V34"/>
    <mergeCell ref="W34:X34"/>
    <mergeCell ref="Y34:Z34"/>
    <mergeCell ref="B34:D34"/>
    <mergeCell ref="E34:F34"/>
    <mergeCell ref="G34:H34"/>
    <mergeCell ref="I34:J34"/>
    <mergeCell ref="K34:L34"/>
    <mergeCell ref="M34:N34"/>
    <mergeCell ref="AC32:AF32"/>
    <mergeCell ref="B33:D33"/>
    <mergeCell ref="E33:H33"/>
    <mergeCell ref="I33:L33"/>
    <mergeCell ref="M33:P33"/>
    <mergeCell ref="Q33:T33"/>
    <mergeCell ref="U33:X33"/>
    <mergeCell ref="Y33:AB33"/>
    <mergeCell ref="AC33:AF33"/>
    <mergeCell ref="E32:H32"/>
    <mergeCell ref="I32:L32"/>
    <mergeCell ref="M32:P32"/>
    <mergeCell ref="Q32:T32"/>
    <mergeCell ref="U32:X32"/>
    <mergeCell ref="Y32:AB32"/>
    <mergeCell ref="C24:D24"/>
    <mergeCell ref="C25:D25"/>
    <mergeCell ref="C26:D26"/>
    <mergeCell ref="C27:D27"/>
    <mergeCell ref="C28:D28"/>
    <mergeCell ref="B32:D32"/>
    <mergeCell ref="C18:D18"/>
    <mergeCell ref="C19:D19"/>
    <mergeCell ref="C20:D20"/>
    <mergeCell ref="C21:D21"/>
    <mergeCell ref="C22:D22"/>
    <mergeCell ref="C23:D23"/>
    <mergeCell ref="AA14:AB14"/>
    <mergeCell ref="AC14:AD14"/>
    <mergeCell ref="AE14:AF14"/>
    <mergeCell ref="B15:D15"/>
    <mergeCell ref="B16:D16"/>
    <mergeCell ref="C17:D17"/>
    <mergeCell ref="O14:P14"/>
    <mergeCell ref="Q14:R14"/>
    <mergeCell ref="S14:T14"/>
    <mergeCell ref="U14:V14"/>
    <mergeCell ref="W14:X14"/>
    <mergeCell ref="Y14:Z14"/>
    <mergeCell ref="B14:D14"/>
    <mergeCell ref="E14:F14"/>
    <mergeCell ref="G14:H14"/>
    <mergeCell ref="I14:J14"/>
    <mergeCell ref="K14:L14"/>
    <mergeCell ref="M14:N14"/>
    <mergeCell ref="Y12:AB12"/>
    <mergeCell ref="AC12:AF12"/>
    <mergeCell ref="B13:D13"/>
    <mergeCell ref="E13:H13"/>
    <mergeCell ref="I13:L13"/>
    <mergeCell ref="M13:P13"/>
    <mergeCell ref="Q13:T13"/>
    <mergeCell ref="U13:X13"/>
    <mergeCell ref="Y13:AB13"/>
    <mergeCell ref="AC13:AF13"/>
    <mergeCell ref="B12:D12"/>
    <mergeCell ref="E12:H12"/>
    <mergeCell ref="I12:L12"/>
    <mergeCell ref="M12:P12"/>
    <mergeCell ref="Q12:T12"/>
    <mergeCell ref="U12:X12"/>
    <mergeCell ref="E8:K8"/>
    <mergeCell ref="L8:R8"/>
    <mergeCell ref="S8:Y8"/>
    <mergeCell ref="Z8:AF8"/>
    <mergeCell ref="E9:K9"/>
    <mergeCell ref="L9:R9"/>
    <mergeCell ref="S9:Y9"/>
    <mergeCell ref="Z9:AF9"/>
    <mergeCell ref="B8:C9"/>
    <mergeCell ref="E6:K6"/>
    <mergeCell ref="L6:R6"/>
    <mergeCell ref="S6:Y6"/>
    <mergeCell ref="Z6:AF6"/>
    <mergeCell ref="E7:K7"/>
    <mergeCell ref="L7:R7"/>
    <mergeCell ref="S7:Y7"/>
    <mergeCell ref="Z7:AF7"/>
    <mergeCell ref="B6:C7"/>
    <mergeCell ref="E4:K4"/>
    <mergeCell ref="L4:R4"/>
    <mergeCell ref="S4:Y4"/>
    <mergeCell ref="Z4:AF4"/>
    <mergeCell ref="E5:K5"/>
    <mergeCell ref="L5:R5"/>
    <mergeCell ref="S5:Y5"/>
    <mergeCell ref="Z5:AF5"/>
    <mergeCell ref="B4:C5"/>
    <mergeCell ref="I51:L51"/>
    <mergeCell ref="I52:L52"/>
    <mergeCell ref="I53:L53"/>
    <mergeCell ref="I54:L54"/>
    <mergeCell ref="I55:L55"/>
    <mergeCell ref="B53:C55"/>
    <mergeCell ref="B56:C58"/>
    <mergeCell ref="E56:H56"/>
    <mergeCell ref="E57:H57"/>
    <mergeCell ref="E58:H58"/>
    <mergeCell ref="I56:L56"/>
    <mergeCell ref="I57:L57"/>
    <mergeCell ref="I58:L58"/>
    <mergeCell ref="B51:C52"/>
    <mergeCell ref="E53:H53"/>
    <mergeCell ref="E54:H54"/>
    <mergeCell ref="E55:H55"/>
    <mergeCell ref="E51:H51"/>
    <mergeCell ref="E52:H52"/>
    <mergeCell ref="M51:P51"/>
    <mergeCell ref="Q51:T51"/>
    <mergeCell ref="U51:X51"/>
    <mergeCell ref="Y51:AB51"/>
    <mergeCell ref="AC51:AF51"/>
    <mergeCell ref="M52:P52"/>
    <mergeCell ref="Q52:T52"/>
    <mergeCell ref="U52:X52"/>
    <mergeCell ref="Y52:AB52"/>
    <mergeCell ref="AC52:AF52"/>
    <mergeCell ref="M53:P53"/>
    <mergeCell ref="Q53:T53"/>
    <mergeCell ref="U53:X53"/>
    <mergeCell ref="Y53:AB53"/>
    <mergeCell ref="AC53:AF53"/>
    <mergeCell ref="M54:P54"/>
    <mergeCell ref="Q54:T54"/>
    <mergeCell ref="U54:X54"/>
    <mergeCell ref="Y54:AB54"/>
    <mergeCell ref="AC54:AF54"/>
    <mergeCell ref="Y57:AB57"/>
    <mergeCell ref="AC57:AF57"/>
    <mergeCell ref="M58:P58"/>
    <mergeCell ref="Q58:T58"/>
    <mergeCell ref="U58:X58"/>
    <mergeCell ref="Y58:AB58"/>
    <mergeCell ref="AC58:AF58"/>
    <mergeCell ref="M55:P55"/>
    <mergeCell ref="Q55:T55"/>
    <mergeCell ref="U55:X55"/>
    <mergeCell ref="Y55:AB55"/>
    <mergeCell ref="AC55:AF55"/>
    <mergeCell ref="M56:P56"/>
    <mergeCell ref="Q56:T56"/>
    <mergeCell ref="U56:X56"/>
    <mergeCell ref="Y56:AB56"/>
    <mergeCell ref="AC56:AF56"/>
    <mergeCell ref="B61:D61"/>
    <mergeCell ref="B62:D62"/>
    <mergeCell ref="B63:D63"/>
    <mergeCell ref="B64:D64"/>
    <mergeCell ref="B65:D65"/>
    <mergeCell ref="B66:D66"/>
    <mergeCell ref="M57:P57"/>
    <mergeCell ref="Q57:T57"/>
    <mergeCell ref="U57:X57"/>
    <mergeCell ref="I64:L64"/>
    <mergeCell ref="M64:P64"/>
    <mergeCell ref="Q64:T64"/>
    <mergeCell ref="U64:X64"/>
    <mergeCell ref="U65:X65"/>
    <mergeCell ref="E61:H61"/>
    <mergeCell ref="E62:H62"/>
    <mergeCell ref="E63:F63"/>
    <mergeCell ref="G63:H63"/>
    <mergeCell ref="AC66:AF66"/>
    <mergeCell ref="I61:P61"/>
    <mergeCell ref="Q61:X61"/>
    <mergeCell ref="Y61:AF61"/>
    <mergeCell ref="Y64:AB64"/>
    <mergeCell ref="AC64:AF64"/>
    <mergeCell ref="I63:J63"/>
    <mergeCell ref="K63:L63"/>
    <mergeCell ref="M63:N63"/>
    <mergeCell ref="O63:P63"/>
    <mergeCell ref="Q63:R63"/>
    <mergeCell ref="S63:T63"/>
    <mergeCell ref="U63:V63"/>
    <mergeCell ref="W63:X63"/>
    <mergeCell ref="Y63:Z63"/>
    <mergeCell ref="AA63:AB63"/>
    <mergeCell ref="AC63:AD63"/>
    <mergeCell ref="AE63:AF63"/>
    <mergeCell ref="B69:D69"/>
    <mergeCell ref="E69:H69"/>
    <mergeCell ref="I69:L69"/>
    <mergeCell ref="M69:P69"/>
    <mergeCell ref="Q69:T69"/>
    <mergeCell ref="U69:X69"/>
    <mergeCell ref="Y69:AB69"/>
    <mergeCell ref="AC69:AF69"/>
    <mergeCell ref="E64:F64"/>
    <mergeCell ref="G64:H64"/>
    <mergeCell ref="E65:F65"/>
    <mergeCell ref="G65:H65"/>
    <mergeCell ref="E66:F66"/>
    <mergeCell ref="G66:H66"/>
    <mergeCell ref="I65:L65"/>
    <mergeCell ref="M65:P65"/>
    <mergeCell ref="Q65:T65"/>
    <mergeCell ref="Y65:AB65"/>
    <mergeCell ref="AC65:AF65"/>
    <mergeCell ref="I66:L66"/>
    <mergeCell ref="M66:P66"/>
    <mergeCell ref="Q66:T66"/>
    <mergeCell ref="U66:X66"/>
    <mergeCell ref="Y66:AB66"/>
    <mergeCell ref="B70:D71"/>
    <mergeCell ref="E70:H70"/>
    <mergeCell ref="I70:L70"/>
    <mergeCell ref="M70:P70"/>
    <mergeCell ref="Q70:T70"/>
    <mergeCell ref="U70:X70"/>
    <mergeCell ref="Y70:AB70"/>
    <mergeCell ref="AC70:AF70"/>
    <mergeCell ref="E71:H71"/>
    <mergeCell ref="I71:L71"/>
    <mergeCell ref="M71:P71"/>
    <mergeCell ref="Q71:T71"/>
    <mergeCell ref="U71:X71"/>
    <mergeCell ref="Y71:AB71"/>
    <mergeCell ref="AC71:AF71"/>
  </mergeCells>
  <pageMargins left="0.25" right="0.24" top="0.34" bottom="0.34" header="0.3" footer="0.3"/>
  <pageSetup paperSize="9" scale="80" orientation="landscape" horizontalDpi="4294967293" r:id="rId1"/>
  <rowBreaks count="1" manualBreakCount="1">
    <brk id="10" max="31" man="1"/>
  </rowBreaks>
  <colBreaks count="1" manualBreakCount="1">
    <brk id="3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Spinner 1">
              <controlPr defaultSize="0" autoPict="0">
                <anchor moveWithCells="1" sizeWithCells="1">
                  <from>
                    <xdr:col>36</xdr:col>
                    <xdr:colOff>57150</xdr:colOff>
                    <xdr:row>1</xdr:row>
                    <xdr:rowOff>152400</xdr:rowOff>
                  </from>
                  <to>
                    <xdr:col>38</xdr:col>
                    <xdr:colOff>9525</xdr:colOff>
                    <xdr:row>5</xdr:row>
                    <xdr:rowOff>180975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CF181"/>
  <sheetViews>
    <sheetView zoomScale="70" zoomScaleNormal="70" workbookViewId="0">
      <pane xSplit="2" ySplit="3" topLeftCell="D4" activePane="bottomRight" state="frozen"/>
      <selection pane="topRight" activeCell="C1" sqref="C1"/>
      <selection pane="bottomLeft" activeCell="A4" sqref="A4"/>
      <selection pane="bottomRight" activeCell="B9" sqref="B9"/>
    </sheetView>
  </sheetViews>
  <sheetFormatPr defaultColWidth="0" defaultRowHeight="15" zeroHeight="1"/>
  <cols>
    <col min="1" max="1" width="11.5703125" style="104" customWidth="1"/>
    <col min="2" max="2" width="35.140625" style="104" customWidth="1"/>
    <col min="3" max="3" width="7.5703125" style="104" hidden="1" customWidth="1"/>
    <col min="4" max="82" width="6.140625" style="104" customWidth="1"/>
    <col min="83" max="83" width="0" style="104" hidden="1" customWidth="1"/>
    <col min="84" max="84" width="9.140625" style="104" customWidth="1"/>
    <col min="85" max="16384" width="9.140625" style="104" hidden="1"/>
  </cols>
  <sheetData>
    <row r="1" spans="1:83" ht="42.75" customHeight="1">
      <c r="A1" s="649"/>
      <c r="B1" s="1509" t="s">
        <v>859</v>
      </c>
      <c r="C1" s="1509"/>
      <c r="D1" s="1509"/>
      <c r="E1" s="1509"/>
      <c r="F1" s="1509"/>
      <c r="G1" s="1509"/>
      <c r="H1" s="1509"/>
      <c r="I1" s="1509"/>
      <c r="J1" s="1509"/>
      <c r="K1" s="649"/>
      <c r="L1" s="649"/>
      <c r="M1" s="649"/>
      <c r="N1" s="649"/>
      <c r="O1" s="649"/>
      <c r="P1" s="649"/>
      <c r="Q1" s="649"/>
      <c r="R1" s="649"/>
      <c r="S1" s="649"/>
      <c r="T1" s="649"/>
      <c r="U1" s="649"/>
      <c r="V1" s="649"/>
      <c r="W1" s="649"/>
      <c r="X1" s="649"/>
      <c r="Y1" s="649"/>
      <c r="Z1" s="649"/>
      <c r="AA1" s="649"/>
      <c r="AB1" s="649"/>
      <c r="AC1" s="649"/>
      <c r="AD1" s="649"/>
      <c r="AE1" s="649"/>
      <c r="AF1" s="649"/>
      <c r="AG1" s="649"/>
      <c r="AH1" s="649"/>
      <c r="AI1" s="649"/>
      <c r="AJ1" s="649"/>
      <c r="AK1" s="649"/>
      <c r="AL1" s="649"/>
      <c r="AM1" s="649"/>
      <c r="AN1" s="649"/>
      <c r="AO1" s="649"/>
      <c r="AP1" s="649"/>
      <c r="AQ1" s="649"/>
      <c r="AR1" s="649"/>
      <c r="AS1" s="649"/>
      <c r="AT1" s="649"/>
      <c r="AU1" s="649"/>
      <c r="AV1" s="649"/>
      <c r="AW1" s="649"/>
      <c r="AX1" s="649"/>
      <c r="AY1" s="649"/>
      <c r="AZ1" s="649"/>
      <c r="BA1" s="649"/>
      <c r="BB1" s="649"/>
      <c r="BC1" s="649"/>
      <c r="BD1" s="649"/>
      <c r="BE1" s="649"/>
      <c r="BF1" s="649"/>
      <c r="BG1" s="649"/>
      <c r="BH1" s="649"/>
      <c r="BI1" s="649"/>
      <c r="BJ1" s="649"/>
      <c r="BK1" s="649"/>
      <c r="BL1" s="649"/>
      <c r="BM1" s="649"/>
      <c r="BN1" s="649"/>
      <c r="BO1" s="649"/>
      <c r="BP1" s="649"/>
      <c r="BQ1" s="649"/>
      <c r="BR1" s="649"/>
      <c r="BS1" s="649"/>
      <c r="BT1" s="649"/>
      <c r="BU1" s="649"/>
      <c r="BV1" s="649"/>
      <c r="BW1" s="649"/>
      <c r="BX1" s="649"/>
      <c r="BY1" s="649"/>
      <c r="BZ1" s="649"/>
      <c r="CA1" s="649"/>
      <c r="CB1" s="649"/>
      <c r="CC1" s="649"/>
      <c r="CD1" s="649"/>
    </row>
    <row r="2" spans="1:83" s="648" customFormat="1" ht="15.75">
      <c r="A2" s="1220" t="s">
        <v>2</v>
      </c>
      <c r="B2" s="1220" t="s">
        <v>4</v>
      </c>
      <c r="C2" s="633"/>
      <c r="D2" s="1499" t="s">
        <v>170</v>
      </c>
      <c r="E2" s="1499"/>
      <c r="F2" s="1499"/>
      <c r="G2" s="1499"/>
      <c r="H2" s="1499"/>
      <c r="I2" s="1499"/>
      <c r="J2" s="1500" t="s">
        <v>858</v>
      </c>
      <c r="K2" s="1500"/>
      <c r="L2" s="1500"/>
      <c r="M2" s="1500"/>
      <c r="N2" s="1500"/>
      <c r="O2" s="1500"/>
      <c r="P2" s="1500"/>
      <c r="Q2" s="1500"/>
      <c r="R2" s="1501" t="s">
        <v>729</v>
      </c>
      <c r="S2" s="1501"/>
      <c r="T2" s="1501"/>
      <c r="U2" s="1501"/>
      <c r="V2" s="1501"/>
      <c r="W2" s="1501"/>
      <c r="X2" s="1501"/>
      <c r="Y2" s="1501"/>
      <c r="Z2" s="1502" t="s">
        <v>260</v>
      </c>
      <c r="AA2" s="1502"/>
      <c r="AB2" s="1502"/>
      <c r="AC2" s="1502"/>
      <c r="AD2" s="1502"/>
      <c r="AE2" s="1502"/>
      <c r="AF2" s="1503" t="s">
        <v>261</v>
      </c>
      <c r="AG2" s="1503"/>
      <c r="AH2" s="1503"/>
      <c r="AI2" s="1503"/>
      <c r="AJ2" s="1503"/>
      <c r="AK2" s="1503"/>
      <c r="AL2" s="1504" t="s">
        <v>173</v>
      </c>
      <c r="AM2" s="1504"/>
      <c r="AN2" s="1504"/>
      <c r="AO2" s="1504"/>
      <c r="AP2" s="1504"/>
      <c r="AQ2" s="1504"/>
      <c r="AR2" s="1498" t="s">
        <v>169</v>
      </c>
      <c r="AS2" s="1498"/>
      <c r="AT2" s="1498"/>
      <c r="AU2" s="1498"/>
      <c r="AV2" s="1498"/>
      <c r="AW2" s="1498"/>
      <c r="AX2" s="1498"/>
      <c r="AY2" s="1498"/>
      <c r="AZ2" s="1498"/>
      <c r="BA2" s="1498"/>
      <c r="BB2" s="1498"/>
      <c r="BC2" s="1498"/>
      <c r="BD2" s="1498"/>
      <c r="BE2" s="1505" t="s">
        <v>174</v>
      </c>
      <c r="BF2" s="1505"/>
      <c r="BG2" s="1505"/>
      <c r="BH2" s="1505"/>
      <c r="BI2" s="1505"/>
      <c r="BJ2" s="1505"/>
      <c r="BK2" s="1505"/>
      <c r="BL2" s="1505"/>
      <c r="BM2" s="1506" t="str">
        <f>KKM!X7</f>
        <v>Bahasa Jawa</v>
      </c>
      <c r="BN2" s="1506"/>
      <c r="BO2" s="1506"/>
      <c r="BP2" s="1506"/>
      <c r="BQ2" s="1506"/>
      <c r="BR2" s="1506"/>
      <c r="BS2" s="1507" t="str">
        <f>KKM!X8</f>
        <v>Bahasa Inggris</v>
      </c>
      <c r="BT2" s="1507"/>
      <c r="BU2" s="1507"/>
      <c r="BV2" s="1507"/>
      <c r="BW2" s="1507"/>
      <c r="BX2" s="1507"/>
      <c r="BY2" s="1508" t="str">
        <f>KKM!X9</f>
        <v>TIK</v>
      </c>
      <c r="BZ2" s="1508"/>
      <c r="CA2" s="1508"/>
      <c r="CB2" s="1508"/>
      <c r="CC2" s="1508"/>
      <c r="CD2" s="1508"/>
      <c r="CE2" s="647">
        <f>DEPAN!J5</f>
        <v>3</v>
      </c>
    </row>
    <row r="3" spans="1:83" s="648" customFormat="1" ht="15.75">
      <c r="A3" s="1220"/>
      <c r="B3" s="1220"/>
      <c r="C3" s="633"/>
      <c r="D3" s="650" t="str">
        <f>'PKN3'!E3</f>
        <v>3.2</v>
      </c>
      <c r="E3" s="650" t="str">
        <f>'PKN3'!F3</f>
        <v>3.3</v>
      </c>
      <c r="F3" s="650" t="str">
        <f>'PKN3'!G3</f>
        <v>3.4</v>
      </c>
      <c r="G3" s="650" t="str">
        <f>'PKN3'!H3</f>
        <v/>
      </c>
      <c r="H3" s="650" t="str">
        <f>'PKN3'!I3</f>
        <v/>
      </c>
      <c r="I3" s="650" t="str">
        <f>'PKN3'!J3</f>
        <v/>
      </c>
      <c r="J3" s="651" t="str">
        <f>BIND3!AA3</f>
        <v>3.3</v>
      </c>
      <c r="K3" s="651" t="str">
        <f>BIND3!AB3</f>
        <v>3.6</v>
      </c>
      <c r="L3" s="651" t="str">
        <f>BIND3!AC3</f>
        <v>3.7</v>
      </c>
      <c r="M3" s="651" t="str">
        <f>BIND3!AD3</f>
        <v>3.9</v>
      </c>
      <c r="N3" s="651" t="str">
        <f>BIND3!AE3</f>
        <v>3.10</v>
      </c>
      <c r="O3" s="651" t="str">
        <f>BIND3!AF3</f>
        <v/>
      </c>
      <c r="P3" s="651" t="str">
        <f>BIND3!AG3</f>
        <v/>
      </c>
      <c r="Q3" s="651"/>
      <c r="R3" s="652" t="str">
        <f>'MTK3'!AE3</f>
        <v>3.1</v>
      </c>
      <c r="S3" s="652" t="str">
        <f>'MTK3'!AF3</f>
        <v>3.2</v>
      </c>
      <c r="T3" s="652" t="str">
        <f>'MTK3'!AG3</f>
        <v>3.3</v>
      </c>
      <c r="U3" s="652" t="str">
        <f>'MTK3'!AH3</f>
        <v>3.4</v>
      </c>
      <c r="V3" s="652" t="str">
        <f>'MTK3'!AI3</f>
        <v>3.5</v>
      </c>
      <c r="W3" s="652" t="str">
        <f>'MTK3'!AJ3</f>
        <v>3.6</v>
      </c>
      <c r="X3" s="652" t="str">
        <f>'MTK3'!AK3</f>
        <v>3.7</v>
      </c>
      <c r="Y3" s="652">
        <f>'MTK3'!AL3</f>
        <v>0</v>
      </c>
      <c r="Z3" s="653" t="str">
        <f>'IPA3'!Y3</f>
        <v>3.2</v>
      </c>
      <c r="AA3" s="653" t="str">
        <f>'IPA3'!Z3</f>
        <v>3.3</v>
      </c>
      <c r="AB3" s="653" t="str">
        <f>'IPA3'!AA3</f>
        <v>3.4</v>
      </c>
      <c r="AC3" s="653" t="str">
        <f>'IPA3'!AB3</f>
        <v>3.5</v>
      </c>
      <c r="AD3" s="653" t="str">
        <f>'IPA3'!AC3</f>
        <v/>
      </c>
      <c r="AE3" s="653" t="str">
        <f>'IPA3'!AD3</f>
        <v/>
      </c>
      <c r="AF3" s="654" t="str">
        <f>'IPS3'!Y3:Y4</f>
        <v>3.1</v>
      </c>
      <c r="AG3" s="654" t="str">
        <f>'IPS3'!Z3:Z4</f>
        <v>3.2</v>
      </c>
      <c r="AH3" s="654" t="str">
        <f>'IPS3'!AA3:AA4</f>
        <v>3.3</v>
      </c>
      <c r="AI3" s="654" t="str">
        <f>'IPS3'!AB3:AB4</f>
        <v/>
      </c>
      <c r="AJ3" s="654" t="str">
        <f>'IPS3'!AC3:AC4</f>
        <v/>
      </c>
      <c r="AK3" s="654" t="str">
        <f>'IPS3'!AD3:AD4</f>
        <v/>
      </c>
      <c r="AL3" s="655" t="str">
        <f>SBDP3!Y3</f>
        <v>3.1</v>
      </c>
      <c r="AM3" s="655" t="str">
        <f>SBDP3!Z3</f>
        <v>3.2</v>
      </c>
      <c r="AN3" s="655" t="str">
        <f>SBDP3!AA3</f>
        <v>3.3</v>
      </c>
      <c r="AO3" s="655" t="str">
        <f>SBDP3!AB3</f>
        <v>3.4</v>
      </c>
      <c r="AP3" s="655" t="str">
        <f>SBDP3!AC3</f>
        <v/>
      </c>
      <c r="AQ3" s="656"/>
      <c r="AR3" s="658">
        <f>'PAI3'!AQ5</f>
        <v>3.1</v>
      </c>
      <c r="AS3" s="658">
        <f>'PAI3'!AR5</f>
        <v>3.4</v>
      </c>
      <c r="AT3" s="658">
        <f>'PAI3'!AS5</f>
        <v>3.12</v>
      </c>
      <c r="AU3" s="658">
        <f>'PAI3'!AT5</f>
        <v>3.13</v>
      </c>
      <c r="AV3" s="658">
        <f>'PAI3'!AU5</f>
        <v>3.7</v>
      </c>
      <c r="AW3" s="658">
        <f>'PAI3'!AV5</f>
        <v>3.8</v>
      </c>
      <c r="AX3" s="658">
        <f>'PAI3'!AW5</f>
        <v>3.15</v>
      </c>
      <c r="AY3" s="658" t="str">
        <f>'PAI3'!AX5</f>
        <v>3.21</v>
      </c>
      <c r="AZ3" s="658">
        <f>'PAI3'!AY5</f>
        <v>0</v>
      </c>
      <c r="BA3" s="658">
        <f>'PAI3'!AZ5</f>
        <v>0</v>
      </c>
      <c r="BB3" s="658">
        <f>'PAI3'!BA5</f>
        <v>0</v>
      </c>
      <c r="BC3" s="658">
        <f>'PAI3'!BB5</f>
        <v>0</v>
      </c>
      <c r="BD3" s="658">
        <f>'PAI3'!BC5</f>
        <v>0</v>
      </c>
      <c r="BE3" s="657" t="str">
        <f>PJOK3!Y3</f>
        <v>3.3</v>
      </c>
      <c r="BF3" s="657" t="str">
        <f>PJOK3!Z3</f>
        <v>3.2</v>
      </c>
      <c r="BG3" s="657" t="str">
        <f>PJOK3!AA3</f>
        <v>3.5</v>
      </c>
      <c r="BH3" s="657" t="str">
        <f>PJOK3!AB3</f>
        <v>3.4</v>
      </c>
      <c r="BI3" s="657" t="str">
        <f>PJOK3!AC3</f>
        <v>3.6</v>
      </c>
      <c r="BJ3" s="657" t="str">
        <f>PJOK3!AD3</f>
        <v/>
      </c>
      <c r="BK3" s="657"/>
      <c r="BL3" s="657"/>
      <c r="BM3" s="659" t="str">
        <f>'MLK1-3'!AC3</f>
        <v>3.5</v>
      </c>
      <c r="BN3" s="659" t="str">
        <f>'MLK1-3'!AD3</f>
        <v>3.6</v>
      </c>
      <c r="BO3" s="659" t="str">
        <f>'MLK1-3'!AE3</f>
        <v>3.7</v>
      </c>
      <c r="BP3" s="659"/>
      <c r="BQ3" s="660"/>
      <c r="BR3" s="661"/>
      <c r="BS3" s="662" t="str">
        <f>'MLK2-3'!AA3</f>
        <v>3.5</v>
      </c>
      <c r="BT3" s="662" t="str">
        <f>'MLK2-3'!AB3</f>
        <v>3.6</v>
      </c>
      <c r="BU3" s="662" t="str">
        <f>'MLK2-3'!AC3</f>
        <v>3.7</v>
      </c>
      <c r="BV3" s="662" t="str">
        <f>'MLK2-3'!AD3</f>
        <v>3.8</v>
      </c>
      <c r="BW3" s="662" t="str">
        <f>'MLK2-3'!AE3</f>
        <v/>
      </c>
      <c r="BX3" s="662" t="str">
        <f>'MLK2-3'!AG3</f>
        <v/>
      </c>
      <c r="BY3" s="663" t="str">
        <f>'MLK3-3'!AA3:AA4</f>
        <v>3.5</v>
      </c>
      <c r="BZ3" s="663" t="str">
        <f>'MLK3-3'!AB3:AB4</f>
        <v>3.6</v>
      </c>
      <c r="CA3" s="663"/>
      <c r="CB3" s="663"/>
      <c r="CC3" s="664"/>
      <c r="CD3" s="663"/>
      <c r="CE3" s="108" t="e">
        <f>(#REF!+CE2)*2</f>
        <v>#REF!</v>
      </c>
    </row>
    <row r="4" spans="1:83" ht="20.25" customHeight="1">
      <c r="A4" s="113">
        <v>1</v>
      </c>
      <c r="B4" s="410" t="str">
        <f>SISWA!C6</f>
        <v>Anak 1</v>
      </c>
      <c r="C4" s="410"/>
      <c r="D4" s="412">
        <f>ROUND('PKN3'!S5,0)</f>
        <v>89</v>
      </c>
      <c r="E4" s="412">
        <f>ROUND('PKN3'!T5,0)</f>
        <v>99</v>
      </c>
      <c r="F4" s="412">
        <f>ROUND('PKN3'!U5,0)</f>
        <v>99</v>
      </c>
      <c r="G4" s="412">
        <f>ROUND('PKN3'!V5,0)</f>
        <v>0</v>
      </c>
      <c r="H4" s="412">
        <f>ROUND('PKN3'!W5,0)</f>
        <v>0</v>
      </c>
      <c r="I4" s="412">
        <f>ROUND('PKN3'!X5,0)</f>
        <v>0</v>
      </c>
      <c r="J4" s="412">
        <f>ROUND(BIND3!AA5,0)</f>
        <v>89</v>
      </c>
      <c r="K4" s="412">
        <f>ROUND(BIND3!AB5,0)</f>
        <v>51</v>
      </c>
      <c r="L4" s="412">
        <f>ROUND(BIND3!AC5,0)</f>
        <v>0</v>
      </c>
      <c r="M4" s="412">
        <f>ROUND(BIND3!AD5,0)</f>
        <v>0</v>
      </c>
      <c r="N4" s="412">
        <f>ROUND(BIND3!AE5,0)</f>
        <v>0</v>
      </c>
      <c r="O4" s="412">
        <f>ROUND(BIND3!AF5,0)</f>
        <v>0</v>
      </c>
      <c r="P4" s="412">
        <f>ROUND(BIND3!AG5,0)</f>
        <v>0</v>
      </c>
      <c r="Q4" s="412">
        <f>ROUND(BIND3!AH5,0)</f>
        <v>0</v>
      </c>
      <c r="R4" s="412">
        <f>ROUND('MTK3'!AE5,0)</f>
        <v>88</v>
      </c>
      <c r="S4" s="412">
        <f>ROUND('MTK3'!AF5,0)</f>
        <v>76</v>
      </c>
      <c r="T4" s="412">
        <f>ROUND('MTK3'!AG5,0)</f>
        <v>0</v>
      </c>
      <c r="U4" s="412">
        <f>ROUND('MTK3'!AH5,0)</f>
        <v>0</v>
      </c>
      <c r="V4" s="412">
        <f>ROUND('MTK3'!AI5,0)</f>
        <v>0</v>
      </c>
      <c r="W4" s="412">
        <f>ROUND('MTK3'!AJ5,0)</f>
        <v>0</v>
      </c>
      <c r="X4" s="412">
        <f>ROUND('MTK3'!AK5,0)</f>
        <v>0</v>
      </c>
      <c r="Y4" s="414"/>
      <c r="Z4" s="412">
        <f>ROUND('IPA3'!Y5,0)</f>
        <v>87</v>
      </c>
      <c r="AA4" s="412">
        <f>ROUND('IPA3'!Z5,0)</f>
        <v>89</v>
      </c>
      <c r="AB4" s="412">
        <f>ROUND('IPA3'!AA5,0)</f>
        <v>97</v>
      </c>
      <c r="AC4" s="412">
        <f>ROUND('IPA3'!AB5,0)</f>
        <v>99</v>
      </c>
      <c r="AD4" s="412">
        <f>ROUND('IPA3'!AC5,0)</f>
        <v>0</v>
      </c>
      <c r="AE4" s="413"/>
      <c r="AF4" s="412">
        <f>ROUND('IPS3'!Y5,0)</f>
        <v>0</v>
      </c>
      <c r="AG4" s="412">
        <f>ROUND('IPS3'!Z5,0)</f>
        <v>0</v>
      </c>
      <c r="AH4" s="412">
        <f>ROUND('IPS3'!AA5,0)</f>
        <v>0</v>
      </c>
      <c r="AI4" s="412">
        <f>ROUND('IPS3'!AB5,0)</f>
        <v>0</v>
      </c>
      <c r="AJ4" s="414"/>
      <c r="AK4" s="414"/>
      <c r="AL4" s="412">
        <f>ROUND(SBDP3!Y5,0)</f>
        <v>99</v>
      </c>
      <c r="AM4" s="412">
        <f>ROUND(SBDP3!Z5,0)</f>
        <v>89</v>
      </c>
      <c r="AN4" s="412">
        <f>ROUND(SBDP3!AA5,0)</f>
        <v>97</v>
      </c>
      <c r="AO4" s="412">
        <f>ROUND(SBDP3!AB5,0)</f>
        <v>0</v>
      </c>
      <c r="AP4" s="414"/>
      <c r="AQ4" s="413"/>
      <c r="AR4" s="412">
        <f>ROUND('PAI3'!AQ6,0)</f>
        <v>89</v>
      </c>
      <c r="AS4" s="412">
        <f>ROUND('PAI3'!AR6,0)</f>
        <v>99</v>
      </c>
      <c r="AT4" s="412">
        <f>ROUND('PAI3'!AS6,0)</f>
        <v>100</v>
      </c>
      <c r="AU4" s="412" t="e">
        <f>ROUND('PAI3'!AT6,0)</f>
        <v>#VALUE!</v>
      </c>
      <c r="AV4" s="412" t="e">
        <f>ROUND('PAI3'!AU6,0)</f>
        <v>#VALUE!</v>
      </c>
      <c r="AW4" s="412" t="e">
        <f>ROUND('PAI3'!AV6,0)</f>
        <v>#VALUE!</v>
      </c>
      <c r="AX4" s="412">
        <f>ROUND('PAI3'!AW6,0)</f>
        <v>78</v>
      </c>
      <c r="AY4" s="412" t="e">
        <f>ROUND('PAI3'!AX6,0)</f>
        <v>#VALUE!</v>
      </c>
      <c r="AZ4" s="412">
        <f>ROUND('PAI3'!AY6,0)</f>
        <v>0</v>
      </c>
      <c r="BA4" s="412">
        <f>ROUND('PAI3'!AZ6,0)</f>
        <v>0</v>
      </c>
      <c r="BB4" s="412">
        <f>ROUND('PAI3'!BA6,0)</f>
        <v>0</v>
      </c>
      <c r="BC4" s="412">
        <f>ROUND('PAI3'!BB6,0)</f>
        <v>0</v>
      </c>
      <c r="BD4" s="412">
        <f>ROUND('PAI3'!BC6,0)</f>
        <v>0</v>
      </c>
      <c r="BE4" s="412">
        <f>ROUND(PJOK3!Y5,0)</f>
        <v>61</v>
      </c>
      <c r="BF4" s="412">
        <f>ROUND(PJOK3!Z5,0)</f>
        <v>51</v>
      </c>
      <c r="BG4" s="412">
        <f>ROUND(PJOK3!AA5,0)</f>
        <v>89</v>
      </c>
      <c r="BH4" s="412">
        <f>ROUND(PJOK3!AB5,0)</f>
        <v>90</v>
      </c>
      <c r="BI4" s="412">
        <f>ROUND(PJOK3!AC5,0)</f>
        <v>87</v>
      </c>
      <c r="BJ4" s="412">
        <f>ROUND(PJOK3!AD5,0)</f>
        <v>0</v>
      </c>
      <c r="BK4" s="414"/>
      <c r="BL4" s="413"/>
      <c r="BM4" s="412">
        <f>ROUND('MLK1-3'!AC5,0)</f>
        <v>88</v>
      </c>
      <c r="BN4" s="412">
        <f>ROUND('MLK1-3'!AD5,0)</f>
        <v>61</v>
      </c>
      <c r="BO4" s="412">
        <f>ROUND('MLK1-3'!AE5,0)</f>
        <v>51</v>
      </c>
      <c r="BP4" s="414"/>
      <c r="BQ4" s="414"/>
      <c r="BR4" s="415"/>
      <c r="BS4" s="412">
        <f>ROUND('MLK2-3'!AA5,0)</f>
        <v>88</v>
      </c>
      <c r="BT4" s="412">
        <f>ROUND('MLK2-3'!AB5,0)</f>
        <v>61</v>
      </c>
      <c r="BU4" s="412">
        <f>ROUND('MLK2-3'!AC5,0)</f>
        <v>51</v>
      </c>
      <c r="BV4" s="412">
        <f>ROUND('MLK2-3'!AD5,0)</f>
        <v>90</v>
      </c>
      <c r="BW4" s="414"/>
      <c r="BX4" s="413"/>
      <c r="BY4" s="412">
        <f>ROUND('MLK3-3'!AA5,0)</f>
        <v>61</v>
      </c>
      <c r="BZ4" s="412">
        <f>ROUND('MLK3-3'!AB5,0)</f>
        <v>51</v>
      </c>
      <c r="CA4" s="414"/>
      <c r="CB4" s="414"/>
      <c r="CC4" s="414"/>
      <c r="CD4" s="415"/>
    </row>
    <row r="5" spans="1:83" ht="20.25" customHeight="1">
      <c r="A5" s="113">
        <v>2</v>
      </c>
      <c r="B5" s="410" t="str">
        <f>SISWA!C7</f>
        <v>Anak 2</v>
      </c>
      <c r="C5" s="410"/>
      <c r="D5" s="412">
        <f>ROUND('PKN3'!S6,0)</f>
        <v>99</v>
      </c>
      <c r="E5" s="412">
        <f>ROUND('PKN3'!T6,0)</f>
        <v>99</v>
      </c>
      <c r="F5" s="412">
        <f>ROUND('PKN3'!U6,0)</f>
        <v>88</v>
      </c>
      <c r="G5" s="412">
        <f>ROUND('PKN3'!V6,0)</f>
        <v>0</v>
      </c>
      <c r="H5" s="412">
        <f>ROUND('PKN3'!W6,0)</f>
        <v>0</v>
      </c>
      <c r="I5" s="412">
        <f>ROUND('PKN3'!X6,0)</f>
        <v>0</v>
      </c>
      <c r="J5" s="412">
        <f>ROUND(BIND3!AA6,0)</f>
        <v>96</v>
      </c>
      <c r="K5" s="412">
        <f>ROUND(BIND3!AB6,0)</f>
        <v>95</v>
      </c>
      <c r="L5" s="412">
        <f>ROUND(BIND3!AC6,0)</f>
        <v>99</v>
      </c>
      <c r="M5" s="412">
        <f>ROUND(BIND3!AD6,0)</f>
        <v>99</v>
      </c>
      <c r="N5" s="412">
        <f>ROUND(BIND3!AE6,0)</f>
        <v>99</v>
      </c>
      <c r="O5" s="412">
        <f>ROUND(BIND3!AF6,0)</f>
        <v>0</v>
      </c>
      <c r="P5" s="412">
        <f>ROUND(BIND3!AG6,0)</f>
        <v>0</v>
      </c>
      <c r="Q5" s="412">
        <f>ROUND(BIND3!AH6,0)</f>
        <v>0</v>
      </c>
      <c r="R5" s="412">
        <f>ROUND('MTK3'!AE6,0)</f>
        <v>65</v>
      </c>
      <c r="S5" s="412">
        <f>ROUND('MTK3'!AF6,0)</f>
        <v>88</v>
      </c>
      <c r="T5" s="412">
        <f>ROUND('MTK3'!AG6,0)</f>
        <v>0</v>
      </c>
      <c r="U5" s="412">
        <f>ROUND('MTK3'!AH6,0)</f>
        <v>0</v>
      </c>
      <c r="V5" s="412">
        <f>ROUND('MTK3'!AI6,0)</f>
        <v>0</v>
      </c>
      <c r="W5" s="412">
        <f>ROUND('MTK3'!AJ6,0)</f>
        <v>0</v>
      </c>
      <c r="X5" s="412">
        <f>ROUND('MTK3'!AK6,0)</f>
        <v>0</v>
      </c>
      <c r="Y5" s="414"/>
      <c r="Z5" s="412">
        <f>ROUND('IPA3'!Y6,0)</f>
        <v>87</v>
      </c>
      <c r="AA5" s="412">
        <f>ROUND('IPA3'!Z6,0)</f>
        <v>88</v>
      </c>
      <c r="AB5" s="412">
        <f>ROUND('IPA3'!AA6,0)</f>
        <v>98</v>
      </c>
      <c r="AC5" s="412">
        <f>ROUND('IPA3'!AB6,0)</f>
        <v>98</v>
      </c>
      <c r="AD5" s="412">
        <f>ROUND('IPA3'!AC6,0)</f>
        <v>0</v>
      </c>
      <c r="AE5" s="413"/>
      <c r="AF5" s="412">
        <f>ROUND('IPS3'!Y6,0)</f>
        <v>87</v>
      </c>
      <c r="AG5" s="412">
        <f>ROUND('IPS3'!Z6,0)</f>
        <v>88</v>
      </c>
      <c r="AH5" s="412">
        <f>ROUND('IPS3'!AA6,0)</f>
        <v>98</v>
      </c>
      <c r="AI5" s="412">
        <f>ROUND('IPS3'!AB6,0)</f>
        <v>0</v>
      </c>
      <c r="AJ5" s="414"/>
      <c r="AK5" s="414"/>
      <c r="AL5" s="412">
        <f>ROUND(SBDP3!Y6,0)</f>
        <v>87</v>
      </c>
      <c r="AM5" s="412">
        <f>ROUND(SBDP3!Z6,0)</f>
        <v>89</v>
      </c>
      <c r="AN5" s="412">
        <f>ROUND(SBDP3!AA6,0)</f>
        <v>97</v>
      </c>
      <c r="AO5" s="412">
        <f>ROUND(SBDP3!AB6,0)</f>
        <v>0</v>
      </c>
      <c r="AP5" s="414"/>
      <c r="AQ5" s="413"/>
      <c r="AR5" s="412">
        <f>ROUND('PAI3'!AQ7,0)</f>
        <v>99</v>
      </c>
      <c r="AS5" s="412">
        <f>ROUND('PAI3'!AR7,0)</f>
        <v>99</v>
      </c>
      <c r="AT5" s="412">
        <f>ROUND('PAI3'!AS7,0)</f>
        <v>99</v>
      </c>
      <c r="AU5" s="412" t="e">
        <f>ROUND('PAI3'!AT7,0)</f>
        <v>#VALUE!</v>
      </c>
      <c r="AV5" s="412" t="e">
        <f>ROUND('PAI3'!AU7,0)</f>
        <v>#VALUE!</v>
      </c>
      <c r="AW5" s="412" t="e">
        <f>ROUND('PAI3'!AV7,0)</f>
        <v>#VALUE!</v>
      </c>
      <c r="AX5" s="412" t="e">
        <f>ROUND('PAI3'!AW7,0)</f>
        <v>#VALUE!</v>
      </c>
      <c r="AY5" s="412" t="e">
        <f>ROUND('PAI3'!AX7,0)</f>
        <v>#VALUE!</v>
      </c>
      <c r="AZ5" s="412">
        <f>ROUND('PAI3'!AY7,0)</f>
        <v>0</v>
      </c>
      <c r="BA5" s="412">
        <f>ROUND('PAI3'!AZ7,0)</f>
        <v>0</v>
      </c>
      <c r="BB5" s="412">
        <f>ROUND('PAI3'!BA7,0)</f>
        <v>0</v>
      </c>
      <c r="BC5" s="412">
        <f>ROUND('PAI3'!BB7,0)</f>
        <v>0</v>
      </c>
      <c r="BD5" s="412">
        <f>ROUND('PAI3'!BC7,0)</f>
        <v>0</v>
      </c>
      <c r="BE5" s="412">
        <f>ROUND(PJOK3!Y6,0)</f>
        <v>96</v>
      </c>
      <c r="BF5" s="412">
        <f>ROUND(PJOK3!Z6,0)</f>
        <v>95</v>
      </c>
      <c r="BG5" s="412">
        <f>ROUND(PJOK3!AA6,0)</f>
        <v>67</v>
      </c>
      <c r="BH5" s="412">
        <f>ROUND(PJOK3!AB6,0)</f>
        <v>86</v>
      </c>
      <c r="BI5" s="412">
        <f>ROUND(PJOK3!AC6,0)</f>
        <v>66</v>
      </c>
      <c r="BJ5" s="412">
        <f>ROUND(PJOK3!AD6,0)</f>
        <v>0</v>
      </c>
      <c r="BK5" s="414"/>
      <c r="BL5" s="413"/>
      <c r="BM5" s="412">
        <f>ROUND('MLK1-3'!AC6,0)</f>
        <v>67</v>
      </c>
      <c r="BN5" s="412">
        <f>ROUND('MLK1-3'!AD6,0)</f>
        <v>96</v>
      </c>
      <c r="BO5" s="412">
        <f>ROUND('MLK1-3'!AE6,0)</f>
        <v>95</v>
      </c>
      <c r="BP5" s="414"/>
      <c r="BQ5" s="414"/>
      <c r="BR5" s="415"/>
      <c r="BS5" s="412">
        <f>ROUND('MLK2-3'!AA6,0)</f>
        <v>65</v>
      </c>
      <c r="BT5" s="412">
        <f>ROUND('MLK2-3'!AB6,0)</f>
        <v>96</v>
      </c>
      <c r="BU5" s="412">
        <f>ROUND('MLK2-3'!AC6,0)</f>
        <v>95</v>
      </c>
      <c r="BV5" s="412">
        <f>ROUND('MLK2-3'!AD6,0)</f>
        <v>86</v>
      </c>
      <c r="BW5" s="414"/>
      <c r="BX5" s="413"/>
      <c r="BY5" s="412">
        <f>ROUND('MLK3-3'!AA6,0)</f>
        <v>96</v>
      </c>
      <c r="BZ5" s="412">
        <f>ROUND('MLK3-3'!AB6,0)</f>
        <v>95</v>
      </c>
      <c r="CA5" s="414"/>
      <c r="CB5" s="414"/>
      <c r="CC5" s="414"/>
      <c r="CD5" s="415"/>
    </row>
    <row r="6" spans="1:83" ht="20.25" customHeight="1">
      <c r="A6" s="113">
        <v>3</v>
      </c>
      <c r="B6" s="410" t="str">
        <f>SISWA!C8</f>
        <v>Anak 3</v>
      </c>
      <c r="C6" s="410"/>
      <c r="D6" s="412">
        <f>ROUND('PKN3'!S7,0)</f>
        <v>99</v>
      </c>
      <c r="E6" s="412">
        <f>ROUND('PKN3'!T7,0)</f>
        <v>99</v>
      </c>
      <c r="F6" s="412">
        <f>ROUND('PKN3'!U7,0)</f>
        <v>99</v>
      </c>
      <c r="G6" s="412">
        <f>ROUND('PKN3'!V7,0)</f>
        <v>0</v>
      </c>
      <c r="H6" s="412">
        <f>ROUND('PKN3'!W7,0)</f>
        <v>0</v>
      </c>
      <c r="I6" s="412">
        <f>ROUND('PKN3'!X7,0)</f>
        <v>0</v>
      </c>
      <c r="J6" s="412">
        <f>ROUND(BIND3!AA7,0)</f>
        <v>95</v>
      </c>
      <c r="K6" s="412">
        <f>ROUND(BIND3!AB7,0)</f>
        <v>79</v>
      </c>
      <c r="L6" s="412">
        <f>ROUND(BIND3!AC7,0)</f>
        <v>99</v>
      </c>
      <c r="M6" s="412">
        <f>ROUND(BIND3!AD7,0)</f>
        <v>99</v>
      </c>
      <c r="N6" s="412">
        <f>ROUND(BIND3!AE7,0)</f>
        <v>99</v>
      </c>
      <c r="O6" s="412">
        <f>ROUND(BIND3!AF7,0)</f>
        <v>0</v>
      </c>
      <c r="P6" s="412">
        <f>ROUND(BIND3!AG7,0)</f>
        <v>0</v>
      </c>
      <c r="Q6" s="412">
        <f>ROUND(BIND3!AH7,0)</f>
        <v>0</v>
      </c>
      <c r="R6" s="412">
        <f>ROUND('MTK3'!AE7,0)</f>
        <v>95</v>
      </c>
      <c r="S6" s="412">
        <f>ROUND('MTK3'!AF7,0)</f>
        <v>79</v>
      </c>
      <c r="T6" s="412">
        <f>ROUND('MTK3'!AG7,0)</f>
        <v>0</v>
      </c>
      <c r="U6" s="412">
        <f>ROUND('MTK3'!AH7,0)</f>
        <v>0</v>
      </c>
      <c r="V6" s="412">
        <f>ROUND('MTK3'!AI7,0)</f>
        <v>0</v>
      </c>
      <c r="W6" s="412">
        <f>ROUND('MTK3'!AJ7,0)</f>
        <v>0</v>
      </c>
      <c r="X6" s="412">
        <f>ROUND('MTK3'!AK7,0)</f>
        <v>88</v>
      </c>
      <c r="Y6" s="414"/>
      <c r="Z6" s="412">
        <f>ROUND('IPA3'!Y7,0)</f>
        <v>99</v>
      </c>
      <c r="AA6" s="412">
        <f>ROUND('IPA3'!Z7,0)</f>
        <v>99</v>
      </c>
      <c r="AB6" s="412">
        <f>ROUND('IPA3'!AA7,0)</f>
        <v>99</v>
      </c>
      <c r="AC6" s="412">
        <f>ROUND('IPA3'!AB7,0)</f>
        <v>99</v>
      </c>
      <c r="AD6" s="412">
        <f>ROUND('IPA3'!AC7,0)</f>
        <v>0</v>
      </c>
      <c r="AE6" s="413"/>
      <c r="AF6" s="412">
        <f>ROUND('IPS3'!Y7,0)</f>
        <v>99</v>
      </c>
      <c r="AG6" s="412">
        <f>ROUND('IPS3'!Z7,0)</f>
        <v>99</v>
      </c>
      <c r="AH6" s="412">
        <f>ROUND('IPS3'!AA7,0)</f>
        <v>99</v>
      </c>
      <c r="AI6" s="412">
        <f>ROUND('IPS3'!AB7,0)</f>
        <v>0</v>
      </c>
      <c r="AJ6" s="414"/>
      <c r="AK6" s="414"/>
      <c r="AL6" s="412">
        <f>ROUND(SBDP3!Y7,0)</f>
        <v>87</v>
      </c>
      <c r="AM6" s="412">
        <f>ROUND(SBDP3!Z7,0)</f>
        <v>88</v>
      </c>
      <c r="AN6" s="412">
        <f>ROUND(SBDP3!AA7,0)</f>
        <v>98</v>
      </c>
      <c r="AO6" s="412">
        <f>ROUND(SBDP3!AB7,0)</f>
        <v>0</v>
      </c>
      <c r="AP6" s="414"/>
      <c r="AQ6" s="413"/>
      <c r="AR6" s="412">
        <f>ROUND('PAI3'!AQ8,0)</f>
        <v>99</v>
      </c>
      <c r="AS6" s="412">
        <f>ROUND('PAI3'!AR8,0)</f>
        <v>99</v>
      </c>
      <c r="AT6" s="412">
        <f>ROUND('PAI3'!AS8,0)</f>
        <v>99</v>
      </c>
      <c r="AU6" s="412" t="e">
        <f>ROUND('PAI3'!AT8,0)</f>
        <v>#VALUE!</v>
      </c>
      <c r="AV6" s="412" t="e">
        <f>ROUND('PAI3'!AU8,0)</f>
        <v>#VALUE!</v>
      </c>
      <c r="AW6" s="412" t="e">
        <f>ROUND('PAI3'!AV8,0)</f>
        <v>#VALUE!</v>
      </c>
      <c r="AX6" s="412" t="e">
        <f>ROUND('PAI3'!AW8,0)</f>
        <v>#VALUE!</v>
      </c>
      <c r="AY6" s="412" t="e">
        <f>ROUND('PAI3'!AX8,0)</f>
        <v>#VALUE!</v>
      </c>
      <c r="AZ6" s="412">
        <f>ROUND('PAI3'!AY8,0)</f>
        <v>0</v>
      </c>
      <c r="BA6" s="412">
        <f>ROUND('PAI3'!AZ8,0)</f>
        <v>0</v>
      </c>
      <c r="BB6" s="412">
        <f>ROUND('PAI3'!BA8,0)</f>
        <v>0</v>
      </c>
      <c r="BC6" s="412">
        <f>ROUND('PAI3'!BB8,0)</f>
        <v>0</v>
      </c>
      <c r="BD6" s="412">
        <f>ROUND('PAI3'!BC8,0)</f>
        <v>0</v>
      </c>
      <c r="BE6" s="412">
        <f>ROUND(PJOK3!Y7,0)</f>
        <v>95</v>
      </c>
      <c r="BF6" s="412">
        <f>ROUND(PJOK3!Z7,0)</f>
        <v>79</v>
      </c>
      <c r="BG6" s="412">
        <f>ROUND(PJOK3!AA7,0)</f>
        <v>0</v>
      </c>
      <c r="BH6" s="412">
        <f>ROUND(PJOK3!AB7,0)</f>
        <v>0</v>
      </c>
      <c r="BI6" s="412">
        <f>ROUND(PJOK3!AC7,0)</f>
        <v>0</v>
      </c>
      <c r="BJ6" s="412">
        <f>ROUND(PJOK3!AD7,0)</f>
        <v>0</v>
      </c>
      <c r="BK6" s="414"/>
      <c r="BL6" s="413"/>
      <c r="BM6" s="412">
        <f>ROUND('MLK1-3'!AC7,0)</f>
        <v>0</v>
      </c>
      <c r="BN6" s="412">
        <f>ROUND('MLK1-3'!AD7,0)</f>
        <v>95</v>
      </c>
      <c r="BO6" s="412">
        <f>ROUND('MLK1-3'!AE7,0)</f>
        <v>79</v>
      </c>
      <c r="BP6" s="414"/>
      <c r="BQ6" s="414"/>
      <c r="BR6" s="415"/>
      <c r="BS6" s="412">
        <f>ROUND('MLK2-3'!AA7,0)</f>
        <v>0</v>
      </c>
      <c r="BT6" s="412">
        <f>ROUND('MLK2-3'!AB7,0)</f>
        <v>95</v>
      </c>
      <c r="BU6" s="412">
        <f>ROUND('MLK2-3'!AC7,0)</f>
        <v>79</v>
      </c>
      <c r="BV6" s="412">
        <f>ROUND('MLK2-3'!AD7,0)</f>
        <v>0</v>
      </c>
      <c r="BW6" s="414"/>
      <c r="BX6" s="413"/>
      <c r="BY6" s="412">
        <f>ROUND('MLK3-3'!AA7,0)</f>
        <v>95</v>
      </c>
      <c r="BZ6" s="412">
        <f>ROUND('MLK3-3'!AB7,0)</f>
        <v>79</v>
      </c>
      <c r="CA6" s="414"/>
      <c r="CB6" s="414"/>
      <c r="CC6" s="414"/>
      <c r="CD6" s="415"/>
    </row>
    <row r="7" spans="1:83" ht="20.25" customHeight="1">
      <c r="A7" s="113">
        <v>4</v>
      </c>
      <c r="B7" s="410" t="str">
        <f>SISWA!C9</f>
        <v>Anak 4</v>
      </c>
      <c r="C7" s="410"/>
      <c r="D7" s="412">
        <f>ROUND('PKN3'!S8,0)</f>
        <v>99</v>
      </c>
      <c r="E7" s="412">
        <f>ROUND('PKN3'!T8,0)</f>
        <v>99</v>
      </c>
      <c r="F7" s="412">
        <f>ROUND('PKN3'!U8,0)</f>
        <v>99</v>
      </c>
      <c r="G7" s="412">
        <f>ROUND('PKN3'!V8,0)</f>
        <v>0</v>
      </c>
      <c r="H7" s="412">
        <f>ROUND('PKN3'!W8,0)</f>
        <v>0</v>
      </c>
      <c r="I7" s="412">
        <f>ROUND('PKN3'!X8,0)</f>
        <v>0</v>
      </c>
      <c r="J7" s="412">
        <f>ROUND(BIND3!AA8,0)</f>
        <v>79</v>
      </c>
      <c r="K7" s="412">
        <f>ROUND(BIND3!AB8,0)</f>
        <v>79</v>
      </c>
      <c r="L7" s="412">
        <f>ROUND(BIND3!AC8,0)</f>
        <v>0</v>
      </c>
      <c r="M7" s="412">
        <f>ROUND(BIND3!AD8,0)</f>
        <v>0</v>
      </c>
      <c r="N7" s="412">
        <f>ROUND(BIND3!AE8,0)</f>
        <v>0</v>
      </c>
      <c r="O7" s="412">
        <f>ROUND(BIND3!AF8,0)</f>
        <v>0</v>
      </c>
      <c r="P7" s="412">
        <f>ROUND(BIND3!AG8,0)</f>
        <v>0</v>
      </c>
      <c r="Q7" s="412">
        <f>ROUND(BIND3!AH8,0)</f>
        <v>0</v>
      </c>
      <c r="R7" s="412">
        <f>ROUND('MTK3'!AE8,0)</f>
        <v>79</v>
      </c>
      <c r="S7" s="412">
        <f>ROUND('MTK3'!AF8,0)</f>
        <v>79</v>
      </c>
      <c r="T7" s="412">
        <f>ROUND('MTK3'!AG8,0)</f>
        <v>0</v>
      </c>
      <c r="U7" s="412">
        <f>ROUND('MTK3'!AH8,0)</f>
        <v>0</v>
      </c>
      <c r="V7" s="412">
        <f>ROUND('MTK3'!AI8,0)</f>
        <v>0</v>
      </c>
      <c r="W7" s="412">
        <f>ROUND('MTK3'!AJ8,0)</f>
        <v>0</v>
      </c>
      <c r="X7" s="412">
        <f>ROUND('MTK3'!AK8,0)</f>
        <v>0</v>
      </c>
      <c r="Y7" s="414"/>
      <c r="Z7" s="412">
        <f>ROUND('IPA3'!Y8,0)</f>
        <v>0</v>
      </c>
      <c r="AA7" s="412">
        <f>ROUND('IPA3'!Z8,0)</f>
        <v>0</v>
      </c>
      <c r="AB7" s="412">
        <f>ROUND('IPA3'!AA8,0)</f>
        <v>0</v>
      </c>
      <c r="AC7" s="412">
        <f>ROUND('IPA3'!AB8,0)</f>
        <v>0</v>
      </c>
      <c r="AD7" s="412">
        <f>ROUND('IPA3'!AC8,0)</f>
        <v>0</v>
      </c>
      <c r="AE7" s="413"/>
      <c r="AF7" s="412">
        <f>ROUND('IPS3'!Y8,0)</f>
        <v>99</v>
      </c>
      <c r="AG7" s="412">
        <f>ROUND('IPS3'!Z8,0)</f>
        <v>99</v>
      </c>
      <c r="AH7" s="412">
        <f>ROUND('IPS3'!AA8,0)</f>
        <v>99</v>
      </c>
      <c r="AI7" s="412">
        <f>ROUND('IPS3'!AB8,0)</f>
        <v>0</v>
      </c>
      <c r="AJ7" s="414"/>
      <c r="AK7" s="414"/>
      <c r="AL7" s="412">
        <f>ROUND(SBDP3!Y8,0)</f>
        <v>99</v>
      </c>
      <c r="AM7" s="412">
        <f>ROUND(SBDP3!Z8,0)</f>
        <v>99</v>
      </c>
      <c r="AN7" s="412">
        <f>ROUND(SBDP3!AA8,0)</f>
        <v>99</v>
      </c>
      <c r="AO7" s="412">
        <f>ROUND(SBDP3!AB8,0)</f>
        <v>0</v>
      </c>
      <c r="AP7" s="414"/>
      <c r="AQ7" s="413"/>
      <c r="AR7" s="412">
        <f>ROUND('PAI3'!AQ9,0)</f>
        <v>99</v>
      </c>
      <c r="AS7" s="412">
        <f>ROUND('PAI3'!AR9,0)</f>
        <v>99</v>
      </c>
      <c r="AT7" s="412">
        <f>ROUND('PAI3'!AS9,0)</f>
        <v>99</v>
      </c>
      <c r="AU7" s="412" t="e">
        <f>ROUND('PAI3'!AT9,0)</f>
        <v>#VALUE!</v>
      </c>
      <c r="AV7" s="412" t="e">
        <f>ROUND('PAI3'!AU9,0)</f>
        <v>#VALUE!</v>
      </c>
      <c r="AW7" s="412" t="e">
        <f>ROUND('PAI3'!AV9,0)</f>
        <v>#VALUE!</v>
      </c>
      <c r="AX7" s="412" t="e">
        <f>ROUND('PAI3'!AW9,0)</f>
        <v>#VALUE!</v>
      </c>
      <c r="AY7" s="412" t="e">
        <f>ROUND('PAI3'!AX9,0)</f>
        <v>#VALUE!</v>
      </c>
      <c r="AZ7" s="412">
        <f>ROUND('PAI3'!AY9,0)</f>
        <v>0</v>
      </c>
      <c r="BA7" s="412">
        <f>ROUND('PAI3'!AZ9,0)</f>
        <v>0</v>
      </c>
      <c r="BB7" s="412">
        <f>ROUND('PAI3'!BA9,0)</f>
        <v>0</v>
      </c>
      <c r="BC7" s="412">
        <f>ROUND('PAI3'!BB9,0)</f>
        <v>0</v>
      </c>
      <c r="BD7" s="412">
        <f>ROUND('PAI3'!BC9,0)</f>
        <v>0</v>
      </c>
      <c r="BE7" s="412">
        <f>ROUND(PJOK3!Y8,0)</f>
        <v>79</v>
      </c>
      <c r="BF7" s="412">
        <f>ROUND(PJOK3!Z8,0)</f>
        <v>79</v>
      </c>
      <c r="BG7" s="412">
        <f>ROUND(PJOK3!AA8,0)</f>
        <v>0</v>
      </c>
      <c r="BH7" s="412">
        <f>ROUND(PJOK3!AB8,0)</f>
        <v>0</v>
      </c>
      <c r="BI7" s="412">
        <f>ROUND(PJOK3!AC8,0)</f>
        <v>0</v>
      </c>
      <c r="BJ7" s="412">
        <f>ROUND(PJOK3!AD8,0)</f>
        <v>0</v>
      </c>
      <c r="BK7" s="414"/>
      <c r="BL7" s="413"/>
      <c r="BM7" s="412">
        <f>ROUND('MLK1-3'!AC8,0)</f>
        <v>0</v>
      </c>
      <c r="BN7" s="412">
        <f>ROUND('MLK1-3'!AD8,0)</f>
        <v>79</v>
      </c>
      <c r="BO7" s="412">
        <f>ROUND('MLK1-3'!AE8,0)</f>
        <v>79</v>
      </c>
      <c r="BP7" s="414"/>
      <c r="BQ7" s="414"/>
      <c r="BR7" s="415"/>
      <c r="BS7" s="412">
        <f>ROUND('MLK2-3'!AA8,0)</f>
        <v>0</v>
      </c>
      <c r="BT7" s="412">
        <f>ROUND('MLK2-3'!AB8,0)</f>
        <v>79</v>
      </c>
      <c r="BU7" s="412">
        <f>ROUND('MLK2-3'!AC8,0)</f>
        <v>79</v>
      </c>
      <c r="BV7" s="412">
        <f>ROUND('MLK2-3'!AD8,0)</f>
        <v>0</v>
      </c>
      <c r="BW7" s="414"/>
      <c r="BX7" s="413"/>
      <c r="BY7" s="412">
        <f>ROUND('MLK3-3'!AA8,0)</f>
        <v>79</v>
      </c>
      <c r="BZ7" s="412">
        <f>ROUND('MLK3-3'!AB8,0)</f>
        <v>79</v>
      </c>
      <c r="CA7" s="414"/>
      <c r="CB7" s="414"/>
      <c r="CC7" s="414"/>
      <c r="CD7" s="415"/>
    </row>
    <row r="8" spans="1:83" ht="20.25" customHeight="1">
      <c r="A8" s="113">
        <v>5</v>
      </c>
      <c r="B8" s="410" t="str">
        <f>SISWA!C10</f>
        <v>Anak 5</v>
      </c>
      <c r="C8" s="410"/>
      <c r="D8" s="412">
        <f>ROUND('PKN3'!S9,0)</f>
        <v>99</v>
      </c>
      <c r="E8" s="412">
        <f>ROUND('PKN3'!T9,0)</f>
        <v>99</v>
      </c>
      <c r="F8" s="412">
        <f>ROUND('PKN3'!U9,0)</f>
        <v>99</v>
      </c>
      <c r="G8" s="412">
        <f>ROUND('PKN3'!V9,0)</f>
        <v>0</v>
      </c>
      <c r="H8" s="412">
        <f>ROUND('PKN3'!W9,0)</f>
        <v>0</v>
      </c>
      <c r="I8" s="412">
        <f>ROUND('PKN3'!X9,0)</f>
        <v>0</v>
      </c>
      <c r="J8" s="412">
        <f>ROUND(BIND3!AA9,0)</f>
        <v>79</v>
      </c>
      <c r="K8" s="412">
        <f>ROUND(BIND3!AB9,0)</f>
        <v>79</v>
      </c>
      <c r="L8" s="412">
        <f>ROUND(BIND3!AC9,0)</f>
        <v>99</v>
      </c>
      <c r="M8" s="412">
        <f>ROUND(BIND3!AD9,0)</f>
        <v>99</v>
      </c>
      <c r="N8" s="412">
        <f>ROUND(BIND3!AE9,0)</f>
        <v>99</v>
      </c>
      <c r="O8" s="412">
        <f>ROUND(BIND3!AF9,0)</f>
        <v>0</v>
      </c>
      <c r="P8" s="412">
        <f>ROUND(BIND3!AG9,0)</f>
        <v>0</v>
      </c>
      <c r="Q8" s="412">
        <f>ROUND(BIND3!AH9,0)</f>
        <v>0</v>
      </c>
      <c r="R8" s="412">
        <f>ROUND('MTK3'!AE9,0)</f>
        <v>79</v>
      </c>
      <c r="S8" s="412">
        <f>ROUND('MTK3'!AF9,0)</f>
        <v>79</v>
      </c>
      <c r="T8" s="412">
        <f>ROUND('MTK3'!AG9,0)</f>
        <v>0</v>
      </c>
      <c r="U8" s="412">
        <f>ROUND('MTK3'!AH9,0)</f>
        <v>0</v>
      </c>
      <c r="V8" s="412">
        <f>ROUND('MTK3'!AI9,0)</f>
        <v>0</v>
      </c>
      <c r="W8" s="412">
        <f>ROUND('MTK3'!AJ9,0)</f>
        <v>0</v>
      </c>
      <c r="X8" s="412">
        <f>ROUND('MTK3'!AK9,0)</f>
        <v>0</v>
      </c>
      <c r="Y8" s="414"/>
      <c r="Z8" s="412">
        <f>ROUND('IPA3'!Y9,0)</f>
        <v>99</v>
      </c>
      <c r="AA8" s="412">
        <f>ROUND('IPA3'!Z9,0)</f>
        <v>99</v>
      </c>
      <c r="AB8" s="412">
        <f>ROUND('IPA3'!AA9,0)</f>
        <v>99</v>
      </c>
      <c r="AC8" s="412">
        <f>ROUND('IPA3'!AB9,0)</f>
        <v>99</v>
      </c>
      <c r="AD8" s="412">
        <f>ROUND('IPA3'!AC9,0)</f>
        <v>0</v>
      </c>
      <c r="AE8" s="413"/>
      <c r="AF8" s="412">
        <f>ROUND('IPS3'!Y9,0)</f>
        <v>99</v>
      </c>
      <c r="AG8" s="412">
        <f>ROUND('IPS3'!Z9,0)</f>
        <v>99</v>
      </c>
      <c r="AH8" s="412">
        <f>ROUND('IPS3'!AA9,0)</f>
        <v>99</v>
      </c>
      <c r="AI8" s="412">
        <f>ROUND('IPS3'!AB9,0)</f>
        <v>0</v>
      </c>
      <c r="AJ8" s="414"/>
      <c r="AK8" s="414"/>
      <c r="AL8" s="412">
        <f>ROUND(SBDP3!Y9,0)</f>
        <v>99</v>
      </c>
      <c r="AM8" s="412">
        <f>ROUND(SBDP3!Z9,0)</f>
        <v>99</v>
      </c>
      <c r="AN8" s="412">
        <f>ROUND(SBDP3!AA9,0)</f>
        <v>99</v>
      </c>
      <c r="AO8" s="412">
        <f>ROUND(SBDP3!AB9,0)</f>
        <v>0</v>
      </c>
      <c r="AP8" s="414"/>
      <c r="AQ8" s="413"/>
      <c r="AR8" s="412">
        <f>ROUND('PAI3'!AQ10,0)</f>
        <v>99</v>
      </c>
      <c r="AS8" s="412">
        <f>ROUND('PAI3'!AR10,0)</f>
        <v>99</v>
      </c>
      <c r="AT8" s="412">
        <f>ROUND('PAI3'!AS10,0)</f>
        <v>99</v>
      </c>
      <c r="AU8" s="412" t="e">
        <f>ROUND('PAI3'!AT10,0)</f>
        <v>#VALUE!</v>
      </c>
      <c r="AV8" s="412" t="e">
        <f>ROUND('PAI3'!AU10,0)</f>
        <v>#VALUE!</v>
      </c>
      <c r="AW8" s="412" t="e">
        <f>ROUND('PAI3'!AV10,0)</f>
        <v>#VALUE!</v>
      </c>
      <c r="AX8" s="412" t="e">
        <f>ROUND('PAI3'!AW10,0)</f>
        <v>#VALUE!</v>
      </c>
      <c r="AY8" s="412" t="e">
        <f>ROUND('PAI3'!AX10,0)</f>
        <v>#VALUE!</v>
      </c>
      <c r="AZ8" s="412">
        <f>ROUND('PAI3'!AY10,0)</f>
        <v>0</v>
      </c>
      <c r="BA8" s="412">
        <f>ROUND('PAI3'!AZ10,0)</f>
        <v>0</v>
      </c>
      <c r="BB8" s="412">
        <f>ROUND('PAI3'!BA10,0)</f>
        <v>0</v>
      </c>
      <c r="BC8" s="412">
        <f>ROUND('PAI3'!BB10,0)</f>
        <v>0</v>
      </c>
      <c r="BD8" s="412">
        <f>ROUND('PAI3'!BC10,0)</f>
        <v>0</v>
      </c>
      <c r="BE8" s="412">
        <f>ROUND(PJOK3!Y9,0)</f>
        <v>79</v>
      </c>
      <c r="BF8" s="412">
        <f>ROUND(PJOK3!Z9,0)</f>
        <v>79</v>
      </c>
      <c r="BG8" s="412">
        <f>ROUND(PJOK3!AA9,0)</f>
        <v>0</v>
      </c>
      <c r="BH8" s="412">
        <f>ROUND(PJOK3!AB9,0)</f>
        <v>0</v>
      </c>
      <c r="BI8" s="412">
        <f>ROUND(PJOK3!AC9,0)</f>
        <v>0</v>
      </c>
      <c r="BJ8" s="412">
        <f>ROUND(PJOK3!AD9,0)</f>
        <v>0</v>
      </c>
      <c r="BK8" s="414"/>
      <c r="BL8" s="413"/>
      <c r="BM8" s="412">
        <f>ROUND('MLK1-3'!AC9,0)</f>
        <v>0</v>
      </c>
      <c r="BN8" s="412">
        <f>ROUND('MLK1-3'!AD9,0)</f>
        <v>79</v>
      </c>
      <c r="BO8" s="412">
        <f>ROUND('MLK1-3'!AE9,0)</f>
        <v>79</v>
      </c>
      <c r="BP8" s="414"/>
      <c r="BQ8" s="414"/>
      <c r="BR8" s="415"/>
      <c r="BS8" s="412">
        <f>ROUND('MLK2-3'!AA9,0)</f>
        <v>0</v>
      </c>
      <c r="BT8" s="412">
        <f>ROUND('MLK2-3'!AB9,0)</f>
        <v>79</v>
      </c>
      <c r="BU8" s="412">
        <f>ROUND('MLK2-3'!AC9,0)</f>
        <v>79</v>
      </c>
      <c r="BV8" s="412">
        <f>ROUND('MLK2-3'!AD9,0)</f>
        <v>0</v>
      </c>
      <c r="BW8" s="414"/>
      <c r="BX8" s="413"/>
      <c r="BY8" s="412">
        <f>ROUND('MLK3-3'!AA9,0)</f>
        <v>79</v>
      </c>
      <c r="BZ8" s="412">
        <f>ROUND('MLK3-3'!AB9,0)</f>
        <v>79</v>
      </c>
      <c r="CA8" s="414"/>
      <c r="CB8" s="414"/>
      <c r="CC8" s="414"/>
      <c r="CD8" s="415"/>
    </row>
    <row r="9" spans="1:83" ht="20.25" customHeight="1">
      <c r="A9" s="113">
        <v>6</v>
      </c>
      <c r="B9" s="410" t="str">
        <f>SISWA!C11</f>
        <v>Anak 6</v>
      </c>
      <c r="C9" s="410"/>
      <c r="D9" s="412">
        <f>ROUND('PKN3'!S10,0)</f>
        <v>99</v>
      </c>
      <c r="E9" s="412">
        <f>ROUND('PKN3'!T10,0)</f>
        <v>99</v>
      </c>
      <c r="F9" s="412">
        <f>ROUND('PKN3'!U10,0)</f>
        <v>99</v>
      </c>
      <c r="G9" s="412">
        <f>ROUND('PKN3'!V10,0)</f>
        <v>0</v>
      </c>
      <c r="H9" s="412">
        <f>ROUND('PKN3'!W10,0)</f>
        <v>0</v>
      </c>
      <c r="I9" s="412">
        <f>ROUND('PKN3'!X10,0)</f>
        <v>0</v>
      </c>
      <c r="J9" s="412">
        <f>ROUND(BIND3!AA10,0)</f>
        <v>79</v>
      </c>
      <c r="K9" s="412">
        <f>ROUND(BIND3!AB10,0)</f>
        <v>69</v>
      </c>
      <c r="L9" s="412">
        <f>ROUND(BIND3!AC10,0)</f>
        <v>99</v>
      </c>
      <c r="M9" s="412">
        <f>ROUND(BIND3!AD10,0)</f>
        <v>99</v>
      </c>
      <c r="N9" s="412">
        <f>ROUND(BIND3!AE10,0)</f>
        <v>99</v>
      </c>
      <c r="O9" s="412">
        <f>ROUND(BIND3!AF10,0)</f>
        <v>0</v>
      </c>
      <c r="P9" s="412">
        <f>ROUND(BIND3!AG10,0)</f>
        <v>0</v>
      </c>
      <c r="Q9" s="412">
        <f>ROUND(BIND3!AH10,0)</f>
        <v>0</v>
      </c>
      <c r="R9" s="412">
        <f>ROUND('MTK3'!AE10,0)</f>
        <v>79</v>
      </c>
      <c r="S9" s="412">
        <f>ROUND('MTK3'!AF10,0)</f>
        <v>69</v>
      </c>
      <c r="T9" s="412">
        <f>ROUND('MTK3'!AG10,0)</f>
        <v>0</v>
      </c>
      <c r="U9" s="412">
        <f>ROUND('MTK3'!AH10,0)</f>
        <v>0</v>
      </c>
      <c r="V9" s="412">
        <f>ROUND('MTK3'!AI10,0)</f>
        <v>0</v>
      </c>
      <c r="W9" s="412">
        <f>ROUND('MTK3'!AJ10,0)</f>
        <v>0</v>
      </c>
      <c r="X9" s="412">
        <f>ROUND('MTK3'!AK10,0)</f>
        <v>0</v>
      </c>
      <c r="Y9" s="414"/>
      <c r="Z9" s="412">
        <f>ROUND('IPA3'!Y10,0)</f>
        <v>99</v>
      </c>
      <c r="AA9" s="412">
        <f>ROUND('IPA3'!Z10,0)</f>
        <v>99</v>
      </c>
      <c r="AB9" s="412">
        <f>ROUND('IPA3'!AA10,0)</f>
        <v>99</v>
      </c>
      <c r="AC9" s="412">
        <f>ROUND('IPA3'!AB10,0)</f>
        <v>99</v>
      </c>
      <c r="AD9" s="412">
        <f>ROUND('IPA3'!AC10,0)</f>
        <v>0</v>
      </c>
      <c r="AE9" s="413"/>
      <c r="AF9" s="412">
        <f>ROUND('IPS3'!Y10,0)</f>
        <v>99</v>
      </c>
      <c r="AG9" s="412">
        <f>ROUND('IPS3'!Z10,0)</f>
        <v>99</v>
      </c>
      <c r="AH9" s="412">
        <f>ROUND('IPS3'!AA10,0)</f>
        <v>99</v>
      </c>
      <c r="AI9" s="412">
        <f>ROUND('IPS3'!AB10,0)</f>
        <v>0</v>
      </c>
      <c r="AJ9" s="414"/>
      <c r="AK9" s="414"/>
      <c r="AL9" s="412">
        <f>ROUND(SBDP3!Y10,0)</f>
        <v>99</v>
      </c>
      <c r="AM9" s="412">
        <f>ROUND(SBDP3!Z10,0)</f>
        <v>99</v>
      </c>
      <c r="AN9" s="412">
        <f>ROUND(SBDP3!AA10,0)</f>
        <v>99</v>
      </c>
      <c r="AO9" s="412">
        <f>ROUND(SBDP3!AB10,0)</f>
        <v>0</v>
      </c>
      <c r="AP9" s="414"/>
      <c r="AQ9" s="413"/>
      <c r="AR9" s="412">
        <f>ROUND('PAI3'!AQ11,0)</f>
        <v>99</v>
      </c>
      <c r="AS9" s="412">
        <f>ROUND('PAI3'!AR11,0)</f>
        <v>99</v>
      </c>
      <c r="AT9" s="412">
        <f>ROUND('PAI3'!AS11,0)</f>
        <v>99</v>
      </c>
      <c r="AU9" s="412" t="e">
        <f>ROUND('PAI3'!AT11,0)</f>
        <v>#VALUE!</v>
      </c>
      <c r="AV9" s="412" t="e">
        <f>ROUND('PAI3'!AU11,0)</f>
        <v>#VALUE!</v>
      </c>
      <c r="AW9" s="412" t="e">
        <f>ROUND('PAI3'!AV11,0)</f>
        <v>#VALUE!</v>
      </c>
      <c r="AX9" s="412" t="e">
        <f>ROUND('PAI3'!AW11,0)</f>
        <v>#VALUE!</v>
      </c>
      <c r="AY9" s="412" t="e">
        <f>ROUND('PAI3'!AX11,0)</f>
        <v>#VALUE!</v>
      </c>
      <c r="AZ9" s="412">
        <f>ROUND('PAI3'!AY11,0)</f>
        <v>0</v>
      </c>
      <c r="BA9" s="412">
        <f>ROUND('PAI3'!AZ11,0)</f>
        <v>0</v>
      </c>
      <c r="BB9" s="412">
        <f>ROUND('PAI3'!BA11,0)</f>
        <v>0</v>
      </c>
      <c r="BC9" s="412">
        <f>ROUND('PAI3'!BB11,0)</f>
        <v>0</v>
      </c>
      <c r="BD9" s="412">
        <f>ROUND('PAI3'!BC11,0)</f>
        <v>0</v>
      </c>
      <c r="BE9" s="412">
        <f>ROUND(PJOK3!Y10,0)</f>
        <v>79</v>
      </c>
      <c r="BF9" s="412">
        <f>ROUND(PJOK3!Z10,0)</f>
        <v>69</v>
      </c>
      <c r="BG9" s="412">
        <f>ROUND(PJOK3!AA10,0)</f>
        <v>0</v>
      </c>
      <c r="BH9" s="412">
        <f>ROUND(PJOK3!AB10,0)</f>
        <v>0</v>
      </c>
      <c r="BI9" s="412">
        <f>ROUND(PJOK3!AC10,0)</f>
        <v>0</v>
      </c>
      <c r="BJ9" s="412">
        <f>ROUND(PJOK3!AD10,0)</f>
        <v>0</v>
      </c>
      <c r="BK9" s="414"/>
      <c r="BL9" s="413"/>
      <c r="BM9" s="412">
        <f>ROUND('MLK1-3'!AC10,0)</f>
        <v>0</v>
      </c>
      <c r="BN9" s="412">
        <f>ROUND('MLK1-3'!AD10,0)</f>
        <v>79</v>
      </c>
      <c r="BO9" s="412">
        <f>ROUND('MLK1-3'!AE10,0)</f>
        <v>69</v>
      </c>
      <c r="BP9" s="414"/>
      <c r="BQ9" s="414"/>
      <c r="BR9" s="415"/>
      <c r="BS9" s="412">
        <f>ROUND('MLK2-3'!AA10,0)</f>
        <v>0</v>
      </c>
      <c r="BT9" s="412">
        <f>ROUND('MLK2-3'!AB10,0)</f>
        <v>79</v>
      </c>
      <c r="BU9" s="412">
        <f>ROUND('MLK2-3'!AC10,0)</f>
        <v>69</v>
      </c>
      <c r="BV9" s="412">
        <f>ROUND('MLK2-3'!AD10,0)</f>
        <v>0</v>
      </c>
      <c r="BW9" s="414"/>
      <c r="BX9" s="413"/>
      <c r="BY9" s="412">
        <f>ROUND('MLK3-3'!AA10,0)</f>
        <v>79</v>
      </c>
      <c r="BZ9" s="412">
        <f>ROUND('MLK3-3'!AB10,0)</f>
        <v>69</v>
      </c>
      <c r="CA9" s="414"/>
      <c r="CB9" s="414"/>
      <c r="CC9" s="414"/>
      <c r="CD9" s="415"/>
    </row>
    <row r="10" spans="1:83" ht="20.25" customHeight="1">
      <c r="A10" s="113">
        <v>7</v>
      </c>
      <c r="B10" s="410" t="str">
        <f>SISWA!C12</f>
        <v>Anak 7</v>
      </c>
      <c r="C10" s="410"/>
      <c r="D10" s="412">
        <f>ROUND('PKN3'!S11,0)</f>
        <v>99</v>
      </c>
      <c r="E10" s="412">
        <f>ROUND('PKN3'!T11,0)</f>
        <v>99</v>
      </c>
      <c r="F10" s="412">
        <f>ROUND('PKN3'!U11,0)</f>
        <v>99</v>
      </c>
      <c r="G10" s="412">
        <f>ROUND('PKN3'!V11,0)</f>
        <v>0</v>
      </c>
      <c r="H10" s="412">
        <f>ROUND('PKN3'!W11,0)</f>
        <v>0</v>
      </c>
      <c r="I10" s="412">
        <f>ROUND('PKN3'!X11,0)</f>
        <v>0</v>
      </c>
      <c r="J10" s="412">
        <f>ROUND(BIND3!AA11,0)</f>
        <v>69</v>
      </c>
      <c r="K10" s="412">
        <f>ROUND(BIND3!AB11,0)</f>
        <v>70</v>
      </c>
      <c r="L10" s="412">
        <f>ROUND(BIND3!AC11,0)</f>
        <v>99</v>
      </c>
      <c r="M10" s="412">
        <f>ROUND(BIND3!AD11,0)</f>
        <v>99</v>
      </c>
      <c r="N10" s="412">
        <f>ROUND(BIND3!AE11,0)</f>
        <v>99</v>
      </c>
      <c r="O10" s="412">
        <f>ROUND(BIND3!AF11,0)</f>
        <v>0</v>
      </c>
      <c r="P10" s="412">
        <f>ROUND(BIND3!AG11,0)</f>
        <v>0</v>
      </c>
      <c r="Q10" s="412">
        <f>ROUND(BIND3!AH11,0)</f>
        <v>0</v>
      </c>
      <c r="R10" s="412">
        <f>ROUND('MTK3'!AE11,0)</f>
        <v>69</v>
      </c>
      <c r="S10" s="412">
        <f>ROUND('MTK3'!AF11,0)</f>
        <v>70</v>
      </c>
      <c r="T10" s="412">
        <f>ROUND('MTK3'!AG11,0)</f>
        <v>0</v>
      </c>
      <c r="U10" s="412">
        <f>ROUND('MTK3'!AH11,0)</f>
        <v>0</v>
      </c>
      <c r="V10" s="412">
        <f>ROUND('MTK3'!AI11,0)</f>
        <v>0</v>
      </c>
      <c r="W10" s="412">
        <f>ROUND('MTK3'!AJ11,0)</f>
        <v>0</v>
      </c>
      <c r="X10" s="412">
        <f>ROUND('MTK3'!AK11,0)</f>
        <v>0</v>
      </c>
      <c r="Y10" s="414"/>
      <c r="Z10" s="412">
        <f>ROUND('IPA3'!Y11,0)</f>
        <v>99</v>
      </c>
      <c r="AA10" s="412">
        <f>ROUND('IPA3'!Z11,0)</f>
        <v>99</v>
      </c>
      <c r="AB10" s="412">
        <f>ROUND('IPA3'!AA11,0)</f>
        <v>99</v>
      </c>
      <c r="AC10" s="412">
        <f>ROUND('IPA3'!AB11,0)</f>
        <v>99</v>
      </c>
      <c r="AD10" s="412">
        <f>ROUND('IPA3'!AC11,0)</f>
        <v>0</v>
      </c>
      <c r="AE10" s="413"/>
      <c r="AF10" s="412">
        <f>ROUND('IPS3'!Y11,0)</f>
        <v>99</v>
      </c>
      <c r="AG10" s="412">
        <f>ROUND('IPS3'!Z11,0)</f>
        <v>99</v>
      </c>
      <c r="AH10" s="412">
        <f>ROUND('IPS3'!AA11,0)</f>
        <v>99</v>
      </c>
      <c r="AI10" s="412">
        <f>ROUND('IPS3'!AB11,0)</f>
        <v>0</v>
      </c>
      <c r="AJ10" s="414"/>
      <c r="AK10" s="414"/>
      <c r="AL10" s="412">
        <f>ROUND(SBDP3!Y11,0)</f>
        <v>99</v>
      </c>
      <c r="AM10" s="412">
        <f>ROUND(SBDP3!Z11,0)</f>
        <v>99</v>
      </c>
      <c r="AN10" s="412">
        <f>ROUND(SBDP3!AA11,0)</f>
        <v>99</v>
      </c>
      <c r="AO10" s="412">
        <f>ROUND(SBDP3!AB11,0)</f>
        <v>0</v>
      </c>
      <c r="AP10" s="414"/>
      <c r="AQ10" s="413"/>
      <c r="AR10" s="412">
        <f>ROUND('PAI3'!AQ12,0)</f>
        <v>99</v>
      </c>
      <c r="AS10" s="412">
        <f>ROUND('PAI3'!AR12,0)</f>
        <v>99</v>
      </c>
      <c r="AT10" s="412">
        <f>ROUND('PAI3'!AS12,0)</f>
        <v>99</v>
      </c>
      <c r="AU10" s="412" t="e">
        <f>ROUND('PAI3'!AT12,0)</f>
        <v>#VALUE!</v>
      </c>
      <c r="AV10" s="412" t="e">
        <f>ROUND('PAI3'!AU12,0)</f>
        <v>#VALUE!</v>
      </c>
      <c r="AW10" s="412" t="e">
        <f>ROUND('PAI3'!AV12,0)</f>
        <v>#VALUE!</v>
      </c>
      <c r="AX10" s="412" t="e">
        <f>ROUND('PAI3'!AW12,0)</f>
        <v>#VALUE!</v>
      </c>
      <c r="AY10" s="412" t="e">
        <f>ROUND('PAI3'!AX12,0)</f>
        <v>#VALUE!</v>
      </c>
      <c r="AZ10" s="412">
        <f>ROUND('PAI3'!AY12,0)</f>
        <v>0</v>
      </c>
      <c r="BA10" s="412">
        <f>ROUND('PAI3'!AZ12,0)</f>
        <v>0</v>
      </c>
      <c r="BB10" s="412">
        <f>ROUND('PAI3'!BA12,0)</f>
        <v>0</v>
      </c>
      <c r="BC10" s="412">
        <f>ROUND('PAI3'!BB12,0)</f>
        <v>0</v>
      </c>
      <c r="BD10" s="412">
        <f>ROUND('PAI3'!BC12,0)</f>
        <v>0</v>
      </c>
      <c r="BE10" s="412">
        <f>ROUND(PJOK3!Y11,0)</f>
        <v>69</v>
      </c>
      <c r="BF10" s="412">
        <f>ROUND(PJOK3!Z11,0)</f>
        <v>70</v>
      </c>
      <c r="BG10" s="412">
        <f>ROUND(PJOK3!AA11,0)</f>
        <v>0</v>
      </c>
      <c r="BH10" s="412">
        <f>ROUND(PJOK3!AB11,0)</f>
        <v>0</v>
      </c>
      <c r="BI10" s="412">
        <f>ROUND(PJOK3!AC11,0)</f>
        <v>0</v>
      </c>
      <c r="BJ10" s="412">
        <f>ROUND(PJOK3!AD11,0)</f>
        <v>0</v>
      </c>
      <c r="BK10" s="414"/>
      <c r="BL10" s="413"/>
      <c r="BM10" s="412">
        <f>ROUND('MLK1-3'!AC11,0)</f>
        <v>0</v>
      </c>
      <c r="BN10" s="412">
        <f>ROUND('MLK1-3'!AD11,0)</f>
        <v>69</v>
      </c>
      <c r="BO10" s="412">
        <f>ROUND('MLK1-3'!AE11,0)</f>
        <v>70</v>
      </c>
      <c r="BP10" s="414"/>
      <c r="BQ10" s="414"/>
      <c r="BR10" s="415"/>
      <c r="BS10" s="412">
        <f>ROUND('MLK2-3'!AA11,0)</f>
        <v>0</v>
      </c>
      <c r="BT10" s="412">
        <f>ROUND('MLK2-3'!AB11,0)</f>
        <v>69</v>
      </c>
      <c r="BU10" s="412">
        <f>ROUND('MLK2-3'!AC11,0)</f>
        <v>70</v>
      </c>
      <c r="BV10" s="412">
        <f>ROUND('MLK2-3'!AD11,0)</f>
        <v>0</v>
      </c>
      <c r="BW10" s="414"/>
      <c r="BX10" s="413"/>
      <c r="BY10" s="412">
        <f>ROUND('MLK3-3'!AA11,0)</f>
        <v>69</v>
      </c>
      <c r="BZ10" s="412">
        <f>ROUND('MLK3-3'!AB11,0)</f>
        <v>70</v>
      </c>
      <c r="CA10" s="414"/>
      <c r="CB10" s="414"/>
      <c r="CC10" s="414"/>
      <c r="CD10" s="415"/>
    </row>
    <row r="11" spans="1:83" ht="20.25" customHeight="1">
      <c r="A11" s="113">
        <v>8</v>
      </c>
      <c r="B11" s="410" t="str">
        <f>SISWA!C13</f>
        <v>Anak 8</v>
      </c>
      <c r="C11" s="410"/>
      <c r="D11" s="412">
        <f>ROUND('PKN3'!S12,0)</f>
        <v>99</v>
      </c>
      <c r="E11" s="412">
        <f>ROUND('PKN3'!T12,0)</f>
        <v>99</v>
      </c>
      <c r="F11" s="412">
        <f>ROUND('PKN3'!U12,0)</f>
        <v>99</v>
      </c>
      <c r="G11" s="412">
        <f>ROUND('PKN3'!V12,0)</f>
        <v>0</v>
      </c>
      <c r="H11" s="412">
        <f>ROUND('PKN3'!W12,0)</f>
        <v>0</v>
      </c>
      <c r="I11" s="412">
        <f>ROUND('PKN3'!X12,0)</f>
        <v>0</v>
      </c>
      <c r="J11" s="412">
        <f>ROUND(BIND3!AA12,0)</f>
        <v>70</v>
      </c>
      <c r="K11" s="412">
        <f>ROUND(BIND3!AB12,0)</f>
        <v>80</v>
      </c>
      <c r="L11" s="412">
        <f>ROUND(BIND3!AC12,0)</f>
        <v>99</v>
      </c>
      <c r="M11" s="412">
        <f>ROUND(BIND3!AD12,0)</f>
        <v>99</v>
      </c>
      <c r="N11" s="412">
        <f>ROUND(BIND3!AE12,0)</f>
        <v>99</v>
      </c>
      <c r="O11" s="412">
        <f>ROUND(BIND3!AF12,0)</f>
        <v>0</v>
      </c>
      <c r="P11" s="412">
        <f>ROUND(BIND3!AG12,0)</f>
        <v>0</v>
      </c>
      <c r="Q11" s="412">
        <f>ROUND(BIND3!AH12,0)</f>
        <v>0</v>
      </c>
      <c r="R11" s="412">
        <f>ROUND('MTK3'!AE12,0)</f>
        <v>70</v>
      </c>
      <c r="S11" s="412">
        <f>ROUND('MTK3'!AF12,0)</f>
        <v>80</v>
      </c>
      <c r="T11" s="412">
        <f>ROUND('MTK3'!AG12,0)</f>
        <v>0</v>
      </c>
      <c r="U11" s="412">
        <f>ROUND('MTK3'!AH12,0)</f>
        <v>0</v>
      </c>
      <c r="V11" s="412">
        <f>ROUND('MTK3'!AI12,0)</f>
        <v>0</v>
      </c>
      <c r="W11" s="412">
        <f>ROUND('MTK3'!AJ12,0)</f>
        <v>0</v>
      </c>
      <c r="X11" s="412">
        <f>ROUND('MTK3'!AK12,0)</f>
        <v>0</v>
      </c>
      <c r="Y11" s="414"/>
      <c r="Z11" s="412">
        <f>ROUND('IPA3'!Y12,0)</f>
        <v>99</v>
      </c>
      <c r="AA11" s="412">
        <f>ROUND('IPA3'!Z12,0)</f>
        <v>99</v>
      </c>
      <c r="AB11" s="412">
        <f>ROUND('IPA3'!AA12,0)</f>
        <v>99</v>
      </c>
      <c r="AC11" s="412">
        <f>ROUND('IPA3'!AB12,0)</f>
        <v>99</v>
      </c>
      <c r="AD11" s="412">
        <f>ROUND('IPA3'!AC12,0)</f>
        <v>0</v>
      </c>
      <c r="AE11" s="413"/>
      <c r="AF11" s="412">
        <f>ROUND('IPS3'!Y12,0)</f>
        <v>99</v>
      </c>
      <c r="AG11" s="412">
        <f>ROUND('IPS3'!Z12,0)</f>
        <v>99</v>
      </c>
      <c r="AH11" s="412">
        <f>ROUND('IPS3'!AA12,0)</f>
        <v>99</v>
      </c>
      <c r="AI11" s="412">
        <f>ROUND('IPS3'!AB12,0)</f>
        <v>0</v>
      </c>
      <c r="AJ11" s="414"/>
      <c r="AK11" s="414"/>
      <c r="AL11" s="412">
        <f>ROUND(SBDP3!Y12,0)</f>
        <v>99</v>
      </c>
      <c r="AM11" s="412">
        <f>ROUND(SBDP3!Z12,0)</f>
        <v>99</v>
      </c>
      <c r="AN11" s="412">
        <f>ROUND(SBDP3!AA12,0)</f>
        <v>99</v>
      </c>
      <c r="AO11" s="412">
        <f>ROUND(SBDP3!AB12,0)</f>
        <v>0</v>
      </c>
      <c r="AP11" s="414"/>
      <c r="AQ11" s="413"/>
      <c r="AR11" s="412">
        <f>ROUND('PAI3'!AQ13,0)</f>
        <v>99</v>
      </c>
      <c r="AS11" s="412">
        <f>ROUND('PAI3'!AR13,0)</f>
        <v>99</v>
      </c>
      <c r="AT11" s="412">
        <f>ROUND('PAI3'!AS13,0)</f>
        <v>99</v>
      </c>
      <c r="AU11" s="412" t="e">
        <f>ROUND('PAI3'!AT13,0)</f>
        <v>#VALUE!</v>
      </c>
      <c r="AV11" s="412" t="e">
        <f>ROUND('PAI3'!AU13,0)</f>
        <v>#VALUE!</v>
      </c>
      <c r="AW11" s="412" t="e">
        <f>ROUND('PAI3'!AV13,0)</f>
        <v>#VALUE!</v>
      </c>
      <c r="AX11" s="412" t="e">
        <f>ROUND('PAI3'!AW13,0)</f>
        <v>#VALUE!</v>
      </c>
      <c r="AY11" s="412" t="e">
        <f>ROUND('PAI3'!AX13,0)</f>
        <v>#VALUE!</v>
      </c>
      <c r="AZ11" s="412">
        <f>ROUND('PAI3'!AY13,0)</f>
        <v>0</v>
      </c>
      <c r="BA11" s="412">
        <f>ROUND('PAI3'!AZ13,0)</f>
        <v>0</v>
      </c>
      <c r="BB11" s="412">
        <f>ROUND('PAI3'!BA13,0)</f>
        <v>0</v>
      </c>
      <c r="BC11" s="412">
        <f>ROUND('PAI3'!BB13,0)</f>
        <v>0</v>
      </c>
      <c r="BD11" s="412">
        <f>ROUND('PAI3'!BC13,0)</f>
        <v>0</v>
      </c>
      <c r="BE11" s="412">
        <f>ROUND(PJOK3!Y12,0)</f>
        <v>70</v>
      </c>
      <c r="BF11" s="412">
        <f>ROUND(PJOK3!Z12,0)</f>
        <v>80</v>
      </c>
      <c r="BG11" s="412">
        <f>ROUND(PJOK3!AA12,0)</f>
        <v>0</v>
      </c>
      <c r="BH11" s="412">
        <f>ROUND(PJOK3!AB12,0)</f>
        <v>0</v>
      </c>
      <c r="BI11" s="412">
        <f>ROUND(PJOK3!AC12,0)</f>
        <v>0</v>
      </c>
      <c r="BJ11" s="412">
        <f>ROUND(PJOK3!AD12,0)</f>
        <v>0</v>
      </c>
      <c r="BK11" s="414"/>
      <c r="BL11" s="413"/>
      <c r="BM11" s="412">
        <f>ROUND('MLK1-3'!AC12,0)</f>
        <v>0</v>
      </c>
      <c r="BN11" s="412">
        <f>ROUND('MLK1-3'!AD12,0)</f>
        <v>70</v>
      </c>
      <c r="BO11" s="412">
        <f>ROUND('MLK1-3'!AE12,0)</f>
        <v>80</v>
      </c>
      <c r="BP11" s="414"/>
      <c r="BQ11" s="414"/>
      <c r="BR11" s="415"/>
      <c r="BS11" s="412">
        <f>ROUND('MLK2-3'!AA12,0)</f>
        <v>0</v>
      </c>
      <c r="BT11" s="412">
        <f>ROUND('MLK2-3'!AB12,0)</f>
        <v>70</v>
      </c>
      <c r="BU11" s="412">
        <f>ROUND('MLK2-3'!AC12,0)</f>
        <v>80</v>
      </c>
      <c r="BV11" s="412">
        <f>ROUND('MLK2-3'!AD12,0)</f>
        <v>0</v>
      </c>
      <c r="BW11" s="414"/>
      <c r="BX11" s="413"/>
      <c r="BY11" s="412">
        <f>ROUND('MLK3-3'!AA12,0)</f>
        <v>70</v>
      </c>
      <c r="BZ11" s="412">
        <f>ROUND('MLK3-3'!AB12,0)</f>
        <v>80</v>
      </c>
      <c r="CA11" s="414"/>
      <c r="CB11" s="414"/>
      <c r="CC11" s="414"/>
      <c r="CD11" s="415"/>
    </row>
    <row r="12" spans="1:83" ht="20.25" customHeight="1">
      <c r="A12" s="113">
        <v>9</v>
      </c>
      <c r="B12" s="410" t="str">
        <f>SISWA!C14</f>
        <v>Anak 9</v>
      </c>
      <c r="C12" s="410"/>
      <c r="D12" s="412">
        <f>ROUND('PKN3'!S13,0)</f>
        <v>99</v>
      </c>
      <c r="E12" s="412">
        <f>ROUND('PKN3'!T13,0)</f>
        <v>99</v>
      </c>
      <c r="F12" s="412">
        <f>ROUND('PKN3'!U13,0)</f>
        <v>99</v>
      </c>
      <c r="G12" s="412">
        <f>ROUND('PKN3'!V13,0)</f>
        <v>0</v>
      </c>
      <c r="H12" s="412">
        <f>ROUND('PKN3'!W13,0)</f>
        <v>0</v>
      </c>
      <c r="I12" s="412">
        <f>ROUND('PKN3'!X13,0)</f>
        <v>0</v>
      </c>
      <c r="J12" s="412">
        <f>ROUND(BIND3!AA13,0)</f>
        <v>80</v>
      </c>
      <c r="K12" s="412">
        <f>ROUND(BIND3!AB13,0)</f>
        <v>69</v>
      </c>
      <c r="L12" s="412">
        <f>ROUND(BIND3!AC13,0)</f>
        <v>99</v>
      </c>
      <c r="M12" s="412">
        <f>ROUND(BIND3!AD13,0)</f>
        <v>99</v>
      </c>
      <c r="N12" s="412">
        <f>ROUND(BIND3!AE13,0)</f>
        <v>99</v>
      </c>
      <c r="O12" s="412">
        <f>ROUND(BIND3!AF13,0)</f>
        <v>0</v>
      </c>
      <c r="P12" s="412">
        <f>ROUND(BIND3!AG13,0)</f>
        <v>0</v>
      </c>
      <c r="Q12" s="412">
        <f>ROUND(BIND3!AH13,0)</f>
        <v>0</v>
      </c>
      <c r="R12" s="412">
        <f>ROUND('MTK3'!AE13,0)</f>
        <v>80</v>
      </c>
      <c r="S12" s="412">
        <f>ROUND('MTK3'!AF13,0)</f>
        <v>69</v>
      </c>
      <c r="T12" s="412">
        <f>ROUND('MTK3'!AG13,0)</f>
        <v>0</v>
      </c>
      <c r="U12" s="412">
        <f>ROUND('MTK3'!AH13,0)</f>
        <v>0</v>
      </c>
      <c r="V12" s="412">
        <f>ROUND('MTK3'!AI13,0)</f>
        <v>0</v>
      </c>
      <c r="W12" s="412">
        <f>ROUND('MTK3'!AJ13,0)</f>
        <v>0</v>
      </c>
      <c r="X12" s="412">
        <f>ROUND('MTK3'!AK13,0)</f>
        <v>0</v>
      </c>
      <c r="Y12" s="414"/>
      <c r="Z12" s="412">
        <f>ROUND('IPA3'!Y13,0)</f>
        <v>99</v>
      </c>
      <c r="AA12" s="412">
        <f>ROUND('IPA3'!Z13,0)</f>
        <v>99</v>
      </c>
      <c r="AB12" s="412">
        <f>ROUND('IPA3'!AA13,0)</f>
        <v>99</v>
      </c>
      <c r="AC12" s="412">
        <f>ROUND('IPA3'!AB13,0)</f>
        <v>99</v>
      </c>
      <c r="AD12" s="412">
        <f>ROUND('IPA3'!AC13,0)</f>
        <v>0</v>
      </c>
      <c r="AE12" s="413"/>
      <c r="AF12" s="412">
        <f>ROUND('IPS3'!Y13,0)</f>
        <v>99</v>
      </c>
      <c r="AG12" s="412">
        <f>ROUND('IPS3'!Z13,0)</f>
        <v>99</v>
      </c>
      <c r="AH12" s="412">
        <f>ROUND('IPS3'!AA13,0)</f>
        <v>99</v>
      </c>
      <c r="AI12" s="412">
        <f>ROUND('IPS3'!AB13,0)</f>
        <v>0</v>
      </c>
      <c r="AJ12" s="414"/>
      <c r="AK12" s="414"/>
      <c r="AL12" s="412">
        <f>ROUND(SBDP3!Y13,0)</f>
        <v>99</v>
      </c>
      <c r="AM12" s="412">
        <f>ROUND(SBDP3!Z13,0)</f>
        <v>99</v>
      </c>
      <c r="AN12" s="412">
        <f>ROUND(SBDP3!AA13,0)</f>
        <v>99</v>
      </c>
      <c r="AO12" s="412">
        <f>ROUND(SBDP3!AB13,0)</f>
        <v>0</v>
      </c>
      <c r="AP12" s="414"/>
      <c r="AQ12" s="413"/>
      <c r="AR12" s="412">
        <f>ROUND('PAI3'!AQ14,0)</f>
        <v>99</v>
      </c>
      <c r="AS12" s="412">
        <f>ROUND('PAI3'!AR14,0)</f>
        <v>99</v>
      </c>
      <c r="AT12" s="412">
        <f>ROUND('PAI3'!AS14,0)</f>
        <v>99</v>
      </c>
      <c r="AU12" s="412" t="e">
        <f>ROUND('PAI3'!AT14,0)</f>
        <v>#VALUE!</v>
      </c>
      <c r="AV12" s="412" t="e">
        <f>ROUND('PAI3'!AU14,0)</f>
        <v>#VALUE!</v>
      </c>
      <c r="AW12" s="412" t="e">
        <f>ROUND('PAI3'!AV14,0)</f>
        <v>#VALUE!</v>
      </c>
      <c r="AX12" s="412" t="e">
        <f>ROUND('PAI3'!AW14,0)</f>
        <v>#VALUE!</v>
      </c>
      <c r="AY12" s="412" t="e">
        <f>ROUND('PAI3'!AX14,0)</f>
        <v>#VALUE!</v>
      </c>
      <c r="AZ12" s="412">
        <f>ROUND('PAI3'!AY14,0)</f>
        <v>0</v>
      </c>
      <c r="BA12" s="412">
        <f>ROUND('PAI3'!AZ14,0)</f>
        <v>0</v>
      </c>
      <c r="BB12" s="412">
        <f>ROUND('PAI3'!BA14,0)</f>
        <v>0</v>
      </c>
      <c r="BC12" s="412">
        <f>ROUND('PAI3'!BB14,0)</f>
        <v>0</v>
      </c>
      <c r="BD12" s="412">
        <f>ROUND('PAI3'!BC14,0)</f>
        <v>0</v>
      </c>
      <c r="BE12" s="412">
        <f>ROUND(PJOK3!Y13,0)</f>
        <v>80</v>
      </c>
      <c r="BF12" s="412">
        <f>ROUND(PJOK3!Z13,0)</f>
        <v>69</v>
      </c>
      <c r="BG12" s="412">
        <f>ROUND(PJOK3!AA13,0)</f>
        <v>0</v>
      </c>
      <c r="BH12" s="412">
        <f>ROUND(PJOK3!AB13,0)</f>
        <v>0</v>
      </c>
      <c r="BI12" s="412">
        <f>ROUND(PJOK3!AC13,0)</f>
        <v>0</v>
      </c>
      <c r="BJ12" s="412">
        <f>ROUND(PJOK3!AD13,0)</f>
        <v>0</v>
      </c>
      <c r="BK12" s="414"/>
      <c r="BL12" s="413"/>
      <c r="BM12" s="412">
        <f>ROUND('MLK1-3'!AC13,0)</f>
        <v>0</v>
      </c>
      <c r="BN12" s="412">
        <f>ROUND('MLK1-3'!AD13,0)</f>
        <v>80</v>
      </c>
      <c r="BO12" s="412">
        <f>ROUND('MLK1-3'!AE13,0)</f>
        <v>69</v>
      </c>
      <c r="BP12" s="414"/>
      <c r="BQ12" s="414"/>
      <c r="BR12" s="415"/>
      <c r="BS12" s="412">
        <f>ROUND('MLK2-3'!AA13,0)</f>
        <v>0</v>
      </c>
      <c r="BT12" s="412">
        <f>ROUND('MLK2-3'!AB13,0)</f>
        <v>80</v>
      </c>
      <c r="BU12" s="412">
        <f>ROUND('MLK2-3'!AC13,0)</f>
        <v>69</v>
      </c>
      <c r="BV12" s="412">
        <f>ROUND('MLK2-3'!AD13,0)</f>
        <v>0</v>
      </c>
      <c r="BW12" s="414"/>
      <c r="BX12" s="413"/>
      <c r="BY12" s="412">
        <f>ROUND('MLK3-3'!AA13,0)</f>
        <v>80</v>
      </c>
      <c r="BZ12" s="412">
        <f>ROUND('MLK3-3'!AB13,0)</f>
        <v>69</v>
      </c>
      <c r="CA12" s="414"/>
      <c r="CB12" s="414"/>
      <c r="CC12" s="414"/>
      <c r="CD12" s="415"/>
    </row>
    <row r="13" spans="1:83" ht="20.25" customHeight="1">
      <c r="A13" s="113">
        <v>10</v>
      </c>
      <c r="B13" s="410" t="str">
        <f>SISWA!C15</f>
        <v>Anak 10</v>
      </c>
      <c r="C13" s="410"/>
      <c r="D13" s="412">
        <f>ROUND('PKN3'!S14,0)</f>
        <v>99</v>
      </c>
      <c r="E13" s="412">
        <f>ROUND('PKN3'!T14,0)</f>
        <v>99</v>
      </c>
      <c r="F13" s="412">
        <f>ROUND('PKN3'!U14,0)</f>
        <v>99</v>
      </c>
      <c r="G13" s="412">
        <f>ROUND('PKN3'!V14,0)</f>
        <v>0</v>
      </c>
      <c r="H13" s="412">
        <f>ROUND('PKN3'!W14,0)</f>
        <v>0</v>
      </c>
      <c r="I13" s="412">
        <f>ROUND('PKN3'!X14,0)</f>
        <v>0</v>
      </c>
      <c r="J13" s="412">
        <f>ROUND(BIND3!AA14,0)</f>
        <v>69</v>
      </c>
      <c r="K13" s="412">
        <f>ROUND(BIND3!AB14,0)</f>
        <v>70</v>
      </c>
      <c r="L13" s="412">
        <f>ROUND(BIND3!AC14,0)</f>
        <v>99</v>
      </c>
      <c r="M13" s="412">
        <f>ROUND(BIND3!AD14,0)</f>
        <v>99</v>
      </c>
      <c r="N13" s="412">
        <f>ROUND(BIND3!AE14,0)</f>
        <v>99</v>
      </c>
      <c r="O13" s="412">
        <f>ROUND(BIND3!AF14,0)</f>
        <v>0</v>
      </c>
      <c r="P13" s="412">
        <f>ROUND(BIND3!AG14,0)</f>
        <v>0</v>
      </c>
      <c r="Q13" s="412">
        <f>ROUND(BIND3!AH14,0)</f>
        <v>0</v>
      </c>
      <c r="R13" s="412">
        <f>ROUND('MTK3'!AE14,0)</f>
        <v>69</v>
      </c>
      <c r="S13" s="412">
        <f>ROUND('MTK3'!AF14,0)</f>
        <v>70</v>
      </c>
      <c r="T13" s="412">
        <f>ROUND('MTK3'!AG14,0)</f>
        <v>0</v>
      </c>
      <c r="U13" s="412">
        <f>ROUND('MTK3'!AH14,0)</f>
        <v>0</v>
      </c>
      <c r="V13" s="412">
        <f>ROUND('MTK3'!AI14,0)</f>
        <v>0</v>
      </c>
      <c r="W13" s="412">
        <f>ROUND('MTK3'!AJ14,0)</f>
        <v>0</v>
      </c>
      <c r="X13" s="412">
        <f>ROUND('MTK3'!AK14,0)</f>
        <v>0</v>
      </c>
      <c r="Y13" s="414"/>
      <c r="Z13" s="412">
        <f>ROUND('IPA3'!Y14,0)</f>
        <v>99</v>
      </c>
      <c r="AA13" s="412">
        <f>ROUND('IPA3'!Z14,0)</f>
        <v>99</v>
      </c>
      <c r="AB13" s="412">
        <f>ROUND('IPA3'!AA14,0)</f>
        <v>99</v>
      </c>
      <c r="AC13" s="412">
        <f>ROUND('IPA3'!AB14,0)</f>
        <v>99</v>
      </c>
      <c r="AD13" s="412">
        <f>ROUND('IPA3'!AC14,0)</f>
        <v>0</v>
      </c>
      <c r="AE13" s="413"/>
      <c r="AF13" s="412">
        <f>ROUND('IPS3'!Y14,0)</f>
        <v>99</v>
      </c>
      <c r="AG13" s="412">
        <f>ROUND('IPS3'!Z14,0)</f>
        <v>99</v>
      </c>
      <c r="AH13" s="412">
        <f>ROUND('IPS3'!AA14,0)</f>
        <v>99</v>
      </c>
      <c r="AI13" s="412">
        <f>ROUND('IPS3'!AB14,0)</f>
        <v>0</v>
      </c>
      <c r="AJ13" s="414"/>
      <c r="AK13" s="414"/>
      <c r="AL13" s="412">
        <f>ROUND(SBDP3!Y14,0)</f>
        <v>99</v>
      </c>
      <c r="AM13" s="412">
        <f>ROUND(SBDP3!Z14,0)</f>
        <v>99</v>
      </c>
      <c r="AN13" s="412">
        <f>ROUND(SBDP3!AA14,0)</f>
        <v>99</v>
      </c>
      <c r="AO13" s="412">
        <f>ROUND(SBDP3!AB14,0)</f>
        <v>0</v>
      </c>
      <c r="AP13" s="414"/>
      <c r="AQ13" s="413"/>
      <c r="AR13" s="412">
        <f>ROUND('PAI3'!AQ15,0)</f>
        <v>99</v>
      </c>
      <c r="AS13" s="412">
        <f>ROUND('PAI3'!AR15,0)</f>
        <v>99</v>
      </c>
      <c r="AT13" s="412">
        <f>ROUND('PAI3'!AS15,0)</f>
        <v>99</v>
      </c>
      <c r="AU13" s="412" t="e">
        <f>ROUND('PAI3'!AT15,0)</f>
        <v>#VALUE!</v>
      </c>
      <c r="AV13" s="412" t="e">
        <f>ROUND('PAI3'!AU15,0)</f>
        <v>#VALUE!</v>
      </c>
      <c r="AW13" s="412" t="e">
        <f>ROUND('PAI3'!AV15,0)</f>
        <v>#VALUE!</v>
      </c>
      <c r="AX13" s="412" t="e">
        <f>ROUND('PAI3'!AW15,0)</f>
        <v>#VALUE!</v>
      </c>
      <c r="AY13" s="412" t="e">
        <f>ROUND('PAI3'!AX15,0)</f>
        <v>#VALUE!</v>
      </c>
      <c r="AZ13" s="412">
        <f>ROUND('PAI3'!AY15,0)</f>
        <v>0</v>
      </c>
      <c r="BA13" s="412">
        <f>ROUND('PAI3'!AZ15,0)</f>
        <v>0</v>
      </c>
      <c r="BB13" s="412">
        <f>ROUND('PAI3'!BA15,0)</f>
        <v>0</v>
      </c>
      <c r="BC13" s="412">
        <f>ROUND('PAI3'!BB15,0)</f>
        <v>0</v>
      </c>
      <c r="BD13" s="412">
        <f>ROUND('PAI3'!BC15,0)</f>
        <v>0</v>
      </c>
      <c r="BE13" s="412">
        <f>ROUND(PJOK3!Y14,0)</f>
        <v>69</v>
      </c>
      <c r="BF13" s="412">
        <f>ROUND(PJOK3!Z14,0)</f>
        <v>70</v>
      </c>
      <c r="BG13" s="412">
        <f>ROUND(PJOK3!AA14,0)</f>
        <v>0</v>
      </c>
      <c r="BH13" s="412">
        <f>ROUND(PJOK3!AB14,0)</f>
        <v>0</v>
      </c>
      <c r="BI13" s="412">
        <f>ROUND(PJOK3!AC14,0)</f>
        <v>0</v>
      </c>
      <c r="BJ13" s="412">
        <f>ROUND(PJOK3!AD14,0)</f>
        <v>0</v>
      </c>
      <c r="BK13" s="414"/>
      <c r="BL13" s="413"/>
      <c r="BM13" s="412">
        <f>ROUND('MLK1-3'!AC14,0)</f>
        <v>0</v>
      </c>
      <c r="BN13" s="412">
        <f>ROUND('MLK1-3'!AD14,0)</f>
        <v>69</v>
      </c>
      <c r="BO13" s="412">
        <f>ROUND('MLK1-3'!AE14,0)</f>
        <v>70</v>
      </c>
      <c r="BP13" s="414"/>
      <c r="BQ13" s="414"/>
      <c r="BR13" s="415"/>
      <c r="BS13" s="412">
        <f>ROUND('MLK2-3'!AA14,0)</f>
        <v>0</v>
      </c>
      <c r="BT13" s="412">
        <f>ROUND('MLK2-3'!AB14,0)</f>
        <v>69</v>
      </c>
      <c r="BU13" s="412">
        <f>ROUND('MLK2-3'!AC14,0)</f>
        <v>70</v>
      </c>
      <c r="BV13" s="412">
        <f>ROUND('MLK2-3'!AD14,0)</f>
        <v>0</v>
      </c>
      <c r="BW13" s="414"/>
      <c r="BX13" s="413"/>
      <c r="BY13" s="412">
        <f>ROUND('MLK3-3'!AA14,0)</f>
        <v>69</v>
      </c>
      <c r="BZ13" s="412">
        <f>ROUND('MLK3-3'!AB14,0)</f>
        <v>70</v>
      </c>
      <c r="CA13" s="414"/>
      <c r="CB13" s="414"/>
      <c r="CC13" s="414"/>
      <c r="CD13" s="415"/>
    </row>
    <row r="14" spans="1:83" ht="20.25" customHeight="1">
      <c r="A14" s="113">
        <v>11</v>
      </c>
      <c r="B14" s="410" t="str">
        <f>SISWA!C16</f>
        <v>Anak 11</v>
      </c>
      <c r="C14" s="410"/>
      <c r="D14" s="412">
        <f>ROUND('PKN3'!S15,0)</f>
        <v>99</v>
      </c>
      <c r="E14" s="412">
        <f>ROUND('PKN3'!T15,0)</f>
        <v>99</v>
      </c>
      <c r="F14" s="412">
        <f>ROUND('PKN3'!U15,0)</f>
        <v>99</v>
      </c>
      <c r="G14" s="412">
        <f>ROUND('PKN3'!V15,0)</f>
        <v>0</v>
      </c>
      <c r="H14" s="412">
        <f>ROUND('PKN3'!W15,0)</f>
        <v>0</v>
      </c>
      <c r="I14" s="412">
        <f>ROUND('PKN3'!X15,0)</f>
        <v>0</v>
      </c>
      <c r="J14" s="412">
        <f>ROUND(BIND3!AA15,0)</f>
        <v>70</v>
      </c>
      <c r="K14" s="412">
        <f>ROUND(BIND3!AB15,0)</f>
        <v>71</v>
      </c>
      <c r="L14" s="412">
        <f>ROUND(BIND3!AC15,0)</f>
        <v>99</v>
      </c>
      <c r="M14" s="412">
        <f>ROUND(BIND3!AD15,0)</f>
        <v>99</v>
      </c>
      <c r="N14" s="412">
        <f>ROUND(BIND3!AE15,0)</f>
        <v>99</v>
      </c>
      <c r="O14" s="412">
        <f>ROUND(BIND3!AF15,0)</f>
        <v>0</v>
      </c>
      <c r="P14" s="412">
        <f>ROUND(BIND3!AG15,0)</f>
        <v>0</v>
      </c>
      <c r="Q14" s="412">
        <f>ROUND(BIND3!AH15,0)</f>
        <v>0</v>
      </c>
      <c r="R14" s="412">
        <f>ROUND('MTK3'!AE15,0)</f>
        <v>70</v>
      </c>
      <c r="S14" s="412">
        <f>ROUND('MTK3'!AF15,0)</f>
        <v>71</v>
      </c>
      <c r="T14" s="412">
        <f>ROUND('MTK3'!AG15,0)</f>
        <v>0</v>
      </c>
      <c r="U14" s="412">
        <f>ROUND('MTK3'!AH15,0)</f>
        <v>0</v>
      </c>
      <c r="V14" s="412">
        <f>ROUND('MTK3'!AI15,0)</f>
        <v>0</v>
      </c>
      <c r="W14" s="412">
        <f>ROUND('MTK3'!AJ15,0)</f>
        <v>0</v>
      </c>
      <c r="X14" s="412">
        <f>ROUND('MTK3'!AK15,0)</f>
        <v>0</v>
      </c>
      <c r="Y14" s="414"/>
      <c r="Z14" s="412">
        <f>ROUND('IPA3'!Y15,0)</f>
        <v>99</v>
      </c>
      <c r="AA14" s="412">
        <f>ROUND('IPA3'!Z15,0)</f>
        <v>99</v>
      </c>
      <c r="AB14" s="412">
        <f>ROUND('IPA3'!AA15,0)</f>
        <v>99</v>
      </c>
      <c r="AC14" s="412">
        <f>ROUND('IPA3'!AB15,0)</f>
        <v>99</v>
      </c>
      <c r="AD14" s="412">
        <f>ROUND('IPA3'!AC15,0)</f>
        <v>0</v>
      </c>
      <c r="AE14" s="413"/>
      <c r="AF14" s="412">
        <f>ROUND('IPS3'!Y15,0)</f>
        <v>99</v>
      </c>
      <c r="AG14" s="412">
        <f>ROUND('IPS3'!Z15,0)</f>
        <v>99</v>
      </c>
      <c r="AH14" s="412">
        <f>ROUND('IPS3'!AA15,0)</f>
        <v>99</v>
      </c>
      <c r="AI14" s="412">
        <f>ROUND('IPS3'!AB15,0)</f>
        <v>0</v>
      </c>
      <c r="AJ14" s="414"/>
      <c r="AK14" s="414"/>
      <c r="AL14" s="412">
        <f>ROUND(SBDP3!Y15,0)</f>
        <v>99</v>
      </c>
      <c r="AM14" s="412">
        <f>ROUND(SBDP3!Z15,0)</f>
        <v>99</v>
      </c>
      <c r="AN14" s="412">
        <f>ROUND(SBDP3!AA15,0)</f>
        <v>99</v>
      </c>
      <c r="AO14" s="412">
        <f>ROUND(SBDP3!AB15,0)</f>
        <v>0</v>
      </c>
      <c r="AP14" s="414"/>
      <c r="AQ14" s="413"/>
      <c r="AR14" s="412">
        <f>ROUND('PAI3'!AQ16,0)</f>
        <v>99</v>
      </c>
      <c r="AS14" s="412">
        <f>ROUND('PAI3'!AR16,0)</f>
        <v>99</v>
      </c>
      <c r="AT14" s="412">
        <f>ROUND('PAI3'!AS16,0)</f>
        <v>99</v>
      </c>
      <c r="AU14" s="412" t="e">
        <f>ROUND('PAI3'!AT16,0)</f>
        <v>#VALUE!</v>
      </c>
      <c r="AV14" s="412" t="e">
        <f>ROUND('PAI3'!AU16,0)</f>
        <v>#VALUE!</v>
      </c>
      <c r="AW14" s="412" t="e">
        <f>ROUND('PAI3'!AV16,0)</f>
        <v>#VALUE!</v>
      </c>
      <c r="AX14" s="412" t="e">
        <f>ROUND('PAI3'!AW16,0)</f>
        <v>#VALUE!</v>
      </c>
      <c r="AY14" s="412" t="e">
        <f>ROUND('PAI3'!AX16,0)</f>
        <v>#VALUE!</v>
      </c>
      <c r="AZ14" s="412">
        <f>ROUND('PAI3'!AY16,0)</f>
        <v>0</v>
      </c>
      <c r="BA14" s="412">
        <f>ROUND('PAI3'!AZ16,0)</f>
        <v>0</v>
      </c>
      <c r="BB14" s="412">
        <f>ROUND('PAI3'!BA16,0)</f>
        <v>0</v>
      </c>
      <c r="BC14" s="412">
        <f>ROUND('PAI3'!BB16,0)</f>
        <v>0</v>
      </c>
      <c r="BD14" s="412">
        <f>ROUND('PAI3'!BC16,0)</f>
        <v>0</v>
      </c>
      <c r="BE14" s="412">
        <f>ROUND(PJOK3!Y15,0)</f>
        <v>70</v>
      </c>
      <c r="BF14" s="412">
        <f>ROUND(PJOK3!Z15,0)</f>
        <v>71</v>
      </c>
      <c r="BG14" s="412">
        <f>ROUND(PJOK3!AA15,0)</f>
        <v>0</v>
      </c>
      <c r="BH14" s="412">
        <f>ROUND(PJOK3!AB15,0)</f>
        <v>0</v>
      </c>
      <c r="BI14" s="412">
        <f>ROUND(PJOK3!AC15,0)</f>
        <v>0</v>
      </c>
      <c r="BJ14" s="412">
        <f>ROUND(PJOK3!AD15,0)</f>
        <v>0</v>
      </c>
      <c r="BK14" s="414"/>
      <c r="BL14" s="413"/>
      <c r="BM14" s="412">
        <f>ROUND('MLK1-3'!AC15,0)</f>
        <v>0</v>
      </c>
      <c r="BN14" s="412">
        <f>ROUND('MLK1-3'!AD15,0)</f>
        <v>70</v>
      </c>
      <c r="BO14" s="412">
        <f>ROUND('MLK1-3'!AE15,0)</f>
        <v>71</v>
      </c>
      <c r="BP14" s="414"/>
      <c r="BQ14" s="414"/>
      <c r="BR14" s="415"/>
      <c r="BS14" s="412">
        <f>ROUND('MLK2-3'!AA15,0)</f>
        <v>0</v>
      </c>
      <c r="BT14" s="412">
        <f>ROUND('MLK2-3'!AB15,0)</f>
        <v>70</v>
      </c>
      <c r="BU14" s="412">
        <f>ROUND('MLK2-3'!AC15,0)</f>
        <v>71</v>
      </c>
      <c r="BV14" s="412">
        <f>ROUND('MLK2-3'!AD15,0)</f>
        <v>0</v>
      </c>
      <c r="BW14" s="414"/>
      <c r="BX14" s="413"/>
      <c r="BY14" s="412">
        <f>ROUND('MLK3-3'!AA15,0)</f>
        <v>70</v>
      </c>
      <c r="BZ14" s="412">
        <f>ROUND('MLK3-3'!AB15,0)</f>
        <v>71</v>
      </c>
      <c r="CA14" s="414"/>
      <c r="CB14" s="414"/>
      <c r="CC14" s="414"/>
      <c r="CD14" s="415"/>
    </row>
    <row r="15" spans="1:83" ht="20.25" customHeight="1">
      <c r="A15" s="113">
        <v>12</v>
      </c>
      <c r="B15" s="410" t="str">
        <f>SISWA!C17</f>
        <v>Anak 12</v>
      </c>
      <c r="C15" s="410"/>
      <c r="D15" s="412">
        <f>ROUND('PKN3'!S16,0)</f>
        <v>99</v>
      </c>
      <c r="E15" s="412">
        <f>ROUND('PKN3'!T16,0)</f>
        <v>99</v>
      </c>
      <c r="F15" s="412">
        <f>ROUND('PKN3'!U16,0)</f>
        <v>99</v>
      </c>
      <c r="G15" s="412">
        <f>ROUND('PKN3'!V16,0)</f>
        <v>0</v>
      </c>
      <c r="H15" s="412">
        <f>ROUND('PKN3'!W16,0)</f>
        <v>0</v>
      </c>
      <c r="I15" s="412">
        <f>ROUND('PKN3'!X16,0)</f>
        <v>0</v>
      </c>
      <c r="J15" s="412">
        <f>ROUND(BIND3!AA16,0)</f>
        <v>71</v>
      </c>
      <c r="K15" s="412">
        <f>ROUND(BIND3!AB16,0)</f>
        <v>85</v>
      </c>
      <c r="L15" s="412">
        <f>ROUND(BIND3!AC16,0)</f>
        <v>99</v>
      </c>
      <c r="M15" s="412">
        <f>ROUND(BIND3!AD16,0)</f>
        <v>99</v>
      </c>
      <c r="N15" s="412">
        <f>ROUND(BIND3!AE16,0)</f>
        <v>99</v>
      </c>
      <c r="O15" s="412">
        <f>ROUND(BIND3!AF16,0)</f>
        <v>0</v>
      </c>
      <c r="P15" s="412">
        <f>ROUND(BIND3!AG16,0)</f>
        <v>0</v>
      </c>
      <c r="Q15" s="412">
        <f>ROUND(BIND3!AH16,0)</f>
        <v>0</v>
      </c>
      <c r="R15" s="412">
        <f>ROUND('MTK3'!AE16,0)</f>
        <v>71</v>
      </c>
      <c r="S15" s="412">
        <f>ROUND('MTK3'!AF16,0)</f>
        <v>85</v>
      </c>
      <c r="T15" s="412">
        <f>ROUND('MTK3'!AG16,0)</f>
        <v>0</v>
      </c>
      <c r="U15" s="412">
        <f>ROUND('MTK3'!AH16,0)</f>
        <v>0</v>
      </c>
      <c r="V15" s="412">
        <f>ROUND('MTK3'!AI16,0)</f>
        <v>0</v>
      </c>
      <c r="W15" s="412">
        <f>ROUND('MTK3'!AJ16,0)</f>
        <v>0</v>
      </c>
      <c r="X15" s="412">
        <f>ROUND('MTK3'!AK16,0)</f>
        <v>0</v>
      </c>
      <c r="Y15" s="414"/>
      <c r="Z15" s="412">
        <f>ROUND('IPA3'!Y16,0)</f>
        <v>99</v>
      </c>
      <c r="AA15" s="412">
        <f>ROUND('IPA3'!Z16,0)</f>
        <v>99</v>
      </c>
      <c r="AB15" s="412">
        <f>ROUND('IPA3'!AA16,0)</f>
        <v>99</v>
      </c>
      <c r="AC15" s="412">
        <f>ROUND('IPA3'!AB16,0)</f>
        <v>99</v>
      </c>
      <c r="AD15" s="412">
        <f>ROUND('IPA3'!AC16,0)</f>
        <v>0</v>
      </c>
      <c r="AE15" s="413"/>
      <c r="AF15" s="412">
        <f>ROUND('IPS3'!Y16,0)</f>
        <v>99</v>
      </c>
      <c r="AG15" s="412">
        <f>ROUND('IPS3'!Z16,0)</f>
        <v>99</v>
      </c>
      <c r="AH15" s="412">
        <f>ROUND('IPS3'!AA16,0)</f>
        <v>99</v>
      </c>
      <c r="AI15" s="412">
        <f>ROUND('IPS3'!AB16,0)</f>
        <v>0</v>
      </c>
      <c r="AJ15" s="414"/>
      <c r="AK15" s="414"/>
      <c r="AL15" s="412">
        <f>ROUND(SBDP3!Y16,0)</f>
        <v>99</v>
      </c>
      <c r="AM15" s="412">
        <f>ROUND(SBDP3!Z16,0)</f>
        <v>99</v>
      </c>
      <c r="AN15" s="412">
        <f>ROUND(SBDP3!AA16,0)</f>
        <v>99</v>
      </c>
      <c r="AO15" s="412">
        <f>ROUND(SBDP3!AB16,0)</f>
        <v>0</v>
      </c>
      <c r="AP15" s="414"/>
      <c r="AQ15" s="413"/>
      <c r="AR15" s="412">
        <f>ROUND('PAI3'!AQ17,0)</f>
        <v>99</v>
      </c>
      <c r="AS15" s="412">
        <f>ROUND('PAI3'!AR17,0)</f>
        <v>99</v>
      </c>
      <c r="AT15" s="412">
        <f>ROUND('PAI3'!AS17,0)</f>
        <v>99</v>
      </c>
      <c r="AU15" s="412" t="e">
        <f>ROUND('PAI3'!AT17,0)</f>
        <v>#VALUE!</v>
      </c>
      <c r="AV15" s="412" t="e">
        <f>ROUND('PAI3'!AU17,0)</f>
        <v>#VALUE!</v>
      </c>
      <c r="AW15" s="412" t="e">
        <f>ROUND('PAI3'!AV17,0)</f>
        <v>#VALUE!</v>
      </c>
      <c r="AX15" s="412" t="e">
        <f>ROUND('PAI3'!AW17,0)</f>
        <v>#VALUE!</v>
      </c>
      <c r="AY15" s="412" t="e">
        <f>ROUND('PAI3'!AX17,0)</f>
        <v>#VALUE!</v>
      </c>
      <c r="AZ15" s="412">
        <f>ROUND('PAI3'!AY17,0)</f>
        <v>0</v>
      </c>
      <c r="BA15" s="412">
        <f>ROUND('PAI3'!AZ17,0)</f>
        <v>0</v>
      </c>
      <c r="BB15" s="412">
        <f>ROUND('PAI3'!BA17,0)</f>
        <v>0</v>
      </c>
      <c r="BC15" s="412">
        <f>ROUND('PAI3'!BB17,0)</f>
        <v>0</v>
      </c>
      <c r="BD15" s="412">
        <f>ROUND('PAI3'!BC17,0)</f>
        <v>0</v>
      </c>
      <c r="BE15" s="412">
        <f>ROUND(PJOK3!Y16,0)</f>
        <v>71</v>
      </c>
      <c r="BF15" s="412">
        <f>ROUND(PJOK3!Z16,0)</f>
        <v>85</v>
      </c>
      <c r="BG15" s="412">
        <f>ROUND(PJOK3!AA16,0)</f>
        <v>0</v>
      </c>
      <c r="BH15" s="412">
        <f>ROUND(PJOK3!AB16,0)</f>
        <v>0</v>
      </c>
      <c r="BI15" s="412">
        <f>ROUND(PJOK3!AC16,0)</f>
        <v>0</v>
      </c>
      <c r="BJ15" s="412">
        <f>ROUND(PJOK3!AD16,0)</f>
        <v>0</v>
      </c>
      <c r="BK15" s="414"/>
      <c r="BL15" s="413"/>
      <c r="BM15" s="412">
        <f>ROUND('MLK1-3'!AC16,0)</f>
        <v>0</v>
      </c>
      <c r="BN15" s="412">
        <f>ROUND('MLK1-3'!AD16,0)</f>
        <v>71</v>
      </c>
      <c r="BO15" s="412">
        <f>ROUND('MLK1-3'!AE16,0)</f>
        <v>85</v>
      </c>
      <c r="BP15" s="414"/>
      <c r="BQ15" s="414"/>
      <c r="BR15" s="415"/>
      <c r="BS15" s="412">
        <f>ROUND('MLK2-3'!AA16,0)</f>
        <v>0</v>
      </c>
      <c r="BT15" s="412">
        <f>ROUND('MLK2-3'!AB16,0)</f>
        <v>71</v>
      </c>
      <c r="BU15" s="412">
        <f>ROUND('MLK2-3'!AC16,0)</f>
        <v>85</v>
      </c>
      <c r="BV15" s="412">
        <f>ROUND('MLK2-3'!AD16,0)</f>
        <v>0</v>
      </c>
      <c r="BW15" s="414"/>
      <c r="BX15" s="413"/>
      <c r="BY15" s="412">
        <f>ROUND('MLK3-3'!AA16,0)</f>
        <v>71</v>
      </c>
      <c r="BZ15" s="412">
        <f>ROUND('MLK3-3'!AB16,0)</f>
        <v>85</v>
      </c>
      <c r="CA15" s="414"/>
      <c r="CB15" s="414"/>
      <c r="CC15" s="414"/>
      <c r="CD15" s="415"/>
    </row>
    <row r="16" spans="1:83" ht="20.25" customHeight="1">
      <c r="A16" s="113">
        <v>13</v>
      </c>
      <c r="B16" s="410" t="str">
        <f>SISWA!C18</f>
        <v>Anak 13</v>
      </c>
      <c r="C16" s="410"/>
      <c r="D16" s="412">
        <f>ROUND('PKN3'!S17,0)</f>
        <v>99</v>
      </c>
      <c r="E16" s="412">
        <f>ROUND('PKN3'!T17,0)</f>
        <v>99</v>
      </c>
      <c r="F16" s="412">
        <f>ROUND('PKN3'!U17,0)</f>
        <v>99</v>
      </c>
      <c r="G16" s="412">
        <f>ROUND('PKN3'!V17,0)</f>
        <v>0</v>
      </c>
      <c r="H16" s="412">
        <f>ROUND('PKN3'!W17,0)</f>
        <v>0</v>
      </c>
      <c r="I16" s="412">
        <f>ROUND('PKN3'!X17,0)</f>
        <v>0</v>
      </c>
      <c r="J16" s="412">
        <f>ROUND(BIND3!AA17,0)</f>
        <v>85</v>
      </c>
      <c r="K16" s="412">
        <f>ROUND(BIND3!AB17,0)</f>
        <v>73</v>
      </c>
      <c r="L16" s="412">
        <f>ROUND(BIND3!AC17,0)</f>
        <v>99</v>
      </c>
      <c r="M16" s="412">
        <f>ROUND(BIND3!AD17,0)</f>
        <v>99</v>
      </c>
      <c r="N16" s="412">
        <f>ROUND(BIND3!AE17,0)</f>
        <v>99</v>
      </c>
      <c r="O16" s="412">
        <f>ROUND(BIND3!AF17,0)</f>
        <v>0</v>
      </c>
      <c r="P16" s="412">
        <f>ROUND(BIND3!AG17,0)</f>
        <v>0</v>
      </c>
      <c r="Q16" s="412">
        <f>ROUND(BIND3!AH17,0)</f>
        <v>0</v>
      </c>
      <c r="R16" s="412">
        <f>ROUND('MTK3'!AE17,0)</f>
        <v>85</v>
      </c>
      <c r="S16" s="412">
        <f>ROUND('MTK3'!AF17,0)</f>
        <v>73</v>
      </c>
      <c r="T16" s="412">
        <f>ROUND('MTK3'!AG17,0)</f>
        <v>0</v>
      </c>
      <c r="U16" s="412">
        <f>ROUND('MTK3'!AH17,0)</f>
        <v>0</v>
      </c>
      <c r="V16" s="412">
        <f>ROUND('MTK3'!AI17,0)</f>
        <v>0</v>
      </c>
      <c r="W16" s="412">
        <f>ROUND('MTK3'!AJ17,0)</f>
        <v>0</v>
      </c>
      <c r="X16" s="412">
        <f>ROUND('MTK3'!AK17,0)</f>
        <v>0</v>
      </c>
      <c r="Y16" s="414"/>
      <c r="Z16" s="412">
        <f>ROUND('IPA3'!Y17,0)</f>
        <v>99</v>
      </c>
      <c r="AA16" s="412">
        <f>ROUND('IPA3'!Z17,0)</f>
        <v>99</v>
      </c>
      <c r="AB16" s="412">
        <f>ROUND('IPA3'!AA17,0)</f>
        <v>99</v>
      </c>
      <c r="AC16" s="412">
        <f>ROUND('IPA3'!AB17,0)</f>
        <v>99</v>
      </c>
      <c r="AD16" s="412">
        <f>ROUND('IPA3'!AC17,0)</f>
        <v>0</v>
      </c>
      <c r="AE16" s="413"/>
      <c r="AF16" s="412">
        <f>ROUND('IPS3'!Y17,0)</f>
        <v>99</v>
      </c>
      <c r="AG16" s="412">
        <f>ROUND('IPS3'!Z17,0)</f>
        <v>99</v>
      </c>
      <c r="AH16" s="412">
        <f>ROUND('IPS3'!AA17,0)</f>
        <v>99</v>
      </c>
      <c r="AI16" s="412">
        <f>ROUND('IPS3'!AB17,0)</f>
        <v>0</v>
      </c>
      <c r="AJ16" s="414"/>
      <c r="AK16" s="414"/>
      <c r="AL16" s="412">
        <f>ROUND(SBDP3!Y17,0)</f>
        <v>99</v>
      </c>
      <c r="AM16" s="412">
        <f>ROUND(SBDP3!Z17,0)</f>
        <v>99</v>
      </c>
      <c r="AN16" s="412">
        <f>ROUND(SBDP3!AA17,0)</f>
        <v>99</v>
      </c>
      <c r="AO16" s="412">
        <f>ROUND(SBDP3!AB17,0)</f>
        <v>0</v>
      </c>
      <c r="AP16" s="414"/>
      <c r="AQ16" s="413"/>
      <c r="AR16" s="412">
        <f>ROUND('PAI3'!AQ18,0)</f>
        <v>99</v>
      </c>
      <c r="AS16" s="412">
        <f>ROUND('PAI3'!AR18,0)</f>
        <v>99</v>
      </c>
      <c r="AT16" s="412">
        <f>ROUND('PAI3'!AS18,0)</f>
        <v>99</v>
      </c>
      <c r="AU16" s="412" t="e">
        <f>ROUND('PAI3'!AT18,0)</f>
        <v>#VALUE!</v>
      </c>
      <c r="AV16" s="412" t="e">
        <f>ROUND('PAI3'!AU18,0)</f>
        <v>#VALUE!</v>
      </c>
      <c r="AW16" s="412" t="e">
        <f>ROUND('PAI3'!AV18,0)</f>
        <v>#VALUE!</v>
      </c>
      <c r="AX16" s="412" t="e">
        <f>ROUND('PAI3'!AW18,0)</f>
        <v>#VALUE!</v>
      </c>
      <c r="AY16" s="412" t="e">
        <f>ROUND('PAI3'!AX18,0)</f>
        <v>#VALUE!</v>
      </c>
      <c r="AZ16" s="412">
        <f>ROUND('PAI3'!AY18,0)</f>
        <v>0</v>
      </c>
      <c r="BA16" s="412">
        <f>ROUND('PAI3'!AZ18,0)</f>
        <v>0</v>
      </c>
      <c r="BB16" s="412">
        <f>ROUND('PAI3'!BA18,0)</f>
        <v>0</v>
      </c>
      <c r="BC16" s="412">
        <f>ROUND('PAI3'!BB18,0)</f>
        <v>0</v>
      </c>
      <c r="BD16" s="412">
        <f>ROUND('PAI3'!BC18,0)</f>
        <v>0</v>
      </c>
      <c r="BE16" s="412">
        <f>ROUND(PJOK3!Y17,0)</f>
        <v>85</v>
      </c>
      <c r="BF16" s="412">
        <f>ROUND(PJOK3!Z17,0)</f>
        <v>73</v>
      </c>
      <c r="BG16" s="412">
        <f>ROUND(PJOK3!AA17,0)</f>
        <v>0</v>
      </c>
      <c r="BH16" s="412">
        <f>ROUND(PJOK3!AB17,0)</f>
        <v>0</v>
      </c>
      <c r="BI16" s="412">
        <f>ROUND(PJOK3!AC17,0)</f>
        <v>0</v>
      </c>
      <c r="BJ16" s="412">
        <f>ROUND(PJOK3!AD17,0)</f>
        <v>0</v>
      </c>
      <c r="BK16" s="414"/>
      <c r="BL16" s="413"/>
      <c r="BM16" s="412">
        <f>ROUND('MLK1-3'!AC17,0)</f>
        <v>0</v>
      </c>
      <c r="BN16" s="412">
        <f>ROUND('MLK1-3'!AD17,0)</f>
        <v>85</v>
      </c>
      <c r="BO16" s="412">
        <f>ROUND('MLK1-3'!AE17,0)</f>
        <v>73</v>
      </c>
      <c r="BP16" s="414"/>
      <c r="BQ16" s="414"/>
      <c r="BR16" s="415"/>
      <c r="BS16" s="412">
        <f>ROUND('MLK2-3'!AA17,0)</f>
        <v>0</v>
      </c>
      <c r="BT16" s="412">
        <f>ROUND('MLK2-3'!AB17,0)</f>
        <v>85</v>
      </c>
      <c r="BU16" s="412">
        <f>ROUND('MLK2-3'!AC17,0)</f>
        <v>73</v>
      </c>
      <c r="BV16" s="412">
        <f>ROUND('MLK2-3'!AD17,0)</f>
        <v>0</v>
      </c>
      <c r="BW16" s="414"/>
      <c r="BX16" s="413"/>
      <c r="BY16" s="412">
        <f>ROUND('MLK3-3'!AA17,0)</f>
        <v>85</v>
      </c>
      <c r="BZ16" s="412">
        <f>ROUND('MLK3-3'!AB17,0)</f>
        <v>73</v>
      </c>
      <c r="CA16" s="414"/>
      <c r="CB16" s="414"/>
      <c r="CC16" s="414"/>
      <c r="CD16" s="415"/>
    </row>
    <row r="17" spans="1:82" ht="20.25" customHeight="1">
      <c r="A17" s="113">
        <v>14</v>
      </c>
      <c r="B17" s="410" t="str">
        <f>SISWA!C19</f>
        <v>Anak 14</v>
      </c>
      <c r="C17" s="410"/>
      <c r="D17" s="412">
        <f>ROUND('PKN3'!S18,0)</f>
        <v>99</v>
      </c>
      <c r="E17" s="412">
        <f>ROUND('PKN3'!T18,0)</f>
        <v>99</v>
      </c>
      <c r="F17" s="412">
        <f>ROUND('PKN3'!U18,0)</f>
        <v>99</v>
      </c>
      <c r="G17" s="412">
        <f>ROUND('PKN3'!V18,0)</f>
        <v>0</v>
      </c>
      <c r="H17" s="412">
        <f>ROUND('PKN3'!W18,0)</f>
        <v>0</v>
      </c>
      <c r="I17" s="412">
        <f>ROUND('PKN3'!X18,0)</f>
        <v>0</v>
      </c>
      <c r="J17" s="412">
        <f>ROUND(BIND3!AA18,0)</f>
        <v>73</v>
      </c>
      <c r="K17" s="412">
        <f>ROUND(BIND3!AB18,0)</f>
        <v>80</v>
      </c>
      <c r="L17" s="412">
        <f>ROUND(BIND3!AC18,0)</f>
        <v>99</v>
      </c>
      <c r="M17" s="412">
        <f>ROUND(BIND3!AD18,0)</f>
        <v>99</v>
      </c>
      <c r="N17" s="412">
        <f>ROUND(BIND3!AE18,0)</f>
        <v>99</v>
      </c>
      <c r="O17" s="412">
        <f>ROUND(BIND3!AF18,0)</f>
        <v>0</v>
      </c>
      <c r="P17" s="412">
        <f>ROUND(BIND3!AG18,0)</f>
        <v>0</v>
      </c>
      <c r="Q17" s="412">
        <f>ROUND(BIND3!AH18,0)</f>
        <v>0</v>
      </c>
      <c r="R17" s="412">
        <f>ROUND('MTK3'!AE18,0)</f>
        <v>73</v>
      </c>
      <c r="S17" s="412">
        <f>ROUND('MTK3'!AF18,0)</f>
        <v>80</v>
      </c>
      <c r="T17" s="412">
        <f>ROUND('MTK3'!AG18,0)</f>
        <v>0</v>
      </c>
      <c r="U17" s="412">
        <f>ROUND('MTK3'!AH18,0)</f>
        <v>0</v>
      </c>
      <c r="V17" s="412">
        <f>ROUND('MTK3'!AI18,0)</f>
        <v>0</v>
      </c>
      <c r="W17" s="412">
        <f>ROUND('MTK3'!AJ18,0)</f>
        <v>0</v>
      </c>
      <c r="X17" s="412">
        <f>ROUND('MTK3'!AK18,0)</f>
        <v>0</v>
      </c>
      <c r="Y17" s="414"/>
      <c r="Z17" s="412">
        <f>ROUND('IPA3'!Y18,0)</f>
        <v>99</v>
      </c>
      <c r="AA17" s="412">
        <f>ROUND('IPA3'!Z18,0)</f>
        <v>99</v>
      </c>
      <c r="AB17" s="412">
        <f>ROUND('IPA3'!AA18,0)</f>
        <v>99</v>
      </c>
      <c r="AC17" s="412">
        <f>ROUND('IPA3'!AB18,0)</f>
        <v>99</v>
      </c>
      <c r="AD17" s="412">
        <f>ROUND('IPA3'!AC18,0)</f>
        <v>0</v>
      </c>
      <c r="AE17" s="413"/>
      <c r="AF17" s="412">
        <f>ROUND('IPS3'!Y18,0)</f>
        <v>99</v>
      </c>
      <c r="AG17" s="412">
        <f>ROUND('IPS3'!Z18,0)</f>
        <v>99</v>
      </c>
      <c r="AH17" s="412">
        <f>ROUND('IPS3'!AA18,0)</f>
        <v>99</v>
      </c>
      <c r="AI17" s="412">
        <f>ROUND('IPS3'!AB18,0)</f>
        <v>0</v>
      </c>
      <c r="AJ17" s="414"/>
      <c r="AK17" s="414"/>
      <c r="AL17" s="412">
        <f>ROUND(SBDP3!Y18,0)</f>
        <v>99</v>
      </c>
      <c r="AM17" s="412">
        <f>ROUND(SBDP3!Z18,0)</f>
        <v>99</v>
      </c>
      <c r="AN17" s="412">
        <f>ROUND(SBDP3!AA18,0)</f>
        <v>99</v>
      </c>
      <c r="AO17" s="412">
        <f>ROUND(SBDP3!AB18,0)</f>
        <v>0</v>
      </c>
      <c r="AP17" s="414"/>
      <c r="AQ17" s="413"/>
      <c r="AR17" s="412">
        <f>ROUND('PAI3'!AQ19,0)</f>
        <v>99</v>
      </c>
      <c r="AS17" s="412">
        <f>ROUND('PAI3'!AR19,0)</f>
        <v>99</v>
      </c>
      <c r="AT17" s="412">
        <f>ROUND('PAI3'!AS19,0)</f>
        <v>99</v>
      </c>
      <c r="AU17" s="412" t="e">
        <f>ROUND('PAI3'!AT19,0)</f>
        <v>#VALUE!</v>
      </c>
      <c r="AV17" s="412" t="e">
        <f>ROUND('PAI3'!AU19,0)</f>
        <v>#VALUE!</v>
      </c>
      <c r="AW17" s="412" t="e">
        <f>ROUND('PAI3'!AV19,0)</f>
        <v>#VALUE!</v>
      </c>
      <c r="AX17" s="412" t="e">
        <f>ROUND('PAI3'!AW19,0)</f>
        <v>#VALUE!</v>
      </c>
      <c r="AY17" s="412" t="e">
        <f>ROUND('PAI3'!AX19,0)</f>
        <v>#VALUE!</v>
      </c>
      <c r="AZ17" s="412">
        <f>ROUND('PAI3'!AY19,0)</f>
        <v>0</v>
      </c>
      <c r="BA17" s="412">
        <f>ROUND('PAI3'!AZ19,0)</f>
        <v>0</v>
      </c>
      <c r="BB17" s="412">
        <f>ROUND('PAI3'!BA19,0)</f>
        <v>0</v>
      </c>
      <c r="BC17" s="412">
        <f>ROUND('PAI3'!BB19,0)</f>
        <v>0</v>
      </c>
      <c r="BD17" s="412">
        <f>ROUND('PAI3'!BC19,0)</f>
        <v>0</v>
      </c>
      <c r="BE17" s="412">
        <f>ROUND(PJOK3!Y18,0)</f>
        <v>73</v>
      </c>
      <c r="BF17" s="412">
        <f>ROUND(PJOK3!Z18,0)</f>
        <v>80</v>
      </c>
      <c r="BG17" s="412">
        <f>ROUND(PJOK3!AA18,0)</f>
        <v>0</v>
      </c>
      <c r="BH17" s="412">
        <f>ROUND(PJOK3!AB18,0)</f>
        <v>0</v>
      </c>
      <c r="BI17" s="412">
        <f>ROUND(PJOK3!AC18,0)</f>
        <v>0</v>
      </c>
      <c r="BJ17" s="412">
        <f>ROUND(PJOK3!AD18,0)</f>
        <v>0</v>
      </c>
      <c r="BK17" s="414"/>
      <c r="BL17" s="413"/>
      <c r="BM17" s="412">
        <f>ROUND('MLK1-3'!AC18,0)</f>
        <v>0</v>
      </c>
      <c r="BN17" s="412">
        <f>ROUND('MLK1-3'!AD18,0)</f>
        <v>73</v>
      </c>
      <c r="BO17" s="412">
        <f>ROUND('MLK1-3'!AE18,0)</f>
        <v>80</v>
      </c>
      <c r="BP17" s="414"/>
      <c r="BQ17" s="414"/>
      <c r="BR17" s="415"/>
      <c r="BS17" s="412">
        <f>ROUND('MLK2-3'!AA18,0)</f>
        <v>0</v>
      </c>
      <c r="BT17" s="412">
        <f>ROUND('MLK2-3'!AB18,0)</f>
        <v>73</v>
      </c>
      <c r="BU17" s="412">
        <f>ROUND('MLK2-3'!AC18,0)</f>
        <v>80</v>
      </c>
      <c r="BV17" s="412">
        <f>ROUND('MLK2-3'!AD18,0)</f>
        <v>0</v>
      </c>
      <c r="BW17" s="414"/>
      <c r="BX17" s="413"/>
      <c r="BY17" s="412">
        <f>ROUND('MLK3-3'!AA18,0)</f>
        <v>73</v>
      </c>
      <c r="BZ17" s="412">
        <f>ROUND('MLK3-3'!AB18,0)</f>
        <v>80</v>
      </c>
      <c r="CA17" s="414"/>
      <c r="CB17" s="414"/>
      <c r="CC17" s="414"/>
      <c r="CD17" s="415"/>
    </row>
    <row r="18" spans="1:82" ht="20.25" customHeight="1">
      <c r="A18" s="113">
        <v>15</v>
      </c>
      <c r="B18" s="410" t="str">
        <f>SISWA!C20</f>
        <v>Anak 15</v>
      </c>
      <c r="C18" s="410"/>
      <c r="D18" s="412">
        <f>ROUND('PKN3'!S19,0)</f>
        <v>99</v>
      </c>
      <c r="E18" s="412">
        <f>ROUND('PKN3'!T19,0)</f>
        <v>99</v>
      </c>
      <c r="F18" s="412">
        <f>ROUND('PKN3'!U19,0)</f>
        <v>99</v>
      </c>
      <c r="G18" s="412">
        <f>ROUND('PKN3'!V19,0)</f>
        <v>0</v>
      </c>
      <c r="H18" s="412">
        <f>ROUND('PKN3'!W19,0)</f>
        <v>0</v>
      </c>
      <c r="I18" s="412">
        <f>ROUND('PKN3'!X19,0)</f>
        <v>0</v>
      </c>
      <c r="J18" s="412">
        <f>ROUND(BIND3!AA19,0)</f>
        <v>80</v>
      </c>
      <c r="K18" s="412">
        <f>ROUND(BIND3!AB19,0)</f>
        <v>80</v>
      </c>
      <c r="L18" s="412">
        <f>ROUND(BIND3!AC19,0)</f>
        <v>99</v>
      </c>
      <c r="M18" s="412">
        <f>ROUND(BIND3!AD19,0)</f>
        <v>99</v>
      </c>
      <c r="N18" s="412">
        <f>ROUND(BIND3!AE19,0)</f>
        <v>99</v>
      </c>
      <c r="O18" s="412">
        <f>ROUND(BIND3!AF19,0)</f>
        <v>0</v>
      </c>
      <c r="P18" s="412">
        <f>ROUND(BIND3!AG19,0)</f>
        <v>0</v>
      </c>
      <c r="Q18" s="412">
        <f>ROUND(BIND3!AH19,0)</f>
        <v>0</v>
      </c>
      <c r="R18" s="412">
        <f>ROUND('MTK3'!AE19,0)</f>
        <v>80</v>
      </c>
      <c r="S18" s="412">
        <f>ROUND('MTK3'!AF19,0)</f>
        <v>80</v>
      </c>
      <c r="T18" s="412">
        <f>ROUND('MTK3'!AG19,0)</f>
        <v>0</v>
      </c>
      <c r="U18" s="412">
        <f>ROUND('MTK3'!AH19,0)</f>
        <v>0</v>
      </c>
      <c r="V18" s="412">
        <f>ROUND('MTK3'!AI19,0)</f>
        <v>0</v>
      </c>
      <c r="W18" s="412">
        <f>ROUND('MTK3'!AJ19,0)</f>
        <v>0</v>
      </c>
      <c r="X18" s="412">
        <f>ROUND('MTK3'!AK19,0)</f>
        <v>0</v>
      </c>
      <c r="Y18" s="414"/>
      <c r="Z18" s="412">
        <f>ROUND('IPA3'!Y19,0)</f>
        <v>99</v>
      </c>
      <c r="AA18" s="412">
        <f>ROUND('IPA3'!Z19,0)</f>
        <v>99</v>
      </c>
      <c r="AB18" s="412">
        <f>ROUND('IPA3'!AA19,0)</f>
        <v>99</v>
      </c>
      <c r="AC18" s="412">
        <f>ROUND('IPA3'!AB19,0)</f>
        <v>99</v>
      </c>
      <c r="AD18" s="412">
        <f>ROUND('IPA3'!AC19,0)</f>
        <v>0</v>
      </c>
      <c r="AE18" s="413"/>
      <c r="AF18" s="412">
        <f>ROUND('IPS3'!Y19,0)</f>
        <v>99</v>
      </c>
      <c r="AG18" s="412">
        <f>ROUND('IPS3'!Z19,0)</f>
        <v>99</v>
      </c>
      <c r="AH18" s="412">
        <f>ROUND('IPS3'!AA19,0)</f>
        <v>99</v>
      </c>
      <c r="AI18" s="412">
        <f>ROUND('IPS3'!AB19,0)</f>
        <v>0</v>
      </c>
      <c r="AJ18" s="414"/>
      <c r="AK18" s="414"/>
      <c r="AL18" s="412">
        <f>ROUND(SBDP3!Y19,0)</f>
        <v>99</v>
      </c>
      <c r="AM18" s="412">
        <f>ROUND(SBDP3!Z19,0)</f>
        <v>99</v>
      </c>
      <c r="AN18" s="412">
        <f>ROUND(SBDP3!AA19,0)</f>
        <v>99</v>
      </c>
      <c r="AO18" s="412">
        <f>ROUND(SBDP3!AB19,0)</f>
        <v>0</v>
      </c>
      <c r="AP18" s="414"/>
      <c r="AQ18" s="413"/>
      <c r="AR18" s="412">
        <f>ROUND('PAI3'!AQ20,0)</f>
        <v>99</v>
      </c>
      <c r="AS18" s="412">
        <f>ROUND('PAI3'!AR20,0)</f>
        <v>99</v>
      </c>
      <c r="AT18" s="412">
        <f>ROUND('PAI3'!AS20,0)</f>
        <v>99</v>
      </c>
      <c r="AU18" s="412" t="e">
        <f>ROUND('PAI3'!AT20,0)</f>
        <v>#VALUE!</v>
      </c>
      <c r="AV18" s="412" t="e">
        <f>ROUND('PAI3'!AU20,0)</f>
        <v>#VALUE!</v>
      </c>
      <c r="AW18" s="412" t="e">
        <f>ROUND('PAI3'!AV20,0)</f>
        <v>#VALUE!</v>
      </c>
      <c r="AX18" s="412" t="e">
        <f>ROUND('PAI3'!AW20,0)</f>
        <v>#VALUE!</v>
      </c>
      <c r="AY18" s="412" t="e">
        <f>ROUND('PAI3'!AX20,0)</f>
        <v>#VALUE!</v>
      </c>
      <c r="AZ18" s="412">
        <f>ROUND('PAI3'!AY20,0)</f>
        <v>0</v>
      </c>
      <c r="BA18" s="412">
        <f>ROUND('PAI3'!AZ20,0)</f>
        <v>0</v>
      </c>
      <c r="BB18" s="412">
        <f>ROUND('PAI3'!BA20,0)</f>
        <v>0</v>
      </c>
      <c r="BC18" s="412">
        <f>ROUND('PAI3'!BB20,0)</f>
        <v>0</v>
      </c>
      <c r="BD18" s="412">
        <f>ROUND('PAI3'!BC20,0)</f>
        <v>0</v>
      </c>
      <c r="BE18" s="412">
        <f>ROUND(PJOK3!Y19,0)</f>
        <v>80</v>
      </c>
      <c r="BF18" s="412">
        <f>ROUND(PJOK3!Z19,0)</f>
        <v>80</v>
      </c>
      <c r="BG18" s="412">
        <f>ROUND(PJOK3!AA19,0)</f>
        <v>0</v>
      </c>
      <c r="BH18" s="412">
        <f>ROUND(PJOK3!AB19,0)</f>
        <v>0</v>
      </c>
      <c r="BI18" s="412">
        <f>ROUND(PJOK3!AC19,0)</f>
        <v>0</v>
      </c>
      <c r="BJ18" s="412">
        <f>ROUND(PJOK3!AD19,0)</f>
        <v>0</v>
      </c>
      <c r="BK18" s="414"/>
      <c r="BL18" s="413"/>
      <c r="BM18" s="412">
        <f>ROUND('MLK1-3'!AC19,0)</f>
        <v>0</v>
      </c>
      <c r="BN18" s="412">
        <f>ROUND('MLK1-3'!AD19,0)</f>
        <v>80</v>
      </c>
      <c r="BO18" s="412">
        <f>ROUND('MLK1-3'!AE19,0)</f>
        <v>80</v>
      </c>
      <c r="BP18" s="414"/>
      <c r="BQ18" s="414"/>
      <c r="BR18" s="415"/>
      <c r="BS18" s="412">
        <f>ROUND('MLK2-3'!AA19,0)</f>
        <v>0</v>
      </c>
      <c r="BT18" s="412">
        <f>ROUND('MLK2-3'!AB19,0)</f>
        <v>80</v>
      </c>
      <c r="BU18" s="412">
        <f>ROUND('MLK2-3'!AC19,0)</f>
        <v>80</v>
      </c>
      <c r="BV18" s="412">
        <f>ROUND('MLK2-3'!AD19,0)</f>
        <v>0</v>
      </c>
      <c r="BW18" s="414"/>
      <c r="BX18" s="413"/>
      <c r="BY18" s="412">
        <f>ROUND('MLK3-3'!AA19,0)</f>
        <v>80</v>
      </c>
      <c r="BZ18" s="412">
        <f>ROUND('MLK3-3'!AB19,0)</f>
        <v>80</v>
      </c>
      <c r="CA18" s="414"/>
      <c r="CB18" s="414"/>
      <c r="CC18" s="414"/>
      <c r="CD18" s="415"/>
    </row>
    <row r="19" spans="1:82" ht="20.25" customHeight="1">
      <c r="A19" s="113">
        <v>16</v>
      </c>
      <c r="B19" s="410" t="str">
        <f>SISWA!C21</f>
        <v>Anak 16</v>
      </c>
      <c r="C19" s="410"/>
      <c r="D19" s="412">
        <f>ROUND('PKN3'!S20,0)</f>
        <v>99</v>
      </c>
      <c r="E19" s="412">
        <f>ROUND('PKN3'!T20,0)</f>
        <v>99</v>
      </c>
      <c r="F19" s="412">
        <f>ROUND('PKN3'!U20,0)</f>
        <v>99</v>
      </c>
      <c r="G19" s="412">
        <f>ROUND('PKN3'!V20,0)</f>
        <v>0</v>
      </c>
      <c r="H19" s="412">
        <f>ROUND('PKN3'!W20,0)</f>
        <v>0</v>
      </c>
      <c r="I19" s="412">
        <f>ROUND('PKN3'!X20,0)</f>
        <v>0</v>
      </c>
      <c r="J19" s="412">
        <f>ROUND(BIND3!AA20,0)</f>
        <v>80</v>
      </c>
      <c r="K19" s="412">
        <f>ROUND(BIND3!AB20,0)</f>
        <v>80</v>
      </c>
      <c r="L19" s="412">
        <f>ROUND(BIND3!AC20,0)</f>
        <v>99</v>
      </c>
      <c r="M19" s="412">
        <f>ROUND(BIND3!AD20,0)</f>
        <v>99</v>
      </c>
      <c r="N19" s="412">
        <f>ROUND(BIND3!AE20,0)</f>
        <v>99</v>
      </c>
      <c r="O19" s="412">
        <f>ROUND(BIND3!AF20,0)</f>
        <v>0</v>
      </c>
      <c r="P19" s="412">
        <f>ROUND(BIND3!AG20,0)</f>
        <v>0</v>
      </c>
      <c r="Q19" s="412">
        <f>ROUND(BIND3!AH20,0)</f>
        <v>0</v>
      </c>
      <c r="R19" s="412">
        <f>ROUND('MTK3'!AE20,0)</f>
        <v>80</v>
      </c>
      <c r="S19" s="412">
        <f>ROUND('MTK3'!AF20,0)</f>
        <v>80</v>
      </c>
      <c r="T19" s="412">
        <f>ROUND('MTK3'!AG20,0)</f>
        <v>0</v>
      </c>
      <c r="U19" s="412">
        <f>ROUND('MTK3'!AH20,0)</f>
        <v>0</v>
      </c>
      <c r="V19" s="412">
        <f>ROUND('MTK3'!AI20,0)</f>
        <v>0</v>
      </c>
      <c r="W19" s="412">
        <f>ROUND('MTK3'!AJ20,0)</f>
        <v>0</v>
      </c>
      <c r="X19" s="412">
        <f>ROUND('MTK3'!AK20,0)</f>
        <v>0</v>
      </c>
      <c r="Y19" s="414"/>
      <c r="Z19" s="412">
        <f>ROUND('IPA3'!Y20,0)</f>
        <v>99</v>
      </c>
      <c r="AA19" s="412">
        <f>ROUND('IPA3'!Z20,0)</f>
        <v>99</v>
      </c>
      <c r="AB19" s="412">
        <f>ROUND('IPA3'!AA20,0)</f>
        <v>99</v>
      </c>
      <c r="AC19" s="412">
        <f>ROUND('IPA3'!AB20,0)</f>
        <v>99</v>
      </c>
      <c r="AD19" s="412">
        <f>ROUND('IPA3'!AC20,0)</f>
        <v>0</v>
      </c>
      <c r="AE19" s="413"/>
      <c r="AF19" s="412">
        <f>ROUND('IPS3'!Y20,0)</f>
        <v>99</v>
      </c>
      <c r="AG19" s="412">
        <f>ROUND('IPS3'!Z20,0)</f>
        <v>99</v>
      </c>
      <c r="AH19" s="412">
        <f>ROUND('IPS3'!AA20,0)</f>
        <v>99</v>
      </c>
      <c r="AI19" s="412">
        <f>ROUND('IPS3'!AB20,0)</f>
        <v>0</v>
      </c>
      <c r="AJ19" s="414"/>
      <c r="AK19" s="414"/>
      <c r="AL19" s="412">
        <f>ROUND(SBDP3!Y20,0)</f>
        <v>99</v>
      </c>
      <c r="AM19" s="412">
        <f>ROUND(SBDP3!Z20,0)</f>
        <v>99</v>
      </c>
      <c r="AN19" s="412">
        <f>ROUND(SBDP3!AA20,0)</f>
        <v>99</v>
      </c>
      <c r="AO19" s="412">
        <f>ROUND(SBDP3!AB20,0)</f>
        <v>0</v>
      </c>
      <c r="AP19" s="414"/>
      <c r="AQ19" s="413"/>
      <c r="AR19" s="412">
        <f>ROUND('PAI3'!AQ21,0)</f>
        <v>99</v>
      </c>
      <c r="AS19" s="412">
        <f>ROUND('PAI3'!AR21,0)</f>
        <v>99</v>
      </c>
      <c r="AT19" s="412">
        <f>ROUND('PAI3'!AS21,0)</f>
        <v>99</v>
      </c>
      <c r="AU19" s="412" t="e">
        <f>ROUND('PAI3'!AT21,0)</f>
        <v>#VALUE!</v>
      </c>
      <c r="AV19" s="412" t="e">
        <f>ROUND('PAI3'!AU21,0)</f>
        <v>#VALUE!</v>
      </c>
      <c r="AW19" s="412" t="e">
        <f>ROUND('PAI3'!AV21,0)</f>
        <v>#VALUE!</v>
      </c>
      <c r="AX19" s="412" t="e">
        <f>ROUND('PAI3'!AW21,0)</f>
        <v>#VALUE!</v>
      </c>
      <c r="AY19" s="412" t="e">
        <f>ROUND('PAI3'!AX21,0)</f>
        <v>#VALUE!</v>
      </c>
      <c r="AZ19" s="412">
        <f>ROUND('PAI3'!AY21,0)</f>
        <v>0</v>
      </c>
      <c r="BA19" s="412">
        <f>ROUND('PAI3'!AZ21,0)</f>
        <v>0</v>
      </c>
      <c r="BB19" s="412">
        <f>ROUND('PAI3'!BA21,0)</f>
        <v>0</v>
      </c>
      <c r="BC19" s="412">
        <f>ROUND('PAI3'!BB21,0)</f>
        <v>0</v>
      </c>
      <c r="BD19" s="412">
        <f>ROUND('PAI3'!BC21,0)</f>
        <v>0</v>
      </c>
      <c r="BE19" s="412">
        <f>ROUND(PJOK3!Y20,0)</f>
        <v>80</v>
      </c>
      <c r="BF19" s="412">
        <f>ROUND(PJOK3!Z20,0)</f>
        <v>80</v>
      </c>
      <c r="BG19" s="412">
        <f>ROUND(PJOK3!AA20,0)</f>
        <v>0</v>
      </c>
      <c r="BH19" s="412">
        <f>ROUND(PJOK3!AB20,0)</f>
        <v>0</v>
      </c>
      <c r="BI19" s="412">
        <f>ROUND(PJOK3!AC20,0)</f>
        <v>0</v>
      </c>
      <c r="BJ19" s="412">
        <f>ROUND(PJOK3!AD20,0)</f>
        <v>0</v>
      </c>
      <c r="BK19" s="414"/>
      <c r="BL19" s="413"/>
      <c r="BM19" s="412">
        <f>ROUND('MLK1-3'!AC20,0)</f>
        <v>0</v>
      </c>
      <c r="BN19" s="412">
        <f>ROUND('MLK1-3'!AD20,0)</f>
        <v>80</v>
      </c>
      <c r="BO19" s="412">
        <f>ROUND('MLK1-3'!AE20,0)</f>
        <v>80</v>
      </c>
      <c r="BP19" s="414"/>
      <c r="BQ19" s="414"/>
      <c r="BR19" s="415"/>
      <c r="BS19" s="412">
        <f>ROUND('MLK2-3'!AA20,0)</f>
        <v>0</v>
      </c>
      <c r="BT19" s="412">
        <f>ROUND('MLK2-3'!AB20,0)</f>
        <v>80</v>
      </c>
      <c r="BU19" s="412">
        <f>ROUND('MLK2-3'!AC20,0)</f>
        <v>80</v>
      </c>
      <c r="BV19" s="412">
        <f>ROUND('MLK2-3'!AD20,0)</f>
        <v>0</v>
      </c>
      <c r="BW19" s="414"/>
      <c r="BX19" s="413"/>
      <c r="BY19" s="412">
        <f>ROUND('MLK3-3'!AA20,0)</f>
        <v>80</v>
      </c>
      <c r="BZ19" s="412">
        <f>ROUND('MLK3-3'!AB20,0)</f>
        <v>80</v>
      </c>
      <c r="CA19" s="414"/>
      <c r="CB19" s="414"/>
      <c r="CC19" s="414"/>
      <c r="CD19" s="415"/>
    </row>
    <row r="20" spans="1:82" ht="20.25" customHeight="1">
      <c r="A20" s="113">
        <v>17</v>
      </c>
      <c r="B20" s="410" t="str">
        <f>SISWA!C22</f>
        <v>Anak 17</v>
      </c>
      <c r="C20" s="410"/>
      <c r="D20" s="412">
        <f>ROUND('PKN3'!S21,0)</f>
        <v>99</v>
      </c>
      <c r="E20" s="412">
        <f>ROUND('PKN3'!T21,0)</f>
        <v>99</v>
      </c>
      <c r="F20" s="412">
        <f>ROUND('PKN3'!U21,0)</f>
        <v>99</v>
      </c>
      <c r="G20" s="412">
        <f>ROUND('PKN3'!V21,0)</f>
        <v>0</v>
      </c>
      <c r="H20" s="412">
        <f>ROUND('PKN3'!W21,0)</f>
        <v>0</v>
      </c>
      <c r="I20" s="412">
        <f>ROUND('PKN3'!X21,0)</f>
        <v>0</v>
      </c>
      <c r="J20" s="412">
        <f>ROUND(BIND3!AA21,0)</f>
        <v>80</v>
      </c>
      <c r="K20" s="412">
        <f>ROUND(BIND3!AB21,0)</f>
        <v>80</v>
      </c>
      <c r="L20" s="412">
        <f>ROUND(BIND3!AC21,0)</f>
        <v>99</v>
      </c>
      <c r="M20" s="412">
        <f>ROUND(BIND3!AD21,0)</f>
        <v>99</v>
      </c>
      <c r="N20" s="412">
        <f>ROUND(BIND3!AE21,0)</f>
        <v>99</v>
      </c>
      <c r="O20" s="412">
        <f>ROUND(BIND3!AF21,0)</f>
        <v>0</v>
      </c>
      <c r="P20" s="412">
        <f>ROUND(BIND3!AG21,0)</f>
        <v>0</v>
      </c>
      <c r="Q20" s="412">
        <f>ROUND(BIND3!AH21,0)</f>
        <v>0</v>
      </c>
      <c r="R20" s="412">
        <f>ROUND('MTK3'!AE21,0)</f>
        <v>80</v>
      </c>
      <c r="S20" s="412">
        <f>ROUND('MTK3'!AF21,0)</f>
        <v>80</v>
      </c>
      <c r="T20" s="412">
        <f>ROUND('MTK3'!AG21,0)</f>
        <v>0</v>
      </c>
      <c r="U20" s="412">
        <f>ROUND('MTK3'!AH21,0)</f>
        <v>0</v>
      </c>
      <c r="V20" s="412">
        <f>ROUND('MTK3'!AI21,0)</f>
        <v>0</v>
      </c>
      <c r="W20" s="412">
        <f>ROUND('MTK3'!AJ21,0)</f>
        <v>0</v>
      </c>
      <c r="X20" s="412">
        <f>ROUND('MTK3'!AK21,0)</f>
        <v>0</v>
      </c>
      <c r="Y20" s="414"/>
      <c r="Z20" s="412">
        <f>ROUND('IPA3'!Y21,0)</f>
        <v>99</v>
      </c>
      <c r="AA20" s="412">
        <f>ROUND('IPA3'!Z21,0)</f>
        <v>99</v>
      </c>
      <c r="AB20" s="412">
        <f>ROUND('IPA3'!AA21,0)</f>
        <v>99</v>
      </c>
      <c r="AC20" s="412">
        <f>ROUND('IPA3'!AB21,0)</f>
        <v>99</v>
      </c>
      <c r="AD20" s="412">
        <f>ROUND('IPA3'!AC21,0)</f>
        <v>0</v>
      </c>
      <c r="AE20" s="413"/>
      <c r="AF20" s="412">
        <f>ROUND('IPS3'!Y21,0)</f>
        <v>99</v>
      </c>
      <c r="AG20" s="412">
        <f>ROUND('IPS3'!Z21,0)</f>
        <v>99</v>
      </c>
      <c r="AH20" s="412">
        <f>ROUND('IPS3'!AA21,0)</f>
        <v>99</v>
      </c>
      <c r="AI20" s="412">
        <f>ROUND('IPS3'!AB21,0)</f>
        <v>0</v>
      </c>
      <c r="AJ20" s="414"/>
      <c r="AK20" s="414"/>
      <c r="AL20" s="412">
        <f>ROUND(SBDP3!Y21,0)</f>
        <v>99</v>
      </c>
      <c r="AM20" s="412">
        <f>ROUND(SBDP3!Z21,0)</f>
        <v>99</v>
      </c>
      <c r="AN20" s="412">
        <f>ROUND(SBDP3!AA21,0)</f>
        <v>99</v>
      </c>
      <c r="AO20" s="412">
        <f>ROUND(SBDP3!AB21,0)</f>
        <v>0</v>
      </c>
      <c r="AP20" s="414"/>
      <c r="AQ20" s="413"/>
      <c r="AR20" s="412">
        <f>ROUND('PAI3'!AQ22,0)</f>
        <v>99</v>
      </c>
      <c r="AS20" s="412">
        <f>ROUND('PAI3'!AR22,0)</f>
        <v>99</v>
      </c>
      <c r="AT20" s="412">
        <f>ROUND('PAI3'!AS22,0)</f>
        <v>99</v>
      </c>
      <c r="AU20" s="412" t="e">
        <f>ROUND('PAI3'!AT22,0)</f>
        <v>#VALUE!</v>
      </c>
      <c r="AV20" s="412" t="e">
        <f>ROUND('PAI3'!AU22,0)</f>
        <v>#VALUE!</v>
      </c>
      <c r="AW20" s="412" t="e">
        <f>ROUND('PAI3'!AV22,0)</f>
        <v>#VALUE!</v>
      </c>
      <c r="AX20" s="412" t="e">
        <f>ROUND('PAI3'!AW22,0)</f>
        <v>#VALUE!</v>
      </c>
      <c r="AY20" s="412" t="e">
        <f>ROUND('PAI3'!AX22,0)</f>
        <v>#VALUE!</v>
      </c>
      <c r="AZ20" s="412">
        <f>ROUND('PAI3'!AY22,0)</f>
        <v>0</v>
      </c>
      <c r="BA20" s="412">
        <f>ROUND('PAI3'!AZ22,0)</f>
        <v>0</v>
      </c>
      <c r="BB20" s="412">
        <f>ROUND('PAI3'!BA22,0)</f>
        <v>0</v>
      </c>
      <c r="BC20" s="412">
        <f>ROUND('PAI3'!BB22,0)</f>
        <v>0</v>
      </c>
      <c r="BD20" s="412">
        <f>ROUND('PAI3'!BC22,0)</f>
        <v>0</v>
      </c>
      <c r="BE20" s="412">
        <f>ROUND(PJOK3!Y21,0)</f>
        <v>80</v>
      </c>
      <c r="BF20" s="412">
        <f>ROUND(PJOK3!Z21,0)</f>
        <v>80</v>
      </c>
      <c r="BG20" s="412">
        <f>ROUND(PJOK3!AA21,0)</f>
        <v>0</v>
      </c>
      <c r="BH20" s="412">
        <f>ROUND(PJOK3!AB21,0)</f>
        <v>0</v>
      </c>
      <c r="BI20" s="412">
        <f>ROUND(PJOK3!AC21,0)</f>
        <v>0</v>
      </c>
      <c r="BJ20" s="412">
        <f>ROUND(PJOK3!AD21,0)</f>
        <v>0</v>
      </c>
      <c r="BK20" s="414"/>
      <c r="BL20" s="413"/>
      <c r="BM20" s="412">
        <f>ROUND('MLK1-3'!AC21,0)</f>
        <v>0</v>
      </c>
      <c r="BN20" s="412">
        <f>ROUND('MLK1-3'!AD21,0)</f>
        <v>80</v>
      </c>
      <c r="BO20" s="412">
        <f>ROUND('MLK1-3'!AE21,0)</f>
        <v>80</v>
      </c>
      <c r="BP20" s="414"/>
      <c r="BQ20" s="414"/>
      <c r="BR20" s="415"/>
      <c r="BS20" s="412">
        <f>ROUND('MLK2-3'!AA21,0)</f>
        <v>0</v>
      </c>
      <c r="BT20" s="412">
        <f>ROUND('MLK2-3'!AB21,0)</f>
        <v>80</v>
      </c>
      <c r="BU20" s="412">
        <f>ROUND('MLK2-3'!AC21,0)</f>
        <v>80</v>
      </c>
      <c r="BV20" s="412">
        <f>ROUND('MLK2-3'!AD21,0)</f>
        <v>0</v>
      </c>
      <c r="BW20" s="414"/>
      <c r="BX20" s="413"/>
      <c r="BY20" s="412">
        <f>ROUND('MLK3-3'!AA21,0)</f>
        <v>80</v>
      </c>
      <c r="BZ20" s="412">
        <f>ROUND('MLK3-3'!AB21,0)</f>
        <v>80</v>
      </c>
      <c r="CA20" s="414"/>
      <c r="CB20" s="414"/>
      <c r="CC20" s="414"/>
      <c r="CD20" s="415"/>
    </row>
    <row r="21" spans="1:82" ht="20.25" customHeight="1">
      <c r="A21" s="113">
        <v>18</v>
      </c>
      <c r="B21" s="410" t="str">
        <f>SISWA!C23</f>
        <v>Anak 18</v>
      </c>
      <c r="C21" s="410"/>
      <c r="D21" s="412">
        <f>ROUND('PKN3'!S22,0)</f>
        <v>99</v>
      </c>
      <c r="E21" s="412">
        <f>ROUND('PKN3'!T22,0)</f>
        <v>99</v>
      </c>
      <c r="F21" s="412">
        <f>ROUND('PKN3'!U22,0)</f>
        <v>99</v>
      </c>
      <c r="G21" s="412">
        <f>ROUND('PKN3'!V22,0)</f>
        <v>0</v>
      </c>
      <c r="H21" s="412">
        <f>ROUND('PKN3'!W22,0)</f>
        <v>0</v>
      </c>
      <c r="I21" s="412">
        <f>ROUND('PKN3'!X22,0)</f>
        <v>0</v>
      </c>
      <c r="J21" s="412">
        <f>ROUND(BIND3!AA22,0)</f>
        <v>80</v>
      </c>
      <c r="K21" s="412">
        <f>ROUND(BIND3!AB22,0)</f>
        <v>89</v>
      </c>
      <c r="L21" s="412">
        <f>ROUND(BIND3!AC22,0)</f>
        <v>99</v>
      </c>
      <c r="M21" s="412">
        <f>ROUND(BIND3!AD22,0)</f>
        <v>99</v>
      </c>
      <c r="N21" s="412">
        <f>ROUND(BIND3!AE22,0)</f>
        <v>99</v>
      </c>
      <c r="O21" s="412">
        <f>ROUND(BIND3!AF22,0)</f>
        <v>0</v>
      </c>
      <c r="P21" s="412">
        <f>ROUND(BIND3!AG22,0)</f>
        <v>0</v>
      </c>
      <c r="Q21" s="412">
        <f>ROUND(BIND3!AH22,0)</f>
        <v>0</v>
      </c>
      <c r="R21" s="412">
        <f>ROUND('MTK3'!AE22,0)</f>
        <v>80</v>
      </c>
      <c r="S21" s="412">
        <f>ROUND('MTK3'!AF22,0)</f>
        <v>89</v>
      </c>
      <c r="T21" s="412">
        <f>ROUND('MTK3'!AG22,0)</f>
        <v>0</v>
      </c>
      <c r="U21" s="412">
        <f>ROUND('MTK3'!AH22,0)</f>
        <v>0</v>
      </c>
      <c r="V21" s="412">
        <f>ROUND('MTK3'!AI22,0)</f>
        <v>0</v>
      </c>
      <c r="W21" s="412">
        <f>ROUND('MTK3'!AJ22,0)</f>
        <v>0</v>
      </c>
      <c r="X21" s="412">
        <f>ROUND('MTK3'!AK22,0)</f>
        <v>0</v>
      </c>
      <c r="Y21" s="414"/>
      <c r="Z21" s="412">
        <f>ROUND('IPA3'!Y22,0)</f>
        <v>99</v>
      </c>
      <c r="AA21" s="412">
        <f>ROUND('IPA3'!Z22,0)</f>
        <v>99</v>
      </c>
      <c r="AB21" s="412">
        <f>ROUND('IPA3'!AA22,0)</f>
        <v>99</v>
      </c>
      <c r="AC21" s="412">
        <f>ROUND('IPA3'!AB22,0)</f>
        <v>99</v>
      </c>
      <c r="AD21" s="412">
        <f>ROUND('IPA3'!AC22,0)</f>
        <v>0</v>
      </c>
      <c r="AE21" s="413"/>
      <c r="AF21" s="412">
        <f>ROUND('IPS3'!Y22,0)</f>
        <v>99</v>
      </c>
      <c r="AG21" s="412">
        <f>ROUND('IPS3'!Z22,0)</f>
        <v>99</v>
      </c>
      <c r="AH21" s="412">
        <f>ROUND('IPS3'!AA22,0)</f>
        <v>99</v>
      </c>
      <c r="AI21" s="412">
        <f>ROUND('IPS3'!AB22,0)</f>
        <v>0</v>
      </c>
      <c r="AJ21" s="414"/>
      <c r="AK21" s="414"/>
      <c r="AL21" s="412">
        <f>ROUND(SBDP3!Y22,0)</f>
        <v>99</v>
      </c>
      <c r="AM21" s="412">
        <f>ROUND(SBDP3!Z22,0)</f>
        <v>99</v>
      </c>
      <c r="AN21" s="412">
        <f>ROUND(SBDP3!AA22,0)</f>
        <v>99</v>
      </c>
      <c r="AO21" s="412">
        <f>ROUND(SBDP3!AB22,0)</f>
        <v>0</v>
      </c>
      <c r="AP21" s="414"/>
      <c r="AQ21" s="413"/>
      <c r="AR21" s="412">
        <f>ROUND('PAI3'!AQ23,0)</f>
        <v>99</v>
      </c>
      <c r="AS21" s="412">
        <f>ROUND('PAI3'!AR23,0)</f>
        <v>99</v>
      </c>
      <c r="AT21" s="412">
        <f>ROUND('PAI3'!AS23,0)</f>
        <v>99</v>
      </c>
      <c r="AU21" s="412" t="e">
        <f>ROUND('PAI3'!AT23,0)</f>
        <v>#VALUE!</v>
      </c>
      <c r="AV21" s="412" t="e">
        <f>ROUND('PAI3'!AU23,0)</f>
        <v>#VALUE!</v>
      </c>
      <c r="AW21" s="412" t="e">
        <f>ROUND('PAI3'!AV23,0)</f>
        <v>#VALUE!</v>
      </c>
      <c r="AX21" s="412" t="e">
        <f>ROUND('PAI3'!AW23,0)</f>
        <v>#VALUE!</v>
      </c>
      <c r="AY21" s="412" t="e">
        <f>ROUND('PAI3'!AX23,0)</f>
        <v>#VALUE!</v>
      </c>
      <c r="AZ21" s="412">
        <f>ROUND('PAI3'!AY23,0)</f>
        <v>0</v>
      </c>
      <c r="BA21" s="412">
        <f>ROUND('PAI3'!AZ23,0)</f>
        <v>0</v>
      </c>
      <c r="BB21" s="412">
        <f>ROUND('PAI3'!BA23,0)</f>
        <v>0</v>
      </c>
      <c r="BC21" s="412">
        <f>ROUND('PAI3'!BB23,0)</f>
        <v>0</v>
      </c>
      <c r="BD21" s="412">
        <f>ROUND('PAI3'!BC23,0)</f>
        <v>0</v>
      </c>
      <c r="BE21" s="412">
        <f>ROUND(PJOK3!Y22,0)</f>
        <v>80</v>
      </c>
      <c r="BF21" s="412">
        <f>ROUND(PJOK3!Z22,0)</f>
        <v>89</v>
      </c>
      <c r="BG21" s="412">
        <f>ROUND(PJOK3!AA22,0)</f>
        <v>0</v>
      </c>
      <c r="BH21" s="412">
        <f>ROUND(PJOK3!AB22,0)</f>
        <v>0</v>
      </c>
      <c r="BI21" s="412">
        <f>ROUND(PJOK3!AC22,0)</f>
        <v>0</v>
      </c>
      <c r="BJ21" s="412">
        <f>ROUND(PJOK3!AD22,0)</f>
        <v>0</v>
      </c>
      <c r="BK21" s="414"/>
      <c r="BL21" s="413"/>
      <c r="BM21" s="412">
        <f>ROUND('MLK1-3'!AC22,0)</f>
        <v>0</v>
      </c>
      <c r="BN21" s="412">
        <f>ROUND('MLK1-3'!AD22,0)</f>
        <v>80</v>
      </c>
      <c r="BO21" s="412">
        <f>ROUND('MLK1-3'!AE22,0)</f>
        <v>89</v>
      </c>
      <c r="BP21" s="414"/>
      <c r="BQ21" s="414"/>
      <c r="BR21" s="415"/>
      <c r="BS21" s="412">
        <f>ROUND('MLK2-3'!AA22,0)</f>
        <v>0</v>
      </c>
      <c r="BT21" s="412">
        <f>ROUND('MLK2-3'!AB22,0)</f>
        <v>80</v>
      </c>
      <c r="BU21" s="412">
        <f>ROUND('MLK2-3'!AC22,0)</f>
        <v>89</v>
      </c>
      <c r="BV21" s="412">
        <f>ROUND('MLK2-3'!AD22,0)</f>
        <v>0</v>
      </c>
      <c r="BW21" s="414"/>
      <c r="BX21" s="413"/>
      <c r="BY21" s="412">
        <f>ROUND('MLK3-3'!AA22,0)</f>
        <v>80</v>
      </c>
      <c r="BZ21" s="412">
        <f>ROUND('MLK3-3'!AB22,0)</f>
        <v>89</v>
      </c>
      <c r="CA21" s="414"/>
      <c r="CB21" s="414"/>
      <c r="CC21" s="414"/>
      <c r="CD21" s="415"/>
    </row>
    <row r="22" spans="1:82" ht="20.25" customHeight="1">
      <c r="A22" s="113">
        <v>19</v>
      </c>
      <c r="B22" s="410" t="str">
        <f>SISWA!C24</f>
        <v>Anak 19</v>
      </c>
      <c r="C22" s="410"/>
      <c r="D22" s="412">
        <f>ROUND('PKN3'!S23,0)</f>
        <v>99</v>
      </c>
      <c r="E22" s="412">
        <f>ROUND('PKN3'!T23,0)</f>
        <v>99</v>
      </c>
      <c r="F22" s="412">
        <f>ROUND('PKN3'!U23,0)</f>
        <v>99</v>
      </c>
      <c r="G22" s="412">
        <f>ROUND('PKN3'!V23,0)</f>
        <v>0</v>
      </c>
      <c r="H22" s="412">
        <f>ROUND('PKN3'!W23,0)</f>
        <v>0</v>
      </c>
      <c r="I22" s="412">
        <f>ROUND('PKN3'!X23,0)</f>
        <v>0</v>
      </c>
      <c r="J22" s="412">
        <f>ROUND(BIND3!AA23,0)</f>
        <v>89</v>
      </c>
      <c r="K22" s="412">
        <f>ROUND(BIND3!AB23,0)</f>
        <v>81</v>
      </c>
      <c r="L22" s="412">
        <f>ROUND(BIND3!AC23,0)</f>
        <v>99</v>
      </c>
      <c r="M22" s="412">
        <f>ROUND(BIND3!AD23,0)</f>
        <v>99</v>
      </c>
      <c r="N22" s="412">
        <f>ROUND(BIND3!AE23,0)</f>
        <v>99</v>
      </c>
      <c r="O22" s="412">
        <f>ROUND(BIND3!AF23,0)</f>
        <v>0</v>
      </c>
      <c r="P22" s="412">
        <f>ROUND(BIND3!AG23,0)</f>
        <v>0</v>
      </c>
      <c r="Q22" s="412">
        <f>ROUND(BIND3!AH23,0)</f>
        <v>0</v>
      </c>
      <c r="R22" s="412">
        <f>ROUND('MTK3'!AE23,0)</f>
        <v>89</v>
      </c>
      <c r="S22" s="412">
        <f>ROUND('MTK3'!AF23,0)</f>
        <v>81</v>
      </c>
      <c r="T22" s="412">
        <f>ROUND('MTK3'!AG23,0)</f>
        <v>0</v>
      </c>
      <c r="U22" s="412">
        <f>ROUND('MTK3'!AH23,0)</f>
        <v>0</v>
      </c>
      <c r="V22" s="412">
        <f>ROUND('MTK3'!AI23,0)</f>
        <v>0</v>
      </c>
      <c r="W22" s="412">
        <f>ROUND('MTK3'!AJ23,0)</f>
        <v>0</v>
      </c>
      <c r="X22" s="412">
        <f>ROUND('MTK3'!AK23,0)</f>
        <v>0</v>
      </c>
      <c r="Y22" s="414"/>
      <c r="Z22" s="412">
        <f>ROUND('IPA3'!Y23,0)</f>
        <v>99</v>
      </c>
      <c r="AA22" s="412">
        <f>ROUND('IPA3'!Z23,0)</f>
        <v>99</v>
      </c>
      <c r="AB22" s="412">
        <f>ROUND('IPA3'!AA23,0)</f>
        <v>99</v>
      </c>
      <c r="AC22" s="412">
        <f>ROUND('IPA3'!AB23,0)</f>
        <v>99</v>
      </c>
      <c r="AD22" s="412">
        <f>ROUND('IPA3'!AC23,0)</f>
        <v>0</v>
      </c>
      <c r="AE22" s="413"/>
      <c r="AF22" s="412">
        <f>ROUND('IPS3'!Y23,0)</f>
        <v>99</v>
      </c>
      <c r="AG22" s="412">
        <f>ROUND('IPS3'!Z23,0)</f>
        <v>99</v>
      </c>
      <c r="AH22" s="412">
        <f>ROUND('IPS3'!AA23,0)</f>
        <v>99</v>
      </c>
      <c r="AI22" s="412">
        <f>ROUND('IPS3'!AB23,0)</f>
        <v>0</v>
      </c>
      <c r="AJ22" s="414"/>
      <c r="AK22" s="414"/>
      <c r="AL22" s="412">
        <f>ROUND(SBDP3!Y23,0)</f>
        <v>99</v>
      </c>
      <c r="AM22" s="412">
        <f>ROUND(SBDP3!Z23,0)</f>
        <v>99</v>
      </c>
      <c r="AN22" s="412">
        <f>ROUND(SBDP3!AA23,0)</f>
        <v>99</v>
      </c>
      <c r="AO22" s="412">
        <f>ROUND(SBDP3!AB23,0)</f>
        <v>0</v>
      </c>
      <c r="AP22" s="414"/>
      <c r="AQ22" s="413"/>
      <c r="AR22" s="412">
        <f>ROUND('PAI3'!AQ24,0)</f>
        <v>99</v>
      </c>
      <c r="AS22" s="412">
        <f>ROUND('PAI3'!AR24,0)</f>
        <v>99</v>
      </c>
      <c r="AT22" s="412">
        <f>ROUND('PAI3'!AS24,0)</f>
        <v>99</v>
      </c>
      <c r="AU22" s="412" t="e">
        <f>ROUND('PAI3'!AT24,0)</f>
        <v>#VALUE!</v>
      </c>
      <c r="AV22" s="412" t="e">
        <f>ROUND('PAI3'!AU24,0)</f>
        <v>#VALUE!</v>
      </c>
      <c r="AW22" s="412" t="e">
        <f>ROUND('PAI3'!AV24,0)</f>
        <v>#VALUE!</v>
      </c>
      <c r="AX22" s="412" t="e">
        <f>ROUND('PAI3'!AW24,0)</f>
        <v>#VALUE!</v>
      </c>
      <c r="AY22" s="412" t="e">
        <f>ROUND('PAI3'!AX24,0)</f>
        <v>#VALUE!</v>
      </c>
      <c r="AZ22" s="412">
        <f>ROUND('PAI3'!AY24,0)</f>
        <v>0</v>
      </c>
      <c r="BA22" s="412">
        <f>ROUND('PAI3'!AZ24,0)</f>
        <v>0</v>
      </c>
      <c r="BB22" s="412">
        <f>ROUND('PAI3'!BA24,0)</f>
        <v>0</v>
      </c>
      <c r="BC22" s="412">
        <f>ROUND('PAI3'!BB24,0)</f>
        <v>0</v>
      </c>
      <c r="BD22" s="412">
        <f>ROUND('PAI3'!BC24,0)</f>
        <v>0</v>
      </c>
      <c r="BE22" s="412">
        <f>ROUND(PJOK3!Y23,0)</f>
        <v>89</v>
      </c>
      <c r="BF22" s="412">
        <f>ROUND(PJOK3!Z23,0)</f>
        <v>81</v>
      </c>
      <c r="BG22" s="412">
        <f>ROUND(PJOK3!AA23,0)</f>
        <v>0</v>
      </c>
      <c r="BH22" s="412">
        <f>ROUND(PJOK3!AB23,0)</f>
        <v>0</v>
      </c>
      <c r="BI22" s="412">
        <f>ROUND(PJOK3!AC23,0)</f>
        <v>0</v>
      </c>
      <c r="BJ22" s="412">
        <f>ROUND(PJOK3!AD23,0)</f>
        <v>0</v>
      </c>
      <c r="BK22" s="414"/>
      <c r="BL22" s="413"/>
      <c r="BM22" s="412">
        <f>ROUND('MLK1-3'!AC23,0)</f>
        <v>0</v>
      </c>
      <c r="BN22" s="412">
        <f>ROUND('MLK1-3'!AD23,0)</f>
        <v>89</v>
      </c>
      <c r="BO22" s="412">
        <f>ROUND('MLK1-3'!AE23,0)</f>
        <v>81</v>
      </c>
      <c r="BP22" s="414"/>
      <c r="BQ22" s="414"/>
      <c r="BR22" s="415"/>
      <c r="BS22" s="412">
        <f>ROUND('MLK2-3'!AA23,0)</f>
        <v>0</v>
      </c>
      <c r="BT22" s="412">
        <f>ROUND('MLK2-3'!AB23,0)</f>
        <v>89</v>
      </c>
      <c r="BU22" s="412">
        <f>ROUND('MLK2-3'!AC23,0)</f>
        <v>81</v>
      </c>
      <c r="BV22" s="412">
        <f>ROUND('MLK2-3'!AD23,0)</f>
        <v>0</v>
      </c>
      <c r="BW22" s="414"/>
      <c r="BX22" s="413"/>
      <c r="BY22" s="412">
        <f>ROUND('MLK3-3'!AA23,0)</f>
        <v>89</v>
      </c>
      <c r="BZ22" s="412">
        <f>ROUND('MLK3-3'!AB23,0)</f>
        <v>81</v>
      </c>
      <c r="CA22" s="414"/>
      <c r="CB22" s="414"/>
      <c r="CC22" s="414"/>
      <c r="CD22" s="415"/>
    </row>
    <row r="23" spans="1:82" ht="20.25" customHeight="1">
      <c r="A23" s="113">
        <v>20</v>
      </c>
      <c r="B23" s="410" t="str">
        <f>SISWA!C25</f>
        <v>Anak 20</v>
      </c>
      <c r="C23" s="410"/>
      <c r="D23" s="412">
        <f>ROUND('PKN3'!S24,0)</f>
        <v>99</v>
      </c>
      <c r="E23" s="412">
        <f>ROUND('PKN3'!T24,0)</f>
        <v>99</v>
      </c>
      <c r="F23" s="412">
        <f>ROUND('PKN3'!U24,0)</f>
        <v>99</v>
      </c>
      <c r="G23" s="412">
        <f>ROUND('PKN3'!V24,0)</f>
        <v>0</v>
      </c>
      <c r="H23" s="412">
        <f>ROUND('PKN3'!W24,0)</f>
        <v>0</v>
      </c>
      <c r="I23" s="412">
        <f>ROUND('PKN3'!X24,0)</f>
        <v>0</v>
      </c>
      <c r="J23" s="412">
        <f>ROUND(BIND3!AA24,0)</f>
        <v>81</v>
      </c>
      <c r="K23" s="412">
        <f>ROUND(BIND3!AB24,0)</f>
        <v>77</v>
      </c>
      <c r="L23" s="412">
        <f>ROUND(BIND3!AC24,0)</f>
        <v>99</v>
      </c>
      <c r="M23" s="412">
        <f>ROUND(BIND3!AD24,0)</f>
        <v>99</v>
      </c>
      <c r="N23" s="412">
        <f>ROUND(BIND3!AE24,0)</f>
        <v>99</v>
      </c>
      <c r="O23" s="412">
        <f>ROUND(BIND3!AF24,0)</f>
        <v>0</v>
      </c>
      <c r="P23" s="412">
        <f>ROUND(BIND3!AG24,0)</f>
        <v>0</v>
      </c>
      <c r="Q23" s="412">
        <f>ROUND(BIND3!AH24,0)</f>
        <v>0</v>
      </c>
      <c r="R23" s="412">
        <f>ROUND('MTK3'!AE24,0)</f>
        <v>81</v>
      </c>
      <c r="S23" s="412">
        <f>ROUND('MTK3'!AF24,0)</f>
        <v>77</v>
      </c>
      <c r="T23" s="412">
        <f>ROUND('MTK3'!AG24,0)</f>
        <v>0</v>
      </c>
      <c r="U23" s="412">
        <f>ROUND('MTK3'!AH24,0)</f>
        <v>0</v>
      </c>
      <c r="V23" s="412">
        <f>ROUND('MTK3'!AI24,0)</f>
        <v>0</v>
      </c>
      <c r="W23" s="412">
        <f>ROUND('MTK3'!AJ24,0)</f>
        <v>0</v>
      </c>
      <c r="X23" s="412">
        <f>ROUND('MTK3'!AK24,0)</f>
        <v>0</v>
      </c>
      <c r="Y23" s="414"/>
      <c r="Z23" s="412">
        <f>ROUND('IPA3'!Y24,0)</f>
        <v>99</v>
      </c>
      <c r="AA23" s="412">
        <f>ROUND('IPA3'!Z24,0)</f>
        <v>99</v>
      </c>
      <c r="AB23" s="412">
        <f>ROUND('IPA3'!AA24,0)</f>
        <v>99</v>
      </c>
      <c r="AC23" s="412">
        <f>ROUND('IPA3'!AB24,0)</f>
        <v>99</v>
      </c>
      <c r="AD23" s="412">
        <f>ROUND('IPA3'!AC24,0)</f>
        <v>0</v>
      </c>
      <c r="AE23" s="413"/>
      <c r="AF23" s="412">
        <f>ROUND('IPS3'!Y24,0)</f>
        <v>99</v>
      </c>
      <c r="AG23" s="412">
        <f>ROUND('IPS3'!Z24,0)</f>
        <v>99</v>
      </c>
      <c r="AH23" s="412">
        <f>ROUND('IPS3'!AA24,0)</f>
        <v>99</v>
      </c>
      <c r="AI23" s="412">
        <f>ROUND('IPS3'!AB24,0)</f>
        <v>0</v>
      </c>
      <c r="AJ23" s="414"/>
      <c r="AK23" s="414"/>
      <c r="AL23" s="412">
        <f>ROUND(SBDP3!Y24,0)</f>
        <v>99</v>
      </c>
      <c r="AM23" s="412">
        <f>ROUND(SBDP3!Z24,0)</f>
        <v>99</v>
      </c>
      <c r="AN23" s="412">
        <f>ROUND(SBDP3!AA24,0)</f>
        <v>99</v>
      </c>
      <c r="AO23" s="412">
        <f>ROUND(SBDP3!AB24,0)</f>
        <v>0</v>
      </c>
      <c r="AP23" s="414"/>
      <c r="AQ23" s="413"/>
      <c r="AR23" s="412">
        <f>ROUND('PAI3'!AQ25,0)</f>
        <v>99</v>
      </c>
      <c r="AS23" s="412">
        <f>ROUND('PAI3'!AR25,0)</f>
        <v>99</v>
      </c>
      <c r="AT23" s="412">
        <f>ROUND('PAI3'!AS25,0)</f>
        <v>99</v>
      </c>
      <c r="AU23" s="412" t="e">
        <f>ROUND('PAI3'!AT25,0)</f>
        <v>#VALUE!</v>
      </c>
      <c r="AV23" s="412" t="e">
        <f>ROUND('PAI3'!AU25,0)</f>
        <v>#VALUE!</v>
      </c>
      <c r="AW23" s="412" t="e">
        <f>ROUND('PAI3'!AV25,0)</f>
        <v>#VALUE!</v>
      </c>
      <c r="AX23" s="412" t="e">
        <f>ROUND('PAI3'!AW25,0)</f>
        <v>#VALUE!</v>
      </c>
      <c r="AY23" s="412" t="e">
        <f>ROUND('PAI3'!AX25,0)</f>
        <v>#VALUE!</v>
      </c>
      <c r="AZ23" s="412">
        <f>ROUND('PAI3'!AY25,0)</f>
        <v>0</v>
      </c>
      <c r="BA23" s="412">
        <f>ROUND('PAI3'!AZ25,0)</f>
        <v>0</v>
      </c>
      <c r="BB23" s="412">
        <f>ROUND('PAI3'!BA25,0)</f>
        <v>0</v>
      </c>
      <c r="BC23" s="412">
        <f>ROUND('PAI3'!BB25,0)</f>
        <v>0</v>
      </c>
      <c r="BD23" s="412">
        <f>ROUND('PAI3'!BC25,0)</f>
        <v>0</v>
      </c>
      <c r="BE23" s="412">
        <f>ROUND(PJOK3!Y24,0)</f>
        <v>81</v>
      </c>
      <c r="BF23" s="412">
        <f>ROUND(PJOK3!Z24,0)</f>
        <v>77</v>
      </c>
      <c r="BG23" s="412">
        <f>ROUND(PJOK3!AA24,0)</f>
        <v>0</v>
      </c>
      <c r="BH23" s="412">
        <f>ROUND(PJOK3!AB24,0)</f>
        <v>0</v>
      </c>
      <c r="BI23" s="412">
        <f>ROUND(PJOK3!AC24,0)</f>
        <v>0</v>
      </c>
      <c r="BJ23" s="412">
        <f>ROUND(PJOK3!AD24,0)</f>
        <v>0</v>
      </c>
      <c r="BK23" s="414"/>
      <c r="BL23" s="413"/>
      <c r="BM23" s="412">
        <f>ROUND('MLK1-3'!AC24,0)</f>
        <v>0</v>
      </c>
      <c r="BN23" s="412">
        <f>ROUND('MLK1-3'!AD24,0)</f>
        <v>81</v>
      </c>
      <c r="BO23" s="412">
        <f>ROUND('MLK1-3'!AE24,0)</f>
        <v>77</v>
      </c>
      <c r="BP23" s="414"/>
      <c r="BQ23" s="414"/>
      <c r="BR23" s="415"/>
      <c r="BS23" s="412">
        <f>ROUND('MLK2-3'!AA24,0)</f>
        <v>0</v>
      </c>
      <c r="BT23" s="412">
        <f>ROUND('MLK2-3'!AB24,0)</f>
        <v>81</v>
      </c>
      <c r="BU23" s="412">
        <f>ROUND('MLK2-3'!AC24,0)</f>
        <v>77</v>
      </c>
      <c r="BV23" s="412">
        <f>ROUND('MLK2-3'!AD24,0)</f>
        <v>0</v>
      </c>
      <c r="BW23" s="414"/>
      <c r="BX23" s="413"/>
      <c r="BY23" s="412">
        <f>ROUND('MLK3-3'!AA24,0)</f>
        <v>81</v>
      </c>
      <c r="BZ23" s="412">
        <f>ROUND('MLK3-3'!AB24,0)</f>
        <v>77</v>
      </c>
      <c r="CA23" s="414"/>
      <c r="CB23" s="414"/>
      <c r="CC23" s="414"/>
      <c r="CD23" s="415"/>
    </row>
    <row r="24" spans="1:82" ht="20.25" customHeight="1">
      <c r="A24" s="113">
        <v>21</v>
      </c>
      <c r="B24" s="410" t="str">
        <f>SISWA!C26</f>
        <v>Anak 21</v>
      </c>
      <c r="C24" s="410"/>
      <c r="D24" s="412">
        <f>ROUND('PKN3'!S25,0)</f>
        <v>99</v>
      </c>
      <c r="E24" s="412">
        <f>ROUND('PKN3'!T25,0)</f>
        <v>99</v>
      </c>
      <c r="F24" s="412">
        <f>ROUND('PKN3'!U25,0)</f>
        <v>99</v>
      </c>
      <c r="G24" s="412">
        <f>ROUND('PKN3'!V25,0)</f>
        <v>0</v>
      </c>
      <c r="H24" s="412">
        <f>ROUND('PKN3'!W25,0)</f>
        <v>0</v>
      </c>
      <c r="I24" s="412">
        <f>ROUND('PKN3'!X25,0)</f>
        <v>0</v>
      </c>
      <c r="J24" s="412">
        <f>ROUND(BIND3!AA25,0)</f>
        <v>77</v>
      </c>
      <c r="K24" s="412">
        <f>ROUND(BIND3!AB25,0)</f>
        <v>87</v>
      </c>
      <c r="L24" s="412">
        <f>ROUND(BIND3!AC25,0)</f>
        <v>99</v>
      </c>
      <c r="M24" s="412">
        <f>ROUND(BIND3!AD25,0)</f>
        <v>99</v>
      </c>
      <c r="N24" s="412">
        <f>ROUND(BIND3!AE25,0)</f>
        <v>99</v>
      </c>
      <c r="O24" s="412">
        <f>ROUND(BIND3!AF25,0)</f>
        <v>0</v>
      </c>
      <c r="P24" s="412">
        <f>ROUND(BIND3!AG25,0)</f>
        <v>0</v>
      </c>
      <c r="Q24" s="412">
        <f>ROUND(BIND3!AH25,0)</f>
        <v>0</v>
      </c>
      <c r="R24" s="412">
        <f>ROUND('MTK3'!AE25,0)</f>
        <v>77</v>
      </c>
      <c r="S24" s="412">
        <f>ROUND('MTK3'!AF25,0)</f>
        <v>87</v>
      </c>
      <c r="T24" s="412">
        <f>ROUND('MTK3'!AG25,0)</f>
        <v>0</v>
      </c>
      <c r="U24" s="412">
        <f>ROUND('MTK3'!AH25,0)</f>
        <v>0</v>
      </c>
      <c r="V24" s="412">
        <f>ROUND('MTK3'!AI25,0)</f>
        <v>0</v>
      </c>
      <c r="W24" s="412">
        <f>ROUND('MTK3'!AJ25,0)</f>
        <v>0</v>
      </c>
      <c r="X24" s="412">
        <f>ROUND('MTK3'!AK25,0)</f>
        <v>0</v>
      </c>
      <c r="Y24" s="414"/>
      <c r="Z24" s="412">
        <f>ROUND('IPA3'!Y25,0)</f>
        <v>99</v>
      </c>
      <c r="AA24" s="412">
        <f>ROUND('IPA3'!Z25,0)</f>
        <v>99</v>
      </c>
      <c r="AB24" s="412">
        <f>ROUND('IPA3'!AA25,0)</f>
        <v>99</v>
      </c>
      <c r="AC24" s="412">
        <f>ROUND('IPA3'!AB25,0)</f>
        <v>99</v>
      </c>
      <c r="AD24" s="412">
        <f>ROUND('IPA3'!AC25,0)</f>
        <v>0</v>
      </c>
      <c r="AE24" s="413"/>
      <c r="AF24" s="412">
        <f>ROUND('IPS3'!Y25,0)</f>
        <v>99</v>
      </c>
      <c r="AG24" s="412">
        <f>ROUND('IPS3'!Z25,0)</f>
        <v>99</v>
      </c>
      <c r="AH24" s="412">
        <f>ROUND('IPS3'!AA25,0)</f>
        <v>99</v>
      </c>
      <c r="AI24" s="412">
        <f>ROUND('IPS3'!AB25,0)</f>
        <v>0</v>
      </c>
      <c r="AJ24" s="414"/>
      <c r="AK24" s="414"/>
      <c r="AL24" s="412">
        <f>ROUND(SBDP3!Y25,0)</f>
        <v>99</v>
      </c>
      <c r="AM24" s="412">
        <f>ROUND(SBDP3!Z25,0)</f>
        <v>99</v>
      </c>
      <c r="AN24" s="412">
        <f>ROUND(SBDP3!AA25,0)</f>
        <v>99</v>
      </c>
      <c r="AO24" s="412">
        <f>ROUND(SBDP3!AB25,0)</f>
        <v>0</v>
      </c>
      <c r="AP24" s="414"/>
      <c r="AQ24" s="413"/>
      <c r="AR24" s="412">
        <f>ROUND('PAI3'!AQ26,0)</f>
        <v>99</v>
      </c>
      <c r="AS24" s="412">
        <f>ROUND('PAI3'!AR26,0)</f>
        <v>99</v>
      </c>
      <c r="AT24" s="412">
        <f>ROUND('PAI3'!AS26,0)</f>
        <v>99</v>
      </c>
      <c r="AU24" s="412" t="e">
        <f>ROUND('PAI3'!AT26,0)</f>
        <v>#VALUE!</v>
      </c>
      <c r="AV24" s="412" t="e">
        <f>ROUND('PAI3'!AU26,0)</f>
        <v>#VALUE!</v>
      </c>
      <c r="AW24" s="412" t="e">
        <f>ROUND('PAI3'!AV26,0)</f>
        <v>#VALUE!</v>
      </c>
      <c r="AX24" s="412" t="e">
        <f>ROUND('PAI3'!AW26,0)</f>
        <v>#VALUE!</v>
      </c>
      <c r="AY24" s="412" t="e">
        <f>ROUND('PAI3'!AX26,0)</f>
        <v>#VALUE!</v>
      </c>
      <c r="AZ24" s="412">
        <f>ROUND('PAI3'!AY26,0)</f>
        <v>0</v>
      </c>
      <c r="BA24" s="412">
        <f>ROUND('PAI3'!AZ26,0)</f>
        <v>0</v>
      </c>
      <c r="BB24" s="412">
        <f>ROUND('PAI3'!BA26,0)</f>
        <v>0</v>
      </c>
      <c r="BC24" s="412">
        <f>ROUND('PAI3'!BB26,0)</f>
        <v>0</v>
      </c>
      <c r="BD24" s="412">
        <f>ROUND('PAI3'!BC26,0)</f>
        <v>0</v>
      </c>
      <c r="BE24" s="412">
        <f>ROUND(PJOK3!Y25,0)</f>
        <v>77</v>
      </c>
      <c r="BF24" s="412">
        <f>ROUND(PJOK3!Z25,0)</f>
        <v>87</v>
      </c>
      <c r="BG24" s="412">
        <f>ROUND(PJOK3!AA25,0)</f>
        <v>0</v>
      </c>
      <c r="BH24" s="412">
        <f>ROUND(PJOK3!AB25,0)</f>
        <v>0</v>
      </c>
      <c r="BI24" s="412">
        <f>ROUND(PJOK3!AC25,0)</f>
        <v>0</v>
      </c>
      <c r="BJ24" s="412">
        <f>ROUND(PJOK3!AD25,0)</f>
        <v>0</v>
      </c>
      <c r="BK24" s="414"/>
      <c r="BL24" s="413"/>
      <c r="BM24" s="412">
        <f>ROUND('MLK1-3'!AC25,0)</f>
        <v>0</v>
      </c>
      <c r="BN24" s="412">
        <f>ROUND('MLK1-3'!AD25,0)</f>
        <v>77</v>
      </c>
      <c r="BO24" s="412">
        <f>ROUND('MLK1-3'!AE25,0)</f>
        <v>87</v>
      </c>
      <c r="BP24" s="414"/>
      <c r="BQ24" s="414"/>
      <c r="BR24" s="415"/>
      <c r="BS24" s="412">
        <f>ROUND('MLK2-3'!AA25,0)</f>
        <v>0</v>
      </c>
      <c r="BT24" s="412">
        <f>ROUND('MLK2-3'!AB25,0)</f>
        <v>77</v>
      </c>
      <c r="BU24" s="412">
        <f>ROUND('MLK2-3'!AC25,0)</f>
        <v>87</v>
      </c>
      <c r="BV24" s="412">
        <f>ROUND('MLK2-3'!AD25,0)</f>
        <v>0</v>
      </c>
      <c r="BW24" s="414"/>
      <c r="BX24" s="413"/>
      <c r="BY24" s="412">
        <f>ROUND('MLK3-3'!AA25,0)</f>
        <v>77</v>
      </c>
      <c r="BZ24" s="412">
        <f>ROUND('MLK3-3'!AB25,0)</f>
        <v>87</v>
      </c>
      <c r="CA24" s="414"/>
      <c r="CB24" s="414"/>
      <c r="CC24" s="414"/>
      <c r="CD24" s="415"/>
    </row>
    <row r="25" spans="1:82" ht="20.25" customHeight="1">
      <c r="A25" s="113">
        <v>22</v>
      </c>
      <c r="B25" s="410" t="str">
        <f>SISWA!C27</f>
        <v>Anak 22</v>
      </c>
      <c r="C25" s="410"/>
      <c r="D25" s="412">
        <f>ROUND('PKN3'!S26,0)</f>
        <v>99</v>
      </c>
      <c r="E25" s="412">
        <f>ROUND('PKN3'!T26,0)</f>
        <v>99</v>
      </c>
      <c r="F25" s="412">
        <f>ROUND('PKN3'!U26,0)</f>
        <v>99</v>
      </c>
      <c r="G25" s="412">
        <f>ROUND('PKN3'!V26,0)</f>
        <v>0</v>
      </c>
      <c r="H25" s="412">
        <f>ROUND('PKN3'!W26,0)</f>
        <v>0</v>
      </c>
      <c r="I25" s="412">
        <f>ROUND('PKN3'!X26,0)</f>
        <v>0</v>
      </c>
      <c r="J25" s="412">
        <f>ROUND(BIND3!AA26,0)</f>
        <v>87</v>
      </c>
      <c r="K25" s="412">
        <f>ROUND(BIND3!AB26,0)</f>
        <v>90</v>
      </c>
      <c r="L25" s="412">
        <f>ROUND(BIND3!AC26,0)</f>
        <v>99</v>
      </c>
      <c r="M25" s="412">
        <f>ROUND(BIND3!AD26,0)</f>
        <v>99</v>
      </c>
      <c r="N25" s="412">
        <f>ROUND(BIND3!AE26,0)</f>
        <v>99</v>
      </c>
      <c r="O25" s="412">
        <f>ROUND(BIND3!AF26,0)</f>
        <v>0</v>
      </c>
      <c r="P25" s="412">
        <f>ROUND(BIND3!AG26,0)</f>
        <v>0</v>
      </c>
      <c r="Q25" s="412">
        <f>ROUND(BIND3!AH26,0)</f>
        <v>0</v>
      </c>
      <c r="R25" s="412">
        <f>ROUND('MTK3'!AE26,0)</f>
        <v>87</v>
      </c>
      <c r="S25" s="412">
        <f>ROUND('MTK3'!AF26,0)</f>
        <v>90</v>
      </c>
      <c r="T25" s="412">
        <f>ROUND('MTK3'!AG26,0)</f>
        <v>0</v>
      </c>
      <c r="U25" s="412">
        <f>ROUND('MTK3'!AH26,0)</f>
        <v>0</v>
      </c>
      <c r="V25" s="412">
        <f>ROUND('MTK3'!AI26,0)</f>
        <v>0</v>
      </c>
      <c r="W25" s="412">
        <f>ROUND('MTK3'!AJ26,0)</f>
        <v>0</v>
      </c>
      <c r="X25" s="412">
        <f>ROUND('MTK3'!AK26,0)</f>
        <v>0</v>
      </c>
      <c r="Y25" s="414"/>
      <c r="Z25" s="412">
        <f>ROUND('IPA3'!Y26,0)</f>
        <v>99</v>
      </c>
      <c r="AA25" s="412">
        <f>ROUND('IPA3'!Z26,0)</f>
        <v>99</v>
      </c>
      <c r="AB25" s="412">
        <f>ROUND('IPA3'!AA26,0)</f>
        <v>99</v>
      </c>
      <c r="AC25" s="412">
        <f>ROUND('IPA3'!AB26,0)</f>
        <v>99</v>
      </c>
      <c r="AD25" s="412">
        <f>ROUND('IPA3'!AC26,0)</f>
        <v>0</v>
      </c>
      <c r="AE25" s="413"/>
      <c r="AF25" s="412">
        <f>ROUND('IPS3'!Y26,0)</f>
        <v>99</v>
      </c>
      <c r="AG25" s="412">
        <f>ROUND('IPS3'!Z26,0)</f>
        <v>99</v>
      </c>
      <c r="AH25" s="412">
        <f>ROUND('IPS3'!AA26,0)</f>
        <v>99</v>
      </c>
      <c r="AI25" s="412">
        <f>ROUND('IPS3'!AB26,0)</f>
        <v>0</v>
      </c>
      <c r="AJ25" s="414"/>
      <c r="AK25" s="414"/>
      <c r="AL25" s="412">
        <f>ROUND(SBDP3!Y26,0)</f>
        <v>99</v>
      </c>
      <c r="AM25" s="412">
        <f>ROUND(SBDP3!Z26,0)</f>
        <v>99</v>
      </c>
      <c r="AN25" s="412">
        <f>ROUND(SBDP3!AA26,0)</f>
        <v>99</v>
      </c>
      <c r="AO25" s="412">
        <f>ROUND(SBDP3!AB26,0)</f>
        <v>0</v>
      </c>
      <c r="AP25" s="414"/>
      <c r="AQ25" s="413"/>
      <c r="AR25" s="412">
        <f>ROUND('PAI3'!AQ27,0)</f>
        <v>99</v>
      </c>
      <c r="AS25" s="412">
        <f>ROUND('PAI3'!AR27,0)</f>
        <v>99</v>
      </c>
      <c r="AT25" s="412">
        <f>ROUND('PAI3'!AS27,0)</f>
        <v>99</v>
      </c>
      <c r="AU25" s="412" t="e">
        <f>ROUND('PAI3'!AT27,0)</f>
        <v>#VALUE!</v>
      </c>
      <c r="AV25" s="412" t="e">
        <f>ROUND('PAI3'!AU27,0)</f>
        <v>#VALUE!</v>
      </c>
      <c r="AW25" s="412" t="e">
        <f>ROUND('PAI3'!AV27,0)</f>
        <v>#VALUE!</v>
      </c>
      <c r="AX25" s="412" t="e">
        <f>ROUND('PAI3'!AW27,0)</f>
        <v>#VALUE!</v>
      </c>
      <c r="AY25" s="412" t="e">
        <f>ROUND('PAI3'!AX27,0)</f>
        <v>#VALUE!</v>
      </c>
      <c r="AZ25" s="412">
        <f>ROUND('PAI3'!AY27,0)</f>
        <v>0</v>
      </c>
      <c r="BA25" s="412">
        <f>ROUND('PAI3'!AZ27,0)</f>
        <v>0</v>
      </c>
      <c r="BB25" s="412">
        <f>ROUND('PAI3'!BA27,0)</f>
        <v>0</v>
      </c>
      <c r="BC25" s="412">
        <f>ROUND('PAI3'!BB27,0)</f>
        <v>0</v>
      </c>
      <c r="BD25" s="412">
        <f>ROUND('PAI3'!BC27,0)</f>
        <v>0</v>
      </c>
      <c r="BE25" s="412">
        <f>ROUND(PJOK3!Y26,0)</f>
        <v>87</v>
      </c>
      <c r="BF25" s="412">
        <f>ROUND(PJOK3!Z26,0)</f>
        <v>90</v>
      </c>
      <c r="BG25" s="412">
        <f>ROUND(PJOK3!AA26,0)</f>
        <v>0</v>
      </c>
      <c r="BH25" s="412">
        <f>ROUND(PJOK3!AB26,0)</f>
        <v>0</v>
      </c>
      <c r="BI25" s="412">
        <f>ROUND(PJOK3!AC26,0)</f>
        <v>0</v>
      </c>
      <c r="BJ25" s="412">
        <f>ROUND(PJOK3!AD26,0)</f>
        <v>0</v>
      </c>
      <c r="BK25" s="414"/>
      <c r="BL25" s="413"/>
      <c r="BM25" s="412">
        <f>ROUND('MLK1-3'!AC26,0)</f>
        <v>0</v>
      </c>
      <c r="BN25" s="412">
        <f>ROUND('MLK1-3'!AD26,0)</f>
        <v>87</v>
      </c>
      <c r="BO25" s="412">
        <f>ROUND('MLK1-3'!AE26,0)</f>
        <v>90</v>
      </c>
      <c r="BP25" s="414"/>
      <c r="BQ25" s="414"/>
      <c r="BR25" s="415"/>
      <c r="BS25" s="412">
        <f>ROUND('MLK2-3'!AA26,0)</f>
        <v>0</v>
      </c>
      <c r="BT25" s="412">
        <f>ROUND('MLK2-3'!AB26,0)</f>
        <v>87</v>
      </c>
      <c r="BU25" s="412">
        <f>ROUND('MLK2-3'!AC26,0)</f>
        <v>90</v>
      </c>
      <c r="BV25" s="412">
        <f>ROUND('MLK2-3'!AD26,0)</f>
        <v>0</v>
      </c>
      <c r="BW25" s="414"/>
      <c r="BX25" s="413"/>
      <c r="BY25" s="412">
        <f>ROUND('MLK3-3'!AA26,0)</f>
        <v>87</v>
      </c>
      <c r="BZ25" s="412">
        <f>ROUND('MLK3-3'!AB26,0)</f>
        <v>90</v>
      </c>
      <c r="CA25" s="414"/>
      <c r="CB25" s="414"/>
      <c r="CC25" s="414"/>
      <c r="CD25" s="415"/>
    </row>
    <row r="26" spans="1:82" ht="20.25" customHeight="1">
      <c r="A26" s="113">
        <v>23</v>
      </c>
      <c r="B26" s="410" t="str">
        <f>SISWA!C28</f>
        <v>Anak 23</v>
      </c>
      <c r="C26" s="410"/>
      <c r="D26" s="412">
        <f>ROUND('PKN3'!S27,0)</f>
        <v>99</v>
      </c>
      <c r="E26" s="412">
        <f>ROUND('PKN3'!T27,0)</f>
        <v>99</v>
      </c>
      <c r="F26" s="412">
        <f>ROUND('PKN3'!U27,0)</f>
        <v>99</v>
      </c>
      <c r="G26" s="412">
        <f>ROUND('PKN3'!V27,0)</f>
        <v>0</v>
      </c>
      <c r="H26" s="412">
        <f>ROUND('PKN3'!W27,0)</f>
        <v>0</v>
      </c>
      <c r="I26" s="412">
        <f>ROUND('PKN3'!X27,0)</f>
        <v>0</v>
      </c>
      <c r="J26" s="412">
        <f>ROUND(BIND3!AA27,0)</f>
        <v>90</v>
      </c>
      <c r="K26" s="412">
        <f>ROUND(BIND3!AB27,0)</f>
        <v>77</v>
      </c>
      <c r="L26" s="412">
        <f>ROUND(BIND3!AC27,0)</f>
        <v>99</v>
      </c>
      <c r="M26" s="412">
        <f>ROUND(BIND3!AD27,0)</f>
        <v>99</v>
      </c>
      <c r="N26" s="412">
        <f>ROUND(BIND3!AE27,0)</f>
        <v>99</v>
      </c>
      <c r="O26" s="412">
        <f>ROUND(BIND3!AF27,0)</f>
        <v>0</v>
      </c>
      <c r="P26" s="412">
        <f>ROUND(BIND3!AG27,0)</f>
        <v>0</v>
      </c>
      <c r="Q26" s="412">
        <f>ROUND(BIND3!AH27,0)</f>
        <v>0</v>
      </c>
      <c r="R26" s="412">
        <f>ROUND('MTK3'!AE27,0)</f>
        <v>90</v>
      </c>
      <c r="S26" s="412">
        <f>ROUND('MTK3'!AF27,0)</f>
        <v>77</v>
      </c>
      <c r="T26" s="412">
        <f>ROUND('MTK3'!AG27,0)</f>
        <v>0</v>
      </c>
      <c r="U26" s="412">
        <f>ROUND('MTK3'!AH27,0)</f>
        <v>0</v>
      </c>
      <c r="V26" s="412">
        <f>ROUND('MTK3'!AI27,0)</f>
        <v>0</v>
      </c>
      <c r="W26" s="412">
        <f>ROUND('MTK3'!AJ27,0)</f>
        <v>0</v>
      </c>
      <c r="X26" s="412">
        <f>ROUND('MTK3'!AK27,0)</f>
        <v>0</v>
      </c>
      <c r="Y26" s="414"/>
      <c r="Z26" s="412">
        <f>ROUND('IPA3'!Y27,0)</f>
        <v>99</v>
      </c>
      <c r="AA26" s="412">
        <f>ROUND('IPA3'!Z27,0)</f>
        <v>99</v>
      </c>
      <c r="AB26" s="412">
        <f>ROUND('IPA3'!AA27,0)</f>
        <v>99</v>
      </c>
      <c r="AC26" s="412">
        <f>ROUND('IPA3'!AB27,0)</f>
        <v>99</v>
      </c>
      <c r="AD26" s="412">
        <f>ROUND('IPA3'!AC27,0)</f>
        <v>0</v>
      </c>
      <c r="AE26" s="413"/>
      <c r="AF26" s="412">
        <f>ROUND('IPS3'!Y27,0)</f>
        <v>99</v>
      </c>
      <c r="AG26" s="412">
        <f>ROUND('IPS3'!Z27,0)</f>
        <v>99</v>
      </c>
      <c r="AH26" s="412">
        <f>ROUND('IPS3'!AA27,0)</f>
        <v>99</v>
      </c>
      <c r="AI26" s="412">
        <f>ROUND('IPS3'!AB27,0)</f>
        <v>0</v>
      </c>
      <c r="AJ26" s="414"/>
      <c r="AK26" s="414"/>
      <c r="AL26" s="412">
        <f>ROUND(SBDP3!Y27,0)</f>
        <v>99</v>
      </c>
      <c r="AM26" s="412">
        <f>ROUND(SBDP3!Z27,0)</f>
        <v>99</v>
      </c>
      <c r="AN26" s="412">
        <f>ROUND(SBDP3!AA27,0)</f>
        <v>99</v>
      </c>
      <c r="AO26" s="412">
        <f>ROUND(SBDP3!AB27,0)</f>
        <v>0</v>
      </c>
      <c r="AP26" s="414"/>
      <c r="AQ26" s="413"/>
      <c r="AR26" s="412">
        <f>ROUND('PAI3'!AQ28,0)</f>
        <v>99</v>
      </c>
      <c r="AS26" s="412">
        <f>ROUND('PAI3'!AR28,0)</f>
        <v>99</v>
      </c>
      <c r="AT26" s="412">
        <f>ROUND('PAI3'!AS28,0)</f>
        <v>99</v>
      </c>
      <c r="AU26" s="412" t="e">
        <f>ROUND('PAI3'!AT28,0)</f>
        <v>#VALUE!</v>
      </c>
      <c r="AV26" s="412" t="e">
        <f>ROUND('PAI3'!AU28,0)</f>
        <v>#VALUE!</v>
      </c>
      <c r="AW26" s="412" t="e">
        <f>ROUND('PAI3'!AV28,0)</f>
        <v>#VALUE!</v>
      </c>
      <c r="AX26" s="412" t="e">
        <f>ROUND('PAI3'!AW28,0)</f>
        <v>#VALUE!</v>
      </c>
      <c r="AY26" s="412" t="e">
        <f>ROUND('PAI3'!AX28,0)</f>
        <v>#VALUE!</v>
      </c>
      <c r="AZ26" s="412">
        <f>ROUND('PAI3'!AY28,0)</f>
        <v>0</v>
      </c>
      <c r="BA26" s="412">
        <f>ROUND('PAI3'!AZ28,0)</f>
        <v>0</v>
      </c>
      <c r="BB26" s="412">
        <f>ROUND('PAI3'!BA28,0)</f>
        <v>0</v>
      </c>
      <c r="BC26" s="412">
        <f>ROUND('PAI3'!BB28,0)</f>
        <v>0</v>
      </c>
      <c r="BD26" s="412">
        <f>ROUND('PAI3'!BC28,0)</f>
        <v>0</v>
      </c>
      <c r="BE26" s="412">
        <f>ROUND(PJOK3!Y27,0)</f>
        <v>90</v>
      </c>
      <c r="BF26" s="412">
        <f>ROUND(PJOK3!Z27,0)</f>
        <v>77</v>
      </c>
      <c r="BG26" s="412">
        <f>ROUND(PJOK3!AA27,0)</f>
        <v>0</v>
      </c>
      <c r="BH26" s="412">
        <f>ROUND(PJOK3!AB27,0)</f>
        <v>0</v>
      </c>
      <c r="BI26" s="412">
        <f>ROUND(PJOK3!AC27,0)</f>
        <v>0</v>
      </c>
      <c r="BJ26" s="412">
        <f>ROUND(PJOK3!AD27,0)</f>
        <v>0</v>
      </c>
      <c r="BK26" s="414"/>
      <c r="BL26" s="413"/>
      <c r="BM26" s="412">
        <f>ROUND('MLK1-3'!AC27,0)</f>
        <v>0</v>
      </c>
      <c r="BN26" s="412">
        <f>ROUND('MLK1-3'!AD27,0)</f>
        <v>90</v>
      </c>
      <c r="BO26" s="412">
        <f>ROUND('MLK1-3'!AE27,0)</f>
        <v>77</v>
      </c>
      <c r="BP26" s="414"/>
      <c r="BQ26" s="414"/>
      <c r="BR26" s="415"/>
      <c r="BS26" s="412">
        <f>ROUND('MLK2-3'!AA27,0)</f>
        <v>0</v>
      </c>
      <c r="BT26" s="412">
        <f>ROUND('MLK2-3'!AB27,0)</f>
        <v>90</v>
      </c>
      <c r="BU26" s="412">
        <f>ROUND('MLK2-3'!AC27,0)</f>
        <v>77</v>
      </c>
      <c r="BV26" s="412">
        <f>ROUND('MLK2-3'!AD27,0)</f>
        <v>0</v>
      </c>
      <c r="BW26" s="414"/>
      <c r="BX26" s="413"/>
      <c r="BY26" s="412">
        <f>ROUND('MLK3-3'!AA27,0)</f>
        <v>90</v>
      </c>
      <c r="BZ26" s="412">
        <f>ROUND('MLK3-3'!AB27,0)</f>
        <v>77</v>
      </c>
      <c r="CA26" s="414"/>
      <c r="CB26" s="414"/>
      <c r="CC26" s="414"/>
      <c r="CD26" s="415"/>
    </row>
    <row r="27" spans="1:82" ht="20.25" customHeight="1">
      <c r="A27" s="113">
        <v>24</v>
      </c>
      <c r="B27" s="410" t="str">
        <f>SISWA!C29</f>
        <v>Anak 24</v>
      </c>
      <c r="C27" s="410"/>
      <c r="D27" s="412">
        <f>ROUND('PKN3'!S28,0)</f>
        <v>99</v>
      </c>
      <c r="E27" s="412">
        <f>ROUND('PKN3'!T28,0)</f>
        <v>99</v>
      </c>
      <c r="F27" s="412">
        <f>ROUND('PKN3'!U28,0)</f>
        <v>99</v>
      </c>
      <c r="G27" s="412">
        <f>ROUND('PKN3'!V28,0)</f>
        <v>0</v>
      </c>
      <c r="H27" s="412">
        <f>ROUND('PKN3'!W28,0)</f>
        <v>0</v>
      </c>
      <c r="I27" s="412">
        <f>ROUND('PKN3'!X28,0)</f>
        <v>0</v>
      </c>
      <c r="J27" s="412">
        <f>ROUND(BIND3!AA28,0)</f>
        <v>77</v>
      </c>
      <c r="K27" s="412">
        <f>ROUND(BIND3!AB28,0)</f>
        <v>83</v>
      </c>
      <c r="L27" s="412">
        <f>ROUND(BIND3!AC28,0)</f>
        <v>99</v>
      </c>
      <c r="M27" s="412">
        <f>ROUND(BIND3!AD28,0)</f>
        <v>99</v>
      </c>
      <c r="N27" s="412">
        <f>ROUND(BIND3!AE28,0)</f>
        <v>99</v>
      </c>
      <c r="O27" s="412">
        <f>ROUND(BIND3!AF28,0)</f>
        <v>0</v>
      </c>
      <c r="P27" s="412">
        <f>ROUND(BIND3!AG28,0)</f>
        <v>0</v>
      </c>
      <c r="Q27" s="412">
        <f>ROUND(BIND3!AH28,0)</f>
        <v>0</v>
      </c>
      <c r="R27" s="412">
        <f>ROUND('MTK3'!AE28,0)</f>
        <v>77</v>
      </c>
      <c r="S27" s="412">
        <f>ROUND('MTK3'!AF28,0)</f>
        <v>83</v>
      </c>
      <c r="T27" s="412">
        <f>ROUND('MTK3'!AG28,0)</f>
        <v>0</v>
      </c>
      <c r="U27" s="412">
        <f>ROUND('MTK3'!AH28,0)</f>
        <v>0</v>
      </c>
      <c r="V27" s="412">
        <f>ROUND('MTK3'!AI28,0)</f>
        <v>0</v>
      </c>
      <c r="W27" s="412">
        <f>ROUND('MTK3'!AJ28,0)</f>
        <v>0</v>
      </c>
      <c r="X27" s="412">
        <f>ROUND('MTK3'!AK28,0)</f>
        <v>0</v>
      </c>
      <c r="Y27" s="414"/>
      <c r="Z27" s="412">
        <f>ROUND('IPA3'!Y28,0)</f>
        <v>99</v>
      </c>
      <c r="AA27" s="412">
        <f>ROUND('IPA3'!Z28,0)</f>
        <v>99</v>
      </c>
      <c r="AB27" s="412">
        <f>ROUND('IPA3'!AA28,0)</f>
        <v>99</v>
      </c>
      <c r="AC27" s="412">
        <f>ROUND('IPA3'!AB28,0)</f>
        <v>99</v>
      </c>
      <c r="AD27" s="412">
        <f>ROUND('IPA3'!AC28,0)</f>
        <v>0</v>
      </c>
      <c r="AE27" s="413"/>
      <c r="AF27" s="412">
        <f>ROUND('IPS3'!Y28,0)</f>
        <v>99</v>
      </c>
      <c r="AG27" s="412">
        <f>ROUND('IPS3'!Z28,0)</f>
        <v>99</v>
      </c>
      <c r="AH27" s="412">
        <f>ROUND('IPS3'!AA28,0)</f>
        <v>99</v>
      </c>
      <c r="AI27" s="412">
        <f>ROUND('IPS3'!AB28,0)</f>
        <v>0</v>
      </c>
      <c r="AJ27" s="414"/>
      <c r="AK27" s="414"/>
      <c r="AL27" s="412">
        <f>ROUND(SBDP3!Y28,0)</f>
        <v>99</v>
      </c>
      <c r="AM27" s="412">
        <f>ROUND(SBDP3!Z28,0)</f>
        <v>99</v>
      </c>
      <c r="AN27" s="412">
        <f>ROUND(SBDP3!AA28,0)</f>
        <v>99</v>
      </c>
      <c r="AO27" s="412">
        <f>ROUND(SBDP3!AB28,0)</f>
        <v>0</v>
      </c>
      <c r="AP27" s="414"/>
      <c r="AQ27" s="413"/>
      <c r="AR27" s="412">
        <f>ROUND('PAI3'!AQ29,0)</f>
        <v>99</v>
      </c>
      <c r="AS27" s="412">
        <f>ROUND('PAI3'!AR29,0)</f>
        <v>99</v>
      </c>
      <c r="AT27" s="412">
        <f>ROUND('PAI3'!AS29,0)</f>
        <v>99</v>
      </c>
      <c r="AU27" s="412" t="e">
        <f>ROUND('PAI3'!AT29,0)</f>
        <v>#VALUE!</v>
      </c>
      <c r="AV27" s="412" t="e">
        <f>ROUND('PAI3'!AU29,0)</f>
        <v>#VALUE!</v>
      </c>
      <c r="AW27" s="412" t="e">
        <f>ROUND('PAI3'!AV29,0)</f>
        <v>#VALUE!</v>
      </c>
      <c r="AX27" s="412">
        <f>ROUND('PAI3'!AW29,0)</f>
        <v>88</v>
      </c>
      <c r="AY27" s="412" t="e">
        <f>ROUND('PAI3'!AX29,0)</f>
        <v>#VALUE!</v>
      </c>
      <c r="AZ27" s="412">
        <f>ROUND('PAI3'!AY29,0)</f>
        <v>0</v>
      </c>
      <c r="BA27" s="412">
        <f>ROUND('PAI3'!AZ29,0)</f>
        <v>0</v>
      </c>
      <c r="BB27" s="412">
        <f>ROUND('PAI3'!BA29,0)</f>
        <v>0</v>
      </c>
      <c r="BC27" s="412">
        <f>ROUND('PAI3'!BB29,0)</f>
        <v>0</v>
      </c>
      <c r="BD27" s="412">
        <f>ROUND('PAI3'!BC29,0)</f>
        <v>0</v>
      </c>
      <c r="BE27" s="412">
        <f>ROUND(PJOK3!Y28,0)</f>
        <v>77</v>
      </c>
      <c r="BF27" s="412">
        <f>ROUND(PJOK3!Z28,0)</f>
        <v>83</v>
      </c>
      <c r="BG27" s="412">
        <f>ROUND(PJOK3!AA28,0)</f>
        <v>0</v>
      </c>
      <c r="BH27" s="412">
        <f>ROUND(PJOK3!AB28,0)</f>
        <v>0</v>
      </c>
      <c r="BI27" s="412">
        <f>ROUND(PJOK3!AC28,0)</f>
        <v>0</v>
      </c>
      <c r="BJ27" s="412">
        <f>ROUND(PJOK3!AD28,0)</f>
        <v>0</v>
      </c>
      <c r="BK27" s="414"/>
      <c r="BL27" s="413"/>
      <c r="BM27" s="412">
        <f>ROUND('MLK1-3'!AC28,0)</f>
        <v>0</v>
      </c>
      <c r="BN27" s="412">
        <f>ROUND('MLK1-3'!AD28,0)</f>
        <v>77</v>
      </c>
      <c r="BO27" s="412">
        <f>ROUND('MLK1-3'!AE28,0)</f>
        <v>83</v>
      </c>
      <c r="BP27" s="414"/>
      <c r="BQ27" s="414"/>
      <c r="BR27" s="415"/>
      <c r="BS27" s="412">
        <f>ROUND('MLK2-3'!AA28,0)</f>
        <v>0</v>
      </c>
      <c r="BT27" s="412">
        <f>ROUND('MLK2-3'!AB28,0)</f>
        <v>77</v>
      </c>
      <c r="BU27" s="412">
        <f>ROUND('MLK2-3'!AC28,0)</f>
        <v>83</v>
      </c>
      <c r="BV27" s="412">
        <f>ROUND('MLK2-3'!AD28,0)</f>
        <v>0</v>
      </c>
      <c r="BW27" s="414"/>
      <c r="BX27" s="413"/>
      <c r="BY27" s="412">
        <f>ROUND('MLK3-3'!AA28,0)</f>
        <v>77</v>
      </c>
      <c r="BZ27" s="412">
        <f>ROUND('MLK3-3'!AB28,0)</f>
        <v>83</v>
      </c>
      <c r="CA27" s="414"/>
      <c r="CB27" s="414"/>
      <c r="CC27" s="414"/>
      <c r="CD27" s="415"/>
    </row>
    <row r="28" spans="1:82" ht="20.25" customHeight="1">
      <c r="A28" s="113">
        <v>25</v>
      </c>
      <c r="B28" s="410" t="str">
        <f>SISWA!C30</f>
        <v>Anak 25</v>
      </c>
      <c r="C28" s="410"/>
      <c r="D28" s="412">
        <f>ROUND('PKN3'!S29,0)</f>
        <v>99</v>
      </c>
      <c r="E28" s="412">
        <f>ROUND('PKN3'!T29,0)</f>
        <v>99</v>
      </c>
      <c r="F28" s="412">
        <f>ROUND('PKN3'!U29,0)</f>
        <v>99</v>
      </c>
      <c r="G28" s="412">
        <f>ROUND('PKN3'!V29,0)</f>
        <v>0</v>
      </c>
      <c r="H28" s="412">
        <f>ROUND('PKN3'!W29,0)</f>
        <v>0</v>
      </c>
      <c r="I28" s="412">
        <f>ROUND('PKN3'!X29,0)</f>
        <v>0</v>
      </c>
      <c r="J28" s="412">
        <f>ROUND(BIND3!AA29,0)</f>
        <v>83</v>
      </c>
      <c r="K28" s="412">
        <f>ROUND(BIND3!AB29,0)</f>
        <v>75</v>
      </c>
      <c r="L28" s="412">
        <f>ROUND(BIND3!AC29,0)</f>
        <v>99</v>
      </c>
      <c r="M28" s="412">
        <f>ROUND(BIND3!AD29,0)</f>
        <v>99</v>
      </c>
      <c r="N28" s="412">
        <f>ROUND(BIND3!AE29,0)</f>
        <v>99</v>
      </c>
      <c r="O28" s="412">
        <f>ROUND(BIND3!AF29,0)</f>
        <v>0</v>
      </c>
      <c r="P28" s="412">
        <f>ROUND(BIND3!AG29,0)</f>
        <v>0</v>
      </c>
      <c r="Q28" s="412">
        <f>ROUND(BIND3!AH29,0)</f>
        <v>0</v>
      </c>
      <c r="R28" s="412">
        <f>ROUND('MTK3'!AE29,0)</f>
        <v>83</v>
      </c>
      <c r="S28" s="412">
        <f>ROUND('MTK3'!AF29,0)</f>
        <v>75</v>
      </c>
      <c r="T28" s="412">
        <f>ROUND('MTK3'!AG29,0)</f>
        <v>0</v>
      </c>
      <c r="U28" s="412">
        <f>ROUND('MTK3'!AH29,0)</f>
        <v>0</v>
      </c>
      <c r="V28" s="412">
        <f>ROUND('MTK3'!AI29,0)</f>
        <v>0</v>
      </c>
      <c r="W28" s="412">
        <f>ROUND('MTK3'!AJ29,0)</f>
        <v>0</v>
      </c>
      <c r="X28" s="412">
        <f>ROUND('MTK3'!AK29,0)</f>
        <v>0</v>
      </c>
      <c r="Y28" s="414"/>
      <c r="Z28" s="412">
        <f>ROUND('IPA3'!Y29,0)</f>
        <v>99</v>
      </c>
      <c r="AA28" s="412">
        <f>ROUND('IPA3'!Z29,0)</f>
        <v>99</v>
      </c>
      <c r="AB28" s="412">
        <f>ROUND('IPA3'!AA29,0)</f>
        <v>99</v>
      </c>
      <c r="AC28" s="412">
        <f>ROUND('IPA3'!AB29,0)</f>
        <v>99</v>
      </c>
      <c r="AD28" s="412">
        <f>ROUND('IPA3'!AC29,0)</f>
        <v>0</v>
      </c>
      <c r="AE28" s="413"/>
      <c r="AF28" s="412">
        <f>ROUND('IPS3'!Y29,0)</f>
        <v>99</v>
      </c>
      <c r="AG28" s="412">
        <f>ROUND('IPS3'!Z29,0)</f>
        <v>99</v>
      </c>
      <c r="AH28" s="412">
        <f>ROUND('IPS3'!AA29,0)</f>
        <v>99</v>
      </c>
      <c r="AI28" s="412">
        <f>ROUND('IPS3'!AB29,0)</f>
        <v>0</v>
      </c>
      <c r="AJ28" s="414"/>
      <c r="AK28" s="414"/>
      <c r="AL28" s="412">
        <f>ROUND(SBDP3!Y29,0)</f>
        <v>99</v>
      </c>
      <c r="AM28" s="412">
        <f>ROUND(SBDP3!Z29,0)</f>
        <v>99</v>
      </c>
      <c r="AN28" s="412">
        <f>ROUND(SBDP3!AA29,0)</f>
        <v>99</v>
      </c>
      <c r="AO28" s="412">
        <f>ROUND(SBDP3!AB29,0)</f>
        <v>0</v>
      </c>
      <c r="AP28" s="414"/>
      <c r="AQ28" s="413"/>
      <c r="AR28" s="412">
        <f>ROUND('PAI3'!AQ30,0)</f>
        <v>99</v>
      </c>
      <c r="AS28" s="412">
        <f>ROUND('PAI3'!AR30,0)</f>
        <v>99</v>
      </c>
      <c r="AT28" s="412">
        <f>ROUND('PAI3'!AS30,0)</f>
        <v>99</v>
      </c>
      <c r="AU28" s="412" t="e">
        <f>ROUND('PAI3'!AT30,0)</f>
        <v>#VALUE!</v>
      </c>
      <c r="AV28" s="412" t="e">
        <f>ROUND('PAI3'!AU30,0)</f>
        <v>#VALUE!</v>
      </c>
      <c r="AW28" s="412">
        <f>ROUND('PAI3'!AV30,0)</f>
        <v>78</v>
      </c>
      <c r="AX28" s="412" t="e">
        <f>ROUND('PAI3'!AW30,0)</f>
        <v>#VALUE!</v>
      </c>
      <c r="AY28" s="412" t="e">
        <f>ROUND('PAI3'!AX30,0)</f>
        <v>#VALUE!</v>
      </c>
      <c r="AZ28" s="412">
        <f>ROUND('PAI3'!AY30,0)</f>
        <v>0</v>
      </c>
      <c r="BA28" s="412">
        <f>ROUND('PAI3'!AZ30,0)</f>
        <v>0</v>
      </c>
      <c r="BB28" s="412">
        <f>ROUND('PAI3'!BA30,0)</f>
        <v>0</v>
      </c>
      <c r="BC28" s="412">
        <f>ROUND('PAI3'!BB30,0)</f>
        <v>0</v>
      </c>
      <c r="BD28" s="412">
        <f>ROUND('PAI3'!BC30,0)</f>
        <v>0</v>
      </c>
      <c r="BE28" s="412">
        <f>ROUND(PJOK3!Y29,0)</f>
        <v>83</v>
      </c>
      <c r="BF28" s="412">
        <f>ROUND(PJOK3!Z29,0)</f>
        <v>75</v>
      </c>
      <c r="BG28" s="412">
        <f>ROUND(PJOK3!AA29,0)</f>
        <v>0</v>
      </c>
      <c r="BH28" s="412">
        <f>ROUND(PJOK3!AB29,0)</f>
        <v>0</v>
      </c>
      <c r="BI28" s="412">
        <f>ROUND(PJOK3!AC29,0)</f>
        <v>0</v>
      </c>
      <c r="BJ28" s="412">
        <f>ROUND(PJOK3!AD29,0)</f>
        <v>0</v>
      </c>
      <c r="BK28" s="414"/>
      <c r="BL28" s="413"/>
      <c r="BM28" s="412">
        <f>ROUND('MLK1-3'!AC29,0)</f>
        <v>0</v>
      </c>
      <c r="BN28" s="412">
        <f>ROUND('MLK1-3'!AD29,0)</f>
        <v>83</v>
      </c>
      <c r="BO28" s="412">
        <f>ROUND('MLK1-3'!AE29,0)</f>
        <v>75</v>
      </c>
      <c r="BP28" s="414"/>
      <c r="BQ28" s="414"/>
      <c r="BR28" s="415"/>
      <c r="BS28" s="412">
        <f>ROUND('MLK2-3'!AA29,0)</f>
        <v>0</v>
      </c>
      <c r="BT28" s="412">
        <f>ROUND('MLK2-3'!AB29,0)</f>
        <v>83</v>
      </c>
      <c r="BU28" s="412">
        <f>ROUND('MLK2-3'!AC29,0)</f>
        <v>75</v>
      </c>
      <c r="BV28" s="412">
        <f>ROUND('MLK2-3'!AD29,0)</f>
        <v>0</v>
      </c>
      <c r="BW28" s="414"/>
      <c r="BX28" s="413"/>
      <c r="BY28" s="412">
        <f>ROUND('MLK3-3'!AA29,0)</f>
        <v>83</v>
      </c>
      <c r="BZ28" s="412">
        <f>ROUND('MLK3-3'!AB29,0)</f>
        <v>75</v>
      </c>
      <c r="CA28" s="414"/>
      <c r="CB28" s="414"/>
      <c r="CC28" s="414"/>
      <c r="CD28" s="415"/>
    </row>
    <row r="29" spans="1:82" ht="20.25" customHeight="1">
      <c r="A29" s="113">
        <v>26</v>
      </c>
      <c r="B29" s="410" t="str">
        <f>SISWA!C31</f>
        <v>Anak 26</v>
      </c>
      <c r="C29" s="410"/>
      <c r="D29" s="412">
        <f>ROUND('PKN3'!S30,0)</f>
        <v>99</v>
      </c>
      <c r="E29" s="412">
        <f>ROUND('PKN3'!T30,0)</f>
        <v>99</v>
      </c>
      <c r="F29" s="412">
        <f>ROUND('PKN3'!U30,0)</f>
        <v>99</v>
      </c>
      <c r="G29" s="412">
        <f>ROUND('PKN3'!V30,0)</f>
        <v>0</v>
      </c>
      <c r="H29" s="412">
        <f>ROUND('PKN3'!W30,0)</f>
        <v>0</v>
      </c>
      <c r="I29" s="412">
        <f>ROUND('PKN3'!X30,0)</f>
        <v>0</v>
      </c>
      <c r="J29" s="412">
        <f>ROUND(BIND3!AA30,0)</f>
        <v>75</v>
      </c>
      <c r="K29" s="412">
        <f>ROUND(BIND3!AB30,0)</f>
        <v>75</v>
      </c>
      <c r="L29" s="412">
        <f>ROUND(BIND3!AC30,0)</f>
        <v>99</v>
      </c>
      <c r="M29" s="412">
        <f>ROUND(BIND3!AD30,0)</f>
        <v>99</v>
      </c>
      <c r="N29" s="412">
        <f>ROUND(BIND3!AE30,0)</f>
        <v>99</v>
      </c>
      <c r="O29" s="412">
        <f>ROUND(BIND3!AF30,0)</f>
        <v>0</v>
      </c>
      <c r="P29" s="412">
        <f>ROUND(BIND3!AG30,0)</f>
        <v>0</v>
      </c>
      <c r="Q29" s="412">
        <f>ROUND(BIND3!AH30,0)</f>
        <v>0</v>
      </c>
      <c r="R29" s="412">
        <f>ROUND('MTK3'!AE30,0)</f>
        <v>75</v>
      </c>
      <c r="S29" s="412">
        <f>ROUND('MTK3'!AF30,0)</f>
        <v>75</v>
      </c>
      <c r="T29" s="412">
        <f>ROUND('MTK3'!AG30,0)</f>
        <v>0</v>
      </c>
      <c r="U29" s="412">
        <f>ROUND('MTK3'!AH30,0)</f>
        <v>0</v>
      </c>
      <c r="V29" s="412">
        <f>ROUND('MTK3'!AI30,0)</f>
        <v>0</v>
      </c>
      <c r="W29" s="412">
        <f>ROUND('MTK3'!AJ30,0)</f>
        <v>0</v>
      </c>
      <c r="X29" s="412">
        <f>ROUND('MTK3'!AK30,0)</f>
        <v>0</v>
      </c>
      <c r="Y29" s="414"/>
      <c r="Z29" s="412">
        <f>ROUND('IPA3'!Y30,0)</f>
        <v>99</v>
      </c>
      <c r="AA29" s="412">
        <f>ROUND('IPA3'!Z30,0)</f>
        <v>99</v>
      </c>
      <c r="AB29" s="412">
        <f>ROUND('IPA3'!AA30,0)</f>
        <v>99</v>
      </c>
      <c r="AC29" s="412">
        <f>ROUND('IPA3'!AB30,0)</f>
        <v>99</v>
      </c>
      <c r="AD29" s="412">
        <f>ROUND('IPA3'!AC30,0)</f>
        <v>0</v>
      </c>
      <c r="AE29" s="413"/>
      <c r="AF29" s="412">
        <f>ROUND('IPS3'!Y30,0)</f>
        <v>99</v>
      </c>
      <c r="AG29" s="412">
        <f>ROUND('IPS3'!Z30,0)</f>
        <v>99</v>
      </c>
      <c r="AH29" s="412">
        <f>ROUND('IPS3'!AA30,0)</f>
        <v>99</v>
      </c>
      <c r="AI29" s="412">
        <f>ROUND('IPS3'!AB30,0)</f>
        <v>0</v>
      </c>
      <c r="AJ29" s="414"/>
      <c r="AK29" s="414"/>
      <c r="AL29" s="412">
        <f>ROUND(SBDP3!Y30,0)</f>
        <v>99</v>
      </c>
      <c r="AM29" s="412">
        <f>ROUND(SBDP3!Z30,0)</f>
        <v>99</v>
      </c>
      <c r="AN29" s="412">
        <f>ROUND(SBDP3!AA30,0)</f>
        <v>99</v>
      </c>
      <c r="AO29" s="412">
        <f>ROUND(SBDP3!AB30,0)</f>
        <v>0</v>
      </c>
      <c r="AP29" s="414"/>
      <c r="AQ29" s="413"/>
      <c r="AR29" s="412">
        <f>ROUND('PAI3'!AQ31,0)</f>
        <v>99</v>
      </c>
      <c r="AS29" s="412">
        <f>ROUND('PAI3'!AR31,0)</f>
        <v>99</v>
      </c>
      <c r="AT29" s="412">
        <f>ROUND('PAI3'!AS31,0)</f>
        <v>99</v>
      </c>
      <c r="AU29" s="412" t="e">
        <f>ROUND('PAI3'!AT31,0)</f>
        <v>#VALUE!</v>
      </c>
      <c r="AV29" s="412" t="e">
        <f>ROUND('PAI3'!AU31,0)</f>
        <v>#VALUE!</v>
      </c>
      <c r="AW29" s="412" t="e">
        <f>ROUND('PAI3'!AV31,0)</f>
        <v>#VALUE!</v>
      </c>
      <c r="AX29" s="412" t="e">
        <f>ROUND('PAI3'!AW31,0)</f>
        <v>#VALUE!</v>
      </c>
      <c r="AY29" s="412" t="e">
        <f>ROUND('PAI3'!AX31,0)</f>
        <v>#VALUE!</v>
      </c>
      <c r="AZ29" s="412">
        <f>ROUND('PAI3'!AY31,0)</f>
        <v>0</v>
      </c>
      <c r="BA29" s="412">
        <f>ROUND('PAI3'!AZ31,0)</f>
        <v>0</v>
      </c>
      <c r="BB29" s="412">
        <f>ROUND('PAI3'!BA31,0)</f>
        <v>0</v>
      </c>
      <c r="BC29" s="412">
        <f>ROUND('PAI3'!BB31,0)</f>
        <v>0</v>
      </c>
      <c r="BD29" s="412">
        <f>ROUND('PAI3'!BC31,0)</f>
        <v>0</v>
      </c>
      <c r="BE29" s="412">
        <f>ROUND(PJOK3!Y30,0)</f>
        <v>75</v>
      </c>
      <c r="BF29" s="412">
        <f>ROUND(PJOK3!Z30,0)</f>
        <v>75</v>
      </c>
      <c r="BG29" s="412">
        <f>ROUND(PJOK3!AA30,0)</f>
        <v>0</v>
      </c>
      <c r="BH29" s="412">
        <f>ROUND(PJOK3!AB30,0)</f>
        <v>0</v>
      </c>
      <c r="BI29" s="412">
        <f>ROUND(PJOK3!AC30,0)</f>
        <v>0</v>
      </c>
      <c r="BJ29" s="412">
        <f>ROUND(PJOK3!AD30,0)</f>
        <v>0</v>
      </c>
      <c r="BK29" s="414"/>
      <c r="BL29" s="413"/>
      <c r="BM29" s="412">
        <f>ROUND('MLK1-3'!AC30,0)</f>
        <v>0</v>
      </c>
      <c r="BN29" s="412">
        <f>ROUND('MLK1-3'!AD30,0)</f>
        <v>75</v>
      </c>
      <c r="BO29" s="412">
        <f>ROUND('MLK1-3'!AE30,0)</f>
        <v>75</v>
      </c>
      <c r="BP29" s="414"/>
      <c r="BQ29" s="414"/>
      <c r="BR29" s="415"/>
      <c r="BS29" s="412">
        <f>ROUND('MLK2-3'!AA30,0)</f>
        <v>0</v>
      </c>
      <c r="BT29" s="412">
        <f>ROUND('MLK2-3'!AB30,0)</f>
        <v>75</v>
      </c>
      <c r="BU29" s="412">
        <f>ROUND('MLK2-3'!AC30,0)</f>
        <v>75</v>
      </c>
      <c r="BV29" s="412">
        <f>ROUND('MLK2-3'!AD30,0)</f>
        <v>0</v>
      </c>
      <c r="BW29" s="414"/>
      <c r="BX29" s="413"/>
      <c r="BY29" s="412">
        <f>ROUND('MLK3-3'!AA30,0)</f>
        <v>75</v>
      </c>
      <c r="BZ29" s="412">
        <f>ROUND('MLK3-3'!AB30,0)</f>
        <v>75</v>
      </c>
      <c r="CA29" s="414"/>
      <c r="CB29" s="414"/>
      <c r="CC29" s="414"/>
      <c r="CD29" s="415"/>
    </row>
    <row r="30" spans="1:82" ht="20.25" customHeight="1">
      <c r="A30" s="113">
        <v>27</v>
      </c>
      <c r="B30" s="410" t="str">
        <f>SISWA!C32</f>
        <v>Anak 27</v>
      </c>
      <c r="C30" s="410"/>
      <c r="D30" s="412">
        <f>ROUND('PKN3'!S31,0)</f>
        <v>99</v>
      </c>
      <c r="E30" s="412">
        <f>ROUND('PKN3'!T31,0)</f>
        <v>99</v>
      </c>
      <c r="F30" s="412">
        <f>ROUND('PKN3'!U31,0)</f>
        <v>99</v>
      </c>
      <c r="G30" s="412">
        <f>ROUND('PKN3'!V31,0)</f>
        <v>0</v>
      </c>
      <c r="H30" s="412">
        <f>ROUND('PKN3'!W31,0)</f>
        <v>0</v>
      </c>
      <c r="I30" s="412">
        <f>ROUND('PKN3'!X31,0)</f>
        <v>0</v>
      </c>
      <c r="J30" s="412">
        <f>ROUND(BIND3!AA31,0)</f>
        <v>75</v>
      </c>
      <c r="K30" s="412">
        <f>ROUND(BIND3!AB31,0)</f>
        <v>75</v>
      </c>
      <c r="L30" s="412">
        <f>ROUND(BIND3!AC31,0)</f>
        <v>99</v>
      </c>
      <c r="M30" s="412">
        <f>ROUND(BIND3!AD31,0)</f>
        <v>99</v>
      </c>
      <c r="N30" s="412">
        <f>ROUND(BIND3!AE31,0)</f>
        <v>99</v>
      </c>
      <c r="O30" s="412">
        <f>ROUND(BIND3!AF31,0)</f>
        <v>0</v>
      </c>
      <c r="P30" s="412">
        <f>ROUND(BIND3!AG31,0)</f>
        <v>0</v>
      </c>
      <c r="Q30" s="412">
        <f>ROUND(BIND3!AH31,0)</f>
        <v>0</v>
      </c>
      <c r="R30" s="412">
        <f>ROUND('MTK3'!AE31,0)</f>
        <v>75</v>
      </c>
      <c r="S30" s="412">
        <f>ROUND('MTK3'!AF31,0)</f>
        <v>75</v>
      </c>
      <c r="T30" s="412">
        <f>ROUND('MTK3'!AG31,0)</f>
        <v>0</v>
      </c>
      <c r="U30" s="412">
        <f>ROUND('MTK3'!AH31,0)</f>
        <v>0</v>
      </c>
      <c r="V30" s="412">
        <f>ROUND('MTK3'!AI31,0)</f>
        <v>0</v>
      </c>
      <c r="W30" s="412">
        <f>ROUND('MTK3'!AJ31,0)</f>
        <v>0</v>
      </c>
      <c r="X30" s="412">
        <f>ROUND('MTK3'!AK31,0)</f>
        <v>0</v>
      </c>
      <c r="Y30" s="414"/>
      <c r="Z30" s="412">
        <f>ROUND('IPA3'!Y31,0)</f>
        <v>99</v>
      </c>
      <c r="AA30" s="412">
        <f>ROUND('IPA3'!Z31,0)</f>
        <v>99</v>
      </c>
      <c r="AB30" s="412">
        <f>ROUND('IPA3'!AA31,0)</f>
        <v>99</v>
      </c>
      <c r="AC30" s="412">
        <f>ROUND('IPA3'!AB31,0)</f>
        <v>99</v>
      </c>
      <c r="AD30" s="412">
        <f>ROUND('IPA3'!AC31,0)</f>
        <v>0</v>
      </c>
      <c r="AE30" s="413"/>
      <c r="AF30" s="412">
        <f>ROUND('IPS3'!Y31,0)</f>
        <v>99</v>
      </c>
      <c r="AG30" s="412">
        <f>ROUND('IPS3'!Z31,0)</f>
        <v>99</v>
      </c>
      <c r="AH30" s="412">
        <f>ROUND('IPS3'!AA31,0)</f>
        <v>99</v>
      </c>
      <c r="AI30" s="412">
        <f>ROUND('IPS3'!AB31,0)</f>
        <v>0</v>
      </c>
      <c r="AJ30" s="414"/>
      <c r="AK30" s="414"/>
      <c r="AL30" s="412">
        <f>ROUND(SBDP3!Y31,0)</f>
        <v>99</v>
      </c>
      <c r="AM30" s="412">
        <f>ROUND(SBDP3!Z31,0)</f>
        <v>99</v>
      </c>
      <c r="AN30" s="412">
        <f>ROUND(SBDP3!AA31,0)</f>
        <v>99</v>
      </c>
      <c r="AO30" s="412">
        <f>ROUND(SBDP3!AB31,0)</f>
        <v>0</v>
      </c>
      <c r="AP30" s="414"/>
      <c r="AQ30" s="413"/>
      <c r="AR30" s="412">
        <f>ROUND('PAI3'!AQ32,0)</f>
        <v>99</v>
      </c>
      <c r="AS30" s="412">
        <f>ROUND('PAI3'!AR32,0)</f>
        <v>99</v>
      </c>
      <c r="AT30" s="412">
        <f>ROUND('PAI3'!AS32,0)</f>
        <v>99</v>
      </c>
      <c r="AU30" s="412" t="e">
        <f>ROUND('PAI3'!AT32,0)</f>
        <v>#VALUE!</v>
      </c>
      <c r="AV30" s="412" t="e">
        <f>ROUND('PAI3'!AU32,0)</f>
        <v>#VALUE!</v>
      </c>
      <c r="AW30" s="412" t="e">
        <f>ROUND('PAI3'!AV32,0)</f>
        <v>#VALUE!</v>
      </c>
      <c r="AX30" s="412" t="e">
        <f>ROUND('PAI3'!AW32,0)</f>
        <v>#VALUE!</v>
      </c>
      <c r="AY30" s="412" t="e">
        <f>ROUND('PAI3'!AX32,0)</f>
        <v>#VALUE!</v>
      </c>
      <c r="AZ30" s="412">
        <f>ROUND('PAI3'!AY32,0)</f>
        <v>0</v>
      </c>
      <c r="BA30" s="412">
        <f>ROUND('PAI3'!AZ32,0)</f>
        <v>0</v>
      </c>
      <c r="BB30" s="412">
        <f>ROUND('PAI3'!BA32,0)</f>
        <v>0</v>
      </c>
      <c r="BC30" s="412">
        <f>ROUND('PAI3'!BB32,0)</f>
        <v>0</v>
      </c>
      <c r="BD30" s="412">
        <f>ROUND('PAI3'!BC32,0)</f>
        <v>0</v>
      </c>
      <c r="BE30" s="412">
        <f>ROUND(PJOK3!Y31,0)</f>
        <v>75</v>
      </c>
      <c r="BF30" s="412">
        <f>ROUND(PJOK3!Z31,0)</f>
        <v>75</v>
      </c>
      <c r="BG30" s="412">
        <f>ROUND(PJOK3!AA31,0)</f>
        <v>0</v>
      </c>
      <c r="BH30" s="412">
        <f>ROUND(PJOK3!AB31,0)</f>
        <v>0</v>
      </c>
      <c r="BI30" s="412">
        <f>ROUND(PJOK3!AC31,0)</f>
        <v>0</v>
      </c>
      <c r="BJ30" s="412">
        <f>ROUND(PJOK3!AD31,0)</f>
        <v>0</v>
      </c>
      <c r="BK30" s="414"/>
      <c r="BL30" s="413"/>
      <c r="BM30" s="412">
        <f>ROUND('MLK1-3'!AC31,0)</f>
        <v>0</v>
      </c>
      <c r="BN30" s="412">
        <f>ROUND('MLK1-3'!AD31,0)</f>
        <v>75</v>
      </c>
      <c r="BO30" s="412">
        <f>ROUND('MLK1-3'!AE31,0)</f>
        <v>75</v>
      </c>
      <c r="BP30" s="414"/>
      <c r="BQ30" s="414"/>
      <c r="BR30" s="415"/>
      <c r="BS30" s="412">
        <f>ROUND('MLK2-3'!AA31,0)</f>
        <v>0</v>
      </c>
      <c r="BT30" s="412">
        <f>ROUND('MLK2-3'!AB31,0)</f>
        <v>75</v>
      </c>
      <c r="BU30" s="412">
        <f>ROUND('MLK2-3'!AC31,0)</f>
        <v>75</v>
      </c>
      <c r="BV30" s="412">
        <f>ROUND('MLK2-3'!AD31,0)</f>
        <v>0</v>
      </c>
      <c r="BW30" s="414"/>
      <c r="BX30" s="413"/>
      <c r="BY30" s="412">
        <f>ROUND('MLK3-3'!AA31,0)</f>
        <v>75</v>
      </c>
      <c r="BZ30" s="412">
        <f>ROUND('MLK3-3'!AB31,0)</f>
        <v>75</v>
      </c>
      <c r="CA30" s="414"/>
      <c r="CB30" s="414"/>
      <c r="CC30" s="414"/>
      <c r="CD30" s="415"/>
    </row>
    <row r="31" spans="1:82" ht="20.25" customHeight="1">
      <c r="A31" s="113">
        <v>28</v>
      </c>
      <c r="B31" s="410" t="str">
        <f>SISWA!C33</f>
        <v>Anak 28</v>
      </c>
      <c r="C31" s="410"/>
      <c r="D31" s="412">
        <f>ROUND('PKN3'!S32,0)</f>
        <v>99</v>
      </c>
      <c r="E31" s="412">
        <f>ROUND('PKN3'!T32,0)</f>
        <v>99</v>
      </c>
      <c r="F31" s="412">
        <f>ROUND('PKN3'!U32,0)</f>
        <v>99</v>
      </c>
      <c r="G31" s="412">
        <f>ROUND('PKN3'!V32,0)</f>
        <v>0</v>
      </c>
      <c r="H31" s="412">
        <f>ROUND('PKN3'!W32,0)</f>
        <v>0</v>
      </c>
      <c r="I31" s="412">
        <f>ROUND('PKN3'!X32,0)</f>
        <v>0</v>
      </c>
      <c r="J31" s="412">
        <f>ROUND(BIND3!AA32,0)</f>
        <v>75</v>
      </c>
      <c r="K31" s="412">
        <f>ROUND(BIND3!AB32,0)</f>
        <v>84</v>
      </c>
      <c r="L31" s="412">
        <f>ROUND(BIND3!AC32,0)</f>
        <v>99</v>
      </c>
      <c r="M31" s="412">
        <f>ROUND(BIND3!AD32,0)</f>
        <v>99</v>
      </c>
      <c r="N31" s="412">
        <f>ROUND(BIND3!AE32,0)</f>
        <v>99</v>
      </c>
      <c r="O31" s="412">
        <f>ROUND(BIND3!AF32,0)</f>
        <v>0</v>
      </c>
      <c r="P31" s="412">
        <f>ROUND(BIND3!AG32,0)</f>
        <v>0</v>
      </c>
      <c r="Q31" s="412">
        <f>ROUND(BIND3!AH32,0)</f>
        <v>0</v>
      </c>
      <c r="R31" s="412">
        <f>ROUND('MTK3'!AE32,0)</f>
        <v>75</v>
      </c>
      <c r="S31" s="412">
        <f>ROUND('MTK3'!AF32,0)</f>
        <v>84</v>
      </c>
      <c r="T31" s="412">
        <f>ROUND('MTK3'!AG32,0)</f>
        <v>0</v>
      </c>
      <c r="U31" s="412">
        <f>ROUND('MTK3'!AH32,0)</f>
        <v>0</v>
      </c>
      <c r="V31" s="412">
        <f>ROUND('MTK3'!AI32,0)</f>
        <v>0</v>
      </c>
      <c r="W31" s="412">
        <f>ROUND('MTK3'!AJ32,0)</f>
        <v>0</v>
      </c>
      <c r="X31" s="412">
        <f>ROUND('MTK3'!AK32,0)</f>
        <v>0</v>
      </c>
      <c r="Y31" s="414"/>
      <c r="Z31" s="412">
        <f>ROUND('IPA3'!Y32,0)</f>
        <v>99</v>
      </c>
      <c r="AA31" s="412">
        <f>ROUND('IPA3'!Z32,0)</f>
        <v>99</v>
      </c>
      <c r="AB31" s="412">
        <f>ROUND('IPA3'!AA32,0)</f>
        <v>99</v>
      </c>
      <c r="AC31" s="412">
        <f>ROUND('IPA3'!AB32,0)</f>
        <v>99</v>
      </c>
      <c r="AD31" s="412">
        <f>ROUND('IPA3'!AC32,0)</f>
        <v>0</v>
      </c>
      <c r="AE31" s="413"/>
      <c r="AF31" s="412">
        <f>ROUND('IPS3'!Y32,0)</f>
        <v>99</v>
      </c>
      <c r="AG31" s="412">
        <f>ROUND('IPS3'!Z32,0)</f>
        <v>99</v>
      </c>
      <c r="AH31" s="412">
        <f>ROUND('IPS3'!AA32,0)</f>
        <v>99</v>
      </c>
      <c r="AI31" s="412">
        <f>ROUND('IPS3'!AB32,0)</f>
        <v>0</v>
      </c>
      <c r="AJ31" s="414"/>
      <c r="AK31" s="414"/>
      <c r="AL31" s="412">
        <f>ROUND(SBDP3!Y32,0)</f>
        <v>99</v>
      </c>
      <c r="AM31" s="412">
        <f>ROUND(SBDP3!Z32,0)</f>
        <v>99</v>
      </c>
      <c r="AN31" s="412">
        <f>ROUND(SBDP3!AA32,0)</f>
        <v>99</v>
      </c>
      <c r="AO31" s="412">
        <f>ROUND(SBDP3!AB32,0)</f>
        <v>0</v>
      </c>
      <c r="AP31" s="414"/>
      <c r="AQ31" s="413"/>
      <c r="AR31" s="412">
        <f>ROUND('PAI3'!AQ33,0)</f>
        <v>99</v>
      </c>
      <c r="AS31" s="412">
        <f>ROUND('PAI3'!AR33,0)</f>
        <v>99</v>
      </c>
      <c r="AT31" s="412">
        <f>ROUND('PAI3'!AS33,0)</f>
        <v>99</v>
      </c>
      <c r="AU31" s="412" t="e">
        <f>ROUND('PAI3'!AT33,0)</f>
        <v>#VALUE!</v>
      </c>
      <c r="AV31" s="412" t="e">
        <f>ROUND('PAI3'!AU33,0)</f>
        <v>#VALUE!</v>
      </c>
      <c r="AW31" s="412" t="e">
        <f>ROUND('PAI3'!AV33,0)</f>
        <v>#VALUE!</v>
      </c>
      <c r="AX31" s="412" t="e">
        <f>ROUND('PAI3'!AW33,0)</f>
        <v>#VALUE!</v>
      </c>
      <c r="AY31" s="412" t="e">
        <f>ROUND('PAI3'!AX33,0)</f>
        <v>#VALUE!</v>
      </c>
      <c r="AZ31" s="412">
        <f>ROUND('PAI3'!AY33,0)</f>
        <v>0</v>
      </c>
      <c r="BA31" s="412">
        <f>ROUND('PAI3'!AZ33,0)</f>
        <v>0</v>
      </c>
      <c r="BB31" s="412">
        <f>ROUND('PAI3'!BA33,0)</f>
        <v>0</v>
      </c>
      <c r="BC31" s="412">
        <f>ROUND('PAI3'!BB33,0)</f>
        <v>0</v>
      </c>
      <c r="BD31" s="412">
        <f>ROUND('PAI3'!BC33,0)</f>
        <v>0</v>
      </c>
      <c r="BE31" s="412">
        <f>ROUND(PJOK3!Y32,0)</f>
        <v>75</v>
      </c>
      <c r="BF31" s="412">
        <f>ROUND(PJOK3!Z32,0)</f>
        <v>84</v>
      </c>
      <c r="BG31" s="412">
        <f>ROUND(PJOK3!AA32,0)</f>
        <v>0</v>
      </c>
      <c r="BH31" s="412">
        <f>ROUND(PJOK3!AB32,0)</f>
        <v>0</v>
      </c>
      <c r="BI31" s="412">
        <f>ROUND(PJOK3!AC32,0)</f>
        <v>0</v>
      </c>
      <c r="BJ31" s="412">
        <f>ROUND(PJOK3!AD32,0)</f>
        <v>0</v>
      </c>
      <c r="BK31" s="414"/>
      <c r="BL31" s="413"/>
      <c r="BM31" s="412">
        <f>ROUND('MLK1-3'!AC32,0)</f>
        <v>0</v>
      </c>
      <c r="BN31" s="412">
        <f>ROUND('MLK1-3'!AD32,0)</f>
        <v>75</v>
      </c>
      <c r="BO31" s="412">
        <f>ROUND('MLK1-3'!AE32,0)</f>
        <v>84</v>
      </c>
      <c r="BP31" s="414"/>
      <c r="BQ31" s="414"/>
      <c r="BR31" s="415"/>
      <c r="BS31" s="412">
        <f>ROUND('MLK2-3'!AA32,0)</f>
        <v>0</v>
      </c>
      <c r="BT31" s="412">
        <f>ROUND('MLK2-3'!AB32,0)</f>
        <v>75</v>
      </c>
      <c r="BU31" s="412">
        <f>ROUND('MLK2-3'!AC32,0)</f>
        <v>84</v>
      </c>
      <c r="BV31" s="412">
        <f>ROUND('MLK2-3'!AD32,0)</f>
        <v>0</v>
      </c>
      <c r="BW31" s="414"/>
      <c r="BX31" s="413"/>
      <c r="BY31" s="412">
        <f>ROUND('MLK3-3'!AA32,0)</f>
        <v>75</v>
      </c>
      <c r="BZ31" s="412">
        <f>ROUND('MLK3-3'!AB32,0)</f>
        <v>84</v>
      </c>
      <c r="CA31" s="414"/>
      <c r="CB31" s="414"/>
      <c r="CC31" s="414"/>
      <c r="CD31" s="415"/>
    </row>
    <row r="32" spans="1:82" ht="20.25" customHeight="1">
      <c r="A32" s="113">
        <v>29</v>
      </c>
      <c r="B32" s="410" t="str">
        <f>SISWA!C34</f>
        <v>Anak 29</v>
      </c>
      <c r="C32" s="410"/>
      <c r="D32" s="412">
        <f>ROUND('PKN3'!S33,0)</f>
        <v>99</v>
      </c>
      <c r="E32" s="412">
        <f>ROUND('PKN3'!T33,0)</f>
        <v>99</v>
      </c>
      <c r="F32" s="412">
        <f>ROUND('PKN3'!U33,0)</f>
        <v>99</v>
      </c>
      <c r="G32" s="412">
        <f>ROUND('PKN3'!V33,0)</f>
        <v>0</v>
      </c>
      <c r="H32" s="412">
        <f>ROUND('PKN3'!W33,0)</f>
        <v>0</v>
      </c>
      <c r="I32" s="412">
        <f>ROUND('PKN3'!X33,0)</f>
        <v>0</v>
      </c>
      <c r="J32" s="412">
        <f>ROUND(BIND3!AA33,0)</f>
        <v>84</v>
      </c>
      <c r="K32" s="412">
        <f>ROUND(BIND3!AB33,0)</f>
        <v>69</v>
      </c>
      <c r="L32" s="412">
        <f>ROUND(BIND3!AC33,0)</f>
        <v>99</v>
      </c>
      <c r="M32" s="412">
        <f>ROUND(BIND3!AD33,0)</f>
        <v>99</v>
      </c>
      <c r="N32" s="412">
        <f>ROUND(BIND3!AE33,0)</f>
        <v>99</v>
      </c>
      <c r="O32" s="412">
        <f>ROUND(BIND3!AF33,0)</f>
        <v>0</v>
      </c>
      <c r="P32" s="412">
        <f>ROUND(BIND3!AG33,0)</f>
        <v>0</v>
      </c>
      <c r="Q32" s="412">
        <f>ROUND(BIND3!AH33,0)</f>
        <v>0</v>
      </c>
      <c r="R32" s="412">
        <f>ROUND('MTK3'!AE33,0)</f>
        <v>84</v>
      </c>
      <c r="S32" s="412">
        <f>ROUND('MTK3'!AF33,0)</f>
        <v>69</v>
      </c>
      <c r="T32" s="412">
        <f>ROUND('MTK3'!AG33,0)</f>
        <v>0</v>
      </c>
      <c r="U32" s="412">
        <f>ROUND('MTK3'!AH33,0)</f>
        <v>0</v>
      </c>
      <c r="V32" s="412">
        <f>ROUND('MTK3'!AI33,0)</f>
        <v>0</v>
      </c>
      <c r="W32" s="412">
        <f>ROUND('MTK3'!AJ33,0)</f>
        <v>0</v>
      </c>
      <c r="X32" s="412">
        <f>ROUND('MTK3'!AK33,0)</f>
        <v>0</v>
      </c>
      <c r="Y32" s="414"/>
      <c r="Z32" s="412">
        <f>ROUND('IPA3'!Y33,0)</f>
        <v>99</v>
      </c>
      <c r="AA32" s="412">
        <f>ROUND('IPA3'!Z33,0)</f>
        <v>99</v>
      </c>
      <c r="AB32" s="412">
        <f>ROUND('IPA3'!AA33,0)</f>
        <v>99</v>
      </c>
      <c r="AC32" s="412">
        <f>ROUND('IPA3'!AB33,0)</f>
        <v>99</v>
      </c>
      <c r="AD32" s="412">
        <f>ROUND('IPA3'!AC33,0)</f>
        <v>0</v>
      </c>
      <c r="AE32" s="413"/>
      <c r="AF32" s="412">
        <f>ROUND('IPS3'!Y33,0)</f>
        <v>99</v>
      </c>
      <c r="AG32" s="412">
        <f>ROUND('IPS3'!Z33,0)</f>
        <v>99</v>
      </c>
      <c r="AH32" s="412">
        <f>ROUND('IPS3'!AA33,0)</f>
        <v>99</v>
      </c>
      <c r="AI32" s="412">
        <f>ROUND('IPS3'!AB33,0)</f>
        <v>0</v>
      </c>
      <c r="AJ32" s="414"/>
      <c r="AK32" s="414"/>
      <c r="AL32" s="412">
        <f>ROUND(SBDP3!Y33,0)</f>
        <v>99</v>
      </c>
      <c r="AM32" s="412">
        <f>ROUND(SBDP3!Z33,0)</f>
        <v>99</v>
      </c>
      <c r="AN32" s="412">
        <f>ROUND(SBDP3!AA33,0)</f>
        <v>99</v>
      </c>
      <c r="AO32" s="412">
        <f>ROUND(SBDP3!AB33,0)</f>
        <v>0</v>
      </c>
      <c r="AP32" s="414"/>
      <c r="AQ32" s="413"/>
      <c r="AR32" s="412">
        <f>ROUND('PAI3'!AQ34,0)</f>
        <v>99</v>
      </c>
      <c r="AS32" s="412">
        <f>ROUND('PAI3'!AR34,0)</f>
        <v>99</v>
      </c>
      <c r="AT32" s="412">
        <f>ROUND('PAI3'!AS34,0)</f>
        <v>99</v>
      </c>
      <c r="AU32" s="412" t="e">
        <f>ROUND('PAI3'!AT34,0)</f>
        <v>#VALUE!</v>
      </c>
      <c r="AV32" s="412" t="e">
        <f>ROUND('PAI3'!AU34,0)</f>
        <v>#VALUE!</v>
      </c>
      <c r="AW32" s="412" t="e">
        <f>ROUND('PAI3'!AV34,0)</f>
        <v>#VALUE!</v>
      </c>
      <c r="AX32" s="412" t="e">
        <f>ROUND('PAI3'!AW34,0)</f>
        <v>#VALUE!</v>
      </c>
      <c r="AY32" s="412" t="e">
        <f>ROUND('PAI3'!AX34,0)</f>
        <v>#VALUE!</v>
      </c>
      <c r="AZ32" s="412">
        <f>ROUND('PAI3'!AY34,0)</f>
        <v>0</v>
      </c>
      <c r="BA32" s="412">
        <f>ROUND('PAI3'!AZ34,0)</f>
        <v>0</v>
      </c>
      <c r="BB32" s="412">
        <f>ROUND('PAI3'!BA34,0)</f>
        <v>0</v>
      </c>
      <c r="BC32" s="412">
        <f>ROUND('PAI3'!BB34,0)</f>
        <v>0</v>
      </c>
      <c r="BD32" s="412">
        <f>ROUND('PAI3'!BC34,0)</f>
        <v>0</v>
      </c>
      <c r="BE32" s="412">
        <f>ROUND(PJOK3!Y33,0)</f>
        <v>84</v>
      </c>
      <c r="BF32" s="412">
        <f>ROUND(PJOK3!Z33,0)</f>
        <v>69</v>
      </c>
      <c r="BG32" s="412">
        <f>ROUND(PJOK3!AA33,0)</f>
        <v>0</v>
      </c>
      <c r="BH32" s="412">
        <f>ROUND(PJOK3!AB33,0)</f>
        <v>0</v>
      </c>
      <c r="BI32" s="412">
        <f>ROUND(PJOK3!AC33,0)</f>
        <v>0</v>
      </c>
      <c r="BJ32" s="412">
        <f>ROUND(PJOK3!AD33,0)</f>
        <v>0</v>
      </c>
      <c r="BK32" s="414"/>
      <c r="BL32" s="413"/>
      <c r="BM32" s="412">
        <f>ROUND('MLK1-3'!AC33,0)</f>
        <v>0</v>
      </c>
      <c r="BN32" s="412">
        <f>ROUND('MLK1-3'!AD33,0)</f>
        <v>84</v>
      </c>
      <c r="BO32" s="412">
        <f>ROUND('MLK1-3'!AE33,0)</f>
        <v>69</v>
      </c>
      <c r="BP32" s="414"/>
      <c r="BQ32" s="414"/>
      <c r="BR32" s="415"/>
      <c r="BS32" s="412">
        <f>ROUND('MLK2-3'!AA33,0)</f>
        <v>0</v>
      </c>
      <c r="BT32" s="412">
        <f>ROUND('MLK2-3'!AB33,0)</f>
        <v>84</v>
      </c>
      <c r="BU32" s="412">
        <f>ROUND('MLK2-3'!AC33,0)</f>
        <v>69</v>
      </c>
      <c r="BV32" s="412">
        <f>ROUND('MLK2-3'!AD33,0)</f>
        <v>0</v>
      </c>
      <c r="BW32" s="414"/>
      <c r="BX32" s="413"/>
      <c r="BY32" s="412">
        <f>ROUND('MLK3-3'!AA33,0)</f>
        <v>84</v>
      </c>
      <c r="BZ32" s="412">
        <f>ROUND('MLK3-3'!AB33,0)</f>
        <v>69</v>
      </c>
      <c r="CA32" s="414"/>
      <c r="CB32" s="414"/>
      <c r="CC32" s="414"/>
      <c r="CD32" s="415"/>
    </row>
    <row r="33" spans="1:82" ht="20.25" customHeight="1">
      <c r="A33" s="113">
        <v>30</v>
      </c>
      <c r="B33" s="410" t="str">
        <f>SISWA!C35</f>
        <v>Anak 30</v>
      </c>
      <c r="C33" s="410"/>
      <c r="D33" s="412">
        <f>ROUND('PKN3'!S34,0)</f>
        <v>99</v>
      </c>
      <c r="E33" s="412">
        <f>ROUND('PKN3'!T34,0)</f>
        <v>99</v>
      </c>
      <c r="F33" s="412">
        <f>ROUND('PKN3'!U34,0)</f>
        <v>99</v>
      </c>
      <c r="G33" s="412">
        <f>ROUND('PKN3'!V34,0)</f>
        <v>0</v>
      </c>
      <c r="H33" s="412">
        <f>ROUND('PKN3'!W34,0)</f>
        <v>0</v>
      </c>
      <c r="I33" s="412">
        <f>ROUND('PKN3'!X34,0)</f>
        <v>0</v>
      </c>
      <c r="J33" s="412">
        <f>ROUND(BIND3!AA34,0)</f>
        <v>85</v>
      </c>
      <c r="K33" s="412">
        <f>ROUND(BIND3!AB34,0)</f>
        <v>70</v>
      </c>
      <c r="L33" s="412">
        <f>ROUND(BIND3!AC34,0)</f>
        <v>99</v>
      </c>
      <c r="M33" s="412">
        <f>ROUND(BIND3!AD34,0)</f>
        <v>99</v>
      </c>
      <c r="N33" s="412">
        <f>ROUND(BIND3!AE34,0)</f>
        <v>99</v>
      </c>
      <c r="O33" s="412">
        <f>ROUND(BIND3!AF34,0)</f>
        <v>0</v>
      </c>
      <c r="P33" s="412">
        <f>ROUND(BIND3!AG34,0)</f>
        <v>0</v>
      </c>
      <c r="Q33" s="412">
        <f>ROUND(BIND3!AH34,0)</f>
        <v>0</v>
      </c>
      <c r="R33" s="412">
        <f>ROUND('MTK3'!AE34,0)</f>
        <v>85</v>
      </c>
      <c r="S33" s="412">
        <f>ROUND('MTK3'!AF34,0)</f>
        <v>70</v>
      </c>
      <c r="T33" s="412">
        <f>ROUND('MTK3'!AG34,0)</f>
        <v>0</v>
      </c>
      <c r="U33" s="412">
        <f>ROUND('MTK3'!AH34,0)</f>
        <v>0</v>
      </c>
      <c r="V33" s="412">
        <f>ROUND('MTK3'!AI34,0)</f>
        <v>0</v>
      </c>
      <c r="W33" s="412">
        <f>ROUND('MTK3'!AJ34,0)</f>
        <v>0</v>
      </c>
      <c r="X33" s="412">
        <f>ROUND('MTK3'!AK34,0)</f>
        <v>0</v>
      </c>
      <c r="Y33" s="414"/>
      <c r="Z33" s="412">
        <f>ROUND('IPA3'!Y34,0)</f>
        <v>99</v>
      </c>
      <c r="AA33" s="412">
        <f>ROUND('IPA3'!Z34,0)</f>
        <v>99</v>
      </c>
      <c r="AB33" s="412">
        <f>ROUND('IPA3'!AA34,0)</f>
        <v>99</v>
      </c>
      <c r="AC33" s="412">
        <f>ROUND('IPA3'!AB34,0)</f>
        <v>99</v>
      </c>
      <c r="AD33" s="412">
        <f>ROUND('IPA3'!AC34,0)</f>
        <v>0</v>
      </c>
      <c r="AE33" s="413"/>
      <c r="AF33" s="412">
        <f>ROUND('IPS3'!Y34,0)</f>
        <v>99</v>
      </c>
      <c r="AG33" s="412">
        <f>ROUND('IPS3'!Z34,0)</f>
        <v>99</v>
      </c>
      <c r="AH33" s="412">
        <f>ROUND('IPS3'!AA34,0)</f>
        <v>99</v>
      </c>
      <c r="AI33" s="412">
        <f>ROUND('IPS3'!AB34,0)</f>
        <v>0</v>
      </c>
      <c r="AJ33" s="414"/>
      <c r="AK33" s="414"/>
      <c r="AL33" s="412">
        <f>ROUND(SBDP3!Y34,0)</f>
        <v>99</v>
      </c>
      <c r="AM33" s="412">
        <f>ROUND(SBDP3!Z34,0)</f>
        <v>99</v>
      </c>
      <c r="AN33" s="412">
        <f>ROUND(SBDP3!AA34,0)</f>
        <v>99</v>
      </c>
      <c r="AO33" s="412">
        <f>ROUND(SBDP3!AB34,0)</f>
        <v>0</v>
      </c>
      <c r="AP33" s="414"/>
      <c r="AQ33" s="413"/>
      <c r="AR33" s="412">
        <f>ROUND('PAI3'!AQ35,0)</f>
        <v>99</v>
      </c>
      <c r="AS33" s="412">
        <f>ROUND('PAI3'!AR35,0)</f>
        <v>99</v>
      </c>
      <c r="AT33" s="412">
        <f>ROUND('PAI3'!AS35,0)</f>
        <v>99</v>
      </c>
      <c r="AU33" s="412" t="e">
        <f>ROUND('PAI3'!AT35,0)</f>
        <v>#VALUE!</v>
      </c>
      <c r="AV33" s="412" t="e">
        <f>ROUND('PAI3'!AU35,0)</f>
        <v>#VALUE!</v>
      </c>
      <c r="AW33" s="412" t="e">
        <f>ROUND('PAI3'!AV35,0)</f>
        <v>#VALUE!</v>
      </c>
      <c r="AX33" s="412" t="e">
        <f>ROUND('PAI3'!AW35,0)</f>
        <v>#VALUE!</v>
      </c>
      <c r="AY33" s="412" t="e">
        <f>ROUND('PAI3'!AX35,0)</f>
        <v>#VALUE!</v>
      </c>
      <c r="AZ33" s="412">
        <f>ROUND('PAI3'!AY35,0)</f>
        <v>0</v>
      </c>
      <c r="BA33" s="412">
        <f>ROUND('PAI3'!AZ35,0)</f>
        <v>0</v>
      </c>
      <c r="BB33" s="412">
        <f>ROUND('PAI3'!BA35,0)</f>
        <v>0</v>
      </c>
      <c r="BC33" s="412">
        <f>ROUND('PAI3'!BB35,0)</f>
        <v>0</v>
      </c>
      <c r="BD33" s="412">
        <f>ROUND('PAI3'!BC35,0)</f>
        <v>0</v>
      </c>
      <c r="BE33" s="412">
        <f>ROUND(PJOK3!Y34,0)</f>
        <v>85</v>
      </c>
      <c r="BF33" s="412">
        <f>ROUND(PJOK3!Z34,0)</f>
        <v>70</v>
      </c>
      <c r="BG33" s="412">
        <f>ROUND(PJOK3!AA34,0)</f>
        <v>0</v>
      </c>
      <c r="BH33" s="412">
        <f>ROUND(PJOK3!AB34,0)</f>
        <v>0</v>
      </c>
      <c r="BI33" s="412">
        <f>ROUND(PJOK3!AC34,0)</f>
        <v>0</v>
      </c>
      <c r="BJ33" s="412">
        <f>ROUND(PJOK3!AD34,0)</f>
        <v>0</v>
      </c>
      <c r="BK33" s="414"/>
      <c r="BL33" s="413"/>
      <c r="BM33" s="412">
        <f>ROUND('MLK1-3'!AC34,0)</f>
        <v>0</v>
      </c>
      <c r="BN33" s="412">
        <f>ROUND('MLK1-3'!AD34,0)</f>
        <v>85</v>
      </c>
      <c r="BO33" s="412">
        <f>ROUND('MLK1-3'!AE34,0)</f>
        <v>70</v>
      </c>
      <c r="BP33" s="414"/>
      <c r="BQ33" s="414"/>
      <c r="BR33" s="415"/>
      <c r="BS33" s="412">
        <f>ROUND('MLK2-3'!AA34,0)</f>
        <v>0</v>
      </c>
      <c r="BT33" s="412">
        <f>ROUND('MLK2-3'!AB34,0)</f>
        <v>85</v>
      </c>
      <c r="BU33" s="412">
        <f>ROUND('MLK2-3'!AC34,0)</f>
        <v>70</v>
      </c>
      <c r="BV33" s="412">
        <f>ROUND('MLK2-3'!AD34,0)</f>
        <v>0</v>
      </c>
      <c r="BW33" s="414"/>
      <c r="BX33" s="413"/>
      <c r="BY33" s="412">
        <f>ROUND('MLK3-3'!AA34,0)</f>
        <v>85</v>
      </c>
      <c r="BZ33" s="412">
        <f>ROUND('MLK3-3'!AB34,0)</f>
        <v>70</v>
      </c>
      <c r="CA33" s="414"/>
      <c r="CB33" s="414"/>
      <c r="CC33" s="414"/>
      <c r="CD33" s="415"/>
    </row>
    <row r="34" spans="1:82" ht="20.25" customHeight="1">
      <c r="A34" s="113">
        <v>31</v>
      </c>
      <c r="B34" s="410" t="str">
        <f>SISWA!C36</f>
        <v>Anak 31</v>
      </c>
      <c r="C34" s="410"/>
      <c r="D34" s="412">
        <f>ROUND('PKN3'!S35,0)</f>
        <v>99</v>
      </c>
      <c r="E34" s="412">
        <f>ROUND('PKN3'!T35,0)</f>
        <v>99</v>
      </c>
      <c r="F34" s="412">
        <f>ROUND('PKN3'!U35,0)</f>
        <v>99</v>
      </c>
      <c r="G34" s="412">
        <f>ROUND('PKN3'!V35,0)</f>
        <v>0</v>
      </c>
      <c r="H34" s="412">
        <f>ROUND('PKN3'!W35,0)</f>
        <v>0</v>
      </c>
      <c r="I34" s="412">
        <f>ROUND('PKN3'!X35,0)</f>
        <v>0</v>
      </c>
      <c r="J34" s="412">
        <f>ROUND(BIND3!AA35,0)</f>
        <v>73</v>
      </c>
      <c r="K34" s="412">
        <f>ROUND(BIND3!AB35,0)</f>
        <v>77</v>
      </c>
      <c r="L34" s="412">
        <f>ROUND(BIND3!AC35,0)</f>
        <v>99</v>
      </c>
      <c r="M34" s="412">
        <f>ROUND(BIND3!AD35,0)</f>
        <v>99</v>
      </c>
      <c r="N34" s="412">
        <f>ROUND(BIND3!AE35,0)</f>
        <v>99</v>
      </c>
      <c r="O34" s="412">
        <f>ROUND(BIND3!AF35,0)</f>
        <v>0</v>
      </c>
      <c r="P34" s="412">
        <f>ROUND(BIND3!AG35,0)</f>
        <v>0</v>
      </c>
      <c r="Q34" s="412">
        <f>ROUND(BIND3!AH35,0)</f>
        <v>0</v>
      </c>
      <c r="R34" s="412">
        <f>ROUND('MTK3'!AE35,0)</f>
        <v>73</v>
      </c>
      <c r="S34" s="412">
        <f>ROUND('MTK3'!AF35,0)</f>
        <v>77</v>
      </c>
      <c r="T34" s="412">
        <f>ROUND('MTK3'!AG35,0)</f>
        <v>0</v>
      </c>
      <c r="U34" s="412">
        <f>ROUND('MTK3'!AH35,0)</f>
        <v>0</v>
      </c>
      <c r="V34" s="412">
        <f>ROUND('MTK3'!AI35,0)</f>
        <v>0</v>
      </c>
      <c r="W34" s="412">
        <f>ROUND('MTK3'!AJ35,0)</f>
        <v>0</v>
      </c>
      <c r="X34" s="412">
        <f>ROUND('MTK3'!AK35,0)</f>
        <v>0</v>
      </c>
      <c r="Y34" s="414"/>
      <c r="Z34" s="412">
        <f>ROUND('IPA3'!Y35,0)</f>
        <v>99</v>
      </c>
      <c r="AA34" s="412">
        <f>ROUND('IPA3'!Z35,0)</f>
        <v>99</v>
      </c>
      <c r="AB34" s="412">
        <f>ROUND('IPA3'!AA35,0)</f>
        <v>99</v>
      </c>
      <c r="AC34" s="412">
        <f>ROUND('IPA3'!AB35,0)</f>
        <v>99</v>
      </c>
      <c r="AD34" s="412">
        <f>ROUND('IPA3'!AC35,0)</f>
        <v>0</v>
      </c>
      <c r="AE34" s="413"/>
      <c r="AF34" s="412">
        <f>ROUND('IPS3'!Y35,0)</f>
        <v>99</v>
      </c>
      <c r="AG34" s="412">
        <f>ROUND('IPS3'!Z35,0)</f>
        <v>99</v>
      </c>
      <c r="AH34" s="412">
        <f>ROUND('IPS3'!AA35,0)</f>
        <v>99</v>
      </c>
      <c r="AI34" s="412">
        <f>ROUND('IPS3'!AB35,0)</f>
        <v>0</v>
      </c>
      <c r="AJ34" s="414"/>
      <c r="AK34" s="414"/>
      <c r="AL34" s="412">
        <f>ROUND(SBDP3!Y35,0)</f>
        <v>99</v>
      </c>
      <c r="AM34" s="412">
        <f>ROUND(SBDP3!Z35,0)</f>
        <v>99</v>
      </c>
      <c r="AN34" s="412">
        <f>ROUND(SBDP3!AA35,0)</f>
        <v>99</v>
      </c>
      <c r="AO34" s="412">
        <f>ROUND(SBDP3!AB35,0)</f>
        <v>0</v>
      </c>
      <c r="AP34" s="414"/>
      <c r="AQ34" s="413"/>
      <c r="AR34" s="412">
        <f>ROUND('PAI3'!AQ36,0)</f>
        <v>99</v>
      </c>
      <c r="AS34" s="412">
        <f>ROUND('PAI3'!AR36,0)</f>
        <v>99</v>
      </c>
      <c r="AT34" s="412">
        <f>ROUND('PAI3'!AS36,0)</f>
        <v>99</v>
      </c>
      <c r="AU34" s="412" t="e">
        <f>ROUND('PAI3'!AT36,0)</f>
        <v>#VALUE!</v>
      </c>
      <c r="AV34" s="412" t="e">
        <f>ROUND('PAI3'!AU36,0)</f>
        <v>#VALUE!</v>
      </c>
      <c r="AW34" s="412" t="e">
        <f>ROUND('PAI3'!AV36,0)</f>
        <v>#VALUE!</v>
      </c>
      <c r="AX34" s="412" t="e">
        <f>ROUND('PAI3'!AW36,0)</f>
        <v>#VALUE!</v>
      </c>
      <c r="AY34" s="412" t="e">
        <f>ROUND('PAI3'!AX36,0)</f>
        <v>#VALUE!</v>
      </c>
      <c r="AZ34" s="412">
        <f>ROUND('PAI3'!AY36,0)</f>
        <v>0</v>
      </c>
      <c r="BA34" s="412">
        <f>ROUND('PAI3'!AZ36,0)</f>
        <v>0</v>
      </c>
      <c r="BB34" s="412">
        <f>ROUND('PAI3'!BA36,0)</f>
        <v>0</v>
      </c>
      <c r="BC34" s="412">
        <f>ROUND('PAI3'!BB36,0)</f>
        <v>0</v>
      </c>
      <c r="BD34" s="412">
        <f>ROUND('PAI3'!BC36,0)</f>
        <v>0</v>
      </c>
      <c r="BE34" s="412">
        <f>ROUND(PJOK3!Y35,0)</f>
        <v>73</v>
      </c>
      <c r="BF34" s="412">
        <f>ROUND(PJOK3!Z35,0)</f>
        <v>77</v>
      </c>
      <c r="BG34" s="412">
        <f>ROUND(PJOK3!AA35,0)</f>
        <v>0</v>
      </c>
      <c r="BH34" s="412">
        <f>ROUND(PJOK3!AB35,0)</f>
        <v>0</v>
      </c>
      <c r="BI34" s="412">
        <f>ROUND(PJOK3!AC35,0)</f>
        <v>0</v>
      </c>
      <c r="BJ34" s="412">
        <f>ROUND(PJOK3!AD35,0)</f>
        <v>0</v>
      </c>
      <c r="BK34" s="414"/>
      <c r="BL34" s="413"/>
      <c r="BM34" s="412">
        <f>ROUND('MLK1-3'!AC35,0)</f>
        <v>0</v>
      </c>
      <c r="BN34" s="412">
        <f>ROUND('MLK1-3'!AD35,0)</f>
        <v>73</v>
      </c>
      <c r="BO34" s="412">
        <f>ROUND('MLK1-3'!AE35,0)</f>
        <v>77</v>
      </c>
      <c r="BP34" s="414"/>
      <c r="BQ34" s="414"/>
      <c r="BR34" s="415"/>
      <c r="BS34" s="412">
        <f>ROUND('MLK2-3'!AA35,0)</f>
        <v>0</v>
      </c>
      <c r="BT34" s="412">
        <f>ROUND('MLK2-3'!AB35,0)</f>
        <v>73</v>
      </c>
      <c r="BU34" s="412">
        <f>ROUND('MLK2-3'!AC35,0)</f>
        <v>77</v>
      </c>
      <c r="BV34" s="412">
        <f>ROUND('MLK2-3'!AD35,0)</f>
        <v>0</v>
      </c>
      <c r="BW34" s="414"/>
      <c r="BX34" s="413"/>
      <c r="BY34" s="412">
        <f>ROUND('MLK3-3'!AA35,0)</f>
        <v>73</v>
      </c>
      <c r="BZ34" s="412">
        <f>ROUND('MLK3-3'!AB35,0)</f>
        <v>77</v>
      </c>
      <c r="CA34" s="414"/>
      <c r="CB34" s="414"/>
      <c r="CC34" s="414"/>
      <c r="CD34" s="415"/>
    </row>
    <row r="35" spans="1:82" ht="20.25" customHeight="1">
      <c r="A35" s="113">
        <v>32</v>
      </c>
      <c r="B35" s="410" t="str">
        <f>SISWA!C37</f>
        <v>Anak 32</v>
      </c>
      <c r="C35" s="410"/>
      <c r="D35" s="412">
        <f>ROUND('PKN3'!S36,0)</f>
        <v>99</v>
      </c>
      <c r="E35" s="412">
        <f>ROUND('PKN3'!T36,0)</f>
        <v>99</v>
      </c>
      <c r="F35" s="412">
        <f>ROUND('PKN3'!U36,0)</f>
        <v>99</v>
      </c>
      <c r="G35" s="412">
        <f>ROUND('PKN3'!V36,0)</f>
        <v>0</v>
      </c>
      <c r="H35" s="412">
        <f>ROUND('PKN3'!W36,0)</f>
        <v>0</v>
      </c>
      <c r="I35" s="412">
        <f>ROUND('PKN3'!X36,0)</f>
        <v>0</v>
      </c>
      <c r="J35" s="412">
        <f>ROUND(BIND3!AA36,0)</f>
        <v>80</v>
      </c>
      <c r="K35" s="412">
        <f>ROUND(BIND3!AB36,0)</f>
        <v>72</v>
      </c>
      <c r="L35" s="412">
        <f>ROUND(BIND3!AC36,0)</f>
        <v>99</v>
      </c>
      <c r="M35" s="412">
        <f>ROUND(BIND3!AD36,0)</f>
        <v>99</v>
      </c>
      <c r="N35" s="412">
        <f>ROUND(BIND3!AE36,0)</f>
        <v>99</v>
      </c>
      <c r="O35" s="412">
        <f>ROUND(BIND3!AF36,0)</f>
        <v>0</v>
      </c>
      <c r="P35" s="412">
        <f>ROUND(BIND3!AG36,0)</f>
        <v>0</v>
      </c>
      <c r="Q35" s="412">
        <f>ROUND(BIND3!AH36,0)</f>
        <v>0</v>
      </c>
      <c r="R35" s="412">
        <f>ROUND('MTK3'!AE36,0)</f>
        <v>80</v>
      </c>
      <c r="S35" s="412">
        <f>ROUND('MTK3'!AF36,0)</f>
        <v>72</v>
      </c>
      <c r="T35" s="412">
        <f>ROUND('MTK3'!AG36,0)</f>
        <v>0</v>
      </c>
      <c r="U35" s="412">
        <f>ROUND('MTK3'!AH36,0)</f>
        <v>0</v>
      </c>
      <c r="V35" s="412">
        <f>ROUND('MTK3'!AI36,0)</f>
        <v>0</v>
      </c>
      <c r="W35" s="412">
        <f>ROUND('MTK3'!AJ36,0)</f>
        <v>0</v>
      </c>
      <c r="X35" s="412">
        <f>ROUND('MTK3'!AK36,0)</f>
        <v>0</v>
      </c>
      <c r="Y35" s="414"/>
      <c r="Z35" s="412">
        <f>ROUND('IPA3'!Y36,0)</f>
        <v>99</v>
      </c>
      <c r="AA35" s="412">
        <f>ROUND('IPA3'!Z36,0)</f>
        <v>99</v>
      </c>
      <c r="AB35" s="412">
        <f>ROUND('IPA3'!AA36,0)</f>
        <v>99</v>
      </c>
      <c r="AC35" s="412">
        <f>ROUND('IPA3'!AB36,0)</f>
        <v>99</v>
      </c>
      <c r="AD35" s="412">
        <f>ROUND('IPA3'!AC36,0)</f>
        <v>0</v>
      </c>
      <c r="AE35" s="413"/>
      <c r="AF35" s="412">
        <f>ROUND('IPS3'!Y36,0)</f>
        <v>99</v>
      </c>
      <c r="AG35" s="412">
        <f>ROUND('IPS3'!Z36,0)</f>
        <v>99</v>
      </c>
      <c r="AH35" s="412">
        <f>ROUND('IPS3'!AA36,0)</f>
        <v>99</v>
      </c>
      <c r="AI35" s="412">
        <f>ROUND('IPS3'!AB36,0)</f>
        <v>0</v>
      </c>
      <c r="AJ35" s="414"/>
      <c r="AK35" s="414"/>
      <c r="AL35" s="412">
        <f>ROUND(SBDP3!Y36,0)</f>
        <v>99</v>
      </c>
      <c r="AM35" s="412">
        <f>ROUND(SBDP3!Z36,0)</f>
        <v>99</v>
      </c>
      <c r="AN35" s="412">
        <f>ROUND(SBDP3!AA36,0)</f>
        <v>99</v>
      </c>
      <c r="AO35" s="412">
        <f>ROUND(SBDP3!AB36,0)</f>
        <v>0</v>
      </c>
      <c r="AP35" s="414"/>
      <c r="AQ35" s="413"/>
      <c r="AR35" s="412">
        <f>ROUND('PAI3'!AQ37,0)</f>
        <v>99</v>
      </c>
      <c r="AS35" s="412">
        <f>ROUND('PAI3'!AR37,0)</f>
        <v>99</v>
      </c>
      <c r="AT35" s="412">
        <f>ROUND('PAI3'!AS37,0)</f>
        <v>99</v>
      </c>
      <c r="AU35" s="412" t="e">
        <f>ROUND('PAI3'!AT37,0)</f>
        <v>#VALUE!</v>
      </c>
      <c r="AV35" s="412" t="e">
        <f>ROUND('PAI3'!AU37,0)</f>
        <v>#VALUE!</v>
      </c>
      <c r="AW35" s="412" t="e">
        <f>ROUND('PAI3'!AV37,0)</f>
        <v>#VALUE!</v>
      </c>
      <c r="AX35" s="412" t="e">
        <f>ROUND('PAI3'!AW37,0)</f>
        <v>#VALUE!</v>
      </c>
      <c r="AY35" s="412" t="e">
        <f>ROUND('PAI3'!AX37,0)</f>
        <v>#VALUE!</v>
      </c>
      <c r="AZ35" s="412">
        <f>ROUND('PAI3'!AY37,0)</f>
        <v>0</v>
      </c>
      <c r="BA35" s="412">
        <f>ROUND('PAI3'!AZ37,0)</f>
        <v>0</v>
      </c>
      <c r="BB35" s="412">
        <f>ROUND('PAI3'!BA37,0)</f>
        <v>0</v>
      </c>
      <c r="BC35" s="412">
        <f>ROUND('PAI3'!BB37,0)</f>
        <v>0</v>
      </c>
      <c r="BD35" s="412">
        <f>ROUND('PAI3'!BC37,0)</f>
        <v>0</v>
      </c>
      <c r="BE35" s="412">
        <f>ROUND(PJOK3!Y36,0)</f>
        <v>80</v>
      </c>
      <c r="BF35" s="412">
        <f>ROUND(PJOK3!Z36,0)</f>
        <v>72</v>
      </c>
      <c r="BG35" s="412">
        <f>ROUND(PJOK3!AA36,0)</f>
        <v>0</v>
      </c>
      <c r="BH35" s="412">
        <f>ROUND(PJOK3!AB36,0)</f>
        <v>0</v>
      </c>
      <c r="BI35" s="412">
        <f>ROUND(PJOK3!AC36,0)</f>
        <v>0</v>
      </c>
      <c r="BJ35" s="412">
        <f>ROUND(PJOK3!AD36,0)</f>
        <v>0</v>
      </c>
      <c r="BK35" s="414"/>
      <c r="BL35" s="413"/>
      <c r="BM35" s="412">
        <f>ROUND('MLK1-3'!AC36,0)</f>
        <v>0</v>
      </c>
      <c r="BN35" s="412">
        <f>ROUND('MLK1-3'!AD36,0)</f>
        <v>80</v>
      </c>
      <c r="BO35" s="412">
        <f>ROUND('MLK1-3'!AE36,0)</f>
        <v>72</v>
      </c>
      <c r="BP35" s="414"/>
      <c r="BQ35" s="414"/>
      <c r="BR35" s="415"/>
      <c r="BS35" s="412">
        <f>ROUND('MLK2-3'!AA36,0)</f>
        <v>0</v>
      </c>
      <c r="BT35" s="412">
        <f>ROUND('MLK2-3'!AB36,0)</f>
        <v>80</v>
      </c>
      <c r="BU35" s="412">
        <f>ROUND('MLK2-3'!AC36,0)</f>
        <v>72</v>
      </c>
      <c r="BV35" s="412">
        <f>ROUND('MLK2-3'!AD36,0)</f>
        <v>0</v>
      </c>
      <c r="BW35" s="414"/>
      <c r="BX35" s="413"/>
      <c r="BY35" s="412">
        <f>ROUND('MLK3-3'!AA36,0)</f>
        <v>80</v>
      </c>
      <c r="BZ35" s="412">
        <f>ROUND('MLK3-3'!AB36,0)</f>
        <v>72</v>
      </c>
      <c r="CA35" s="414"/>
      <c r="CB35" s="414"/>
      <c r="CC35" s="414"/>
      <c r="CD35" s="415"/>
    </row>
    <row r="36" spans="1:82" ht="20.25" customHeight="1">
      <c r="A36" s="113">
        <v>33</v>
      </c>
      <c r="B36" s="410" t="str">
        <f>SISWA!C38</f>
        <v>Anak 33</v>
      </c>
      <c r="C36" s="410"/>
      <c r="D36" s="412">
        <f>ROUND('PKN3'!S37,0)</f>
        <v>99</v>
      </c>
      <c r="E36" s="412">
        <f>ROUND('PKN3'!T37,0)</f>
        <v>99</v>
      </c>
      <c r="F36" s="412">
        <f>ROUND('PKN3'!U37,0)</f>
        <v>99</v>
      </c>
      <c r="G36" s="412">
        <f>ROUND('PKN3'!V37,0)</f>
        <v>0</v>
      </c>
      <c r="H36" s="412">
        <f>ROUND('PKN3'!W37,0)</f>
        <v>0</v>
      </c>
      <c r="I36" s="412">
        <f>ROUND('PKN3'!X37,0)</f>
        <v>0</v>
      </c>
      <c r="J36" s="412">
        <f>ROUND(BIND3!AA37,0)</f>
        <v>80</v>
      </c>
      <c r="K36" s="412">
        <f>ROUND(BIND3!AB37,0)</f>
        <v>76</v>
      </c>
      <c r="L36" s="412">
        <f>ROUND(BIND3!AC37,0)</f>
        <v>99</v>
      </c>
      <c r="M36" s="412">
        <f>ROUND(BIND3!AD37,0)</f>
        <v>99</v>
      </c>
      <c r="N36" s="412">
        <f>ROUND(BIND3!AE37,0)</f>
        <v>99</v>
      </c>
      <c r="O36" s="412">
        <f>ROUND(BIND3!AF37,0)</f>
        <v>0</v>
      </c>
      <c r="P36" s="412">
        <f>ROUND(BIND3!AG37,0)</f>
        <v>0</v>
      </c>
      <c r="Q36" s="412">
        <f>ROUND(BIND3!AH37,0)</f>
        <v>0</v>
      </c>
      <c r="R36" s="412">
        <f>ROUND('MTK3'!AE37,0)</f>
        <v>80</v>
      </c>
      <c r="S36" s="412">
        <f>ROUND('MTK3'!AF37,0)</f>
        <v>76</v>
      </c>
      <c r="T36" s="412">
        <f>ROUND('MTK3'!AG37,0)</f>
        <v>0</v>
      </c>
      <c r="U36" s="412">
        <f>ROUND('MTK3'!AH37,0)</f>
        <v>0</v>
      </c>
      <c r="V36" s="412">
        <f>ROUND('MTK3'!AI37,0)</f>
        <v>0</v>
      </c>
      <c r="W36" s="412">
        <f>ROUND('MTK3'!AJ37,0)</f>
        <v>0</v>
      </c>
      <c r="X36" s="412">
        <f>ROUND('MTK3'!AK37,0)</f>
        <v>0</v>
      </c>
      <c r="Y36" s="414"/>
      <c r="Z36" s="412">
        <f>ROUND('IPA3'!Y37,0)</f>
        <v>99</v>
      </c>
      <c r="AA36" s="412">
        <f>ROUND('IPA3'!Z37,0)</f>
        <v>99</v>
      </c>
      <c r="AB36" s="412">
        <f>ROUND('IPA3'!AA37,0)</f>
        <v>99</v>
      </c>
      <c r="AC36" s="412">
        <f>ROUND('IPA3'!AB37,0)</f>
        <v>99</v>
      </c>
      <c r="AD36" s="412">
        <f>ROUND('IPA3'!AC37,0)</f>
        <v>0</v>
      </c>
      <c r="AE36" s="413"/>
      <c r="AF36" s="412">
        <f>ROUND('IPS3'!Y37,0)</f>
        <v>99</v>
      </c>
      <c r="AG36" s="412">
        <f>ROUND('IPS3'!Z37,0)</f>
        <v>99</v>
      </c>
      <c r="AH36" s="412">
        <f>ROUND('IPS3'!AA37,0)</f>
        <v>99</v>
      </c>
      <c r="AI36" s="412">
        <f>ROUND('IPS3'!AB37,0)</f>
        <v>0</v>
      </c>
      <c r="AJ36" s="414"/>
      <c r="AK36" s="414"/>
      <c r="AL36" s="412">
        <f>ROUND(SBDP3!Y37,0)</f>
        <v>99</v>
      </c>
      <c r="AM36" s="412">
        <f>ROUND(SBDP3!Z37,0)</f>
        <v>99</v>
      </c>
      <c r="AN36" s="412">
        <f>ROUND(SBDP3!AA37,0)</f>
        <v>99</v>
      </c>
      <c r="AO36" s="412">
        <f>ROUND(SBDP3!AB37,0)</f>
        <v>0</v>
      </c>
      <c r="AP36" s="414"/>
      <c r="AQ36" s="413"/>
      <c r="AR36" s="412">
        <f>ROUND('PAI3'!AQ38,0)</f>
        <v>99</v>
      </c>
      <c r="AS36" s="412">
        <f>ROUND('PAI3'!AR38,0)</f>
        <v>93</v>
      </c>
      <c r="AT36" s="412">
        <f>ROUND('PAI3'!AS38,0)</f>
        <v>96</v>
      </c>
      <c r="AU36" s="412" t="e">
        <f>ROUND('PAI3'!AT38,0)</f>
        <v>#VALUE!</v>
      </c>
      <c r="AV36" s="412" t="e">
        <f>ROUND('PAI3'!AU38,0)</f>
        <v>#VALUE!</v>
      </c>
      <c r="AW36" s="412" t="e">
        <f>ROUND('PAI3'!AV38,0)</f>
        <v>#VALUE!</v>
      </c>
      <c r="AX36" s="412" t="e">
        <f>ROUND('PAI3'!AW38,0)</f>
        <v>#VALUE!</v>
      </c>
      <c r="AY36" s="412" t="e">
        <f>ROUND('PAI3'!AX38,0)</f>
        <v>#VALUE!</v>
      </c>
      <c r="AZ36" s="412">
        <f>ROUND('PAI3'!AY38,0)</f>
        <v>0</v>
      </c>
      <c r="BA36" s="412">
        <f>ROUND('PAI3'!AZ38,0)</f>
        <v>0</v>
      </c>
      <c r="BB36" s="412">
        <f>ROUND('PAI3'!BA38,0)</f>
        <v>0</v>
      </c>
      <c r="BC36" s="412">
        <f>ROUND('PAI3'!BB38,0)</f>
        <v>0</v>
      </c>
      <c r="BD36" s="412">
        <f>ROUND('PAI3'!BC38,0)</f>
        <v>0</v>
      </c>
      <c r="BE36" s="412">
        <f>ROUND(PJOK3!Y37,0)</f>
        <v>80</v>
      </c>
      <c r="BF36" s="412">
        <f>ROUND(PJOK3!Z37,0)</f>
        <v>76</v>
      </c>
      <c r="BG36" s="412">
        <f>ROUND(PJOK3!AA37,0)</f>
        <v>0</v>
      </c>
      <c r="BH36" s="412">
        <f>ROUND(PJOK3!AB37,0)</f>
        <v>0</v>
      </c>
      <c r="BI36" s="412">
        <f>ROUND(PJOK3!AC37,0)</f>
        <v>0</v>
      </c>
      <c r="BJ36" s="412">
        <f>ROUND(PJOK3!AD37,0)</f>
        <v>0</v>
      </c>
      <c r="BK36" s="414"/>
      <c r="BL36" s="413"/>
      <c r="BM36" s="412">
        <f>ROUND('MLK1-3'!AC37,0)</f>
        <v>0</v>
      </c>
      <c r="BN36" s="412">
        <f>ROUND('MLK1-3'!AD37,0)</f>
        <v>80</v>
      </c>
      <c r="BO36" s="412">
        <f>ROUND('MLK1-3'!AE37,0)</f>
        <v>76</v>
      </c>
      <c r="BP36" s="414"/>
      <c r="BQ36" s="414"/>
      <c r="BR36" s="415"/>
      <c r="BS36" s="412">
        <f>ROUND('MLK2-3'!AA37,0)</f>
        <v>0</v>
      </c>
      <c r="BT36" s="412">
        <f>ROUND('MLK2-3'!AB37,0)</f>
        <v>80</v>
      </c>
      <c r="BU36" s="412">
        <f>ROUND('MLK2-3'!AC37,0)</f>
        <v>76</v>
      </c>
      <c r="BV36" s="412">
        <f>ROUND('MLK2-3'!AD37,0)</f>
        <v>0</v>
      </c>
      <c r="BW36" s="414"/>
      <c r="BX36" s="413"/>
      <c r="BY36" s="412">
        <f>ROUND('MLK3-3'!AA37,0)</f>
        <v>80</v>
      </c>
      <c r="BZ36" s="412">
        <f>ROUND('MLK3-3'!AB37,0)</f>
        <v>76</v>
      </c>
      <c r="CA36" s="414"/>
      <c r="CB36" s="414"/>
      <c r="CC36" s="414"/>
      <c r="CD36" s="415"/>
    </row>
    <row r="37" spans="1:82" ht="20.25" customHeight="1">
      <c r="A37" s="113">
        <v>34</v>
      </c>
      <c r="B37" s="410" t="str">
        <f>SISWA!C39</f>
        <v>Anak 34</v>
      </c>
      <c r="C37" s="410"/>
      <c r="D37" s="412">
        <f>ROUND('PKN3'!S38,0)</f>
        <v>99</v>
      </c>
      <c r="E37" s="412">
        <f>ROUND('PKN3'!T38,0)</f>
        <v>99</v>
      </c>
      <c r="F37" s="412">
        <f>ROUND('PKN3'!U38,0)</f>
        <v>99</v>
      </c>
      <c r="G37" s="412">
        <f>ROUND('PKN3'!V38,0)</f>
        <v>0</v>
      </c>
      <c r="H37" s="412">
        <f>ROUND('PKN3'!W38,0)</f>
        <v>0</v>
      </c>
      <c r="I37" s="412">
        <f>ROUND('PKN3'!X38,0)</f>
        <v>0</v>
      </c>
      <c r="J37" s="412">
        <f>ROUND(BIND3!AA38,0)</f>
        <v>80</v>
      </c>
      <c r="K37" s="412">
        <f>ROUND(BIND3!AB38,0)</f>
        <v>83</v>
      </c>
      <c r="L37" s="412">
        <f>ROUND(BIND3!AC38,0)</f>
        <v>99</v>
      </c>
      <c r="M37" s="412">
        <f>ROUND(BIND3!AD38,0)</f>
        <v>99</v>
      </c>
      <c r="N37" s="412">
        <f>ROUND(BIND3!AE38,0)</f>
        <v>99</v>
      </c>
      <c r="O37" s="412">
        <f>ROUND(BIND3!AF38,0)</f>
        <v>0</v>
      </c>
      <c r="P37" s="412">
        <f>ROUND(BIND3!AG38,0)</f>
        <v>0</v>
      </c>
      <c r="Q37" s="412">
        <f>ROUND(BIND3!AH38,0)</f>
        <v>0</v>
      </c>
      <c r="R37" s="412">
        <f>ROUND('MTK3'!AE38,0)</f>
        <v>80</v>
      </c>
      <c r="S37" s="412">
        <f>ROUND('MTK3'!AF38,0)</f>
        <v>83</v>
      </c>
      <c r="T37" s="412">
        <f>ROUND('MTK3'!AG38,0)</f>
        <v>0</v>
      </c>
      <c r="U37" s="412">
        <f>ROUND('MTK3'!AH38,0)</f>
        <v>0</v>
      </c>
      <c r="V37" s="412">
        <f>ROUND('MTK3'!AI38,0)</f>
        <v>0</v>
      </c>
      <c r="W37" s="412">
        <f>ROUND('MTK3'!AJ38,0)</f>
        <v>0</v>
      </c>
      <c r="X37" s="412">
        <f>ROUND('MTK3'!AK38,0)</f>
        <v>0</v>
      </c>
      <c r="Y37" s="414"/>
      <c r="Z37" s="412">
        <f>ROUND('IPA3'!Y38,0)</f>
        <v>99</v>
      </c>
      <c r="AA37" s="412">
        <f>ROUND('IPA3'!Z38,0)</f>
        <v>99</v>
      </c>
      <c r="AB37" s="412">
        <f>ROUND('IPA3'!AA38,0)</f>
        <v>99</v>
      </c>
      <c r="AC37" s="412">
        <f>ROUND('IPA3'!AB38,0)</f>
        <v>99</v>
      </c>
      <c r="AD37" s="412">
        <f>ROUND('IPA3'!AC38,0)</f>
        <v>0</v>
      </c>
      <c r="AE37" s="413"/>
      <c r="AF37" s="412">
        <f>ROUND('IPS3'!Y38,0)</f>
        <v>99</v>
      </c>
      <c r="AG37" s="412">
        <f>ROUND('IPS3'!Z38,0)</f>
        <v>99</v>
      </c>
      <c r="AH37" s="412">
        <f>ROUND('IPS3'!AA38,0)</f>
        <v>99</v>
      </c>
      <c r="AI37" s="412">
        <f>ROUND('IPS3'!AB38,0)</f>
        <v>0</v>
      </c>
      <c r="AJ37" s="414"/>
      <c r="AK37" s="414"/>
      <c r="AL37" s="412">
        <f>ROUND(SBDP3!Y38,0)</f>
        <v>99</v>
      </c>
      <c r="AM37" s="412">
        <f>ROUND(SBDP3!Z38,0)</f>
        <v>99</v>
      </c>
      <c r="AN37" s="412">
        <f>ROUND(SBDP3!AA38,0)</f>
        <v>99</v>
      </c>
      <c r="AO37" s="412">
        <f>ROUND(SBDP3!AB38,0)</f>
        <v>0</v>
      </c>
      <c r="AP37" s="414"/>
      <c r="AQ37" s="413"/>
      <c r="AR37" s="412">
        <f>ROUND('PAI3'!AQ39,0)</f>
        <v>99</v>
      </c>
      <c r="AS37" s="412">
        <f>ROUND('PAI3'!AR39,0)</f>
        <v>99</v>
      </c>
      <c r="AT37" s="412">
        <f>ROUND('PAI3'!AS39,0)</f>
        <v>99</v>
      </c>
      <c r="AU37" s="412" t="e">
        <f>ROUND('PAI3'!AT39,0)</f>
        <v>#VALUE!</v>
      </c>
      <c r="AV37" s="412" t="e">
        <f>ROUND('PAI3'!AU39,0)</f>
        <v>#VALUE!</v>
      </c>
      <c r="AW37" s="412" t="e">
        <f>ROUND('PAI3'!AV39,0)</f>
        <v>#VALUE!</v>
      </c>
      <c r="AX37" s="412" t="e">
        <f>ROUND('PAI3'!AW39,0)</f>
        <v>#VALUE!</v>
      </c>
      <c r="AY37" s="412" t="e">
        <f>ROUND('PAI3'!AX39,0)</f>
        <v>#VALUE!</v>
      </c>
      <c r="AZ37" s="412">
        <f>ROUND('PAI3'!AY39,0)</f>
        <v>0</v>
      </c>
      <c r="BA37" s="412">
        <f>ROUND('PAI3'!AZ39,0)</f>
        <v>0</v>
      </c>
      <c r="BB37" s="412">
        <f>ROUND('PAI3'!BA39,0)</f>
        <v>0</v>
      </c>
      <c r="BC37" s="412">
        <f>ROUND('PAI3'!BB39,0)</f>
        <v>0</v>
      </c>
      <c r="BD37" s="412">
        <f>ROUND('PAI3'!BC39,0)</f>
        <v>0</v>
      </c>
      <c r="BE37" s="412">
        <f>ROUND(PJOK3!Y38,0)</f>
        <v>80</v>
      </c>
      <c r="BF37" s="412">
        <f>ROUND(PJOK3!Z38,0)</f>
        <v>83</v>
      </c>
      <c r="BG37" s="412">
        <f>ROUND(PJOK3!AA38,0)</f>
        <v>0</v>
      </c>
      <c r="BH37" s="412">
        <f>ROUND(PJOK3!AB38,0)</f>
        <v>0</v>
      </c>
      <c r="BI37" s="412">
        <f>ROUND(PJOK3!AC38,0)</f>
        <v>0</v>
      </c>
      <c r="BJ37" s="412">
        <f>ROUND(PJOK3!AD38,0)</f>
        <v>0</v>
      </c>
      <c r="BK37" s="414"/>
      <c r="BL37" s="413"/>
      <c r="BM37" s="412">
        <f>ROUND('MLK1-3'!AC38,0)</f>
        <v>0</v>
      </c>
      <c r="BN37" s="412">
        <f>ROUND('MLK1-3'!AD38,0)</f>
        <v>80</v>
      </c>
      <c r="BO37" s="412">
        <f>ROUND('MLK1-3'!AE38,0)</f>
        <v>83</v>
      </c>
      <c r="BP37" s="414"/>
      <c r="BQ37" s="414"/>
      <c r="BR37" s="415"/>
      <c r="BS37" s="412">
        <f>ROUND('MLK2-3'!AA38,0)</f>
        <v>0</v>
      </c>
      <c r="BT37" s="412">
        <f>ROUND('MLK2-3'!AB38,0)</f>
        <v>80</v>
      </c>
      <c r="BU37" s="412">
        <f>ROUND('MLK2-3'!AC38,0)</f>
        <v>83</v>
      </c>
      <c r="BV37" s="412">
        <f>ROUND('MLK2-3'!AD38,0)</f>
        <v>0</v>
      </c>
      <c r="BW37" s="414"/>
      <c r="BX37" s="413"/>
      <c r="BY37" s="412">
        <f>ROUND('MLK3-3'!AA38,0)</f>
        <v>80</v>
      </c>
      <c r="BZ37" s="412">
        <f>ROUND('MLK3-3'!AB38,0)</f>
        <v>83</v>
      </c>
      <c r="CA37" s="414"/>
      <c r="CB37" s="414"/>
      <c r="CC37" s="414"/>
      <c r="CD37" s="415"/>
    </row>
    <row r="38" spans="1:82" ht="20.25" customHeight="1">
      <c r="A38" s="113">
        <v>35</v>
      </c>
      <c r="B38" s="410" t="str">
        <f>SISWA!C40</f>
        <v>Anak 35</v>
      </c>
      <c r="C38" s="410"/>
      <c r="D38" s="412">
        <f>ROUND('PKN3'!S39,0)</f>
        <v>99</v>
      </c>
      <c r="E38" s="412">
        <f>ROUND('PKN3'!T39,0)</f>
        <v>99</v>
      </c>
      <c r="F38" s="412">
        <f>ROUND('PKN3'!U39,0)</f>
        <v>99</v>
      </c>
      <c r="G38" s="412">
        <f>ROUND('PKN3'!V39,0)</f>
        <v>0</v>
      </c>
      <c r="H38" s="412">
        <f>ROUND('PKN3'!W39,0)</f>
        <v>0</v>
      </c>
      <c r="I38" s="412">
        <f>ROUND('PKN3'!X39,0)</f>
        <v>0</v>
      </c>
      <c r="J38" s="412">
        <f>ROUND(BIND3!AA39,0)</f>
        <v>80</v>
      </c>
      <c r="K38" s="412">
        <f>ROUND(BIND3!AB39,0)</f>
        <v>75</v>
      </c>
      <c r="L38" s="412">
        <f>ROUND(BIND3!AC39,0)</f>
        <v>99</v>
      </c>
      <c r="M38" s="412">
        <f>ROUND(BIND3!AD39,0)</f>
        <v>99</v>
      </c>
      <c r="N38" s="412">
        <f>ROUND(BIND3!AE39,0)</f>
        <v>99</v>
      </c>
      <c r="O38" s="412">
        <f>ROUND(BIND3!AF39,0)</f>
        <v>0</v>
      </c>
      <c r="P38" s="412">
        <f>ROUND(BIND3!AG39,0)</f>
        <v>0</v>
      </c>
      <c r="Q38" s="412">
        <f>ROUND(BIND3!AH39,0)</f>
        <v>0</v>
      </c>
      <c r="R38" s="412">
        <f>ROUND('MTK3'!AE39,0)</f>
        <v>80</v>
      </c>
      <c r="S38" s="412">
        <f>ROUND('MTK3'!AF39,0)</f>
        <v>75</v>
      </c>
      <c r="T38" s="412">
        <f>ROUND('MTK3'!AG39,0)</f>
        <v>0</v>
      </c>
      <c r="U38" s="412">
        <f>ROUND('MTK3'!AH39,0)</f>
        <v>0</v>
      </c>
      <c r="V38" s="412">
        <f>ROUND('MTK3'!AI39,0)</f>
        <v>0</v>
      </c>
      <c r="W38" s="412">
        <f>ROUND('MTK3'!AJ39,0)</f>
        <v>0</v>
      </c>
      <c r="X38" s="412">
        <f>ROUND('MTK3'!AK39,0)</f>
        <v>0</v>
      </c>
      <c r="Y38" s="414"/>
      <c r="Z38" s="412">
        <f>ROUND('IPA3'!Y39,0)</f>
        <v>99</v>
      </c>
      <c r="AA38" s="412">
        <f>ROUND('IPA3'!Z39,0)</f>
        <v>99</v>
      </c>
      <c r="AB38" s="412">
        <f>ROUND('IPA3'!AA39,0)</f>
        <v>99</v>
      </c>
      <c r="AC38" s="412">
        <f>ROUND('IPA3'!AB39,0)</f>
        <v>99</v>
      </c>
      <c r="AD38" s="412">
        <f>ROUND('IPA3'!AC39,0)</f>
        <v>0</v>
      </c>
      <c r="AE38" s="413"/>
      <c r="AF38" s="412">
        <f>ROUND('IPS3'!Y39,0)</f>
        <v>99</v>
      </c>
      <c r="AG38" s="412">
        <f>ROUND('IPS3'!Z39,0)</f>
        <v>99</v>
      </c>
      <c r="AH38" s="412">
        <f>ROUND('IPS3'!AA39,0)</f>
        <v>99</v>
      </c>
      <c r="AI38" s="412">
        <f>ROUND('IPS3'!AB39,0)</f>
        <v>0</v>
      </c>
      <c r="AJ38" s="414"/>
      <c r="AK38" s="414"/>
      <c r="AL38" s="412">
        <f>ROUND(SBDP3!Y39,0)</f>
        <v>99</v>
      </c>
      <c r="AM38" s="412">
        <f>ROUND(SBDP3!Z39,0)</f>
        <v>99</v>
      </c>
      <c r="AN38" s="412">
        <f>ROUND(SBDP3!AA39,0)</f>
        <v>99</v>
      </c>
      <c r="AO38" s="412">
        <f>ROUND(SBDP3!AB39,0)</f>
        <v>0</v>
      </c>
      <c r="AP38" s="414"/>
      <c r="AQ38" s="413"/>
      <c r="AR38" s="412">
        <f>ROUND('PAI3'!AQ40,0)</f>
        <v>99</v>
      </c>
      <c r="AS38" s="412">
        <f>ROUND('PAI3'!AR40,0)</f>
        <v>99</v>
      </c>
      <c r="AT38" s="412">
        <f>ROUND('PAI3'!AS40,0)</f>
        <v>99</v>
      </c>
      <c r="AU38" s="412" t="e">
        <f>ROUND('PAI3'!AT40,0)</f>
        <v>#VALUE!</v>
      </c>
      <c r="AV38" s="412" t="e">
        <f>ROUND('PAI3'!AU40,0)</f>
        <v>#VALUE!</v>
      </c>
      <c r="AW38" s="412" t="e">
        <f>ROUND('PAI3'!AV40,0)</f>
        <v>#VALUE!</v>
      </c>
      <c r="AX38" s="412" t="e">
        <f>ROUND('PAI3'!AW40,0)</f>
        <v>#VALUE!</v>
      </c>
      <c r="AY38" s="412" t="e">
        <f>ROUND('PAI3'!AX40,0)</f>
        <v>#VALUE!</v>
      </c>
      <c r="AZ38" s="412">
        <f>ROUND('PAI3'!AY40,0)</f>
        <v>0</v>
      </c>
      <c r="BA38" s="412">
        <f>ROUND('PAI3'!AZ40,0)</f>
        <v>0</v>
      </c>
      <c r="BB38" s="412">
        <f>ROUND('PAI3'!BA40,0)</f>
        <v>0</v>
      </c>
      <c r="BC38" s="412">
        <f>ROUND('PAI3'!BB40,0)</f>
        <v>0</v>
      </c>
      <c r="BD38" s="412">
        <f>ROUND('PAI3'!BC40,0)</f>
        <v>0</v>
      </c>
      <c r="BE38" s="412">
        <f>ROUND(PJOK3!Y39,0)</f>
        <v>80</v>
      </c>
      <c r="BF38" s="412">
        <f>ROUND(PJOK3!Z39,0)</f>
        <v>75</v>
      </c>
      <c r="BG38" s="412">
        <f>ROUND(PJOK3!AA39,0)</f>
        <v>0</v>
      </c>
      <c r="BH38" s="412">
        <f>ROUND(PJOK3!AB39,0)</f>
        <v>0</v>
      </c>
      <c r="BI38" s="412">
        <f>ROUND(PJOK3!AC39,0)</f>
        <v>0</v>
      </c>
      <c r="BJ38" s="412">
        <f>ROUND(PJOK3!AD39,0)</f>
        <v>0</v>
      </c>
      <c r="BK38" s="414"/>
      <c r="BL38" s="413"/>
      <c r="BM38" s="412">
        <f>ROUND('MLK1-3'!AC39,0)</f>
        <v>0</v>
      </c>
      <c r="BN38" s="412">
        <f>ROUND('MLK1-3'!AD39,0)</f>
        <v>80</v>
      </c>
      <c r="BO38" s="412">
        <f>ROUND('MLK1-3'!AE39,0)</f>
        <v>75</v>
      </c>
      <c r="BP38" s="414"/>
      <c r="BQ38" s="414"/>
      <c r="BR38" s="415"/>
      <c r="BS38" s="412">
        <f>ROUND('MLK2-3'!AA39,0)</f>
        <v>0</v>
      </c>
      <c r="BT38" s="412">
        <f>ROUND('MLK2-3'!AB39,0)</f>
        <v>80</v>
      </c>
      <c r="BU38" s="412">
        <f>ROUND('MLK2-3'!AC39,0)</f>
        <v>75</v>
      </c>
      <c r="BV38" s="412">
        <f>ROUND('MLK2-3'!AD39,0)</f>
        <v>0</v>
      </c>
      <c r="BW38" s="414"/>
      <c r="BX38" s="413"/>
      <c r="BY38" s="412">
        <f>ROUND('MLK3-3'!AA39,0)</f>
        <v>80</v>
      </c>
      <c r="BZ38" s="412">
        <f>ROUND('MLK3-3'!AB39,0)</f>
        <v>75</v>
      </c>
      <c r="CA38" s="414"/>
      <c r="CB38" s="414"/>
      <c r="CC38" s="414"/>
      <c r="CD38" s="415"/>
    </row>
    <row r="39" spans="1:82" ht="20.25" customHeight="1">
      <c r="A39" s="113">
        <v>36</v>
      </c>
      <c r="B39" s="410" t="str">
        <f>SISWA!C41</f>
        <v>Anak 36</v>
      </c>
      <c r="C39" s="410"/>
      <c r="D39" s="412">
        <f>ROUND('PKN3'!S40,0)</f>
        <v>99</v>
      </c>
      <c r="E39" s="412">
        <f>ROUND('PKN3'!T40,0)</f>
        <v>99</v>
      </c>
      <c r="F39" s="412">
        <f>ROUND('PKN3'!U40,0)</f>
        <v>99</v>
      </c>
      <c r="G39" s="412">
        <f>ROUND('PKN3'!V40,0)</f>
        <v>0</v>
      </c>
      <c r="H39" s="412">
        <f>ROUND('PKN3'!W40,0)</f>
        <v>0</v>
      </c>
      <c r="I39" s="412">
        <f>ROUND('PKN3'!X40,0)</f>
        <v>0</v>
      </c>
      <c r="J39" s="412">
        <f>ROUND(BIND3!AA40,0)</f>
        <v>89</v>
      </c>
      <c r="K39" s="412">
        <f>ROUND(BIND3!AB40,0)</f>
        <v>75</v>
      </c>
      <c r="L39" s="412">
        <f>ROUND(BIND3!AC40,0)</f>
        <v>99</v>
      </c>
      <c r="M39" s="412">
        <f>ROUND(BIND3!AD40,0)</f>
        <v>99</v>
      </c>
      <c r="N39" s="412">
        <f>ROUND(BIND3!AE40,0)</f>
        <v>99</v>
      </c>
      <c r="O39" s="412">
        <f>ROUND(BIND3!AF40,0)</f>
        <v>0</v>
      </c>
      <c r="P39" s="412">
        <f>ROUND(BIND3!AG40,0)</f>
        <v>0</v>
      </c>
      <c r="Q39" s="412">
        <f>ROUND(BIND3!AH40,0)</f>
        <v>0</v>
      </c>
      <c r="R39" s="412">
        <f>ROUND('MTK3'!AE40,0)</f>
        <v>89</v>
      </c>
      <c r="S39" s="412">
        <f>ROUND('MTK3'!AF40,0)</f>
        <v>75</v>
      </c>
      <c r="T39" s="412">
        <f>ROUND('MTK3'!AG40,0)</f>
        <v>0</v>
      </c>
      <c r="U39" s="412">
        <f>ROUND('MTK3'!AH40,0)</f>
        <v>0</v>
      </c>
      <c r="V39" s="412">
        <f>ROUND('MTK3'!AI40,0)</f>
        <v>0</v>
      </c>
      <c r="W39" s="412">
        <f>ROUND('MTK3'!AJ40,0)</f>
        <v>0</v>
      </c>
      <c r="X39" s="412">
        <f>ROUND('MTK3'!AK40,0)</f>
        <v>0</v>
      </c>
      <c r="Y39" s="414"/>
      <c r="Z39" s="412">
        <f>ROUND('IPA3'!Y40,0)</f>
        <v>99</v>
      </c>
      <c r="AA39" s="412">
        <f>ROUND('IPA3'!Z40,0)</f>
        <v>99</v>
      </c>
      <c r="AB39" s="412">
        <f>ROUND('IPA3'!AA40,0)</f>
        <v>99</v>
      </c>
      <c r="AC39" s="412">
        <f>ROUND('IPA3'!AB40,0)</f>
        <v>99</v>
      </c>
      <c r="AD39" s="412">
        <f>ROUND('IPA3'!AC40,0)</f>
        <v>0</v>
      </c>
      <c r="AE39" s="413"/>
      <c r="AF39" s="412">
        <f>ROUND('IPS3'!Y40,0)</f>
        <v>99</v>
      </c>
      <c r="AG39" s="412">
        <f>ROUND('IPS3'!Z40,0)</f>
        <v>99</v>
      </c>
      <c r="AH39" s="412">
        <f>ROUND('IPS3'!AA40,0)</f>
        <v>99</v>
      </c>
      <c r="AI39" s="412">
        <f>ROUND('IPS3'!AB40,0)</f>
        <v>0</v>
      </c>
      <c r="AJ39" s="414"/>
      <c r="AK39" s="414"/>
      <c r="AL39" s="412">
        <f>ROUND(SBDP3!Y40,0)</f>
        <v>99</v>
      </c>
      <c r="AM39" s="412">
        <f>ROUND(SBDP3!Z40,0)</f>
        <v>99</v>
      </c>
      <c r="AN39" s="412">
        <f>ROUND(SBDP3!AA40,0)</f>
        <v>99</v>
      </c>
      <c r="AO39" s="412">
        <f>ROUND(SBDP3!AB40,0)</f>
        <v>0</v>
      </c>
      <c r="AP39" s="414"/>
      <c r="AQ39" s="413"/>
      <c r="AR39" s="412">
        <f>ROUND('PAI3'!AQ41,0)</f>
        <v>99</v>
      </c>
      <c r="AS39" s="412">
        <f>ROUND('PAI3'!AR41,0)</f>
        <v>99</v>
      </c>
      <c r="AT39" s="412">
        <f>ROUND('PAI3'!AS41,0)</f>
        <v>99</v>
      </c>
      <c r="AU39" s="412" t="e">
        <f>ROUND('PAI3'!AT41,0)</f>
        <v>#VALUE!</v>
      </c>
      <c r="AV39" s="412" t="e">
        <f>ROUND('PAI3'!AU41,0)</f>
        <v>#VALUE!</v>
      </c>
      <c r="AW39" s="412" t="e">
        <f>ROUND('PAI3'!AV41,0)</f>
        <v>#VALUE!</v>
      </c>
      <c r="AX39" s="412" t="e">
        <f>ROUND('PAI3'!AW41,0)</f>
        <v>#VALUE!</v>
      </c>
      <c r="AY39" s="412" t="e">
        <f>ROUND('PAI3'!AX41,0)</f>
        <v>#VALUE!</v>
      </c>
      <c r="AZ39" s="412">
        <f>ROUND('PAI3'!AY41,0)</f>
        <v>0</v>
      </c>
      <c r="BA39" s="412">
        <f>ROUND('PAI3'!AZ41,0)</f>
        <v>0</v>
      </c>
      <c r="BB39" s="412">
        <f>ROUND('PAI3'!BA41,0)</f>
        <v>0</v>
      </c>
      <c r="BC39" s="412">
        <f>ROUND('PAI3'!BB41,0)</f>
        <v>0</v>
      </c>
      <c r="BD39" s="412">
        <f>ROUND('PAI3'!BC41,0)</f>
        <v>0</v>
      </c>
      <c r="BE39" s="412">
        <f>ROUND(PJOK3!Y40,0)</f>
        <v>89</v>
      </c>
      <c r="BF39" s="412">
        <f>ROUND(PJOK3!Z40,0)</f>
        <v>75</v>
      </c>
      <c r="BG39" s="412">
        <f>ROUND(PJOK3!AA40,0)</f>
        <v>0</v>
      </c>
      <c r="BH39" s="412">
        <f>ROUND(PJOK3!AB40,0)</f>
        <v>0</v>
      </c>
      <c r="BI39" s="412">
        <f>ROUND(PJOK3!AC40,0)</f>
        <v>0</v>
      </c>
      <c r="BJ39" s="412">
        <f>ROUND(PJOK3!AD40,0)</f>
        <v>0</v>
      </c>
      <c r="BK39" s="414"/>
      <c r="BL39" s="413"/>
      <c r="BM39" s="412">
        <f>ROUND('MLK1-3'!AC40,0)</f>
        <v>0</v>
      </c>
      <c r="BN39" s="412">
        <f>ROUND('MLK1-3'!AD40,0)</f>
        <v>89</v>
      </c>
      <c r="BO39" s="412">
        <f>ROUND('MLK1-3'!AE40,0)</f>
        <v>75</v>
      </c>
      <c r="BP39" s="414"/>
      <c r="BQ39" s="414"/>
      <c r="BR39" s="415"/>
      <c r="BS39" s="412">
        <f>ROUND('MLK2-3'!AA40,0)</f>
        <v>0</v>
      </c>
      <c r="BT39" s="412">
        <f>ROUND('MLK2-3'!AB40,0)</f>
        <v>89</v>
      </c>
      <c r="BU39" s="412">
        <f>ROUND('MLK2-3'!AC40,0)</f>
        <v>75</v>
      </c>
      <c r="BV39" s="412">
        <f>ROUND('MLK2-3'!AD40,0)</f>
        <v>0</v>
      </c>
      <c r="BW39" s="414"/>
      <c r="BX39" s="413"/>
      <c r="BY39" s="412">
        <f>ROUND('MLK3-3'!AA40,0)</f>
        <v>89</v>
      </c>
      <c r="BZ39" s="412">
        <f>ROUND('MLK3-3'!AB40,0)</f>
        <v>75</v>
      </c>
      <c r="CA39" s="414"/>
      <c r="CB39" s="414"/>
      <c r="CC39" s="414"/>
      <c r="CD39" s="415"/>
    </row>
    <row r="40" spans="1:82" ht="20.25" customHeight="1">
      <c r="A40" s="113">
        <v>37</v>
      </c>
      <c r="B40" s="410" t="str">
        <f>SISWA!C42</f>
        <v>Anak 37</v>
      </c>
      <c r="C40" s="410"/>
      <c r="D40" s="412">
        <f>ROUND('PKN3'!S41,0)</f>
        <v>99</v>
      </c>
      <c r="E40" s="412">
        <f>ROUND('PKN3'!T41,0)</f>
        <v>99</v>
      </c>
      <c r="F40" s="412">
        <f>ROUND('PKN3'!U41,0)</f>
        <v>99</v>
      </c>
      <c r="G40" s="412">
        <f>ROUND('PKN3'!V41,0)</f>
        <v>0</v>
      </c>
      <c r="H40" s="412">
        <f>ROUND('PKN3'!W41,0)</f>
        <v>0</v>
      </c>
      <c r="I40" s="412">
        <f>ROUND('PKN3'!X41,0)</f>
        <v>0</v>
      </c>
      <c r="J40" s="412">
        <f>ROUND(BIND3!AA41,0)</f>
        <v>81</v>
      </c>
      <c r="K40" s="412">
        <f>ROUND(BIND3!AB41,0)</f>
        <v>81</v>
      </c>
      <c r="L40" s="412">
        <f>ROUND(BIND3!AC41,0)</f>
        <v>99</v>
      </c>
      <c r="M40" s="412">
        <f>ROUND(BIND3!AD41,0)</f>
        <v>99</v>
      </c>
      <c r="N40" s="412">
        <f>ROUND(BIND3!AE41,0)</f>
        <v>99</v>
      </c>
      <c r="O40" s="412">
        <f>ROUND(BIND3!AF41,0)</f>
        <v>0</v>
      </c>
      <c r="P40" s="412">
        <f>ROUND(BIND3!AG41,0)</f>
        <v>0</v>
      </c>
      <c r="Q40" s="412">
        <f>ROUND(BIND3!AH41,0)</f>
        <v>0</v>
      </c>
      <c r="R40" s="412">
        <f>ROUND('MTK3'!AE41,0)</f>
        <v>81</v>
      </c>
      <c r="S40" s="412">
        <f>ROUND('MTK3'!AF41,0)</f>
        <v>81</v>
      </c>
      <c r="T40" s="412">
        <f>ROUND('MTK3'!AG41,0)</f>
        <v>0</v>
      </c>
      <c r="U40" s="412">
        <f>ROUND('MTK3'!AH41,0)</f>
        <v>0</v>
      </c>
      <c r="V40" s="412">
        <f>ROUND('MTK3'!AI41,0)</f>
        <v>0</v>
      </c>
      <c r="W40" s="412">
        <f>ROUND('MTK3'!AJ41,0)</f>
        <v>0</v>
      </c>
      <c r="X40" s="412">
        <f>ROUND('MTK3'!AK41,0)</f>
        <v>0</v>
      </c>
      <c r="Y40" s="414"/>
      <c r="Z40" s="412">
        <f>ROUND('IPA3'!Y41,0)</f>
        <v>99</v>
      </c>
      <c r="AA40" s="412">
        <f>ROUND('IPA3'!Z41,0)</f>
        <v>99</v>
      </c>
      <c r="AB40" s="412">
        <f>ROUND('IPA3'!AA41,0)</f>
        <v>99</v>
      </c>
      <c r="AC40" s="412">
        <f>ROUND('IPA3'!AB41,0)</f>
        <v>99</v>
      </c>
      <c r="AD40" s="412">
        <f>ROUND('IPA3'!AC41,0)</f>
        <v>0</v>
      </c>
      <c r="AE40" s="413"/>
      <c r="AF40" s="412">
        <f>ROUND('IPS3'!Y41,0)</f>
        <v>99</v>
      </c>
      <c r="AG40" s="412">
        <f>ROUND('IPS3'!Z41,0)</f>
        <v>99</v>
      </c>
      <c r="AH40" s="412">
        <f>ROUND('IPS3'!AA41,0)</f>
        <v>99</v>
      </c>
      <c r="AI40" s="412">
        <f>ROUND('IPS3'!AB41,0)</f>
        <v>0</v>
      </c>
      <c r="AJ40" s="414"/>
      <c r="AK40" s="414"/>
      <c r="AL40" s="412">
        <f>ROUND(SBDP3!Y41,0)</f>
        <v>99</v>
      </c>
      <c r="AM40" s="412">
        <f>ROUND(SBDP3!Z41,0)</f>
        <v>99</v>
      </c>
      <c r="AN40" s="412">
        <f>ROUND(SBDP3!AA41,0)</f>
        <v>99</v>
      </c>
      <c r="AO40" s="412">
        <f>ROUND(SBDP3!AB41,0)</f>
        <v>0</v>
      </c>
      <c r="AP40" s="414"/>
      <c r="AQ40" s="413"/>
      <c r="AR40" s="412">
        <f>ROUND('PAI3'!AQ42,0)</f>
        <v>99</v>
      </c>
      <c r="AS40" s="412">
        <f>ROUND('PAI3'!AR42,0)</f>
        <v>99</v>
      </c>
      <c r="AT40" s="412">
        <f>ROUND('PAI3'!AS42,0)</f>
        <v>99</v>
      </c>
      <c r="AU40" s="412" t="e">
        <f>ROUND('PAI3'!AT42,0)</f>
        <v>#VALUE!</v>
      </c>
      <c r="AV40" s="412" t="e">
        <f>ROUND('PAI3'!AU42,0)</f>
        <v>#VALUE!</v>
      </c>
      <c r="AW40" s="412" t="e">
        <f>ROUND('PAI3'!AV42,0)</f>
        <v>#VALUE!</v>
      </c>
      <c r="AX40" s="412" t="e">
        <f>ROUND('PAI3'!AW42,0)</f>
        <v>#VALUE!</v>
      </c>
      <c r="AY40" s="412" t="e">
        <f>ROUND('PAI3'!AX42,0)</f>
        <v>#VALUE!</v>
      </c>
      <c r="AZ40" s="412">
        <f>ROUND('PAI3'!AY42,0)</f>
        <v>0</v>
      </c>
      <c r="BA40" s="412">
        <f>ROUND('PAI3'!AZ42,0)</f>
        <v>0</v>
      </c>
      <c r="BB40" s="412">
        <f>ROUND('PAI3'!BA42,0)</f>
        <v>0</v>
      </c>
      <c r="BC40" s="412">
        <f>ROUND('PAI3'!BB42,0)</f>
        <v>0</v>
      </c>
      <c r="BD40" s="412">
        <f>ROUND('PAI3'!BC42,0)</f>
        <v>0</v>
      </c>
      <c r="BE40" s="412">
        <f>ROUND(PJOK3!Y41,0)</f>
        <v>81</v>
      </c>
      <c r="BF40" s="412">
        <f>ROUND(PJOK3!Z41,0)</f>
        <v>81</v>
      </c>
      <c r="BG40" s="412">
        <f>ROUND(PJOK3!AA41,0)</f>
        <v>0</v>
      </c>
      <c r="BH40" s="412">
        <f>ROUND(PJOK3!AB41,0)</f>
        <v>0</v>
      </c>
      <c r="BI40" s="412">
        <f>ROUND(PJOK3!AC41,0)</f>
        <v>0</v>
      </c>
      <c r="BJ40" s="412">
        <f>ROUND(PJOK3!AD41,0)</f>
        <v>0</v>
      </c>
      <c r="BK40" s="414"/>
      <c r="BL40" s="413"/>
      <c r="BM40" s="412">
        <f>ROUND('MLK1-3'!AC41,0)</f>
        <v>0</v>
      </c>
      <c r="BN40" s="412">
        <f>ROUND('MLK1-3'!AD41,0)</f>
        <v>81</v>
      </c>
      <c r="BO40" s="412">
        <f>ROUND('MLK1-3'!AE41,0)</f>
        <v>81</v>
      </c>
      <c r="BP40" s="414"/>
      <c r="BQ40" s="414"/>
      <c r="BR40" s="415"/>
      <c r="BS40" s="412">
        <f>ROUND('MLK2-3'!AA41,0)</f>
        <v>0</v>
      </c>
      <c r="BT40" s="412">
        <f>ROUND('MLK2-3'!AB41,0)</f>
        <v>81</v>
      </c>
      <c r="BU40" s="412">
        <f>ROUND('MLK2-3'!AC41,0)</f>
        <v>81</v>
      </c>
      <c r="BV40" s="412">
        <f>ROUND('MLK2-3'!AD41,0)</f>
        <v>0</v>
      </c>
      <c r="BW40" s="414"/>
      <c r="BX40" s="413"/>
      <c r="BY40" s="412">
        <f>ROUND('MLK3-3'!AA41,0)</f>
        <v>81</v>
      </c>
      <c r="BZ40" s="412">
        <f>ROUND('MLK3-3'!AB41,0)</f>
        <v>81</v>
      </c>
      <c r="CA40" s="414"/>
      <c r="CB40" s="414"/>
      <c r="CC40" s="414"/>
      <c r="CD40" s="415"/>
    </row>
    <row r="41" spans="1:82" ht="20.25" customHeight="1">
      <c r="A41" s="113">
        <v>38</v>
      </c>
      <c r="B41" s="410" t="str">
        <f>SISWA!C43</f>
        <v>Anak 38</v>
      </c>
      <c r="C41" s="410"/>
      <c r="D41" s="412">
        <f>ROUND('PKN3'!S42,0)</f>
        <v>99</v>
      </c>
      <c r="E41" s="412">
        <f>ROUND('PKN3'!T42,0)</f>
        <v>99</v>
      </c>
      <c r="F41" s="412">
        <f>ROUND('PKN3'!U42,0)</f>
        <v>99</v>
      </c>
      <c r="G41" s="412">
        <f>ROUND('PKN3'!V42,0)</f>
        <v>0</v>
      </c>
      <c r="H41" s="412">
        <f>ROUND('PKN3'!W42,0)</f>
        <v>0</v>
      </c>
      <c r="I41" s="412">
        <f>ROUND('PKN3'!X42,0)</f>
        <v>0</v>
      </c>
      <c r="J41" s="412">
        <f>ROUND(BIND3!AA42,0)</f>
        <v>77</v>
      </c>
      <c r="K41" s="412">
        <f>ROUND(BIND3!AB42,0)</f>
        <v>87</v>
      </c>
      <c r="L41" s="412">
        <f>ROUND(BIND3!AC42,0)</f>
        <v>99</v>
      </c>
      <c r="M41" s="412">
        <f>ROUND(BIND3!AD42,0)</f>
        <v>99</v>
      </c>
      <c r="N41" s="412">
        <f>ROUND(BIND3!AE42,0)</f>
        <v>99</v>
      </c>
      <c r="O41" s="412">
        <f>ROUND(BIND3!AF42,0)</f>
        <v>0</v>
      </c>
      <c r="P41" s="412">
        <f>ROUND(BIND3!AG42,0)</f>
        <v>0</v>
      </c>
      <c r="Q41" s="412">
        <f>ROUND(BIND3!AH42,0)</f>
        <v>0</v>
      </c>
      <c r="R41" s="412">
        <f>ROUND('MTK3'!AE42,0)</f>
        <v>77</v>
      </c>
      <c r="S41" s="412">
        <f>ROUND('MTK3'!AF42,0)</f>
        <v>87</v>
      </c>
      <c r="T41" s="412">
        <f>ROUND('MTK3'!AG42,0)</f>
        <v>0</v>
      </c>
      <c r="U41" s="412">
        <f>ROUND('MTK3'!AH42,0)</f>
        <v>0</v>
      </c>
      <c r="V41" s="412">
        <f>ROUND('MTK3'!AI42,0)</f>
        <v>0</v>
      </c>
      <c r="W41" s="412">
        <f>ROUND('MTK3'!AJ42,0)</f>
        <v>0</v>
      </c>
      <c r="X41" s="412">
        <f>ROUND('MTK3'!AK42,0)</f>
        <v>0</v>
      </c>
      <c r="Y41" s="414"/>
      <c r="Z41" s="412">
        <f>ROUND('IPA3'!Y42,0)</f>
        <v>99</v>
      </c>
      <c r="AA41" s="412">
        <f>ROUND('IPA3'!Z42,0)</f>
        <v>99</v>
      </c>
      <c r="AB41" s="412">
        <f>ROUND('IPA3'!AA42,0)</f>
        <v>99</v>
      </c>
      <c r="AC41" s="412">
        <f>ROUND('IPA3'!AB42,0)</f>
        <v>99</v>
      </c>
      <c r="AD41" s="412">
        <f>ROUND('IPA3'!AC42,0)</f>
        <v>0</v>
      </c>
      <c r="AE41" s="413"/>
      <c r="AF41" s="412">
        <f>ROUND('IPS3'!Y42,0)</f>
        <v>99</v>
      </c>
      <c r="AG41" s="412">
        <f>ROUND('IPS3'!Z42,0)</f>
        <v>99</v>
      </c>
      <c r="AH41" s="412">
        <f>ROUND('IPS3'!AA42,0)</f>
        <v>99</v>
      </c>
      <c r="AI41" s="412">
        <f>ROUND('IPS3'!AB42,0)</f>
        <v>0</v>
      </c>
      <c r="AJ41" s="414"/>
      <c r="AK41" s="414"/>
      <c r="AL41" s="412">
        <f>ROUND(SBDP3!Y42,0)</f>
        <v>99</v>
      </c>
      <c r="AM41" s="412">
        <f>ROUND(SBDP3!Z42,0)</f>
        <v>99</v>
      </c>
      <c r="AN41" s="412">
        <f>ROUND(SBDP3!AA42,0)</f>
        <v>99</v>
      </c>
      <c r="AO41" s="412">
        <f>ROUND(SBDP3!AB42,0)</f>
        <v>0</v>
      </c>
      <c r="AP41" s="414"/>
      <c r="AQ41" s="413"/>
      <c r="AR41" s="412">
        <f>ROUND('PAI3'!AQ43,0)</f>
        <v>99</v>
      </c>
      <c r="AS41" s="412">
        <f>ROUND('PAI3'!AR43,0)</f>
        <v>99</v>
      </c>
      <c r="AT41" s="412">
        <f>ROUND('PAI3'!AS43,0)</f>
        <v>99</v>
      </c>
      <c r="AU41" s="412" t="e">
        <f>ROUND('PAI3'!AT43,0)</f>
        <v>#VALUE!</v>
      </c>
      <c r="AV41" s="412" t="e">
        <f>ROUND('PAI3'!AU43,0)</f>
        <v>#VALUE!</v>
      </c>
      <c r="AW41" s="412" t="e">
        <f>ROUND('PAI3'!AV43,0)</f>
        <v>#VALUE!</v>
      </c>
      <c r="AX41" s="412" t="e">
        <f>ROUND('PAI3'!AW43,0)</f>
        <v>#VALUE!</v>
      </c>
      <c r="AY41" s="412" t="e">
        <f>ROUND('PAI3'!AX43,0)</f>
        <v>#VALUE!</v>
      </c>
      <c r="AZ41" s="412">
        <f>ROUND('PAI3'!AY43,0)</f>
        <v>0</v>
      </c>
      <c r="BA41" s="412">
        <f>ROUND('PAI3'!AZ43,0)</f>
        <v>0</v>
      </c>
      <c r="BB41" s="412">
        <f>ROUND('PAI3'!BA43,0)</f>
        <v>0</v>
      </c>
      <c r="BC41" s="412">
        <f>ROUND('PAI3'!BB43,0)</f>
        <v>0</v>
      </c>
      <c r="BD41" s="412">
        <f>ROUND('PAI3'!BC43,0)</f>
        <v>0</v>
      </c>
      <c r="BE41" s="412">
        <f>ROUND(PJOK3!Y42,0)</f>
        <v>77</v>
      </c>
      <c r="BF41" s="412">
        <f>ROUND(PJOK3!Z42,0)</f>
        <v>87</v>
      </c>
      <c r="BG41" s="412">
        <f>ROUND(PJOK3!AA42,0)</f>
        <v>0</v>
      </c>
      <c r="BH41" s="412">
        <f>ROUND(PJOK3!AB42,0)</f>
        <v>0</v>
      </c>
      <c r="BI41" s="412">
        <f>ROUND(PJOK3!AC42,0)</f>
        <v>0</v>
      </c>
      <c r="BJ41" s="412">
        <f>ROUND(PJOK3!AD42,0)</f>
        <v>0</v>
      </c>
      <c r="BK41" s="414"/>
      <c r="BL41" s="413"/>
      <c r="BM41" s="412">
        <f>ROUND('MLK1-3'!AC42,0)</f>
        <v>0</v>
      </c>
      <c r="BN41" s="412">
        <f>ROUND('MLK1-3'!AD42,0)</f>
        <v>77</v>
      </c>
      <c r="BO41" s="412">
        <f>ROUND('MLK1-3'!AE42,0)</f>
        <v>87</v>
      </c>
      <c r="BP41" s="414"/>
      <c r="BQ41" s="414"/>
      <c r="BR41" s="415"/>
      <c r="BS41" s="412">
        <f>ROUND('MLK2-3'!AA42,0)</f>
        <v>0</v>
      </c>
      <c r="BT41" s="412">
        <f>ROUND('MLK2-3'!AB42,0)</f>
        <v>77</v>
      </c>
      <c r="BU41" s="412">
        <f>ROUND('MLK2-3'!AC42,0)</f>
        <v>87</v>
      </c>
      <c r="BV41" s="412">
        <f>ROUND('MLK2-3'!AD42,0)</f>
        <v>0</v>
      </c>
      <c r="BW41" s="414"/>
      <c r="BX41" s="413"/>
      <c r="BY41" s="412">
        <f>ROUND('MLK3-3'!AA42,0)</f>
        <v>77</v>
      </c>
      <c r="BZ41" s="412">
        <f>ROUND('MLK3-3'!AB42,0)</f>
        <v>87</v>
      </c>
      <c r="CA41" s="414"/>
      <c r="CB41" s="414"/>
      <c r="CC41" s="414"/>
      <c r="CD41" s="415"/>
    </row>
    <row r="42" spans="1:82" ht="20.25" customHeight="1">
      <c r="A42" s="113">
        <v>39</v>
      </c>
      <c r="B42" s="410" t="str">
        <f>SISWA!C44</f>
        <v>Anak 39</v>
      </c>
      <c r="C42" s="410"/>
      <c r="D42" s="412">
        <f>ROUND('PKN3'!S43,0)</f>
        <v>99</v>
      </c>
      <c r="E42" s="412">
        <f>ROUND('PKN3'!T43,0)</f>
        <v>99</v>
      </c>
      <c r="F42" s="412">
        <f>ROUND('PKN3'!U43,0)</f>
        <v>99</v>
      </c>
      <c r="G42" s="412">
        <f>ROUND('PKN3'!V43,0)</f>
        <v>0</v>
      </c>
      <c r="H42" s="412">
        <f>ROUND('PKN3'!W43,0)</f>
        <v>0</v>
      </c>
      <c r="I42" s="412">
        <f>ROUND('PKN3'!X43,0)</f>
        <v>0</v>
      </c>
      <c r="J42" s="412">
        <f>ROUND(BIND3!AA43,0)</f>
        <v>87</v>
      </c>
      <c r="K42" s="412">
        <f>ROUND(BIND3!AB43,0)</f>
        <v>77</v>
      </c>
      <c r="L42" s="412">
        <f>ROUND(BIND3!AC43,0)</f>
        <v>99</v>
      </c>
      <c r="M42" s="412">
        <f>ROUND(BIND3!AD43,0)</f>
        <v>99</v>
      </c>
      <c r="N42" s="412">
        <f>ROUND(BIND3!AE43,0)</f>
        <v>99</v>
      </c>
      <c r="O42" s="412">
        <f>ROUND(BIND3!AF43,0)</f>
        <v>0</v>
      </c>
      <c r="P42" s="412">
        <f>ROUND(BIND3!AG43,0)</f>
        <v>0</v>
      </c>
      <c r="Q42" s="412">
        <f>ROUND(BIND3!AH43,0)</f>
        <v>0</v>
      </c>
      <c r="R42" s="412">
        <f>ROUND('MTK3'!AE43,0)</f>
        <v>87</v>
      </c>
      <c r="S42" s="412">
        <f>ROUND('MTK3'!AF43,0)</f>
        <v>77</v>
      </c>
      <c r="T42" s="412">
        <f>ROUND('MTK3'!AG43,0)</f>
        <v>0</v>
      </c>
      <c r="U42" s="412">
        <f>ROUND('MTK3'!AH43,0)</f>
        <v>0</v>
      </c>
      <c r="V42" s="412">
        <f>ROUND('MTK3'!AI43,0)</f>
        <v>0</v>
      </c>
      <c r="W42" s="412">
        <f>ROUND('MTK3'!AJ43,0)</f>
        <v>0</v>
      </c>
      <c r="X42" s="412">
        <f>ROUND('MTK3'!AK43,0)</f>
        <v>0</v>
      </c>
      <c r="Y42" s="414"/>
      <c r="Z42" s="412">
        <f>ROUND('IPA3'!Y43,0)</f>
        <v>99</v>
      </c>
      <c r="AA42" s="412">
        <f>ROUND('IPA3'!Z43,0)</f>
        <v>99</v>
      </c>
      <c r="AB42" s="412">
        <f>ROUND('IPA3'!AA43,0)</f>
        <v>99</v>
      </c>
      <c r="AC42" s="412">
        <f>ROUND('IPA3'!AB43,0)</f>
        <v>99</v>
      </c>
      <c r="AD42" s="412">
        <f>ROUND('IPA3'!AC43,0)</f>
        <v>0</v>
      </c>
      <c r="AE42" s="413"/>
      <c r="AF42" s="412">
        <f>ROUND('IPS3'!Y43,0)</f>
        <v>99</v>
      </c>
      <c r="AG42" s="412">
        <f>ROUND('IPS3'!Z43,0)</f>
        <v>99</v>
      </c>
      <c r="AH42" s="412">
        <f>ROUND('IPS3'!AA43,0)</f>
        <v>99</v>
      </c>
      <c r="AI42" s="412">
        <f>ROUND('IPS3'!AB43,0)</f>
        <v>0</v>
      </c>
      <c r="AJ42" s="414"/>
      <c r="AK42" s="414"/>
      <c r="AL42" s="412">
        <f>ROUND(SBDP3!Y43,0)</f>
        <v>99</v>
      </c>
      <c r="AM42" s="412">
        <f>ROUND(SBDP3!Z43,0)</f>
        <v>99</v>
      </c>
      <c r="AN42" s="412">
        <f>ROUND(SBDP3!AA43,0)</f>
        <v>99</v>
      </c>
      <c r="AO42" s="412">
        <f>ROUND(SBDP3!AB43,0)</f>
        <v>0</v>
      </c>
      <c r="AP42" s="414"/>
      <c r="AQ42" s="413"/>
      <c r="AR42" s="412">
        <f>ROUND('PAI3'!AQ44,0)</f>
        <v>99</v>
      </c>
      <c r="AS42" s="412">
        <f>ROUND('PAI3'!AR44,0)</f>
        <v>99</v>
      </c>
      <c r="AT42" s="412">
        <f>ROUND('PAI3'!AS44,0)</f>
        <v>99</v>
      </c>
      <c r="AU42" s="412" t="e">
        <f>ROUND('PAI3'!AT44,0)</f>
        <v>#VALUE!</v>
      </c>
      <c r="AV42" s="412" t="e">
        <f>ROUND('PAI3'!AU44,0)</f>
        <v>#VALUE!</v>
      </c>
      <c r="AW42" s="412" t="e">
        <f>ROUND('PAI3'!AV44,0)</f>
        <v>#VALUE!</v>
      </c>
      <c r="AX42" s="412" t="e">
        <f>ROUND('PAI3'!AW44,0)</f>
        <v>#VALUE!</v>
      </c>
      <c r="AY42" s="412" t="e">
        <f>ROUND('PAI3'!AX44,0)</f>
        <v>#VALUE!</v>
      </c>
      <c r="AZ42" s="412">
        <f>ROUND('PAI3'!AY44,0)</f>
        <v>0</v>
      </c>
      <c r="BA42" s="412">
        <f>ROUND('PAI3'!AZ44,0)</f>
        <v>0</v>
      </c>
      <c r="BB42" s="412">
        <f>ROUND('PAI3'!BA44,0)</f>
        <v>0</v>
      </c>
      <c r="BC42" s="412">
        <f>ROUND('PAI3'!BB44,0)</f>
        <v>0</v>
      </c>
      <c r="BD42" s="412">
        <f>ROUND('PAI3'!BC44,0)</f>
        <v>0</v>
      </c>
      <c r="BE42" s="412">
        <f>ROUND(PJOK3!Y43,0)</f>
        <v>87</v>
      </c>
      <c r="BF42" s="412">
        <f>ROUND(PJOK3!Z43,0)</f>
        <v>77</v>
      </c>
      <c r="BG42" s="412">
        <f>ROUND(PJOK3!AA43,0)</f>
        <v>0</v>
      </c>
      <c r="BH42" s="412">
        <f>ROUND(PJOK3!AB43,0)</f>
        <v>0</v>
      </c>
      <c r="BI42" s="412">
        <f>ROUND(PJOK3!AC43,0)</f>
        <v>0</v>
      </c>
      <c r="BJ42" s="412">
        <f>ROUND(PJOK3!AD43,0)</f>
        <v>0</v>
      </c>
      <c r="BK42" s="414"/>
      <c r="BL42" s="413"/>
      <c r="BM42" s="412">
        <f>ROUND('MLK1-3'!AC43,0)</f>
        <v>0</v>
      </c>
      <c r="BN42" s="412">
        <f>ROUND('MLK1-3'!AD43,0)</f>
        <v>87</v>
      </c>
      <c r="BO42" s="412">
        <f>ROUND('MLK1-3'!AE43,0)</f>
        <v>77</v>
      </c>
      <c r="BP42" s="414"/>
      <c r="BQ42" s="414"/>
      <c r="BR42" s="415"/>
      <c r="BS42" s="412">
        <f>ROUND('MLK2-3'!AA43,0)</f>
        <v>0</v>
      </c>
      <c r="BT42" s="412">
        <f>ROUND('MLK2-3'!AB43,0)</f>
        <v>87</v>
      </c>
      <c r="BU42" s="412">
        <f>ROUND('MLK2-3'!AC43,0)</f>
        <v>77</v>
      </c>
      <c r="BV42" s="412">
        <f>ROUND('MLK2-3'!AD43,0)</f>
        <v>0</v>
      </c>
      <c r="BW42" s="414"/>
      <c r="BX42" s="413"/>
      <c r="BY42" s="412">
        <f>ROUND('MLK3-3'!AA43,0)</f>
        <v>87</v>
      </c>
      <c r="BZ42" s="412">
        <f>ROUND('MLK3-3'!AB43,0)</f>
        <v>77</v>
      </c>
      <c r="CA42" s="414"/>
      <c r="CB42" s="414"/>
      <c r="CC42" s="414"/>
      <c r="CD42" s="415"/>
    </row>
    <row r="43" spans="1:82" ht="20.25" customHeight="1">
      <c r="A43" s="113">
        <v>40</v>
      </c>
      <c r="B43" s="410" t="str">
        <f>SISWA!C45</f>
        <v>Anak 40</v>
      </c>
      <c r="C43" s="410"/>
      <c r="D43" s="412">
        <f>ROUND('PKN3'!S44,0)</f>
        <v>99</v>
      </c>
      <c r="E43" s="412">
        <f>ROUND('PKN3'!T44,0)</f>
        <v>99</v>
      </c>
      <c r="F43" s="412">
        <f>ROUND('PKN3'!U44,0)</f>
        <v>99</v>
      </c>
      <c r="G43" s="412">
        <f>ROUND('PKN3'!V44,0)</f>
        <v>0</v>
      </c>
      <c r="H43" s="412">
        <f>ROUND('PKN3'!W44,0)</f>
        <v>0</v>
      </c>
      <c r="I43" s="412">
        <f>ROUND('PKN3'!X44,0)</f>
        <v>0</v>
      </c>
      <c r="J43" s="412">
        <f>ROUND(BIND3!AA44,0)</f>
        <v>90</v>
      </c>
      <c r="K43" s="412">
        <f>ROUND(BIND3!AB44,0)</f>
        <v>78</v>
      </c>
      <c r="L43" s="412">
        <f>ROUND(BIND3!AC44,0)</f>
        <v>99</v>
      </c>
      <c r="M43" s="412">
        <f>ROUND(BIND3!AD44,0)</f>
        <v>99</v>
      </c>
      <c r="N43" s="412">
        <f>ROUND(BIND3!AE44,0)</f>
        <v>99</v>
      </c>
      <c r="O43" s="412">
        <f>ROUND(BIND3!AF44,0)</f>
        <v>0</v>
      </c>
      <c r="P43" s="412">
        <f>ROUND(BIND3!AG44,0)</f>
        <v>0</v>
      </c>
      <c r="Q43" s="412">
        <f>ROUND(BIND3!AH44,0)</f>
        <v>0</v>
      </c>
      <c r="R43" s="412">
        <f>ROUND('MTK3'!AE44,0)</f>
        <v>90</v>
      </c>
      <c r="S43" s="412">
        <f>ROUND('MTK3'!AF44,0)</f>
        <v>78</v>
      </c>
      <c r="T43" s="412">
        <f>ROUND('MTK3'!AG44,0)</f>
        <v>0</v>
      </c>
      <c r="U43" s="412">
        <f>ROUND('MTK3'!AH44,0)</f>
        <v>0</v>
      </c>
      <c r="V43" s="412">
        <f>ROUND('MTK3'!AI44,0)</f>
        <v>0</v>
      </c>
      <c r="W43" s="412">
        <f>ROUND('MTK3'!AJ44,0)</f>
        <v>0</v>
      </c>
      <c r="X43" s="412">
        <f>ROUND('MTK3'!AK44,0)</f>
        <v>0</v>
      </c>
      <c r="Y43" s="414"/>
      <c r="Z43" s="412">
        <f>ROUND('IPA3'!Y44,0)</f>
        <v>99</v>
      </c>
      <c r="AA43" s="412">
        <f>ROUND('IPA3'!Z44,0)</f>
        <v>99</v>
      </c>
      <c r="AB43" s="412">
        <f>ROUND('IPA3'!AA44,0)</f>
        <v>99</v>
      </c>
      <c r="AC43" s="412">
        <f>ROUND('IPA3'!AB44,0)</f>
        <v>99</v>
      </c>
      <c r="AD43" s="412">
        <f>ROUND('IPA3'!AC44,0)</f>
        <v>0</v>
      </c>
      <c r="AE43" s="413"/>
      <c r="AF43" s="412">
        <f>ROUND('IPS3'!Y44,0)</f>
        <v>99</v>
      </c>
      <c r="AG43" s="412">
        <f>ROUND('IPS3'!Z44,0)</f>
        <v>99</v>
      </c>
      <c r="AH43" s="412">
        <f>ROUND('IPS3'!AA44,0)</f>
        <v>99</v>
      </c>
      <c r="AI43" s="412">
        <f>ROUND('IPS3'!AB44,0)</f>
        <v>0</v>
      </c>
      <c r="AJ43" s="414"/>
      <c r="AK43" s="414"/>
      <c r="AL43" s="412">
        <f>ROUND(SBDP3!Y44,0)</f>
        <v>99</v>
      </c>
      <c r="AM43" s="412">
        <f>ROUND(SBDP3!Z44,0)</f>
        <v>99</v>
      </c>
      <c r="AN43" s="412">
        <f>ROUND(SBDP3!AA44,0)</f>
        <v>99</v>
      </c>
      <c r="AO43" s="412">
        <f>ROUND(SBDP3!AB44,0)</f>
        <v>0</v>
      </c>
      <c r="AP43" s="414"/>
      <c r="AQ43" s="413"/>
      <c r="AR43" s="412">
        <f>ROUND('PAI3'!AQ45,0)</f>
        <v>99</v>
      </c>
      <c r="AS43" s="412">
        <f>ROUND('PAI3'!AR45,0)</f>
        <v>99</v>
      </c>
      <c r="AT43" s="412">
        <f>ROUND('PAI3'!AS45,0)</f>
        <v>99</v>
      </c>
      <c r="AU43" s="412" t="e">
        <f>ROUND('PAI3'!AT45,0)</f>
        <v>#VALUE!</v>
      </c>
      <c r="AV43" s="412" t="e">
        <f>ROUND('PAI3'!AU45,0)</f>
        <v>#VALUE!</v>
      </c>
      <c r="AW43" s="412" t="e">
        <f>ROUND('PAI3'!AV45,0)</f>
        <v>#VALUE!</v>
      </c>
      <c r="AX43" s="412" t="e">
        <f>ROUND('PAI3'!AW45,0)</f>
        <v>#VALUE!</v>
      </c>
      <c r="AY43" s="412" t="e">
        <f>ROUND('PAI3'!AX45,0)</f>
        <v>#VALUE!</v>
      </c>
      <c r="AZ43" s="412">
        <f>ROUND('PAI3'!AY45,0)</f>
        <v>0</v>
      </c>
      <c r="BA43" s="412">
        <f>ROUND('PAI3'!AZ45,0)</f>
        <v>0</v>
      </c>
      <c r="BB43" s="412">
        <f>ROUND('PAI3'!BA45,0)</f>
        <v>0</v>
      </c>
      <c r="BC43" s="412">
        <f>ROUND('PAI3'!BB45,0)</f>
        <v>0</v>
      </c>
      <c r="BD43" s="412">
        <f>ROUND('PAI3'!BC45,0)</f>
        <v>0</v>
      </c>
      <c r="BE43" s="412">
        <f>ROUND(PJOK3!Y44,0)</f>
        <v>90</v>
      </c>
      <c r="BF43" s="412">
        <f>ROUND(PJOK3!Z44,0)</f>
        <v>78</v>
      </c>
      <c r="BG43" s="412">
        <f>ROUND(PJOK3!AA44,0)</f>
        <v>0</v>
      </c>
      <c r="BH43" s="412">
        <f>ROUND(PJOK3!AB44,0)</f>
        <v>0</v>
      </c>
      <c r="BI43" s="412">
        <f>ROUND(PJOK3!AC44,0)</f>
        <v>0</v>
      </c>
      <c r="BJ43" s="412">
        <f>ROUND(PJOK3!AD44,0)</f>
        <v>0</v>
      </c>
      <c r="BK43" s="414"/>
      <c r="BL43" s="413"/>
      <c r="BM43" s="412">
        <f>ROUND('MLK1-3'!AC44,0)</f>
        <v>0</v>
      </c>
      <c r="BN43" s="412">
        <f>ROUND('MLK1-3'!AD44,0)</f>
        <v>90</v>
      </c>
      <c r="BO43" s="412">
        <f>ROUND('MLK1-3'!AE44,0)</f>
        <v>78</v>
      </c>
      <c r="BP43" s="414"/>
      <c r="BQ43" s="414"/>
      <c r="BR43" s="415"/>
      <c r="BS43" s="412">
        <f>ROUND('MLK2-3'!AA44,0)</f>
        <v>0</v>
      </c>
      <c r="BT43" s="412">
        <f>ROUND('MLK2-3'!AB44,0)</f>
        <v>90</v>
      </c>
      <c r="BU43" s="412">
        <f>ROUND('MLK2-3'!AC44,0)</f>
        <v>78</v>
      </c>
      <c r="BV43" s="412">
        <f>ROUND('MLK2-3'!AD44,0)</f>
        <v>0</v>
      </c>
      <c r="BW43" s="414"/>
      <c r="BX43" s="413"/>
      <c r="BY43" s="412">
        <f>ROUND('MLK3-3'!AA44,0)</f>
        <v>90</v>
      </c>
      <c r="BZ43" s="412">
        <f>ROUND('MLK3-3'!AB44,0)</f>
        <v>78</v>
      </c>
      <c r="CA43" s="414"/>
      <c r="CB43" s="414"/>
      <c r="CC43" s="414"/>
      <c r="CD43" s="415"/>
    </row>
    <row r="44" spans="1:82" ht="20.25" customHeight="1">
      <c r="A44" s="113">
        <v>41</v>
      </c>
      <c r="B44" s="410" t="str">
        <f>SISWA!C46</f>
        <v>Anak 41</v>
      </c>
      <c r="C44" s="410"/>
      <c r="D44" s="412">
        <f>ROUND('PKN3'!S45,0)</f>
        <v>99</v>
      </c>
      <c r="E44" s="412">
        <f>ROUND('PKN3'!T45,0)</f>
        <v>99</v>
      </c>
      <c r="F44" s="412">
        <f>ROUND('PKN3'!U45,0)</f>
        <v>99</v>
      </c>
      <c r="G44" s="412">
        <f>ROUND('PKN3'!V45,0)</f>
        <v>0</v>
      </c>
      <c r="H44" s="412">
        <f>ROUND('PKN3'!W45,0)</f>
        <v>0</v>
      </c>
      <c r="I44" s="412">
        <f>ROUND('PKN3'!X45,0)</f>
        <v>0</v>
      </c>
      <c r="J44" s="412">
        <f>ROUND(BIND3!AA45,0)</f>
        <v>77</v>
      </c>
      <c r="K44" s="412">
        <f>ROUND(BIND3!AB45,0)</f>
        <v>90</v>
      </c>
      <c r="L44" s="412">
        <f>ROUND(BIND3!AC45,0)</f>
        <v>99</v>
      </c>
      <c r="M44" s="412">
        <f>ROUND(BIND3!AD45,0)</f>
        <v>99</v>
      </c>
      <c r="N44" s="412">
        <f>ROUND(BIND3!AE45,0)</f>
        <v>99</v>
      </c>
      <c r="O44" s="412">
        <f>ROUND(BIND3!AF45,0)</f>
        <v>0</v>
      </c>
      <c r="P44" s="412">
        <f>ROUND(BIND3!AG45,0)</f>
        <v>0</v>
      </c>
      <c r="Q44" s="412">
        <f>ROUND(BIND3!AH45,0)</f>
        <v>0</v>
      </c>
      <c r="R44" s="412">
        <f>ROUND('MTK3'!AE45,0)</f>
        <v>77</v>
      </c>
      <c r="S44" s="412">
        <f>ROUND('MTK3'!AF45,0)</f>
        <v>90</v>
      </c>
      <c r="T44" s="412">
        <f>ROUND('MTK3'!AG45,0)</f>
        <v>0</v>
      </c>
      <c r="U44" s="412">
        <f>ROUND('MTK3'!AH45,0)</f>
        <v>0</v>
      </c>
      <c r="V44" s="412">
        <f>ROUND('MTK3'!AI45,0)</f>
        <v>0</v>
      </c>
      <c r="W44" s="412">
        <f>ROUND('MTK3'!AJ45,0)</f>
        <v>0</v>
      </c>
      <c r="X44" s="412">
        <f>ROUND('MTK3'!AK45,0)</f>
        <v>0</v>
      </c>
      <c r="Y44" s="414"/>
      <c r="Z44" s="412">
        <f>ROUND('IPA3'!Y45,0)</f>
        <v>99</v>
      </c>
      <c r="AA44" s="412">
        <f>ROUND('IPA3'!Z45,0)</f>
        <v>99</v>
      </c>
      <c r="AB44" s="412">
        <f>ROUND('IPA3'!AA45,0)</f>
        <v>99</v>
      </c>
      <c r="AC44" s="412">
        <f>ROUND('IPA3'!AB45,0)</f>
        <v>99</v>
      </c>
      <c r="AD44" s="412">
        <f>ROUND('IPA3'!AC45,0)</f>
        <v>0</v>
      </c>
      <c r="AE44" s="413"/>
      <c r="AF44" s="412">
        <f>ROUND('IPS3'!Y45,0)</f>
        <v>99</v>
      </c>
      <c r="AG44" s="412">
        <f>ROUND('IPS3'!Z45,0)</f>
        <v>99</v>
      </c>
      <c r="AH44" s="412">
        <f>ROUND('IPS3'!AA45,0)</f>
        <v>99</v>
      </c>
      <c r="AI44" s="412">
        <f>ROUND('IPS3'!AB45,0)</f>
        <v>0</v>
      </c>
      <c r="AJ44" s="414"/>
      <c r="AK44" s="414"/>
      <c r="AL44" s="412">
        <f>ROUND(SBDP3!Y45,0)</f>
        <v>99</v>
      </c>
      <c r="AM44" s="412">
        <f>ROUND(SBDP3!Z45,0)</f>
        <v>99</v>
      </c>
      <c r="AN44" s="412">
        <f>ROUND(SBDP3!AA45,0)</f>
        <v>99</v>
      </c>
      <c r="AO44" s="412">
        <f>ROUND(SBDP3!AB45,0)</f>
        <v>0</v>
      </c>
      <c r="AP44" s="414"/>
      <c r="AQ44" s="413"/>
      <c r="AR44" s="412">
        <f>ROUND('PAI3'!AQ46,0)</f>
        <v>99</v>
      </c>
      <c r="AS44" s="412">
        <f>ROUND('PAI3'!AR46,0)</f>
        <v>99</v>
      </c>
      <c r="AT44" s="412">
        <f>ROUND('PAI3'!AS46,0)</f>
        <v>99</v>
      </c>
      <c r="AU44" s="412" t="e">
        <f>ROUND('PAI3'!AT46,0)</f>
        <v>#VALUE!</v>
      </c>
      <c r="AV44" s="412" t="e">
        <f>ROUND('PAI3'!AU46,0)</f>
        <v>#VALUE!</v>
      </c>
      <c r="AW44" s="412" t="e">
        <f>ROUND('PAI3'!AV46,0)</f>
        <v>#VALUE!</v>
      </c>
      <c r="AX44" s="412" t="e">
        <f>ROUND('PAI3'!AW46,0)</f>
        <v>#VALUE!</v>
      </c>
      <c r="AY44" s="412" t="e">
        <f>ROUND('PAI3'!AX46,0)</f>
        <v>#VALUE!</v>
      </c>
      <c r="AZ44" s="412">
        <f>ROUND('PAI3'!AY46,0)</f>
        <v>0</v>
      </c>
      <c r="BA44" s="412">
        <f>ROUND('PAI3'!AZ46,0)</f>
        <v>0</v>
      </c>
      <c r="BB44" s="412">
        <f>ROUND('PAI3'!BA46,0)</f>
        <v>0</v>
      </c>
      <c r="BC44" s="412">
        <f>ROUND('PAI3'!BB46,0)</f>
        <v>0</v>
      </c>
      <c r="BD44" s="412">
        <f>ROUND('PAI3'!BC46,0)</f>
        <v>0</v>
      </c>
      <c r="BE44" s="412">
        <f>ROUND(PJOK3!Y45,0)</f>
        <v>77</v>
      </c>
      <c r="BF44" s="412">
        <f>ROUND(PJOK3!Z45,0)</f>
        <v>90</v>
      </c>
      <c r="BG44" s="412">
        <f>ROUND(PJOK3!AA45,0)</f>
        <v>0</v>
      </c>
      <c r="BH44" s="412">
        <f>ROUND(PJOK3!AB45,0)</f>
        <v>0</v>
      </c>
      <c r="BI44" s="412">
        <f>ROUND(PJOK3!AC45,0)</f>
        <v>0</v>
      </c>
      <c r="BJ44" s="412">
        <f>ROUND(PJOK3!AD45,0)</f>
        <v>0</v>
      </c>
      <c r="BK44" s="414"/>
      <c r="BL44" s="413"/>
      <c r="BM44" s="412">
        <f>ROUND('MLK1-3'!AC45,0)</f>
        <v>0</v>
      </c>
      <c r="BN44" s="412">
        <f>ROUND('MLK1-3'!AD45,0)</f>
        <v>77</v>
      </c>
      <c r="BO44" s="412">
        <f>ROUND('MLK1-3'!AE45,0)</f>
        <v>90</v>
      </c>
      <c r="BP44" s="414"/>
      <c r="BQ44" s="414"/>
      <c r="BR44" s="415"/>
      <c r="BS44" s="412">
        <f>ROUND('MLK2-3'!AA45,0)</f>
        <v>0</v>
      </c>
      <c r="BT44" s="412">
        <f>ROUND('MLK2-3'!AB45,0)</f>
        <v>77</v>
      </c>
      <c r="BU44" s="412">
        <f>ROUND('MLK2-3'!AC45,0)</f>
        <v>90</v>
      </c>
      <c r="BV44" s="412">
        <f>ROUND('MLK2-3'!AD45,0)</f>
        <v>0</v>
      </c>
      <c r="BW44" s="414"/>
      <c r="BX44" s="413"/>
      <c r="BY44" s="412">
        <f>ROUND('MLK3-3'!AA45,0)</f>
        <v>77</v>
      </c>
      <c r="BZ44" s="412">
        <f>ROUND('MLK3-3'!AB45,0)</f>
        <v>90</v>
      </c>
      <c r="CA44" s="414"/>
      <c r="CB44" s="414"/>
      <c r="CC44" s="414"/>
      <c r="CD44" s="415"/>
    </row>
    <row r="45" spans="1:82" ht="20.25" customHeight="1">
      <c r="A45" s="113">
        <v>42</v>
      </c>
      <c r="B45" s="410" t="str">
        <f>SISWA!C47</f>
        <v>Anak 42</v>
      </c>
      <c r="C45" s="410"/>
      <c r="D45" s="412">
        <f>ROUND('PKN3'!S46,0)</f>
        <v>99</v>
      </c>
      <c r="E45" s="412">
        <f>ROUND('PKN3'!T46,0)</f>
        <v>99</v>
      </c>
      <c r="F45" s="412">
        <f>ROUND('PKN3'!U46,0)</f>
        <v>99</v>
      </c>
      <c r="G45" s="412">
        <f>ROUND('PKN3'!V46,0)</f>
        <v>0</v>
      </c>
      <c r="H45" s="412">
        <f>ROUND('PKN3'!W46,0)</f>
        <v>0</v>
      </c>
      <c r="I45" s="412">
        <f>ROUND('PKN3'!X46,0)</f>
        <v>0</v>
      </c>
      <c r="J45" s="412">
        <f>ROUND(BIND3!AA46,0)</f>
        <v>83</v>
      </c>
      <c r="K45" s="412">
        <f>ROUND(BIND3!AB46,0)</f>
        <v>87</v>
      </c>
      <c r="L45" s="412">
        <f>ROUND(BIND3!AC46,0)</f>
        <v>99</v>
      </c>
      <c r="M45" s="412">
        <f>ROUND(BIND3!AD46,0)</f>
        <v>99</v>
      </c>
      <c r="N45" s="412">
        <f>ROUND(BIND3!AE46,0)</f>
        <v>99</v>
      </c>
      <c r="O45" s="412">
        <f>ROUND(BIND3!AF46,0)</f>
        <v>0</v>
      </c>
      <c r="P45" s="412">
        <f>ROUND(BIND3!AG46,0)</f>
        <v>0</v>
      </c>
      <c r="Q45" s="412">
        <f>ROUND(BIND3!AH46,0)</f>
        <v>0</v>
      </c>
      <c r="R45" s="412">
        <f>ROUND('MTK3'!AE46,0)</f>
        <v>83</v>
      </c>
      <c r="S45" s="412">
        <f>ROUND('MTK3'!AF46,0)</f>
        <v>87</v>
      </c>
      <c r="T45" s="412">
        <f>ROUND('MTK3'!AG46,0)</f>
        <v>0</v>
      </c>
      <c r="U45" s="412">
        <f>ROUND('MTK3'!AH46,0)</f>
        <v>0</v>
      </c>
      <c r="V45" s="412">
        <f>ROUND('MTK3'!AI46,0)</f>
        <v>0</v>
      </c>
      <c r="W45" s="412">
        <f>ROUND('MTK3'!AJ46,0)</f>
        <v>0</v>
      </c>
      <c r="X45" s="412">
        <f>ROUND('MTK3'!AK46,0)</f>
        <v>0</v>
      </c>
      <c r="Y45" s="414"/>
      <c r="Z45" s="412">
        <f>ROUND('IPA3'!Y46,0)</f>
        <v>99</v>
      </c>
      <c r="AA45" s="412">
        <f>ROUND('IPA3'!Z46,0)</f>
        <v>99</v>
      </c>
      <c r="AB45" s="412">
        <f>ROUND('IPA3'!AA46,0)</f>
        <v>99</v>
      </c>
      <c r="AC45" s="412">
        <f>ROUND('IPA3'!AB46,0)</f>
        <v>99</v>
      </c>
      <c r="AD45" s="412">
        <f>ROUND('IPA3'!AC46,0)</f>
        <v>0</v>
      </c>
      <c r="AE45" s="413"/>
      <c r="AF45" s="412">
        <f>ROUND('IPS3'!Y46,0)</f>
        <v>99</v>
      </c>
      <c r="AG45" s="412">
        <f>ROUND('IPS3'!Z46,0)</f>
        <v>99</v>
      </c>
      <c r="AH45" s="412">
        <f>ROUND('IPS3'!AA46,0)</f>
        <v>99</v>
      </c>
      <c r="AI45" s="412">
        <f>ROUND('IPS3'!AB46,0)</f>
        <v>0</v>
      </c>
      <c r="AJ45" s="414"/>
      <c r="AK45" s="414"/>
      <c r="AL45" s="412">
        <f>ROUND(SBDP3!Y46,0)</f>
        <v>99</v>
      </c>
      <c r="AM45" s="412">
        <f>ROUND(SBDP3!Z46,0)</f>
        <v>99</v>
      </c>
      <c r="AN45" s="412">
        <f>ROUND(SBDP3!AA46,0)</f>
        <v>99</v>
      </c>
      <c r="AO45" s="412">
        <f>ROUND(SBDP3!AB46,0)</f>
        <v>0</v>
      </c>
      <c r="AP45" s="414"/>
      <c r="AQ45" s="413"/>
      <c r="AR45" s="412">
        <f>ROUND('PAI3'!AQ47,0)</f>
        <v>99</v>
      </c>
      <c r="AS45" s="412">
        <f>ROUND('PAI3'!AR47,0)</f>
        <v>99</v>
      </c>
      <c r="AT45" s="412">
        <f>ROUND('PAI3'!AS47,0)</f>
        <v>99</v>
      </c>
      <c r="AU45" s="412" t="e">
        <f>ROUND('PAI3'!AT47,0)</f>
        <v>#VALUE!</v>
      </c>
      <c r="AV45" s="412" t="e">
        <f>ROUND('PAI3'!AU47,0)</f>
        <v>#VALUE!</v>
      </c>
      <c r="AW45" s="412" t="e">
        <f>ROUND('PAI3'!AV47,0)</f>
        <v>#VALUE!</v>
      </c>
      <c r="AX45" s="412" t="e">
        <f>ROUND('PAI3'!AW47,0)</f>
        <v>#VALUE!</v>
      </c>
      <c r="AY45" s="412" t="e">
        <f>ROUND('PAI3'!AX47,0)</f>
        <v>#VALUE!</v>
      </c>
      <c r="AZ45" s="412">
        <f>ROUND('PAI3'!AY47,0)</f>
        <v>0</v>
      </c>
      <c r="BA45" s="412">
        <f>ROUND('PAI3'!AZ47,0)</f>
        <v>0</v>
      </c>
      <c r="BB45" s="412">
        <f>ROUND('PAI3'!BA47,0)</f>
        <v>0</v>
      </c>
      <c r="BC45" s="412">
        <f>ROUND('PAI3'!BB47,0)</f>
        <v>0</v>
      </c>
      <c r="BD45" s="412">
        <f>ROUND('PAI3'!BC47,0)</f>
        <v>0</v>
      </c>
      <c r="BE45" s="412">
        <f>ROUND(PJOK3!Y46,0)</f>
        <v>83</v>
      </c>
      <c r="BF45" s="412">
        <f>ROUND(PJOK3!Z46,0)</f>
        <v>87</v>
      </c>
      <c r="BG45" s="412">
        <f>ROUND(PJOK3!AA46,0)</f>
        <v>0</v>
      </c>
      <c r="BH45" s="412">
        <f>ROUND(PJOK3!AB46,0)</f>
        <v>0</v>
      </c>
      <c r="BI45" s="412">
        <f>ROUND(PJOK3!AC46,0)</f>
        <v>0</v>
      </c>
      <c r="BJ45" s="412">
        <f>ROUND(PJOK3!AD46,0)</f>
        <v>0</v>
      </c>
      <c r="BK45" s="414"/>
      <c r="BL45" s="413"/>
      <c r="BM45" s="412">
        <f>ROUND('MLK1-3'!AC46,0)</f>
        <v>0</v>
      </c>
      <c r="BN45" s="412">
        <f>ROUND('MLK1-3'!AD46,0)</f>
        <v>83</v>
      </c>
      <c r="BO45" s="412">
        <f>ROUND('MLK1-3'!AE46,0)</f>
        <v>87</v>
      </c>
      <c r="BP45" s="414"/>
      <c r="BQ45" s="414"/>
      <c r="BR45" s="415"/>
      <c r="BS45" s="412">
        <f>ROUND('MLK2-3'!AA46,0)</f>
        <v>0</v>
      </c>
      <c r="BT45" s="412">
        <f>ROUND('MLK2-3'!AB46,0)</f>
        <v>83</v>
      </c>
      <c r="BU45" s="412">
        <f>ROUND('MLK2-3'!AC46,0)</f>
        <v>87</v>
      </c>
      <c r="BV45" s="412">
        <f>ROUND('MLK2-3'!AD46,0)</f>
        <v>0</v>
      </c>
      <c r="BW45" s="414"/>
      <c r="BX45" s="413"/>
      <c r="BY45" s="412">
        <f>ROUND('MLK3-3'!AA46,0)</f>
        <v>83</v>
      </c>
      <c r="BZ45" s="412">
        <f>ROUND('MLK3-3'!AB46,0)</f>
        <v>87</v>
      </c>
      <c r="CA45" s="414"/>
      <c r="CB45" s="414"/>
      <c r="CC45" s="414"/>
      <c r="CD45" s="415"/>
    </row>
    <row r="46" spans="1:82" ht="20.25" customHeight="1">
      <c r="A46" s="113">
        <v>43</v>
      </c>
      <c r="B46" s="410" t="str">
        <f>SISWA!C48</f>
        <v>Anak 43</v>
      </c>
      <c r="C46" s="410"/>
      <c r="D46" s="412">
        <f>ROUND('PKN3'!S47,0)</f>
        <v>99</v>
      </c>
      <c r="E46" s="412">
        <f>ROUND('PKN3'!T47,0)</f>
        <v>99</v>
      </c>
      <c r="F46" s="412">
        <f>ROUND('PKN3'!U47,0)</f>
        <v>99</v>
      </c>
      <c r="G46" s="412">
        <f>ROUND('PKN3'!V47,0)</f>
        <v>0</v>
      </c>
      <c r="H46" s="412">
        <f>ROUND('PKN3'!W47,0)</f>
        <v>0</v>
      </c>
      <c r="I46" s="412">
        <f>ROUND('PKN3'!X47,0)</f>
        <v>0</v>
      </c>
      <c r="J46" s="412">
        <f>ROUND(BIND3!AA47,0)</f>
        <v>75</v>
      </c>
      <c r="K46" s="412">
        <f>ROUND(BIND3!AB47,0)</f>
        <v>78</v>
      </c>
      <c r="L46" s="412">
        <f>ROUND(BIND3!AC47,0)</f>
        <v>99</v>
      </c>
      <c r="M46" s="412">
        <f>ROUND(BIND3!AD47,0)</f>
        <v>99</v>
      </c>
      <c r="N46" s="412">
        <f>ROUND(BIND3!AE47,0)</f>
        <v>99</v>
      </c>
      <c r="O46" s="412">
        <f>ROUND(BIND3!AF47,0)</f>
        <v>0</v>
      </c>
      <c r="P46" s="412">
        <f>ROUND(BIND3!AG47,0)</f>
        <v>0</v>
      </c>
      <c r="Q46" s="412">
        <f>ROUND(BIND3!AH47,0)</f>
        <v>0</v>
      </c>
      <c r="R46" s="412">
        <f>ROUND('MTK3'!AE47,0)</f>
        <v>75</v>
      </c>
      <c r="S46" s="412">
        <f>ROUND('MTK3'!AF47,0)</f>
        <v>78</v>
      </c>
      <c r="T46" s="412">
        <f>ROUND('MTK3'!AG47,0)</f>
        <v>0</v>
      </c>
      <c r="U46" s="412">
        <f>ROUND('MTK3'!AH47,0)</f>
        <v>0</v>
      </c>
      <c r="V46" s="412">
        <f>ROUND('MTK3'!AI47,0)</f>
        <v>0</v>
      </c>
      <c r="W46" s="412">
        <f>ROUND('MTK3'!AJ47,0)</f>
        <v>0</v>
      </c>
      <c r="X46" s="412">
        <f>ROUND('MTK3'!AK47,0)</f>
        <v>0</v>
      </c>
      <c r="Y46" s="414"/>
      <c r="Z46" s="412">
        <f>ROUND('IPA3'!Y47,0)</f>
        <v>99</v>
      </c>
      <c r="AA46" s="412">
        <f>ROUND('IPA3'!Z47,0)</f>
        <v>99</v>
      </c>
      <c r="AB46" s="412">
        <f>ROUND('IPA3'!AA47,0)</f>
        <v>99</v>
      </c>
      <c r="AC46" s="412">
        <f>ROUND('IPA3'!AB47,0)</f>
        <v>99</v>
      </c>
      <c r="AD46" s="412">
        <f>ROUND('IPA3'!AC47,0)</f>
        <v>0</v>
      </c>
      <c r="AE46" s="413"/>
      <c r="AF46" s="412">
        <f>ROUND('IPS3'!Y47,0)</f>
        <v>99</v>
      </c>
      <c r="AG46" s="412">
        <f>ROUND('IPS3'!Z47,0)</f>
        <v>99</v>
      </c>
      <c r="AH46" s="412">
        <f>ROUND('IPS3'!AA47,0)</f>
        <v>99</v>
      </c>
      <c r="AI46" s="412">
        <f>ROUND('IPS3'!AB47,0)</f>
        <v>0</v>
      </c>
      <c r="AJ46" s="414"/>
      <c r="AK46" s="414"/>
      <c r="AL46" s="412">
        <f>ROUND(SBDP3!Y47,0)</f>
        <v>99</v>
      </c>
      <c r="AM46" s="412">
        <f>ROUND(SBDP3!Z47,0)</f>
        <v>99</v>
      </c>
      <c r="AN46" s="412">
        <f>ROUND(SBDP3!AA47,0)</f>
        <v>99</v>
      </c>
      <c r="AO46" s="412">
        <f>ROUND(SBDP3!AB47,0)</f>
        <v>0</v>
      </c>
      <c r="AP46" s="414"/>
      <c r="AQ46" s="413"/>
      <c r="AR46" s="412">
        <f>ROUND('PAI3'!AQ48,0)</f>
        <v>99</v>
      </c>
      <c r="AS46" s="412">
        <f>ROUND('PAI3'!AR48,0)</f>
        <v>99</v>
      </c>
      <c r="AT46" s="412">
        <f>ROUND('PAI3'!AS48,0)</f>
        <v>99</v>
      </c>
      <c r="AU46" s="412" t="e">
        <f>ROUND('PAI3'!AT48,0)</f>
        <v>#VALUE!</v>
      </c>
      <c r="AV46" s="412" t="e">
        <f>ROUND('PAI3'!AU48,0)</f>
        <v>#VALUE!</v>
      </c>
      <c r="AW46" s="412" t="e">
        <f>ROUND('PAI3'!AV48,0)</f>
        <v>#VALUE!</v>
      </c>
      <c r="AX46" s="412" t="e">
        <f>ROUND('PAI3'!AW48,0)</f>
        <v>#VALUE!</v>
      </c>
      <c r="AY46" s="412" t="e">
        <f>ROUND('PAI3'!AX48,0)</f>
        <v>#VALUE!</v>
      </c>
      <c r="AZ46" s="412">
        <f>ROUND('PAI3'!AY48,0)</f>
        <v>0</v>
      </c>
      <c r="BA46" s="412">
        <f>ROUND('PAI3'!AZ48,0)</f>
        <v>0</v>
      </c>
      <c r="BB46" s="412">
        <f>ROUND('PAI3'!BA48,0)</f>
        <v>0</v>
      </c>
      <c r="BC46" s="412">
        <f>ROUND('PAI3'!BB48,0)</f>
        <v>0</v>
      </c>
      <c r="BD46" s="412">
        <f>ROUND('PAI3'!BC48,0)</f>
        <v>0</v>
      </c>
      <c r="BE46" s="412">
        <f>ROUND(PJOK3!Y47,0)</f>
        <v>75</v>
      </c>
      <c r="BF46" s="412">
        <f>ROUND(PJOK3!Z47,0)</f>
        <v>78</v>
      </c>
      <c r="BG46" s="412">
        <f>ROUND(PJOK3!AA47,0)</f>
        <v>0</v>
      </c>
      <c r="BH46" s="412">
        <f>ROUND(PJOK3!AB47,0)</f>
        <v>0</v>
      </c>
      <c r="BI46" s="412">
        <f>ROUND(PJOK3!AC47,0)</f>
        <v>0</v>
      </c>
      <c r="BJ46" s="412">
        <f>ROUND(PJOK3!AD47,0)</f>
        <v>0</v>
      </c>
      <c r="BK46" s="414"/>
      <c r="BL46" s="413"/>
      <c r="BM46" s="412">
        <f>ROUND('MLK1-3'!AC47,0)</f>
        <v>0</v>
      </c>
      <c r="BN46" s="412">
        <f>ROUND('MLK1-3'!AD47,0)</f>
        <v>75</v>
      </c>
      <c r="BO46" s="412">
        <f>ROUND('MLK1-3'!AE47,0)</f>
        <v>78</v>
      </c>
      <c r="BP46" s="414"/>
      <c r="BQ46" s="414"/>
      <c r="BR46" s="415"/>
      <c r="BS46" s="412">
        <f>ROUND('MLK2-3'!AA47,0)</f>
        <v>0</v>
      </c>
      <c r="BT46" s="412">
        <f>ROUND('MLK2-3'!AB47,0)</f>
        <v>75</v>
      </c>
      <c r="BU46" s="412">
        <f>ROUND('MLK2-3'!AC47,0)</f>
        <v>78</v>
      </c>
      <c r="BV46" s="412">
        <f>ROUND('MLK2-3'!AD47,0)</f>
        <v>0</v>
      </c>
      <c r="BW46" s="414"/>
      <c r="BX46" s="413"/>
      <c r="BY46" s="412">
        <f>ROUND('MLK3-3'!AA47,0)</f>
        <v>75</v>
      </c>
      <c r="BZ46" s="412">
        <f>ROUND('MLK3-3'!AB47,0)</f>
        <v>78</v>
      </c>
      <c r="CA46" s="414"/>
      <c r="CB46" s="414"/>
      <c r="CC46" s="414"/>
      <c r="CD46" s="415"/>
    </row>
    <row r="47" spans="1:82" ht="20.25" customHeight="1">
      <c r="A47" s="113">
        <v>44</v>
      </c>
      <c r="B47" s="410" t="str">
        <f>SISWA!C49</f>
        <v>Anak 44</v>
      </c>
      <c r="C47" s="410"/>
      <c r="D47" s="412">
        <f>ROUND('PKN3'!S48,0)</f>
        <v>99</v>
      </c>
      <c r="E47" s="412">
        <f>ROUND('PKN3'!T48,0)</f>
        <v>99</v>
      </c>
      <c r="F47" s="412">
        <f>ROUND('PKN3'!U48,0)</f>
        <v>99</v>
      </c>
      <c r="G47" s="412">
        <f>ROUND('PKN3'!V48,0)</f>
        <v>0</v>
      </c>
      <c r="H47" s="412">
        <f>ROUND('PKN3'!W48,0)</f>
        <v>0</v>
      </c>
      <c r="I47" s="412">
        <f>ROUND('PKN3'!X48,0)</f>
        <v>0</v>
      </c>
      <c r="J47" s="412">
        <f>ROUND(BIND3!AA48,0)</f>
        <v>75</v>
      </c>
      <c r="K47" s="412">
        <f>ROUND(BIND3!AB48,0)</f>
        <v>80</v>
      </c>
      <c r="L47" s="412">
        <f>ROUND(BIND3!AC48,0)</f>
        <v>99</v>
      </c>
      <c r="M47" s="412">
        <f>ROUND(BIND3!AD48,0)</f>
        <v>99</v>
      </c>
      <c r="N47" s="412">
        <f>ROUND(BIND3!AE48,0)</f>
        <v>99</v>
      </c>
      <c r="O47" s="412">
        <f>ROUND(BIND3!AF48,0)</f>
        <v>0</v>
      </c>
      <c r="P47" s="412">
        <f>ROUND(BIND3!AG48,0)</f>
        <v>0</v>
      </c>
      <c r="Q47" s="412">
        <f>ROUND(BIND3!AH48,0)</f>
        <v>0</v>
      </c>
      <c r="R47" s="412">
        <f>ROUND('MTK3'!AE48,0)</f>
        <v>75</v>
      </c>
      <c r="S47" s="412">
        <f>ROUND('MTK3'!AF48,0)</f>
        <v>80</v>
      </c>
      <c r="T47" s="412">
        <f>ROUND('MTK3'!AG48,0)</f>
        <v>0</v>
      </c>
      <c r="U47" s="412">
        <f>ROUND('MTK3'!AH48,0)</f>
        <v>0</v>
      </c>
      <c r="V47" s="412">
        <f>ROUND('MTK3'!AI48,0)</f>
        <v>0</v>
      </c>
      <c r="W47" s="412">
        <f>ROUND('MTK3'!AJ48,0)</f>
        <v>0</v>
      </c>
      <c r="X47" s="412">
        <f>ROUND('MTK3'!AK48,0)</f>
        <v>0</v>
      </c>
      <c r="Y47" s="414"/>
      <c r="Z47" s="412">
        <f>ROUND('IPA3'!Y48,0)</f>
        <v>99</v>
      </c>
      <c r="AA47" s="412">
        <f>ROUND('IPA3'!Z48,0)</f>
        <v>99</v>
      </c>
      <c r="AB47" s="412">
        <f>ROUND('IPA3'!AA48,0)</f>
        <v>99</v>
      </c>
      <c r="AC47" s="412">
        <f>ROUND('IPA3'!AB48,0)</f>
        <v>99</v>
      </c>
      <c r="AD47" s="412">
        <f>ROUND('IPA3'!AC48,0)</f>
        <v>0</v>
      </c>
      <c r="AE47" s="413"/>
      <c r="AF47" s="412">
        <f>ROUND('IPS3'!Y48,0)</f>
        <v>99</v>
      </c>
      <c r="AG47" s="412">
        <f>ROUND('IPS3'!Z48,0)</f>
        <v>99</v>
      </c>
      <c r="AH47" s="412">
        <f>ROUND('IPS3'!AA48,0)</f>
        <v>99</v>
      </c>
      <c r="AI47" s="412">
        <f>ROUND('IPS3'!AB48,0)</f>
        <v>0</v>
      </c>
      <c r="AJ47" s="414"/>
      <c r="AK47" s="414"/>
      <c r="AL47" s="412">
        <f>ROUND(SBDP3!Y48,0)</f>
        <v>99</v>
      </c>
      <c r="AM47" s="412">
        <f>ROUND(SBDP3!Z48,0)</f>
        <v>99</v>
      </c>
      <c r="AN47" s="412">
        <f>ROUND(SBDP3!AA48,0)</f>
        <v>99</v>
      </c>
      <c r="AO47" s="412">
        <f>ROUND(SBDP3!AB48,0)</f>
        <v>0</v>
      </c>
      <c r="AP47" s="414"/>
      <c r="AQ47" s="413"/>
      <c r="AR47" s="412">
        <f>ROUND('PAI3'!AQ49,0)</f>
        <v>99</v>
      </c>
      <c r="AS47" s="412">
        <f>ROUND('PAI3'!AR49,0)</f>
        <v>99</v>
      </c>
      <c r="AT47" s="412">
        <f>ROUND('PAI3'!AS49,0)</f>
        <v>99</v>
      </c>
      <c r="AU47" s="412" t="e">
        <f>ROUND('PAI3'!AT49,0)</f>
        <v>#VALUE!</v>
      </c>
      <c r="AV47" s="412" t="e">
        <f>ROUND('PAI3'!AU49,0)</f>
        <v>#VALUE!</v>
      </c>
      <c r="AW47" s="412" t="e">
        <f>ROUND('PAI3'!AV49,0)</f>
        <v>#VALUE!</v>
      </c>
      <c r="AX47" s="412" t="e">
        <f>ROUND('PAI3'!AW49,0)</f>
        <v>#VALUE!</v>
      </c>
      <c r="AY47" s="412" t="e">
        <f>ROUND('PAI3'!AX49,0)</f>
        <v>#VALUE!</v>
      </c>
      <c r="AZ47" s="412">
        <f>ROUND('PAI3'!AY49,0)</f>
        <v>0</v>
      </c>
      <c r="BA47" s="412">
        <f>ROUND('PAI3'!AZ49,0)</f>
        <v>0</v>
      </c>
      <c r="BB47" s="412">
        <f>ROUND('PAI3'!BA49,0)</f>
        <v>0</v>
      </c>
      <c r="BC47" s="412">
        <f>ROUND('PAI3'!BB49,0)</f>
        <v>0</v>
      </c>
      <c r="BD47" s="412">
        <f>ROUND('PAI3'!BC49,0)</f>
        <v>0</v>
      </c>
      <c r="BE47" s="412">
        <f>ROUND(PJOK3!Y48,0)</f>
        <v>75</v>
      </c>
      <c r="BF47" s="412">
        <f>ROUND(PJOK3!Z48,0)</f>
        <v>80</v>
      </c>
      <c r="BG47" s="412">
        <f>ROUND(PJOK3!AA48,0)</f>
        <v>0</v>
      </c>
      <c r="BH47" s="412">
        <f>ROUND(PJOK3!AB48,0)</f>
        <v>0</v>
      </c>
      <c r="BI47" s="412">
        <f>ROUND(PJOK3!AC48,0)</f>
        <v>0</v>
      </c>
      <c r="BJ47" s="412">
        <f>ROUND(PJOK3!AD48,0)</f>
        <v>0</v>
      </c>
      <c r="BK47" s="414"/>
      <c r="BL47" s="413"/>
      <c r="BM47" s="412">
        <f>ROUND('MLK1-3'!AC48,0)</f>
        <v>0</v>
      </c>
      <c r="BN47" s="412">
        <f>ROUND('MLK1-3'!AD48,0)</f>
        <v>75</v>
      </c>
      <c r="BO47" s="412">
        <f>ROUND('MLK1-3'!AE48,0)</f>
        <v>80</v>
      </c>
      <c r="BP47" s="414"/>
      <c r="BQ47" s="414"/>
      <c r="BR47" s="415"/>
      <c r="BS47" s="412">
        <f>ROUND('MLK2-3'!AA48,0)</f>
        <v>0</v>
      </c>
      <c r="BT47" s="412">
        <f>ROUND('MLK2-3'!AB48,0)</f>
        <v>75</v>
      </c>
      <c r="BU47" s="412">
        <f>ROUND('MLK2-3'!AC48,0)</f>
        <v>80</v>
      </c>
      <c r="BV47" s="412">
        <f>ROUND('MLK2-3'!AD48,0)</f>
        <v>0</v>
      </c>
      <c r="BW47" s="414"/>
      <c r="BX47" s="413"/>
      <c r="BY47" s="412">
        <f>ROUND('MLK3-3'!AA48,0)</f>
        <v>75</v>
      </c>
      <c r="BZ47" s="412">
        <f>ROUND('MLK3-3'!AB48,0)</f>
        <v>80</v>
      </c>
      <c r="CA47" s="414"/>
      <c r="CB47" s="414"/>
      <c r="CC47" s="414"/>
      <c r="CD47" s="415"/>
    </row>
    <row r="48" spans="1:82" ht="20.25" customHeight="1">
      <c r="A48" s="113">
        <v>45</v>
      </c>
      <c r="B48" s="410" t="str">
        <f>SISWA!C50</f>
        <v>Anak 45</v>
      </c>
      <c r="C48" s="410"/>
      <c r="D48" s="412">
        <f>ROUND('PKN3'!S49,0)</f>
        <v>99</v>
      </c>
      <c r="E48" s="412">
        <f>ROUND('PKN3'!T49,0)</f>
        <v>99</v>
      </c>
      <c r="F48" s="412">
        <f>ROUND('PKN3'!U49,0)</f>
        <v>99</v>
      </c>
      <c r="G48" s="412">
        <f>ROUND('PKN3'!V49,0)</f>
        <v>0</v>
      </c>
      <c r="H48" s="412">
        <f>ROUND('PKN3'!W49,0)</f>
        <v>0</v>
      </c>
      <c r="I48" s="412">
        <f>ROUND('PKN3'!X49,0)</f>
        <v>0</v>
      </c>
      <c r="J48" s="412">
        <f>ROUND(BIND3!AA49,0)</f>
        <v>75</v>
      </c>
      <c r="K48" s="412">
        <f>ROUND(BIND3!AB49,0)</f>
        <v>72</v>
      </c>
      <c r="L48" s="412">
        <f>ROUND(BIND3!AC49,0)</f>
        <v>99</v>
      </c>
      <c r="M48" s="412">
        <f>ROUND(BIND3!AD49,0)</f>
        <v>99</v>
      </c>
      <c r="N48" s="412">
        <f>ROUND(BIND3!AE49,0)</f>
        <v>99</v>
      </c>
      <c r="O48" s="412">
        <f>ROUND(BIND3!AF49,0)</f>
        <v>0</v>
      </c>
      <c r="P48" s="412">
        <f>ROUND(BIND3!AG49,0)</f>
        <v>0</v>
      </c>
      <c r="Q48" s="412">
        <f>ROUND(BIND3!AH49,0)</f>
        <v>0</v>
      </c>
      <c r="R48" s="412">
        <f>ROUND('MTK3'!AE49,0)</f>
        <v>75</v>
      </c>
      <c r="S48" s="412">
        <f>ROUND('MTK3'!AF49,0)</f>
        <v>72</v>
      </c>
      <c r="T48" s="412">
        <f>ROUND('MTK3'!AG49,0)</f>
        <v>0</v>
      </c>
      <c r="U48" s="412">
        <f>ROUND('MTK3'!AH49,0)</f>
        <v>0</v>
      </c>
      <c r="V48" s="412">
        <f>ROUND('MTK3'!AI49,0)</f>
        <v>0</v>
      </c>
      <c r="W48" s="412">
        <f>ROUND('MTK3'!AJ49,0)</f>
        <v>0</v>
      </c>
      <c r="X48" s="412">
        <f>ROUND('MTK3'!AK49,0)</f>
        <v>0</v>
      </c>
      <c r="Y48" s="414"/>
      <c r="Z48" s="412">
        <f>ROUND('IPA3'!Y49,0)</f>
        <v>99</v>
      </c>
      <c r="AA48" s="412">
        <f>ROUND('IPA3'!Z49,0)</f>
        <v>99</v>
      </c>
      <c r="AB48" s="412">
        <f>ROUND('IPA3'!AA49,0)</f>
        <v>99</v>
      </c>
      <c r="AC48" s="412">
        <f>ROUND('IPA3'!AB49,0)</f>
        <v>99</v>
      </c>
      <c r="AD48" s="412">
        <f>ROUND('IPA3'!AC49,0)</f>
        <v>0</v>
      </c>
      <c r="AE48" s="413"/>
      <c r="AF48" s="412">
        <f>ROUND('IPS3'!Y49,0)</f>
        <v>99</v>
      </c>
      <c r="AG48" s="412">
        <f>ROUND('IPS3'!Z49,0)</f>
        <v>99</v>
      </c>
      <c r="AH48" s="412">
        <f>ROUND('IPS3'!AA49,0)</f>
        <v>99</v>
      </c>
      <c r="AI48" s="412">
        <f>ROUND('IPS3'!AB49,0)</f>
        <v>0</v>
      </c>
      <c r="AJ48" s="414"/>
      <c r="AK48" s="414"/>
      <c r="AL48" s="412">
        <f>ROUND(SBDP3!Y49,0)</f>
        <v>99</v>
      </c>
      <c r="AM48" s="412">
        <f>ROUND(SBDP3!Z49,0)</f>
        <v>99</v>
      </c>
      <c r="AN48" s="412">
        <f>ROUND(SBDP3!AA49,0)</f>
        <v>99</v>
      </c>
      <c r="AO48" s="412">
        <f>ROUND(SBDP3!AB49,0)</f>
        <v>0</v>
      </c>
      <c r="AP48" s="414"/>
      <c r="AQ48" s="413"/>
      <c r="AR48" s="412">
        <f>ROUND('PAI3'!AQ50,0)</f>
        <v>99</v>
      </c>
      <c r="AS48" s="412">
        <f>ROUND('PAI3'!AR50,0)</f>
        <v>99</v>
      </c>
      <c r="AT48" s="412">
        <f>ROUND('PAI3'!AS50,0)</f>
        <v>99</v>
      </c>
      <c r="AU48" s="412" t="e">
        <f>ROUND('PAI3'!AT50,0)</f>
        <v>#VALUE!</v>
      </c>
      <c r="AV48" s="412" t="e">
        <f>ROUND('PAI3'!AU50,0)</f>
        <v>#VALUE!</v>
      </c>
      <c r="AW48" s="412" t="e">
        <f>ROUND('PAI3'!AV50,0)</f>
        <v>#VALUE!</v>
      </c>
      <c r="AX48" s="412" t="e">
        <f>ROUND('PAI3'!AW50,0)</f>
        <v>#VALUE!</v>
      </c>
      <c r="AY48" s="412" t="e">
        <f>ROUND('PAI3'!AX50,0)</f>
        <v>#VALUE!</v>
      </c>
      <c r="AZ48" s="412">
        <f>ROUND('PAI3'!AY50,0)</f>
        <v>0</v>
      </c>
      <c r="BA48" s="412">
        <f>ROUND('PAI3'!AZ50,0)</f>
        <v>0</v>
      </c>
      <c r="BB48" s="412">
        <f>ROUND('PAI3'!BA50,0)</f>
        <v>0</v>
      </c>
      <c r="BC48" s="412">
        <f>ROUND('PAI3'!BB50,0)</f>
        <v>0</v>
      </c>
      <c r="BD48" s="412">
        <f>ROUND('PAI3'!BC50,0)</f>
        <v>0</v>
      </c>
      <c r="BE48" s="412">
        <f>ROUND(PJOK3!Y49,0)</f>
        <v>75</v>
      </c>
      <c r="BF48" s="412">
        <f>ROUND(PJOK3!Z49,0)</f>
        <v>72</v>
      </c>
      <c r="BG48" s="412">
        <f>ROUND(PJOK3!AA49,0)</f>
        <v>0</v>
      </c>
      <c r="BH48" s="412">
        <f>ROUND(PJOK3!AB49,0)</f>
        <v>0</v>
      </c>
      <c r="BI48" s="412">
        <f>ROUND(PJOK3!AC49,0)</f>
        <v>0</v>
      </c>
      <c r="BJ48" s="412">
        <f>ROUND(PJOK3!AD49,0)</f>
        <v>0</v>
      </c>
      <c r="BK48" s="414"/>
      <c r="BL48" s="413"/>
      <c r="BM48" s="412">
        <f>ROUND('MLK1-3'!AC49,0)</f>
        <v>0</v>
      </c>
      <c r="BN48" s="412">
        <f>ROUND('MLK1-3'!AD49,0)</f>
        <v>75</v>
      </c>
      <c r="BO48" s="412">
        <f>ROUND('MLK1-3'!AE49,0)</f>
        <v>72</v>
      </c>
      <c r="BP48" s="414"/>
      <c r="BQ48" s="414"/>
      <c r="BR48" s="415"/>
      <c r="BS48" s="412">
        <f>ROUND('MLK2-3'!AA49,0)</f>
        <v>0</v>
      </c>
      <c r="BT48" s="412">
        <f>ROUND('MLK2-3'!AB49,0)</f>
        <v>75</v>
      </c>
      <c r="BU48" s="412">
        <f>ROUND('MLK2-3'!AC49,0)</f>
        <v>72</v>
      </c>
      <c r="BV48" s="412">
        <f>ROUND('MLK2-3'!AD49,0)</f>
        <v>0</v>
      </c>
      <c r="BW48" s="414"/>
      <c r="BX48" s="413"/>
      <c r="BY48" s="412">
        <f>ROUND('MLK3-3'!AA49,0)</f>
        <v>75</v>
      </c>
      <c r="BZ48" s="412">
        <f>ROUND('MLK3-3'!AB49,0)</f>
        <v>72</v>
      </c>
      <c r="CA48" s="414"/>
      <c r="CB48" s="414"/>
      <c r="CC48" s="414"/>
      <c r="CD48" s="415"/>
    </row>
    <row r="49" spans="1:82" ht="20.25" customHeight="1">
      <c r="A49" s="113">
        <v>46</v>
      </c>
      <c r="B49" s="410" t="str">
        <f>SISWA!C51</f>
        <v>Anak 46</v>
      </c>
      <c r="C49" s="410"/>
      <c r="D49" s="412">
        <f>ROUND('PKN3'!S50,0)</f>
        <v>99</v>
      </c>
      <c r="E49" s="412">
        <f>ROUND('PKN3'!T50,0)</f>
        <v>99</v>
      </c>
      <c r="F49" s="412">
        <f>ROUND('PKN3'!U50,0)</f>
        <v>99</v>
      </c>
      <c r="G49" s="412">
        <f>ROUND('PKN3'!V50,0)</f>
        <v>0</v>
      </c>
      <c r="H49" s="412">
        <f>ROUND('PKN3'!W50,0)</f>
        <v>0</v>
      </c>
      <c r="I49" s="412">
        <f>ROUND('PKN3'!X50,0)</f>
        <v>0</v>
      </c>
      <c r="J49" s="412">
        <f>ROUND(BIND3!AA50,0)</f>
        <v>84</v>
      </c>
      <c r="K49" s="412">
        <f>ROUND(BIND3!AB50,0)</f>
        <v>84</v>
      </c>
      <c r="L49" s="412">
        <f>ROUND(BIND3!AC50,0)</f>
        <v>99</v>
      </c>
      <c r="M49" s="412">
        <f>ROUND(BIND3!AD50,0)</f>
        <v>99</v>
      </c>
      <c r="N49" s="412">
        <f>ROUND(BIND3!AE50,0)</f>
        <v>99</v>
      </c>
      <c r="O49" s="412">
        <f>ROUND(BIND3!AF50,0)</f>
        <v>0</v>
      </c>
      <c r="P49" s="412">
        <f>ROUND(BIND3!AG50,0)</f>
        <v>0</v>
      </c>
      <c r="Q49" s="412">
        <f>ROUND(BIND3!AH50,0)</f>
        <v>0</v>
      </c>
      <c r="R49" s="412">
        <f>ROUND('MTK3'!AE50,0)</f>
        <v>84</v>
      </c>
      <c r="S49" s="412">
        <f>ROUND('MTK3'!AF50,0)</f>
        <v>84</v>
      </c>
      <c r="T49" s="412">
        <f>ROUND('MTK3'!AG50,0)</f>
        <v>0</v>
      </c>
      <c r="U49" s="412">
        <f>ROUND('MTK3'!AH50,0)</f>
        <v>0</v>
      </c>
      <c r="V49" s="412">
        <f>ROUND('MTK3'!AI50,0)</f>
        <v>0</v>
      </c>
      <c r="W49" s="412">
        <f>ROUND('MTK3'!AJ50,0)</f>
        <v>0</v>
      </c>
      <c r="X49" s="412">
        <f>ROUND('MTK3'!AK50,0)</f>
        <v>0</v>
      </c>
      <c r="Y49" s="414"/>
      <c r="Z49" s="412">
        <f>ROUND('IPA3'!Y50,0)</f>
        <v>99</v>
      </c>
      <c r="AA49" s="412">
        <f>ROUND('IPA3'!Z50,0)</f>
        <v>99</v>
      </c>
      <c r="AB49" s="412">
        <f>ROUND('IPA3'!AA50,0)</f>
        <v>99</v>
      </c>
      <c r="AC49" s="412">
        <f>ROUND('IPA3'!AB50,0)</f>
        <v>99</v>
      </c>
      <c r="AD49" s="412">
        <f>ROUND('IPA3'!AC50,0)</f>
        <v>0</v>
      </c>
      <c r="AE49" s="413"/>
      <c r="AF49" s="412">
        <f>ROUND('IPS3'!Y50,0)</f>
        <v>99</v>
      </c>
      <c r="AG49" s="412">
        <f>ROUND('IPS3'!Z50,0)</f>
        <v>99</v>
      </c>
      <c r="AH49" s="412">
        <f>ROUND('IPS3'!AA50,0)</f>
        <v>99</v>
      </c>
      <c r="AI49" s="412">
        <f>ROUND('IPS3'!AB50,0)</f>
        <v>0</v>
      </c>
      <c r="AJ49" s="414"/>
      <c r="AK49" s="414"/>
      <c r="AL49" s="412">
        <f>ROUND(SBDP3!Y50,0)</f>
        <v>99</v>
      </c>
      <c r="AM49" s="412">
        <f>ROUND(SBDP3!Z50,0)</f>
        <v>99</v>
      </c>
      <c r="AN49" s="412">
        <f>ROUND(SBDP3!AA50,0)</f>
        <v>99</v>
      </c>
      <c r="AO49" s="412">
        <f>ROUND(SBDP3!AB50,0)</f>
        <v>0</v>
      </c>
      <c r="AP49" s="414"/>
      <c r="AQ49" s="413"/>
      <c r="AR49" s="412">
        <f>ROUND('PAI3'!AQ51,0)</f>
        <v>99</v>
      </c>
      <c r="AS49" s="412">
        <f>ROUND('PAI3'!AR51,0)</f>
        <v>99</v>
      </c>
      <c r="AT49" s="412">
        <f>ROUND('PAI3'!AS51,0)</f>
        <v>99</v>
      </c>
      <c r="AU49" s="412" t="e">
        <f>ROUND('PAI3'!AT51,0)</f>
        <v>#VALUE!</v>
      </c>
      <c r="AV49" s="412" t="e">
        <f>ROUND('PAI3'!AU51,0)</f>
        <v>#VALUE!</v>
      </c>
      <c r="AW49" s="412" t="e">
        <f>ROUND('PAI3'!AV51,0)</f>
        <v>#VALUE!</v>
      </c>
      <c r="AX49" s="412" t="e">
        <f>ROUND('PAI3'!AW51,0)</f>
        <v>#VALUE!</v>
      </c>
      <c r="AY49" s="412" t="e">
        <f>ROUND('PAI3'!AX51,0)</f>
        <v>#VALUE!</v>
      </c>
      <c r="AZ49" s="412">
        <f>ROUND('PAI3'!AY51,0)</f>
        <v>0</v>
      </c>
      <c r="BA49" s="412">
        <f>ROUND('PAI3'!AZ51,0)</f>
        <v>0</v>
      </c>
      <c r="BB49" s="412">
        <f>ROUND('PAI3'!BA51,0)</f>
        <v>0</v>
      </c>
      <c r="BC49" s="412">
        <f>ROUND('PAI3'!BB51,0)</f>
        <v>0</v>
      </c>
      <c r="BD49" s="412">
        <f>ROUND('PAI3'!BC51,0)</f>
        <v>0</v>
      </c>
      <c r="BE49" s="412">
        <f>ROUND(PJOK3!Y50,0)</f>
        <v>84</v>
      </c>
      <c r="BF49" s="412">
        <f>ROUND(PJOK3!Z50,0)</f>
        <v>84</v>
      </c>
      <c r="BG49" s="412">
        <f>ROUND(PJOK3!AA50,0)</f>
        <v>0</v>
      </c>
      <c r="BH49" s="412">
        <f>ROUND(PJOK3!AB50,0)</f>
        <v>0</v>
      </c>
      <c r="BI49" s="412">
        <f>ROUND(PJOK3!AC50,0)</f>
        <v>0</v>
      </c>
      <c r="BJ49" s="412">
        <f>ROUND(PJOK3!AD50,0)</f>
        <v>0</v>
      </c>
      <c r="BK49" s="414"/>
      <c r="BL49" s="413"/>
      <c r="BM49" s="412">
        <f>ROUND('MLK1-3'!AC50,0)</f>
        <v>0</v>
      </c>
      <c r="BN49" s="412">
        <f>ROUND('MLK1-3'!AD50,0)</f>
        <v>84</v>
      </c>
      <c r="BO49" s="412">
        <f>ROUND('MLK1-3'!AE50,0)</f>
        <v>84</v>
      </c>
      <c r="BP49" s="414"/>
      <c r="BQ49" s="414"/>
      <c r="BR49" s="415"/>
      <c r="BS49" s="412">
        <f>ROUND('MLK2-3'!AA50,0)</f>
        <v>0</v>
      </c>
      <c r="BT49" s="412">
        <f>ROUND('MLK2-3'!AB50,0)</f>
        <v>84</v>
      </c>
      <c r="BU49" s="412">
        <f>ROUND('MLK2-3'!AC50,0)</f>
        <v>84</v>
      </c>
      <c r="BV49" s="412">
        <f>ROUND('MLK2-3'!AD50,0)</f>
        <v>0</v>
      </c>
      <c r="BW49" s="414"/>
      <c r="BX49" s="413"/>
      <c r="BY49" s="412">
        <f>ROUND('MLK3-3'!AA50,0)</f>
        <v>84</v>
      </c>
      <c r="BZ49" s="412">
        <f>ROUND('MLK3-3'!AB50,0)</f>
        <v>84</v>
      </c>
      <c r="CA49" s="414"/>
      <c r="CB49" s="414"/>
      <c r="CC49" s="414"/>
      <c r="CD49" s="415"/>
    </row>
    <row r="50" spans="1:82" ht="20.25" customHeight="1">
      <c r="A50" s="113">
        <v>47</v>
      </c>
      <c r="B50" s="410" t="str">
        <f>SISWA!C52</f>
        <v>Anak 47</v>
      </c>
      <c r="C50" s="410"/>
      <c r="D50" s="412">
        <f>ROUND('PKN3'!S51,0)</f>
        <v>99</v>
      </c>
      <c r="E50" s="412">
        <f>ROUND('PKN3'!T51,0)</f>
        <v>99</v>
      </c>
      <c r="F50" s="412">
        <f>ROUND('PKN3'!U51,0)</f>
        <v>99</v>
      </c>
      <c r="G50" s="412">
        <f>ROUND('PKN3'!V51,0)</f>
        <v>0</v>
      </c>
      <c r="H50" s="412">
        <f>ROUND('PKN3'!W51,0)</f>
        <v>0</v>
      </c>
      <c r="I50" s="412">
        <f>ROUND('PKN3'!X51,0)</f>
        <v>0</v>
      </c>
      <c r="J50" s="412">
        <f>ROUND(BIND3!AA51,0)</f>
        <v>69</v>
      </c>
      <c r="K50" s="412">
        <f>ROUND(BIND3!AB51,0)</f>
        <v>69</v>
      </c>
      <c r="L50" s="412">
        <f>ROUND(BIND3!AC51,0)</f>
        <v>99</v>
      </c>
      <c r="M50" s="412">
        <f>ROUND(BIND3!AD51,0)</f>
        <v>99</v>
      </c>
      <c r="N50" s="412">
        <f>ROUND(BIND3!AE51,0)</f>
        <v>99</v>
      </c>
      <c r="O50" s="412">
        <f>ROUND(BIND3!AF51,0)</f>
        <v>0</v>
      </c>
      <c r="P50" s="412">
        <f>ROUND(BIND3!AG51,0)</f>
        <v>0</v>
      </c>
      <c r="Q50" s="412">
        <f>ROUND(BIND3!AH51,0)</f>
        <v>0</v>
      </c>
      <c r="R50" s="412">
        <f>ROUND('MTK3'!AE51,0)</f>
        <v>69</v>
      </c>
      <c r="S50" s="412">
        <f>ROUND('MTK3'!AF51,0)</f>
        <v>69</v>
      </c>
      <c r="T50" s="412">
        <f>ROUND('MTK3'!AG51,0)</f>
        <v>0</v>
      </c>
      <c r="U50" s="412">
        <f>ROUND('MTK3'!AH51,0)</f>
        <v>0</v>
      </c>
      <c r="V50" s="412">
        <f>ROUND('MTK3'!AI51,0)</f>
        <v>0</v>
      </c>
      <c r="W50" s="412">
        <f>ROUND('MTK3'!AJ51,0)</f>
        <v>0</v>
      </c>
      <c r="X50" s="412">
        <f>ROUND('MTK3'!AK51,0)</f>
        <v>0</v>
      </c>
      <c r="Y50" s="414"/>
      <c r="Z50" s="412">
        <f>ROUND('IPA3'!Y51,0)</f>
        <v>99</v>
      </c>
      <c r="AA50" s="412">
        <f>ROUND('IPA3'!Z51,0)</f>
        <v>99</v>
      </c>
      <c r="AB50" s="412">
        <f>ROUND('IPA3'!AA51,0)</f>
        <v>99</v>
      </c>
      <c r="AC50" s="412">
        <f>ROUND('IPA3'!AB51,0)</f>
        <v>99</v>
      </c>
      <c r="AD50" s="412">
        <f>ROUND('IPA3'!AC51,0)</f>
        <v>0</v>
      </c>
      <c r="AE50" s="413"/>
      <c r="AF50" s="412">
        <f>ROUND('IPS3'!Y51,0)</f>
        <v>99</v>
      </c>
      <c r="AG50" s="412">
        <f>ROUND('IPS3'!Z51,0)</f>
        <v>99</v>
      </c>
      <c r="AH50" s="412">
        <f>ROUND('IPS3'!AA51,0)</f>
        <v>99</v>
      </c>
      <c r="AI50" s="412">
        <f>ROUND('IPS3'!AB51,0)</f>
        <v>0</v>
      </c>
      <c r="AJ50" s="414"/>
      <c r="AK50" s="414"/>
      <c r="AL50" s="412">
        <f>ROUND(SBDP3!Y51,0)</f>
        <v>99</v>
      </c>
      <c r="AM50" s="412">
        <f>ROUND(SBDP3!Z51,0)</f>
        <v>99</v>
      </c>
      <c r="AN50" s="412">
        <f>ROUND(SBDP3!AA51,0)</f>
        <v>99</v>
      </c>
      <c r="AO50" s="412">
        <f>ROUND(SBDP3!AB51,0)</f>
        <v>0</v>
      </c>
      <c r="AP50" s="414"/>
      <c r="AQ50" s="413"/>
      <c r="AR50" s="412">
        <f>ROUND('PAI3'!AQ52,0)</f>
        <v>99</v>
      </c>
      <c r="AS50" s="412">
        <f>ROUND('PAI3'!AR52,0)</f>
        <v>99</v>
      </c>
      <c r="AT50" s="412">
        <f>ROUND('PAI3'!AS52,0)</f>
        <v>99</v>
      </c>
      <c r="AU50" s="412" t="e">
        <f>ROUND('PAI3'!AT52,0)</f>
        <v>#VALUE!</v>
      </c>
      <c r="AV50" s="412" t="e">
        <f>ROUND('PAI3'!AU52,0)</f>
        <v>#VALUE!</v>
      </c>
      <c r="AW50" s="412" t="e">
        <f>ROUND('PAI3'!AV52,0)</f>
        <v>#VALUE!</v>
      </c>
      <c r="AX50" s="412" t="e">
        <f>ROUND('PAI3'!AW52,0)</f>
        <v>#VALUE!</v>
      </c>
      <c r="AY50" s="412" t="e">
        <f>ROUND('PAI3'!AX52,0)</f>
        <v>#VALUE!</v>
      </c>
      <c r="AZ50" s="412">
        <f>ROUND('PAI3'!AY52,0)</f>
        <v>0</v>
      </c>
      <c r="BA50" s="412">
        <f>ROUND('PAI3'!AZ52,0)</f>
        <v>0</v>
      </c>
      <c r="BB50" s="412">
        <f>ROUND('PAI3'!BA52,0)</f>
        <v>0</v>
      </c>
      <c r="BC50" s="412">
        <f>ROUND('PAI3'!BB52,0)</f>
        <v>0</v>
      </c>
      <c r="BD50" s="412">
        <f>ROUND('PAI3'!BC52,0)</f>
        <v>0</v>
      </c>
      <c r="BE50" s="412">
        <f>ROUND(PJOK3!Y51,0)</f>
        <v>69</v>
      </c>
      <c r="BF50" s="412">
        <f>ROUND(PJOK3!Z51,0)</f>
        <v>69</v>
      </c>
      <c r="BG50" s="412">
        <f>ROUND(PJOK3!AA51,0)</f>
        <v>0</v>
      </c>
      <c r="BH50" s="412">
        <f>ROUND(PJOK3!AB51,0)</f>
        <v>0</v>
      </c>
      <c r="BI50" s="412">
        <f>ROUND(PJOK3!AC51,0)</f>
        <v>0</v>
      </c>
      <c r="BJ50" s="412">
        <f>ROUND(PJOK3!AD51,0)</f>
        <v>0</v>
      </c>
      <c r="BK50" s="414"/>
      <c r="BL50" s="413"/>
      <c r="BM50" s="412">
        <f>ROUND('MLK1-3'!AC51,0)</f>
        <v>0</v>
      </c>
      <c r="BN50" s="412">
        <f>ROUND('MLK1-3'!AD51,0)</f>
        <v>69</v>
      </c>
      <c r="BO50" s="412">
        <f>ROUND('MLK1-3'!AE51,0)</f>
        <v>69</v>
      </c>
      <c r="BP50" s="414"/>
      <c r="BQ50" s="414"/>
      <c r="BR50" s="415"/>
      <c r="BS50" s="412">
        <f>ROUND('MLK2-3'!AA51,0)</f>
        <v>0</v>
      </c>
      <c r="BT50" s="412">
        <f>ROUND('MLK2-3'!AB51,0)</f>
        <v>69</v>
      </c>
      <c r="BU50" s="412">
        <f>ROUND('MLK2-3'!AC51,0)</f>
        <v>69</v>
      </c>
      <c r="BV50" s="412">
        <f>ROUND('MLK2-3'!AD51,0)</f>
        <v>0</v>
      </c>
      <c r="BW50" s="414"/>
      <c r="BX50" s="413"/>
      <c r="BY50" s="412">
        <f>ROUND('MLK3-3'!AA51,0)</f>
        <v>69</v>
      </c>
      <c r="BZ50" s="412">
        <f>ROUND('MLK3-3'!AB51,0)</f>
        <v>69</v>
      </c>
      <c r="CA50" s="414"/>
      <c r="CB50" s="414"/>
      <c r="CC50" s="414"/>
      <c r="CD50" s="415"/>
    </row>
    <row r="51" spans="1:82" ht="20.25" customHeight="1">
      <c r="A51" s="113">
        <v>48</v>
      </c>
      <c r="B51" s="410" t="str">
        <f>SISWA!C53</f>
        <v>Anak 48</v>
      </c>
      <c r="C51" s="410"/>
      <c r="D51" s="412">
        <f>ROUND('PKN3'!S52,0)</f>
        <v>99</v>
      </c>
      <c r="E51" s="412">
        <f>ROUND('PKN3'!T52,0)</f>
        <v>99</v>
      </c>
      <c r="F51" s="412">
        <f>ROUND('PKN3'!U52,0)</f>
        <v>99</v>
      </c>
      <c r="G51" s="412">
        <f>ROUND('PKN3'!V52,0)</f>
        <v>0</v>
      </c>
      <c r="H51" s="412">
        <f>ROUND('PKN3'!W52,0)</f>
        <v>0</v>
      </c>
      <c r="I51" s="412">
        <f>ROUND('PKN3'!X52,0)</f>
        <v>0</v>
      </c>
      <c r="J51" s="412">
        <f>ROUND(BIND3!AA52,0)</f>
        <v>70</v>
      </c>
      <c r="K51" s="412">
        <f>ROUND(BIND3!AB52,0)</f>
        <v>70</v>
      </c>
      <c r="L51" s="412">
        <f>ROUND(BIND3!AC52,0)</f>
        <v>99</v>
      </c>
      <c r="M51" s="412">
        <f>ROUND(BIND3!AD52,0)</f>
        <v>99</v>
      </c>
      <c r="N51" s="412">
        <f>ROUND(BIND3!AE52,0)</f>
        <v>99</v>
      </c>
      <c r="O51" s="412">
        <f>ROUND(BIND3!AF52,0)</f>
        <v>0</v>
      </c>
      <c r="P51" s="412">
        <f>ROUND(BIND3!AG52,0)</f>
        <v>0</v>
      </c>
      <c r="Q51" s="412">
        <f>ROUND(BIND3!AH52,0)</f>
        <v>0</v>
      </c>
      <c r="R51" s="412">
        <f>ROUND('MTK3'!AE52,0)</f>
        <v>70</v>
      </c>
      <c r="S51" s="412">
        <f>ROUND('MTK3'!AF52,0)</f>
        <v>70</v>
      </c>
      <c r="T51" s="412">
        <f>ROUND('MTK3'!AG52,0)</f>
        <v>0</v>
      </c>
      <c r="U51" s="412">
        <f>ROUND('MTK3'!AH52,0)</f>
        <v>0</v>
      </c>
      <c r="V51" s="412">
        <f>ROUND('MTK3'!AI52,0)</f>
        <v>0</v>
      </c>
      <c r="W51" s="412">
        <f>ROUND('MTK3'!AJ52,0)</f>
        <v>0</v>
      </c>
      <c r="X51" s="412">
        <f>ROUND('MTK3'!AK52,0)</f>
        <v>0</v>
      </c>
      <c r="Y51" s="414"/>
      <c r="Z51" s="412">
        <f>ROUND('IPA3'!Y52,0)</f>
        <v>99</v>
      </c>
      <c r="AA51" s="412">
        <f>ROUND('IPA3'!Z52,0)</f>
        <v>99</v>
      </c>
      <c r="AB51" s="412">
        <f>ROUND('IPA3'!AA52,0)</f>
        <v>99</v>
      </c>
      <c r="AC51" s="412">
        <f>ROUND('IPA3'!AB52,0)</f>
        <v>99</v>
      </c>
      <c r="AD51" s="412">
        <f>ROUND('IPA3'!AC52,0)</f>
        <v>0</v>
      </c>
      <c r="AE51" s="413"/>
      <c r="AF51" s="412">
        <f>ROUND('IPS3'!Y52,0)</f>
        <v>99</v>
      </c>
      <c r="AG51" s="412">
        <f>ROUND('IPS3'!Z52,0)</f>
        <v>99</v>
      </c>
      <c r="AH51" s="412">
        <f>ROUND('IPS3'!AA52,0)</f>
        <v>99</v>
      </c>
      <c r="AI51" s="412">
        <f>ROUND('IPS3'!AB52,0)</f>
        <v>0</v>
      </c>
      <c r="AJ51" s="414"/>
      <c r="AK51" s="414"/>
      <c r="AL51" s="412">
        <f>ROUND(SBDP3!Y52,0)</f>
        <v>99</v>
      </c>
      <c r="AM51" s="412">
        <f>ROUND(SBDP3!Z52,0)</f>
        <v>99</v>
      </c>
      <c r="AN51" s="412">
        <f>ROUND(SBDP3!AA52,0)</f>
        <v>99</v>
      </c>
      <c r="AO51" s="412">
        <f>ROUND(SBDP3!AB52,0)</f>
        <v>0</v>
      </c>
      <c r="AP51" s="414"/>
      <c r="AQ51" s="413"/>
      <c r="AR51" s="412">
        <f>ROUND('PAI3'!AQ53,0)</f>
        <v>99</v>
      </c>
      <c r="AS51" s="412">
        <f>ROUND('PAI3'!AR53,0)</f>
        <v>99</v>
      </c>
      <c r="AT51" s="412">
        <f>ROUND('PAI3'!AS53,0)</f>
        <v>99</v>
      </c>
      <c r="AU51" s="412" t="e">
        <f>ROUND('PAI3'!AT53,0)</f>
        <v>#VALUE!</v>
      </c>
      <c r="AV51" s="412" t="e">
        <f>ROUND('PAI3'!AU53,0)</f>
        <v>#VALUE!</v>
      </c>
      <c r="AW51" s="412" t="e">
        <f>ROUND('PAI3'!AV53,0)</f>
        <v>#VALUE!</v>
      </c>
      <c r="AX51" s="412" t="e">
        <f>ROUND('PAI3'!AW53,0)</f>
        <v>#VALUE!</v>
      </c>
      <c r="AY51" s="412" t="e">
        <f>ROUND('PAI3'!AX53,0)</f>
        <v>#VALUE!</v>
      </c>
      <c r="AZ51" s="412">
        <f>ROUND('PAI3'!AY53,0)</f>
        <v>0</v>
      </c>
      <c r="BA51" s="412">
        <f>ROUND('PAI3'!AZ53,0)</f>
        <v>0</v>
      </c>
      <c r="BB51" s="412">
        <f>ROUND('PAI3'!BA53,0)</f>
        <v>0</v>
      </c>
      <c r="BC51" s="412">
        <f>ROUND('PAI3'!BB53,0)</f>
        <v>0</v>
      </c>
      <c r="BD51" s="412">
        <f>ROUND('PAI3'!BC53,0)</f>
        <v>0</v>
      </c>
      <c r="BE51" s="412">
        <f>ROUND(PJOK3!Y52,0)</f>
        <v>70</v>
      </c>
      <c r="BF51" s="412">
        <f>ROUND(PJOK3!Z52,0)</f>
        <v>70</v>
      </c>
      <c r="BG51" s="412">
        <f>ROUND(PJOK3!AA52,0)</f>
        <v>0</v>
      </c>
      <c r="BH51" s="412">
        <f>ROUND(PJOK3!AB52,0)</f>
        <v>0</v>
      </c>
      <c r="BI51" s="412">
        <f>ROUND(PJOK3!AC52,0)</f>
        <v>0</v>
      </c>
      <c r="BJ51" s="412">
        <f>ROUND(PJOK3!AD52,0)</f>
        <v>0</v>
      </c>
      <c r="BK51" s="414"/>
      <c r="BL51" s="413"/>
      <c r="BM51" s="412">
        <f>ROUND('MLK1-3'!AC52,0)</f>
        <v>0</v>
      </c>
      <c r="BN51" s="412">
        <f>ROUND('MLK1-3'!AD52,0)</f>
        <v>70</v>
      </c>
      <c r="BO51" s="412">
        <f>ROUND('MLK1-3'!AE52,0)</f>
        <v>70</v>
      </c>
      <c r="BP51" s="414"/>
      <c r="BQ51" s="414"/>
      <c r="BR51" s="415"/>
      <c r="BS51" s="412">
        <f>ROUND('MLK2-3'!AA52,0)</f>
        <v>0</v>
      </c>
      <c r="BT51" s="412">
        <f>ROUND('MLK2-3'!AB52,0)</f>
        <v>70</v>
      </c>
      <c r="BU51" s="412">
        <f>ROUND('MLK2-3'!AC52,0)</f>
        <v>70</v>
      </c>
      <c r="BV51" s="412">
        <f>ROUND('MLK2-3'!AD52,0)</f>
        <v>0</v>
      </c>
      <c r="BW51" s="414"/>
      <c r="BX51" s="413"/>
      <c r="BY51" s="412">
        <f>ROUND('MLK3-3'!AA52,0)</f>
        <v>70</v>
      </c>
      <c r="BZ51" s="412">
        <f>ROUND('MLK3-3'!AB52,0)</f>
        <v>70</v>
      </c>
      <c r="CA51" s="414"/>
      <c r="CB51" s="414"/>
      <c r="CC51" s="414"/>
      <c r="CD51" s="415"/>
    </row>
    <row r="52" spans="1:82" ht="20.25" customHeight="1">
      <c r="A52" s="113">
        <v>49</v>
      </c>
      <c r="B52" s="410" t="str">
        <f>SISWA!C54</f>
        <v>Anak 49</v>
      </c>
      <c r="C52" s="410"/>
      <c r="D52" s="412">
        <f>ROUND('PKN3'!S53,0)</f>
        <v>99</v>
      </c>
      <c r="E52" s="412">
        <f>ROUND('PKN3'!T53,0)</f>
        <v>99</v>
      </c>
      <c r="F52" s="412">
        <f>ROUND('PKN3'!U53,0)</f>
        <v>99</v>
      </c>
      <c r="G52" s="412">
        <f>ROUND('PKN3'!V53,0)</f>
        <v>0</v>
      </c>
      <c r="H52" s="412">
        <f>ROUND('PKN3'!W53,0)</f>
        <v>0</v>
      </c>
      <c r="I52" s="412">
        <f>ROUND('PKN3'!X53,0)</f>
        <v>0</v>
      </c>
      <c r="J52" s="412">
        <f>ROUND(BIND3!AA53,0)</f>
        <v>90</v>
      </c>
      <c r="K52" s="412">
        <f>ROUND(BIND3!AB53,0)</f>
        <v>77</v>
      </c>
      <c r="L52" s="412">
        <f>ROUND(BIND3!AC53,0)</f>
        <v>99</v>
      </c>
      <c r="M52" s="412">
        <f>ROUND(BIND3!AD53,0)</f>
        <v>99</v>
      </c>
      <c r="N52" s="412">
        <f>ROUND(BIND3!AE53,0)</f>
        <v>99</v>
      </c>
      <c r="O52" s="412">
        <f>ROUND(BIND3!AF53,0)</f>
        <v>0</v>
      </c>
      <c r="P52" s="412">
        <f>ROUND(BIND3!AG53,0)</f>
        <v>0</v>
      </c>
      <c r="Q52" s="412">
        <f>ROUND(BIND3!AH53,0)</f>
        <v>0</v>
      </c>
      <c r="R52" s="412">
        <f>ROUND('MTK3'!AE53,0)</f>
        <v>90</v>
      </c>
      <c r="S52" s="412">
        <f>ROUND('MTK3'!AF53,0)</f>
        <v>77</v>
      </c>
      <c r="T52" s="412">
        <f>ROUND('MTK3'!AG53,0)</f>
        <v>0</v>
      </c>
      <c r="U52" s="412">
        <f>ROUND('MTK3'!AH53,0)</f>
        <v>0</v>
      </c>
      <c r="V52" s="412">
        <f>ROUND('MTK3'!AI53,0)</f>
        <v>0</v>
      </c>
      <c r="W52" s="412">
        <f>ROUND('MTK3'!AJ53,0)</f>
        <v>0</v>
      </c>
      <c r="X52" s="412">
        <f>ROUND('MTK3'!AK53,0)</f>
        <v>0</v>
      </c>
      <c r="Y52" s="414"/>
      <c r="Z52" s="412">
        <f>ROUND('IPA3'!Y53,0)</f>
        <v>99</v>
      </c>
      <c r="AA52" s="412">
        <f>ROUND('IPA3'!Z53,0)</f>
        <v>99</v>
      </c>
      <c r="AB52" s="412">
        <f>ROUND('IPA3'!AA53,0)</f>
        <v>99</v>
      </c>
      <c r="AC52" s="412">
        <f>ROUND('IPA3'!AB53,0)</f>
        <v>99</v>
      </c>
      <c r="AD52" s="412">
        <f>ROUND('IPA3'!AC53,0)</f>
        <v>0</v>
      </c>
      <c r="AE52" s="413"/>
      <c r="AF52" s="412">
        <f>ROUND('IPS3'!Y53,0)</f>
        <v>99</v>
      </c>
      <c r="AG52" s="412">
        <f>ROUND('IPS3'!Z53,0)</f>
        <v>99</v>
      </c>
      <c r="AH52" s="412">
        <f>ROUND('IPS3'!AA53,0)</f>
        <v>99</v>
      </c>
      <c r="AI52" s="412">
        <f>ROUND('IPS3'!AB53,0)</f>
        <v>0</v>
      </c>
      <c r="AJ52" s="414"/>
      <c r="AK52" s="414"/>
      <c r="AL52" s="412">
        <f>ROUND(SBDP3!Y53,0)</f>
        <v>99</v>
      </c>
      <c r="AM52" s="412">
        <f>ROUND(SBDP3!Z53,0)</f>
        <v>99</v>
      </c>
      <c r="AN52" s="412">
        <f>ROUND(SBDP3!AA53,0)</f>
        <v>99</v>
      </c>
      <c r="AO52" s="412">
        <f>ROUND(SBDP3!AB53,0)</f>
        <v>0</v>
      </c>
      <c r="AP52" s="414"/>
      <c r="AQ52" s="413"/>
      <c r="AR52" s="412">
        <f>ROUND('PAI3'!AQ54,0)</f>
        <v>99</v>
      </c>
      <c r="AS52" s="412">
        <f>ROUND('PAI3'!AR54,0)</f>
        <v>99</v>
      </c>
      <c r="AT52" s="412">
        <f>ROUND('PAI3'!AS54,0)</f>
        <v>99</v>
      </c>
      <c r="AU52" s="412" t="e">
        <f>ROUND('PAI3'!AT54,0)</f>
        <v>#VALUE!</v>
      </c>
      <c r="AV52" s="412" t="e">
        <f>ROUND('PAI3'!AU54,0)</f>
        <v>#VALUE!</v>
      </c>
      <c r="AW52" s="412" t="e">
        <f>ROUND('PAI3'!AV54,0)</f>
        <v>#VALUE!</v>
      </c>
      <c r="AX52" s="412" t="e">
        <f>ROUND('PAI3'!AW54,0)</f>
        <v>#VALUE!</v>
      </c>
      <c r="AY52" s="412" t="e">
        <f>ROUND('PAI3'!AX54,0)</f>
        <v>#VALUE!</v>
      </c>
      <c r="AZ52" s="412">
        <f>ROUND('PAI3'!AY54,0)</f>
        <v>0</v>
      </c>
      <c r="BA52" s="412">
        <f>ROUND('PAI3'!AZ54,0)</f>
        <v>0</v>
      </c>
      <c r="BB52" s="412">
        <f>ROUND('PAI3'!BA54,0)</f>
        <v>0</v>
      </c>
      <c r="BC52" s="412">
        <f>ROUND('PAI3'!BB54,0)</f>
        <v>0</v>
      </c>
      <c r="BD52" s="412">
        <f>ROUND('PAI3'!BC54,0)</f>
        <v>0</v>
      </c>
      <c r="BE52" s="412">
        <f>ROUND(PJOK3!Y53,0)</f>
        <v>90</v>
      </c>
      <c r="BF52" s="412">
        <f>ROUND(PJOK3!Z53,0)</f>
        <v>77</v>
      </c>
      <c r="BG52" s="412">
        <f>ROUND(PJOK3!AA53,0)</f>
        <v>0</v>
      </c>
      <c r="BH52" s="412">
        <f>ROUND(PJOK3!AB53,0)</f>
        <v>0</v>
      </c>
      <c r="BI52" s="412">
        <f>ROUND(PJOK3!AC53,0)</f>
        <v>0</v>
      </c>
      <c r="BJ52" s="412">
        <f>ROUND(PJOK3!AD53,0)</f>
        <v>0</v>
      </c>
      <c r="BK52" s="414"/>
      <c r="BL52" s="413"/>
      <c r="BM52" s="412">
        <f>ROUND('MLK1-3'!AC53,0)</f>
        <v>0</v>
      </c>
      <c r="BN52" s="412">
        <f>ROUND('MLK1-3'!AD53,0)</f>
        <v>90</v>
      </c>
      <c r="BO52" s="412">
        <f>ROUND('MLK1-3'!AE53,0)</f>
        <v>77</v>
      </c>
      <c r="BP52" s="414"/>
      <c r="BQ52" s="414"/>
      <c r="BR52" s="415"/>
      <c r="BS52" s="412">
        <f>ROUND('MLK2-3'!AA53,0)</f>
        <v>0</v>
      </c>
      <c r="BT52" s="412">
        <f>ROUND('MLK2-3'!AB53,0)</f>
        <v>90</v>
      </c>
      <c r="BU52" s="412">
        <f>ROUND('MLK2-3'!AC53,0)</f>
        <v>77</v>
      </c>
      <c r="BV52" s="412">
        <f>ROUND('MLK2-3'!AD53,0)</f>
        <v>0</v>
      </c>
      <c r="BW52" s="414"/>
      <c r="BX52" s="413"/>
      <c r="BY52" s="412">
        <f>ROUND('MLK3-3'!AA53,0)</f>
        <v>90</v>
      </c>
      <c r="BZ52" s="412">
        <f>ROUND('MLK3-3'!AB53,0)</f>
        <v>77</v>
      </c>
      <c r="CA52" s="414"/>
      <c r="CB52" s="414"/>
      <c r="CC52" s="414"/>
      <c r="CD52" s="415"/>
    </row>
    <row r="53" spans="1:82" ht="20.25" customHeight="1">
      <c r="A53" s="113">
        <v>50</v>
      </c>
      <c r="B53" s="410" t="str">
        <f>SISWA!C55</f>
        <v>Anak 50</v>
      </c>
      <c r="C53" s="410"/>
      <c r="D53" s="412">
        <f>ROUND('PKN3'!S54,0)</f>
        <v>99</v>
      </c>
      <c r="E53" s="412">
        <f>ROUND('PKN3'!T54,0)</f>
        <v>99</v>
      </c>
      <c r="F53" s="412">
        <f>ROUND('PKN3'!U54,0)</f>
        <v>99</v>
      </c>
      <c r="G53" s="412">
        <f>ROUND('PKN3'!V54,0)</f>
        <v>0</v>
      </c>
      <c r="H53" s="412">
        <f>ROUND('PKN3'!W54,0)</f>
        <v>0</v>
      </c>
      <c r="I53" s="412">
        <f>ROUND('PKN3'!X54,0)</f>
        <v>0</v>
      </c>
      <c r="J53" s="412">
        <f>ROUND(BIND3!AA54,0)</f>
        <v>87</v>
      </c>
      <c r="K53" s="412">
        <f>ROUND(BIND3!AB54,0)</f>
        <v>72</v>
      </c>
      <c r="L53" s="412">
        <f>ROUND(BIND3!AC54,0)</f>
        <v>99</v>
      </c>
      <c r="M53" s="412">
        <f>ROUND(BIND3!AD54,0)</f>
        <v>99</v>
      </c>
      <c r="N53" s="412">
        <f>ROUND(BIND3!AE54,0)</f>
        <v>99</v>
      </c>
      <c r="O53" s="412">
        <f>ROUND(BIND3!AF54,0)</f>
        <v>0</v>
      </c>
      <c r="P53" s="412">
        <f>ROUND(BIND3!AG54,0)</f>
        <v>0</v>
      </c>
      <c r="Q53" s="412">
        <f>ROUND(BIND3!AH54,0)</f>
        <v>0</v>
      </c>
      <c r="R53" s="412">
        <f>ROUND('MTK3'!AE54,0)</f>
        <v>87</v>
      </c>
      <c r="S53" s="412">
        <f>ROUND('MTK3'!AF54,0)</f>
        <v>72</v>
      </c>
      <c r="T53" s="412">
        <f>ROUND('MTK3'!AG54,0)</f>
        <v>0</v>
      </c>
      <c r="U53" s="412">
        <f>ROUND('MTK3'!AH54,0)</f>
        <v>0</v>
      </c>
      <c r="V53" s="412">
        <f>ROUND('MTK3'!AI54,0)</f>
        <v>0</v>
      </c>
      <c r="W53" s="412">
        <f>ROUND('MTK3'!AJ54,0)</f>
        <v>0</v>
      </c>
      <c r="X53" s="412">
        <f>ROUND('MTK3'!AK54,0)</f>
        <v>0</v>
      </c>
      <c r="Y53" s="414"/>
      <c r="Z53" s="412">
        <f>ROUND('IPA3'!Y54,0)</f>
        <v>99</v>
      </c>
      <c r="AA53" s="412">
        <f>ROUND('IPA3'!Z54,0)</f>
        <v>99</v>
      </c>
      <c r="AB53" s="412">
        <f>ROUND('IPA3'!AA54,0)</f>
        <v>99</v>
      </c>
      <c r="AC53" s="412">
        <f>ROUND('IPA3'!AB54,0)</f>
        <v>99</v>
      </c>
      <c r="AD53" s="412">
        <f>ROUND('IPA3'!AC54,0)</f>
        <v>0</v>
      </c>
      <c r="AE53" s="413"/>
      <c r="AF53" s="412">
        <f>ROUND('IPS3'!Y54,0)</f>
        <v>99</v>
      </c>
      <c r="AG53" s="412">
        <f>ROUND('IPS3'!Z54,0)</f>
        <v>99</v>
      </c>
      <c r="AH53" s="412">
        <f>ROUND('IPS3'!AA54,0)</f>
        <v>99</v>
      </c>
      <c r="AI53" s="412">
        <f>ROUND('IPS3'!AB54,0)</f>
        <v>0</v>
      </c>
      <c r="AJ53" s="414"/>
      <c r="AK53" s="414"/>
      <c r="AL53" s="412">
        <f>ROUND(SBDP3!Y54,0)</f>
        <v>99</v>
      </c>
      <c r="AM53" s="412">
        <f>ROUND(SBDP3!Z54,0)</f>
        <v>99</v>
      </c>
      <c r="AN53" s="412">
        <f>ROUND(SBDP3!AA54,0)</f>
        <v>99</v>
      </c>
      <c r="AO53" s="412">
        <f>ROUND(SBDP3!AB54,0)</f>
        <v>0</v>
      </c>
      <c r="AP53" s="414"/>
      <c r="AQ53" s="413"/>
      <c r="AR53" s="412">
        <f>ROUND('PAI3'!AQ55,0)</f>
        <v>99</v>
      </c>
      <c r="AS53" s="412">
        <f>ROUND('PAI3'!AR55,0)</f>
        <v>99</v>
      </c>
      <c r="AT53" s="412">
        <f>ROUND('PAI3'!AS55,0)</f>
        <v>99</v>
      </c>
      <c r="AU53" s="412" t="e">
        <f>ROUND('PAI3'!AT55,0)</f>
        <v>#VALUE!</v>
      </c>
      <c r="AV53" s="412" t="e">
        <f>ROUND('PAI3'!AU55,0)</f>
        <v>#VALUE!</v>
      </c>
      <c r="AW53" s="412" t="e">
        <f>ROUND('PAI3'!AV55,0)</f>
        <v>#VALUE!</v>
      </c>
      <c r="AX53" s="412" t="e">
        <f>ROUND('PAI3'!AW55,0)</f>
        <v>#VALUE!</v>
      </c>
      <c r="AY53" s="412" t="e">
        <f>ROUND('PAI3'!AX55,0)</f>
        <v>#VALUE!</v>
      </c>
      <c r="AZ53" s="412">
        <f>ROUND('PAI3'!AY55,0)</f>
        <v>0</v>
      </c>
      <c r="BA53" s="412">
        <f>ROUND('PAI3'!AZ55,0)</f>
        <v>0</v>
      </c>
      <c r="BB53" s="412">
        <f>ROUND('PAI3'!BA55,0)</f>
        <v>0</v>
      </c>
      <c r="BC53" s="412">
        <f>ROUND('PAI3'!BB55,0)</f>
        <v>0</v>
      </c>
      <c r="BD53" s="412">
        <f>ROUND('PAI3'!BC55,0)</f>
        <v>0</v>
      </c>
      <c r="BE53" s="412">
        <f>ROUND(PJOK3!Y54,0)</f>
        <v>87</v>
      </c>
      <c r="BF53" s="412">
        <f>ROUND(PJOK3!Z54,0)</f>
        <v>72</v>
      </c>
      <c r="BG53" s="412">
        <f>ROUND(PJOK3!AA54,0)</f>
        <v>0</v>
      </c>
      <c r="BH53" s="412">
        <f>ROUND(PJOK3!AB54,0)</f>
        <v>0</v>
      </c>
      <c r="BI53" s="412">
        <f>ROUND(PJOK3!AC54,0)</f>
        <v>0</v>
      </c>
      <c r="BJ53" s="412">
        <f>ROUND(PJOK3!AD54,0)</f>
        <v>0</v>
      </c>
      <c r="BK53" s="414"/>
      <c r="BL53" s="413"/>
      <c r="BM53" s="412">
        <f>ROUND('MLK1-3'!AC54,0)</f>
        <v>0</v>
      </c>
      <c r="BN53" s="412">
        <f>ROUND('MLK1-3'!AD54,0)</f>
        <v>87</v>
      </c>
      <c r="BO53" s="412">
        <f>ROUND('MLK1-3'!AE54,0)</f>
        <v>72</v>
      </c>
      <c r="BP53" s="414"/>
      <c r="BQ53" s="414"/>
      <c r="BR53" s="415"/>
      <c r="BS53" s="412">
        <f>ROUND('MLK2-3'!AA54,0)</f>
        <v>0</v>
      </c>
      <c r="BT53" s="412">
        <f>ROUND('MLK2-3'!AB54,0)</f>
        <v>87</v>
      </c>
      <c r="BU53" s="412">
        <f>ROUND('MLK2-3'!AC54,0)</f>
        <v>72</v>
      </c>
      <c r="BV53" s="412">
        <f>ROUND('MLK2-3'!AD54,0)</f>
        <v>0</v>
      </c>
      <c r="BW53" s="414"/>
      <c r="BX53" s="413"/>
      <c r="BY53" s="412">
        <f>ROUND('MLK3-3'!AA54,0)</f>
        <v>87</v>
      </c>
      <c r="BZ53" s="412">
        <f>ROUND('MLK3-3'!AB54,0)</f>
        <v>72</v>
      </c>
      <c r="CA53" s="414"/>
      <c r="CB53" s="414"/>
      <c r="CC53" s="414"/>
      <c r="CD53" s="415"/>
    </row>
    <row r="54" spans="1:82"/>
    <row r="55" spans="1:82" hidden="1"/>
    <row r="56" spans="1:82" hidden="1"/>
    <row r="57" spans="1:82" hidden="1">
      <c r="D57" s="1499" t="str">
        <f>D2</f>
        <v>PPKn</v>
      </c>
      <c r="E57" s="1499"/>
      <c r="F57" s="1499"/>
      <c r="G57" s="1499"/>
      <c r="H57" s="1499"/>
      <c r="I57" s="1499"/>
      <c r="J57" s="1500" t="s">
        <v>858</v>
      </c>
      <c r="K57" s="1500"/>
      <c r="L57" s="1500"/>
      <c r="M57" s="1500"/>
      <c r="N57" s="1500"/>
      <c r="O57" s="1500"/>
      <c r="P57" s="1500"/>
      <c r="Q57" s="1500"/>
      <c r="R57" s="1501" t="s">
        <v>729</v>
      </c>
      <c r="S57" s="1501"/>
      <c r="T57" s="1501"/>
      <c r="U57" s="1501"/>
      <c r="V57" s="1501"/>
      <c r="W57" s="1501"/>
      <c r="X57" s="1501"/>
      <c r="Y57" s="1501"/>
      <c r="Z57" s="1502" t="s">
        <v>260</v>
      </c>
      <c r="AA57" s="1502"/>
      <c r="AB57" s="1502"/>
      <c r="AC57" s="1502"/>
      <c r="AD57" s="1502"/>
      <c r="AE57" s="1502"/>
      <c r="AF57" s="1503" t="s">
        <v>261</v>
      </c>
      <c r="AG57" s="1503"/>
      <c r="AH57" s="1503"/>
      <c r="AI57" s="1503"/>
      <c r="AJ57" s="1503"/>
      <c r="AK57" s="1503"/>
      <c r="AL57" s="1504" t="s">
        <v>173</v>
      </c>
      <c r="AM57" s="1504"/>
      <c r="AN57" s="1504"/>
      <c r="AO57" s="1504"/>
      <c r="AP57" s="1504"/>
      <c r="AQ57" s="1504"/>
      <c r="AR57" s="1498" t="s">
        <v>169</v>
      </c>
      <c r="AS57" s="1498"/>
      <c r="AT57" s="1498"/>
      <c r="AU57" s="1498"/>
      <c r="AV57" s="1498"/>
      <c r="AW57" s="1498"/>
      <c r="AX57" s="1498"/>
      <c r="AY57" s="1498"/>
      <c r="AZ57" s="1498"/>
      <c r="BA57" s="1498"/>
      <c r="BB57" s="1498"/>
      <c r="BC57" s="1498"/>
      <c r="BD57" s="1498"/>
      <c r="BE57" s="1505" t="s">
        <v>174</v>
      </c>
      <c r="BF57" s="1505"/>
      <c r="BG57" s="1505"/>
      <c r="BH57" s="1505"/>
      <c r="BI57" s="1505"/>
      <c r="BJ57" s="1505"/>
      <c r="BK57" s="1505"/>
      <c r="BL57" s="1505"/>
      <c r="BM57" s="1506" t="str">
        <f>BM2</f>
        <v>Bahasa Jawa</v>
      </c>
      <c r="BN57" s="1506"/>
      <c r="BO57" s="1506"/>
      <c r="BP57" s="1506"/>
      <c r="BQ57" s="1506"/>
      <c r="BR57" s="1506"/>
      <c r="BS57" s="1507" t="str">
        <f>BS2</f>
        <v>Bahasa Inggris</v>
      </c>
      <c r="BT57" s="1507"/>
      <c r="BU57" s="1507"/>
      <c r="BV57" s="1507"/>
      <c r="BW57" s="1507"/>
      <c r="BX57" s="1507"/>
      <c r="BY57" s="1508" t="str">
        <f>BY2</f>
        <v>TIK</v>
      </c>
      <c r="BZ57" s="1508"/>
      <c r="CA57" s="1508"/>
      <c r="CB57" s="1508"/>
      <c r="CC57" s="1508"/>
      <c r="CD57" s="1508"/>
    </row>
    <row r="58" spans="1:82" hidden="1">
      <c r="D58" s="650" t="str">
        <f>D3</f>
        <v>3.2</v>
      </c>
      <c r="E58" s="650" t="str">
        <f t="shared" ref="E58:I58" si="0">E3</f>
        <v>3.3</v>
      </c>
      <c r="F58" s="650" t="str">
        <f t="shared" si="0"/>
        <v>3.4</v>
      </c>
      <c r="G58" s="650" t="str">
        <f t="shared" si="0"/>
        <v/>
      </c>
      <c r="H58" s="650" t="str">
        <f t="shared" si="0"/>
        <v/>
      </c>
      <c r="I58" s="650" t="str">
        <f t="shared" si="0"/>
        <v/>
      </c>
      <c r="J58" s="651" t="str">
        <f>J3</f>
        <v>3.3</v>
      </c>
      <c r="K58" s="651" t="str">
        <f t="shared" ref="K58:Q58" si="1">K3</f>
        <v>3.6</v>
      </c>
      <c r="L58" s="651" t="str">
        <f t="shared" si="1"/>
        <v>3.7</v>
      </c>
      <c r="M58" s="651" t="str">
        <f t="shared" si="1"/>
        <v>3.9</v>
      </c>
      <c r="N58" s="651" t="str">
        <f t="shared" si="1"/>
        <v>3.10</v>
      </c>
      <c r="O58" s="651" t="str">
        <f t="shared" si="1"/>
        <v/>
      </c>
      <c r="P58" s="651" t="str">
        <f t="shared" si="1"/>
        <v/>
      </c>
      <c r="Q58" s="651">
        <f t="shared" si="1"/>
        <v>0</v>
      </c>
      <c r="R58" s="652" t="str">
        <f>R3</f>
        <v>3.1</v>
      </c>
      <c r="S58" s="652" t="str">
        <f t="shared" ref="S58:Y58" si="2">S3</f>
        <v>3.2</v>
      </c>
      <c r="T58" s="652" t="str">
        <f t="shared" si="2"/>
        <v>3.3</v>
      </c>
      <c r="U58" s="652" t="str">
        <f t="shared" si="2"/>
        <v>3.4</v>
      </c>
      <c r="V58" s="652" t="str">
        <f t="shared" si="2"/>
        <v>3.5</v>
      </c>
      <c r="W58" s="652" t="str">
        <f t="shared" si="2"/>
        <v>3.6</v>
      </c>
      <c r="X58" s="652" t="str">
        <f t="shared" si="2"/>
        <v>3.7</v>
      </c>
      <c r="Y58" s="652">
        <f t="shared" si="2"/>
        <v>0</v>
      </c>
      <c r="Z58" s="653" t="str">
        <f>Z3</f>
        <v>3.2</v>
      </c>
      <c r="AA58" s="653" t="str">
        <f t="shared" ref="AA58:AE58" si="3">AA3</f>
        <v>3.3</v>
      </c>
      <c r="AB58" s="653" t="str">
        <f t="shared" si="3"/>
        <v>3.4</v>
      </c>
      <c r="AC58" s="653" t="str">
        <f t="shared" si="3"/>
        <v>3.5</v>
      </c>
      <c r="AD58" s="653" t="str">
        <f t="shared" si="3"/>
        <v/>
      </c>
      <c r="AE58" s="653" t="str">
        <f t="shared" si="3"/>
        <v/>
      </c>
      <c r="AF58" s="654" t="str">
        <f>AF3</f>
        <v>3.1</v>
      </c>
      <c r="AG58" s="654" t="str">
        <f t="shared" ref="AG58:AK58" si="4">AG3</f>
        <v>3.2</v>
      </c>
      <c r="AH58" s="654" t="str">
        <f t="shared" si="4"/>
        <v>3.3</v>
      </c>
      <c r="AI58" s="654" t="str">
        <f t="shared" si="4"/>
        <v/>
      </c>
      <c r="AJ58" s="654" t="str">
        <f t="shared" si="4"/>
        <v/>
      </c>
      <c r="AK58" s="654" t="str">
        <f t="shared" si="4"/>
        <v/>
      </c>
      <c r="AL58" s="655" t="str">
        <f>AL3</f>
        <v>3.1</v>
      </c>
      <c r="AM58" s="655" t="str">
        <f t="shared" ref="AM58:AQ58" si="5">AM3</f>
        <v>3.2</v>
      </c>
      <c r="AN58" s="655" t="str">
        <f t="shared" si="5"/>
        <v>3.3</v>
      </c>
      <c r="AO58" s="655" t="str">
        <f t="shared" si="5"/>
        <v>3.4</v>
      </c>
      <c r="AP58" s="655" t="str">
        <f t="shared" si="5"/>
        <v/>
      </c>
      <c r="AQ58" s="655">
        <f t="shared" si="5"/>
        <v>0</v>
      </c>
      <c r="AR58" s="658">
        <f>AR3</f>
        <v>3.1</v>
      </c>
      <c r="AS58" s="658">
        <f t="shared" ref="AS58:BD58" si="6">AS3</f>
        <v>3.4</v>
      </c>
      <c r="AT58" s="658">
        <f t="shared" si="6"/>
        <v>3.12</v>
      </c>
      <c r="AU58" s="658">
        <f t="shared" si="6"/>
        <v>3.13</v>
      </c>
      <c r="AV58" s="658">
        <f t="shared" si="6"/>
        <v>3.7</v>
      </c>
      <c r="AW58" s="658">
        <f t="shared" si="6"/>
        <v>3.8</v>
      </c>
      <c r="AX58" s="658">
        <f t="shared" si="6"/>
        <v>3.15</v>
      </c>
      <c r="AY58" s="658" t="str">
        <f t="shared" si="6"/>
        <v>3.21</v>
      </c>
      <c r="AZ58" s="658">
        <f t="shared" si="6"/>
        <v>0</v>
      </c>
      <c r="BA58" s="658">
        <f t="shared" si="6"/>
        <v>0</v>
      </c>
      <c r="BB58" s="658">
        <f t="shared" si="6"/>
        <v>0</v>
      </c>
      <c r="BC58" s="658">
        <f t="shared" si="6"/>
        <v>0</v>
      </c>
      <c r="BD58" s="658">
        <f t="shared" si="6"/>
        <v>0</v>
      </c>
      <c r="BE58" s="657" t="str">
        <f>BE3</f>
        <v>3.3</v>
      </c>
      <c r="BF58" s="657" t="str">
        <f t="shared" ref="BF58:BL58" si="7">BF3</f>
        <v>3.2</v>
      </c>
      <c r="BG58" s="657" t="str">
        <f t="shared" si="7"/>
        <v>3.5</v>
      </c>
      <c r="BH58" s="657" t="str">
        <f t="shared" si="7"/>
        <v>3.4</v>
      </c>
      <c r="BI58" s="657" t="str">
        <f t="shared" si="7"/>
        <v>3.6</v>
      </c>
      <c r="BJ58" s="657" t="str">
        <f t="shared" si="7"/>
        <v/>
      </c>
      <c r="BK58" s="657">
        <f t="shared" si="7"/>
        <v>0</v>
      </c>
      <c r="BL58" s="657">
        <f t="shared" si="7"/>
        <v>0</v>
      </c>
      <c r="BM58" s="659" t="str">
        <f>BM3</f>
        <v>3.5</v>
      </c>
      <c r="BN58" s="659" t="str">
        <f t="shared" ref="BN58:BR58" si="8">BN3</f>
        <v>3.6</v>
      </c>
      <c r="BO58" s="659" t="str">
        <f t="shared" si="8"/>
        <v>3.7</v>
      </c>
      <c r="BP58" s="659">
        <f t="shared" si="8"/>
        <v>0</v>
      </c>
      <c r="BQ58" s="659">
        <f t="shared" si="8"/>
        <v>0</v>
      </c>
      <c r="BR58" s="659">
        <f t="shared" si="8"/>
        <v>0</v>
      </c>
      <c r="BS58" s="662" t="str">
        <f>BS3</f>
        <v>3.5</v>
      </c>
      <c r="BT58" s="662" t="str">
        <f t="shared" ref="BT58:BX58" si="9">BT3</f>
        <v>3.6</v>
      </c>
      <c r="BU58" s="662" t="str">
        <f t="shared" si="9"/>
        <v>3.7</v>
      </c>
      <c r="BV58" s="662" t="str">
        <f t="shared" si="9"/>
        <v>3.8</v>
      </c>
      <c r="BW58" s="662" t="str">
        <f t="shared" si="9"/>
        <v/>
      </c>
      <c r="BX58" s="662" t="str">
        <f t="shared" si="9"/>
        <v/>
      </c>
      <c r="BY58" s="663" t="str">
        <f>BY3</f>
        <v>3.5</v>
      </c>
      <c r="BZ58" s="663" t="str">
        <f t="shared" ref="BZ58:CD58" si="10">BZ3</f>
        <v>3.6</v>
      </c>
      <c r="CA58" s="663">
        <f t="shared" si="10"/>
        <v>0</v>
      </c>
      <c r="CB58" s="663">
        <f t="shared" si="10"/>
        <v>0</v>
      </c>
      <c r="CC58" s="663">
        <f t="shared" si="10"/>
        <v>0</v>
      </c>
      <c r="CD58" s="663">
        <f t="shared" si="10"/>
        <v>0</v>
      </c>
    </row>
    <row r="59" spans="1:82" hidden="1">
      <c r="A59" s="665">
        <v>1</v>
      </c>
      <c r="B59" s="666">
        <v>10</v>
      </c>
      <c r="C59" s="18">
        <v>10</v>
      </c>
      <c r="D59" s="405">
        <f>VLOOKUP(D4,$B$59:$C$149,2)</f>
        <v>90</v>
      </c>
      <c r="E59" s="405">
        <f t="shared" ref="E59:BP59" si="11">VLOOKUP(E4,$B$59:$C$149,2)</f>
        <v>100</v>
      </c>
      <c r="F59" s="405">
        <f t="shared" si="11"/>
        <v>100</v>
      </c>
      <c r="G59" s="405" t="e">
        <f t="shared" si="11"/>
        <v>#N/A</v>
      </c>
      <c r="H59" s="405" t="e">
        <f t="shared" si="11"/>
        <v>#N/A</v>
      </c>
      <c r="I59" s="405" t="e">
        <f t="shared" si="11"/>
        <v>#N/A</v>
      </c>
      <c r="J59" s="405">
        <f t="shared" si="11"/>
        <v>90</v>
      </c>
      <c r="K59" s="405">
        <f t="shared" si="11"/>
        <v>50</v>
      </c>
      <c r="L59" s="405" t="e">
        <f t="shared" si="11"/>
        <v>#N/A</v>
      </c>
      <c r="M59" s="405" t="e">
        <f t="shared" si="11"/>
        <v>#N/A</v>
      </c>
      <c r="N59" s="405" t="e">
        <f t="shared" si="11"/>
        <v>#N/A</v>
      </c>
      <c r="O59" s="405" t="e">
        <f t="shared" si="11"/>
        <v>#N/A</v>
      </c>
      <c r="P59" s="405" t="e">
        <f t="shared" si="11"/>
        <v>#N/A</v>
      </c>
      <c r="Q59" s="405" t="e">
        <f t="shared" si="11"/>
        <v>#N/A</v>
      </c>
      <c r="R59" s="405">
        <f t="shared" si="11"/>
        <v>90</v>
      </c>
      <c r="S59" s="405">
        <f t="shared" si="11"/>
        <v>75</v>
      </c>
      <c r="T59" s="405" t="e">
        <f t="shared" si="11"/>
        <v>#N/A</v>
      </c>
      <c r="U59" s="405" t="e">
        <f t="shared" si="11"/>
        <v>#N/A</v>
      </c>
      <c r="V59" s="405" t="e">
        <f t="shared" si="11"/>
        <v>#N/A</v>
      </c>
      <c r="W59" s="405" t="e">
        <f t="shared" si="11"/>
        <v>#N/A</v>
      </c>
      <c r="X59" s="405" t="e">
        <f t="shared" si="11"/>
        <v>#N/A</v>
      </c>
      <c r="Y59" s="405" t="e">
        <f t="shared" si="11"/>
        <v>#N/A</v>
      </c>
      <c r="Z59" s="405">
        <f t="shared" si="11"/>
        <v>90</v>
      </c>
      <c r="AA59" s="405">
        <f t="shared" si="11"/>
        <v>90</v>
      </c>
      <c r="AB59" s="405">
        <f t="shared" si="11"/>
        <v>100</v>
      </c>
      <c r="AC59" s="405">
        <f t="shared" si="11"/>
        <v>100</v>
      </c>
      <c r="AD59" s="405" t="e">
        <f t="shared" si="11"/>
        <v>#N/A</v>
      </c>
      <c r="AE59" s="405" t="e">
        <f t="shared" si="11"/>
        <v>#N/A</v>
      </c>
      <c r="AF59" s="405" t="e">
        <f t="shared" si="11"/>
        <v>#N/A</v>
      </c>
      <c r="AG59" s="405" t="e">
        <f t="shared" si="11"/>
        <v>#N/A</v>
      </c>
      <c r="AH59" s="405" t="e">
        <f t="shared" si="11"/>
        <v>#N/A</v>
      </c>
      <c r="AI59" s="405" t="e">
        <f t="shared" si="11"/>
        <v>#N/A</v>
      </c>
      <c r="AJ59" s="405" t="e">
        <f t="shared" si="11"/>
        <v>#N/A</v>
      </c>
      <c r="AK59" s="405" t="e">
        <f t="shared" si="11"/>
        <v>#N/A</v>
      </c>
      <c r="AL59" s="405">
        <f t="shared" si="11"/>
        <v>100</v>
      </c>
      <c r="AM59" s="405">
        <f t="shared" si="11"/>
        <v>90</v>
      </c>
      <c r="AN59" s="405">
        <f t="shared" si="11"/>
        <v>100</v>
      </c>
      <c r="AO59" s="405" t="e">
        <f t="shared" si="11"/>
        <v>#N/A</v>
      </c>
      <c r="AP59" s="405" t="e">
        <f t="shared" si="11"/>
        <v>#N/A</v>
      </c>
      <c r="AQ59" s="405" t="e">
        <f t="shared" si="11"/>
        <v>#N/A</v>
      </c>
      <c r="AR59" s="405">
        <f t="shared" si="11"/>
        <v>90</v>
      </c>
      <c r="AS59" s="405">
        <f t="shared" si="11"/>
        <v>100</v>
      </c>
      <c r="AT59" s="405">
        <f t="shared" si="11"/>
        <v>100</v>
      </c>
      <c r="AU59" s="405" t="e">
        <f t="shared" si="11"/>
        <v>#VALUE!</v>
      </c>
      <c r="AV59" s="405" t="e">
        <f t="shared" si="11"/>
        <v>#VALUE!</v>
      </c>
      <c r="AW59" s="405" t="e">
        <f t="shared" si="11"/>
        <v>#VALUE!</v>
      </c>
      <c r="AX59" s="405">
        <f t="shared" si="11"/>
        <v>80</v>
      </c>
      <c r="AY59" s="405" t="e">
        <f t="shared" si="11"/>
        <v>#VALUE!</v>
      </c>
      <c r="AZ59" s="405" t="e">
        <f t="shared" si="11"/>
        <v>#N/A</v>
      </c>
      <c r="BA59" s="405" t="e">
        <f t="shared" si="11"/>
        <v>#N/A</v>
      </c>
      <c r="BB59" s="405" t="e">
        <f t="shared" si="11"/>
        <v>#N/A</v>
      </c>
      <c r="BC59" s="405" t="e">
        <f t="shared" si="11"/>
        <v>#N/A</v>
      </c>
      <c r="BD59" s="405" t="e">
        <f t="shared" si="11"/>
        <v>#N/A</v>
      </c>
      <c r="BE59" s="405">
        <f t="shared" si="11"/>
        <v>60</v>
      </c>
      <c r="BF59" s="405">
        <f t="shared" si="11"/>
        <v>50</v>
      </c>
      <c r="BG59" s="405">
        <f t="shared" si="11"/>
        <v>90</v>
      </c>
      <c r="BH59" s="405">
        <f t="shared" si="11"/>
        <v>90</v>
      </c>
      <c r="BI59" s="405">
        <f t="shared" si="11"/>
        <v>90</v>
      </c>
      <c r="BJ59" s="405" t="e">
        <f t="shared" si="11"/>
        <v>#N/A</v>
      </c>
      <c r="BK59" s="405" t="e">
        <f t="shared" si="11"/>
        <v>#N/A</v>
      </c>
      <c r="BL59" s="405" t="e">
        <f t="shared" si="11"/>
        <v>#N/A</v>
      </c>
      <c r="BM59" s="405">
        <f t="shared" si="11"/>
        <v>90</v>
      </c>
      <c r="BN59" s="405">
        <f t="shared" si="11"/>
        <v>60</v>
      </c>
      <c r="BO59" s="405">
        <f t="shared" si="11"/>
        <v>50</v>
      </c>
      <c r="BP59" s="405" t="e">
        <f t="shared" si="11"/>
        <v>#N/A</v>
      </c>
      <c r="BQ59" s="405" t="e">
        <f t="shared" ref="BQ59:CD59" si="12">VLOOKUP(BQ4,$B$59:$C$149,2)</f>
        <v>#N/A</v>
      </c>
      <c r="BR59" s="405" t="e">
        <f t="shared" si="12"/>
        <v>#N/A</v>
      </c>
      <c r="BS59" s="405">
        <f t="shared" si="12"/>
        <v>90</v>
      </c>
      <c r="BT59" s="405">
        <f t="shared" si="12"/>
        <v>60</v>
      </c>
      <c r="BU59" s="405">
        <f t="shared" si="12"/>
        <v>50</v>
      </c>
      <c r="BV59" s="405">
        <f t="shared" si="12"/>
        <v>90</v>
      </c>
      <c r="BW59" s="405" t="e">
        <f t="shared" si="12"/>
        <v>#N/A</v>
      </c>
      <c r="BX59" s="405" t="e">
        <f t="shared" si="12"/>
        <v>#N/A</v>
      </c>
      <c r="BY59" s="405">
        <f t="shared" si="12"/>
        <v>60</v>
      </c>
      <c r="BZ59" s="405">
        <f t="shared" si="12"/>
        <v>50</v>
      </c>
      <c r="CA59" s="405" t="e">
        <f t="shared" si="12"/>
        <v>#N/A</v>
      </c>
      <c r="CB59" s="405" t="e">
        <f t="shared" si="12"/>
        <v>#N/A</v>
      </c>
      <c r="CC59" s="405" t="e">
        <f t="shared" si="12"/>
        <v>#N/A</v>
      </c>
      <c r="CD59" s="405" t="e">
        <f t="shared" si="12"/>
        <v>#N/A</v>
      </c>
    </row>
    <row r="60" spans="1:82" hidden="1">
      <c r="A60" s="665">
        <v>2</v>
      </c>
      <c r="B60" s="666">
        <v>11</v>
      </c>
      <c r="C60" s="18">
        <v>10</v>
      </c>
      <c r="D60" s="405">
        <f t="shared" ref="D60:BO60" si="13">VLOOKUP(D5,$B$59:$C$149,2)</f>
        <v>100</v>
      </c>
      <c r="E60" s="405">
        <f t="shared" si="13"/>
        <v>100</v>
      </c>
      <c r="F60" s="405">
        <f t="shared" si="13"/>
        <v>90</v>
      </c>
      <c r="G60" s="405" t="e">
        <f t="shared" si="13"/>
        <v>#N/A</v>
      </c>
      <c r="H60" s="405" t="e">
        <f t="shared" si="13"/>
        <v>#N/A</v>
      </c>
      <c r="I60" s="405" t="e">
        <f t="shared" si="13"/>
        <v>#N/A</v>
      </c>
      <c r="J60" s="405">
        <f t="shared" si="13"/>
        <v>95</v>
      </c>
      <c r="K60" s="405">
        <f t="shared" si="13"/>
        <v>95</v>
      </c>
      <c r="L60" s="405">
        <f t="shared" si="13"/>
        <v>100</v>
      </c>
      <c r="M60" s="405">
        <f t="shared" si="13"/>
        <v>100</v>
      </c>
      <c r="N60" s="405">
        <f t="shared" si="13"/>
        <v>100</v>
      </c>
      <c r="O60" s="405" t="e">
        <f t="shared" si="13"/>
        <v>#N/A</v>
      </c>
      <c r="P60" s="405" t="e">
        <f t="shared" si="13"/>
        <v>#N/A</v>
      </c>
      <c r="Q60" s="405" t="e">
        <f t="shared" si="13"/>
        <v>#N/A</v>
      </c>
      <c r="R60" s="405">
        <f t="shared" si="13"/>
        <v>65</v>
      </c>
      <c r="S60" s="405">
        <f t="shared" si="13"/>
        <v>90</v>
      </c>
      <c r="T60" s="405" t="e">
        <f t="shared" si="13"/>
        <v>#N/A</v>
      </c>
      <c r="U60" s="405" t="e">
        <f t="shared" si="13"/>
        <v>#N/A</v>
      </c>
      <c r="V60" s="405" t="e">
        <f t="shared" si="13"/>
        <v>#N/A</v>
      </c>
      <c r="W60" s="405" t="e">
        <f t="shared" si="13"/>
        <v>#N/A</v>
      </c>
      <c r="X60" s="405" t="e">
        <f t="shared" si="13"/>
        <v>#N/A</v>
      </c>
      <c r="Y60" s="405" t="e">
        <f t="shared" si="13"/>
        <v>#N/A</v>
      </c>
      <c r="Z60" s="405">
        <f t="shared" si="13"/>
        <v>90</v>
      </c>
      <c r="AA60" s="405">
        <f t="shared" si="13"/>
        <v>90</v>
      </c>
      <c r="AB60" s="405">
        <f t="shared" si="13"/>
        <v>100</v>
      </c>
      <c r="AC60" s="405">
        <f t="shared" si="13"/>
        <v>100</v>
      </c>
      <c r="AD60" s="405" t="e">
        <f t="shared" si="13"/>
        <v>#N/A</v>
      </c>
      <c r="AE60" s="405" t="e">
        <f t="shared" si="13"/>
        <v>#N/A</v>
      </c>
      <c r="AF60" s="405">
        <f t="shared" si="13"/>
        <v>90</v>
      </c>
      <c r="AG60" s="405">
        <f t="shared" si="13"/>
        <v>90</v>
      </c>
      <c r="AH60" s="405">
        <f t="shared" si="13"/>
        <v>100</v>
      </c>
      <c r="AI60" s="405" t="e">
        <f t="shared" si="13"/>
        <v>#N/A</v>
      </c>
      <c r="AJ60" s="405" t="e">
        <f t="shared" si="13"/>
        <v>#N/A</v>
      </c>
      <c r="AK60" s="405" t="e">
        <f t="shared" si="13"/>
        <v>#N/A</v>
      </c>
      <c r="AL60" s="405">
        <f t="shared" si="13"/>
        <v>90</v>
      </c>
      <c r="AM60" s="405">
        <f t="shared" si="13"/>
        <v>90</v>
      </c>
      <c r="AN60" s="405">
        <f t="shared" si="13"/>
        <v>100</v>
      </c>
      <c r="AO60" s="405" t="e">
        <f t="shared" si="13"/>
        <v>#N/A</v>
      </c>
      <c r="AP60" s="405" t="e">
        <f t="shared" si="13"/>
        <v>#N/A</v>
      </c>
      <c r="AQ60" s="405" t="e">
        <f t="shared" si="13"/>
        <v>#N/A</v>
      </c>
      <c r="AR60" s="405">
        <f t="shared" si="13"/>
        <v>100</v>
      </c>
      <c r="AS60" s="405">
        <f t="shared" si="13"/>
        <v>100</v>
      </c>
      <c r="AT60" s="405">
        <f t="shared" si="13"/>
        <v>100</v>
      </c>
      <c r="AU60" s="405" t="e">
        <f t="shared" si="13"/>
        <v>#VALUE!</v>
      </c>
      <c r="AV60" s="405" t="e">
        <f t="shared" si="13"/>
        <v>#VALUE!</v>
      </c>
      <c r="AW60" s="405" t="e">
        <f t="shared" si="13"/>
        <v>#VALUE!</v>
      </c>
      <c r="AX60" s="405" t="e">
        <f t="shared" si="13"/>
        <v>#VALUE!</v>
      </c>
      <c r="AY60" s="405" t="e">
        <f t="shared" si="13"/>
        <v>#VALUE!</v>
      </c>
      <c r="AZ60" s="405" t="e">
        <f t="shared" si="13"/>
        <v>#N/A</v>
      </c>
      <c r="BA60" s="405" t="e">
        <f t="shared" si="13"/>
        <v>#N/A</v>
      </c>
      <c r="BB60" s="405" t="e">
        <f t="shared" si="13"/>
        <v>#N/A</v>
      </c>
      <c r="BC60" s="405" t="e">
        <f t="shared" si="13"/>
        <v>#N/A</v>
      </c>
      <c r="BD60" s="405" t="e">
        <f t="shared" si="13"/>
        <v>#N/A</v>
      </c>
      <c r="BE60" s="405">
        <f t="shared" si="13"/>
        <v>95</v>
      </c>
      <c r="BF60" s="405">
        <f t="shared" si="13"/>
        <v>95</v>
      </c>
      <c r="BG60" s="405">
        <f t="shared" si="13"/>
        <v>70</v>
      </c>
      <c r="BH60" s="405">
        <f t="shared" si="13"/>
        <v>85</v>
      </c>
      <c r="BI60" s="405">
        <f t="shared" si="13"/>
        <v>65</v>
      </c>
      <c r="BJ60" s="405" t="e">
        <f t="shared" si="13"/>
        <v>#N/A</v>
      </c>
      <c r="BK60" s="405" t="e">
        <f t="shared" si="13"/>
        <v>#N/A</v>
      </c>
      <c r="BL60" s="405" t="e">
        <f t="shared" si="13"/>
        <v>#N/A</v>
      </c>
      <c r="BM60" s="405">
        <f t="shared" si="13"/>
        <v>70</v>
      </c>
      <c r="BN60" s="405">
        <f t="shared" si="13"/>
        <v>95</v>
      </c>
      <c r="BO60" s="405">
        <f t="shared" si="13"/>
        <v>95</v>
      </c>
      <c r="BP60" s="405" t="e">
        <f t="shared" ref="BP60:CD60" si="14">VLOOKUP(BP5,$B$59:$C$149,2)</f>
        <v>#N/A</v>
      </c>
      <c r="BQ60" s="405" t="e">
        <f t="shared" si="14"/>
        <v>#N/A</v>
      </c>
      <c r="BR60" s="405" t="e">
        <f t="shared" si="14"/>
        <v>#N/A</v>
      </c>
      <c r="BS60" s="405">
        <f t="shared" si="14"/>
        <v>65</v>
      </c>
      <c r="BT60" s="405">
        <f t="shared" si="14"/>
        <v>95</v>
      </c>
      <c r="BU60" s="405">
        <f t="shared" si="14"/>
        <v>95</v>
      </c>
      <c r="BV60" s="405">
        <f t="shared" si="14"/>
        <v>85</v>
      </c>
      <c r="BW60" s="405" t="e">
        <f t="shared" si="14"/>
        <v>#N/A</v>
      </c>
      <c r="BX60" s="405" t="e">
        <f t="shared" si="14"/>
        <v>#N/A</v>
      </c>
      <c r="BY60" s="405">
        <f t="shared" si="14"/>
        <v>95</v>
      </c>
      <c r="BZ60" s="405">
        <f t="shared" si="14"/>
        <v>95</v>
      </c>
      <c r="CA60" s="405" t="e">
        <f t="shared" si="14"/>
        <v>#N/A</v>
      </c>
      <c r="CB60" s="405" t="e">
        <f t="shared" si="14"/>
        <v>#N/A</v>
      </c>
      <c r="CC60" s="405" t="e">
        <f t="shared" si="14"/>
        <v>#N/A</v>
      </c>
      <c r="CD60" s="405" t="e">
        <f t="shared" si="14"/>
        <v>#N/A</v>
      </c>
    </row>
    <row r="61" spans="1:82" hidden="1">
      <c r="A61" s="665">
        <v>3</v>
      </c>
      <c r="B61" s="666">
        <v>12</v>
      </c>
      <c r="C61" s="18">
        <v>10</v>
      </c>
      <c r="D61" s="405">
        <f t="shared" ref="D61:BO61" si="15">VLOOKUP(D6,$B$59:$C$149,2)</f>
        <v>100</v>
      </c>
      <c r="E61" s="405">
        <f t="shared" si="15"/>
        <v>100</v>
      </c>
      <c r="F61" s="405">
        <f t="shared" si="15"/>
        <v>100</v>
      </c>
      <c r="G61" s="405" t="e">
        <f t="shared" si="15"/>
        <v>#N/A</v>
      </c>
      <c r="H61" s="405" t="e">
        <f t="shared" si="15"/>
        <v>#N/A</v>
      </c>
      <c r="I61" s="405" t="e">
        <f t="shared" si="15"/>
        <v>#N/A</v>
      </c>
      <c r="J61" s="405">
        <f t="shared" si="15"/>
        <v>95</v>
      </c>
      <c r="K61" s="405">
        <f t="shared" si="15"/>
        <v>80</v>
      </c>
      <c r="L61" s="405">
        <f t="shared" si="15"/>
        <v>100</v>
      </c>
      <c r="M61" s="405">
        <f t="shared" si="15"/>
        <v>100</v>
      </c>
      <c r="N61" s="405">
        <f t="shared" si="15"/>
        <v>100</v>
      </c>
      <c r="O61" s="405" t="e">
        <f t="shared" si="15"/>
        <v>#N/A</v>
      </c>
      <c r="P61" s="405" t="e">
        <f t="shared" si="15"/>
        <v>#N/A</v>
      </c>
      <c r="Q61" s="405" t="e">
        <f t="shared" si="15"/>
        <v>#N/A</v>
      </c>
      <c r="R61" s="405">
        <f t="shared" si="15"/>
        <v>95</v>
      </c>
      <c r="S61" s="405">
        <f t="shared" si="15"/>
        <v>80</v>
      </c>
      <c r="T61" s="405" t="e">
        <f t="shared" si="15"/>
        <v>#N/A</v>
      </c>
      <c r="U61" s="405" t="e">
        <f t="shared" si="15"/>
        <v>#N/A</v>
      </c>
      <c r="V61" s="405" t="e">
        <f t="shared" si="15"/>
        <v>#N/A</v>
      </c>
      <c r="W61" s="405" t="e">
        <f t="shared" si="15"/>
        <v>#N/A</v>
      </c>
      <c r="X61" s="405">
        <f t="shared" si="15"/>
        <v>90</v>
      </c>
      <c r="Y61" s="405" t="e">
        <f t="shared" si="15"/>
        <v>#N/A</v>
      </c>
      <c r="Z61" s="405">
        <f t="shared" si="15"/>
        <v>100</v>
      </c>
      <c r="AA61" s="405">
        <f t="shared" si="15"/>
        <v>100</v>
      </c>
      <c r="AB61" s="405">
        <f t="shared" si="15"/>
        <v>100</v>
      </c>
      <c r="AC61" s="405">
        <f t="shared" si="15"/>
        <v>100</v>
      </c>
      <c r="AD61" s="405" t="e">
        <f t="shared" si="15"/>
        <v>#N/A</v>
      </c>
      <c r="AE61" s="405" t="e">
        <f t="shared" si="15"/>
        <v>#N/A</v>
      </c>
      <c r="AF61" s="405">
        <f t="shared" si="15"/>
        <v>100</v>
      </c>
      <c r="AG61" s="405">
        <f t="shared" si="15"/>
        <v>100</v>
      </c>
      <c r="AH61" s="405">
        <f t="shared" si="15"/>
        <v>100</v>
      </c>
      <c r="AI61" s="405" t="e">
        <f t="shared" si="15"/>
        <v>#N/A</v>
      </c>
      <c r="AJ61" s="405" t="e">
        <f t="shared" si="15"/>
        <v>#N/A</v>
      </c>
      <c r="AK61" s="405" t="e">
        <f t="shared" si="15"/>
        <v>#N/A</v>
      </c>
      <c r="AL61" s="405">
        <f t="shared" si="15"/>
        <v>90</v>
      </c>
      <c r="AM61" s="405">
        <f t="shared" si="15"/>
        <v>90</v>
      </c>
      <c r="AN61" s="405">
        <f t="shared" si="15"/>
        <v>100</v>
      </c>
      <c r="AO61" s="405" t="e">
        <f t="shared" si="15"/>
        <v>#N/A</v>
      </c>
      <c r="AP61" s="405" t="e">
        <f t="shared" si="15"/>
        <v>#N/A</v>
      </c>
      <c r="AQ61" s="405" t="e">
        <f t="shared" si="15"/>
        <v>#N/A</v>
      </c>
      <c r="AR61" s="405">
        <f t="shared" si="15"/>
        <v>100</v>
      </c>
      <c r="AS61" s="405">
        <f t="shared" si="15"/>
        <v>100</v>
      </c>
      <c r="AT61" s="405">
        <f t="shared" si="15"/>
        <v>100</v>
      </c>
      <c r="AU61" s="405" t="e">
        <f t="shared" si="15"/>
        <v>#VALUE!</v>
      </c>
      <c r="AV61" s="405" t="e">
        <f t="shared" si="15"/>
        <v>#VALUE!</v>
      </c>
      <c r="AW61" s="405" t="e">
        <f t="shared" si="15"/>
        <v>#VALUE!</v>
      </c>
      <c r="AX61" s="405" t="e">
        <f t="shared" si="15"/>
        <v>#VALUE!</v>
      </c>
      <c r="AY61" s="405" t="e">
        <f t="shared" si="15"/>
        <v>#VALUE!</v>
      </c>
      <c r="AZ61" s="405" t="e">
        <f t="shared" si="15"/>
        <v>#N/A</v>
      </c>
      <c r="BA61" s="405" t="e">
        <f t="shared" si="15"/>
        <v>#N/A</v>
      </c>
      <c r="BB61" s="405" t="e">
        <f t="shared" si="15"/>
        <v>#N/A</v>
      </c>
      <c r="BC61" s="405" t="e">
        <f t="shared" si="15"/>
        <v>#N/A</v>
      </c>
      <c r="BD61" s="405" t="e">
        <f t="shared" si="15"/>
        <v>#N/A</v>
      </c>
      <c r="BE61" s="405">
        <f t="shared" si="15"/>
        <v>95</v>
      </c>
      <c r="BF61" s="405">
        <f t="shared" si="15"/>
        <v>80</v>
      </c>
      <c r="BG61" s="405" t="e">
        <f t="shared" si="15"/>
        <v>#N/A</v>
      </c>
      <c r="BH61" s="405" t="e">
        <f t="shared" si="15"/>
        <v>#N/A</v>
      </c>
      <c r="BI61" s="405" t="e">
        <f t="shared" si="15"/>
        <v>#N/A</v>
      </c>
      <c r="BJ61" s="405" t="e">
        <f t="shared" si="15"/>
        <v>#N/A</v>
      </c>
      <c r="BK61" s="405" t="e">
        <f t="shared" si="15"/>
        <v>#N/A</v>
      </c>
      <c r="BL61" s="405" t="e">
        <f t="shared" si="15"/>
        <v>#N/A</v>
      </c>
      <c r="BM61" s="405" t="e">
        <f t="shared" si="15"/>
        <v>#N/A</v>
      </c>
      <c r="BN61" s="405">
        <f t="shared" si="15"/>
        <v>95</v>
      </c>
      <c r="BO61" s="405">
        <f t="shared" si="15"/>
        <v>80</v>
      </c>
      <c r="BP61" s="405" t="e">
        <f t="shared" ref="BP61:CD61" si="16">VLOOKUP(BP6,$B$59:$C$149,2)</f>
        <v>#N/A</v>
      </c>
      <c r="BQ61" s="405" t="e">
        <f t="shared" si="16"/>
        <v>#N/A</v>
      </c>
      <c r="BR61" s="405" t="e">
        <f t="shared" si="16"/>
        <v>#N/A</v>
      </c>
      <c r="BS61" s="405" t="e">
        <f t="shared" si="16"/>
        <v>#N/A</v>
      </c>
      <c r="BT61" s="405">
        <f t="shared" si="16"/>
        <v>95</v>
      </c>
      <c r="BU61" s="405">
        <f t="shared" si="16"/>
        <v>80</v>
      </c>
      <c r="BV61" s="405" t="e">
        <f t="shared" si="16"/>
        <v>#N/A</v>
      </c>
      <c r="BW61" s="405" t="e">
        <f t="shared" si="16"/>
        <v>#N/A</v>
      </c>
      <c r="BX61" s="405" t="e">
        <f t="shared" si="16"/>
        <v>#N/A</v>
      </c>
      <c r="BY61" s="405">
        <f t="shared" si="16"/>
        <v>95</v>
      </c>
      <c r="BZ61" s="405">
        <f t="shared" si="16"/>
        <v>80</v>
      </c>
      <c r="CA61" s="405" t="e">
        <f t="shared" si="16"/>
        <v>#N/A</v>
      </c>
      <c r="CB61" s="405" t="e">
        <f t="shared" si="16"/>
        <v>#N/A</v>
      </c>
      <c r="CC61" s="405" t="e">
        <f t="shared" si="16"/>
        <v>#N/A</v>
      </c>
      <c r="CD61" s="405" t="e">
        <f t="shared" si="16"/>
        <v>#N/A</v>
      </c>
    </row>
    <row r="62" spans="1:82" hidden="1">
      <c r="A62" s="665">
        <v>4</v>
      </c>
      <c r="B62" s="666">
        <v>13</v>
      </c>
      <c r="C62" s="18">
        <v>15</v>
      </c>
      <c r="D62" s="405">
        <f t="shared" ref="D62:BO62" si="17">VLOOKUP(D7,$B$59:$C$149,2)</f>
        <v>100</v>
      </c>
      <c r="E62" s="405">
        <f t="shared" si="17"/>
        <v>100</v>
      </c>
      <c r="F62" s="405">
        <f t="shared" si="17"/>
        <v>100</v>
      </c>
      <c r="G62" s="405" t="e">
        <f t="shared" si="17"/>
        <v>#N/A</v>
      </c>
      <c r="H62" s="405" t="e">
        <f t="shared" si="17"/>
        <v>#N/A</v>
      </c>
      <c r="I62" s="405" t="e">
        <f t="shared" si="17"/>
        <v>#N/A</v>
      </c>
      <c r="J62" s="405">
        <f t="shared" si="17"/>
        <v>80</v>
      </c>
      <c r="K62" s="405">
        <f t="shared" si="17"/>
        <v>80</v>
      </c>
      <c r="L62" s="405" t="e">
        <f t="shared" si="17"/>
        <v>#N/A</v>
      </c>
      <c r="M62" s="405" t="e">
        <f t="shared" si="17"/>
        <v>#N/A</v>
      </c>
      <c r="N62" s="405" t="e">
        <f t="shared" si="17"/>
        <v>#N/A</v>
      </c>
      <c r="O62" s="405" t="e">
        <f t="shared" si="17"/>
        <v>#N/A</v>
      </c>
      <c r="P62" s="405" t="e">
        <f t="shared" si="17"/>
        <v>#N/A</v>
      </c>
      <c r="Q62" s="405" t="e">
        <f t="shared" si="17"/>
        <v>#N/A</v>
      </c>
      <c r="R62" s="405">
        <f t="shared" si="17"/>
        <v>80</v>
      </c>
      <c r="S62" s="405">
        <f t="shared" si="17"/>
        <v>80</v>
      </c>
      <c r="T62" s="405" t="e">
        <f t="shared" si="17"/>
        <v>#N/A</v>
      </c>
      <c r="U62" s="405" t="e">
        <f t="shared" si="17"/>
        <v>#N/A</v>
      </c>
      <c r="V62" s="405" t="e">
        <f t="shared" si="17"/>
        <v>#N/A</v>
      </c>
      <c r="W62" s="405" t="e">
        <f t="shared" si="17"/>
        <v>#N/A</v>
      </c>
      <c r="X62" s="405" t="e">
        <f t="shared" si="17"/>
        <v>#N/A</v>
      </c>
      <c r="Y62" s="405" t="e">
        <f t="shared" si="17"/>
        <v>#N/A</v>
      </c>
      <c r="Z62" s="405" t="e">
        <f t="shared" si="17"/>
        <v>#N/A</v>
      </c>
      <c r="AA62" s="405" t="e">
        <f t="shared" si="17"/>
        <v>#N/A</v>
      </c>
      <c r="AB62" s="405" t="e">
        <f t="shared" si="17"/>
        <v>#N/A</v>
      </c>
      <c r="AC62" s="405" t="e">
        <f t="shared" si="17"/>
        <v>#N/A</v>
      </c>
      <c r="AD62" s="405" t="e">
        <f t="shared" si="17"/>
        <v>#N/A</v>
      </c>
      <c r="AE62" s="405" t="e">
        <f t="shared" si="17"/>
        <v>#N/A</v>
      </c>
      <c r="AF62" s="405">
        <f t="shared" si="17"/>
        <v>100</v>
      </c>
      <c r="AG62" s="405">
        <f t="shared" si="17"/>
        <v>100</v>
      </c>
      <c r="AH62" s="405">
        <f t="shared" si="17"/>
        <v>100</v>
      </c>
      <c r="AI62" s="405" t="e">
        <f t="shared" si="17"/>
        <v>#N/A</v>
      </c>
      <c r="AJ62" s="405" t="e">
        <f t="shared" si="17"/>
        <v>#N/A</v>
      </c>
      <c r="AK62" s="405" t="e">
        <f t="shared" si="17"/>
        <v>#N/A</v>
      </c>
      <c r="AL62" s="405">
        <f t="shared" si="17"/>
        <v>100</v>
      </c>
      <c r="AM62" s="405">
        <f t="shared" si="17"/>
        <v>100</v>
      </c>
      <c r="AN62" s="405">
        <f t="shared" si="17"/>
        <v>100</v>
      </c>
      <c r="AO62" s="405" t="e">
        <f t="shared" si="17"/>
        <v>#N/A</v>
      </c>
      <c r="AP62" s="405" t="e">
        <f t="shared" si="17"/>
        <v>#N/A</v>
      </c>
      <c r="AQ62" s="405" t="e">
        <f t="shared" si="17"/>
        <v>#N/A</v>
      </c>
      <c r="AR62" s="405">
        <f t="shared" si="17"/>
        <v>100</v>
      </c>
      <c r="AS62" s="405">
        <f t="shared" si="17"/>
        <v>100</v>
      </c>
      <c r="AT62" s="405">
        <f t="shared" si="17"/>
        <v>100</v>
      </c>
      <c r="AU62" s="405" t="e">
        <f t="shared" si="17"/>
        <v>#VALUE!</v>
      </c>
      <c r="AV62" s="405" t="e">
        <f t="shared" si="17"/>
        <v>#VALUE!</v>
      </c>
      <c r="AW62" s="405" t="e">
        <f t="shared" si="17"/>
        <v>#VALUE!</v>
      </c>
      <c r="AX62" s="405" t="e">
        <f t="shared" si="17"/>
        <v>#VALUE!</v>
      </c>
      <c r="AY62" s="405" t="e">
        <f t="shared" si="17"/>
        <v>#VALUE!</v>
      </c>
      <c r="AZ62" s="405" t="e">
        <f t="shared" si="17"/>
        <v>#N/A</v>
      </c>
      <c r="BA62" s="405" t="e">
        <f t="shared" si="17"/>
        <v>#N/A</v>
      </c>
      <c r="BB62" s="405" t="e">
        <f t="shared" si="17"/>
        <v>#N/A</v>
      </c>
      <c r="BC62" s="405" t="e">
        <f t="shared" si="17"/>
        <v>#N/A</v>
      </c>
      <c r="BD62" s="405" t="e">
        <f t="shared" si="17"/>
        <v>#N/A</v>
      </c>
      <c r="BE62" s="405">
        <f t="shared" si="17"/>
        <v>80</v>
      </c>
      <c r="BF62" s="405">
        <f t="shared" si="17"/>
        <v>80</v>
      </c>
      <c r="BG62" s="405" t="e">
        <f t="shared" si="17"/>
        <v>#N/A</v>
      </c>
      <c r="BH62" s="405" t="e">
        <f t="shared" si="17"/>
        <v>#N/A</v>
      </c>
      <c r="BI62" s="405" t="e">
        <f t="shared" si="17"/>
        <v>#N/A</v>
      </c>
      <c r="BJ62" s="405" t="e">
        <f t="shared" si="17"/>
        <v>#N/A</v>
      </c>
      <c r="BK62" s="405" t="e">
        <f t="shared" si="17"/>
        <v>#N/A</v>
      </c>
      <c r="BL62" s="405" t="e">
        <f t="shared" si="17"/>
        <v>#N/A</v>
      </c>
      <c r="BM62" s="405" t="e">
        <f t="shared" si="17"/>
        <v>#N/A</v>
      </c>
      <c r="BN62" s="405">
        <f t="shared" si="17"/>
        <v>80</v>
      </c>
      <c r="BO62" s="405">
        <f t="shared" si="17"/>
        <v>80</v>
      </c>
      <c r="BP62" s="405" t="e">
        <f t="shared" ref="BP62:CD62" si="18">VLOOKUP(BP7,$B$59:$C$149,2)</f>
        <v>#N/A</v>
      </c>
      <c r="BQ62" s="405" t="e">
        <f t="shared" si="18"/>
        <v>#N/A</v>
      </c>
      <c r="BR62" s="405" t="e">
        <f t="shared" si="18"/>
        <v>#N/A</v>
      </c>
      <c r="BS62" s="405" t="e">
        <f t="shared" si="18"/>
        <v>#N/A</v>
      </c>
      <c r="BT62" s="405">
        <f t="shared" si="18"/>
        <v>80</v>
      </c>
      <c r="BU62" s="405">
        <f t="shared" si="18"/>
        <v>80</v>
      </c>
      <c r="BV62" s="405" t="e">
        <f t="shared" si="18"/>
        <v>#N/A</v>
      </c>
      <c r="BW62" s="405" t="e">
        <f t="shared" si="18"/>
        <v>#N/A</v>
      </c>
      <c r="BX62" s="405" t="e">
        <f t="shared" si="18"/>
        <v>#N/A</v>
      </c>
      <c r="BY62" s="405">
        <f t="shared" si="18"/>
        <v>80</v>
      </c>
      <c r="BZ62" s="405">
        <f t="shared" si="18"/>
        <v>80</v>
      </c>
      <c r="CA62" s="405" t="e">
        <f t="shared" si="18"/>
        <v>#N/A</v>
      </c>
      <c r="CB62" s="405" t="e">
        <f t="shared" si="18"/>
        <v>#N/A</v>
      </c>
      <c r="CC62" s="405" t="e">
        <f t="shared" si="18"/>
        <v>#N/A</v>
      </c>
      <c r="CD62" s="405" t="e">
        <f t="shared" si="18"/>
        <v>#N/A</v>
      </c>
    </row>
    <row r="63" spans="1:82" hidden="1">
      <c r="A63" s="665">
        <v>5</v>
      </c>
      <c r="B63" s="666">
        <v>14</v>
      </c>
      <c r="C63" s="18">
        <v>15</v>
      </c>
      <c r="D63" s="405">
        <f t="shared" ref="D63:BO63" si="19">VLOOKUP(D8,$B$59:$C$149,2)</f>
        <v>100</v>
      </c>
      <c r="E63" s="405">
        <f t="shared" si="19"/>
        <v>100</v>
      </c>
      <c r="F63" s="405">
        <f t="shared" si="19"/>
        <v>100</v>
      </c>
      <c r="G63" s="405" t="e">
        <f t="shared" si="19"/>
        <v>#N/A</v>
      </c>
      <c r="H63" s="405" t="e">
        <f t="shared" si="19"/>
        <v>#N/A</v>
      </c>
      <c r="I63" s="405" t="e">
        <f t="shared" si="19"/>
        <v>#N/A</v>
      </c>
      <c r="J63" s="405">
        <f t="shared" si="19"/>
        <v>80</v>
      </c>
      <c r="K63" s="405">
        <f t="shared" si="19"/>
        <v>80</v>
      </c>
      <c r="L63" s="405">
        <f t="shared" si="19"/>
        <v>100</v>
      </c>
      <c r="M63" s="405">
        <f t="shared" si="19"/>
        <v>100</v>
      </c>
      <c r="N63" s="405">
        <f t="shared" si="19"/>
        <v>100</v>
      </c>
      <c r="O63" s="405" t="e">
        <f t="shared" si="19"/>
        <v>#N/A</v>
      </c>
      <c r="P63" s="405" t="e">
        <f t="shared" si="19"/>
        <v>#N/A</v>
      </c>
      <c r="Q63" s="405" t="e">
        <f t="shared" si="19"/>
        <v>#N/A</v>
      </c>
      <c r="R63" s="405">
        <f t="shared" si="19"/>
        <v>80</v>
      </c>
      <c r="S63" s="405">
        <f t="shared" si="19"/>
        <v>80</v>
      </c>
      <c r="T63" s="405" t="e">
        <f t="shared" si="19"/>
        <v>#N/A</v>
      </c>
      <c r="U63" s="405" t="e">
        <f t="shared" si="19"/>
        <v>#N/A</v>
      </c>
      <c r="V63" s="405" t="e">
        <f t="shared" si="19"/>
        <v>#N/A</v>
      </c>
      <c r="W63" s="405" t="e">
        <f t="shared" si="19"/>
        <v>#N/A</v>
      </c>
      <c r="X63" s="405" t="e">
        <f t="shared" si="19"/>
        <v>#N/A</v>
      </c>
      <c r="Y63" s="405" t="e">
        <f t="shared" si="19"/>
        <v>#N/A</v>
      </c>
      <c r="Z63" s="405">
        <f t="shared" si="19"/>
        <v>100</v>
      </c>
      <c r="AA63" s="405">
        <f t="shared" si="19"/>
        <v>100</v>
      </c>
      <c r="AB63" s="405">
        <f t="shared" si="19"/>
        <v>100</v>
      </c>
      <c r="AC63" s="405">
        <f t="shared" si="19"/>
        <v>100</v>
      </c>
      <c r="AD63" s="405" t="e">
        <f t="shared" si="19"/>
        <v>#N/A</v>
      </c>
      <c r="AE63" s="405" t="e">
        <f t="shared" si="19"/>
        <v>#N/A</v>
      </c>
      <c r="AF63" s="405">
        <f t="shared" si="19"/>
        <v>100</v>
      </c>
      <c r="AG63" s="405">
        <f t="shared" si="19"/>
        <v>100</v>
      </c>
      <c r="AH63" s="405">
        <f t="shared" si="19"/>
        <v>100</v>
      </c>
      <c r="AI63" s="405" t="e">
        <f t="shared" si="19"/>
        <v>#N/A</v>
      </c>
      <c r="AJ63" s="405" t="e">
        <f t="shared" si="19"/>
        <v>#N/A</v>
      </c>
      <c r="AK63" s="405" t="e">
        <f t="shared" si="19"/>
        <v>#N/A</v>
      </c>
      <c r="AL63" s="405">
        <f t="shared" si="19"/>
        <v>100</v>
      </c>
      <c r="AM63" s="405">
        <f t="shared" si="19"/>
        <v>100</v>
      </c>
      <c r="AN63" s="405">
        <f t="shared" si="19"/>
        <v>100</v>
      </c>
      <c r="AO63" s="405" t="e">
        <f t="shared" si="19"/>
        <v>#N/A</v>
      </c>
      <c r="AP63" s="405" t="e">
        <f t="shared" si="19"/>
        <v>#N/A</v>
      </c>
      <c r="AQ63" s="405" t="e">
        <f t="shared" si="19"/>
        <v>#N/A</v>
      </c>
      <c r="AR63" s="405">
        <f t="shared" si="19"/>
        <v>100</v>
      </c>
      <c r="AS63" s="405">
        <f t="shared" si="19"/>
        <v>100</v>
      </c>
      <c r="AT63" s="405">
        <f t="shared" si="19"/>
        <v>100</v>
      </c>
      <c r="AU63" s="405" t="e">
        <f t="shared" si="19"/>
        <v>#VALUE!</v>
      </c>
      <c r="AV63" s="405" t="e">
        <f t="shared" si="19"/>
        <v>#VALUE!</v>
      </c>
      <c r="AW63" s="405" t="e">
        <f t="shared" si="19"/>
        <v>#VALUE!</v>
      </c>
      <c r="AX63" s="405" t="e">
        <f t="shared" si="19"/>
        <v>#VALUE!</v>
      </c>
      <c r="AY63" s="405" t="e">
        <f t="shared" si="19"/>
        <v>#VALUE!</v>
      </c>
      <c r="AZ63" s="405" t="e">
        <f t="shared" si="19"/>
        <v>#N/A</v>
      </c>
      <c r="BA63" s="405" t="e">
        <f t="shared" si="19"/>
        <v>#N/A</v>
      </c>
      <c r="BB63" s="405" t="e">
        <f t="shared" si="19"/>
        <v>#N/A</v>
      </c>
      <c r="BC63" s="405" t="e">
        <f t="shared" si="19"/>
        <v>#N/A</v>
      </c>
      <c r="BD63" s="405" t="e">
        <f t="shared" si="19"/>
        <v>#N/A</v>
      </c>
      <c r="BE63" s="405">
        <f t="shared" si="19"/>
        <v>80</v>
      </c>
      <c r="BF63" s="405">
        <f t="shared" si="19"/>
        <v>80</v>
      </c>
      <c r="BG63" s="405" t="e">
        <f t="shared" si="19"/>
        <v>#N/A</v>
      </c>
      <c r="BH63" s="405" t="e">
        <f t="shared" si="19"/>
        <v>#N/A</v>
      </c>
      <c r="BI63" s="405" t="e">
        <f t="shared" si="19"/>
        <v>#N/A</v>
      </c>
      <c r="BJ63" s="405" t="e">
        <f t="shared" si="19"/>
        <v>#N/A</v>
      </c>
      <c r="BK63" s="405" t="e">
        <f t="shared" si="19"/>
        <v>#N/A</v>
      </c>
      <c r="BL63" s="405" t="e">
        <f t="shared" si="19"/>
        <v>#N/A</v>
      </c>
      <c r="BM63" s="405" t="e">
        <f t="shared" si="19"/>
        <v>#N/A</v>
      </c>
      <c r="BN63" s="405">
        <f t="shared" si="19"/>
        <v>80</v>
      </c>
      <c r="BO63" s="405">
        <f t="shared" si="19"/>
        <v>80</v>
      </c>
      <c r="BP63" s="405" t="e">
        <f t="shared" ref="BP63:CD63" si="20">VLOOKUP(BP8,$B$59:$C$149,2)</f>
        <v>#N/A</v>
      </c>
      <c r="BQ63" s="405" t="e">
        <f t="shared" si="20"/>
        <v>#N/A</v>
      </c>
      <c r="BR63" s="405" t="e">
        <f t="shared" si="20"/>
        <v>#N/A</v>
      </c>
      <c r="BS63" s="405" t="e">
        <f t="shared" si="20"/>
        <v>#N/A</v>
      </c>
      <c r="BT63" s="405">
        <f t="shared" si="20"/>
        <v>80</v>
      </c>
      <c r="BU63" s="405">
        <f t="shared" si="20"/>
        <v>80</v>
      </c>
      <c r="BV63" s="405" t="e">
        <f t="shared" si="20"/>
        <v>#N/A</v>
      </c>
      <c r="BW63" s="405" t="e">
        <f t="shared" si="20"/>
        <v>#N/A</v>
      </c>
      <c r="BX63" s="405" t="e">
        <f t="shared" si="20"/>
        <v>#N/A</v>
      </c>
      <c r="BY63" s="405">
        <f t="shared" si="20"/>
        <v>80</v>
      </c>
      <c r="BZ63" s="405">
        <f t="shared" si="20"/>
        <v>80</v>
      </c>
      <c r="CA63" s="405" t="e">
        <f t="shared" si="20"/>
        <v>#N/A</v>
      </c>
      <c r="CB63" s="405" t="e">
        <f t="shared" si="20"/>
        <v>#N/A</v>
      </c>
      <c r="CC63" s="405" t="e">
        <f t="shared" si="20"/>
        <v>#N/A</v>
      </c>
      <c r="CD63" s="405" t="e">
        <f t="shared" si="20"/>
        <v>#N/A</v>
      </c>
    </row>
    <row r="64" spans="1:82" hidden="1">
      <c r="A64" s="665">
        <v>6</v>
      </c>
      <c r="B64" s="666">
        <v>15</v>
      </c>
      <c r="C64" s="18">
        <v>15</v>
      </c>
      <c r="D64" s="405">
        <f t="shared" ref="D64:BO64" si="21">VLOOKUP(D9,$B$59:$C$149,2)</f>
        <v>100</v>
      </c>
      <c r="E64" s="405">
        <f t="shared" si="21"/>
        <v>100</v>
      </c>
      <c r="F64" s="405">
        <f t="shared" si="21"/>
        <v>100</v>
      </c>
      <c r="G64" s="405" t="e">
        <f t="shared" si="21"/>
        <v>#N/A</v>
      </c>
      <c r="H64" s="405" t="e">
        <f t="shared" si="21"/>
        <v>#N/A</v>
      </c>
      <c r="I64" s="405" t="e">
        <f t="shared" si="21"/>
        <v>#N/A</v>
      </c>
      <c r="J64" s="405">
        <f t="shared" si="21"/>
        <v>80</v>
      </c>
      <c r="K64" s="405">
        <f t="shared" si="21"/>
        <v>70</v>
      </c>
      <c r="L64" s="405">
        <f t="shared" si="21"/>
        <v>100</v>
      </c>
      <c r="M64" s="405">
        <f t="shared" si="21"/>
        <v>100</v>
      </c>
      <c r="N64" s="405">
        <f t="shared" si="21"/>
        <v>100</v>
      </c>
      <c r="O64" s="405" t="e">
        <f t="shared" si="21"/>
        <v>#N/A</v>
      </c>
      <c r="P64" s="405" t="e">
        <f t="shared" si="21"/>
        <v>#N/A</v>
      </c>
      <c r="Q64" s="405" t="e">
        <f t="shared" si="21"/>
        <v>#N/A</v>
      </c>
      <c r="R64" s="405">
        <f t="shared" si="21"/>
        <v>80</v>
      </c>
      <c r="S64" s="405">
        <f t="shared" si="21"/>
        <v>70</v>
      </c>
      <c r="T64" s="405" t="e">
        <f t="shared" si="21"/>
        <v>#N/A</v>
      </c>
      <c r="U64" s="405" t="e">
        <f t="shared" si="21"/>
        <v>#N/A</v>
      </c>
      <c r="V64" s="405" t="e">
        <f t="shared" si="21"/>
        <v>#N/A</v>
      </c>
      <c r="W64" s="405" t="e">
        <f t="shared" si="21"/>
        <v>#N/A</v>
      </c>
      <c r="X64" s="405" t="e">
        <f t="shared" si="21"/>
        <v>#N/A</v>
      </c>
      <c r="Y64" s="405" t="e">
        <f t="shared" si="21"/>
        <v>#N/A</v>
      </c>
      <c r="Z64" s="405">
        <f t="shared" si="21"/>
        <v>100</v>
      </c>
      <c r="AA64" s="405">
        <f t="shared" si="21"/>
        <v>100</v>
      </c>
      <c r="AB64" s="405">
        <f t="shared" si="21"/>
        <v>100</v>
      </c>
      <c r="AC64" s="405">
        <f t="shared" si="21"/>
        <v>100</v>
      </c>
      <c r="AD64" s="405" t="e">
        <f t="shared" si="21"/>
        <v>#N/A</v>
      </c>
      <c r="AE64" s="405" t="e">
        <f t="shared" si="21"/>
        <v>#N/A</v>
      </c>
      <c r="AF64" s="405">
        <f t="shared" si="21"/>
        <v>100</v>
      </c>
      <c r="AG64" s="405">
        <f t="shared" si="21"/>
        <v>100</v>
      </c>
      <c r="AH64" s="405">
        <f t="shared" si="21"/>
        <v>100</v>
      </c>
      <c r="AI64" s="405" t="e">
        <f t="shared" si="21"/>
        <v>#N/A</v>
      </c>
      <c r="AJ64" s="405" t="e">
        <f t="shared" si="21"/>
        <v>#N/A</v>
      </c>
      <c r="AK64" s="405" t="e">
        <f t="shared" si="21"/>
        <v>#N/A</v>
      </c>
      <c r="AL64" s="405">
        <f t="shared" si="21"/>
        <v>100</v>
      </c>
      <c r="AM64" s="405">
        <f t="shared" si="21"/>
        <v>100</v>
      </c>
      <c r="AN64" s="405">
        <f t="shared" si="21"/>
        <v>100</v>
      </c>
      <c r="AO64" s="405" t="e">
        <f t="shared" si="21"/>
        <v>#N/A</v>
      </c>
      <c r="AP64" s="405" t="e">
        <f t="shared" si="21"/>
        <v>#N/A</v>
      </c>
      <c r="AQ64" s="405" t="e">
        <f t="shared" si="21"/>
        <v>#N/A</v>
      </c>
      <c r="AR64" s="405">
        <f t="shared" si="21"/>
        <v>100</v>
      </c>
      <c r="AS64" s="405">
        <f t="shared" si="21"/>
        <v>100</v>
      </c>
      <c r="AT64" s="405">
        <f t="shared" si="21"/>
        <v>100</v>
      </c>
      <c r="AU64" s="405" t="e">
        <f t="shared" si="21"/>
        <v>#VALUE!</v>
      </c>
      <c r="AV64" s="405" t="e">
        <f t="shared" si="21"/>
        <v>#VALUE!</v>
      </c>
      <c r="AW64" s="405" t="e">
        <f t="shared" si="21"/>
        <v>#VALUE!</v>
      </c>
      <c r="AX64" s="405" t="e">
        <f t="shared" si="21"/>
        <v>#VALUE!</v>
      </c>
      <c r="AY64" s="405" t="e">
        <f t="shared" si="21"/>
        <v>#VALUE!</v>
      </c>
      <c r="AZ64" s="405" t="e">
        <f t="shared" si="21"/>
        <v>#N/A</v>
      </c>
      <c r="BA64" s="405" t="e">
        <f t="shared" si="21"/>
        <v>#N/A</v>
      </c>
      <c r="BB64" s="405" t="e">
        <f t="shared" si="21"/>
        <v>#N/A</v>
      </c>
      <c r="BC64" s="405" t="e">
        <f t="shared" si="21"/>
        <v>#N/A</v>
      </c>
      <c r="BD64" s="405" t="e">
        <f t="shared" si="21"/>
        <v>#N/A</v>
      </c>
      <c r="BE64" s="405">
        <f t="shared" si="21"/>
        <v>80</v>
      </c>
      <c r="BF64" s="405">
        <f t="shared" si="21"/>
        <v>70</v>
      </c>
      <c r="BG64" s="405" t="e">
        <f t="shared" si="21"/>
        <v>#N/A</v>
      </c>
      <c r="BH64" s="405" t="e">
        <f t="shared" si="21"/>
        <v>#N/A</v>
      </c>
      <c r="BI64" s="405" t="e">
        <f t="shared" si="21"/>
        <v>#N/A</v>
      </c>
      <c r="BJ64" s="405" t="e">
        <f t="shared" si="21"/>
        <v>#N/A</v>
      </c>
      <c r="BK64" s="405" t="e">
        <f t="shared" si="21"/>
        <v>#N/A</v>
      </c>
      <c r="BL64" s="405" t="e">
        <f t="shared" si="21"/>
        <v>#N/A</v>
      </c>
      <c r="BM64" s="405" t="e">
        <f t="shared" si="21"/>
        <v>#N/A</v>
      </c>
      <c r="BN64" s="405">
        <f t="shared" si="21"/>
        <v>80</v>
      </c>
      <c r="BO64" s="405">
        <f t="shared" si="21"/>
        <v>70</v>
      </c>
      <c r="BP64" s="405" t="e">
        <f t="shared" ref="BP64:CD64" si="22">VLOOKUP(BP9,$B$59:$C$149,2)</f>
        <v>#N/A</v>
      </c>
      <c r="BQ64" s="405" t="e">
        <f t="shared" si="22"/>
        <v>#N/A</v>
      </c>
      <c r="BR64" s="405" t="e">
        <f t="shared" si="22"/>
        <v>#N/A</v>
      </c>
      <c r="BS64" s="405" t="e">
        <f t="shared" si="22"/>
        <v>#N/A</v>
      </c>
      <c r="BT64" s="405">
        <f t="shared" si="22"/>
        <v>80</v>
      </c>
      <c r="BU64" s="405">
        <f t="shared" si="22"/>
        <v>70</v>
      </c>
      <c r="BV64" s="405" t="e">
        <f t="shared" si="22"/>
        <v>#N/A</v>
      </c>
      <c r="BW64" s="405" t="e">
        <f t="shared" si="22"/>
        <v>#N/A</v>
      </c>
      <c r="BX64" s="405" t="e">
        <f t="shared" si="22"/>
        <v>#N/A</v>
      </c>
      <c r="BY64" s="405">
        <f t="shared" si="22"/>
        <v>80</v>
      </c>
      <c r="BZ64" s="405">
        <f t="shared" si="22"/>
        <v>70</v>
      </c>
      <c r="CA64" s="405" t="e">
        <f t="shared" si="22"/>
        <v>#N/A</v>
      </c>
      <c r="CB64" s="405" t="e">
        <f t="shared" si="22"/>
        <v>#N/A</v>
      </c>
      <c r="CC64" s="405" t="e">
        <f t="shared" si="22"/>
        <v>#N/A</v>
      </c>
      <c r="CD64" s="405" t="e">
        <f t="shared" si="22"/>
        <v>#N/A</v>
      </c>
    </row>
    <row r="65" spans="1:82" hidden="1">
      <c r="A65" s="665">
        <v>7</v>
      </c>
      <c r="B65" s="666">
        <v>16</v>
      </c>
      <c r="C65" s="18">
        <v>15</v>
      </c>
      <c r="D65" s="405">
        <f t="shared" ref="D65:BO65" si="23">VLOOKUP(D10,$B$59:$C$149,2)</f>
        <v>100</v>
      </c>
      <c r="E65" s="405">
        <f t="shared" si="23"/>
        <v>100</v>
      </c>
      <c r="F65" s="405">
        <f t="shared" si="23"/>
        <v>100</v>
      </c>
      <c r="G65" s="405" t="e">
        <f t="shared" si="23"/>
        <v>#N/A</v>
      </c>
      <c r="H65" s="405" t="e">
        <f t="shared" si="23"/>
        <v>#N/A</v>
      </c>
      <c r="I65" s="405" t="e">
        <f t="shared" si="23"/>
        <v>#N/A</v>
      </c>
      <c r="J65" s="405">
        <f t="shared" si="23"/>
        <v>70</v>
      </c>
      <c r="K65" s="405">
        <f t="shared" si="23"/>
        <v>70</v>
      </c>
      <c r="L65" s="405">
        <f t="shared" si="23"/>
        <v>100</v>
      </c>
      <c r="M65" s="405">
        <f t="shared" si="23"/>
        <v>100</v>
      </c>
      <c r="N65" s="405">
        <f t="shared" si="23"/>
        <v>100</v>
      </c>
      <c r="O65" s="405" t="e">
        <f t="shared" si="23"/>
        <v>#N/A</v>
      </c>
      <c r="P65" s="405" t="e">
        <f t="shared" si="23"/>
        <v>#N/A</v>
      </c>
      <c r="Q65" s="405" t="e">
        <f t="shared" si="23"/>
        <v>#N/A</v>
      </c>
      <c r="R65" s="405">
        <f t="shared" si="23"/>
        <v>70</v>
      </c>
      <c r="S65" s="405">
        <f t="shared" si="23"/>
        <v>70</v>
      </c>
      <c r="T65" s="405" t="e">
        <f t="shared" si="23"/>
        <v>#N/A</v>
      </c>
      <c r="U65" s="405" t="e">
        <f t="shared" si="23"/>
        <v>#N/A</v>
      </c>
      <c r="V65" s="405" t="e">
        <f t="shared" si="23"/>
        <v>#N/A</v>
      </c>
      <c r="W65" s="405" t="e">
        <f t="shared" si="23"/>
        <v>#N/A</v>
      </c>
      <c r="X65" s="405" t="e">
        <f t="shared" si="23"/>
        <v>#N/A</v>
      </c>
      <c r="Y65" s="405" t="e">
        <f t="shared" si="23"/>
        <v>#N/A</v>
      </c>
      <c r="Z65" s="405">
        <f t="shared" si="23"/>
        <v>100</v>
      </c>
      <c r="AA65" s="405">
        <f t="shared" si="23"/>
        <v>100</v>
      </c>
      <c r="AB65" s="405">
        <f t="shared" si="23"/>
        <v>100</v>
      </c>
      <c r="AC65" s="405">
        <f t="shared" si="23"/>
        <v>100</v>
      </c>
      <c r="AD65" s="405" t="e">
        <f t="shared" si="23"/>
        <v>#N/A</v>
      </c>
      <c r="AE65" s="405" t="e">
        <f t="shared" si="23"/>
        <v>#N/A</v>
      </c>
      <c r="AF65" s="405">
        <f t="shared" si="23"/>
        <v>100</v>
      </c>
      <c r="AG65" s="405">
        <f t="shared" si="23"/>
        <v>100</v>
      </c>
      <c r="AH65" s="405">
        <f t="shared" si="23"/>
        <v>100</v>
      </c>
      <c r="AI65" s="405" t="e">
        <f t="shared" si="23"/>
        <v>#N/A</v>
      </c>
      <c r="AJ65" s="405" t="e">
        <f t="shared" si="23"/>
        <v>#N/A</v>
      </c>
      <c r="AK65" s="405" t="e">
        <f t="shared" si="23"/>
        <v>#N/A</v>
      </c>
      <c r="AL65" s="405">
        <f t="shared" si="23"/>
        <v>100</v>
      </c>
      <c r="AM65" s="405">
        <f t="shared" si="23"/>
        <v>100</v>
      </c>
      <c r="AN65" s="405">
        <f t="shared" si="23"/>
        <v>100</v>
      </c>
      <c r="AO65" s="405" t="e">
        <f t="shared" si="23"/>
        <v>#N/A</v>
      </c>
      <c r="AP65" s="405" t="e">
        <f t="shared" si="23"/>
        <v>#N/A</v>
      </c>
      <c r="AQ65" s="405" t="e">
        <f t="shared" si="23"/>
        <v>#N/A</v>
      </c>
      <c r="AR65" s="405">
        <f t="shared" si="23"/>
        <v>100</v>
      </c>
      <c r="AS65" s="405">
        <f t="shared" si="23"/>
        <v>100</v>
      </c>
      <c r="AT65" s="405">
        <f t="shared" si="23"/>
        <v>100</v>
      </c>
      <c r="AU65" s="405" t="e">
        <f t="shared" si="23"/>
        <v>#VALUE!</v>
      </c>
      <c r="AV65" s="405" t="e">
        <f t="shared" si="23"/>
        <v>#VALUE!</v>
      </c>
      <c r="AW65" s="405" t="e">
        <f t="shared" si="23"/>
        <v>#VALUE!</v>
      </c>
      <c r="AX65" s="405" t="e">
        <f t="shared" si="23"/>
        <v>#VALUE!</v>
      </c>
      <c r="AY65" s="405" t="e">
        <f t="shared" si="23"/>
        <v>#VALUE!</v>
      </c>
      <c r="AZ65" s="405" t="e">
        <f t="shared" si="23"/>
        <v>#N/A</v>
      </c>
      <c r="BA65" s="405" t="e">
        <f t="shared" si="23"/>
        <v>#N/A</v>
      </c>
      <c r="BB65" s="405" t="e">
        <f t="shared" si="23"/>
        <v>#N/A</v>
      </c>
      <c r="BC65" s="405" t="e">
        <f t="shared" si="23"/>
        <v>#N/A</v>
      </c>
      <c r="BD65" s="405" t="e">
        <f t="shared" si="23"/>
        <v>#N/A</v>
      </c>
      <c r="BE65" s="405">
        <f t="shared" si="23"/>
        <v>70</v>
      </c>
      <c r="BF65" s="405">
        <f t="shared" si="23"/>
        <v>70</v>
      </c>
      <c r="BG65" s="405" t="e">
        <f t="shared" si="23"/>
        <v>#N/A</v>
      </c>
      <c r="BH65" s="405" t="e">
        <f t="shared" si="23"/>
        <v>#N/A</v>
      </c>
      <c r="BI65" s="405" t="e">
        <f t="shared" si="23"/>
        <v>#N/A</v>
      </c>
      <c r="BJ65" s="405" t="e">
        <f t="shared" si="23"/>
        <v>#N/A</v>
      </c>
      <c r="BK65" s="405" t="e">
        <f t="shared" si="23"/>
        <v>#N/A</v>
      </c>
      <c r="BL65" s="405" t="e">
        <f t="shared" si="23"/>
        <v>#N/A</v>
      </c>
      <c r="BM65" s="405" t="e">
        <f t="shared" si="23"/>
        <v>#N/A</v>
      </c>
      <c r="BN65" s="405">
        <f t="shared" si="23"/>
        <v>70</v>
      </c>
      <c r="BO65" s="405">
        <f t="shared" si="23"/>
        <v>70</v>
      </c>
      <c r="BP65" s="405" t="e">
        <f t="shared" ref="BP65:CD65" si="24">VLOOKUP(BP10,$B$59:$C$149,2)</f>
        <v>#N/A</v>
      </c>
      <c r="BQ65" s="405" t="e">
        <f t="shared" si="24"/>
        <v>#N/A</v>
      </c>
      <c r="BR65" s="405" t="e">
        <f t="shared" si="24"/>
        <v>#N/A</v>
      </c>
      <c r="BS65" s="405" t="e">
        <f t="shared" si="24"/>
        <v>#N/A</v>
      </c>
      <c r="BT65" s="405">
        <f t="shared" si="24"/>
        <v>70</v>
      </c>
      <c r="BU65" s="405">
        <f t="shared" si="24"/>
        <v>70</v>
      </c>
      <c r="BV65" s="405" t="e">
        <f t="shared" si="24"/>
        <v>#N/A</v>
      </c>
      <c r="BW65" s="405" t="e">
        <f t="shared" si="24"/>
        <v>#N/A</v>
      </c>
      <c r="BX65" s="405" t="e">
        <f t="shared" si="24"/>
        <v>#N/A</v>
      </c>
      <c r="BY65" s="405">
        <f t="shared" si="24"/>
        <v>70</v>
      </c>
      <c r="BZ65" s="405">
        <f t="shared" si="24"/>
        <v>70</v>
      </c>
      <c r="CA65" s="405" t="e">
        <f t="shared" si="24"/>
        <v>#N/A</v>
      </c>
      <c r="CB65" s="405" t="e">
        <f t="shared" si="24"/>
        <v>#N/A</v>
      </c>
      <c r="CC65" s="405" t="e">
        <f t="shared" si="24"/>
        <v>#N/A</v>
      </c>
      <c r="CD65" s="405" t="e">
        <f t="shared" si="24"/>
        <v>#N/A</v>
      </c>
    </row>
    <row r="66" spans="1:82" hidden="1">
      <c r="A66" s="665">
        <v>8</v>
      </c>
      <c r="B66" s="666">
        <v>17</v>
      </c>
      <c r="C66" s="18">
        <v>20</v>
      </c>
      <c r="D66" s="405">
        <f t="shared" ref="D66:BO66" si="25">VLOOKUP(D11,$B$59:$C$149,2)</f>
        <v>100</v>
      </c>
      <c r="E66" s="405">
        <f t="shared" si="25"/>
        <v>100</v>
      </c>
      <c r="F66" s="405">
        <f t="shared" si="25"/>
        <v>100</v>
      </c>
      <c r="G66" s="405" t="e">
        <f t="shared" si="25"/>
        <v>#N/A</v>
      </c>
      <c r="H66" s="405" t="e">
        <f t="shared" si="25"/>
        <v>#N/A</v>
      </c>
      <c r="I66" s="405" t="e">
        <f t="shared" si="25"/>
        <v>#N/A</v>
      </c>
      <c r="J66" s="405">
        <f t="shared" si="25"/>
        <v>70</v>
      </c>
      <c r="K66" s="405">
        <f t="shared" si="25"/>
        <v>80</v>
      </c>
      <c r="L66" s="405">
        <f t="shared" si="25"/>
        <v>100</v>
      </c>
      <c r="M66" s="405">
        <f t="shared" si="25"/>
        <v>100</v>
      </c>
      <c r="N66" s="405">
        <f t="shared" si="25"/>
        <v>100</v>
      </c>
      <c r="O66" s="405" t="e">
        <f t="shared" si="25"/>
        <v>#N/A</v>
      </c>
      <c r="P66" s="405" t="e">
        <f t="shared" si="25"/>
        <v>#N/A</v>
      </c>
      <c r="Q66" s="405" t="e">
        <f t="shared" si="25"/>
        <v>#N/A</v>
      </c>
      <c r="R66" s="405">
        <f t="shared" si="25"/>
        <v>70</v>
      </c>
      <c r="S66" s="405">
        <f t="shared" si="25"/>
        <v>80</v>
      </c>
      <c r="T66" s="405" t="e">
        <f t="shared" si="25"/>
        <v>#N/A</v>
      </c>
      <c r="U66" s="405" t="e">
        <f t="shared" si="25"/>
        <v>#N/A</v>
      </c>
      <c r="V66" s="405" t="e">
        <f t="shared" si="25"/>
        <v>#N/A</v>
      </c>
      <c r="W66" s="405" t="e">
        <f t="shared" si="25"/>
        <v>#N/A</v>
      </c>
      <c r="X66" s="405" t="e">
        <f t="shared" si="25"/>
        <v>#N/A</v>
      </c>
      <c r="Y66" s="405" t="e">
        <f t="shared" si="25"/>
        <v>#N/A</v>
      </c>
      <c r="Z66" s="405">
        <f t="shared" si="25"/>
        <v>100</v>
      </c>
      <c r="AA66" s="405">
        <f t="shared" si="25"/>
        <v>100</v>
      </c>
      <c r="AB66" s="405">
        <f t="shared" si="25"/>
        <v>100</v>
      </c>
      <c r="AC66" s="405">
        <f t="shared" si="25"/>
        <v>100</v>
      </c>
      <c r="AD66" s="405" t="e">
        <f t="shared" si="25"/>
        <v>#N/A</v>
      </c>
      <c r="AE66" s="405" t="e">
        <f t="shared" si="25"/>
        <v>#N/A</v>
      </c>
      <c r="AF66" s="405">
        <f t="shared" si="25"/>
        <v>100</v>
      </c>
      <c r="AG66" s="405">
        <f t="shared" si="25"/>
        <v>100</v>
      </c>
      <c r="AH66" s="405">
        <f t="shared" si="25"/>
        <v>100</v>
      </c>
      <c r="AI66" s="405" t="e">
        <f t="shared" si="25"/>
        <v>#N/A</v>
      </c>
      <c r="AJ66" s="405" t="e">
        <f t="shared" si="25"/>
        <v>#N/A</v>
      </c>
      <c r="AK66" s="405" t="e">
        <f t="shared" si="25"/>
        <v>#N/A</v>
      </c>
      <c r="AL66" s="405">
        <f t="shared" si="25"/>
        <v>100</v>
      </c>
      <c r="AM66" s="405">
        <f t="shared" si="25"/>
        <v>100</v>
      </c>
      <c r="AN66" s="405">
        <f t="shared" si="25"/>
        <v>100</v>
      </c>
      <c r="AO66" s="405" t="e">
        <f t="shared" si="25"/>
        <v>#N/A</v>
      </c>
      <c r="AP66" s="405" t="e">
        <f t="shared" si="25"/>
        <v>#N/A</v>
      </c>
      <c r="AQ66" s="405" t="e">
        <f t="shared" si="25"/>
        <v>#N/A</v>
      </c>
      <c r="AR66" s="405">
        <f t="shared" si="25"/>
        <v>100</v>
      </c>
      <c r="AS66" s="405">
        <f t="shared" si="25"/>
        <v>100</v>
      </c>
      <c r="AT66" s="405">
        <f t="shared" si="25"/>
        <v>100</v>
      </c>
      <c r="AU66" s="405" t="e">
        <f t="shared" si="25"/>
        <v>#VALUE!</v>
      </c>
      <c r="AV66" s="405" t="e">
        <f t="shared" si="25"/>
        <v>#VALUE!</v>
      </c>
      <c r="AW66" s="405" t="e">
        <f t="shared" si="25"/>
        <v>#VALUE!</v>
      </c>
      <c r="AX66" s="405" t="e">
        <f t="shared" si="25"/>
        <v>#VALUE!</v>
      </c>
      <c r="AY66" s="405" t="e">
        <f t="shared" si="25"/>
        <v>#VALUE!</v>
      </c>
      <c r="AZ66" s="405" t="e">
        <f t="shared" si="25"/>
        <v>#N/A</v>
      </c>
      <c r="BA66" s="405" t="e">
        <f t="shared" si="25"/>
        <v>#N/A</v>
      </c>
      <c r="BB66" s="405" t="e">
        <f t="shared" si="25"/>
        <v>#N/A</v>
      </c>
      <c r="BC66" s="405" t="e">
        <f t="shared" si="25"/>
        <v>#N/A</v>
      </c>
      <c r="BD66" s="405" t="e">
        <f t="shared" si="25"/>
        <v>#N/A</v>
      </c>
      <c r="BE66" s="405">
        <f t="shared" si="25"/>
        <v>70</v>
      </c>
      <c r="BF66" s="405">
        <f t="shared" si="25"/>
        <v>80</v>
      </c>
      <c r="BG66" s="405" t="e">
        <f t="shared" si="25"/>
        <v>#N/A</v>
      </c>
      <c r="BH66" s="405" t="e">
        <f t="shared" si="25"/>
        <v>#N/A</v>
      </c>
      <c r="BI66" s="405" t="e">
        <f t="shared" si="25"/>
        <v>#N/A</v>
      </c>
      <c r="BJ66" s="405" t="e">
        <f t="shared" si="25"/>
        <v>#N/A</v>
      </c>
      <c r="BK66" s="405" t="e">
        <f t="shared" si="25"/>
        <v>#N/A</v>
      </c>
      <c r="BL66" s="405" t="e">
        <f t="shared" si="25"/>
        <v>#N/A</v>
      </c>
      <c r="BM66" s="405" t="e">
        <f t="shared" si="25"/>
        <v>#N/A</v>
      </c>
      <c r="BN66" s="405">
        <f t="shared" si="25"/>
        <v>70</v>
      </c>
      <c r="BO66" s="405">
        <f t="shared" si="25"/>
        <v>80</v>
      </c>
      <c r="BP66" s="405" t="e">
        <f t="shared" ref="BP66:CD66" si="26">VLOOKUP(BP11,$B$59:$C$149,2)</f>
        <v>#N/A</v>
      </c>
      <c r="BQ66" s="405" t="e">
        <f t="shared" si="26"/>
        <v>#N/A</v>
      </c>
      <c r="BR66" s="405" t="e">
        <f t="shared" si="26"/>
        <v>#N/A</v>
      </c>
      <c r="BS66" s="405" t="e">
        <f t="shared" si="26"/>
        <v>#N/A</v>
      </c>
      <c r="BT66" s="405">
        <f t="shared" si="26"/>
        <v>70</v>
      </c>
      <c r="BU66" s="405">
        <f t="shared" si="26"/>
        <v>80</v>
      </c>
      <c r="BV66" s="405" t="e">
        <f t="shared" si="26"/>
        <v>#N/A</v>
      </c>
      <c r="BW66" s="405" t="e">
        <f t="shared" si="26"/>
        <v>#N/A</v>
      </c>
      <c r="BX66" s="405" t="e">
        <f t="shared" si="26"/>
        <v>#N/A</v>
      </c>
      <c r="BY66" s="405">
        <f t="shared" si="26"/>
        <v>70</v>
      </c>
      <c r="BZ66" s="405">
        <f t="shared" si="26"/>
        <v>80</v>
      </c>
      <c r="CA66" s="405" t="e">
        <f t="shared" si="26"/>
        <v>#N/A</v>
      </c>
      <c r="CB66" s="405" t="e">
        <f t="shared" si="26"/>
        <v>#N/A</v>
      </c>
      <c r="CC66" s="405" t="e">
        <f t="shared" si="26"/>
        <v>#N/A</v>
      </c>
      <c r="CD66" s="405" t="e">
        <f t="shared" si="26"/>
        <v>#N/A</v>
      </c>
    </row>
    <row r="67" spans="1:82" hidden="1">
      <c r="A67" s="665">
        <v>9</v>
      </c>
      <c r="B67" s="666">
        <v>18</v>
      </c>
      <c r="C67" s="18">
        <v>20</v>
      </c>
      <c r="D67" s="405">
        <f t="shared" ref="D67:BO67" si="27">VLOOKUP(D12,$B$59:$C$149,2)</f>
        <v>100</v>
      </c>
      <c r="E67" s="405">
        <f t="shared" si="27"/>
        <v>100</v>
      </c>
      <c r="F67" s="405">
        <f t="shared" si="27"/>
        <v>100</v>
      </c>
      <c r="G67" s="405" t="e">
        <f t="shared" si="27"/>
        <v>#N/A</v>
      </c>
      <c r="H67" s="405" t="e">
        <f t="shared" si="27"/>
        <v>#N/A</v>
      </c>
      <c r="I67" s="405" t="e">
        <f t="shared" si="27"/>
        <v>#N/A</v>
      </c>
      <c r="J67" s="405">
        <f t="shared" si="27"/>
        <v>80</v>
      </c>
      <c r="K67" s="405">
        <f t="shared" si="27"/>
        <v>70</v>
      </c>
      <c r="L67" s="405">
        <f t="shared" si="27"/>
        <v>100</v>
      </c>
      <c r="M67" s="405">
        <f t="shared" si="27"/>
        <v>100</v>
      </c>
      <c r="N67" s="405">
        <f t="shared" si="27"/>
        <v>100</v>
      </c>
      <c r="O67" s="405" t="e">
        <f t="shared" si="27"/>
        <v>#N/A</v>
      </c>
      <c r="P67" s="405" t="e">
        <f t="shared" si="27"/>
        <v>#N/A</v>
      </c>
      <c r="Q67" s="405" t="e">
        <f t="shared" si="27"/>
        <v>#N/A</v>
      </c>
      <c r="R67" s="405">
        <f t="shared" si="27"/>
        <v>80</v>
      </c>
      <c r="S67" s="405">
        <f t="shared" si="27"/>
        <v>70</v>
      </c>
      <c r="T67" s="405" t="e">
        <f t="shared" si="27"/>
        <v>#N/A</v>
      </c>
      <c r="U67" s="405" t="e">
        <f t="shared" si="27"/>
        <v>#N/A</v>
      </c>
      <c r="V67" s="405" t="e">
        <f t="shared" si="27"/>
        <v>#N/A</v>
      </c>
      <c r="W67" s="405" t="e">
        <f t="shared" si="27"/>
        <v>#N/A</v>
      </c>
      <c r="X67" s="405" t="e">
        <f t="shared" si="27"/>
        <v>#N/A</v>
      </c>
      <c r="Y67" s="405" t="e">
        <f t="shared" si="27"/>
        <v>#N/A</v>
      </c>
      <c r="Z67" s="405">
        <f t="shared" si="27"/>
        <v>100</v>
      </c>
      <c r="AA67" s="405">
        <f t="shared" si="27"/>
        <v>100</v>
      </c>
      <c r="AB67" s="405">
        <f t="shared" si="27"/>
        <v>100</v>
      </c>
      <c r="AC67" s="405">
        <f t="shared" si="27"/>
        <v>100</v>
      </c>
      <c r="AD67" s="405" t="e">
        <f t="shared" si="27"/>
        <v>#N/A</v>
      </c>
      <c r="AE67" s="405" t="e">
        <f t="shared" si="27"/>
        <v>#N/A</v>
      </c>
      <c r="AF67" s="405">
        <f t="shared" si="27"/>
        <v>100</v>
      </c>
      <c r="AG67" s="405">
        <f t="shared" si="27"/>
        <v>100</v>
      </c>
      <c r="AH67" s="405">
        <f t="shared" si="27"/>
        <v>100</v>
      </c>
      <c r="AI67" s="405" t="e">
        <f t="shared" si="27"/>
        <v>#N/A</v>
      </c>
      <c r="AJ67" s="405" t="e">
        <f t="shared" si="27"/>
        <v>#N/A</v>
      </c>
      <c r="AK67" s="405" t="e">
        <f t="shared" si="27"/>
        <v>#N/A</v>
      </c>
      <c r="AL67" s="405">
        <f t="shared" si="27"/>
        <v>100</v>
      </c>
      <c r="AM67" s="405">
        <f t="shared" si="27"/>
        <v>100</v>
      </c>
      <c r="AN67" s="405">
        <f t="shared" si="27"/>
        <v>100</v>
      </c>
      <c r="AO67" s="405" t="e">
        <f t="shared" si="27"/>
        <v>#N/A</v>
      </c>
      <c r="AP67" s="405" t="e">
        <f t="shared" si="27"/>
        <v>#N/A</v>
      </c>
      <c r="AQ67" s="405" t="e">
        <f t="shared" si="27"/>
        <v>#N/A</v>
      </c>
      <c r="AR67" s="405">
        <f t="shared" si="27"/>
        <v>100</v>
      </c>
      <c r="AS67" s="405">
        <f t="shared" si="27"/>
        <v>100</v>
      </c>
      <c r="AT67" s="405">
        <f t="shared" si="27"/>
        <v>100</v>
      </c>
      <c r="AU67" s="405" t="e">
        <f t="shared" si="27"/>
        <v>#VALUE!</v>
      </c>
      <c r="AV67" s="405" t="e">
        <f t="shared" si="27"/>
        <v>#VALUE!</v>
      </c>
      <c r="AW67" s="405" t="e">
        <f t="shared" si="27"/>
        <v>#VALUE!</v>
      </c>
      <c r="AX67" s="405" t="e">
        <f t="shared" si="27"/>
        <v>#VALUE!</v>
      </c>
      <c r="AY67" s="405" t="e">
        <f t="shared" si="27"/>
        <v>#VALUE!</v>
      </c>
      <c r="AZ67" s="405" t="e">
        <f t="shared" si="27"/>
        <v>#N/A</v>
      </c>
      <c r="BA67" s="405" t="e">
        <f t="shared" si="27"/>
        <v>#N/A</v>
      </c>
      <c r="BB67" s="405" t="e">
        <f t="shared" si="27"/>
        <v>#N/A</v>
      </c>
      <c r="BC67" s="405" t="e">
        <f t="shared" si="27"/>
        <v>#N/A</v>
      </c>
      <c r="BD67" s="405" t="e">
        <f t="shared" si="27"/>
        <v>#N/A</v>
      </c>
      <c r="BE67" s="405">
        <f t="shared" si="27"/>
        <v>80</v>
      </c>
      <c r="BF67" s="405">
        <f t="shared" si="27"/>
        <v>70</v>
      </c>
      <c r="BG67" s="405" t="e">
        <f t="shared" si="27"/>
        <v>#N/A</v>
      </c>
      <c r="BH67" s="405" t="e">
        <f t="shared" si="27"/>
        <v>#N/A</v>
      </c>
      <c r="BI67" s="405" t="e">
        <f t="shared" si="27"/>
        <v>#N/A</v>
      </c>
      <c r="BJ67" s="405" t="e">
        <f t="shared" si="27"/>
        <v>#N/A</v>
      </c>
      <c r="BK67" s="405" t="e">
        <f t="shared" si="27"/>
        <v>#N/A</v>
      </c>
      <c r="BL67" s="405" t="e">
        <f t="shared" si="27"/>
        <v>#N/A</v>
      </c>
      <c r="BM67" s="405" t="e">
        <f t="shared" si="27"/>
        <v>#N/A</v>
      </c>
      <c r="BN67" s="405">
        <f t="shared" si="27"/>
        <v>80</v>
      </c>
      <c r="BO67" s="405">
        <f t="shared" si="27"/>
        <v>70</v>
      </c>
      <c r="BP67" s="405" t="e">
        <f t="shared" ref="BP67:CD67" si="28">VLOOKUP(BP12,$B$59:$C$149,2)</f>
        <v>#N/A</v>
      </c>
      <c r="BQ67" s="405" t="e">
        <f t="shared" si="28"/>
        <v>#N/A</v>
      </c>
      <c r="BR67" s="405" t="e">
        <f t="shared" si="28"/>
        <v>#N/A</v>
      </c>
      <c r="BS67" s="405" t="e">
        <f t="shared" si="28"/>
        <v>#N/A</v>
      </c>
      <c r="BT67" s="405">
        <f t="shared" si="28"/>
        <v>80</v>
      </c>
      <c r="BU67" s="405">
        <f t="shared" si="28"/>
        <v>70</v>
      </c>
      <c r="BV67" s="405" t="e">
        <f t="shared" si="28"/>
        <v>#N/A</v>
      </c>
      <c r="BW67" s="405" t="e">
        <f t="shared" si="28"/>
        <v>#N/A</v>
      </c>
      <c r="BX67" s="405" t="e">
        <f t="shared" si="28"/>
        <v>#N/A</v>
      </c>
      <c r="BY67" s="405">
        <f t="shared" si="28"/>
        <v>80</v>
      </c>
      <c r="BZ67" s="405">
        <f t="shared" si="28"/>
        <v>70</v>
      </c>
      <c r="CA67" s="405" t="e">
        <f t="shared" si="28"/>
        <v>#N/A</v>
      </c>
      <c r="CB67" s="405" t="e">
        <f t="shared" si="28"/>
        <v>#N/A</v>
      </c>
      <c r="CC67" s="405" t="e">
        <f t="shared" si="28"/>
        <v>#N/A</v>
      </c>
      <c r="CD67" s="405" t="e">
        <f t="shared" si="28"/>
        <v>#N/A</v>
      </c>
    </row>
    <row r="68" spans="1:82" hidden="1">
      <c r="A68" s="665">
        <v>10</v>
      </c>
      <c r="B68" s="666">
        <v>19</v>
      </c>
      <c r="C68" s="18">
        <v>20</v>
      </c>
      <c r="D68" s="405">
        <f t="shared" ref="D68:BO68" si="29">VLOOKUP(D13,$B$59:$C$149,2)</f>
        <v>100</v>
      </c>
      <c r="E68" s="405">
        <f t="shared" si="29"/>
        <v>100</v>
      </c>
      <c r="F68" s="405">
        <f t="shared" si="29"/>
        <v>100</v>
      </c>
      <c r="G68" s="405" t="e">
        <f t="shared" si="29"/>
        <v>#N/A</v>
      </c>
      <c r="H68" s="405" t="e">
        <f t="shared" si="29"/>
        <v>#N/A</v>
      </c>
      <c r="I68" s="405" t="e">
        <f t="shared" si="29"/>
        <v>#N/A</v>
      </c>
      <c r="J68" s="405">
        <f t="shared" si="29"/>
        <v>70</v>
      </c>
      <c r="K68" s="405">
        <f t="shared" si="29"/>
        <v>70</v>
      </c>
      <c r="L68" s="405">
        <f t="shared" si="29"/>
        <v>100</v>
      </c>
      <c r="M68" s="405">
        <f t="shared" si="29"/>
        <v>100</v>
      </c>
      <c r="N68" s="405">
        <f t="shared" si="29"/>
        <v>100</v>
      </c>
      <c r="O68" s="405" t="e">
        <f t="shared" si="29"/>
        <v>#N/A</v>
      </c>
      <c r="P68" s="405" t="e">
        <f t="shared" si="29"/>
        <v>#N/A</v>
      </c>
      <c r="Q68" s="405" t="e">
        <f t="shared" si="29"/>
        <v>#N/A</v>
      </c>
      <c r="R68" s="405">
        <f t="shared" si="29"/>
        <v>70</v>
      </c>
      <c r="S68" s="405">
        <f t="shared" si="29"/>
        <v>70</v>
      </c>
      <c r="T68" s="405" t="e">
        <f t="shared" si="29"/>
        <v>#N/A</v>
      </c>
      <c r="U68" s="405" t="e">
        <f t="shared" si="29"/>
        <v>#N/A</v>
      </c>
      <c r="V68" s="405" t="e">
        <f t="shared" si="29"/>
        <v>#N/A</v>
      </c>
      <c r="W68" s="405" t="e">
        <f t="shared" si="29"/>
        <v>#N/A</v>
      </c>
      <c r="X68" s="405" t="e">
        <f t="shared" si="29"/>
        <v>#N/A</v>
      </c>
      <c r="Y68" s="405" t="e">
        <f t="shared" si="29"/>
        <v>#N/A</v>
      </c>
      <c r="Z68" s="405">
        <f t="shared" si="29"/>
        <v>100</v>
      </c>
      <c r="AA68" s="405">
        <f t="shared" si="29"/>
        <v>100</v>
      </c>
      <c r="AB68" s="405">
        <f t="shared" si="29"/>
        <v>100</v>
      </c>
      <c r="AC68" s="405">
        <f t="shared" si="29"/>
        <v>100</v>
      </c>
      <c r="AD68" s="405" t="e">
        <f t="shared" si="29"/>
        <v>#N/A</v>
      </c>
      <c r="AE68" s="405" t="e">
        <f t="shared" si="29"/>
        <v>#N/A</v>
      </c>
      <c r="AF68" s="405">
        <f t="shared" si="29"/>
        <v>100</v>
      </c>
      <c r="AG68" s="405">
        <f t="shared" si="29"/>
        <v>100</v>
      </c>
      <c r="AH68" s="405">
        <f t="shared" si="29"/>
        <v>100</v>
      </c>
      <c r="AI68" s="405" t="e">
        <f t="shared" si="29"/>
        <v>#N/A</v>
      </c>
      <c r="AJ68" s="405" t="e">
        <f t="shared" si="29"/>
        <v>#N/A</v>
      </c>
      <c r="AK68" s="405" t="e">
        <f t="shared" si="29"/>
        <v>#N/A</v>
      </c>
      <c r="AL68" s="405">
        <f t="shared" si="29"/>
        <v>100</v>
      </c>
      <c r="AM68" s="405">
        <f t="shared" si="29"/>
        <v>100</v>
      </c>
      <c r="AN68" s="405">
        <f t="shared" si="29"/>
        <v>100</v>
      </c>
      <c r="AO68" s="405" t="e">
        <f t="shared" si="29"/>
        <v>#N/A</v>
      </c>
      <c r="AP68" s="405" t="e">
        <f t="shared" si="29"/>
        <v>#N/A</v>
      </c>
      <c r="AQ68" s="405" t="e">
        <f t="shared" si="29"/>
        <v>#N/A</v>
      </c>
      <c r="AR68" s="405">
        <f t="shared" si="29"/>
        <v>100</v>
      </c>
      <c r="AS68" s="405">
        <f t="shared" si="29"/>
        <v>100</v>
      </c>
      <c r="AT68" s="405">
        <f t="shared" si="29"/>
        <v>100</v>
      </c>
      <c r="AU68" s="405" t="e">
        <f t="shared" si="29"/>
        <v>#VALUE!</v>
      </c>
      <c r="AV68" s="405" t="e">
        <f t="shared" si="29"/>
        <v>#VALUE!</v>
      </c>
      <c r="AW68" s="405" t="e">
        <f t="shared" si="29"/>
        <v>#VALUE!</v>
      </c>
      <c r="AX68" s="405" t="e">
        <f t="shared" si="29"/>
        <v>#VALUE!</v>
      </c>
      <c r="AY68" s="405" t="e">
        <f t="shared" si="29"/>
        <v>#VALUE!</v>
      </c>
      <c r="AZ68" s="405" t="e">
        <f t="shared" si="29"/>
        <v>#N/A</v>
      </c>
      <c r="BA68" s="405" t="e">
        <f t="shared" si="29"/>
        <v>#N/A</v>
      </c>
      <c r="BB68" s="405" t="e">
        <f t="shared" si="29"/>
        <v>#N/A</v>
      </c>
      <c r="BC68" s="405" t="e">
        <f t="shared" si="29"/>
        <v>#N/A</v>
      </c>
      <c r="BD68" s="405" t="e">
        <f t="shared" si="29"/>
        <v>#N/A</v>
      </c>
      <c r="BE68" s="405">
        <f t="shared" si="29"/>
        <v>70</v>
      </c>
      <c r="BF68" s="405">
        <f t="shared" si="29"/>
        <v>70</v>
      </c>
      <c r="BG68" s="405" t="e">
        <f t="shared" si="29"/>
        <v>#N/A</v>
      </c>
      <c r="BH68" s="405" t="e">
        <f t="shared" si="29"/>
        <v>#N/A</v>
      </c>
      <c r="BI68" s="405" t="e">
        <f t="shared" si="29"/>
        <v>#N/A</v>
      </c>
      <c r="BJ68" s="405" t="e">
        <f t="shared" si="29"/>
        <v>#N/A</v>
      </c>
      <c r="BK68" s="405" t="e">
        <f t="shared" si="29"/>
        <v>#N/A</v>
      </c>
      <c r="BL68" s="405" t="e">
        <f t="shared" si="29"/>
        <v>#N/A</v>
      </c>
      <c r="BM68" s="405" t="e">
        <f t="shared" si="29"/>
        <v>#N/A</v>
      </c>
      <c r="BN68" s="405">
        <f t="shared" si="29"/>
        <v>70</v>
      </c>
      <c r="BO68" s="405">
        <f t="shared" si="29"/>
        <v>70</v>
      </c>
      <c r="BP68" s="405" t="e">
        <f t="shared" ref="BP68:CD68" si="30">VLOOKUP(BP13,$B$59:$C$149,2)</f>
        <v>#N/A</v>
      </c>
      <c r="BQ68" s="405" t="e">
        <f t="shared" si="30"/>
        <v>#N/A</v>
      </c>
      <c r="BR68" s="405" t="e">
        <f t="shared" si="30"/>
        <v>#N/A</v>
      </c>
      <c r="BS68" s="405" t="e">
        <f t="shared" si="30"/>
        <v>#N/A</v>
      </c>
      <c r="BT68" s="405">
        <f t="shared" si="30"/>
        <v>70</v>
      </c>
      <c r="BU68" s="405">
        <f t="shared" si="30"/>
        <v>70</v>
      </c>
      <c r="BV68" s="405" t="e">
        <f t="shared" si="30"/>
        <v>#N/A</v>
      </c>
      <c r="BW68" s="405" t="e">
        <f t="shared" si="30"/>
        <v>#N/A</v>
      </c>
      <c r="BX68" s="405" t="e">
        <f t="shared" si="30"/>
        <v>#N/A</v>
      </c>
      <c r="BY68" s="405">
        <f t="shared" si="30"/>
        <v>70</v>
      </c>
      <c r="BZ68" s="405">
        <f t="shared" si="30"/>
        <v>70</v>
      </c>
      <c r="CA68" s="405" t="e">
        <f t="shared" si="30"/>
        <v>#N/A</v>
      </c>
      <c r="CB68" s="405" t="e">
        <f t="shared" si="30"/>
        <v>#N/A</v>
      </c>
      <c r="CC68" s="405" t="e">
        <f t="shared" si="30"/>
        <v>#N/A</v>
      </c>
      <c r="CD68" s="405" t="e">
        <f t="shared" si="30"/>
        <v>#N/A</v>
      </c>
    </row>
    <row r="69" spans="1:82" hidden="1">
      <c r="A69" s="665">
        <v>11</v>
      </c>
      <c r="B69" s="666">
        <v>20</v>
      </c>
      <c r="C69" s="18">
        <v>20</v>
      </c>
      <c r="D69" s="405">
        <f t="shared" ref="D69:BO69" si="31">VLOOKUP(D14,$B$59:$C$149,2)</f>
        <v>100</v>
      </c>
      <c r="E69" s="405">
        <f t="shared" si="31"/>
        <v>100</v>
      </c>
      <c r="F69" s="405">
        <f t="shared" si="31"/>
        <v>100</v>
      </c>
      <c r="G69" s="405" t="e">
        <f t="shared" si="31"/>
        <v>#N/A</v>
      </c>
      <c r="H69" s="405" t="e">
        <f t="shared" si="31"/>
        <v>#N/A</v>
      </c>
      <c r="I69" s="405" t="e">
        <f t="shared" si="31"/>
        <v>#N/A</v>
      </c>
      <c r="J69" s="405">
        <f t="shared" si="31"/>
        <v>70</v>
      </c>
      <c r="K69" s="405">
        <f t="shared" si="31"/>
        <v>70</v>
      </c>
      <c r="L69" s="405">
        <f t="shared" si="31"/>
        <v>100</v>
      </c>
      <c r="M69" s="405">
        <f t="shared" si="31"/>
        <v>100</v>
      </c>
      <c r="N69" s="405">
        <f t="shared" si="31"/>
        <v>100</v>
      </c>
      <c r="O69" s="405" t="e">
        <f t="shared" si="31"/>
        <v>#N/A</v>
      </c>
      <c r="P69" s="405" t="e">
        <f t="shared" si="31"/>
        <v>#N/A</v>
      </c>
      <c r="Q69" s="405" t="e">
        <f t="shared" si="31"/>
        <v>#N/A</v>
      </c>
      <c r="R69" s="405">
        <f t="shared" si="31"/>
        <v>70</v>
      </c>
      <c r="S69" s="405">
        <f t="shared" si="31"/>
        <v>70</v>
      </c>
      <c r="T69" s="405" t="e">
        <f t="shared" si="31"/>
        <v>#N/A</v>
      </c>
      <c r="U69" s="405" t="e">
        <f t="shared" si="31"/>
        <v>#N/A</v>
      </c>
      <c r="V69" s="405" t="e">
        <f t="shared" si="31"/>
        <v>#N/A</v>
      </c>
      <c r="W69" s="405" t="e">
        <f t="shared" si="31"/>
        <v>#N/A</v>
      </c>
      <c r="X69" s="405" t="e">
        <f t="shared" si="31"/>
        <v>#N/A</v>
      </c>
      <c r="Y69" s="405" t="e">
        <f t="shared" si="31"/>
        <v>#N/A</v>
      </c>
      <c r="Z69" s="405">
        <f t="shared" si="31"/>
        <v>100</v>
      </c>
      <c r="AA69" s="405">
        <f t="shared" si="31"/>
        <v>100</v>
      </c>
      <c r="AB69" s="405">
        <f t="shared" si="31"/>
        <v>100</v>
      </c>
      <c r="AC69" s="405">
        <f t="shared" si="31"/>
        <v>100</v>
      </c>
      <c r="AD69" s="405" t="e">
        <f t="shared" si="31"/>
        <v>#N/A</v>
      </c>
      <c r="AE69" s="405" t="e">
        <f t="shared" si="31"/>
        <v>#N/A</v>
      </c>
      <c r="AF69" s="405">
        <f t="shared" si="31"/>
        <v>100</v>
      </c>
      <c r="AG69" s="405">
        <f t="shared" si="31"/>
        <v>100</v>
      </c>
      <c r="AH69" s="405">
        <f t="shared" si="31"/>
        <v>100</v>
      </c>
      <c r="AI69" s="405" t="e">
        <f t="shared" si="31"/>
        <v>#N/A</v>
      </c>
      <c r="AJ69" s="405" t="e">
        <f t="shared" si="31"/>
        <v>#N/A</v>
      </c>
      <c r="AK69" s="405" t="e">
        <f t="shared" si="31"/>
        <v>#N/A</v>
      </c>
      <c r="AL69" s="405">
        <f t="shared" si="31"/>
        <v>100</v>
      </c>
      <c r="AM69" s="405">
        <f t="shared" si="31"/>
        <v>100</v>
      </c>
      <c r="AN69" s="405">
        <f t="shared" si="31"/>
        <v>100</v>
      </c>
      <c r="AO69" s="405" t="e">
        <f t="shared" si="31"/>
        <v>#N/A</v>
      </c>
      <c r="AP69" s="405" t="e">
        <f t="shared" si="31"/>
        <v>#N/A</v>
      </c>
      <c r="AQ69" s="405" t="e">
        <f t="shared" si="31"/>
        <v>#N/A</v>
      </c>
      <c r="AR69" s="405">
        <f t="shared" si="31"/>
        <v>100</v>
      </c>
      <c r="AS69" s="405">
        <f t="shared" si="31"/>
        <v>100</v>
      </c>
      <c r="AT69" s="405">
        <f t="shared" si="31"/>
        <v>100</v>
      </c>
      <c r="AU69" s="405" t="e">
        <f t="shared" si="31"/>
        <v>#VALUE!</v>
      </c>
      <c r="AV69" s="405" t="e">
        <f t="shared" si="31"/>
        <v>#VALUE!</v>
      </c>
      <c r="AW69" s="405" t="e">
        <f t="shared" si="31"/>
        <v>#VALUE!</v>
      </c>
      <c r="AX69" s="405" t="e">
        <f t="shared" si="31"/>
        <v>#VALUE!</v>
      </c>
      <c r="AY69" s="405" t="e">
        <f t="shared" si="31"/>
        <v>#VALUE!</v>
      </c>
      <c r="AZ69" s="405" t="e">
        <f t="shared" si="31"/>
        <v>#N/A</v>
      </c>
      <c r="BA69" s="405" t="e">
        <f t="shared" si="31"/>
        <v>#N/A</v>
      </c>
      <c r="BB69" s="405" t="e">
        <f t="shared" si="31"/>
        <v>#N/A</v>
      </c>
      <c r="BC69" s="405" t="e">
        <f t="shared" si="31"/>
        <v>#N/A</v>
      </c>
      <c r="BD69" s="405" t="e">
        <f t="shared" si="31"/>
        <v>#N/A</v>
      </c>
      <c r="BE69" s="405">
        <f t="shared" si="31"/>
        <v>70</v>
      </c>
      <c r="BF69" s="405">
        <f t="shared" si="31"/>
        <v>70</v>
      </c>
      <c r="BG69" s="405" t="e">
        <f t="shared" si="31"/>
        <v>#N/A</v>
      </c>
      <c r="BH69" s="405" t="e">
        <f t="shared" si="31"/>
        <v>#N/A</v>
      </c>
      <c r="BI69" s="405" t="e">
        <f t="shared" si="31"/>
        <v>#N/A</v>
      </c>
      <c r="BJ69" s="405" t="e">
        <f t="shared" si="31"/>
        <v>#N/A</v>
      </c>
      <c r="BK69" s="405" t="e">
        <f t="shared" si="31"/>
        <v>#N/A</v>
      </c>
      <c r="BL69" s="405" t="e">
        <f t="shared" si="31"/>
        <v>#N/A</v>
      </c>
      <c r="BM69" s="405" t="e">
        <f t="shared" si="31"/>
        <v>#N/A</v>
      </c>
      <c r="BN69" s="405">
        <f t="shared" si="31"/>
        <v>70</v>
      </c>
      <c r="BO69" s="405">
        <f t="shared" si="31"/>
        <v>70</v>
      </c>
      <c r="BP69" s="405" t="e">
        <f t="shared" ref="BP69:CD69" si="32">VLOOKUP(BP14,$B$59:$C$149,2)</f>
        <v>#N/A</v>
      </c>
      <c r="BQ69" s="405" t="e">
        <f t="shared" si="32"/>
        <v>#N/A</v>
      </c>
      <c r="BR69" s="405" t="e">
        <f t="shared" si="32"/>
        <v>#N/A</v>
      </c>
      <c r="BS69" s="405" t="e">
        <f t="shared" si="32"/>
        <v>#N/A</v>
      </c>
      <c r="BT69" s="405">
        <f t="shared" si="32"/>
        <v>70</v>
      </c>
      <c r="BU69" s="405">
        <f t="shared" si="32"/>
        <v>70</v>
      </c>
      <c r="BV69" s="405" t="e">
        <f t="shared" si="32"/>
        <v>#N/A</v>
      </c>
      <c r="BW69" s="405" t="e">
        <f t="shared" si="32"/>
        <v>#N/A</v>
      </c>
      <c r="BX69" s="405" t="e">
        <f t="shared" si="32"/>
        <v>#N/A</v>
      </c>
      <c r="BY69" s="405">
        <f t="shared" si="32"/>
        <v>70</v>
      </c>
      <c r="BZ69" s="405">
        <f t="shared" si="32"/>
        <v>70</v>
      </c>
      <c r="CA69" s="405" t="e">
        <f t="shared" si="32"/>
        <v>#N/A</v>
      </c>
      <c r="CB69" s="405" t="e">
        <f t="shared" si="32"/>
        <v>#N/A</v>
      </c>
      <c r="CC69" s="405" t="e">
        <f t="shared" si="32"/>
        <v>#N/A</v>
      </c>
      <c r="CD69" s="405" t="e">
        <f t="shared" si="32"/>
        <v>#N/A</v>
      </c>
    </row>
    <row r="70" spans="1:82" hidden="1">
      <c r="A70" s="665">
        <v>12</v>
      </c>
      <c r="B70" s="666">
        <v>21</v>
      </c>
      <c r="C70" s="18">
        <v>20</v>
      </c>
      <c r="D70" s="405">
        <f t="shared" ref="D70:BO70" si="33">VLOOKUP(D15,$B$59:$C$149,2)</f>
        <v>100</v>
      </c>
      <c r="E70" s="405">
        <f t="shared" si="33"/>
        <v>100</v>
      </c>
      <c r="F70" s="405">
        <f t="shared" si="33"/>
        <v>100</v>
      </c>
      <c r="G70" s="405" t="e">
        <f t="shared" si="33"/>
        <v>#N/A</v>
      </c>
      <c r="H70" s="405" t="e">
        <f t="shared" si="33"/>
        <v>#N/A</v>
      </c>
      <c r="I70" s="405" t="e">
        <f t="shared" si="33"/>
        <v>#N/A</v>
      </c>
      <c r="J70" s="405">
        <f t="shared" si="33"/>
        <v>70</v>
      </c>
      <c r="K70" s="405">
        <f t="shared" si="33"/>
        <v>85</v>
      </c>
      <c r="L70" s="405">
        <f t="shared" si="33"/>
        <v>100</v>
      </c>
      <c r="M70" s="405">
        <f t="shared" si="33"/>
        <v>100</v>
      </c>
      <c r="N70" s="405">
        <f t="shared" si="33"/>
        <v>100</v>
      </c>
      <c r="O70" s="405" t="e">
        <f t="shared" si="33"/>
        <v>#N/A</v>
      </c>
      <c r="P70" s="405" t="e">
        <f t="shared" si="33"/>
        <v>#N/A</v>
      </c>
      <c r="Q70" s="405" t="e">
        <f t="shared" si="33"/>
        <v>#N/A</v>
      </c>
      <c r="R70" s="405">
        <f t="shared" si="33"/>
        <v>70</v>
      </c>
      <c r="S70" s="405">
        <f t="shared" si="33"/>
        <v>85</v>
      </c>
      <c r="T70" s="405" t="e">
        <f t="shared" si="33"/>
        <v>#N/A</v>
      </c>
      <c r="U70" s="405" t="e">
        <f t="shared" si="33"/>
        <v>#N/A</v>
      </c>
      <c r="V70" s="405" t="e">
        <f t="shared" si="33"/>
        <v>#N/A</v>
      </c>
      <c r="W70" s="405" t="e">
        <f t="shared" si="33"/>
        <v>#N/A</v>
      </c>
      <c r="X70" s="405" t="e">
        <f t="shared" si="33"/>
        <v>#N/A</v>
      </c>
      <c r="Y70" s="405" t="e">
        <f t="shared" si="33"/>
        <v>#N/A</v>
      </c>
      <c r="Z70" s="405">
        <f t="shared" si="33"/>
        <v>100</v>
      </c>
      <c r="AA70" s="405">
        <f t="shared" si="33"/>
        <v>100</v>
      </c>
      <c r="AB70" s="405">
        <f t="shared" si="33"/>
        <v>100</v>
      </c>
      <c r="AC70" s="405">
        <f t="shared" si="33"/>
        <v>100</v>
      </c>
      <c r="AD70" s="405" t="e">
        <f t="shared" si="33"/>
        <v>#N/A</v>
      </c>
      <c r="AE70" s="405" t="e">
        <f t="shared" si="33"/>
        <v>#N/A</v>
      </c>
      <c r="AF70" s="405">
        <f t="shared" si="33"/>
        <v>100</v>
      </c>
      <c r="AG70" s="405">
        <f t="shared" si="33"/>
        <v>100</v>
      </c>
      <c r="AH70" s="405">
        <f t="shared" si="33"/>
        <v>100</v>
      </c>
      <c r="AI70" s="405" t="e">
        <f t="shared" si="33"/>
        <v>#N/A</v>
      </c>
      <c r="AJ70" s="405" t="e">
        <f t="shared" si="33"/>
        <v>#N/A</v>
      </c>
      <c r="AK70" s="405" t="e">
        <f t="shared" si="33"/>
        <v>#N/A</v>
      </c>
      <c r="AL70" s="405">
        <f t="shared" si="33"/>
        <v>100</v>
      </c>
      <c r="AM70" s="405">
        <f t="shared" si="33"/>
        <v>100</v>
      </c>
      <c r="AN70" s="405">
        <f t="shared" si="33"/>
        <v>100</v>
      </c>
      <c r="AO70" s="405" t="e">
        <f t="shared" si="33"/>
        <v>#N/A</v>
      </c>
      <c r="AP70" s="405" t="e">
        <f t="shared" si="33"/>
        <v>#N/A</v>
      </c>
      <c r="AQ70" s="405" t="e">
        <f t="shared" si="33"/>
        <v>#N/A</v>
      </c>
      <c r="AR70" s="405">
        <f t="shared" si="33"/>
        <v>100</v>
      </c>
      <c r="AS70" s="405">
        <f t="shared" si="33"/>
        <v>100</v>
      </c>
      <c r="AT70" s="405">
        <f t="shared" si="33"/>
        <v>100</v>
      </c>
      <c r="AU70" s="405" t="e">
        <f t="shared" si="33"/>
        <v>#VALUE!</v>
      </c>
      <c r="AV70" s="405" t="e">
        <f t="shared" si="33"/>
        <v>#VALUE!</v>
      </c>
      <c r="AW70" s="405" t="e">
        <f t="shared" si="33"/>
        <v>#VALUE!</v>
      </c>
      <c r="AX70" s="405" t="e">
        <f t="shared" si="33"/>
        <v>#VALUE!</v>
      </c>
      <c r="AY70" s="405" t="e">
        <f t="shared" si="33"/>
        <v>#VALUE!</v>
      </c>
      <c r="AZ70" s="405" t="e">
        <f t="shared" si="33"/>
        <v>#N/A</v>
      </c>
      <c r="BA70" s="405" t="e">
        <f t="shared" si="33"/>
        <v>#N/A</v>
      </c>
      <c r="BB70" s="405" t="e">
        <f t="shared" si="33"/>
        <v>#N/A</v>
      </c>
      <c r="BC70" s="405" t="e">
        <f t="shared" si="33"/>
        <v>#N/A</v>
      </c>
      <c r="BD70" s="405" t="e">
        <f t="shared" si="33"/>
        <v>#N/A</v>
      </c>
      <c r="BE70" s="405">
        <f t="shared" si="33"/>
        <v>70</v>
      </c>
      <c r="BF70" s="405">
        <f t="shared" si="33"/>
        <v>85</v>
      </c>
      <c r="BG70" s="405" t="e">
        <f t="shared" si="33"/>
        <v>#N/A</v>
      </c>
      <c r="BH70" s="405" t="e">
        <f t="shared" si="33"/>
        <v>#N/A</v>
      </c>
      <c r="BI70" s="405" t="e">
        <f t="shared" si="33"/>
        <v>#N/A</v>
      </c>
      <c r="BJ70" s="405" t="e">
        <f t="shared" si="33"/>
        <v>#N/A</v>
      </c>
      <c r="BK70" s="405" t="e">
        <f t="shared" si="33"/>
        <v>#N/A</v>
      </c>
      <c r="BL70" s="405" t="e">
        <f t="shared" si="33"/>
        <v>#N/A</v>
      </c>
      <c r="BM70" s="405" t="e">
        <f t="shared" si="33"/>
        <v>#N/A</v>
      </c>
      <c r="BN70" s="405">
        <f t="shared" si="33"/>
        <v>70</v>
      </c>
      <c r="BO70" s="405">
        <f t="shared" si="33"/>
        <v>85</v>
      </c>
      <c r="BP70" s="405" t="e">
        <f t="shared" ref="BP70:CD70" si="34">VLOOKUP(BP15,$B$59:$C$149,2)</f>
        <v>#N/A</v>
      </c>
      <c r="BQ70" s="405" t="e">
        <f t="shared" si="34"/>
        <v>#N/A</v>
      </c>
      <c r="BR70" s="405" t="e">
        <f t="shared" si="34"/>
        <v>#N/A</v>
      </c>
      <c r="BS70" s="405" t="e">
        <f t="shared" si="34"/>
        <v>#N/A</v>
      </c>
      <c r="BT70" s="405">
        <f t="shared" si="34"/>
        <v>70</v>
      </c>
      <c r="BU70" s="405">
        <f t="shared" si="34"/>
        <v>85</v>
      </c>
      <c r="BV70" s="405" t="e">
        <f t="shared" si="34"/>
        <v>#N/A</v>
      </c>
      <c r="BW70" s="405" t="e">
        <f t="shared" si="34"/>
        <v>#N/A</v>
      </c>
      <c r="BX70" s="405" t="e">
        <f t="shared" si="34"/>
        <v>#N/A</v>
      </c>
      <c r="BY70" s="405">
        <f t="shared" si="34"/>
        <v>70</v>
      </c>
      <c r="BZ70" s="405">
        <f t="shared" si="34"/>
        <v>85</v>
      </c>
      <c r="CA70" s="405" t="e">
        <f t="shared" si="34"/>
        <v>#N/A</v>
      </c>
      <c r="CB70" s="405" t="e">
        <f t="shared" si="34"/>
        <v>#N/A</v>
      </c>
      <c r="CC70" s="405" t="e">
        <f t="shared" si="34"/>
        <v>#N/A</v>
      </c>
      <c r="CD70" s="405" t="e">
        <f t="shared" si="34"/>
        <v>#N/A</v>
      </c>
    </row>
    <row r="71" spans="1:82" hidden="1">
      <c r="A71" s="665">
        <v>13</v>
      </c>
      <c r="B71" s="666">
        <v>22</v>
      </c>
      <c r="C71" s="18">
        <v>20</v>
      </c>
      <c r="D71" s="405">
        <f t="shared" ref="D71:BO71" si="35">VLOOKUP(D16,$B$59:$C$149,2)</f>
        <v>100</v>
      </c>
      <c r="E71" s="405">
        <f t="shared" si="35"/>
        <v>100</v>
      </c>
      <c r="F71" s="405">
        <f t="shared" si="35"/>
        <v>100</v>
      </c>
      <c r="G71" s="405" t="e">
        <f t="shared" si="35"/>
        <v>#N/A</v>
      </c>
      <c r="H71" s="405" t="e">
        <f t="shared" si="35"/>
        <v>#N/A</v>
      </c>
      <c r="I71" s="405" t="e">
        <f t="shared" si="35"/>
        <v>#N/A</v>
      </c>
      <c r="J71" s="405">
        <f t="shared" si="35"/>
        <v>85</v>
      </c>
      <c r="K71" s="405">
        <f t="shared" si="35"/>
        <v>75</v>
      </c>
      <c r="L71" s="405">
        <f t="shared" si="35"/>
        <v>100</v>
      </c>
      <c r="M71" s="405">
        <f t="shared" si="35"/>
        <v>100</v>
      </c>
      <c r="N71" s="405">
        <f t="shared" si="35"/>
        <v>100</v>
      </c>
      <c r="O71" s="405" t="e">
        <f t="shared" si="35"/>
        <v>#N/A</v>
      </c>
      <c r="P71" s="405" t="e">
        <f t="shared" si="35"/>
        <v>#N/A</v>
      </c>
      <c r="Q71" s="405" t="e">
        <f t="shared" si="35"/>
        <v>#N/A</v>
      </c>
      <c r="R71" s="405">
        <f t="shared" si="35"/>
        <v>85</v>
      </c>
      <c r="S71" s="405">
        <f t="shared" si="35"/>
        <v>75</v>
      </c>
      <c r="T71" s="405" t="e">
        <f t="shared" si="35"/>
        <v>#N/A</v>
      </c>
      <c r="U71" s="405" t="e">
        <f t="shared" si="35"/>
        <v>#N/A</v>
      </c>
      <c r="V71" s="405" t="e">
        <f t="shared" si="35"/>
        <v>#N/A</v>
      </c>
      <c r="W71" s="405" t="e">
        <f t="shared" si="35"/>
        <v>#N/A</v>
      </c>
      <c r="X71" s="405" t="e">
        <f t="shared" si="35"/>
        <v>#N/A</v>
      </c>
      <c r="Y71" s="405" t="e">
        <f t="shared" si="35"/>
        <v>#N/A</v>
      </c>
      <c r="Z71" s="405">
        <f t="shared" si="35"/>
        <v>100</v>
      </c>
      <c r="AA71" s="405">
        <f t="shared" si="35"/>
        <v>100</v>
      </c>
      <c r="AB71" s="405">
        <f t="shared" si="35"/>
        <v>100</v>
      </c>
      <c r="AC71" s="405">
        <f t="shared" si="35"/>
        <v>100</v>
      </c>
      <c r="AD71" s="405" t="e">
        <f t="shared" si="35"/>
        <v>#N/A</v>
      </c>
      <c r="AE71" s="405" t="e">
        <f t="shared" si="35"/>
        <v>#N/A</v>
      </c>
      <c r="AF71" s="405">
        <f t="shared" si="35"/>
        <v>100</v>
      </c>
      <c r="AG71" s="405">
        <f t="shared" si="35"/>
        <v>100</v>
      </c>
      <c r="AH71" s="405">
        <f t="shared" si="35"/>
        <v>100</v>
      </c>
      <c r="AI71" s="405" t="e">
        <f t="shared" si="35"/>
        <v>#N/A</v>
      </c>
      <c r="AJ71" s="405" t="e">
        <f t="shared" si="35"/>
        <v>#N/A</v>
      </c>
      <c r="AK71" s="405" t="e">
        <f t="shared" si="35"/>
        <v>#N/A</v>
      </c>
      <c r="AL71" s="405">
        <f t="shared" si="35"/>
        <v>100</v>
      </c>
      <c r="AM71" s="405">
        <f t="shared" si="35"/>
        <v>100</v>
      </c>
      <c r="AN71" s="405">
        <f t="shared" si="35"/>
        <v>100</v>
      </c>
      <c r="AO71" s="405" t="e">
        <f t="shared" si="35"/>
        <v>#N/A</v>
      </c>
      <c r="AP71" s="405" t="e">
        <f t="shared" si="35"/>
        <v>#N/A</v>
      </c>
      <c r="AQ71" s="405" t="e">
        <f t="shared" si="35"/>
        <v>#N/A</v>
      </c>
      <c r="AR71" s="405">
        <f t="shared" si="35"/>
        <v>100</v>
      </c>
      <c r="AS71" s="405">
        <f t="shared" si="35"/>
        <v>100</v>
      </c>
      <c r="AT71" s="405">
        <f t="shared" si="35"/>
        <v>100</v>
      </c>
      <c r="AU71" s="405" t="e">
        <f t="shared" si="35"/>
        <v>#VALUE!</v>
      </c>
      <c r="AV71" s="405" t="e">
        <f t="shared" si="35"/>
        <v>#VALUE!</v>
      </c>
      <c r="AW71" s="405" t="e">
        <f t="shared" si="35"/>
        <v>#VALUE!</v>
      </c>
      <c r="AX71" s="405" t="e">
        <f t="shared" si="35"/>
        <v>#VALUE!</v>
      </c>
      <c r="AY71" s="405" t="e">
        <f t="shared" si="35"/>
        <v>#VALUE!</v>
      </c>
      <c r="AZ71" s="405" t="e">
        <f t="shared" si="35"/>
        <v>#N/A</v>
      </c>
      <c r="BA71" s="405" t="e">
        <f t="shared" si="35"/>
        <v>#N/A</v>
      </c>
      <c r="BB71" s="405" t="e">
        <f t="shared" si="35"/>
        <v>#N/A</v>
      </c>
      <c r="BC71" s="405" t="e">
        <f t="shared" si="35"/>
        <v>#N/A</v>
      </c>
      <c r="BD71" s="405" t="e">
        <f t="shared" si="35"/>
        <v>#N/A</v>
      </c>
      <c r="BE71" s="405">
        <f t="shared" si="35"/>
        <v>85</v>
      </c>
      <c r="BF71" s="405">
        <f t="shared" si="35"/>
        <v>75</v>
      </c>
      <c r="BG71" s="405" t="e">
        <f t="shared" si="35"/>
        <v>#N/A</v>
      </c>
      <c r="BH71" s="405" t="e">
        <f t="shared" si="35"/>
        <v>#N/A</v>
      </c>
      <c r="BI71" s="405" t="e">
        <f t="shared" si="35"/>
        <v>#N/A</v>
      </c>
      <c r="BJ71" s="405" t="e">
        <f t="shared" si="35"/>
        <v>#N/A</v>
      </c>
      <c r="BK71" s="405" t="e">
        <f t="shared" si="35"/>
        <v>#N/A</v>
      </c>
      <c r="BL71" s="405" t="e">
        <f t="shared" si="35"/>
        <v>#N/A</v>
      </c>
      <c r="BM71" s="405" t="e">
        <f t="shared" si="35"/>
        <v>#N/A</v>
      </c>
      <c r="BN71" s="405">
        <f t="shared" si="35"/>
        <v>85</v>
      </c>
      <c r="BO71" s="405">
        <f t="shared" si="35"/>
        <v>75</v>
      </c>
      <c r="BP71" s="405" t="e">
        <f t="shared" ref="BP71:CD71" si="36">VLOOKUP(BP16,$B$59:$C$149,2)</f>
        <v>#N/A</v>
      </c>
      <c r="BQ71" s="405" t="e">
        <f t="shared" si="36"/>
        <v>#N/A</v>
      </c>
      <c r="BR71" s="405" t="e">
        <f t="shared" si="36"/>
        <v>#N/A</v>
      </c>
      <c r="BS71" s="405" t="e">
        <f t="shared" si="36"/>
        <v>#N/A</v>
      </c>
      <c r="BT71" s="405">
        <f t="shared" si="36"/>
        <v>85</v>
      </c>
      <c r="BU71" s="405">
        <f t="shared" si="36"/>
        <v>75</v>
      </c>
      <c r="BV71" s="405" t="e">
        <f t="shared" si="36"/>
        <v>#N/A</v>
      </c>
      <c r="BW71" s="405" t="e">
        <f t="shared" si="36"/>
        <v>#N/A</v>
      </c>
      <c r="BX71" s="405" t="e">
        <f t="shared" si="36"/>
        <v>#N/A</v>
      </c>
      <c r="BY71" s="405">
        <f t="shared" si="36"/>
        <v>85</v>
      </c>
      <c r="BZ71" s="405">
        <f t="shared" si="36"/>
        <v>75</v>
      </c>
      <c r="CA71" s="405" t="e">
        <f t="shared" si="36"/>
        <v>#N/A</v>
      </c>
      <c r="CB71" s="405" t="e">
        <f t="shared" si="36"/>
        <v>#N/A</v>
      </c>
      <c r="CC71" s="405" t="e">
        <f t="shared" si="36"/>
        <v>#N/A</v>
      </c>
      <c r="CD71" s="405" t="e">
        <f t="shared" si="36"/>
        <v>#N/A</v>
      </c>
    </row>
    <row r="72" spans="1:82" hidden="1">
      <c r="A72" s="665">
        <v>14</v>
      </c>
      <c r="B72" s="666">
        <v>23</v>
      </c>
      <c r="C72" s="18">
        <v>25</v>
      </c>
      <c r="D72" s="405">
        <f t="shared" ref="D72:BO72" si="37">VLOOKUP(D17,$B$59:$C$149,2)</f>
        <v>100</v>
      </c>
      <c r="E72" s="405">
        <f t="shared" si="37"/>
        <v>100</v>
      </c>
      <c r="F72" s="405">
        <f t="shared" si="37"/>
        <v>100</v>
      </c>
      <c r="G72" s="405" t="e">
        <f t="shared" si="37"/>
        <v>#N/A</v>
      </c>
      <c r="H72" s="405" t="e">
        <f t="shared" si="37"/>
        <v>#N/A</v>
      </c>
      <c r="I72" s="405" t="e">
        <f t="shared" si="37"/>
        <v>#N/A</v>
      </c>
      <c r="J72" s="405">
        <f t="shared" si="37"/>
        <v>75</v>
      </c>
      <c r="K72" s="405">
        <f t="shared" si="37"/>
        <v>80</v>
      </c>
      <c r="L72" s="405">
        <f t="shared" si="37"/>
        <v>100</v>
      </c>
      <c r="M72" s="405">
        <f t="shared" si="37"/>
        <v>100</v>
      </c>
      <c r="N72" s="405">
        <f t="shared" si="37"/>
        <v>100</v>
      </c>
      <c r="O72" s="405" t="e">
        <f t="shared" si="37"/>
        <v>#N/A</v>
      </c>
      <c r="P72" s="405" t="e">
        <f t="shared" si="37"/>
        <v>#N/A</v>
      </c>
      <c r="Q72" s="405" t="e">
        <f t="shared" si="37"/>
        <v>#N/A</v>
      </c>
      <c r="R72" s="405">
        <f t="shared" si="37"/>
        <v>75</v>
      </c>
      <c r="S72" s="405">
        <f t="shared" si="37"/>
        <v>80</v>
      </c>
      <c r="T72" s="405" t="e">
        <f t="shared" si="37"/>
        <v>#N/A</v>
      </c>
      <c r="U72" s="405" t="e">
        <f t="shared" si="37"/>
        <v>#N/A</v>
      </c>
      <c r="V72" s="405" t="e">
        <f t="shared" si="37"/>
        <v>#N/A</v>
      </c>
      <c r="W72" s="405" t="e">
        <f t="shared" si="37"/>
        <v>#N/A</v>
      </c>
      <c r="X72" s="405" t="e">
        <f t="shared" si="37"/>
        <v>#N/A</v>
      </c>
      <c r="Y72" s="405" t="e">
        <f t="shared" si="37"/>
        <v>#N/A</v>
      </c>
      <c r="Z72" s="405">
        <f t="shared" si="37"/>
        <v>100</v>
      </c>
      <c r="AA72" s="405">
        <f t="shared" si="37"/>
        <v>100</v>
      </c>
      <c r="AB72" s="405">
        <f t="shared" si="37"/>
        <v>100</v>
      </c>
      <c r="AC72" s="405">
        <f t="shared" si="37"/>
        <v>100</v>
      </c>
      <c r="AD72" s="405" t="e">
        <f t="shared" si="37"/>
        <v>#N/A</v>
      </c>
      <c r="AE72" s="405" t="e">
        <f t="shared" si="37"/>
        <v>#N/A</v>
      </c>
      <c r="AF72" s="405">
        <f t="shared" si="37"/>
        <v>100</v>
      </c>
      <c r="AG72" s="405">
        <f t="shared" si="37"/>
        <v>100</v>
      </c>
      <c r="AH72" s="405">
        <f t="shared" si="37"/>
        <v>100</v>
      </c>
      <c r="AI72" s="405" t="e">
        <f t="shared" si="37"/>
        <v>#N/A</v>
      </c>
      <c r="AJ72" s="405" t="e">
        <f t="shared" si="37"/>
        <v>#N/A</v>
      </c>
      <c r="AK72" s="405" t="e">
        <f t="shared" si="37"/>
        <v>#N/A</v>
      </c>
      <c r="AL72" s="405">
        <f t="shared" si="37"/>
        <v>100</v>
      </c>
      <c r="AM72" s="405">
        <f t="shared" si="37"/>
        <v>100</v>
      </c>
      <c r="AN72" s="405">
        <f t="shared" si="37"/>
        <v>100</v>
      </c>
      <c r="AO72" s="405" t="e">
        <f t="shared" si="37"/>
        <v>#N/A</v>
      </c>
      <c r="AP72" s="405" t="e">
        <f t="shared" si="37"/>
        <v>#N/A</v>
      </c>
      <c r="AQ72" s="405" t="e">
        <f t="shared" si="37"/>
        <v>#N/A</v>
      </c>
      <c r="AR72" s="405">
        <f t="shared" si="37"/>
        <v>100</v>
      </c>
      <c r="AS72" s="405">
        <f t="shared" si="37"/>
        <v>100</v>
      </c>
      <c r="AT72" s="405">
        <f t="shared" si="37"/>
        <v>100</v>
      </c>
      <c r="AU72" s="405" t="e">
        <f t="shared" si="37"/>
        <v>#VALUE!</v>
      </c>
      <c r="AV72" s="405" t="e">
        <f t="shared" si="37"/>
        <v>#VALUE!</v>
      </c>
      <c r="AW72" s="405" t="e">
        <f t="shared" si="37"/>
        <v>#VALUE!</v>
      </c>
      <c r="AX72" s="405" t="e">
        <f t="shared" si="37"/>
        <v>#VALUE!</v>
      </c>
      <c r="AY72" s="405" t="e">
        <f t="shared" si="37"/>
        <v>#VALUE!</v>
      </c>
      <c r="AZ72" s="405" t="e">
        <f t="shared" si="37"/>
        <v>#N/A</v>
      </c>
      <c r="BA72" s="405" t="e">
        <f t="shared" si="37"/>
        <v>#N/A</v>
      </c>
      <c r="BB72" s="405" t="e">
        <f t="shared" si="37"/>
        <v>#N/A</v>
      </c>
      <c r="BC72" s="405" t="e">
        <f t="shared" si="37"/>
        <v>#N/A</v>
      </c>
      <c r="BD72" s="405" t="e">
        <f t="shared" si="37"/>
        <v>#N/A</v>
      </c>
      <c r="BE72" s="405">
        <f t="shared" si="37"/>
        <v>75</v>
      </c>
      <c r="BF72" s="405">
        <f t="shared" si="37"/>
        <v>80</v>
      </c>
      <c r="BG72" s="405" t="e">
        <f t="shared" si="37"/>
        <v>#N/A</v>
      </c>
      <c r="BH72" s="405" t="e">
        <f t="shared" si="37"/>
        <v>#N/A</v>
      </c>
      <c r="BI72" s="405" t="e">
        <f t="shared" si="37"/>
        <v>#N/A</v>
      </c>
      <c r="BJ72" s="405" t="e">
        <f t="shared" si="37"/>
        <v>#N/A</v>
      </c>
      <c r="BK72" s="405" t="e">
        <f t="shared" si="37"/>
        <v>#N/A</v>
      </c>
      <c r="BL72" s="405" t="e">
        <f t="shared" si="37"/>
        <v>#N/A</v>
      </c>
      <c r="BM72" s="405" t="e">
        <f t="shared" si="37"/>
        <v>#N/A</v>
      </c>
      <c r="BN72" s="405">
        <f t="shared" si="37"/>
        <v>75</v>
      </c>
      <c r="BO72" s="405">
        <f t="shared" si="37"/>
        <v>80</v>
      </c>
      <c r="BP72" s="405" t="e">
        <f t="shared" ref="BP72:CD72" si="38">VLOOKUP(BP17,$B$59:$C$149,2)</f>
        <v>#N/A</v>
      </c>
      <c r="BQ72" s="405" t="e">
        <f t="shared" si="38"/>
        <v>#N/A</v>
      </c>
      <c r="BR72" s="405" t="e">
        <f t="shared" si="38"/>
        <v>#N/A</v>
      </c>
      <c r="BS72" s="405" t="e">
        <f t="shared" si="38"/>
        <v>#N/A</v>
      </c>
      <c r="BT72" s="405">
        <f t="shared" si="38"/>
        <v>75</v>
      </c>
      <c r="BU72" s="405">
        <f t="shared" si="38"/>
        <v>80</v>
      </c>
      <c r="BV72" s="405" t="e">
        <f t="shared" si="38"/>
        <v>#N/A</v>
      </c>
      <c r="BW72" s="405" t="e">
        <f t="shared" si="38"/>
        <v>#N/A</v>
      </c>
      <c r="BX72" s="405" t="e">
        <f t="shared" si="38"/>
        <v>#N/A</v>
      </c>
      <c r="BY72" s="405">
        <f t="shared" si="38"/>
        <v>75</v>
      </c>
      <c r="BZ72" s="405">
        <f t="shared" si="38"/>
        <v>80</v>
      </c>
      <c r="CA72" s="405" t="e">
        <f t="shared" si="38"/>
        <v>#N/A</v>
      </c>
      <c r="CB72" s="405" t="e">
        <f t="shared" si="38"/>
        <v>#N/A</v>
      </c>
      <c r="CC72" s="405" t="e">
        <f t="shared" si="38"/>
        <v>#N/A</v>
      </c>
      <c r="CD72" s="405" t="e">
        <f t="shared" si="38"/>
        <v>#N/A</v>
      </c>
    </row>
    <row r="73" spans="1:82" hidden="1">
      <c r="A73" s="665">
        <v>15</v>
      </c>
      <c r="B73" s="666">
        <v>24</v>
      </c>
      <c r="C73" s="18">
        <v>25</v>
      </c>
      <c r="D73" s="405">
        <f t="shared" ref="D73:BO73" si="39">VLOOKUP(D18,$B$59:$C$149,2)</f>
        <v>100</v>
      </c>
      <c r="E73" s="405">
        <f t="shared" si="39"/>
        <v>100</v>
      </c>
      <c r="F73" s="405">
        <f t="shared" si="39"/>
        <v>100</v>
      </c>
      <c r="G73" s="405" t="e">
        <f t="shared" si="39"/>
        <v>#N/A</v>
      </c>
      <c r="H73" s="405" t="e">
        <f t="shared" si="39"/>
        <v>#N/A</v>
      </c>
      <c r="I73" s="405" t="e">
        <f t="shared" si="39"/>
        <v>#N/A</v>
      </c>
      <c r="J73" s="405">
        <f t="shared" si="39"/>
        <v>80</v>
      </c>
      <c r="K73" s="405">
        <f t="shared" si="39"/>
        <v>80</v>
      </c>
      <c r="L73" s="405">
        <f t="shared" si="39"/>
        <v>100</v>
      </c>
      <c r="M73" s="405">
        <f t="shared" si="39"/>
        <v>100</v>
      </c>
      <c r="N73" s="405">
        <f t="shared" si="39"/>
        <v>100</v>
      </c>
      <c r="O73" s="405" t="e">
        <f t="shared" si="39"/>
        <v>#N/A</v>
      </c>
      <c r="P73" s="405" t="e">
        <f t="shared" si="39"/>
        <v>#N/A</v>
      </c>
      <c r="Q73" s="405" t="e">
        <f t="shared" si="39"/>
        <v>#N/A</v>
      </c>
      <c r="R73" s="405">
        <f t="shared" si="39"/>
        <v>80</v>
      </c>
      <c r="S73" s="405">
        <f t="shared" si="39"/>
        <v>80</v>
      </c>
      <c r="T73" s="405" t="e">
        <f t="shared" si="39"/>
        <v>#N/A</v>
      </c>
      <c r="U73" s="405" t="e">
        <f t="shared" si="39"/>
        <v>#N/A</v>
      </c>
      <c r="V73" s="405" t="e">
        <f t="shared" si="39"/>
        <v>#N/A</v>
      </c>
      <c r="W73" s="405" t="e">
        <f t="shared" si="39"/>
        <v>#N/A</v>
      </c>
      <c r="X73" s="405" t="e">
        <f t="shared" si="39"/>
        <v>#N/A</v>
      </c>
      <c r="Y73" s="405" t="e">
        <f t="shared" si="39"/>
        <v>#N/A</v>
      </c>
      <c r="Z73" s="405">
        <f t="shared" si="39"/>
        <v>100</v>
      </c>
      <c r="AA73" s="405">
        <f t="shared" si="39"/>
        <v>100</v>
      </c>
      <c r="AB73" s="405">
        <f t="shared" si="39"/>
        <v>100</v>
      </c>
      <c r="AC73" s="405">
        <f t="shared" si="39"/>
        <v>100</v>
      </c>
      <c r="AD73" s="405" t="e">
        <f t="shared" si="39"/>
        <v>#N/A</v>
      </c>
      <c r="AE73" s="405" t="e">
        <f t="shared" si="39"/>
        <v>#N/A</v>
      </c>
      <c r="AF73" s="405">
        <f t="shared" si="39"/>
        <v>100</v>
      </c>
      <c r="AG73" s="405">
        <f t="shared" si="39"/>
        <v>100</v>
      </c>
      <c r="AH73" s="405">
        <f t="shared" si="39"/>
        <v>100</v>
      </c>
      <c r="AI73" s="405" t="e">
        <f t="shared" si="39"/>
        <v>#N/A</v>
      </c>
      <c r="AJ73" s="405" t="e">
        <f t="shared" si="39"/>
        <v>#N/A</v>
      </c>
      <c r="AK73" s="405" t="e">
        <f t="shared" si="39"/>
        <v>#N/A</v>
      </c>
      <c r="AL73" s="405">
        <f t="shared" si="39"/>
        <v>100</v>
      </c>
      <c r="AM73" s="405">
        <f t="shared" si="39"/>
        <v>100</v>
      </c>
      <c r="AN73" s="405">
        <f t="shared" si="39"/>
        <v>100</v>
      </c>
      <c r="AO73" s="405" t="e">
        <f t="shared" si="39"/>
        <v>#N/A</v>
      </c>
      <c r="AP73" s="405" t="e">
        <f t="shared" si="39"/>
        <v>#N/A</v>
      </c>
      <c r="AQ73" s="405" t="e">
        <f t="shared" si="39"/>
        <v>#N/A</v>
      </c>
      <c r="AR73" s="405">
        <f t="shared" si="39"/>
        <v>100</v>
      </c>
      <c r="AS73" s="405">
        <f t="shared" si="39"/>
        <v>100</v>
      </c>
      <c r="AT73" s="405">
        <f t="shared" si="39"/>
        <v>100</v>
      </c>
      <c r="AU73" s="405" t="e">
        <f t="shared" si="39"/>
        <v>#VALUE!</v>
      </c>
      <c r="AV73" s="405" t="e">
        <f t="shared" si="39"/>
        <v>#VALUE!</v>
      </c>
      <c r="AW73" s="405" t="e">
        <f t="shared" si="39"/>
        <v>#VALUE!</v>
      </c>
      <c r="AX73" s="405" t="e">
        <f t="shared" si="39"/>
        <v>#VALUE!</v>
      </c>
      <c r="AY73" s="405" t="e">
        <f t="shared" si="39"/>
        <v>#VALUE!</v>
      </c>
      <c r="AZ73" s="405" t="e">
        <f t="shared" si="39"/>
        <v>#N/A</v>
      </c>
      <c r="BA73" s="405" t="e">
        <f t="shared" si="39"/>
        <v>#N/A</v>
      </c>
      <c r="BB73" s="405" t="e">
        <f t="shared" si="39"/>
        <v>#N/A</v>
      </c>
      <c r="BC73" s="405" t="e">
        <f t="shared" si="39"/>
        <v>#N/A</v>
      </c>
      <c r="BD73" s="405" t="e">
        <f t="shared" si="39"/>
        <v>#N/A</v>
      </c>
      <c r="BE73" s="405">
        <f t="shared" si="39"/>
        <v>80</v>
      </c>
      <c r="BF73" s="405">
        <f t="shared" si="39"/>
        <v>80</v>
      </c>
      <c r="BG73" s="405" t="e">
        <f t="shared" si="39"/>
        <v>#N/A</v>
      </c>
      <c r="BH73" s="405" t="e">
        <f t="shared" si="39"/>
        <v>#N/A</v>
      </c>
      <c r="BI73" s="405" t="e">
        <f t="shared" si="39"/>
        <v>#N/A</v>
      </c>
      <c r="BJ73" s="405" t="e">
        <f t="shared" si="39"/>
        <v>#N/A</v>
      </c>
      <c r="BK73" s="405" t="e">
        <f t="shared" si="39"/>
        <v>#N/A</v>
      </c>
      <c r="BL73" s="405" t="e">
        <f t="shared" si="39"/>
        <v>#N/A</v>
      </c>
      <c r="BM73" s="405" t="e">
        <f t="shared" si="39"/>
        <v>#N/A</v>
      </c>
      <c r="BN73" s="405">
        <f t="shared" si="39"/>
        <v>80</v>
      </c>
      <c r="BO73" s="405">
        <f t="shared" si="39"/>
        <v>80</v>
      </c>
      <c r="BP73" s="405" t="e">
        <f t="shared" ref="BP73:CD73" si="40">VLOOKUP(BP18,$B$59:$C$149,2)</f>
        <v>#N/A</v>
      </c>
      <c r="BQ73" s="405" t="e">
        <f t="shared" si="40"/>
        <v>#N/A</v>
      </c>
      <c r="BR73" s="405" t="e">
        <f t="shared" si="40"/>
        <v>#N/A</v>
      </c>
      <c r="BS73" s="405" t="e">
        <f t="shared" si="40"/>
        <v>#N/A</v>
      </c>
      <c r="BT73" s="405">
        <f t="shared" si="40"/>
        <v>80</v>
      </c>
      <c r="BU73" s="405">
        <f t="shared" si="40"/>
        <v>80</v>
      </c>
      <c r="BV73" s="405" t="e">
        <f t="shared" si="40"/>
        <v>#N/A</v>
      </c>
      <c r="BW73" s="405" t="e">
        <f t="shared" si="40"/>
        <v>#N/A</v>
      </c>
      <c r="BX73" s="405" t="e">
        <f t="shared" si="40"/>
        <v>#N/A</v>
      </c>
      <c r="BY73" s="405">
        <f t="shared" si="40"/>
        <v>80</v>
      </c>
      <c r="BZ73" s="405">
        <f t="shared" si="40"/>
        <v>80</v>
      </c>
      <c r="CA73" s="405" t="e">
        <f t="shared" si="40"/>
        <v>#N/A</v>
      </c>
      <c r="CB73" s="405" t="e">
        <f t="shared" si="40"/>
        <v>#N/A</v>
      </c>
      <c r="CC73" s="405" t="e">
        <f t="shared" si="40"/>
        <v>#N/A</v>
      </c>
      <c r="CD73" s="405" t="e">
        <f t="shared" si="40"/>
        <v>#N/A</v>
      </c>
    </row>
    <row r="74" spans="1:82" hidden="1">
      <c r="A74" s="665">
        <v>16</v>
      </c>
      <c r="B74" s="666">
        <v>25</v>
      </c>
      <c r="C74" s="18">
        <v>25</v>
      </c>
      <c r="D74" s="405">
        <f t="shared" ref="D74:BO74" si="41">VLOOKUP(D19,$B$59:$C$149,2)</f>
        <v>100</v>
      </c>
      <c r="E74" s="405">
        <f t="shared" si="41"/>
        <v>100</v>
      </c>
      <c r="F74" s="405">
        <f t="shared" si="41"/>
        <v>100</v>
      </c>
      <c r="G74" s="405" t="e">
        <f t="shared" si="41"/>
        <v>#N/A</v>
      </c>
      <c r="H74" s="405" t="e">
        <f t="shared" si="41"/>
        <v>#N/A</v>
      </c>
      <c r="I74" s="405" t="e">
        <f t="shared" si="41"/>
        <v>#N/A</v>
      </c>
      <c r="J74" s="405">
        <f t="shared" si="41"/>
        <v>80</v>
      </c>
      <c r="K74" s="405">
        <f t="shared" si="41"/>
        <v>80</v>
      </c>
      <c r="L74" s="405">
        <f t="shared" si="41"/>
        <v>100</v>
      </c>
      <c r="M74" s="405">
        <f t="shared" si="41"/>
        <v>100</v>
      </c>
      <c r="N74" s="405">
        <f t="shared" si="41"/>
        <v>100</v>
      </c>
      <c r="O74" s="405" t="e">
        <f t="shared" si="41"/>
        <v>#N/A</v>
      </c>
      <c r="P74" s="405" t="e">
        <f t="shared" si="41"/>
        <v>#N/A</v>
      </c>
      <c r="Q74" s="405" t="e">
        <f t="shared" si="41"/>
        <v>#N/A</v>
      </c>
      <c r="R74" s="405">
        <f t="shared" si="41"/>
        <v>80</v>
      </c>
      <c r="S74" s="405">
        <f t="shared" si="41"/>
        <v>80</v>
      </c>
      <c r="T74" s="405" t="e">
        <f t="shared" si="41"/>
        <v>#N/A</v>
      </c>
      <c r="U74" s="405" t="e">
        <f t="shared" si="41"/>
        <v>#N/A</v>
      </c>
      <c r="V74" s="405" t="e">
        <f t="shared" si="41"/>
        <v>#N/A</v>
      </c>
      <c r="W74" s="405" t="e">
        <f t="shared" si="41"/>
        <v>#N/A</v>
      </c>
      <c r="X74" s="405" t="e">
        <f t="shared" si="41"/>
        <v>#N/A</v>
      </c>
      <c r="Y74" s="405" t="e">
        <f t="shared" si="41"/>
        <v>#N/A</v>
      </c>
      <c r="Z74" s="405">
        <f t="shared" si="41"/>
        <v>100</v>
      </c>
      <c r="AA74" s="405">
        <f t="shared" si="41"/>
        <v>100</v>
      </c>
      <c r="AB74" s="405">
        <f t="shared" si="41"/>
        <v>100</v>
      </c>
      <c r="AC74" s="405">
        <f t="shared" si="41"/>
        <v>100</v>
      </c>
      <c r="AD74" s="405" t="e">
        <f t="shared" si="41"/>
        <v>#N/A</v>
      </c>
      <c r="AE74" s="405" t="e">
        <f t="shared" si="41"/>
        <v>#N/A</v>
      </c>
      <c r="AF74" s="405">
        <f t="shared" si="41"/>
        <v>100</v>
      </c>
      <c r="AG74" s="405">
        <f t="shared" si="41"/>
        <v>100</v>
      </c>
      <c r="AH74" s="405">
        <f t="shared" si="41"/>
        <v>100</v>
      </c>
      <c r="AI74" s="405" t="e">
        <f t="shared" si="41"/>
        <v>#N/A</v>
      </c>
      <c r="AJ74" s="405" t="e">
        <f t="shared" si="41"/>
        <v>#N/A</v>
      </c>
      <c r="AK74" s="405" t="e">
        <f t="shared" si="41"/>
        <v>#N/A</v>
      </c>
      <c r="AL74" s="405">
        <f t="shared" si="41"/>
        <v>100</v>
      </c>
      <c r="AM74" s="405">
        <f t="shared" si="41"/>
        <v>100</v>
      </c>
      <c r="AN74" s="405">
        <f t="shared" si="41"/>
        <v>100</v>
      </c>
      <c r="AO74" s="405" t="e">
        <f t="shared" si="41"/>
        <v>#N/A</v>
      </c>
      <c r="AP74" s="405" t="e">
        <f t="shared" si="41"/>
        <v>#N/A</v>
      </c>
      <c r="AQ74" s="405" t="e">
        <f t="shared" si="41"/>
        <v>#N/A</v>
      </c>
      <c r="AR74" s="405">
        <f t="shared" si="41"/>
        <v>100</v>
      </c>
      <c r="AS74" s="405">
        <f t="shared" si="41"/>
        <v>100</v>
      </c>
      <c r="AT74" s="405">
        <f t="shared" si="41"/>
        <v>100</v>
      </c>
      <c r="AU74" s="405" t="e">
        <f t="shared" si="41"/>
        <v>#VALUE!</v>
      </c>
      <c r="AV74" s="405" t="e">
        <f t="shared" si="41"/>
        <v>#VALUE!</v>
      </c>
      <c r="AW74" s="405" t="e">
        <f t="shared" si="41"/>
        <v>#VALUE!</v>
      </c>
      <c r="AX74" s="405" t="e">
        <f t="shared" si="41"/>
        <v>#VALUE!</v>
      </c>
      <c r="AY74" s="405" t="e">
        <f t="shared" si="41"/>
        <v>#VALUE!</v>
      </c>
      <c r="AZ74" s="405" t="e">
        <f t="shared" si="41"/>
        <v>#N/A</v>
      </c>
      <c r="BA74" s="405" t="e">
        <f t="shared" si="41"/>
        <v>#N/A</v>
      </c>
      <c r="BB74" s="405" t="e">
        <f t="shared" si="41"/>
        <v>#N/A</v>
      </c>
      <c r="BC74" s="405" t="e">
        <f t="shared" si="41"/>
        <v>#N/A</v>
      </c>
      <c r="BD74" s="405" t="e">
        <f t="shared" si="41"/>
        <v>#N/A</v>
      </c>
      <c r="BE74" s="405">
        <f t="shared" si="41"/>
        <v>80</v>
      </c>
      <c r="BF74" s="405">
        <f t="shared" si="41"/>
        <v>80</v>
      </c>
      <c r="BG74" s="405" t="e">
        <f t="shared" si="41"/>
        <v>#N/A</v>
      </c>
      <c r="BH74" s="405" t="e">
        <f t="shared" si="41"/>
        <v>#N/A</v>
      </c>
      <c r="BI74" s="405" t="e">
        <f t="shared" si="41"/>
        <v>#N/A</v>
      </c>
      <c r="BJ74" s="405" t="e">
        <f t="shared" si="41"/>
        <v>#N/A</v>
      </c>
      <c r="BK74" s="405" t="e">
        <f t="shared" si="41"/>
        <v>#N/A</v>
      </c>
      <c r="BL74" s="405" t="e">
        <f t="shared" si="41"/>
        <v>#N/A</v>
      </c>
      <c r="BM74" s="405" t="e">
        <f t="shared" si="41"/>
        <v>#N/A</v>
      </c>
      <c r="BN74" s="405">
        <f t="shared" si="41"/>
        <v>80</v>
      </c>
      <c r="BO74" s="405">
        <f t="shared" si="41"/>
        <v>80</v>
      </c>
      <c r="BP74" s="405" t="e">
        <f t="shared" ref="BP74:CD74" si="42">VLOOKUP(BP19,$B$59:$C$149,2)</f>
        <v>#N/A</v>
      </c>
      <c r="BQ74" s="405" t="e">
        <f t="shared" si="42"/>
        <v>#N/A</v>
      </c>
      <c r="BR74" s="405" t="e">
        <f t="shared" si="42"/>
        <v>#N/A</v>
      </c>
      <c r="BS74" s="405" t="e">
        <f t="shared" si="42"/>
        <v>#N/A</v>
      </c>
      <c r="BT74" s="405">
        <f t="shared" si="42"/>
        <v>80</v>
      </c>
      <c r="BU74" s="405">
        <f t="shared" si="42"/>
        <v>80</v>
      </c>
      <c r="BV74" s="405" t="e">
        <f t="shared" si="42"/>
        <v>#N/A</v>
      </c>
      <c r="BW74" s="405" t="e">
        <f t="shared" si="42"/>
        <v>#N/A</v>
      </c>
      <c r="BX74" s="405" t="e">
        <f t="shared" si="42"/>
        <v>#N/A</v>
      </c>
      <c r="BY74" s="405">
        <f t="shared" si="42"/>
        <v>80</v>
      </c>
      <c r="BZ74" s="405">
        <f t="shared" si="42"/>
        <v>80</v>
      </c>
      <c r="CA74" s="405" t="e">
        <f t="shared" si="42"/>
        <v>#N/A</v>
      </c>
      <c r="CB74" s="405" t="e">
        <f t="shared" si="42"/>
        <v>#N/A</v>
      </c>
      <c r="CC74" s="405" t="e">
        <f t="shared" si="42"/>
        <v>#N/A</v>
      </c>
      <c r="CD74" s="405" t="e">
        <f t="shared" si="42"/>
        <v>#N/A</v>
      </c>
    </row>
    <row r="75" spans="1:82" hidden="1">
      <c r="A75" s="665">
        <v>17</v>
      </c>
      <c r="B75" s="666">
        <v>26</v>
      </c>
      <c r="C75" s="18">
        <v>25</v>
      </c>
      <c r="D75" s="405">
        <f t="shared" ref="D75:BO75" si="43">VLOOKUP(D20,$B$59:$C$149,2)</f>
        <v>100</v>
      </c>
      <c r="E75" s="405">
        <f t="shared" si="43"/>
        <v>100</v>
      </c>
      <c r="F75" s="405">
        <f t="shared" si="43"/>
        <v>100</v>
      </c>
      <c r="G75" s="405" t="e">
        <f t="shared" si="43"/>
        <v>#N/A</v>
      </c>
      <c r="H75" s="405" t="e">
        <f t="shared" si="43"/>
        <v>#N/A</v>
      </c>
      <c r="I75" s="405" t="e">
        <f t="shared" si="43"/>
        <v>#N/A</v>
      </c>
      <c r="J75" s="405">
        <f t="shared" si="43"/>
        <v>80</v>
      </c>
      <c r="K75" s="405">
        <f t="shared" si="43"/>
        <v>80</v>
      </c>
      <c r="L75" s="405">
        <f t="shared" si="43"/>
        <v>100</v>
      </c>
      <c r="M75" s="405">
        <f t="shared" si="43"/>
        <v>100</v>
      </c>
      <c r="N75" s="405">
        <f t="shared" si="43"/>
        <v>100</v>
      </c>
      <c r="O75" s="405" t="e">
        <f t="shared" si="43"/>
        <v>#N/A</v>
      </c>
      <c r="P75" s="405" t="e">
        <f t="shared" si="43"/>
        <v>#N/A</v>
      </c>
      <c r="Q75" s="405" t="e">
        <f t="shared" si="43"/>
        <v>#N/A</v>
      </c>
      <c r="R75" s="405">
        <f t="shared" si="43"/>
        <v>80</v>
      </c>
      <c r="S75" s="405">
        <f t="shared" si="43"/>
        <v>80</v>
      </c>
      <c r="T75" s="405" t="e">
        <f t="shared" si="43"/>
        <v>#N/A</v>
      </c>
      <c r="U75" s="405" t="e">
        <f t="shared" si="43"/>
        <v>#N/A</v>
      </c>
      <c r="V75" s="405" t="e">
        <f t="shared" si="43"/>
        <v>#N/A</v>
      </c>
      <c r="W75" s="405" t="e">
        <f t="shared" si="43"/>
        <v>#N/A</v>
      </c>
      <c r="X75" s="405" t="e">
        <f t="shared" si="43"/>
        <v>#N/A</v>
      </c>
      <c r="Y75" s="405" t="e">
        <f t="shared" si="43"/>
        <v>#N/A</v>
      </c>
      <c r="Z75" s="405">
        <f t="shared" si="43"/>
        <v>100</v>
      </c>
      <c r="AA75" s="405">
        <f t="shared" si="43"/>
        <v>100</v>
      </c>
      <c r="AB75" s="405">
        <f t="shared" si="43"/>
        <v>100</v>
      </c>
      <c r="AC75" s="405">
        <f t="shared" si="43"/>
        <v>100</v>
      </c>
      <c r="AD75" s="405" t="e">
        <f t="shared" si="43"/>
        <v>#N/A</v>
      </c>
      <c r="AE75" s="405" t="e">
        <f t="shared" si="43"/>
        <v>#N/A</v>
      </c>
      <c r="AF75" s="405">
        <f t="shared" si="43"/>
        <v>100</v>
      </c>
      <c r="AG75" s="405">
        <f t="shared" si="43"/>
        <v>100</v>
      </c>
      <c r="AH75" s="405">
        <f t="shared" si="43"/>
        <v>100</v>
      </c>
      <c r="AI75" s="405" t="e">
        <f t="shared" si="43"/>
        <v>#N/A</v>
      </c>
      <c r="AJ75" s="405" t="e">
        <f t="shared" si="43"/>
        <v>#N/A</v>
      </c>
      <c r="AK75" s="405" t="e">
        <f t="shared" si="43"/>
        <v>#N/A</v>
      </c>
      <c r="AL75" s="405">
        <f t="shared" si="43"/>
        <v>100</v>
      </c>
      <c r="AM75" s="405">
        <f t="shared" si="43"/>
        <v>100</v>
      </c>
      <c r="AN75" s="405">
        <f t="shared" si="43"/>
        <v>100</v>
      </c>
      <c r="AO75" s="405" t="e">
        <f t="shared" si="43"/>
        <v>#N/A</v>
      </c>
      <c r="AP75" s="405" t="e">
        <f t="shared" si="43"/>
        <v>#N/A</v>
      </c>
      <c r="AQ75" s="405" t="e">
        <f t="shared" si="43"/>
        <v>#N/A</v>
      </c>
      <c r="AR75" s="405">
        <f t="shared" si="43"/>
        <v>100</v>
      </c>
      <c r="AS75" s="405">
        <f t="shared" si="43"/>
        <v>100</v>
      </c>
      <c r="AT75" s="405">
        <f t="shared" si="43"/>
        <v>100</v>
      </c>
      <c r="AU75" s="405" t="e">
        <f t="shared" si="43"/>
        <v>#VALUE!</v>
      </c>
      <c r="AV75" s="405" t="e">
        <f t="shared" si="43"/>
        <v>#VALUE!</v>
      </c>
      <c r="AW75" s="405" t="e">
        <f t="shared" si="43"/>
        <v>#VALUE!</v>
      </c>
      <c r="AX75" s="405" t="e">
        <f t="shared" si="43"/>
        <v>#VALUE!</v>
      </c>
      <c r="AY75" s="405" t="e">
        <f t="shared" si="43"/>
        <v>#VALUE!</v>
      </c>
      <c r="AZ75" s="405" t="e">
        <f t="shared" si="43"/>
        <v>#N/A</v>
      </c>
      <c r="BA75" s="405" t="e">
        <f t="shared" si="43"/>
        <v>#N/A</v>
      </c>
      <c r="BB75" s="405" t="e">
        <f t="shared" si="43"/>
        <v>#N/A</v>
      </c>
      <c r="BC75" s="405" t="e">
        <f t="shared" si="43"/>
        <v>#N/A</v>
      </c>
      <c r="BD75" s="405" t="e">
        <f t="shared" si="43"/>
        <v>#N/A</v>
      </c>
      <c r="BE75" s="405">
        <f t="shared" si="43"/>
        <v>80</v>
      </c>
      <c r="BF75" s="405">
        <f t="shared" si="43"/>
        <v>80</v>
      </c>
      <c r="BG75" s="405" t="e">
        <f t="shared" si="43"/>
        <v>#N/A</v>
      </c>
      <c r="BH75" s="405" t="e">
        <f t="shared" si="43"/>
        <v>#N/A</v>
      </c>
      <c r="BI75" s="405" t="e">
        <f t="shared" si="43"/>
        <v>#N/A</v>
      </c>
      <c r="BJ75" s="405" t="e">
        <f t="shared" si="43"/>
        <v>#N/A</v>
      </c>
      <c r="BK75" s="405" t="e">
        <f t="shared" si="43"/>
        <v>#N/A</v>
      </c>
      <c r="BL75" s="405" t="e">
        <f t="shared" si="43"/>
        <v>#N/A</v>
      </c>
      <c r="BM75" s="405" t="e">
        <f t="shared" si="43"/>
        <v>#N/A</v>
      </c>
      <c r="BN75" s="405">
        <f t="shared" si="43"/>
        <v>80</v>
      </c>
      <c r="BO75" s="405">
        <f t="shared" si="43"/>
        <v>80</v>
      </c>
      <c r="BP75" s="405" t="e">
        <f t="shared" ref="BP75:CD75" si="44">VLOOKUP(BP20,$B$59:$C$149,2)</f>
        <v>#N/A</v>
      </c>
      <c r="BQ75" s="405" t="e">
        <f t="shared" si="44"/>
        <v>#N/A</v>
      </c>
      <c r="BR75" s="405" t="e">
        <f t="shared" si="44"/>
        <v>#N/A</v>
      </c>
      <c r="BS75" s="405" t="e">
        <f t="shared" si="44"/>
        <v>#N/A</v>
      </c>
      <c r="BT75" s="405">
        <f t="shared" si="44"/>
        <v>80</v>
      </c>
      <c r="BU75" s="405">
        <f t="shared" si="44"/>
        <v>80</v>
      </c>
      <c r="BV75" s="405" t="e">
        <f t="shared" si="44"/>
        <v>#N/A</v>
      </c>
      <c r="BW75" s="405" t="e">
        <f t="shared" si="44"/>
        <v>#N/A</v>
      </c>
      <c r="BX75" s="405" t="e">
        <f t="shared" si="44"/>
        <v>#N/A</v>
      </c>
      <c r="BY75" s="405">
        <f t="shared" si="44"/>
        <v>80</v>
      </c>
      <c r="BZ75" s="405">
        <f t="shared" si="44"/>
        <v>80</v>
      </c>
      <c r="CA75" s="405" t="e">
        <f t="shared" si="44"/>
        <v>#N/A</v>
      </c>
      <c r="CB75" s="405" t="e">
        <f t="shared" si="44"/>
        <v>#N/A</v>
      </c>
      <c r="CC75" s="405" t="e">
        <f t="shared" si="44"/>
        <v>#N/A</v>
      </c>
      <c r="CD75" s="405" t="e">
        <f t="shared" si="44"/>
        <v>#N/A</v>
      </c>
    </row>
    <row r="76" spans="1:82" hidden="1">
      <c r="A76" s="665">
        <v>18</v>
      </c>
      <c r="B76" s="666">
        <v>27</v>
      </c>
      <c r="C76" s="18">
        <v>30</v>
      </c>
      <c r="D76" s="405">
        <f t="shared" ref="D76:BO76" si="45">VLOOKUP(D21,$B$59:$C$149,2)</f>
        <v>100</v>
      </c>
      <c r="E76" s="405">
        <f t="shared" si="45"/>
        <v>100</v>
      </c>
      <c r="F76" s="405">
        <f t="shared" si="45"/>
        <v>100</v>
      </c>
      <c r="G76" s="405" t="e">
        <f t="shared" si="45"/>
        <v>#N/A</v>
      </c>
      <c r="H76" s="405" t="e">
        <f t="shared" si="45"/>
        <v>#N/A</v>
      </c>
      <c r="I76" s="405" t="e">
        <f t="shared" si="45"/>
        <v>#N/A</v>
      </c>
      <c r="J76" s="405">
        <f t="shared" si="45"/>
        <v>80</v>
      </c>
      <c r="K76" s="405">
        <f t="shared" si="45"/>
        <v>90</v>
      </c>
      <c r="L76" s="405">
        <f t="shared" si="45"/>
        <v>100</v>
      </c>
      <c r="M76" s="405">
        <f t="shared" si="45"/>
        <v>100</v>
      </c>
      <c r="N76" s="405">
        <f t="shared" si="45"/>
        <v>100</v>
      </c>
      <c r="O76" s="405" t="e">
        <f t="shared" si="45"/>
        <v>#N/A</v>
      </c>
      <c r="P76" s="405" t="e">
        <f t="shared" si="45"/>
        <v>#N/A</v>
      </c>
      <c r="Q76" s="405" t="e">
        <f t="shared" si="45"/>
        <v>#N/A</v>
      </c>
      <c r="R76" s="405">
        <f t="shared" si="45"/>
        <v>80</v>
      </c>
      <c r="S76" s="405">
        <f t="shared" si="45"/>
        <v>90</v>
      </c>
      <c r="T76" s="405" t="e">
        <f t="shared" si="45"/>
        <v>#N/A</v>
      </c>
      <c r="U76" s="405" t="e">
        <f t="shared" si="45"/>
        <v>#N/A</v>
      </c>
      <c r="V76" s="405" t="e">
        <f t="shared" si="45"/>
        <v>#N/A</v>
      </c>
      <c r="W76" s="405" t="e">
        <f t="shared" si="45"/>
        <v>#N/A</v>
      </c>
      <c r="X76" s="405" t="e">
        <f t="shared" si="45"/>
        <v>#N/A</v>
      </c>
      <c r="Y76" s="405" t="e">
        <f t="shared" si="45"/>
        <v>#N/A</v>
      </c>
      <c r="Z76" s="405">
        <f t="shared" si="45"/>
        <v>100</v>
      </c>
      <c r="AA76" s="405">
        <f t="shared" si="45"/>
        <v>100</v>
      </c>
      <c r="AB76" s="405">
        <f t="shared" si="45"/>
        <v>100</v>
      </c>
      <c r="AC76" s="405">
        <f t="shared" si="45"/>
        <v>100</v>
      </c>
      <c r="AD76" s="405" t="e">
        <f t="shared" si="45"/>
        <v>#N/A</v>
      </c>
      <c r="AE76" s="405" t="e">
        <f t="shared" si="45"/>
        <v>#N/A</v>
      </c>
      <c r="AF76" s="405">
        <f t="shared" si="45"/>
        <v>100</v>
      </c>
      <c r="AG76" s="405">
        <f t="shared" si="45"/>
        <v>100</v>
      </c>
      <c r="AH76" s="405">
        <f t="shared" si="45"/>
        <v>100</v>
      </c>
      <c r="AI76" s="405" t="e">
        <f t="shared" si="45"/>
        <v>#N/A</v>
      </c>
      <c r="AJ76" s="405" t="e">
        <f t="shared" si="45"/>
        <v>#N/A</v>
      </c>
      <c r="AK76" s="405" t="e">
        <f t="shared" si="45"/>
        <v>#N/A</v>
      </c>
      <c r="AL76" s="405">
        <f t="shared" si="45"/>
        <v>100</v>
      </c>
      <c r="AM76" s="405">
        <f t="shared" si="45"/>
        <v>100</v>
      </c>
      <c r="AN76" s="405">
        <f t="shared" si="45"/>
        <v>100</v>
      </c>
      <c r="AO76" s="405" t="e">
        <f t="shared" si="45"/>
        <v>#N/A</v>
      </c>
      <c r="AP76" s="405" t="e">
        <f t="shared" si="45"/>
        <v>#N/A</v>
      </c>
      <c r="AQ76" s="405" t="e">
        <f t="shared" si="45"/>
        <v>#N/A</v>
      </c>
      <c r="AR76" s="405">
        <f t="shared" si="45"/>
        <v>100</v>
      </c>
      <c r="AS76" s="405">
        <f t="shared" si="45"/>
        <v>100</v>
      </c>
      <c r="AT76" s="405">
        <f t="shared" si="45"/>
        <v>100</v>
      </c>
      <c r="AU76" s="405" t="e">
        <f t="shared" si="45"/>
        <v>#VALUE!</v>
      </c>
      <c r="AV76" s="405" t="e">
        <f t="shared" si="45"/>
        <v>#VALUE!</v>
      </c>
      <c r="AW76" s="405" t="e">
        <f t="shared" si="45"/>
        <v>#VALUE!</v>
      </c>
      <c r="AX76" s="405" t="e">
        <f t="shared" si="45"/>
        <v>#VALUE!</v>
      </c>
      <c r="AY76" s="405" t="e">
        <f t="shared" si="45"/>
        <v>#VALUE!</v>
      </c>
      <c r="AZ76" s="405" t="e">
        <f t="shared" si="45"/>
        <v>#N/A</v>
      </c>
      <c r="BA76" s="405" t="e">
        <f t="shared" si="45"/>
        <v>#N/A</v>
      </c>
      <c r="BB76" s="405" t="e">
        <f t="shared" si="45"/>
        <v>#N/A</v>
      </c>
      <c r="BC76" s="405" t="e">
        <f t="shared" si="45"/>
        <v>#N/A</v>
      </c>
      <c r="BD76" s="405" t="e">
        <f t="shared" si="45"/>
        <v>#N/A</v>
      </c>
      <c r="BE76" s="405">
        <f t="shared" si="45"/>
        <v>80</v>
      </c>
      <c r="BF76" s="405">
        <f t="shared" si="45"/>
        <v>90</v>
      </c>
      <c r="BG76" s="405" t="e">
        <f t="shared" si="45"/>
        <v>#N/A</v>
      </c>
      <c r="BH76" s="405" t="e">
        <f t="shared" si="45"/>
        <v>#N/A</v>
      </c>
      <c r="BI76" s="405" t="e">
        <f t="shared" si="45"/>
        <v>#N/A</v>
      </c>
      <c r="BJ76" s="405" t="e">
        <f t="shared" si="45"/>
        <v>#N/A</v>
      </c>
      <c r="BK76" s="405" t="e">
        <f t="shared" si="45"/>
        <v>#N/A</v>
      </c>
      <c r="BL76" s="405" t="e">
        <f t="shared" si="45"/>
        <v>#N/A</v>
      </c>
      <c r="BM76" s="405" t="e">
        <f t="shared" si="45"/>
        <v>#N/A</v>
      </c>
      <c r="BN76" s="405">
        <f t="shared" si="45"/>
        <v>80</v>
      </c>
      <c r="BO76" s="405">
        <f t="shared" si="45"/>
        <v>90</v>
      </c>
      <c r="BP76" s="405" t="e">
        <f t="shared" ref="BP76:CD76" si="46">VLOOKUP(BP21,$B$59:$C$149,2)</f>
        <v>#N/A</v>
      </c>
      <c r="BQ76" s="405" t="e">
        <f t="shared" si="46"/>
        <v>#N/A</v>
      </c>
      <c r="BR76" s="405" t="e">
        <f t="shared" si="46"/>
        <v>#N/A</v>
      </c>
      <c r="BS76" s="405" t="e">
        <f t="shared" si="46"/>
        <v>#N/A</v>
      </c>
      <c r="BT76" s="405">
        <f t="shared" si="46"/>
        <v>80</v>
      </c>
      <c r="BU76" s="405">
        <f t="shared" si="46"/>
        <v>90</v>
      </c>
      <c r="BV76" s="405" t="e">
        <f t="shared" si="46"/>
        <v>#N/A</v>
      </c>
      <c r="BW76" s="405" t="e">
        <f t="shared" si="46"/>
        <v>#N/A</v>
      </c>
      <c r="BX76" s="405" t="e">
        <f t="shared" si="46"/>
        <v>#N/A</v>
      </c>
      <c r="BY76" s="405">
        <f t="shared" si="46"/>
        <v>80</v>
      </c>
      <c r="BZ76" s="405">
        <f t="shared" si="46"/>
        <v>90</v>
      </c>
      <c r="CA76" s="405" t="e">
        <f t="shared" si="46"/>
        <v>#N/A</v>
      </c>
      <c r="CB76" s="405" t="e">
        <f t="shared" si="46"/>
        <v>#N/A</v>
      </c>
      <c r="CC76" s="405" t="e">
        <f t="shared" si="46"/>
        <v>#N/A</v>
      </c>
      <c r="CD76" s="405" t="e">
        <f t="shared" si="46"/>
        <v>#N/A</v>
      </c>
    </row>
    <row r="77" spans="1:82" hidden="1">
      <c r="A77" s="665">
        <v>19</v>
      </c>
      <c r="B77" s="666">
        <v>28</v>
      </c>
      <c r="C77" s="18">
        <v>30</v>
      </c>
      <c r="D77" s="405">
        <f t="shared" ref="D77:BO77" si="47">VLOOKUP(D22,$B$59:$C$149,2)</f>
        <v>100</v>
      </c>
      <c r="E77" s="405">
        <f t="shared" si="47"/>
        <v>100</v>
      </c>
      <c r="F77" s="405">
        <f t="shared" si="47"/>
        <v>100</v>
      </c>
      <c r="G77" s="405" t="e">
        <f t="shared" si="47"/>
        <v>#N/A</v>
      </c>
      <c r="H77" s="405" t="e">
        <f t="shared" si="47"/>
        <v>#N/A</v>
      </c>
      <c r="I77" s="405" t="e">
        <f t="shared" si="47"/>
        <v>#N/A</v>
      </c>
      <c r="J77" s="405">
        <f t="shared" si="47"/>
        <v>90</v>
      </c>
      <c r="K77" s="405">
        <f t="shared" si="47"/>
        <v>80</v>
      </c>
      <c r="L77" s="405">
        <f t="shared" si="47"/>
        <v>100</v>
      </c>
      <c r="M77" s="405">
        <f t="shared" si="47"/>
        <v>100</v>
      </c>
      <c r="N77" s="405">
        <f t="shared" si="47"/>
        <v>100</v>
      </c>
      <c r="O77" s="405" t="e">
        <f t="shared" si="47"/>
        <v>#N/A</v>
      </c>
      <c r="P77" s="405" t="e">
        <f t="shared" si="47"/>
        <v>#N/A</v>
      </c>
      <c r="Q77" s="405" t="e">
        <f t="shared" si="47"/>
        <v>#N/A</v>
      </c>
      <c r="R77" s="405">
        <f t="shared" si="47"/>
        <v>90</v>
      </c>
      <c r="S77" s="405">
        <f t="shared" si="47"/>
        <v>80</v>
      </c>
      <c r="T77" s="405" t="e">
        <f t="shared" si="47"/>
        <v>#N/A</v>
      </c>
      <c r="U77" s="405" t="e">
        <f t="shared" si="47"/>
        <v>#N/A</v>
      </c>
      <c r="V77" s="405" t="e">
        <f t="shared" si="47"/>
        <v>#N/A</v>
      </c>
      <c r="W77" s="405" t="e">
        <f t="shared" si="47"/>
        <v>#N/A</v>
      </c>
      <c r="X77" s="405" t="e">
        <f t="shared" si="47"/>
        <v>#N/A</v>
      </c>
      <c r="Y77" s="405" t="e">
        <f t="shared" si="47"/>
        <v>#N/A</v>
      </c>
      <c r="Z77" s="405">
        <f t="shared" si="47"/>
        <v>100</v>
      </c>
      <c r="AA77" s="405">
        <f t="shared" si="47"/>
        <v>100</v>
      </c>
      <c r="AB77" s="405">
        <f t="shared" si="47"/>
        <v>100</v>
      </c>
      <c r="AC77" s="405">
        <f t="shared" si="47"/>
        <v>100</v>
      </c>
      <c r="AD77" s="405" t="e">
        <f t="shared" si="47"/>
        <v>#N/A</v>
      </c>
      <c r="AE77" s="405" t="e">
        <f t="shared" si="47"/>
        <v>#N/A</v>
      </c>
      <c r="AF77" s="405">
        <f t="shared" si="47"/>
        <v>100</v>
      </c>
      <c r="AG77" s="405">
        <f t="shared" si="47"/>
        <v>100</v>
      </c>
      <c r="AH77" s="405">
        <f t="shared" si="47"/>
        <v>100</v>
      </c>
      <c r="AI77" s="405" t="e">
        <f t="shared" si="47"/>
        <v>#N/A</v>
      </c>
      <c r="AJ77" s="405" t="e">
        <f t="shared" si="47"/>
        <v>#N/A</v>
      </c>
      <c r="AK77" s="405" t="e">
        <f t="shared" si="47"/>
        <v>#N/A</v>
      </c>
      <c r="AL77" s="405">
        <f t="shared" si="47"/>
        <v>100</v>
      </c>
      <c r="AM77" s="405">
        <f t="shared" si="47"/>
        <v>100</v>
      </c>
      <c r="AN77" s="405">
        <f t="shared" si="47"/>
        <v>100</v>
      </c>
      <c r="AO77" s="405" t="e">
        <f t="shared" si="47"/>
        <v>#N/A</v>
      </c>
      <c r="AP77" s="405" t="e">
        <f t="shared" si="47"/>
        <v>#N/A</v>
      </c>
      <c r="AQ77" s="405" t="e">
        <f t="shared" si="47"/>
        <v>#N/A</v>
      </c>
      <c r="AR77" s="405">
        <f t="shared" si="47"/>
        <v>100</v>
      </c>
      <c r="AS77" s="405">
        <f t="shared" si="47"/>
        <v>100</v>
      </c>
      <c r="AT77" s="405">
        <f t="shared" si="47"/>
        <v>100</v>
      </c>
      <c r="AU77" s="405" t="e">
        <f t="shared" si="47"/>
        <v>#VALUE!</v>
      </c>
      <c r="AV77" s="405" t="e">
        <f t="shared" si="47"/>
        <v>#VALUE!</v>
      </c>
      <c r="AW77" s="405" t="e">
        <f t="shared" si="47"/>
        <v>#VALUE!</v>
      </c>
      <c r="AX77" s="405" t="e">
        <f t="shared" si="47"/>
        <v>#VALUE!</v>
      </c>
      <c r="AY77" s="405" t="e">
        <f t="shared" si="47"/>
        <v>#VALUE!</v>
      </c>
      <c r="AZ77" s="405" t="e">
        <f t="shared" si="47"/>
        <v>#N/A</v>
      </c>
      <c r="BA77" s="405" t="e">
        <f t="shared" si="47"/>
        <v>#N/A</v>
      </c>
      <c r="BB77" s="405" t="e">
        <f t="shared" si="47"/>
        <v>#N/A</v>
      </c>
      <c r="BC77" s="405" t="e">
        <f t="shared" si="47"/>
        <v>#N/A</v>
      </c>
      <c r="BD77" s="405" t="e">
        <f t="shared" si="47"/>
        <v>#N/A</v>
      </c>
      <c r="BE77" s="405">
        <f t="shared" si="47"/>
        <v>90</v>
      </c>
      <c r="BF77" s="405">
        <f t="shared" si="47"/>
        <v>80</v>
      </c>
      <c r="BG77" s="405" t="e">
        <f t="shared" si="47"/>
        <v>#N/A</v>
      </c>
      <c r="BH77" s="405" t="e">
        <f t="shared" si="47"/>
        <v>#N/A</v>
      </c>
      <c r="BI77" s="405" t="e">
        <f t="shared" si="47"/>
        <v>#N/A</v>
      </c>
      <c r="BJ77" s="405" t="e">
        <f t="shared" si="47"/>
        <v>#N/A</v>
      </c>
      <c r="BK77" s="405" t="e">
        <f t="shared" si="47"/>
        <v>#N/A</v>
      </c>
      <c r="BL77" s="405" t="e">
        <f t="shared" si="47"/>
        <v>#N/A</v>
      </c>
      <c r="BM77" s="405" t="e">
        <f t="shared" si="47"/>
        <v>#N/A</v>
      </c>
      <c r="BN77" s="405">
        <f t="shared" si="47"/>
        <v>90</v>
      </c>
      <c r="BO77" s="405">
        <f t="shared" si="47"/>
        <v>80</v>
      </c>
      <c r="BP77" s="405" t="e">
        <f t="shared" ref="BP77:CD77" si="48">VLOOKUP(BP22,$B$59:$C$149,2)</f>
        <v>#N/A</v>
      </c>
      <c r="BQ77" s="405" t="e">
        <f t="shared" si="48"/>
        <v>#N/A</v>
      </c>
      <c r="BR77" s="405" t="e">
        <f t="shared" si="48"/>
        <v>#N/A</v>
      </c>
      <c r="BS77" s="405" t="e">
        <f t="shared" si="48"/>
        <v>#N/A</v>
      </c>
      <c r="BT77" s="405">
        <f t="shared" si="48"/>
        <v>90</v>
      </c>
      <c r="BU77" s="405">
        <f t="shared" si="48"/>
        <v>80</v>
      </c>
      <c r="BV77" s="405" t="e">
        <f t="shared" si="48"/>
        <v>#N/A</v>
      </c>
      <c r="BW77" s="405" t="e">
        <f t="shared" si="48"/>
        <v>#N/A</v>
      </c>
      <c r="BX77" s="405" t="e">
        <f t="shared" si="48"/>
        <v>#N/A</v>
      </c>
      <c r="BY77" s="405">
        <f t="shared" si="48"/>
        <v>90</v>
      </c>
      <c r="BZ77" s="405">
        <f t="shared" si="48"/>
        <v>80</v>
      </c>
      <c r="CA77" s="405" t="e">
        <f t="shared" si="48"/>
        <v>#N/A</v>
      </c>
      <c r="CB77" s="405" t="e">
        <f t="shared" si="48"/>
        <v>#N/A</v>
      </c>
      <c r="CC77" s="405" t="e">
        <f t="shared" si="48"/>
        <v>#N/A</v>
      </c>
      <c r="CD77" s="405" t="e">
        <f t="shared" si="48"/>
        <v>#N/A</v>
      </c>
    </row>
    <row r="78" spans="1:82" hidden="1">
      <c r="A78" s="665">
        <v>20</v>
      </c>
      <c r="B78" s="666">
        <v>29</v>
      </c>
      <c r="C78" s="18">
        <v>30</v>
      </c>
      <c r="D78" s="405">
        <f t="shared" ref="D78:BO78" si="49">VLOOKUP(D23,$B$59:$C$149,2)</f>
        <v>100</v>
      </c>
      <c r="E78" s="405">
        <f t="shared" si="49"/>
        <v>100</v>
      </c>
      <c r="F78" s="405">
        <f t="shared" si="49"/>
        <v>100</v>
      </c>
      <c r="G78" s="405" t="e">
        <f t="shared" si="49"/>
        <v>#N/A</v>
      </c>
      <c r="H78" s="405" t="e">
        <f t="shared" si="49"/>
        <v>#N/A</v>
      </c>
      <c r="I78" s="405" t="e">
        <f t="shared" si="49"/>
        <v>#N/A</v>
      </c>
      <c r="J78" s="405">
        <f t="shared" si="49"/>
        <v>80</v>
      </c>
      <c r="K78" s="405">
        <f t="shared" si="49"/>
        <v>80</v>
      </c>
      <c r="L78" s="405">
        <f t="shared" si="49"/>
        <v>100</v>
      </c>
      <c r="M78" s="405">
        <f t="shared" si="49"/>
        <v>100</v>
      </c>
      <c r="N78" s="405">
        <f t="shared" si="49"/>
        <v>100</v>
      </c>
      <c r="O78" s="405" t="e">
        <f t="shared" si="49"/>
        <v>#N/A</v>
      </c>
      <c r="P78" s="405" t="e">
        <f t="shared" si="49"/>
        <v>#N/A</v>
      </c>
      <c r="Q78" s="405" t="e">
        <f t="shared" si="49"/>
        <v>#N/A</v>
      </c>
      <c r="R78" s="405">
        <f t="shared" si="49"/>
        <v>80</v>
      </c>
      <c r="S78" s="405">
        <f t="shared" si="49"/>
        <v>80</v>
      </c>
      <c r="T78" s="405" t="e">
        <f t="shared" si="49"/>
        <v>#N/A</v>
      </c>
      <c r="U78" s="405" t="e">
        <f t="shared" si="49"/>
        <v>#N/A</v>
      </c>
      <c r="V78" s="405" t="e">
        <f t="shared" si="49"/>
        <v>#N/A</v>
      </c>
      <c r="W78" s="405" t="e">
        <f t="shared" si="49"/>
        <v>#N/A</v>
      </c>
      <c r="X78" s="405" t="e">
        <f t="shared" si="49"/>
        <v>#N/A</v>
      </c>
      <c r="Y78" s="405" t="e">
        <f t="shared" si="49"/>
        <v>#N/A</v>
      </c>
      <c r="Z78" s="405">
        <f t="shared" si="49"/>
        <v>100</v>
      </c>
      <c r="AA78" s="405">
        <f t="shared" si="49"/>
        <v>100</v>
      </c>
      <c r="AB78" s="405">
        <f t="shared" si="49"/>
        <v>100</v>
      </c>
      <c r="AC78" s="405">
        <f t="shared" si="49"/>
        <v>100</v>
      </c>
      <c r="AD78" s="405" t="e">
        <f t="shared" si="49"/>
        <v>#N/A</v>
      </c>
      <c r="AE78" s="405" t="e">
        <f t="shared" si="49"/>
        <v>#N/A</v>
      </c>
      <c r="AF78" s="405">
        <f t="shared" si="49"/>
        <v>100</v>
      </c>
      <c r="AG78" s="405">
        <f t="shared" si="49"/>
        <v>100</v>
      </c>
      <c r="AH78" s="405">
        <f t="shared" si="49"/>
        <v>100</v>
      </c>
      <c r="AI78" s="405" t="e">
        <f t="shared" si="49"/>
        <v>#N/A</v>
      </c>
      <c r="AJ78" s="405" t="e">
        <f t="shared" si="49"/>
        <v>#N/A</v>
      </c>
      <c r="AK78" s="405" t="e">
        <f t="shared" si="49"/>
        <v>#N/A</v>
      </c>
      <c r="AL78" s="405">
        <f t="shared" si="49"/>
        <v>100</v>
      </c>
      <c r="AM78" s="405">
        <f t="shared" si="49"/>
        <v>100</v>
      </c>
      <c r="AN78" s="405">
        <f t="shared" si="49"/>
        <v>100</v>
      </c>
      <c r="AO78" s="405" t="e">
        <f t="shared" si="49"/>
        <v>#N/A</v>
      </c>
      <c r="AP78" s="405" t="e">
        <f t="shared" si="49"/>
        <v>#N/A</v>
      </c>
      <c r="AQ78" s="405" t="e">
        <f t="shared" si="49"/>
        <v>#N/A</v>
      </c>
      <c r="AR78" s="405">
        <f t="shared" si="49"/>
        <v>100</v>
      </c>
      <c r="AS78" s="405">
        <f t="shared" si="49"/>
        <v>100</v>
      </c>
      <c r="AT78" s="405">
        <f t="shared" si="49"/>
        <v>100</v>
      </c>
      <c r="AU78" s="405" t="e">
        <f t="shared" si="49"/>
        <v>#VALUE!</v>
      </c>
      <c r="AV78" s="405" t="e">
        <f t="shared" si="49"/>
        <v>#VALUE!</v>
      </c>
      <c r="AW78" s="405" t="e">
        <f t="shared" si="49"/>
        <v>#VALUE!</v>
      </c>
      <c r="AX78" s="405" t="e">
        <f t="shared" si="49"/>
        <v>#VALUE!</v>
      </c>
      <c r="AY78" s="405" t="e">
        <f t="shared" si="49"/>
        <v>#VALUE!</v>
      </c>
      <c r="AZ78" s="405" t="e">
        <f t="shared" si="49"/>
        <v>#N/A</v>
      </c>
      <c r="BA78" s="405" t="e">
        <f t="shared" si="49"/>
        <v>#N/A</v>
      </c>
      <c r="BB78" s="405" t="e">
        <f t="shared" si="49"/>
        <v>#N/A</v>
      </c>
      <c r="BC78" s="405" t="e">
        <f t="shared" si="49"/>
        <v>#N/A</v>
      </c>
      <c r="BD78" s="405" t="e">
        <f t="shared" si="49"/>
        <v>#N/A</v>
      </c>
      <c r="BE78" s="405">
        <f t="shared" si="49"/>
        <v>80</v>
      </c>
      <c r="BF78" s="405">
        <f t="shared" si="49"/>
        <v>80</v>
      </c>
      <c r="BG78" s="405" t="e">
        <f t="shared" si="49"/>
        <v>#N/A</v>
      </c>
      <c r="BH78" s="405" t="e">
        <f t="shared" si="49"/>
        <v>#N/A</v>
      </c>
      <c r="BI78" s="405" t="e">
        <f t="shared" si="49"/>
        <v>#N/A</v>
      </c>
      <c r="BJ78" s="405" t="e">
        <f t="shared" si="49"/>
        <v>#N/A</v>
      </c>
      <c r="BK78" s="405" t="e">
        <f t="shared" si="49"/>
        <v>#N/A</v>
      </c>
      <c r="BL78" s="405" t="e">
        <f t="shared" si="49"/>
        <v>#N/A</v>
      </c>
      <c r="BM78" s="405" t="e">
        <f t="shared" si="49"/>
        <v>#N/A</v>
      </c>
      <c r="BN78" s="405">
        <f t="shared" si="49"/>
        <v>80</v>
      </c>
      <c r="BO78" s="405">
        <f t="shared" si="49"/>
        <v>80</v>
      </c>
      <c r="BP78" s="405" t="e">
        <f t="shared" ref="BP78:CD78" si="50">VLOOKUP(BP23,$B$59:$C$149,2)</f>
        <v>#N/A</v>
      </c>
      <c r="BQ78" s="405" t="e">
        <f t="shared" si="50"/>
        <v>#N/A</v>
      </c>
      <c r="BR78" s="405" t="e">
        <f t="shared" si="50"/>
        <v>#N/A</v>
      </c>
      <c r="BS78" s="405" t="e">
        <f t="shared" si="50"/>
        <v>#N/A</v>
      </c>
      <c r="BT78" s="405">
        <f t="shared" si="50"/>
        <v>80</v>
      </c>
      <c r="BU78" s="405">
        <f t="shared" si="50"/>
        <v>80</v>
      </c>
      <c r="BV78" s="405" t="e">
        <f t="shared" si="50"/>
        <v>#N/A</v>
      </c>
      <c r="BW78" s="405" t="e">
        <f t="shared" si="50"/>
        <v>#N/A</v>
      </c>
      <c r="BX78" s="405" t="e">
        <f t="shared" si="50"/>
        <v>#N/A</v>
      </c>
      <c r="BY78" s="405">
        <f t="shared" si="50"/>
        <v>80</v>
      </c>
      <c r="BZ78" s="405">
        <f t="shared" si="50"/>
        <v>80</v>
      </c>
      <c r="CA78" s="405" t="e">
        <f t="shared" si="50"/>
        <v>#N/A</v>
      </c>
      <c r="CB78" s="405" t="e">
        <f t="shared" si="50"/>
        <v>#N/A</v>
      </c>
      <c r="CC78" s="405" t="e">
        <f t="shared" si="50"/>
        <v>#N/A</v>
      </c>
      <c r="CD78" s="405" t="e">
        <f t="shared" si="50"/>
        <v>#N/A</v>
      </c>
    </row>
    <row r="79" spans="1:82" hidden="1">
      <c r="A79" s="665">
        <v>21</v>
      </c>
      <c r="B79" s="666">
        <v>30</v>
      </c>
      <c r="C79" s="18">
        <v>30</v>
      </c>
      <c r="D79" s="405">
        <f t="shared" ref="D79:BO79" si="51">VLOOKUP(D24,$B$59:$C$149,2)</f>
        <v>100</v>
      </c>
      <c r="E79" s="405">
        <f t="shared" si="51"/>
        <v>100</v>
      </c>
      <c r="F79" s="405">
        <f t="shared" si="51"/>
        <v>100</v>
      </c>
      <c r="G79" s="405" t="e">
        <f t="shared" si="51"/>
        <v>#N/A</v>
      </c>
      <c r="H79" s="405" t="e">
        <f t="shared" si="51"/>
        <v>#N/A</v>
      </c>
      <c r="I79" s="405" t="e">
        <f t="shared" si="51"/>
        <v>#N/A</v>
      </c>
      <c r="J79" s="405">
        <f t="shared" si="51"/>
        <v>80</v>
      </c>
      <c r="K79" s="405">
        <f t="shared" si="51"/>
        <v>90</v>
      </c>
      <c r="L79" s="405">
        <f t="shared" si="51"/>
        <v>100</v>
      </c>
      <c r="M79" s="405">
        <f t="shared" si="51"/>
        <v>100</v>
      </c>
      <c r="N79" s="405">
        <f t="shared" si="51"/>
        <v>100</v>
      </c>
      <c r="O79" s="405" t="e">
        <f t="shared" si="51"/>
        <v>#N/A</v>
      </c>
      <c r="P79" s="405" t="e">
        <f t="shared" si="51"/>
        <v>#N/A</v>
      </c>
      <c r="Q79" s="405" t="e">
        <f t="shared" si="51"/>
        <v>#N/A</v>
      </c>
      <c r="R79" s="405">
        <f t="shared" si="51"/>
        <v>80</v>
      </c>
      <c r="S79" s="405">
        <f t="shared" si="51"/>
        <v>90</v>
      </c>
      <c r="T79" s="405" t="e">
        <f t="shared" si="51"/>
        <v>#N/A</v>
      </c>
      <c r="U79" s="405" t="e">
        <f t="shared" si="51"/>
        <v>#N/A</v>
      </c>
      <c r="V79" s="405" t="e">
        <f t="shared" si="51"/>
        <v>#N/A</v>
      </c>
      <c r="W79" s="405" t="e">
        <f t="shared" si="51"/>
        <v>#N/A</v>
      </c>
      <c r="X79" s="405" t="e">
        <f t="shared" si="51"/>
        <v>#N/A</v>
      </c>
      <c r="Y79" s="405" t="e">
        <f t="shared" si="51"/>
        <v>#N/A</v>
      </c>
      <c r="Z79" s="405">
        <f t="shared" si="51"/>
        <v>100</v>
      </c>
      <c r="AA79" s="405">
        <f t="shared" si="51"/>
        <v>100</v>
      </c>
      <c r="AB79" s="405">
        <f t="shared" si="51"/>
        <v>100</v>
      </c>
      <c r="AC79" s="405">
        <f t="shared" si="51"/>
        <v>100</v>
      </c>
      <c r="AD79" s="405" t="e">
        <f t="shared" si="51"/>
        <v>#N/A</v>
      </c>
      <c r="AE79" s="405" t="e">
        <f t="shared" si="51"/>
        <v>#N/A</v>
      </c>
      <c r="AF79" s="405">
        <f t="shared" si="51"/>
        <v>100</v>
      </c>
      <c r="AG79" s="405">
        <f t="shared" si="51"/>
        <v>100</v>
      </c>
      <c r="AH79" s="405">
        <f t="shared" si="51"/>
        <v>100</v>
      </c>
      <c r="AI79" s="405" t="e">
        <f t="shared" si="51"/>
        <v>#N/A</v>
      </c>
      <c r="AJ79" s="405" t="e">
        <f t="shared" si="51"/>
        <v>#N/A</v>
      </c>
      <c r="AK79" s="405" t="e">
        <f t="shared" si="51"/>
        <v>#N/A</v>
      </c>
      <c r="AL79" s="405">
        <f t="shared" si="51"/>
        <v>100</v>
      </c>
      <c r="AM79" s="405">
        <f t="shared" si="51"/>
        <v>100</v>
      </c>
      <c r="AN79" s="405">
        <f t="shared" si="51"/>
        <v>100</v>
      </c>
      <c r="AO79" s="405" t="e">
        <f t="shared" si="51"/>
        <v>#N/A</v>
      </c>
      <c r="AP79" s="405" t="e">
        <f t="shared" si="51"/>
        <v>#N/A</v>
      </c>
      <c r="AQ79" s="405" t="e">
        <f t="shared" si="51"/>
        <v>#N/A</v>
      </c>
      <c r="AR79" s="405">
        <f t="shared" si="51"/>
        <v>100</v>
      </c>
      <c r="AS79" s="405">
        <f t="shared" si="51"/>
        <v>100</v>
      </c>
      <c r="AT79" s="405">
        <f t="shared" si="51"/>
        <v>100</v>
      </c>
      <c r="AU79" s="405" t="e">
        <f t="shared" si="51"/>
        <v>#VALUE!</v>
      </c>
      <c r="AV79" s="405" t="e">
        <f t="shared" si="51"/>
        <v>#VALUE!</v>
      </c>
      <c r="AW79" s="405" t="e">
        <f t="shared" si="51"/>
        <v>#VALUE!</v>
      </c>
      <c r="AX79" s="405" t="e">
        <f t="shared" si="51"/>
        <v>#VALUE!</v>
      </c>
      <c r="AY79" s="405" t="e">
        <f t="shared" si="51"/>
        <v>#VALUE!</v>
      </c>
      <c r="AZ79" s="405" t="e">
        <f t="shared" si="51"/>
        <v>#N/A</v>
      </c>
      <c r="BA79" s="405" t="e">
        <f t="shared" si="51"/>
        <v>#N/A</v>
      </c>
      <c r="BB79" s="405" t="e">
        <f t="shared" si="51"/>
        <v>#N/A</v>
      </c>
      <c r="BC79" s="405" t="e">
        <f t="shared" si="51"/>
        <v>#N/A</v>
      </c>
      <c r="BD79" s="405" t="e">
        <f t="shared" si="51"/>
        <v>#N/A</v>
      </c>
      <c r="BE79" s="405">
        <f t="shared" si="51"/>
        <v>80</v>
      </c>
      <c r="BF79" s="405">
        <f t="shared" si="51"/>
        <v>90</v>
      </c>
      <c r="BG79" s="405" t="e">
        <f t="shared" si="51"/>
        <v>#N/A</v>
      </c>
      <c r="BH79" s="405" t="e">
        <f t="shared" si="51"/>
        <v>#N/A</v>
      </c>
      <c r="BI79" s="405" t="e">
        <f t="shared" si="51"/>
        <v>#N/A</v>
      </c>
      <c r="BJ79" s="405" t="e">
        <f t="shared" si="51"/>
        <v>#N/A</v>
      </c>
      <c r="BK79" s="405" t="e">
        <f t="shared" si="51"/>
        <v>#N/A</v>
      </c>
      <c r="BL79" s="405" t="e">
        <f t="shared" si="51"/>
        <v>#N/A</v>
      </c>
      <c r="BM79" s="405" t="e">
        <f t="shared" si="51"/>
        <v>#N/A</v>
      </c>
      <c r="BN79" s="405">
        <f t="shared" si="51"/>
        <v>80</v>
      </c>
      <c r="BO79" s="405">
        <f t="shared" si="51"/>
        <v>90</v>
      </c>
      <c r="BP79" s="405" t="e">
        <f t="shared" ref="BP79:CD79" si="52">VLOOKUP(BP24,$B$59:$C$149,2)</f>
        <v>#N/A</v>
      </c>
      <c r="BQ79" s="405" t="e">
        <f t="shared" si="52"/>
        <v>#N/A</v>
      </c>
      <c r="BR79" s="405" t="e">
        <f t="shared" si="52"/>
        <v>#N/A</v>
      </c>
      <c r="BS79" s="405" t="e">
        <f t="shared" si="52"/>
        <v>#N/A</v>
      </c>
      <c r="BT79" s="405">
        <f t="shared" si="52"/>
        <v>80</v>
      </c>
      <c r="BU79" s="405">
        <f t="shared" si="52"/>
        <v>90</v>
      </c>
      <c r="BV79" s="405" t="e">
        <f t="shared" si="52"/>
        <v>#N/A</v>
      </c>
      <c r="BW79" s="405" t="e">
        <f t="shared" si="52"/>
        <v>#N/A</v>
      </c>
      <c r="BX79" s="405" t="e">
        <f t="shared" si="52"/>
        <v>#N/A</v>
      </c>
      <c r="BY79" s="405">
        <f t="shared" si="52"/>
        <v>80</v>
      </c>
      <c r="BZ79" s="405">
        <f t="shared" si="52"/>
        <v>90</v>
      </c>
      <c r="CA79" s="405" t="e">
        <f t="shared" si="52"/>
        <v>#N/A</v>
      </c>
      <c r="CB79" s="405" t="e">
        <f t="shared" si="52"/>
        <v>#N/A</v>
      </c>
      <c r="CC79" s="405" t="e">
        <f t="shared" si="52"/>
        <v>#N/A</v>
      </c>
      <c r="CD79" s="405" t="e">
        <f t="shared" si="52"/>
        <v>#N/A</v>
      </c>
    </row>
    <row r="80" spans="1:82" hidden="1">
      <c r="A80" s="665">
        <v>22</v>
      </c>
      <c r="B80" s="666">
        <v>31</v>
      </c>
      <c r="C80" s="18">
        <v>30</v>
      </c>
      <c r="D80" s="405">
        <f t="shared" ref="D80:BO80" si="53">VLOOKUP(D25,$B$59:$C$149,2)</f>
        <v>100</v>
      </c>
      <c r="E80" s="405">
        <f t="shared" si="53"/>
        <v>100</v>
      </c>
      <c r="F80" s="405">
        <f t="shared" si="53"/>
        <v>100</v>
      </c>
      <c r="G80" s="405" t="e">
        <f t="shared" si="53"/>
        <v>#N/A</v>
      </c>
      <c r="H80" s="405" t="e">
        <f t="shared" si="53"/>
        <v>#N/A</v>
      </c>
      <c r="I80" s="405" t="e">
        <f t="shared" si="53"/>
        <v>#N/A</v>
      </c>
      <c r="J80" s="405">
        <f t="shared" si="53"/>
        <v>90</v>
      </c>
      <c r="K80" s="405">
        <f t="shared" si="53"/>
        <v>90</v>
      </c>
      <c r="L80" s="405">
        <f t="shared" si="53"/>
        <v>100</v>
      </c>
      <c r="M80" s="405">
        <f t="shared" si="53"/>
        <v>100</v>
      </c>
      <c r="N80" s="405">
        <f t="shared" si="53"/>
        <v>100</v>
      </c>
      <c r="O80" s="405" t="e">
        <f t="shared" si="53"/>
        <v>#N/A</v>
      </c>
      <c r="P80" s="405" t="e">
        <f t="shared" si="53"/>
        <v>#N/A</v>
      </c>
      <c r="Q80" s="405" t="e">
        <f t="shared" si="53"/>
        <v>#N/A</v>
      </c>
      <c r="R80" s="405">
        <f t="shared" si="53"/>
        <v>90</v>
      </c>
      <c r="S80" s="405">
        <f t="shared" si="53"/>
        <v>90</v>
      </c>
      <c r="T80" s="405" t="e">
        <f t="shared" si="53"/>
        <v>#N/A</v>
      </c>
      <c r="U80" s="405" t="e">
        <f t="shared" si="53"/>
        <v>#N/A</v>
      </c>
      <c r="V80" s="405" t="e">
        <f t="shared" si="53"/>
        <v>#N/A</v>
      </c>
      <c r="W80" s="405" t="e">
        <f t="shared" si="53"/>
        <v>#N/A</v>
      </c>
      <c r="X80" s="405" t="e">
        <f t="shared" si="53"/>
        <v>#N/A</v>
      </c>
      <c r="Y80" s="405" t="e">
        <f t="shared" si="53"/>
        <v>#N/A</v>
      </c>
      <c r="Z80" s="405">
        <f t="shared" si="53"/>
        <v>100</v>
      </c>
      <c r="AA80" s="405">
        <f t="shared" si="53"/>
        <v>100</v>
      </c>
      <c r="AB80" s="405">
        <f t="shared" si="53"/>
        <v>100</v>
      </c>
      <c r="AC80" s="405">
        <f t="shared" si="53"/>
        <v>100</v>
      </c>
      <c r="AD80" s="405" t="e">
        <f t="shared" si="53"/>
        <v>#N/A</v>
      </c>
      <c r="AE80" s="405" t="e">
        <f t="shared" si="53"/>
        <v>#N/A</v>
      </c>
      <c r="AF80" s="405">
        <f t="shared" si="53"/>
        <v>100</v>
      </c>
      <c r="AG80" s="405">
        <f t="shared" si="53"/>
        <v>100</v>
      </c>
      <c r="AH80" s="405">
        <f t="shared" si="53"/>
        <v>100</v>
      </c>
      <c r="AI80" s="405" t="e">
        <f t="shared" si="53"/>
        <v>#N/A</v>
      </c>
      <c r="AJ80" s="405" t="e">
        <f t="shared" si="53"/>
        <v>#N/A</v>
      </c>
      <c r="AK80" s="405" t="e">
        <f t="shared" si="53"/>
        <v>#N/A</v>
      </c>
      <c r="AL80" s="405">
        <f t="shared" si="53"/>
        <v>100</v>
      </c>
      <c r="AM80" s="405">
        <f t="shared" si="53"/>
        <v>100</v>
      </c>
      <c r="AN80" s="405">
        <f t="shared" si="53"/>
        <v>100</v>
      </c>
      <c r="AO80" s="405" t="e">
        <f t="shared" si="53"/>
        <v>#N/A</v>
      </c>
      <c r="AP80" s="405" t="e">
        <f t="shared" si="53"/>
        <v>#N/A</v>
      </c>
      <c r="AQ80" s="405" t="e">
        <f t="shared" si="53"/>
        <v>#N/A</v>
      </c>
      <c r="AR80" s="405">
        <f t="shared" si="53"/>
        <v>100</v>
      </c>
      <c r="AS80" s="405">
        <f t="shared" si="53"/>
        <v>100</v>
      </c>
      <c r="AT80" s="405">
        <f t="shared" si="53"/>
        <v>100</v>
      </c>
      <c r="AU80" s="405" t="e">
        <f t="shared" si="53"/>
        <v>#VALUE!</v>
      </c>
      <c r="AV80" s="405" t="e">
        <f t="shared" si="53"/>
        <v>#VALUE!</v>
      </c>
      <c r="AW80" s="405" t="e">
        <f t="shared" si="53"/>
        <v>#VALUE!</v>
      </c>
      <c r="AX80" s="405" t="e">
        <f t="shared" si="53"/>
        <v>#VALUE!</v>
      </c>
      <c r="AY80" s="405" t="e">
        <f t="shared" si="53"/>
        <v>#VALUE!</v>
      </c>
      <c r="AZ80" s="405" t="e">
        <f t="shared" si="53"/>
        <v>#N/A</v>
      </c>
      <c r="BA80" s="405" t="e">
        <f t="shared" si="53"/>
        <v>#N/A</v>
      </c>
      <c r="BB80" s="405" t="e">
        <f t="shared" si="53"/>
        <v>#N/A</v>
      </c>
      <c r="BC80" s="405" t="e">
        <f t="shared" si="53"/>
        <v>#N/A</v>
      </c>
      <c r="BD80" s="405" t="e">
        <f t="shared" si="53"/>
        <v>#N/A</v>
      </c>
      <c r="BE80" s="405">
        <f t="shared" si="53"/>
        <v>90</v>
      </c>
      <c r="BF80" s="405">
        <f t="shared" si="53"/>
        <v>90</v>
      </c>
      <c r="BG80" s="405" t="e">
        <f t="shared" si="53"/>
        <v>#N/A</v>
      </c>
      <c r="BH80" s="405" t="e">
        <f t="shared" si="53"/>
        <v>#N/A</v>
      </c>
      <c r="BI80" s="405" t="e">
        <f t="shared" si="53"/>
        <v>#N/A</v>
      </c>
      <c r="BJ80" s="405" t="e">
        <f t="shared" si="53"/>
        <v>#N/A</v>
      </c>
      <c r="BK80" s="405" t="e">
        <f t="shared" si="53"/>
        <v>#N/A</v>
      </c>
      <c r="BL80" s="405" t="e">
        <f t="shared" si="53"/>
        <v>#N/A</v>
      </c>
      <c r="BM80" s="405" t="e">
        <f t="shared" si="53"/>
        <v>#N/A</v>
      </c>
      <c r="BN80" s="405">
        <f t="shared" si="53"/>
        <v>90</v>
      </c>
      <c r="BO80" s="405">
        <f t="shared" si="53"/>
        <v>90</v>
      </c>
      <c r="BP80" s="405" t="e">
        <f t="shared" ref="BP80:CD80" si="54">VLOOKUP(BP25,$B$59:$C$149,2)</f>
        <v>#N/A</v>
      </c>
      <c r="BQ80" s="405" t="e">
        <f t="shared" si="54"/>
        <v>#N/A</v>
      </c>
      <c r="BR80" s="405" t="e">
        <f t="shared" si="54"/>
        <v>#N/A</v>
      </c>
      <c r="BS80" s="405" t="e">
        <f t="shared" si="54"/>
        <v>#N/A</v>
      </c>
      <c r="BT80" s="405">
        <f t="shared" si="54"/>
        <v>90</v>
      </c>
      <c r="BU80" s="405">
        <f t="shared" si="54"/>
        <v>90</v>
      </c>
      <c r="BV80" s="405" t="e">
        <f t="shared" si="54"/>
        <v>#N/A</v>
      </c>
      <c r="BW80" s="405" t="e">
        <f t="shared" si="54"/>
        <v>#N/A</v>
      </c>
      <c r="BX80" s="405" t="e">
        <f t="shared" si="54"/>
        <v>#N/A</v>
      </c>
      <c r="BY80" s="405">
        <f t="shared" si="54"/>
        <v>90</v>
      </c>
      <c r="BZ80" s="405">
        <f t="shared" si="54"/>
        <v>90</v>
      </c>
      <c r="CA80" s="405" t="e">
        <f t="shared" si="54"/>
        <v>#N/A</v>
      </c>
      <c r="CB80" s="405" t="e">
        <f t="shared" si="54"/>
        <v>#N/A</v>
      </c>
      <c r="CC80" s="405" t="e">
        <f t="shared" si="54"/>
        <v>#N/A</v>
      </c>
      <c r="CD80" s="405" t="e">
        <f t="shared" si="54"/>
        <v>#N/A</v>
      </c>
    </row>
    <row r="81" spans="1:82" hidden="1">
      <c r="A81" s="665">
        <v>23</v>
      </c>
      <c r="B81" s="666">
        <v>32</v>
      </c>
      <c r="C81" s="18">
        <v>30</v>
      </c>
      <c r="D81" s="405">
        <f t="shared" ref="D81:BO81" si="55">VLOOKUP(D26,$B$59:$C$149,2)</f>
        <v>100</v>
      </c>
      <c r="E81" s="405">
        <f t="shared" si="55"/>
        <v>100</v>
      </c>
      <c r="F81" s="405">
        <f t="shared" si="55"/>
        <v>100</v>
      </c>
      <c r="G81" s="405" t="e">
        <f t="shared" si="55"/>
        <v>#N/A</v>
      </c>
      <c r="H81" s="405" t="e">
        <f t="shared" si="55"/>
        <v>#N/A</v>
      </c>
      <c r="I81" s="405" t="e">
        <f t="shared" si="55"/>
        <v>#N/A</v>
      </c>
      <c r="J81" s="405">
        <f t="shared" si="55"/>
        <v>90</v>
      </c>
      <c r="K81" s="405">
        <f t="shared" si="55"/>
        <v>80</v>
      </c>
      <c r="L81" s="405">
        <f t="shared" si="55"/>
        <v>100</v>
      </c>
      <c r="M81" s="405">
        <f t="shared" si="55"/>
        <v>100</v>
      </c>
      <c r="N81" s="405">
        <f t="shared" si="55"/>
        <v>100</v>
      </c>
      <c r="O81" s="405" t="e">
        <f t="shared" si="55"/>
        <v>#N/A</v>
      </c>
      <c r="P81" s="405" t="e">
        <f t="shared" si="55"/>
        <v>#N/A</v>
      </c>
      <c r="Q81" s="405" t="e">
        <f t="shared" si="55"/>
        <v>#N/A</v>
      </c>
      <c r="R81" s="405">
        <f t="shared" si="55"/>
        <v>90</v>
      </c>
      <c r="S81" s="405">
        <f t="shared" si="55"/>
        <v>80</v>
      </c>
      <c r="T81" s="405" t="e">
        <f t="shared" si="55"/>
        <v>#N/A</v>
      </c>
      <c r="U81" s="405" t="e">
        <f t="shared" si="55"/>
        <v>#N/A</v>
      </c>
      <c r="V81" s="405" t="e">
        <f t="shared" si="55"/>
        <v>#N/A</v>
      </c>
      <c r="W81" s="405" t="e">
        <f t="shared" si="55"/>
        <v>#N/A</v>
      </c>
      <c r="X81" s="405" t="e">
        <f t="shared" si="55"/>
        <v>#N/A</v>
      </c>
      <c r="Y81" s="405" t="e">
        <f t="shared" si="55"/>
        <v>#N/A</v>
      </c>
      <c r="Z81" s="405">
        <f t="shared" si="55"/>
        <v>100</v>
      </c>
      <c r="AA81" s="405">
        <f t="shared" si="55"/>
        <v>100</v>
      </c>
      <c r="AB81" s="405">
        <f t="shared" si="55"/>
        <v>100</v>
      </c>
      <c r="AC81" s="405">
        <f t="shared" si="55"/>
        <v>100</v>
      </c>
      <c r="AD81" s="405" t="e">
        <f t="shared" si="55"/>
        <v>#N/A</v>
      </c>
      <c r="AE81" s="405" t="e">
        <f t="shared" si="55"/>
        <v>#N/A</v>
      </c>
      <c r="AF81" s="405">
        <f t="shared" si="55"/>
        <v>100</v>
      </c>
      <c r="AG81" s="405">
        <f t="shared" si="55"/>
        <v>100</v>
      </c>
      <c r="AH81" s="405">
        <f t="shared" si="55"/>
        <v>100</v>
      </c>
      <c r="AI81" s="405" t="e">
        <f t="shared" si="55"/>
        <v>#N/A</v>
      </c>
      <c r="AJ81" s="405" t="e">
        <f t="shared" si="55"/>
        <v>#N/A</v>
      </c>
      <c r="AK81" s="405" t="e">
        <f t="shared" si="55"/>
        <v>#N/A</v>
      </c>
      <c r="AL81" s="405">
        <f t="shared" si="55"/>
        <v>100</v>
      </c>
      <c r="AM81" s="405">
        <f t="shared" si="55"/>
        <v>100</v>
      </c>
      <c r="AN81" s="405">
        <f t="shared" si="55"/>
        <v>100</v>
      </c>
      <c r="AO81" s="405" t="e">
        <f t="shared" si="55"/>
        <v>#N/A</v>
      </c>
      <c r="AP81" s="405" t="e">
        <f t="shared" si="55"/>
        <v>#N/A</v>
      </c>
      <c r="AQ81" s="405" t="e">
        <f t="shared" si="55"/>
        <v>#N/A</v>
      </c>
      <c r="AR81" s="405">
        <f t="shared" si="55"/>
        <v>100</v>
      </c>
      <c r="AS81" s="405">
        <f t="shared" si="55"/>
        <v>100</v>
      </c>
      <c r="AT81" s="405">
        <f t="shared" si="55"/>
        <v>100</v>
      </c>
      <c r="AU81" s="405" t="e">
        <f t="shared" si="55"/>
        <v>#VALUE!</v>
      </c>
      <c r="AV81" s="405" t="e">
        <f t="shared" si="55"/>
        <v>#VALUE!</v>
      </c>
      <c r="AW81" s="405" t="e">
        <f t="shared" si="55"/>
        <v>#VALUE!</v>
      </c>
      <c r="AX81" s="405" t="e">
        <f t="shared" si="55"/>
        <v>#VALUE!</v>
      </c>
      <c r="AY81" s="405" t="e">
        <f t="shared" si="55"/>
        <v>#VALUE!</v>
      </c>
      <c r="AZ81" s="405" t="e">
        <f t="shared" si="55"/>
        <v>#N/A</v>
      </c>
      <c r="BA81" s="405" t="e">
        <f t="shared" si="55"/>
        <v>#N/A</v>
      </c>
      <c r="BB81" s="405" t="e">
        <f t="shared" si="55"/>
        <v>#N/A</v>
      </c>
      <c r="BC81" s="405" t="e">
        <f t="shared" si="55"/>
        <v>#N/A</v>
      </c>
      <c r="BD81" s="405" t="e">
        <f t="shared" si="55"/>
        <v>#N/A</v>
      </c>
      <c r="BE81" s="405">
        <f t="shared" si="55"/>
        <v>90</v>
      </c>
      <c r="BF81" s="405">
        <f t="shared" si="55"/>
        <v>80</v>
      </c>
      <c r="BG81" s="405" t="e">
        <f t="shared" si="55"/>
        <v>#N/A</v>
      </c>
      <c r="BH81" s="405" t="e">
        <f t="shared" si="55"/>
        <v>#N/A</v>
      </c>
      <c r="BI81" s="405" t="e">
        <f t="shared" si="55"/>
        <v>#N/A</v>
      </c>
      <c r="BJ81" s="405" t="e">
        <f t="shared" si="55"/>
        <v>#N/A</v>
      </c>
      <c r="BK81" s="405" t="e">
        <f t="shared" si="55"/>
        <v>#N/A</v>
      </c>
      <c r="BL81" s="405" t="e">
        <f t="shared" si="55"/>
        <v>#N/A</v>
      </c>
      <c r="BM81" s="405" t="e">
        <f t="shared" si="55"/>
        <v>#N/A</v>
      </c>
      <c r="BN81" s="405">
        <f t="shared" si="55"/>
        <v>90</v>
      </c>
      <c r="BO81" s="405">
        <f t="shared" si="55"/>
        <v>80</v>
      </c>
      <c r="BP81" s="405" t="e">
        <f t="shared" ref="BP81:CD81" si="56">VLOOKUP(BP26,$B$59:$C$149,2)</f>
        <v>#N/A</v>
      </c>
      <c r="BQ81" s="405" t="e">
        <f t="shared" si="56"/>
        <v>#N/A</v>
      </c>
      <c r="BR81" s="405" t="e">
        <f t="shared" si="56"/>
        <v>#N/A</v>
      </c>
      <c r="BS81" s="405" t="e">
        <f t="shared" si="56"/>
        <v>#N/A</v>
      </c>
      <c r="BT81" s="405">
        <f t="shared" si="56"/>
        <v>90</v>
      </c>
      <c r="BU81" s="405">
        <f t="shared" si="56"/>
        <v>80</v>
      </c>
      <c r="BV81" s="405" t="e">
        <f t="shared" si="56"/>
        <v>#N/A</v>
      </c>
      <c r="BW81" s="405" t="e">
        <f t="shared" si="56"/>
        <v>#N/A</v>
      </c>
      <c r="BX81" s="405" t="e">
        <f t="shared" si="56"/>
        <v>#N/A</v>
      </c>
      <c r="BY81" s="405">
        <f t="shared" si="56"/>
        <v>90</v>
      </c>
      <c r="BZ81" s="405">
        <f t="shared" si="56"/>
        <v>80</v>
      </c>
      <c r="CA81" s="405" t="e">
        <f t="shared" si="56"/>
        <v>#N/A</v>
      </c>
      <c r="CB81" s="405" t="e">
        <f t="shared" si="56"/>
        <v>#N/A</v>
      </c>
      <c r="CC81" s="405" t="e">
        <f t="shared" si="56"/>
        <v>#N/A</v>
      </c>
      <c r="CD81" s="405" t="e">
        <f t="shared" si="56"/>
        <v>#N/A</v>
      </c>
    </row>
    <row r="82" spans="1:82" hidden="1">
      <c r="A82" s="665">
        <v>24</v>
      </c>
      <c r="B82" s="666">
        <v>33</v>
      </c>
      <c r="C82" s="18">
        <v>35</v>
      </c>
      <c r="D82" s="405">
        <f t="shared" ref="D82:BO82" si="57">VLOOKUP(D27,$B$59:$C$149,2)</f>
        <v>100</v>
      </c>
      <c r="E82" s="405">
        <f t="shared" si="57"/>
        <v>100</v>
      </c>
      <c r="F82" s="405">
        <f t="shared" si="57"/>
        <v>100</v>
      </c>
      <c r="G82" s="405" t="e">
        <f t="shared" si="57"/>
        <v>#N/A</v>
      </c>
      <c r="H82" s="405" t="e">
        <f t="shared" si="57"/>
        <v>#N/A</v>
      </c>
      <c r="I82" s="405" t="e">
        <f t="shared" si="57"/>
        <v>#N/A</v>
      </c>
      <c r="J82" s="405">
        <f t="shared" si="57"/>
        <v>80</v>
      </c>
      <c r="K82" s="405">
        <f t="shared" si="57"/>
        <v>85</v>
      </c>
      <c r="L82" s="405">
        <f t="shared" si="57"/>
        <v>100</v>
      </c>
      <c r="M82" s="405">
        <f t="shared" si="57"/>
        <v>100</v>
      </c>
      <c r="N82" s="405">
        <f t="shared" si="57"/>
        <v>100</v>
      </c>
      <c r="O82" s="405" t="e">
        <f t="shared" si="57"/>
        <v>#N/A</v>
      </c>
      <c r="P82" s="405" t="e">
        <f t="shared" si="57"/>
        <v>#N/A</v>
      </c>
      <c r="Q82" s="405" t="e">
        <f t="shared" si="57"/>
        <v>#N/A</v>
      </c>
      <c r="R82" s="405">
        <f t="shared" si="57"/>
        <v>80</v>
      </c>
      <c r="S82" s="405">
        <f t="shared" si="57"/>
        <v>85</v>
      </c>
      <c r="T82" s="405" t="e">
        <f t="shared" si="57"/>
        <v>#N/A</v>
      </c>
      <c r="U82" s="405" t="e">
        <f t="shared" si="57"/>
        <v>#N/A</v>
      </c>
      <c r="V82" s="405" t="e">
        <f t="shared" si="57"/>
        <v>#N/A</v>
      </c>
      <c r="W82" s="405" t="e">
        <f t="shared" si="57"/>
        <v>#N/A</v>
      </c>
      <c r="X82" s="405" t="e">
        <f t="shared" si="57"/>
        <v>#N/A</v>
      </c>
      <c r="Y82" s="405" t="e">
        <f t="shared" si="57"/>
        <v>#N/A</v>
      </c>
      <c r="Z82" s="405">
        <f t="shared" si="57"/>
        <v>100</v>
      </c>
      <c r="AA82" s="405">
        <f t="shared" si="57"/>
        <v>100</v>
      </c>
      <c r="AB82" s="405">
        <f t="shared" si="57"/>
        <v>100</v>
      </c>
      <c r="AC82" s="405">
        <f t="shared" si="57"/>
        <v>100</v>
      </c>
      <c r="AD82" s="405" t="e">
        <f t="shared" si="57"/>
        <v>#N/A</v>
      </c>
      <c r="AE82" s="405" t="e">
        <f t="shared" si="57"/>
        <v>#N/A</v>
      </c>
      <c r="AF82" s="405">
        <f t="shared" si="57"/>
        <v>100</v>
      </c>
      <c r="AG82" s="405">
        <f t="shared" si="57"/>
        <v>100</v>
      </c>
      <c r="AH82" s="405">
        <f t="shared" si="57"/>
        <v>100</v>
      </c>
      <c r="AI82" s="405" t="e">
        <f t="shared" si="57"/>
        <v>#N/A</v>
      </c>
      <c r="AJ82" s="405" t="e">
        <f t="shared" si="57"/>
        <v>#N/A</v>
      </c>
      <c r="AK82" s="405" t="e">
        <f t="shared" si="57"/>
        <v>#N/A</v>
      </c>
      <c r="AL82" s="405">
        <f t="shared" si="57"/>
        <v>100</v>
      </c>
      <c r="AM82" s="405">
        <f t="shared" si="57"/>
        <v>100</v>
      </c>
      <c r="AN82" s="405">
        <f t="shared" si="57"/>
        <v>100</v>
      </c>
      <c r="AO82" s="405" t="e">
        <f t="shared" si="57"/>
        <v>#N/A</v>
      </c>
      <c r="AP82" s="405" t="e">
        <f t="shared" si="57"/>
        <v>#N/A</v>
      </c>
      <c r="AQ82" s="405" t="e">
        <f t="shared" si="57"/>
        <v>#N/A</v>
      </c>
      <c r="AR82" s="405">
        <f t="shared" si="57"/>
        <v>100</v>
      </c>
      <c r="AS82" s="405">
        <f t="shared" si="57"/>
        <v>100</v>
      </c>
      <c r="AT82" s="405">
        <f t="shared" si="57"/>
        <v>100</v>
      </c>
      <c r="AU82" s="405" t="e">
        <f t="shared" si="57"/>
        <v>#VALUE!</v>
      </c>
      <c r="AV82" s="405" t="e">
        <f t="shared" si="57"/>
        <v>#VALUE!</v>
      </c>
      <c r="AW82" s="405" t="e">
        <f t="shared" si="57"/>
        <v>#VALUE!</v>
      </c>
      <c r="AX82" s="405">
        <f t="shared" si="57"/>
        <v>90</v>
      </c>
      <c r="AY82" s="405" t="e">
        <f t="shared" si="57"/>
        <v>#VALUE!</v>
      </c>
      <c r="AZ82" s="405" t="e">
        <f t="shared" si="57"/>
        <v>#N/A</v>
      </c>
      <c r="BA82" s="405" t="e">
        <f t="shared" si="57"/>
        <v>#N/A</v>
      </c>
      <c r="BB82" s="405" t="e">
        <f t="shared" si="57"/>
        <v>#N/A</v>
      </c>
      <c r="BC82" s="405" t="e">
        <f t="shared" si="57"/>
        <v>#N/A</v>
      </c>
      <c r="BD82" s="405" t="e">
        <f t="shared" si="57"/>
        <v>#N/A</v>
      </c>
      <c r="BE82" s="405">
        <f t="shared" si="57"/>
        <v>80</v>
      </c>
      <c r="BF82" s="405">
        <f t="shared" si="57"/>
        <v>85</v>
      </c>
      <c r="BG82" s="405" t="e">
        <f t="shared" si="57"/>
        <v>#N/A</v>
      </c>
      <c r="BH82" s="405" t="e">
        <f t="shared" si="57"/>
        <v>#N/A</v>
      </c>
      <c r="BI82" s="405" t="e">
        <f t="shared" si="57"/>
        <v>#N/A</v>
      </c>
      <c r="BJ82" s="405" t="e">
        <f t="shared" si="57"/>
        <v>#N/A</v>
      </c>
      <c r="BK82" s="405" t="e">
        <f t="shared" si="57"/>
        <v>#N/A</v>
      </c>
      <c r="BL82" s="405" t="e">
        <f t="shared" si="57"/>
        <v>#N/A</v>
      </c>
      <c r="BM82" s="405" t="e">
        <f t="shared" si="57"/>
        <v>#N/A</v>
      </c>
      <c r="BN82" s="405">
        <f t="shared" si="57"/>
        <v>80</v>
      </c>
      <c r="BO82" s="405">
        <f t="shared" si="57"/>
        <v>85</v>
      </c>
      <c r="BP82" s="405" t="e">
        <f t="shared" ref="BP82:CD82" si="58">VLOOKUP(BP27,$B$59:$C$149,2)</f>
        <v>#N/A</v>
      </c>
      <c r="BQ82" s="405" t="e">
        <f t="shared" si="58"/>
        <v>#N/A</v>
      </c>
      <c r="BR82" s="405" t="e">
        <f t="shared" si="58"/>
        <v>#N/A</v>
      </c>
      <c r="BS82" s="405" t="e">
        <f t="shared" si="58"/>
        <v>#N/A</v>
      </c>
      <c r="BT82" s="405">
        <f t="shared" si="58"/>
        <v>80</v>
      </c>
      <c r="BU82" s="405">
        <f t="shared" si="58"/>
        <v>85</v>
      </c>
      <c r="BV82" s="405" t="e">
        <f t="shared" si="58"/>
        <v>#N/A</v>
      </c>
      <c r="BW82" s="405" t="e">
        <f t="shared" si="58"/>
        <v>#N/A</v>
      </c>
      <c r="BX82" s="405" t="e">
        <f t="shared" si="58"/>
        <v>#N/A</v>
      </c>
      <c r="BY82" s="405">
        <f t="shared" si="58"/>
        <v>80</v>
      </c>
      <c r="BZ82" s="405">
        <f t="shared" si="58"/>
        <v>85</v>
      </c>
      <c r="CA82" s="405" t="e">
        <f t="shared" si="58"/>
        <v>#N/A</v>
      </c>
      <c r="CB82" s="405" t="e">
        <f t="shared" si="58"/>
        <v>#N/A</v>
      </c>
      <c r="CC82" s="405" t="e">
        <f t="shared" si="58"/>
        <v>#N/A</v>
      </c>
      <c r="CD82" s="405" t="e">
        <f t="shared" si="58"/>
        <v>#N/A</v>
      </c>
    </row>
    <row r="83" spans="1:82" hidden="1">
      <c r="A83" s="665">
        <v>25</v>
      </c>
      <c r="B83" s="666">
        <v>34</v>
      </c>
      <c r="C83" s="18">
        <v>35</v>
      </c>
      <c r="D83" s="405">
        <f t="shared" ref="D83:BO83" si="59">VLOOKUP(D28,$B$59:$C$149,2)</f>
        <v>100</v>
      </c>
      <c r="E83" s="405">
        <f t="shared" si="59"/>
        <v>100</v>
      </c>
      <c r="F83" s="405">
        <f t="shared" si="59"/>
        <v>100</v>
      </c>
      <c r="G83" s="405" t="e">
        <f t="shared" si="59"/>
        <v>#N/A</v>
      </c>
      <c r="H83" s="405" t="e">
        <f t="shared" si="59"/>
        <v>#N/A</v>
      </c>
      <c r="I83" s="405" t="e">
        <f t="shared" si="59"/>
        <v>#N/A</v>
      </c>
      <c r="J83" s="405">
        <f t="shared" si="59"/>
        <v>85</v>
      </c>
      <c r="K83" s="405">
        <f t="shared" si="59"/>
        <v>75</v>
      </c>
      <c r="L83" s="405">
        <f t="shared" si="59"/>
        <v>100</v>
      </c>
      <c r="M83" s="405">
        <f t="shared" si="59"/>
        <v>100</v>
      </c>
      <c r="N83" s="405">
        <f t="shared" si="59"/>
        <v>100</v>
      </c>
      <c r="O83" s="405" t="e">
        <f t="shared" si="59"/>
        <v>#N/A</v>
      </c>
      <c r="P83" s="405" t="e">
        <f t="shared" si="59"/>
        <v>#N/A</v>
      </c>
      <c r="Q83" s="405" t="e">
        <f t="shared" si="59"/>
        <v>#N/A</v>
      </c>
      <c r="R83" s="405">
        <f t="shared" si="59"/>
        <v>85</v>
      </c>
      <c r="S83" s="405">
        <f t="shared" si="59"/>
        <v>75</v>
      </c>
      <c r="T83" s="405" t="e">
        <f t="shared" si="59"/>
        <v>#N/A</v>
      </c>
      <c r="U83" s="405" t="e">
        <f t="shared" si="59"/>
        <v>#N/A</v>
      </c>
      <c r="V83" s="405" t="e">
        <f t="shared" si="59"/>
        <v>#N/A</v>
      </c>
      <c r="W83" s="405" t="e">
        <f t="shared" si="59"/>
        <v>#N/A</v>
      </c>
      <c r="X83" s="405" t="e">
        <f t="shared" si="59"/>
        <v>#N/A</v>
      </c>
      <c r="Y83" s="405" t="e">
        <f t="shared" si="59"/>
        <v>#N/A</v>
      </c>
      <c r="Z83" s="405">
        <f t="shared" si="59"/>
        <v>100</v>
      </c>
      <c r="AA83" s="405">
        <f t="shared" si="59"/>
        <v>100</v>
      </c>
      <c r="AB83" s="405">
        <f t="shared" si="59"/>
        <v>100</v>
      </c>
      <c r="AC83" s="405">
        <f t="shared" si="59"/>
        <v>100</v>
      </c>
      <c r="AD83" s="405" t="e">
        <f t="shared" si="59"/>
        <v>#N/A</v>
      </c>
      <c r="AE83" s="405" t="e">
        <f t="shared" si="59"/>
        <v>#N/A</v>
      </c>
      <c r="AF83" s="405">
        <f t="shared" si="59"/>
        <v>100</v>
      </c>
      <c r="AG83" s="405">
        <f t="shared" si="59"/>
        <v>100</v>
      </c>
      <c r="AH83" s="405">
        <f t="shared" si="59"/>
        <v>100</v>
      </c>
      <c r="AI83" s="405" t="e">
        <f t="shared" si="59"/>
        <v>#N/A</v>
      </c>
      <c r="AJ83" s="405" t="e">
        <f t="shared" si="59"/>
        <v>#N/A</v>
      </c>
      <c r="AK83" s="405" t="e">
        <f t="shared" si="59"/>
        <v>#N/A</v>
      </c>
      <c r="AL83" s="405">
        <f t="shared" si="59"/>
        <v>100</v>
      </c>
      <c r="AM83" s="405">
        <f t="shared" si="59"/>
        <v>100</v>
      </c>
      <c r="AN83" s="405">
        <f t="shared" si="59"/>
        <v>100</v>
      </c>
      <c r="AO83" s="405" t="e">
        <f t="shared" si="59"/>
        <v>#N/A</v>
      </c>
      <c r="AP83" s="405" t="e">
        <f t="shared" si="59"/>
        <v>#N/A</v>
      </c>
      <c r="AQ83" s="405" t="e">
        <f t="shared" si="59"/>
        <v>#N/A</v>
      </c>
      <c r="AR83" s="405">
        <f t="shared" si="59"/>
        <v>100</v>
      </c>
      <c r="AS83" s="405">
        <f t="shared" si="59"/>
        <v>100</v>
      </c>
      <c r="AT83" s="405">
        <f t="shared" si="59"/>
        <v>100</v>
      </c>
      <c r="AU83" s="405" t="e">
        <f t="shared" si="59"/>
        <v>#VALUE!</v>
      </c>
      <c r="AV83" s="405" t="e">
        <f t="shared" si="59"/>
        <v>#VALUE!</v>
      </c>
      <c r="AW83" s="405">
        <f t="shared" si="59"/>
        <v>80</v>
      </c>
      <c r="AX83" s="405" t="e">
        <f t="shared" si="59"/>
        <v>#VALUE!</v>
      </c>
      <c r="AY83" s="405" t="e">
        <f t="shared" si="59"/>
        <v>#VALUE!</v>
      </c>
      <c r="AZ83" s="405" t="e">
        <f t="shared" si="59"/>
        <v>#N/A</v>
      </c>
      <c r="BA83" s="405" t="e">
        <f t="shared" si="59"/>
        <v>#N/A</v>
      </c>
      <c r="BB83" s="405" t="e">
        <f t="shared" si="59"/>
        <v>#N/A</v>
      </c>
      <c r="BC83" s="405" t="e">
        <f t="shared" si="59"/>
        <v>#N/A</v>
      </c>
      <c r="BD83" s="405" t="e">
        <f t="shared" si="59"/>
        <v>#N/A</v>
      </c>
      <c r="BE83" s="405">
        <f t="shared" si="59"/>
        <v>85</v>
      </c>
      <c r="BF83" s="405">
        <f t="shared" si="59"/>
        <v>75</v>
      </c>
      <c r="BG83" s="405" t="e">
        <f t="shared" si="59"/>
        <v>#N/A</v>
      </c>
      <c r="BH83" s="405" t="e">
        <f t="shared" si="59"/>
        <v>#N/A</v>
      </c>
      <c r="BI83" s="405" t="e">
        <f t="shared" si="59"/>
        <v>#N/A</v>
      </c>
      <c r="BJ83" s="405" t="e">
        <f t="shared" si="59"/>
        <v>#N/A</v>
      </c>
      <c r="BK83" s="405" t="e">
        <f t="shared" si="59"/>
        <v>#N/A</v>
      </c>
      <c r="BL83" s="405" t="e">
        <f t="shared" si="59"/>
        <v>#N/A</v>
      </c>
      <c r="BM83" s="405" t="e">
        <f t="shared" si="59"/>
        <v>#N/A</v>
      </c>
      <c r="BN83" s="405">
        <f t="shared" si="59"/>
        <v>85</v>
      </c>
      <c r="BO83" s="405">
        <f t="shared" si="59"/>
        <v>75</v>
      </c>
      <c r="BP83" s="405" t="e">
        <f t="shared" ref="BP83:CD83" si="60">VLOOKUP(BP28,$B$59:$C$149,2)</f>
        <v>#N/A</v>
      </c>
      <c r="BQ83" s="405" t="e">
        <f t="shared" si="60"/>
        <v>#N/A</v>
      </c>
      <c r="BR83" s="405" t="e">
        <f t="shared" si="60"/>
        <v>#N/A</v>
      </c>
      <c r="BS83" s="405" t="e">
        <f t="shared" si="60"/>
        <v>#N/A</v>
      </c>
      <c r="BT83" s="405">
        <f t="shared" si="60"/>
        <v>85</v>
      </c>
      <c r="BU83" s="405">
        <f t="shared" si="60"/>
        <v>75</v>
      </c>
      <c r="BV83" s="405" t="e">
        <f t="shared" si="60"/>
        <v>#N/A</v>
      </c>
      <c r="BW83" s="405" t="e">
        <f t="shared" si="60"/>
        <v>#N/A</v>
      </c>
      <c r="BX83" s="405" t="e">
        <f t="shared" si="60"/>
        <v>#N/A</v>
      </c>
      <c r="BY83" s="405">
        <f t="shared" si="60"/>
        <v>85</v>
      </c>
      <c r="BZ83" s="405">
        <f t="shared" si="60"/>
        <v>75</v>
      </c>
      <c r="CA83" s="405" t="e">
        <f t="shared" si="60"/>
        <v>#N/A</v>
      </c>
      <c r="CB83" s="405" t="e">
        <f t="shared" si="60"/>
        <v>#N/A</v>
      </c>
      <c r="CC83" s="405" t="e">
        <f t="shared" si="60"/>
        <v>#N/A</v>
      </c>
      <c r="CD83" s="405" t="e">
        <f t="shared" si="60"/>
        <v>#N/A</v>
      </c>
    </row>
    <row r="84" spans="1:82" hidden="1">
      <c r="A84" s="665">
        <v>26</v>
      </c>
      <c r="B84" s="666">
        <v>35</v>
      </c>
      <c r="C84" s="18">
        <v>35</v>
      </c>
      <c r="D84" s="405">
        <f t="shared" ref="D84:BO84" si="61">VLOOKUP(D29,$B$59:$C$149,2)</f>
        <v>100</v>
      </c>
      <c r="E84" s="405">
        <f t="shared" si="61"/>
        <v>100</v>
      </c>
      <c r="F84" s="405">
        <f t="shared" si="61"/>
        <v>100</v>
      </c>
      <c r="G84" s="405" t="e">
        <f t="shared" si="61"/>
        <v>#N/A</v>
      </c>
      <c r="H84" s="405" t="e">
        <f t="shared" si="61"/>
        <v>#N/A</v>
      </c>
      <c r="I84" s="405" t="e">
        <f t="shared" si="61"/>
        <v>#N/A</v>
      </c>
      <c r="J84" s="405">
        <f t="shared" si="61"/>
        <v>75</v>
      </c>
      <c r="K84" s="405">
        <f t="shared" si="61"/>
        <v>75</v>
      </c>
      <c r="L84" s="405">
        <f t="shared" si="61"/>
        <v>100</v>
      </c>
      <c r="M84" s="405">
        <f t="shared" si="61"/>
        <v>100</v>
      </c>
      <c r="N84" s="405">
        <f t="shared" si="61"/>
        <v>100</v>
      </c>
      <c r="O84" s="405" t="e">
        <f t="shared" si="61"/>
        <v>#N/A</v>
      </c>
      <c r="P84" s="405" t="e">
        <f t="shared" si="61"/>
        <v>#N/A</v>
      </c>
      <c r="Q84" s="405" t="e">
        <f t="shared" si="61"/>
        <v>#N/A</v>
      </c>
      <c r="R84" s="405">
        <f t="shared" si="61"/>
        <v>75</v>
      </c>
      <c r="S84" s="405">
        <f t="shared" si="61"/>
        <v>75</v>
      </c>
      <c r="T84" s="405" t="e">
        <f t="shared" si="61"/>
        <v>#N/A</v>
      </c>
      <c r="U84" s="405" t="e">
        <f t="shared" si="61"/>
        <v>#N/A</v>
      </c>
      <c r="V84" s="405" t="e">
        <f t="shared" si="61"/>
        <v>#N/A</v>
      </c>
      <c r="W84" s="405" t="e">
        <f t="shared" si="61"/>
        <v>#N/A</v>
      </c>
      <c r="X84" s="405" t="e">
        <f t="shared" si="61"/>
        <v>#N/A</v>
      </c>
      <c r="Y84" s="405" t="e">
        <f t="shared" si="61"/>
        <v>#N/A</v>
      </c>
      <c r="Z84" s="405">
        <f t="shared" si="61"/>
        <v>100</v>
      </c>
      <c r="AA84" s="405">
        <f t="shared" si="61"/>
        <v>100</v>
      </c>
      <c r="AB84" s="405">
        <f t="shared" si="61"/>
        <v>100</v>
      </c>
      <c r="AC84" s="405">
        <f t="shared" si="61"/>
        <v>100</v>
      </c>
      <c r="AD84" s="405" t="e">
        <f t="shared" si="61"/>
        <v>#N/A</v>
      </c>
      <c r="AE84" s="405" t="e">
        <f t="shared" si="61"/>
        <v>#N/A</v>
      </c>
      <c r="AF84" s="405">
        <f t="shared" si="61"/>
        <v>100</v>
      </c>
      <c r="AG84" s="405">
        <f t="shared" si="61"/>
        <v>100</v>
      </c>
      <c r="AH84" s="405">
        <f t="shared" si="61"/>
        <v>100</v>
      </c>
      <c r="AI84" s="405" t="e">
        <f t="shared" si="61"/>
        <v>#N/A</v>
      </c>
      <c r="AJ84" s="405" t="e">
        <f t="shared" si="61"/>
        <v>#N/A</v>
      </c>
      <c r="AK84" s="405" t="e">
        <f t="shared" si="61"/>
        <v>#N/A</v>
      </c>
      <c r="AL84" s="405">
        <f t="shared" si="61"/>
        <v>100</v>
      </c>
      <c r="AM84" s="405">
        <f t="shared" si="61"/>
        <v>100</v>
      </c>
      <c r="AN84" s="405">
        <f t="shared" si="61"/>
        <v>100</v>
      </c>
      <c r="AO84" s="405" t="e">
        <f t="shared" si="61"/>
        <v>#N/A</v>
      </c>
      <c r="AP84" s="405" t="e">
        <f t="shared" si="61"/>
        <v>#N/A</v>
      </c>
      <c r="AQ84" s="405" t="e">
        <f t="shared" si="61"/>
        <v>#N/A</v>
      </c>
      <c r="AR84" s="405">
        <f t="shared" si="61"/>
        <v>100</v>
      </c>
      <c r="AS84" s="405">
        <f t="shared" si="61"/>
        <v>100</v>
      </c>
      <c r="AT84" s="405">
        <f t="shared" si="61"/>
        <v>100</v>
      </c>
      <c r="AU84" s="405" t="e">
        <f t="shared" si="61"/>
        <v>#VALUE!</v>
      </c>
      <c r="AV84" s="405" t="e">
        <f t="shared" si="61"/>
        <v>#VALUE!</v>
      </c>
      <c r="AW84" s="405" t="e">
        <f t="shared" si="61"/>
        <v>#VALUE!</v>
      </c>
      <c r="AX84" s="405" t="e">
        <f t="shared" si="61"/>
        <v>#VALUE!</v>
      </c>
      <c r="AY84" s="405" t="e">
        <f t="shared" si="61"/>
        <v>#VALUE!</v>
      </c>
      <c r="AZ84" s="405" t="e">
        <f t="shared" si="61"/>
        <v>#N/A</v>
      </c>
      <c r="BA84" s="405" t="e">
        <f t="shared" si="61"/>
        <v>#N/A</v>
      </c>
      <c r="BB84" s="405" t="e">
        <f t="shared" si="61"/>
        <v>#N/A</v>
      </c>
      <c r="BC84" s="405" t="e">
        <f t="shared" si="61"/>
        <v>#N/A</v>
      </c>
      <c r="BD84" s="405" t="e">
        <f t="shared" si="61"/>
        <v>#N/A</v>
      </c>
      <c r="BE84" s="405">
        <f t="shared" si="61"/>
        <v>75</v>
      </c>
      <c r="BF84" s="405">
        <f t="shared" si="61"/>
        <v>75</v>
      </c>
      <c r="BG84" s="405" t="e">
        <f t="shared" si="61"/>
        <v>#N/A</v>
      </c>
      <c r="BH84" s="405" t="e">
        <f t="shared" si="61"/>
        <v>#N/A</v>
      </c>
      <c r="BI84" s="405" t="e">
        <f t="shared" si="61"/>
        <v>#N/A</v>
      </c>
      <c r="BJ84" s="405" t="e">
        <f t="shared" si="61"/>
        <v>#N/A</v>
      </c>
      <c r="BK84" s="405" t="e">
        <f t="shared" si="61"/>
        <v>#N/A</v>
      </c>
      <c r="BL84" s="405" t="e">
        <f t="shared" si="61"/>
        <v>#N/A</v>
      </c>
      <c r="BM84" s="405" t="e">
        <f t="shared" si="61"/>
        <v>#N/A</v>
      </c>
      <c r="BN84" s="405">
        <f t="shared" si="61"/>
        <v>75</v>
      </c>
      <c r="BO84" s="405">
        <f t="shared" si="61"/>
        <v>75</v>
      </c>
      <c r="BP84" s="405" t="e">
        <f t="shared" ref="BP84:CD84" si="62">VLOOKUP(BP29,$B$59:$C$149,2)</f>
        <v>#N/A</v>
      </c>
      <c r="BQ84" s="405" t="e">
        <f t="shared" si="62"/>
        <v>#N/A</v>
      </c>
      <c r="BR84" s="405" t="e">
        <f t="shared" si="62"/>
        <v>#N/A</v>
      </c>
      <c r="BS84" s="405" t="e">
        <f t="shared" si="62"/>
        <v>#N/A</v>
      </c>
      <c r="BT84" s="405">
        <f t="shared" si="62"/>
        <v>75</v>
      </c>
      <c r="BU84" s="405">
        <f t="shared" si="62"/>
        <v>75</v>
      </c>
      <c r="BV84" s="405" t="e">
        <f t="shared" si="62"/>
        <v>#N/A</v>
      </c>
      <c r="BW84" s="405" t="e">
        <f t="shared" si="62"/>
        <v>#N/A</v>
      </c>
      <c r="BX84" s="405" t="e">
        <f t="shared" si="62"/>
        <v>#N/A</v>
      </c>
      <c r="BY84" s="405">
        <f t="shared" si="62"/>
        <v>75</v>
      </c>
      <c r="BZ84" s="405">
        <f t="shared" si="62"/>
        <v>75</v>
      </c>
      <c r="CA84" s="405" t="e">
        <f t="shared" si="62"/>
        <v>#N/A</v>
      </c>
      <c r="CB84" s="405" t="e">
        <f t="shared" si="62"/>
        <v>#N/A</v>
      </c>
      <c r="CC84" s="405" t="e">
        <f t="shared" si="62"/>
        <v>#N/A</v>
      </c>
      <c r="CD84" s="405" t="e">
        <f t="shared" si="62"/>
        <v>#N/A</v>
      </c>
    </row>
    <row r="85" spans="1:82" hidden="1">
      <c r="A85" s="665">
        <v>27</v>
      </c>
      <c r="B85" s="666">
        <v>36</v>
      </c>
      <c r="C85" s="18">
        <v>35</v>
      </c>
      <c r="D85" s="405">
        <f t="shared" ref="D85:BO85" si="63">VLOOKUP(D30,$B$59:$C$149,2)</f>
        <v>100</v>
      </c>
      <c r="E85" s="405">
        <f t="shared" si="63"/>
        <v>100</v>
      </c>
      <c r="F85" s="405">
        <f t="shared" si="63"/>
        <v>100</v>
      </c>
      <c r="G85" s="405" t="e">
        <f t="shared" si="63"/>
        <v>#N/A</v>
      </c>
      <c r="H85" s="405" t="e">
        <f t="shared" si="63"/>
        <v>#N/A</v>
      </c>
      <c r="I85" s="405" t="e">
        <f t="shared" si="63"/>
        <v>#N/A</v>
      </c>
      <c r="J85" s="405">
        <f t="shared" si="63"/>
        <v>75</v>
      </c>
      <c r="K85" s="405">
        <f t="shared" si="63"/>
        <v>75</v>
      </c>
      <c r="L85" s="405">
        <f t="shared" si="63"/>
        <v>100</v>
      </c>
      <c r="M85" s="405">
        <f t="shared" si="63"/>
        <v>100</v>
      </c>
      <c r="N85" s="405">
        <f t="shared" si="63"/>
        <v>100</v>
      </c>
      <c r="O85" s="405" t="e">
        <f t="shared" si="63"/>
        <v>#N/A</v>
      </c>
      <c r="P85" s="405" t="e">
        <f t="shared" si="63"/>
        <v>#N/A</v>
      </c>
      <c r="Q85" s="405" t="e">
        <f t="shared" si="63"/>
        <v>#N/A</v>
      </c>
      <c r="R85" s="405">
        <f t="shared" si="63"/>
        <v>75</v>
      </c>
      <c r="S85" s="405">
        <f t="shared" si="63"/>
        <v>75</v>
      </c>
      <c r="T85" s="405" t="e">
        <f t="shared" si="63"/>
        <v>#N/A</v>
      </c>
      <c r="U85" s="405" t="e">
        <f t="shared" si="63"/>
        <v>#N/A</v>
      </c>
      <c r="V85" s="405" t="e">
        <f t="shared" si="63"/>
        <v>#N/A</v>
      </c>
      <c r="W85" s="405" t="e">
        <f t="shared" si="63"/>
        <v>#N/A</v>
      </c>
      <c r="X85" s="405" t="e">
        <f t="shared" si="63"/>
        <v>#N/A</v>
      </c>
      <c r="Y85" s="405" t="e">
        <f t="shared" si="63"/>
        <v>#N/A</v>
      </c>
      <c r="Z85" s="405">
        <f t="shared" si="63"/>
        <v>100</v>
      </c>
      <c r="AA85" s="405">
        <f t="shared" si="63"/>
        <v>100</v>
      </c>
      <c r="AB85" s="405">
        <f t="shared" si="63"/>
        <v>100</v>
      </c>
      <c r="AC85" s="405">
        <f t="shared" si="63"/>
        <v>100</v>
      </c>
      <c r="AD85" s="405" t="e">
        <f t="shared" si="63"/>
        <v>#N/A</v>
      </c>
      <c r="AE85" s="405" t="e">
        <f t="shared" si="63"/>
        <v>#N/A</v>
      </c>
      <c r="AF85" s="405">
        <f t="shared" si="63"/>
        <v>100</v>
      </c>
      <c r="AG85" s="405">
        <f t="shared" si="63"/>
        <v>100</v>
      </c>
      <c r="AH85" s="405">
        <f t="shared" si="63"/>
        <v>100</v>
      </c>
      <c r="AI85" s="405" t="e">
        <f t="shared" si="63"/>
        <v>#N/A</v>
      </c>
      <c r="AJ85" s="405" t="e">
        <f t="shared" si="63"/>
        <v>#N/A</v>
      </c>
      <c r="AK85" s="405" t="e">
        <f t="shared" si="63"/>
        <v>#N/A</v>
      </c>
      <c r="AL85" s="405">
        <f t="shared" si="63"/>
        <v>100</v>
      </c>
      <c r="AM85" s="405">
        <f t="shared" si="63"/>
        <v>100</v>
      </c>
      <c r="AN85" s="405">
        <f t="shared" si="63"/>
        <v>100</v>
      </c>
      <c r="AO85" s="405" t="e">
        <f t="shared" si="63"/>
        <v>#N/A</v>
      </c>
      <c r="AP85" s="405" t="e">
        <f t="shared" si="63"/>
        <v>#N/A</v>
      </c>
      <c r="AQ85" s="405" t="e">
        <f t="shared" si="63"/>
        <v>#N/A</v>
      </c>
      <c r="AR85" s="405">
        <f t="shared" si="63"/>
        <v>100</v>
      </c>
      <c r="AS85" s="405">
        <f t="shared" si="63"/>
        <v>100</v>
      </c>
      <c r="AT85" s="405">
        <f t="shared" si="63"/>
        <v>100</v>
      </c>
      <c r="AU85" s="405" t="e">
        <f t="shared" si="63"/>
        <v>#VALUE!</v>
      </c>
      <c r="AV85" s="405" t="e">
        <f t="shared" si="63"/>
        <v>#VALUE!</v>
      </c>
      <c r="AW85" s="405" t="e">
        <f t="shared" si="63"/>
        <v>#VALUE!</v>
      </c>
      <c r="AX85" s="405" t="e">
        <f t="shared" si="63"/>
        <v>#VALUE!</v>
      </c>
      <c r="AY85" s="405" t="e">
        <f t="shared" si="63"/>
        <v>#VALUE!</v>
      </c>
      <c r="AZ85" s="405" t="e">
        <f t="shared" si="63"/>
        <v>#N/A</v>
      </c>
      <c r="BA85" s="405" t="e">
        <f t="shared" si="63"/>
        <v>#N/A</v>
      </c>
      <c r="BB85" s="405" t="e">
        <f t="shared" si="63"/>
        <v>#N/A</v>
      </c>
      <c r="BC85" s="405" t="e">
        <f t="shared" si="63"/>
        <v>#N/A</v>
      </c>
      <c r="BD85" s="405" t="e">
        <f t="shared" si="63"/>
        <v>#N/A</v>
      </c>
      <c r="BE85" s="405">
        <f t="shared" si="63"/>
        <v>75</v>
      </c>
      <c r="BF85" s="405">
        <f t="shared" si="63"/>
        <v>75</v>
      </c>
      <c r="BG85" s="405" t="e">
        <f t="shared" si="63"/>
        <v>#N/A</v>
      </c>
      <c r="BH85" s="405" t="e">
        <f t="shared" si="63"/>
        <v>#N/A</v>
      </c>
      <c r="BI85" s="405" t="e">
        <f t="shared" si="63"/>
        <v>#N/A</v>
      </c>
      <c r="BJ85" s="405" t="e">
        <f t="shared" si="63"/>
        <v>#N/A</v>
      </c>
      <c r="BK85" s="405" t="e">
        <f t="shared" si="63"/>
        <v>#N/A</v>
      </c>
      <c r="BL85" s="405" t="e">
        <f t="shared" si="63"/>
        <v>#N/A</v>
      </c>
      <c r="BM85" s="405" t="e">
        <f t="shared" si="63"/>
        <v>#N/A</v>
      </c>
      <c r="BN85" s="405">
        <f t="shared" si="63"/>
        <v>75</v>
      </c>
      <c r="BO85" s="405">
        <f t="shared" si="63"/>
        <v>75</v>
      </c>
      <c r="BP85" s="405" t="e">
        <f t="shared" ref="BP85:CD85" si="64">VLOOKUP(BP30,$B$59:$C$149,2)</f>
        <v>#N/A</v>
      </c>
      <c r="BQ85" s="405" t="e">
        <f t="shared" si="64"/>
        <v>#N/A</v>
      </c>
      <c r="BR85" s="405" t="e">
        <f t="shared" si="64"/>
        <v>#N/A</v>
      </c>
      <c r="BS85" s="405" t="e">
        <f t="shared" si="64"/>
        <v>#N/A</v>
      </c>
      <c r="BT85" s="405">
        <f t="shared" si="64"/>
        <v>75</v>
      </c>
      <c r="BU85" s="405">
        <f t="shared" si="64"/>
        <v>75</v>
      </c>
      <c r="BV85" s="405" t="e">
        <f t="shared" si="64"/>
        <v>#N/A</v>
      </c>
      <c r="BW85" s="405" t="e">
        <f t="shared" si="64"/>
        <v>#N/A</v>
      </c>
      <c r="BX85" s="405" t="e">
        <f t="shared" si="64"/>
        <v>#N/A</v>
      </c>
      <c r="BY85" s="405">
        <f t="shared" si="64"/>
        <v>75</v>
      </c>
      <c r="BZ85" s="405">
        <f t="shared" si="64"/>
        <v>75</v>
      </c>
      <c r="CA85" s="405" t="e">
        <f t="shared" si="64"/>
        <v>#N/A</v>
      </c>
      <c r="CB85" s="405" t="e">
        <f t="shared" si="64"/>
        <v>#N/A</v>
      </c>
      <c r="CC85" s="405" t="e">
        <f t="shared" si="64"/>
        <v>#N/A</v>
      </c>
      <c r="CD85" s="405" t="e">
        <f t="shared" si="64"/>
        <v>#N/A</v>
      </c>
    </row>
    <row r="86" spans="1:82" hidden="1">
      <c r="A86" s="665">
        <v>28</v>
      </c>
      <c r="B86" s="666">
        <v>37</v>
      </c>
      <c r="C86" s="18">
        <v>40</v>
      </c>
      <c r="D86" s="405">
        <f t="shared" ref="D86:BO86" si="65">VLOOKUP(D31,$B$59:$C$149,2)</f>
        <v>100</v>
      </c>
      <c r="E86" s="405">
        <f t="shared" si="65"/>
        <v>100</v>
      </c>
      <c r="F86" s="405">
        <f t="shared" si="65"/>
        <v>100</v>
      </c>
      <c r="G86" s="405" t="e">
        <f t="shared" si="65"/>
        <v>#N/A</v>
      </c>
      <c r="H86" s="405" t="e">
        <f t="shared" si="65"/>
        <v>#N/A</v>
      </c>
      <c r="I86" s="405" t="e">
        <f t="shared" si="65"/>
        <v>#N/A</v>
      </c>
      <c r="J86" s="405">
        <f t="shared" si="65"/>
        <v>75</v>
      </c>
      <c r="K86" s="405">
        <f t="shared" si="65"/>
        <v>85</v>
      </c>
      <c r="L86" s="405">
        <f t="shared" si="65"/>
        <v>100</v>
      </c>
      <c r="M86" s="405">
        <f t="shared" si="65"/>
        <v>100</v>
      </c>
      <c r="N86" s="405">
        <f t="shared" si="65"/>
        <v>100</v>
      </c>
      <c r="O86" s="405" t="e">
        <f t="shared" si="65"/>
        <v>#N/A</v>
      </c>
      <c r="P86" s="405" t="e">
        <f t="shared" si="65"/>
        <v>#N/A</v>
      </c>
      <c r="Q86" s="405" t="e">
        <f t="shared" si="65"/>
        <v>#N/A</v>
      </c>
      <c r="R86" s="405">
        <f t="shared" si="65"/>
        <v>75</v>
      </c>
      <c r="S86" s="405">
        <f t="shared" si="65"/>
        <v>85</v>
      </c>
      <c r="T86" s="405" t="e">
        <f t="shared" si="65"/>
        <v>#N/A</v>
      </c>
      <c r="U86" s="405" t="e">
        <f t="shared" si="65"/>
        <v>#N/A</v>
      </c>
      <c r="V86" s="405" t="e">
        <f t="shared" si="65"/>
        <v>#N/A</v>
      </c>
      <c r="W86" s="405" t="e">
        <f t="shared" si="65"/>
        <v>#N/A</v>
      </c>
      <c r="X86" s="405" t="e">
        <f t="shared" si="65"/>
        <v>#N/A</v>
      </c>
      <c r="Y86" s="405" t="e">
        <f t="shared" si="65"/>
        <v>#N/A</v>
      </c>
      <c r="Z86" s="405">
        <f t="shared" si="65"/>
        <v>100</v>
      </c>
      <c r="AA86" s="405">
        <f t="shared" si="65"/>
        <v>100</v>
      </c>
      <c r="AB86" s="405">
        <f t="shared" si="65"/>
        <v>100</v>
      </c>
      <c r="AC86" s="405">
        <f t="shared" si="65"/>
        <v>100</v>
      </c>
      <c r="AD86" s="405" t="e">
        <f t="shared" si="65"/>
        <v>#N/A</v>
      </c>
      <c r="AE86" s="405" t="e">
        <f t="shared" si="65"/>
        <v>#N/A</v>
      </c>
      <c r="AF86" s="405">
        <f t="shared" si="65"/>
        <v>100</v>
      </c>
      <c r="AG86" s="405">
        <f t="shared" si="65"/>
        <v>100</v>
      </c>
      <c r="AH86" s="405">
        <f t="shared" si="65"/>
        <v>100</v>
      </c>
      <c r="AI86" s="405" t="e">
        <f t="shared" si="65"/>
        <v>#N/A</v>
      </c>
      <c r="AJ86" s="405" t="e">
        <f t="shared" si="65"/>
        <v>#N/A</v>
      </c>
      <c r="AK86" s="405" t="e">
        <f t="shared" si="65"/>
        <v>#N/A</v>
      </c>
      <c r="AL86" s="405">
        <f t="shared" si="65"/>
        <v>100</v>
      </c>
      <c r="AM86" s="405">
        <f t="shared" si="65"/>
        <v>100</v>
      </c>
      <c r="AN86" s="405">
        <f t="shared" si="65"/>
        <v>100</v>
      </c>
      <c r="AO86" s="405" t="e">
        <f t="shared" si="65"/>
        <v>#N/A</v>
      </c>
      <c r="AP86" s="405" t="e">
        <f t="shared" si="65"/>
        <v>#N/A</v>
      </c>
      <c r="AQ86" s="405" t="e">
        <f t="shared" si="65"/>
        <v>#N/A</v>
      </c>
      <c r="AR86" s="405">
        <f t="shared" si="65"/>
        <v>100</v>
      </c>
      <c r="AS86" s="405">
        <f t="shared" si="65"/>
        <v>100</v>
      </c>
      <c r="AT86" s="405">
        <f t="shared" si="65"/>
        <v>100</v>
      </c>
      <c r="AU86" s="405" t="e">
        <f t="shared" si="65"/>
        <v>#VALUE!</v>
      </c>
      <c r="AV86" s="405" t="e">
        <f t="shared" si="65"/>
        <v>#VALUE!</v>
      </c>
      <c r="AW86" s="405" t="e">
        <f t="shared" si="65"/>
        <v>#VALUE!</v>
      </c>
      <c r="AX86" s="405" t="e">
        <f t="shared" si="65"/>
        <v>#VALUE!</v>
      </c>
      <c r="AY86" s="405" t="e">
        <f t="shared" si="65"/>
        <v>#VALUE!</v>
      </c>
      <c r="AZ86" s="405" t="e">
        <f t="shared" si="65"/>
        <v>#N/A</v>
      </c>
      <c r="BA86" s="405" t="e">
        <f t="shared" si="65"/>
        <v>#N/A</v>
      </c>
      <c r="BB86" s="405" t="e">
        <f t="shared" si="65"/>
        <v>#N/A</v>
      </c>
      <c r="BC86" s="405" t="e">
        <f t="shared" si="65"/>
        <v>#N/A</v>
      </c>
      <c r="BD86" s="405" t="e">
        <f t="shared" si="65"/>
        <v>#N/A</v>
      </c>
      <c r="BE86" s="405">
        <f t="shared" si="65"/>
        <v>75</v>
      </c>
      <c r="BF86" s="405">
        <f t="shared" si="65"/>
        <v>85</v>
      </c>
      <c r="BG86" s="405" t="e">
        <f t="shared" si="65"/>
        <v>#N/A</v>
      </c>
      <c r="BH86" s="405" t="e">
        <f t="shared" si="65"/>
        <v>#N/A</v>
      </c>
      <c r="BI86" s="405" t="e">
        <f t="shared" si="65"/>
        <v>#N/A</v>
      </c>
      <c r="BJ86" s="405" t="e">
        <f t="shared" si="65"/>
        <v>#N/A</v>
      </c>
      <c r="BK86" s="405" t="e">
        <f t="shared" si="65"/>
        <v>#N/A</v>
      </c>
      <c r="BL86" s="405" t="e">
        <f t="shared" si="65"/>
        <v>#N/A</v>
      </c>
      <c r="BM86" s="405" t="e">
        <f t="shared" si="65"/>
        <v>#N/A</v>
      </c>
      <c r="BN86" s="405">
        <f t="shared" si="65"/>
        <v>75</v>
      </c>
      <c r="BO86" s="405">
        <f t="shared" si="65"/>
        <v>85</v>
      </c>
      <c r="BP86" s="405" t="e">
        <f t="shared" ref="BP86:CD86" si="66">VLOOKUP(BP31,$B$59:$C$149,2)</f>
        <v>#N/A</v>
      </c>
      <c r="BQ86" s="405" t="e">
        <f t="shared" si="66"/>
        <v>#N/A</v>
      </c>
      <c r="BR86" s="405" t="e">
        <f t="shared" si="66"/>
        <v>#N/A</v>
      </c>
      <c r="BS86" s="405" t="e">
        <f t="shared" si="66"/>
        <v>#N/A</v>
      </c>
      <c r="BT86" s="405">
        <f t="shared" si="66"/>
        <v>75</v>
      </c>
      <c r="BU86" s="405">
        <f t="shared" si="66"/>
        <v>85</v>
      </c>
      <c r="BV86" s="405" t="e">
        <f t="shared" si="66"/>
        <v>#N/A</v>
      </c>
      <c r="BW86" s="405" t="e">
        <f t="shared" si="66"/>
        <v>#N/A</v>
      </c>
      <c r="BX86" s="405" t="e">
        <f t="shared" si="66"/>
        <v>#N/A</v>
      </c>
      <c r="BY86" s="405">
        <f t="shared" si="66"/>
        <v>75</v>
      </c>
      <c r="BZ86" s="405">
        <f t="shared" si="66"/>
        <v>85</v>
      </c>
      <c r="CA86" s="405" t="e">
        <f t="shared" si="66"/>
        <v>#N/A</v>
      </c>
      <c r="CB86" s="405" t="e">
        <f t="shared" si="66"/>
        <v>#N/A</v>
      </c>
      <c r="CC86" s="405" t="e">
        <f t="shared" si="66"/>
        <v>#N/A</v>
      </c>
      <c r="CD86" s="405" t="e">
        <f t="shared" si="66"/>
        <v>#N/A</v>
      </c>
    </row>
    <row r="87" spans="1:82" hidden="1">
      <c r="A87" s="665">
        <v>29</v>
      </c>
      <c r="B87" s="666">
        <v>38</v>
      </c>
      <c r="C87" s="18">
        <v>40</v>
      </c>
      <c r="D87" s="405">
        <f t="shared" ref="D87:BO87" si="67">VLOOKUP(D32,$B$59:$C$149,2)</f>
        <v>100</v>
      </c>
      <c r="E87" s="405">
        <f t="shared" si="67"/>
        <v>100</v>
      </c>
      <c r="F87" s="405">
        <f t="shared" si="67"/>
        <v>100</v>
      </c>
      <c r="G87" s="405" t="e">
        <f t="shared" si="67"/>
        <v>#N/A</v>
      </c>
      <c r="H87" s="405" t="e">
        <f t="shared" si="67"/>
        <v>#N/A</v>
      </c>
      <c r="I87" s="405" t="e">
        <f t="shared" si="67"/>
        <v>#N/A</v>
      </c>
      <c r="J87" s="405">
        <f t="shared" si="67"/>
        <v>85</v>
      </c>
      <c r="K87" s="405">
        <f t="shared" si="67"/>
        <v>70</v>
      </c>
      <c r="L87" s="405">
        <f t="shared" si="67"/>
        <v>100</v>
      </c>
      <c r="M87" s="405">
        <f t="shared" si="67"/>
        <v>100</v>
      </c>
      <c r="N87" s="405">
        <f t="shared" si="67"/>
        <v>100</v>
      </c>
      <c r="O87" s="405" t="e">
        <f t="shared" si="67"/>
        <v>#N/A</v>
      </c>
      <c r="P87" s="405" t="e">
        <f t="shared" si="67"/>
        <v>#N/A</v>
      </c>
      <c r="Q87" s="405" t="e">
        <f t="shared" si="67"/>
        <v>#N/A</v>
      </c>
      <c r="R87" s="405">
        <f t="shared" si="67"/>
        <v>85</v>
      </c>
      <c r="S87" s="405">
        <f t="shared" si="67"/>
        <v>70</v>
      </c>
      <c r="T87" s="405" t="e">
        <f t="shared" si="67"/>
        <v>#N/A</v>
      </c>
      <c r="U87" s="405" t="e">
        <f t="shared" si="67"/>
        <v>#N/A</v>
      </c>
      <c r="V87" s="405" t="e">
        <f t="shared" si="67"/>
        <v>#N/A</v>
      </c>
      <c r="W87" s="405" t="e">
        <f t="shared" si="67"/>
        <v>#N/A</v>
      </c>
      <c r="X87" s="405" t="e">
        <f t="shared" si="67"/>
        <v>#N/A</v>
      </c>
      <c r="Y87" s="405" t="e">
        <f t="shared" si="67"/>
        <v>#N/A</v>
      </c>
      <c r="Z87" s="405">
        <f t="shared" si="67"/>
        <v>100</v>
      </c>
      <c r="AA87" s="405">
        <f t="shared" si="67"/>
        <v>100</v>
      </c>
      <c r="AB87" s="405">
        <f t="shared" si="67"/>
        <v>100</v>
      </c>
      <c r="AC87" s="405">
        <f t="shared" si="67"/>
        <v>100</v>
      </c>
      <c r="AD87" s="405" t="e">
        <f t="shared" si="67"/>
        <v>#N/A</v>
      </c>
      <c r="AE87" s="405" t="e">
        <f t="shared" si="67"/>
        <v>#N/A</v>
      </c>
      <c r="AF87" s="405">
        <f t="shared" si="67"/>
        <v>100</v>
      </c>
      <c r="AG87" s="405">
        <f t="shared" si="67"/>
        <v>100</v>
      </c>
      <c r="AH87" s="405">
        <f t="shared" si="67"/>
        <v>100</v>
      </c>
      <c r="AI87" s="405" t="e">
        <f t="shared" si="67"/>
        <v>#N/A</v>
      </c>
      <c r="AJ87" s="405" t="e">
        <f t="shared" si="67"/>
        <v>#N/A</v>
      </c>
      <c r="AK87" s="405" t="e">
        <f t="shared" si="67"/>
        <v>#N/A</v>
      </c>
      <c r="AL87" s="405">
        <f t="shared" si="67"/>
        <v>100</v>
      </c>
      <c r="AM87" s="405">
        <f t="shared" si="67"/>
        <v>100</v>
      </c>
      <c r="AN87" s="405">
        <f t="shared" si="67"/>
        <v>100</v>
      </c>
      <c r="AO87" s="405" t="e">
        <f t="shared" si="67"/>
        <v>#N/A</v>
      </c>
      <c r="AP87" s="405" t="e">
        <f t="shared" si="67"/>
        <v>#N/A</v>
      </c>
      <c r="AQ87" s="405" t="e">
        <f t="shared" si="67"/>
        <v>#N/A</v>
      </c>
      <c r="AR87" s="405">
        <f t="shared" si="67"/>
        <v>100</v>
      </c>
      <c r="AS87" s="405">
        <f t="shared" si="67"/>
        <v>100</v>
      </c>
      <c r="AT87" s="405">
        <f t="shared" si="67"/>
        <v>100</v>
      </c>
      <c r="AU87" s="405" t="e">
        <f t="shared" si="67"/>
        <v>#VALUE!</v>
      </c>
      <c r="AV87" s="405" t="e">
        <f t="shared" si="67"/>
        <v>#VALUE!</v>
      </c>
      <c r="AW87" s="405" t="e">
        <f t="shared" si="67"/>
        <v>#VALUE!</v>
      </c>
      <c r="AX87" s="405" t="e">
        <f t="shared" si="67"/>
        <v>#VALUE!</v>
      </c>
      <c r="AY87" s="405" t="e">
        <f t="shared" si="67"/>
        <v>#VALUE!</v>
      </c>
      <c r="AZ87" s="405" t="e">
        <f t="shared" si="67"/>
        <v>#N/A</v>
      </c>
      <c r="BA87" s="405" t="e">
        <f t="shared" si="67"/>
        <v>#N/A</v>
      </c>
      <c r="BB87" s="405" t="e">
        <f t="shared" si="67"/>
        <v>#N/A</v>
      </c>
      <c r="BC87" s="405" t="e">
        <f t="shared" si="67"/>
        <v>#N/A</v>
      </c>
      <c r="BD87" s="405" t="e">
        <f t="shared" si="67"/>
        <v>#N/A</v>
      </c>
      <c r="BE87" s="405">
        <f t="shared" si="67"/>
        <v>85</v>
      </c>
      <c r="BF87" s="405">
        <f t="shared" si="67"/>
        <v>70</v>
      </c>
      <c r="BG87" s="405" t="e">
        <f t="shared" si="67"/>
        <v>#N/A</v>
      </c>
      <c r="BH87" s="405" t="e">
        <f t="shared" si="67"/>
        <v>#N/A</v>
      </c>
      <c r="BI87" s="405" t="e">
        <f t="shared" si="67"/>
        <v>#N/A</v>
      </c>
      <c r="BJ87" s="405" t="e">
        <f t="shared" si="67"/>
        <v>#N/A</v>
      </c>
      <c r="BK87" s="405" t="e">
        <f t="shared" si="67"/>
        <v>#N/A</v>
      </c>
      <c r="BL87" s="405" t="e">
        <f t="shared" si="67"/>
        <v>#N/A</v>
      </c>
      <c r="BM87" s="405" t="e">
        <f t="shared" si="67"/>
        <v>#N/A</v>
      </c>
      <c r="BN87" s="405">
        <f t="shared" si="67"/>
        <v>85</v>
      </c>
      <c r="BO87" s="405">
        <f t="shared" si="67"/>
        <v>70</v>
      </c>
      <c r="BP87" s="405" t="e">
        <f t="shared" ref="BP87:CD87" si="68">VLOOKUP(BP32,$B$59:$C$149,2)</f>
        <v>#N/A</v>
      </c>
      <c r="BQ87" s="405" t="e">
        <f t="shared" si="68"/>
        <v>#N/A</v>
      </c>
      <c r="BR87" s="405" t="e">
        <f t="shared" si="68"/>
        <v>#N/A</v>
      </c>
      <c r="BS87" s="405" t="e">
        <f t="shared" si="68"/>
        <v>#N/A</v>
      </c>
      <c r="BT87" s="405">
        <f t="shared" si="68"/>
        <v>85</v>
      </c>
      <c r="BU87" s="405">
        <f t="shared" si="68"/>
        <v>70</v>
      </c>
      <c r="BV87" s="405" t="e">
        <f t="shared" si="68"/>
        <v>#N/A</v>
      </c>
      <c r="BW87" s="405" t="e">
        <f t="shared" si="68"/>
        <v>#N/A</v>
      </c>
      <c r="BX87" s="405" t="e">
        <f t="shared" si="68"/>
        <v>#N/A</v>
      </c>
      <c r="BY87" s="405">
        <f t="shared" si="68"/>
        <v>85</v>
      </c>
      <c r="BZ87" s="405">
        <f t="shared" si="68"/>
        <v>70</v>
      </c>
      <c r="CA87" s="405" t="e">
        <f t="shared" si="68"/>
        <v>#N/A</v>
      </c>
      <c r="CB87" s="405" t="e">
        <f t="shared" si="68"/>
        <v>#N/A</v>
      </c>
      <c r="CC87" s="405" t="e">
        <f t="shared" si="68"/>
        <v>#N/A</v>
      </c>
      <c r="CD87" s="405" t="e">
        <f t="shared" si="68"/>
        <v>#N/A</v>
      </c>
    </row>
    <row r="88" spans="1:82" hidden="1">
      <c r="A88" s="665">
        <v>30</v>
      </c>
      <c r="B88" s="666">
        <v>39</v>
      </c>
      <c r="C88" s="18">
        <v>40</v>
      </c>
      <c r="D88" s="405">
        <f t="shared" ref="D88:BO88" si="69">VLOOKUP(D33,$B$59:$C$149,2)</f>
        <v>100</v>
      </c>
      <c r="E88" s="405">
        <f t="shared" si="69"/>
        <v>100</v>
      </c>
      <c r="F88" s="405">
        <f t="shared" si="69"/>
        <v>100</v>
      </c>
      <c r="G88" s="405" t="e">
        <f t="shared" si="69"/>
        <v>#N/A</v>
      </c>
      <c r="H88" s="405" t="e">
        <f t="shared" si="69"/>
        <v>#N/A</v>
      </c>
      <c r="I88" s="405" t="e">
        <f t="shared" si="69"/>
        <v>#N/A</v>
      </c>
      <c r="J88" s="405">
        <f t="shared" si="69"/>
        <v>85</v>
      </c>
      <c r="K88" s="405">
        <f t="shared" si="69"/>
        <v>70</v>
      </c>
      <c r="L88" s="405">
        <f t="shared" si="69"/>
        <v>100</v>
      </c>
      <c r="M88" s="405">
        <f t="shared" si="69"/>
        <v>100</v>
      </c>
      <c r="N88" s="405">
        <f t="shared" si="69"/>
        <v>100</v>
      </c>
      <c r="O88" s="405" t="e">
        <f t="shared" si="69"/>
        <v>#N/A</v>
      </c>
      <c r="P88" s="405" t="e">
        <f t="shared" si="69"/>
        <v>#N/A</v>
      </c>
      <c r="Q88" s="405" t="e">
        <f t="shared" si="69"/>
        <v>#N/A</v>
      </c>
      <c r="R88" s="405">
        <f t="shared" si="69"/>
        <v>85</v>
      </c>
      <c r="S88" s="405">
        <f t="shared" si="69"/>
        <v>70</v>
      </c>
      <c r="T88" s="405" t="e">
        <f t="shared" si="69"/>
        <v>#N/A</v>
      </c>
      <c r="U88" s="405" t="e">
        <f t="shared" si="69"/>
        <v>#N/A</v>
      </c>
      <c r="V88" s="405" t="e">
        <f t="shared" si="69"/>
        <v>#N/A</v>
      </c>
      <c r="W88" s="405" t="e">
        <f t="shared" si="69"/>
        <v>#N/A</v>
      </c>
      <c r="X88" s="405" t="e">
        <f t="shared" si="69"/>
        <v>#N/A</v>
      </c>
      <c r="Y88" s="405" t="e">
        <f t="shared" si="69"/>
        <v>#N/A</v>
      </c>
      <c r="Z88" s="405">
        <f t="shared" si="69"/>
        <v>100</v>
      </c>
      <c r="AA88" s="405">
        <f t="shared" si="69"/>
        <v>100</v>
      </c>
      <c r="AB88" s="405">
        <f t="shared" si="69"/>
        <v>100</v>
      </c>
      <c r="AC88" s="405">
        <f t="shared" si="69"/>
        <v>100</v>
      </c>
      <c r="AD88" s="405" t="e">
        <f t="shared" si="69"/>
        <v>#N/A</v>
      </c>
      <c r="AE88" s="405" t="e">
        <f t="shared" si="69"/>
        <v>#N/A</v>
      </c>
      <c r="AF88" s="405">
        <f t="shared" si="69"/>
        <v>100</v>
      </c>
      <c r="AG88" s="405">
        <f t="shared" si="69"/>
        <v>100</v>
      </c>
      <c r="AH88" s="405">
        <f t="shared" si="69"/>
        <v>100</v>
      </c>
      <c r="AI88" s="405" t="e">
        <f t="shared" si="69"/>
        <v>#N/A</v>
      </c>
      <c r="AJ88" s="405" t="e">
        <f t="shared" si="69"/>
        <v>#N/A</v>
      </c>
      <c r="AK88" s="405" t="e">
        <f t="shared" si="69"/>
        <v>#N/A</v>
      </c>
      <c r="AL88" s="405">
        <f t="shared" si="69"/>
        <v>100</v>
      </c>
      <c r="AM88" s="405">
        <f t="shared" si="69"/>
        <v>100</v>
      </c>
      <c r="AN88" s="405">
        <f t="shared" si="69"/>
        <v>100</v>
      </c>
      <c r="AO88" s="405" t="e">
        <f t="shared" si="69"/>
        <v>#N/A</v>
      </c>
      <c r="AP88" s="405" t="e">
        <f t="shared" si="69"/>
        <v>#N/A</v>
      </c>
      <c r="AQ88" s="405" t="e">
        <f t="shared" si="69"/>
        <v>#N/A</v>
      </c>
      <c r="AR88" s="405">
        <f t="shared" si="69"/>
        <v>100</v>
      </c>
      <c r="AS88" s="405">
        <f t="shared" si="69"/>
        <v>100</v>
      </c>
      <c r="AT88" s="405">
        <f t="shared" si="69"/>
        <v>100</v>
      </c>
      <c r="AU88" s="405" t="e">
        <f t="shared" si="69"/>
        <v>#VALUE!</v>
      </c>
      <c r="AV88" s="405" t="e">
        <f t="shared" si="69"/>
        <v>#VALUE!</v>
      </c>
      <c r="AW88" s="405" t="e">
        <f t="shared" si="69"/>
        <v>#VALUE!</v>
      </c>
      <c r="AX88" s="405" t="e">
        <f t="shared" si="69"/>
        <v>#VALUE!</v>
      </c>
      <c r="AY88" s="405" t="e">
        <f t="shared" si="69"/>
        <v>#VALUE!</v>
      </c>
      <c r="AZ88" s="405" t="e">
        <f t="shared" si="69"/>
        <v>#N/A</v>
      </c>
      <c r="BA88" s="405" t="e">
        <f t="shared" si="69"/>
        <v>#N/A</v>
      </c>
      <c r="BB88" s="405" t="e">
        <f t="shared" si="69"/>
        <v>#N/A</v>
      </c>
      <c r="BC88" s="405" t="e">
        <f t="shared" si="69"/>
        <v>#N/A</v>
      </c>
      <c r="BD88" s="405" t="e">
        <f t="shared" si="69"/>
        <v>#N/A</v>
      </c>
      <c r="BE88" s="405">
        <f t="shared" si="69"/>
        <v>85</v>
      </c>
      <c r="BF88" s="405">
        <f t="shared" si="69"/>
        <v>70</v>
      </c>
      <c r="BG88" s="405" t="e">
        <f t="shared" si="69"/>
        <v>#N/A</v>
      </c>
      <c r="BH88" s="405" t="e">
        <f t="shared" si="69"/>
        <v>#N/A</v>
      </c>
      <c r="BI88" s="405" t="e">
        <f t="shared" si="69"/>
        <v>#N/A</v>
      </c>
      <c r="BJ88" s="405" t="e">
        <f t="shared" si="69"/>
        <v>#N/A</v>
      </c>
      <c r="BK88" s="405" t="e">
        <f t="shared" si="69"/>
        <v>#N/A</v>
      </c>
      <c r="BL88" s="405" t="e">
        <f t="shared" si="69"/>
        <v>#N/A</v>
      </c>
      <c r="BM88" s="405" t="e">
        <f t="shared" si="69"/>
        <v>#N/A</v>
      </c>
      <c r="BN88" s="405">
        <f t="shared" si="69"/>
        <v>85</v>
      </c>
      <c r="BO88" s="405">
        <f t="shared" si="69"/>
        <v>70</v>
      </c>
      <c r="BP88" s="405" t="e">
        <f t="shared" ref="BP88:CD88" si="70">VLOOKUP(BP33,$B$59:$C$149,2)</f>
        <v>#N/A</v>
      </c>
      <c r="BQ88" s="405" t="e">
        <f t="shared" si="70"/>
        <v>#N/A</v>
      </c>
      <c r="BR88" s="405" t="e">
        <f t="shared" si="70"/>
        <v>#N/A</v>
      </c>
      <c r="BS88" s="405" t="e">
        <f t="shared" si="70"/>
        <v>#N/A</v>
      </c>
      <c r="BT88" s="405">
        <f t="shared" si="70"/>
        <v>85</v>
      </c>
      <c r="BU88" s="405">
        <f t="shared" si="70"/>
        <v>70</v>
      </c>
      <c r="BV88" s="405" t="e">
        <f t="shared" si="70"/>
        <v>#N/A</v>
      </c>
      <c r="BW88" s="405" t="e">
        <f t="shared" si="70"/>
        <v>#N/A</v>
      </c>
      <c r="BX88" s="405" t="e">
        <f t="shared" si="70"/>
        <v>#N/A</v>
      </c>
      <c r="BY88" s="405">
        <f t="shared" si="70"/>
        <v>85</v>
      </c>
      <c r="BZ88" s="405">
        <f t="shared" si="70"/>
        <v>70</v>
      </c>
      <c r="CA88" s="405" t="e">
        <f t="shared" si="70"/>
        <v>#N/A</v>
      </c>
      <c r="CB88" s="405" t="e">
        <f t="shared" si="70"/>
        <v>#N/A</v>
      </c>
      <c r="CC88" s="405" t="e">
        <f t="shared" si="70"/>
        <v>#N/A</v>
      </c>
      <c r="CD88" s="405" t="e">
        <f t="shared" si="70"/>
        <v>#N/A</v>
      </c>
    </row>
    <row r="89" spans="1:82" hidden="1">
      <c r="A89" s="665">
        <v>31</v>
      </c>
      <c r="B89" s="666">
        <v>40</v>
      </c>
      <c r="C89" s="18">
        <v>40</v>
      </c>
      <c r="D89" s="405">
        <f t="shared" ref="D89:BO89" si="71">VLOOKUP(D34,$B$59:$C$149,2)</f>
        <v>100</v>
      </c>
      <c r="E89" s="405">
        <f t="shared" si="71"/>
        <v>100</v>
      </c>
      <c r="F89" s="405">
        <f t="shared" si="71"/>
        <v>100</v>
      </c>
      <c r="G89" s="405" t="e">
        <f t="shared" si="71"/>
        <v>#N/A</v>
      </c>
      <c r="H89" s="405" t="e">
        <f t="shared" si="71"/>
        <v>#N/A</v>
      </c>
      <c r="I89" s="405" t="e">
        <f t="shared" si="71"/>
        <v>#N/A</v>
      </c>
      <c r="J89" s="405">
        <f t="shared" si="71"/>
        <v>75</v>
      </c>
      <c r="K89" s="405">
        <f t="shared" si="71"/>
        <v>80</v>
      </c>
      <c r="L89" s="405">
        <f t="shared" si="71"/>
        <v>100</v>
      </c>
      <c r="M89" s="405">
        <f t="shared" si="71"/>
        <v>100</v>
      </c>
      <c r="N89" s="405">
        <f t="shared" si="71"/>
        <v>100</v>
      </c>
      <c r="O89" s="405" t="e">
        <f t="shared" si="71"/>
        <v>#N/A</v>
      </c>
      <c r="P89" s="405" t="e">
        <f t="shared" si="71"/>
        <v>#N/A</v>
      </c>
      <c r="Q89" s="405" t="e">
        <f t="shared" si="71"/>
        <v>#N/A</v>
      </c>
      <c r="R89" s="405">
        <f t="shared" si="71"/>
        <v>75</v>
      </c>
      <c r="S89" s="405">
        <f t="shared" si="71"/>
        <v>80</v>
      </c>
      <c r="T89" s="405" t="e">
        <f t="shared" si="71"/>
        <v>#N/A</v>
      </c>
      <c r="U89" s="405" t="e">
        <f t="shared" si="71"/>
        <v>#N/A</v>
      </c>
      <c r="V89" s="405" t="e">
        <f t="shared" si="71"/>
        <v>#N/A</v>
      </c>
      <c r="W89" s="405" t="e">
        <f t="shared" si="71"/>
        <v>#N/A</v>
      </c>
      <c r="X89" s="405" t="e">
        <f t="shared" si="71"/>
        <v>#N/A</v>
      </c>
      <c r="Y89" s="405" t="e">
        <f t="shared" si="71"/>
        <v>#N/A</v>
      </c>
      <c r="Z89" s="405">
        <f t="shared" si="71"/>
        <v>100</v>
      </c>
      <c r="AA89" s="405">
        <f t="shared" si="71"/>
        <v>100</v>
      </c>
      <c r="AB89" s="405">
        <f t="shared" si="71"/>
        <v>100</v>
      </c>
      <c r="AC89" s="405">
        <f t="shared" si="71"/>
        <v>100</v>
      </c>
      <c r="AD89" s="405" t="e">
        <f t="shared" si="71"/>
        <v>#N/A</v>
      </c>
      <c r="AE89" s="405" t="e">
        <f t="shared" si="71"/>
        <v>#N/A</v>
      </c>
      <c r="AF89" s="405">
        <f t="shared" si="71"/>
        <v>100</v>
      </c>
      <c r="AG89" s="405">
        <f t="shared" si="71"/>
        <v>100</v>
      </c>
      <c r="AH89" s="405">
        <f t="shared" si="71"/>
        <v>100</v>
      </c>
      <c r="AI89" s="405" t="e">
        <f t="shared" si="71"/>
        <v>#N/A</v>
      </c>
      <c r="AJ89" s="405" t="e">
        <f t="shared" si="71"/>
        <v>#N/A</v>
      </c>
      <c r="AK89" s="405" t="e">
        <f t="shared" si="71"/>
        <v>#N/A</v>
      </c>
      <c r="AL89" s="405">
        <f t="shared" si="71"/>
        <v>100</v>
      </c>
      <c r="AM89" s="405">
        <f t="shared" si="71"/>
        <v>100</v>
      </c>
      <c r="AN89" s="405">
        <f t="shared" si="71"/>
        <v>100</v>
      </c>
      <c r="AO89" s="405" t="e">
        <f t="shared" si="71"/>
        <v>#N/A</v>
      </c>
      <c r="AP89" s="405" t="e">
        <f t="shared" si="71"/>
        <v>#N/A</v>
      </c>
      <c r="AQ89" s="405" t="e">
        <f t="shared" si="71"/>
        <v>#N/A</v>
      </c>
      <c r="AR89" s="405">
        <f t="shared" si="71"/>
        <v>100</v>
      </c>
      <c r="AS89" s="405">
        <f t="shared" si="71"/>
        <v>100</v>
      </c>
      <c r="AT89" s="405">
        <f t="shared" si="71"/>
        <v>100</v>
      </c>
      <c r="AU89" s="405" t="e">
        <f t="shared" si="71"/>
        <v>#VALUE!</v>
      </c>
      <c r="AV89" s="405" t="e">
        <f t="shared" si="71"/>
        <v>#VALUE!</v>
      </c>
      <c r="AW89" s="405" t="e">
        <f t="shared" si="71"/>
        <v>#VALUE!</v>
      </c>
      <c r="AX89" s="405" t="e">
        <f t="shared" si="71"/>
        <v>#VALUE!</v>
      </c>
      <c r="AY89" s="405" t="e">
        <f t="shared" si="71"/>
        <v>#VALUE!</v>
      </c>
      <c r="AZ89" s="405" t="e">
        <f t="shared" si="71"/>
        <v>#N/A</v>
      </c>
      <c r="BA89" s="405" t="e">
        <f t="shared" si="71"/>
        <v>#N/A</v>
      </c>
      <c r="BB89" s="405" t="e">
        <f t="shared" si="71"/>
        <v>#N/A</v>
      </c>
      <c r="BC89" s="405" t="e">
        <f t="shared" si="71"/>
        <v>#N/A</v>
      </c>
      <c r="BD89" s="405" t="e">
        <f t="shared" si="71"/>
        <v>#N/A</v>
      </c>
      <c r="BE89" s="405">
        <f t="shared" si="71"/>
        <v>75</v>
      </c>
      <c r="BF89" s="405">
        <f t="shared" si="71"/>
        <v>80</v>
      </c>
      <c r="BG89" s="405" t="e">
        <f t="shared" si="71"/>
        <v>#N/A</v>
      </c>
      <c r="BH89" s="405" t="e">
        <f t="shared" si="71"/>
        <v>#N/A</v>
      </c>
      <c r="BI89" s="405" t="e">
        <f t="shared" si="71"/>
        <v>#N/A</v>
      </c>
      <c r="BJ89" s="405" t="e">
        <f t="shared" si="71"/>
        <v>#N/A</v>
      </c>
      <c r="BK89" s="405" t="e">
        <f t="shared" si="71"/>
        <v>#N/A</v>
      </c>
      <c r="BL89" s="405" t="e">
        <f t="shared" si="71"/>
        <v>#N/A</v>
      </c>
      <c r="BM89" s="405" t="e">
        <f t="shared" si="71"/>
        <v>#N/A</v>
      </c>
      <c r="BN89" s="405">
        <f t="shared" si="71"/>
        <v>75</v>
      </c>
      <c r="BO89" s="405">
        <f t="shared" si="71"/>
        <v>80</v>
      </c>
      <c r="BP89" s="405" t="e">
        <f t="shared" ref="BP89:CD89" si="72">VLOOKUP(BP34,$B$59:$C$149,2)</f>
        <v>#N/A</v>
      </c>
      <c r="BQ89" s="405" t="e">
        <f t="shared" si="72"/>
        <v>#N/A</v>
      </c>
      <c r="BR89" s="405" t="e">
        <f t="shared" si="72"/>
        <v>#N/A</v>
      </c>
      <c r="BS89" s="405" t="e">
        <f t="shared" si="72"/>
        <v>#N/A</v>
      </c>
      <c r="BT89" s="405">
        <f t="shared" si="72"/>
        <v>75</v>
      </c>
      <c r="BU89" s="405">
        <f t="shared" si="72"/>
        <v>80</v>
      </c>
      <c r="BV89" s="405" t="e">
        <f t="shared" si="72"/>
        <v>#N/A</v>
      </c>
      <c r="BW89" s="405" t="e">
        <f t="shared" si="72"/>
        <v>#N/A</v>
      </c>
      <c r="BX89" s="405" t="e">
        <f t="shared" si="72"/>
        <v>#N/A</v>
      </c>
      <c r="BY89" s="405">
        <f t="shared" si="72"/>
        <v>75</v>
      </c>
      <c r="BZ89" s="405">
        <f t="shared" si="72"/>
        <v>80</v>
      </c>
      <c r="CA89" s="405" t="e">
        <f t="shared" si="72"/>
        <v>#N/A</v>
      </c>
      <c r="CB89" s="405" t="e">
        <f t="shared" si="72"/>
        <v>#N/A</v>
      </c>
      <c r="CC89" s="405" t="e">
        <f t="shared" si="72"/>
        <v>#N/A</v>
      </c>
      <c r="CD89" s="405" t="e">
        <f t="shared" si="72"/>
        <v>#N/A</v>
      </c>
    </row>
    <row r="90" spans="1:82" hidden="1">
      <c r="A90" s="665">
        <v>32</v>
      </c>
      <c r="B90" s="666">
        <v>41</v>
      </c>
      <c r="C90" s="18">
        <v>40</v>
      </c>
      <c r="D90" s="405">
        <f t="shared" ref="D90:BO90" si="73">VLOOKUP(D35,$B$59:$C$149,2)</f>
        <v>100</v>
      </c>
      <c r="E90" s="405">
        <f t="shared" si="73"/>
        <v>100</v>
      </c>
      <c r="F90" s="405">
        <f t="shared" si="73"/>
        <v>100</v>
      </c>
      <c r="G90" s="405" t="e">
        <f t="shared" si="73"/>
        <v>#N/A</v>
      </c>
      <c r="H90" s="405" t="e">
        <f t="shared" si="73"/>
        <v>#N/A</v>
      </c>
      <c r="I90" s="405" t="e">
        <f t="shared" si="73"/>
        <v>#N/A</v>
      </c>
      <c r="J90" s="405">
        <f t="shared" si="73"/>
        <v>80</v>
      </c>
      <c r="K90" s="405">
        <f t="shared" si="73"/>
        <v>70</v>
      </c>
      <c r="L90" s="405">
        <f t="shared" si="73"/>
        <v>100</v>
      </c>
      <c r="M90" s="405">
        <f t="shared" si="73"/>
        <v>100</v>
      </c>
      <c r="N90" s="405">
        <f t="shared" si="73"/>
        <v>100</v>
      </c>
      <c r="O90" s="405" t="e">
        <f t="shared" si="73"/>
        <v>#N/A</v>
      </c>
      <c r="P90" s="405" t="e">
        <f t="shared" si="73"/>
        <v>#N/A</v>
      </c>
      <c r="Q90" s="405" t="e">
        <f t="shared" si="73"/>
        <v>#N/A</v>
      </c>
      <c r="R90" s="405">
        <f t="shared" si="73"/>
        <v>80</v>
      </c>
      <c r="S90" s="405">
        <f t="shared" si="73"/>
        <v>70</v>
      </c>
      <c r="T90" s="405" t="e">
        <f t="shared" si="73"/>
        <v>#N/A</v>
      </c>
      <c r="U90" s="405" t="e">
        <f t="shared" si="73"/>
        <v>#N/A</v>
      </c>
      <c r="V90" s="405" t="e">
        <f t="shared" si="73"/>
        <v>#N/A</v>
      </c>
      <c r="W90" s="405" t="e">
        <f t="shared" si="73"/>
        <v>#N/A</v>
      </c>
      <c r="X90" s="405" t="e">
        <f t="shared" si="73"/>
        <v>#N/A</v>
      </c>
      <c r="Y90" s="405" t="e">
        <f t="shared" si="73"/>
        <v>#N/A</v>
      </c>
      <c r="Z90" s="405">
        <f t="shared" si="73"/>
        <v>100</v>
      </c>
      <c r="AA90" s="405">
        <f t="shared" si="73"/>
        <v>100</v>
      </c>
      <c r="AB90" s="405">
        <f t="shared" si="73"/>
        <v>100</v>
      </c>
      <c r="AC90" s="405">
        <f t="shared" si="73"/>
        <v>100</v>
      </c>
      <c r="AD90" s="405" t="e">
        <f t="shared" si="73"/>
        <v>#N/A</v>
      </c>
      <c r="AE90" s="405" t="e">
        <f t="shared" si="73"/>
        <v>#N/A</v>
      </c>
      <c r="AF90" s="405">
        <f t="shared" si="73"/>
        <v>100</v>
      </c>
      <c r="AG90" s="405">
        <f t="shared" si="73"/>
        <v>100</v>
      </c>
      <c r="AH90" s="405">
        <f t="shared" si="73"/>
        <v>100</v>
      </c>
      <c r="AI90" s="405" t="e">
        <f t="shared" si="73"/>
        <v>#N/A</v>
      </c>
      <c r="AJ90" s="405" t="e">
        <f t="shared" si="73"/>
        <v>#N/A</v>
      </c>
      <c r="AK90" s="405" t="e">
        <f t="shared" si="73"/>
        <v>#N/A</v>
      </c>
      <c r="AL90" s="405">
        <f t="shared" si="73"/>
        <v>100</v>
      </c>
      <c r="AM90" s="405">
        <f t="shared" si="73"/>
        <v>100</v>
      </c>
      <c r="AN90" s="405">
        <f t="shared" si="73"/>
        <v>100</v>
      </c>
      <c r="AO90" s="405" t="e">
        <f t="shared" si="73"/>
        <v>#N/A</v>
      </c>
      <c r="AP90" s="405" t="e">
        <f t="shared" si="73"/>
        <v>#N/A</v>
      </c>
      <c r="AQ90" s="405" t="e">
        <f t="shared" si="73"/>
        <v>#N/A</v>
      </c>
      <c r="AR90" s="405">
        <f t="shared" si="73"/>
        <v>100</v>
      </c>
      <c r="AS90" s="405">
        <f t="shared" si="73"/>
        <v>100</v>
      </c>
      <c r="AT90" s="405">
        <f t="shared" si="73"/>
        <v>100</v>
      </c>
      <c r="AU90" s="405" t="e">
        <f t="shared" si="73"/>
        <v>#VALUE!</v>
      </c>
      <c r="AV90" s="405" t="e">
        <f t="shared" si="73"/>
        <v>#VALUE!</v>
      </c>
      <c r="AW90" s="405" t="e">
        <f t="shared" si="73"/>
        <v>#VALUE!</v>
      </c>
      <c r="AX90" s="405" t="e">
        <f t="shared" si="73"/>
        <v>#VALUE!</v>
      </c>
      <c r="AY90" s="405" t="e">
        <f t="shared" si="73"/>
        <v>#VALUE!</v>
      </c>
      <c r="AZ90" s="405" t="e">
        <f t="shared" si="73"/>
        <v>#N/A</v>
      </c>
      <c r="BA90" s="405" t="e">
        <f t="shared" si="73"/>
        <v>#N/A</v>
      </c>
      <c r="BB90" s="405" t="e">
        <f t="shared" si="73"/>
        <v>#N/A</v>
      </c>
      <c r="BC90" s="405" t="e">
        <f t="shared" si="73"/>
        <v>#N/A</v>
      </c>
      <c r="BD90" s="405" t="e">
        <f t="shared" si="73"/>
        <v>#N/A</v>
      </c>
      <c r="BE90" s="405">
        <f t="shared" si="73"/>
        <v>80</v>
      </c>
      <c r="BF90" s="405">
        <f t="shared" si="73"/>
        <v>70</v>
      </c>
      <c r="BG90" s="405" t="e">
        <f t="shared" si="73"/>
        <v>#N/A</v>
      </c>
      <c r="BH90" s="405" t="e">
        <f t="shared" si="73"/>
        <v>#N/A</v>
      </c>
      <c r="BI90" s="405" t="e">
        <f t="shared" si="73"/>
        <v>#N/A</v>
      </c>
      <c r="BJ90" s="405" t="e">
        <f t="shared" si="73"/>
        <v>#N/A</v>
      </c>
      <c r="BK90" s="405" t="e">
        <f t="shared" si="73"/>
        <v>#N/A</v>
      </c>
      <c r="BL90" s="405" t="e">
        <f t="shared" si="73"/>
        <v>#N/A</v>
      </c>
      <c r="BM90" s="405" t="e">
        <f t="shared" si="73"/>
        <v>#N/A</v>
      </c>
      <c r="BN90" s="405">
        <f t="shared" si="73"/>
        <v>80</v>
      </c>
      <c r="BO90" s="405">
        <f t="shared" si="73"/>
        <v>70</v>
      </c>
      <c r="BP90" s="405" t="e">
        <f t="shared" ref="BP90:CD90" si="74">VLOOKUP(BP35,$B$59:$C$149,2)</f>
        <v>#N/A</v>
      </c>
      <c r="BQ90" s="405" t="e">
        <f t="shared" si="74"/>
        <v>#N/A</v>
      </c>
      <c r="BR90" s="405" t="e">
        <f t="shared" si="74"/>
        <v>#N/A</v>
      </c>
      <c r="BS90" s="405" t="e">
        <f t="shared" si="74"/>
        <v>#N/A</v>
      </c>
      <c r="BT90" s="405">
        <f t="shared" si="74"/>
        <v>80</v>
      </c>
      <c r="BU90" s="405">
        <f t="shared" si="74"/>
        <v>70</v>
      </c>
      <c r="BV90" s="405" t="e">
        <f t="shared" si="74"/>
        <v>#N/A</v>
      </c>
      <c r="BW90" s="405" t="e">
        <f t="shared" si="74"/>
        <v>#N/A</v>
      </c>
      <c r="BX90" s="405" t="e">
        <f t="shared" si="74"/>
        <v>#N/A</v>
      </c>
      <c r="BY90" s="405">
        <f t="shared" si="74"/>
        <v>80</v>
      </c>
      <c r="BZ90" s="405">
        <f t="shared" si="74"/>
        <v>70</v>
      </c>
      <c r="CA90" s="405" t="e">
        <f t="shared" si="74"/>
        <v>#N/A</v>
      </c>
      <c r="CB90" s="405" t="e">
        <f t="shared" si="74"/>
        <v>#N/A</v>
      </c>
      <c r="CC90" s="405" t="e">
        <f t="shared" si="74"/>
        <v>#N/A</v>
      </c>
      <c r="CD90" s="405" t="e">
        <f t="shared" si="74"/>
        <v>#N/A</v>
      </c>
    </row>
    <row r="91" spans="1:82" hidden="1">
      <c r="A91" s="665">
        <v>33</v>
      </c>
      <c r="B91" s="666">
        <v>42</v>
      </c>
      <c r="C91" s="18">
        <v>40</v>
      </c>
      <c r="D91" s="405">
        <f t="shared" ref="D91:BO91" si="75">VLOOKUP(D36,$B$59:$C$149,2)</f>
        <v>100</v>
      </c>
      <c r="E91" s="405">
        <f t="shared" si="75"/>
        <v>100</v>
      </c>
      <c r="F91" s="405">
        <f t="shared" si="75"/>
        <v>100</v>
      </c>
      <c r="G91" s="405" t="e">
        <f t="shared" si="75"/>
        <v>#N/A</v>
      </c>
      <c r="H91" s="405" t="e">
        <f t="shared" si="75"/>
        <v>#N/A</v>
      </c>
      <c r="I91" s="405" t="e">
        <f t="shared" si="75"/>
        <v>#N/A</v>
      </c>
      <c r="J91" s="405">
        <f t="shared" si="75"/>
        <v>80</v>
      </c>
      <c r="K91" s="405">
        <f t="shared" si="75"/>
        <v>75</v>
      </c>
      <c r="L91" s="405">
        <f t="shared" si="75"/>
        <v>100</v>
      </c>
      <c r="M91" s="405">
        <f t="shared" si="75"/>
        <v>100</v>
      </c>
      <c r="N91" s="405">
        <f t="shared" si="75"/>
        <v>100</v>
      </c>
      <c r="O91" s="405" t="e">
        <f t="shared" si="75"/>
        <v>#N/A</v>
      </c>
      <c r="P91" s="405" t="e">
        <f t="shared" si="75"/>
        <v>#N/A</v>
      </c>
      <c r="Q91" s="405" t="e">
        <f t="shared" si="75"/>
        <v>#N/A</v>
      </c>
      <c r="R91" s="405">
        <f t="shared" si="75"/>
        <v>80</v>
      </c>
      <c r="S91" s="405">
        <f t="shared" si="75"/>
        <v>75</v>
      </c>
      <c r="T91" s="405" t="e">
        <f t="shared" si="75"/>
        <v>#N/A</v>
      </c>
      <c r="U91" s="405" t="e">
        <f t="shared" si="75"/>
        <v>#N/A</v>
      </c>
      <c r="V91" s="405" t="e">
        <f t="shared" si="75"/>
        <v>#N/A</v>
      </c>
      <c r="W91" s="405" t="e">
        <f t="shared" si="75"/>
        <v>#N/A</v>
      </c>
      <c r="X91" s="405" t="e">
        <f t="shared" si="75"/>
        <v>#N/A</v>
      </c>
      <c r="Y91" s="405" t="e">
        <f t="shared" si="75"/>
        <v>#N/A</v>
      </c>
      <c r="Z91" s="405">
        <f t="shared" si="75"/>
        <v>100</v>
      </c>
      <c r="AA91" s="405">
        <f t="shared" si="75"/>
        <v>100</v>
      </c>
      <c r="AB91" s="405">
        <f t="shared" si="75"/>
        <v>100</v>
      </c>
      <c r="AC91" s="405">
        <f t="shared" si="75"/>
        <v>100</v>
      </c>
      <c r="AD91" s="405" t="e">
        <f t="shared" si="75"/>
        <v>#N/A</v>
      </c>
      <c r="AE91" s="405" t="e">
        <f t="shared" si="75"/>
        <v>#N/A</v>
      </c>
      <c r="AF91" s="405">
        <f t="shared" si="75"/>
        <v>100</v>
      </c>
      <c r="AG91" s="405">
        <f t="shared" si="75"/>
        <v>100</v>
      </c>
      <c r="AH91" s="405">
        <f t="shared" si="75"/>
        <v>100</v>
      </c>
      <c r="AI91" s="405" t="e">
        <f t="shared" si="75"/>
        <v>#N/A</v>
      </c>
      <c r="AJ91" s="405" t="e">
        <f t="shared" si="75"/>
        <v>#N/A</v>
      </c>
      <c r="AK91" s="405" t="e">
        <f t="shared" si="75"/>
        <v>#N/A</v>
      </c>
      <c r="AL91" s="405">
        <f t="shared" si="75"/>
        <v>100</v>
      </c>
      <c r="AM91" s="405">
        <f t="shared" si="75"/>
        <v>100</v>
      </c>
      <c r="AN91" s="405">
        <f t="shared" si="75"/>
        <v>100</v>
      </c>
      <c r="AO91" s="405" t="e">
        <f t="shared" si="75"/>
        <v>#N/A</v>
      </c>
      <c r="AP91" s="405" t="e">
        <f t="shared" si="75"/>
        <v>#N/A</v>
      </c>
      <c r="AQ91" s="405" t="e">
        <f t="shared" si="75"/>
        <v>#N/A</v>
      </c>
      <c r="AR91" s="405">
        <f t="shared" si="75"/>
        <v>100</v>
      </c>
      <c r="AS91" s="405">
        <f t="shared" si="75"/>
        <v>95</v>
      </c>
      <c r="AT91" s="405">
        <f t="shared" si="75"/>
        <v>95</v>
      </c>
      <c r="AU91" s="405" t="e">
        <f t="shared" si="75"/>
        <v>#VALUE!</v>
      </c>
      <c r="AV91" s="405" t="e">
        <f t="shared" si="75"/>
        <v>#VALUE!</v>
      </c>
      <c r="AW91" s="405" t="e">
        <f t="shared" si="75"/>
        <v>#VALUE!</v>
      </c>
      <c r="AX91" s="405" t="e">
        <f t="shared" si="75"/>
        <v>#VALUE!</v>
      </c>
      <c r="AY91" s="405" t="e">
        <f t="shared" si="75"/>
        <v>#VALUE!</v>
      </c>
      <c r="AZ91" s="405" t="e">
        <f t="shared" si="75"/>
        <v>#N/A</v>
      </c>
      <c r="BA91" s="405" t="e">
        <f t="shared" si="75"/>
        <v>#N/A</v>
      </c>
      <c r="BB91" s="405" t="e">
        <f t="shared" si="75"/>
        <v>#N/A</v>
      </c>
      <c r="BC91" s="405" t="e">
        <f t="shared" si="75"/>
        <v>#N/A</v>
      </c>
      <c r="BD91" s="405" t="e">
        <f t="shared" si="75"/>
        <v>#N/A</v>
      </c>
      <c r="BE91" s="405">
        <f t="shared" si="75"/>
        <v>80</v>
      </c>
      <c r="BF91" s="405">
        <f t="shared" si="75"/>
        <v>75</v>
      </c>
      <c r="BG91" s="405" t="e">
        <f t="shared" si="75"/>
        <v>#N/A</v>
      </c>
      <c r="BH91" s="405" t="e">
        <f t="shared" si="75"/>
        <v>#N/A</v>
      </c>
      <c r="BI91" s="405" t="e">
        <f t="shared" si="75"/>
        <v>#N/A</v>
      </c>
      <c r="BJ91" s="405" t="e">
        <f t="shared" si="75"/>
        <v>#N/A</v>
      </c>
      <c r="BK91" s="405" t="e">
        <f t="shared" si="75"/>
        <v>#N/A</v>
      </c>
      <c r="BL91" s="405" t="e">
        <f t="shared" si="75"/>
        <v>#N/A</v>
      </c>
      <c r="BM91" s="405" t="e">
        <f t="shared" si="75"/>
        <v>#N/A</v>
      </c>
      <c r="BN91" s="405">
        <f t="shared" si="75"/>
        <v>80</v>
      </c>
      <c r="BO91" s="405">
        <f t="shared" si="75"/>
        <v>75</v>
      </c>
      <c r="BP91" s="405" t="e">
        <f t="shared" ref="BP91:CD91" si="76">VLOOKUP(BP36,$B$59:$C$149,2)</f>
        <v>#N/A</v>
      </c>
      <c r="BQ91" s="405" t="e">
        <f t="shared" si="76"/>
        <v>#N/A</v>
      </c>
      <c r="BR91" s="405" t="e">
        <f t="shared" si="76"/>
        <v>#N/A</v>
      </c>
      <c r="BS91" s="405" t="e">
        <f t="shared" si="76"/>
        <v>#N/A</v>
      </c>
      <c r="BT91" s="405">
        <f t="shared" si="76"/>
        <v>80</v>
      </c>
      <c r="BU91" s="405">
        <f t="shared" si="76"/>
        <v>75</v>
      </c>
      <c r="BV91" s="405" t="e">
        <f t="shared" si="76"/>
        <v>#N/A</v>
      </c>
      <c r="BW91" s="405" t="e">
        <f t="shared" si="76"/>
        <v>#N/A</v>
      </c>
      <c r="BX91" s="405" t="e">
        <f t="shared" si="76"/>
        <v>#N/A</v>
      </c>
      <c r="BY91" s="405">
        <f t="shared" si="76"/>
        <v>80</v>
      </c>
      <c r="BZ91" s="405">
        <f t="shared" si="76"/>
        <v>75</v>
      </c>
      <c r="CA91" s="405" t="e">
        <f t="shared" si="76"/>
        <v>#N/A</v>
      </c>
      <c r="CB91" s="405" t="e">
        <f t="shared" si="76"/>
        <v>#N/A</v>
      </c>
      <c r="CC91" s="405" t="e">
        <f t="shared" si="76"/>
        <v>#N/A</v>
      </c>
      <c r="CD91" s="405" t="e">
        <f t="shared" si="76"/>
        <v>#N/A</v>
      </c>
    </row>
    <row r="92" spans="1:82" hidden="1">
      <c r="A92" s="665">
        <v>34</v>
      </c>
      <c r="B92" s="666">
        <v>43</v>
      </c>
      <c r="C92" s="18">
        <v>45</v>
      </c>
      <c r="D92" s="405">
        <f t="shared" ref="D92:BO92" si="77">VLOOKUP(D37,$B$59:$C$149,2)</f>
        <v>100</v>
      </c>
      <c r="E92" s="405">
        <f t="shared" si="77"/>
        <v>100</v>
      </c>
      <c r="F92" s="405">
        <f t="shared" si="77"/>
        <v>100</v>
      </c>
      <c r="G92" s="405" t="e">
        <f t="shared" si="77"/>
        <v>#N/A</v>
      </c>
      <c r="H92" s="405" t="e">
        <f t="shared" si="77"/>
        <v>#N/A</v>
      </c>
      <c r="I92" s="405" t="e">
        <f t="shared" si="77"/>
        <v>#N/A</v>
      </c>
      <c r="J92" s="405">
        <f t="shared" si="77"/>
        <v>80</v>
      </c>
      <c r="K92" s="405">
        <f t="shared" si="77"/>
        <v>85</v>
      </c>
      <c r="L92" s="405">
        <f t="shared" si="77"/>
        <v>100</v>
      </c>
      <c r="M92" s="405">
        <f t="shared" si="77"/>
        <v>100</v>
      </c>
      <c r="N92" s="405">
        <f t="shared" si="77"/>
        <v>100</v>
      </c>
      <c r="O92" s="405" t="e">
        <f t="shared" si="77"/>
        <v>#N/A</v>
      </c>
      <c r="P92" s="405" t="e">
        <f t="shared" si="77"/>
        <v>#N/A</v>
      </c>
      <c r="Q92" s="405" t="e">
        <f t="shared" si="77"/>
        <v>#N/A</v>
      </c>
      <c r="R92" s="405">
        <f t="shared" si="77"/>
        <v>80</v>
      </c>
      <c r="S92" s="405">
        <f t="shared" si="77"/>
        <v>85</v>
      </c>
      <c r="T92" s="405" t="e">
        <f t="shared" si="77"/>
        <v>#N/A</v>
      </c>
      <c r="U92" s="405" t="e">
        <f t="shared" si="77"/>
        <v>#N/A</v>
      </c>
      <c r="V92" s="405" t="e">
        <f t="shared" si="77"/>
        <v>#N/A</v>
      </c>
      <c r="W92" s="405" t="e">
        <f t="shared" si="77"/>
        <v>#N/A</v>
      </c>
      <c r="X92" s="405" t="e">
        <f t="shared" si="77"/>
        <v>#N/A</v>
      </c>
      <c r="Y92" s="405" t="e">
        <f t="shared" si="77"/>
        <v>#N/A</v>
      </c>
      <c r="Z92" s="405">
        <f t="shared" si="77"/>
        <v>100</v>
      </c>
      <c r="AA92" s="405">
        <f t="shared" si="77"/>
        <v>100</v>
      </c>
      <c r="AB92" s="405">
        <f t="shared" si="77"/>
        <v>100</v>
      </c>
      <c r="AC92" s="405">
        <f t="shared" si="77"/>
        <v>100</v>
      </c>
      <c r="AD92" s="405" t="e">
        <f t="shared" si="77"/>
        <v>#N/A</v>
      </c>
      <c r="AE92" s="405" t="e">
        <f t="shared" si="77"/>
        <v>#N/A</v>
      </c>
      <c r="AF92" s="405">
        <f t="shared" si="77"/>
        <v>100</v>
      </c>
      <c r="AG92" s="405">
        <f t="shared" si="77"/>
        <v>100</v>
      </c>
      <c r="AH92" s="405">
        <f t="shared" si="77"/>
        <v>100</v>
      </c>
      <c r="AI92" s="405" t="e">
        <f t="shared" si="77"/>
        <v>#N/A</v>
      </c>
      <c r="AJ92" s="405" t="e">
        <f t="shared" si="77"/>
        <v>#N/A</v>
      </c>
      <c r="AK92" s="405" t="e">
        <f t="shared" si="77"/>
        <v>#N/A</v>
      </c>
      <c r="AL92" s="405">
        <f t="shared" si="77"/>
        <v>100</v>
      </c>
      <c r="AM92" s="405">
        <f t="shared" si="77"/>
        <v>100</v>
      </c>
      <c r="AN92" s="405">
        <f t="shared" si="77"/>
        <v>100</v>
      </c>
      <c r="AO92" s="405" t="e">
        <f t="shared" si="77"/>
        <v>#N/A</v>
      </c>
      <c r="AP92" s="405" t="e">
        <f t="shared" si="77"/>
        <v>#N/A</v>
      </c>
      <c r="AQ92" s="405" t="e">
        <f t="shared" si="77"/>
        <v>#N/A</v>
      </c>
      <c r="AR92" s="405">
        <f t="shared" si="77"/>
        <v>100</v>
      </c>
      <c r="AS92" s="405">
        <f t="shared" si="77"/>
        <v>100</v>
      </c>
      <c r="AT92" s="405">
        <f t="shared" si="77"/>
        <v>100</v>
      </c>
      <c r="AU92" s="405" t="e">
        <f t="shared" si="77"/>
        <v>#VALUE!</v>
      </c>
      <c r="AV92" s="405" t="e">
        <f t="shared" si="77"/>
        <v>#VALUE!</v>
      </c>
      <c r="AW92" s="405" t="e">
        <f t="shared" si="77"/>
        <v>#VALUE!</v>
      </c>
      <c r="AX92" s="405" t="e">
        <f t="shared" si="77"/>
        <v>#VALUE!</v>
      </c>
      <c r="AY92" s="405" t="e">
        <f t="shared" si="77"/>
        <v>#VALUE!</v>
      </c>
      <c r="AZ92" s="405" t="e">
        <f t="shared" si="77"/>
        <v>#N/A</v>
      </c>
      <c r="BA92" s="405" t="e">
        <f t="shared" si="77"/>
        <v>#N/A</v>
      </c>
      <c r="BB92" s="405" t="e">
        <f t="shared" si="77"/>
        <v>#N/A</v>
      </c>
      <c r="BC92" s="405" t="e">
        <f t="shared" si="77"/>
        <v>#N/A</v>
      </c>
      <c r="BD92" s="405" t="e">
        <f t="shared" si="77"/>
        <v>#N/A</v>
      </c>
      <c r="BE92" s="405">
        <f t="shared" si="77"/>
        <v>80</v>
      </c>
      <c r="BF92" s="405">
        <f t="shared" si="77"/>
        <v>85</v>
      </c>
      <c r="BG92" s="405" t="e">
        <f t="shared" si="77"/>
        <v>#N/A</v>
      </c>
      <c r="BH92" s="405" t="e">
        <f t="shared" si="77"/>
        <v>#N/A</v>
      </c>
      <c r="BI92" s="405" t="e">
        <f t="shared" si="77"/>
        <v>#N/A</v>
      </c>
      <c r="BJ92" s="405" t="e">
        <f t="shared" si="77"/>
        <v>#N/A</v>
      </c>
      <c r="BK92" s="405" t="e">
        <f t="shared" si="77"/>
        <v>#N/A</v>
      </c>
      <c r="BL92" s="405" t="e">
        <f t="shared" si="77"/>
        <v>#N/A</v>
      </c>
      <c r="BM92" s="405" t="e">
        <f t="shared" si="77"/>
        <v>#N/A</v>
      </c>
      <c r="BN92" s="405">
        <f t="shared" si="77"/>
        <v>80</v>
      </c>
      <c r="BO92" s="405">
        <f t="shared" si="77"/>
        <v>85</v>
      </c>
      <c r="BP92" s="405" t="e">
        <f t="shared" ref="BP92:CD92" si="78">VLOOKUP(BP37,$B$59:$C$149,2)</f>
        <v>#N/A</v>
      </c>
      <c r="BQ92" s="405" t="e">
        <f t="shared" si="78"/>
        <v>#N/A</v>
      </c>
      <c r="BR92" s="405" t="e">
        <f t="shared" si="78"/>
        <v>#N/A</v>
      </c>
      <c r="BS92" s="405" t="e">
        <f t="shared" si="78"/>
        <v>#N/A</v>
      </c>
      <c r="BT92" s="405">
        <f t="shared" si="78"/>
        <v>80</v>
      </c>
      <c r="BU92" s="405">
        <f t="shared" si="78"/>
        <v>85</v>
      </c>
      <c r="BV92" s="405" t="e">
        <f t="shared" si="78"/>
        <v>#N/A</v>
      </c>
      <c r="BW92" s="405" t="e">
        <f t="shared" si="78"/>
        <v>#N/A</v>
      </c>
      <c r="BX92" s="405" t="e">
        <f t="shared" si="78"/>
        <v>#N/A</v>
      </c>
      <c r="BY92" s="405">
        <f t="shared" si="78"/>
        <v>80</v>
      </c>
      <c r="BZ92" s="405">
        <f t="shared" si="78"/>
        <v>85</v>
      </c>
      <c r="CA92" s="405" t="e">
        <f t="shared" si="78"/>
        <v>#N/A</v>
      </c>
      <c r="CB92" s="405" t="e">
        <f t="shared" si="78"/>
        <v>#N/A</v>
      </c>
      <c r="CC92" s="405" t="e">
        <f t="shared" si="78"/>
        <v>#N/A</v>
      </c>
      <c r="CD92" s="405" t="e">
        <f t="shared" si="78"/>
        <v>#N/A</v>
      </c>
    </row>
    <row r="93" spans="1:82" hidden="1">
      <c r="A93" s="665">
        <v>35</v>
      </c>
      <c r="B93" s="666">
        <v>44</v>
      </c>
      <c r="C93" s="18">
        <v>45</v>
      </c>
      <c r="D93" s="405">
        <f t="shared" ref="D93:BO93" si="79">VLOOKUP(D38,$B$59:$C$149,2)</f>
        <v>100</v>
      </c>
      <c r="E93" s="405">
        <f t="shared" si="79"/>
        <v>100</v>
      </c>
      <c r="F93" s="405">
        <f t="shared" si="79"/>
        <v>100</v>
      </c>
      <c r="G93" s="405" t="e">
        <f t="shared" si="79"/>
        <v>#N/A</v>
      </c>
      <c r="H93" s="405" t="e">
        <f t="shared" si="79"/>
        <v>#N/A</v>
      </c>
      <c r="I93" s="405" t="e">
        <f t="shared" si="79"/>
        <v>#N/A</v>
      </c>
      <c r="J93" s="405">
        <f t="shared" si="79"/>
        <v>80</v>
      </c>
      <c r="K93" s="405">
        <f t="shared" si="79"/>
        <v>75</v>
      </c>
      <c r="L93" s="405">
        <f t="shared" si="79"/>
        <v>100</v>
      </c>
      <c r="M93" s="405">
        <f t="shared" si="79"/>
        <v>100</v>
      </c>
      <c r="N93" s="405">
        <f t="shared" si="79"/>
        <v>100</v>
      </c>
      <c r="O93" s="405" t="e">
        <f t="shared" si="79"/>
        <v>#N/A</v>
      </c>
      <c r="P93" s="405" t="e">
        <f t="shared" si="79"/>
        <v>#N/A</v>
      </c>
      <c r="Q93" s="405" t="e">
        <f t="shared" si="79"/>
        <v>#N/A</v>
      </c>
      <c r="R93" s="405">
        <f t="shared" si="79"/>
        <v>80</v>
      </c>
      <c r="S93" s="405">
        <f t="shared" si="79"/>
        <v>75</v>
      </c>
      <c r="T93" s="405" t="e">
        <f t="shared" si="79"/>
        <v>#N/A</v>
      </c>
      <c r="U93" s="405" t="e">
        <f t="shared" si="79"/>
        <v>#N/A</v>
      </c>
      <c r="V93" s="405" t="e">
        <f t="shared" si="79"/>
        <v>#N/A</v>
      </c>
      <c r="W93" s="405" t="e">
        <f t="shared" si="79"/>
        <v>#N/A</v>
      </c>
      <c r="X93" s="405" t="e">
        <f t="shared" si="79"/>
        <v>#N/A</v>
      </c>
      <c r="Y93" s="405" t="e">
        <f t="shared" si="79"/>
        <v>#N/A</v>
      </c>
      <c r="Z93" s="405">
        <f t="shared" si="79"/>
        <v>100</v>
      </c>
      <c r="AA93" s="405">
        <f t="shared" si="79"/>
        <v>100</v>
      </c>
      <c r="AB93" s="405">
        <f t="shared" si="79"/>
        <v>100</v>
      </c>
      <c r="AC93" s="405">
        <f t="shared" si="79"/>
        <v>100</v>
      </c>
      <c r="AD93" s="405" t="e">
        <f t="shared" si="79"/>
        <v>#N/A</v>
      </c>
      <c r="AE93" s="405" t="e">
        <f t="shared" si="79"/>
        <v>#N/A</v>
      </c>
      <c r="AF93" s="405">
        <f t="shared" si="79"/>
        <v>100</v>
      </c>
      <c r="AG93" s="405">
        <f t="shared" si="79"/>
        <v>100</v>
      </c>
      <c r="AH93" s="405">
        <f t="shared" si="79"/>
        <v>100</v>
      </c>
      <c r="AI93" s="405" t="e">
        <f t="shared" si="79"/>
        <v>#N/A</v>
      </c>
      <c r="AJ93" s="405" t="e">
        <f t="shared" si="79"/>
        <v>#N/A</v>
      </c>
      <c r="AK93" s="405" t="e">
        <f t="shared" si="79"/>
        <v>#N/A</v>
      </c>
      <c r="AL93" s="405">
        <f t="shared" si="79"/>
        <v>100</v>
      </c>
      <c r="AM93" s="405">
        <f t="shared" si="79"/>
        <v>100</v>
      </c>
      <c r="AN93" s="405">
        <f t="shared" si="79"/>
        <v>100</v>
      </c>
      <c r="AO93" s="405" t="e">
        <f t="shared" si="79"/>
        <v>#N/A</v>
      </c>
      <c r="AP93" s="405" t="e">
        <f t="shared" si="79"/>
        <v>#N/A</v>
      </c>
      <c r="AQ93" s="405" t="e">
        <f t="shared" si="79"/>
        <v>#N/A</v>
      </c>
      <c r="AR93" s="405">
        <f t="shared" si="79"/>
        <v>100</v>
      </c>
      <c r="AS93" s="405">
        <f t="shared" si="79"/>
        <v>100</v>
      </c>
      <c r="AT93" s="405">
        <f t="shared" si="79"/>
        <v>100</v>
      </c>
      <c r="AU93" s="405" t="e">
        <f t="shared" si="79"/>
        <v>#VALUE!</v>
      </c>
      <c r="AV93" s="405" t="e">
        <f t="shared" si="79"/>
        <v>#VALUE!</v>
      </c>
      <c r="AW93" s="405" t="e">
        <f t="shared" si="79"/>
        <v>#VALUE!</v>
      </c>
      <c r="AX93" s="405" t="e">
        <f t="shared" si="79"/>
        <v>#VALUE!</v>
      </c>
      <c r="AY93" s="405" t="e">
        <f t="shared" si="79"/>
        <v>#VALUE!</v>
      </c>
      <c r="AZ93" s="405" t="e">
        <f t="shared" si="79"/>
        <v>#N/A</v>
      </c>
      <c r="BA93" s="405" t="e">
        <f t="shared" si="79"/>
        <v>#N/A</v>
      </c>
      <c r="BB93" s="405" t="e">
        <f t="shared" si="79"/>
        <v>#N/A</v>
      </c>
      <c r="BC93" s="405" t="e">
        <f t="shared" si="79"/>
        <v>#N/A</v>
      </c>
      <c r="BD93" s="405" t="e">
        <f t="shared" si="79"/>
        <v>#N/A</v>
      </c>
      <c r="BE93" s="405">
        <f t="shared" si="79"/>
        <v>80</v>
      </c>
      <c r="BF93" s="405">
        <f t="shared" si="79"/>
        <v>75</v>
      </c>
      <c r="BG93" s="405" t="e">
        <f t="shared" si="79"/>
        <v>#N/A</v>
      </c>
      <c r="BH93" s="405" t="e">
        <f t="shared" si="79"/>
        <v>#N/A</v>
      </c>
      <c r="BI93" s="405" t="e">
        <f t="shared" si="79"/>
        <v>#N/A</v>
      </c>
      <c r="BJ93" s="405" t="e">
        <f t="shared" si="79"/>
        <v>#N/A</v>
      </c>
      <c r="BK93" s="405" t="e">
        <f t="shared" si="79"/>
        <v>#N/A</v>
      </c>
      <c r="BL93" s="405" t="e">
        <f t="shared" si="79"/>
        <v>#N/A</v>
      </c>
      <c r="BM93" s="405" t="e">
        <f t="shared" si="79"/>
        <v>#N/A</v>
      </c>
      <c r="BN93" s="405">
        <f t="shared" si="79"/>
        <v>80</v>
      </c>
      <c r="BO93" s="405">
        <f t="shared" si="79"/>
        <v>75</v>
      </c>
      <c r="BP93" s="405" t="e">
        <f t="shared" ref="BP93:CD93" si="80">VLOOKUP(BP38,$B$59:$C$149,2)</f>
        <v>#N/A</v>
      </c>
      <c r="BQ93" s="405" t="e">
        <f t="shared" si="80"/>
        <v>#N/A</v>
      </c>
      <c r="BR93" s="405" t="e">
        <f t="shared" si="80"/>
        <v>#N/A</v>
      </c>
      <c r="BS93" s="405" t="e">
        <f t="shared" si="80"/>
        <v>#N/A</v>
      </c>
      <c r="BT93" s="405">
        <f t="shared" si="80"/>
        <v>80</v>
      </c>
      <c r="BU93" s="405">
        <f t="shared" si="80"/>
        <v>75</v>
      </c>
      <c r="BV93" s="405" t="e">
        <f t="shared" si="80"/>
        <v>#N/A</v>
      </c>
      <c r="BW93" s="405" t="e">
        <f t="shared" si="80"/>
        <v>#N/A</v>
      </c>
      <c r="BX93" s="405" t="e">
        <f t="shared" si="80"/>
        <v>#N/A</v>
      </c>
      <c r="BY93" s="405">
        <f t="shared" si="80"/>
        <v>80</v>
      </c>
      <c r="BZ93" s="405">
        <f t="shared" si="80"/>
        <v>75</v>
      </c>
      <c r="CA93" s="405" t="e">
        <f t="shared" si="80"/>
        <v>#N/A</v>
      </c>
      <c r="CB93" s="405" t="e">
        <f t="shared" si="80"/>
        <v>#N/A</v>
      </c>
      <c r="CC93" s="405" t="e">
        <f t="shared" si="80"/>
        <v>#N/A</v>
      </c>
      <c r="CD93" s="405" t="e">
        <f t="shared" si="80"/>
        <v>#N/A</v>
      </c>
    </row>
    <row r="94" spans="1:82" hidden="1">
      <c r="A94" s="665">
        <v>36</v>
      </c>
      <c r="B94" s="666">
        <v>45</v>
      </c>
      <c r="C94" s="18">
        <v>45</v>
      </c>
      <c r="D94" s="405">
        <f t="shared" ref="D94:BO94" si="81">VLOOKUP(D39,$B$59:$C$149,2)</f>
        <v>100</v>
      </c>
      <c r="E94" s="405">
        <f t="shared" si="81"/>
        <v>100</v>
      </c>
      <c r="F94" s="405">
        <f t="shared" si="81"/>
        <v>100</v>
      </c>
      <c r="G94" s="405" t="e">
        <f t="shared" si="81"/>
        <v>#N/A</v>
      </c>
      <c r="H94" s="405" t="e">
        <f t="shared" si="81"/>
        <v>#N/A</v>
      </c>
      <c r="I94" s="405" t="e">
        <f t="shared" si="81"/>
        <v>#N/A</v>
      </c>
      <c r="J94" s="405">
        <f t="shared" si="81"/>
        <v>90</v>
      </c>
      <c r="K94" s="405">
        <f t="shared" si="81"/>
        <v>75</v>
      </c>
      <c r="L94" s="405">
        <f t="shared" si="81"/>
        <v>100</v>
      </c>
      <c r="M94" s="405">
        <f t="shared" si="81"/>
        <v>100</v>
      </c>
      <c r="N94" s="405">
        <f t="shared" si="81"/>
        <v>100</v>
      </c>
      <c r="O94" s="405" t="e">
        <f t="shared" si="81"/>
        <v>#N/A</v>
      </c>
      <c r="P94" s="405" t="e">
        <f t="shared" si="81"/>
        <v>#N/A</v>
      </c>
      <c r="Q94" s="405" t="e">
        <f t="shared" si="81"/>
        <v>#N/A</v>
      </c>
      <c r="R94" s="405">
        <f t="shared" si="81"/>
        <v>90</v>
      </c>
      <c r="S94" s="405">
        <f t="shared" si="81"/>
        <v>75</v>
      </c>
      <c r="T94" s="405" t="e">
        <f t="shared" si="81"/>
        <v>#N/A</v>
      </c>
      <c r="U94" s="405" t="e">
        <f t="shared" si="81"/>
        <v>#N/A</v>
      </c>
      <c r="V94" s="405" t="e">
        <f t="shared" si="81"/>
        <v>#N/A</v>
      </c>
      <c r="W94" s="405" t="e">
        <f t="shared" si="81"/>
        <v>#N/A</v>
      </c>
      <c r="X94" s="405" t="e">
        <f t="shared" si="81"/>
        <v>#N/A</v>
      </c>
      <c r="Y94" s="405" t="e">
        <f t="shared" si="81"/>
        <v>#N/A</v>
      </c>
      <c r="Z94" s="405">
        <f t="shared" si="81"/>
        <v>100</v>
      </c>
      <c r="AA94" s="405">
        <f t="shared" si="81"/>
        <v>100</v>
      </c>
      <c r="AB94" s="405">
        <f t="shared" si="81"/>
        <v>100</v>
      </c>
      <c r="AC94" s="405">
        <f t="shared" si="81"/>
        <v>100</v>
      </c>
      <c r="AD94" s="405" t="e">
        <f t="shared" si="81"/>
        <v>#N/A</v>
      </c>
      <c r="AE94" s="405" t="e">
        <f t="shared" si="81"/>
        <v>#N/A</v>
      </c>
      <c r="AF94" s="405">
        <f t="shared" si="81"/>
        <v>100</v>
      </c>
      <c r="AG94" s="405">
        <f t="shared" si="81"/>
        <v>100</v>
      </c>
      <c r="AH94" s="405">
        <f t="shared" si="81"/>
        <v>100</v>
      </c>
      <c r="AI94" s="405" t="e">
        <f t="shared" si="81"/>
        <v>#N/A</v>
      </c>
      <c r="AJ94" s="405" t="e">
        <f t="shared" si="81"/>
        <v>#N/A</v>
      </c>
      <c r="AK94" s="405" t="e">
        <f t="shared" si="81"/>
        <v>#N/A</v>
      </c>
      <c r="AL94" s="405">
        <f t="shared" si="81"/>
        <v>100</v>
      </c>
      <c r="AM94" s="405">
        <f t="shared" si="81"/>
        <v>100</v>
      </c>
      <c r="AN94" s="405">
        <f t="shared" si="81"/>
        <v>100</v>
      </c>
      <c r="AO94" s="405" t="e">
        <f t="shared" si="81"/>
        <v>#N/A</v>
      </c>
      <c r="AP94" s="405" t="e">
        <f t="shared" si="81"/>
        <v>#N/A</v>
      </c>
      <c r="AQ94" s="405" t="e">
        <f t="shared" si="81"/>
        <v>#N/A</v>
      </c>
      <c r="AR94" s="405">
        <f t="shared" si="81"/>
        <v>100</v>
      </c>
      <c r="AS94" s="405">
        <f t="shared" si="81"/>
        <v>100</v>
      </c>
      <c r="AT94" s="405">
        <f t="shared" si="81"/>
        <v>100</v>
      </c>
      <c r="AU94" s="405" t="e">
        <f t="shared" si="81"/>
        <v>#VALUE!</v>
      </c>
      <c r="AV94" s="405" t="e">
        <f t="shared" si="81"/>
        <v>#VALUE!</v>
      </c>
      <c r="AW94" s="405" t="e">
        <f t="shared" si="81"/>
        <v>#VALUE!</v>
      </c>
      <c r="AX94" s="405" t="e">
        <f t="shared" si="81"/>
        <v>#VALUE!</v>
      </c>
      <c r="AY94" s="405" t="e">
        <f t="shared" si="81"/>
        <v>#VALUE!</v>
      </c>
      <c r="AZ94" s="405" t="e">
        <f t="shared" si="81"/>
        <v>#N/A</v>
      </c>
      <c r="BA94" s="405" t="e">
        <f t="shared" si="81"/>
        <v>#N/A</v>
      </c>
      <c r="BB94" s="405" t="e">
        <f t="shared" si="81"/>
        <v>#N/A</v>
      </c>
      <c r="BC94" s="405" t="e">
        <f t="shared" si="81"/>
        <v>#N/A</v>
      </c>
      <c r="BD94" s="405" t="e">
        <f t="shared" si="81"/>
        <v>#N/A</v>
      </c>
      <c r="BE94" s="405">
        <f t="shared" si="81"/>
        <v>90</v>
      </c>
      <c r="BF94" s="405">
        <f t="shared" si="81"/>
        <v>75</v>
      </c>
      <c r="BG94" s="405" t="e">
        <f t="shared" si="81"/>
        <v>#N/A</v>
      </c>
      <c r="BH94" s="405" t="e">
        <f t="shared" si="81"/>
        <v>#N/A</v>
      </c>
      <c r="BI94" s="405" t="e">
        <f t="shared" si="81"/>
        <v>#N/A</v>
      </c>
      <c r="BJ94" s="405" t="e">
        <f t="shared" si="81"/>
        <v>#N/A</v>
      </c>
      <c r="BK94" s="405" t="e">
        <f t="shared" si="81"/>
        <v>#N/A</v>
      </c>
      <c r="BL94" s="405" t="e">
        <f t="shared" si="81"/>
        <v>#N/A</v>
      </c>
      <c r="BM94" s="405" t="e">
        <f t="shared" si="81"/>
        <v>#N/A</v>
      </c>
      <c r="BN94" s="405">
        <f t="shared" si="81"/>
        <v>90</v>
      </c>
      <c r="BO94" s="405">
        <f t="shared" si="81"/>
        <v>75</v>
      </c>
      <c r="BP94" s="405" t="e">
        <f t="shared" ref="BP94:CD94" si="82">VLOOKUP(BP39,$B$59:$C$149,2)</f>
        <v>#N/A</v>
      </c>
      <c r="BQ94" s="405" t="e">
        <f t="shared" si="82"/>
        <v>#N/A</v>
      </c>
      <c r="BR94" s="405" t="e">
        <f t="shared" si="82"/>
        <v>#N/A</v>
      </c>
      <c r="BS94" s="405" t="e">
        <f t="shared" si="82"/>
        <v>#N/A</v>
      </c>
      <c r="BT94" s="405">
        <f t="shared" si="82"/>
        <v>90</v>
      </c>
      <c r="BU94" s="405">
        <f t="shared" si="82"/>
        <v>75</v>
      </c>
      <c r="BV94" s="405" t="e">
        <f t="shared" si="82"/>
        <v>#N/A</v>
      </c>
      <c r="BW94" s="405" t="e">
        <f t="shared" si="82"/>
        <v>#N/A</v>
      </c>
      <c r="BX94" s="405" t="e">
        <f t="shared" si="82"/>
        <v>#N/A</v>
      </c>
      <c r="BY94" s="405">
        <f t="shared" si="82"/>
        <v>90</v>
      </c>
      <c r="BZ94" s="405">
        <f t="shared" si="82"/>
        <v>75</v>
      </c>
      <c r="CA94" s="405" t="e">
        <f t="shared" si="82"/>
        <v>#N/A</v>
      </c>
      <c r="CB94" s="405" t="e">
        <f t="shared" si="82"/>
        <v>#N/A</v>
      </c>
      <c r="CC94" s="405" t="e">
        <f t="shared" si="82"/>
        <v>#N/A</v>
      </c>
      <c r="CD94" s="405" t="e">
        <f t="shared" si="82"/>
        <v>#N/A</v>
      </c>
    </row>
    <row r="95" spans="1:82" hidden="1">
      <c r="A95" s="665">
        <v>37</v>
      </c>
      <c r="B95" s="666">
        <v>46</v>
      </c>
      <c r="C95" s="18">
        <v>45</v>
      </c>
      <c r="D95" s="405">
        <f t="shared" ref="D95:BO95" si="83">VLOOKUP(D40,$B$59:$C$149,2)</f>
        <v>100</v>
      </c>
      <c r="E95" s="405">
        <f t="shared" si="83"/>
        <v>100</v>
      </c>
      <c r="F95" s="405">
        <f t="shared" si="83"/>
        <v>100</v>
      </c>
      <c r="G95" s="405" t="e">
        <f t="shared" si="83"/>
        <v>#N/A</v>
      </c>
      <c r="H95" s="405" t="e">
        <f t="shared" si="83"/>
        <v>#N/A</v>
      </c>
      <c r="I95" s="405" t="e">
        <f t="shared" si="83"/>
        <v>#N/A</v>
      </c>
      <c r="J95" s="405">
        <f t="shared" si="83"/>
        <v>80</v>
      </c>
      <c r="K95" s="405">
        <f t="shared" si="83"/>
        <v>80</v>
      </c>
      <c r="L95" s="405">
        <f t="shared" si="83"/>
        <v>100</v>
      </c>
      <c r="M95" s="405">
        <f t="shared" si="83"/>
        <v>100</v>
      </c>
      <c r="N95" s="405">
        <f t="shared" si="83"/>
        <v>100</v>
      </c>
      <c r="O95" s="405" t="e">
        <f t="shared" si="83"/>
        <v>#N/A</v>
      </c>
      <c r="P95" s="405" t="e">
        <f t="shared" si="83"/>
        <v>#N/A</v>
      </c>
      <c r="Q95" s="405" t="e">
        <f t="shared" si="83"/>
        <v>#N/A</v>
      </c>
      <c r="R95" s="405">
        <f t="shared" si="83"/>
        <v>80</v>
      </c>
      <c r="S95" s="405">
        <f t="shared" si="83"/>
        <v>80</v>
      </c>
      <c r="T95" s="405" t="e">
        <f t="shared" si="83"/>
        <v>#N/A</v>
      </c>
      <c r="U95" s="405" t="e">
        <f t="shared" si="83"/>
        <v>#N/A</v>
      </c>
      <c r="V95" s="405" t="e">
        <f t="shared" si="83"/>
        <v>#N/A</v>
      </c>
      <c r="W95" s="405" t="e">
        <f t="shared" si="83"/>
        <v>#N/A</v>
      </c>
      <c r="X95" s="405" t="e">
        <f t="shared" si="83"/>
        <v>#N/A</v>
      </c>
      <c r="Y95" s="405" t="e">
        <f t="shared" si="83"/>
        <v>#N/A</v>
      </c>
      <c r="Z95" s="405">
        <f t="shared" si="83"/>
        <v>100</v>
      </c>
      <c r="AA95" s="405">
        <f t="shared" si="83"/>
        <v>100</v>
      </c>
      <c r="AB95" s="405">
        <f t="shared" si="83"/>
        <v>100</v>
      </c>
      <c r="AC95" s="405">
        <f t="shared" si="83"/>
        <v>100</v>
      </c>
      <c r="AD95" s="405" t="e">
        <f t="shared" si="83"/>
        <v>#N/A</v>
      </c>
      <c r="AE95" s="405" t="e">
        <f t="shared" si="83"/>
        <v>#N/A</v>
      </c>
      <c r="AF95" s="405">
        <f t="shared" si="83"/>
        <v>100</v>
      </c>
      <c r="AG95" s="405">
        <f t="shared" si="83"/>
        <v>100</v>
      </c>
      <c r="AH95" s="405">
        <f t="shared" si="83"/>
        <v>100</v>
      </c>
      <c r="AI95" s="405" t="e">
        <f t="shared" si="83"/>
        <v>#N/A</v>
      </c>
      <c r="AJ95" s="405" t="e">
        <f t="shared" si="83"/>
        <v>#N/A</v>
      </c>
      <c r="AK95" s="405" t="e">
        <f t="shared" si="83"/>
        <v>#N/A</v>
      </c>
      <c r="AL95" s="405">
        <f t="shared" si="83"/>
        <v>100</v>
      </c>
      <c r="AM95" s="405">
        <f t="shared" si="83"/>
        <v>100</v>
      </c>
      <c r="AN95" s="405">
        <f t="shared" si="83"/>
        <v>100</v>
      </c>
      <c r="AO95" s="405" t="e">
        <f t="shared" si="83"/>
        <v>#N/A</v>
      </c>
      <c r="AP95" s="405" t="e">
        <f t="shared" si="83"/>
        <v>#N/A</v>
      </c>
      <c r="AQ95" s="405" t="e">
        <f t="shared" si="83"/>
        <v>#N/A</v>
      </c>
      <c r="AR95" s="405">
        <f t="shared" si="83"/>
        <v>100</v>
      </c>
      <c r="AS95" s="405">
        <f t="shared" si="83"/>
        <v>100</v>
      </c>
      <c r="AT95" s="405">
        <f t="shared" si="83"/>
        <v>100</v>
      </c>
      <c r="AU95" s="405" t="e">
        <f t="shared" si="83"/>
        <v>#VALUE!</v>
      </c>
      <c r="AV95" s="405" t="e">
        <f t="shared" si="83"/>
        <v>#VALUE!</v>
      </c>
      <c r="AW95" s="405" t="e">
        <f t="shared" si="83"/>
        <v>#VALUE!</v>
      </c>
      <c r="AX95" s="405" t="e">
        <f t="shared" si="83"/>
        <v>#VALUE!</v>
      </c>
      <c r="AY95" s="405" t="e">
        <f t="shared" si="83"/>
        <v>#VALUE!</v>
      </c>
      <c r="AZ95" s="405" t="e">
        <f t="shared" si="83"/>
        <v>#N/A</v>
      </c>
      <c r="BA95" s="405" t="e">
        <f t="shared" si="83"/>
        <v>#N/A</v>
      </c>
      <c r="BB95" s="405" t="e">
        <f t="shared" si="83"/>
        <v>#N/A</v>
      </c>
      <c r="BC95" s="405" t="e">
        <f t="shared" si="83"/>
        <v>#N/A</v>
      </c>
      <c r="BD95" s="405" t="e">
        <f t="shared" si="83"/>
        <v>#N/A</v>
      </c>
      <c r="BE95" s="405">
        <f t="shared" si="83"/>
        <v>80</v>
      </c>
      <c r="BF95" s="405">
        <f t="shared" si="83"/>
        <v>80</v>
      </c>
      <c r="BG95" s="405" t="e">
        <f t="shared" si="83"/>
        <v>#N/A</v>
      </c>
      <c r="BH95" s="405" t="e">
        <f t="shared" si="83"/>
        <v>#N/A</v>
      </c>
      <c r="BI95" s="405" t="e">
        <f t="shared" si="83"/>
        <v>#N/A</v>
      </c>
      <c r="BJ95" s="405" t="e">
        <f t="shared" si="83"/>
        <v>#N/A</v>
      </c>
      <c r="BK95" s="405" t="e">
        <f t="shared" si="83"/>
        <v>#N/A</v>
      </c>
      <c r="BL95" s="405" t="e">
        <f t="shared" si="83"/>
        <v>#N/A</v>
      </c>
      <c r="BM95" s="405" t="e">
        <f t="shared" si="83"/>
        <v>#N/A</v>
      </c>
      <c r="BN95" s="405">
        <f t="shared" si="83"/>
        <v>80</v>
      </c>
      <c r="BO95" s="405">
        <f t="shared" si="83"/>
        <v>80</v>
      </c>
      <c r="BP95" s="405" t="e">
        <f t="shared" ref="BP95:CD95" si="84">VLOOKUP(BP40,$B$59:$C$149,2)</f>
        <v>#N/A</v>
      </c>
      <c r="BQ95" s="405" t="e">
        <f t="shared" si="84"/>
        <v>#N/A</v>
      </c>
      <c r="BR95" s="405" t="e">
        <f t="shared" si="84"/>
        <v>#N/A</v>
      </c>
      <c r="BS95" s="405" t="e">
        <f t="shared" si="84"/>
        <v>#N/A</v>
      </c>
      <c r="BT95" s="405">
        <f t="shared" si="84"/>
        <v>80</v>
      </c>
      <c r="BU95" s="405">
        <f t="shared" si="84"/>
        <v>80</v>
      </c>
      <c r="BV95" s="405" t="e">
        <f t="shared" si="84"/>
        <v>#N/A</v>
      </c>
      <c r="BW95" s="405" t="e">
        <f t="shared" si="84"/>
        <v>#N/A</v>
      </c>
      <c r="BX95" s="405" t="e">
        <f t="shared" si="84"/>
        <v>#N/A</v>
      </c>
      <c r="BY95" s="405">
        <f t="shared" si="84"/>
        <v>80</v>
      </c>
      <c r="BZ95" s="405">
        <f t="shared" si="84"/>
        <v>80</v>
      </c>
      <c r="CA95" s="405" t="e">
        <f t="shared" si="84"/>
        <v>#N/A</v>
      </c>
      <c r="CB95" s="405" t="e">
        <f t="shared" si="84"/>
        <v>#N/A</v>
      </c>
      <c r="CC95" s="405" t="e">
        <f t="shared" si="84"/>
        <v>#N/A</v>
      </c>
      <c r="CD95" s="405" t="e">
        <f t="shared" si="84"/>
        <v>#N/A</v>
      </c>
    </row>
    <row r="96" spans="1:82" hidden="1">
      <c r="A96" s="665">
        <v>38</v>
      </c>
      <c r="B96" s="666">
        <v>47</v>
      </c>
      <c r="C96" s="18">
        <v>50</v>
      </c>
      <c r="D96" s="405">
        <f t="shared" ref="D96:BO96" si="85">VLOOKUP(D41,$B$59:$C$149,2)</f>
        <v>100</v>
      </c>
      <c r="E96" s="405">
        <f t="shared" si="85"/>
        <v>100</v>
      </c>
      <c r="F96" s="405">
        <f t="shared" si="85"/>
        <v>100</v>
      </c>
      <c r="G96" s="405" t="e">
        <f t="shared" si="85"/>
        <v>#N/A</v>
      </c>
      <c r="H96" s="405" t="e">
        <f t="shared" si="85"/>
        <v>#N/A</v>
      </c>
      <c r="I96" s="405" t="e">
        <f t="shared" si="85"/>
        <v>#N/A</v>
      </c>
      <c r="J96" s="405">
        <f t="shared" si="85"/>
        <v>80</v>
      </c>
      <c r="K96" s="405">
        <f t="shared" si="85"/>
        <v>90</v>
      </c>
      <c r="L96" s="405">
        <f t="shared" si="85"/>
        <v>100</v>
      </c>
      <c r="M96" s="405">
        <f t="shared" si="85"/>
        <v>100</v>
      </c>
      <c r="N96" s="405">
        <f t="shared" si="85"/>
        <v>100</v>
      </c>
      <c r="O96" s="405" t="e">
        <f t="shared" si="85"/>
        <v>#N/A</v>
      </c>
      <c r="P96" s="405" t="e">
        <f t="shared" si="85"/>
        <v>#N/A</v>
      </c>
      <c r="Q96" s="405" t="e">
        <f t="shared" si="85"/>
        <v>#N/A</v>
      </c>
      <c r="R96" s="405">
        <f t="shared" si="85"/>
        <v>80</v>
      </c>
      <c r="S96" s="405">
        <f t="shared" si="85"/>
        <v>90</v>
      </c>
      <c r="T96" s="405" t="e">
        <f t="shared" si="85"/>
        <v>#N/A</v>
      </c>
      <c r="U96" s="405" t="e">
        <f t="shared" si="85"/>
        <v>#N/A</v>
      </c>
      <c r="V96" s="405" t="e">
        <f t="shared" si="85"/>
        <v>#N/A</v>
      </c>
      <c r="W96" s="405" t="e">
        <f t="shared" si="85"/>
        <v>#N/A</v>
      </c>
      <c r="X96" s="405" t="e">
        <f t="shared" si="85"/>
        <v>#N/A</v>
      </c>
      <c r="Y96" s="405" t="e">
        <f t="shared" si="85"/>
        <v>#N/A</v>
      </c>
      <c r="Z96" s="405">
        <f t="shared" si="85"/>
        <v>100</v>
      </c>
      <c r="AA96" s="405">
        <f t="shared" si="85"/>
        <v>100</v>
      </c>
      <c r="AB96" s="405">
        <f t="shared" si="85"/>
        <v>100</v>
      </c>
      <c r="AC96" s="405">
        <f t="shared" si="85"/>
        <v>100</v>
      </c>
      <c r="AD96" s="405" t="e">
        <f t="shared" si="85"/>
        <v>#N/A</v>
      </c>
      <c r="AE96" s="405" t="e">
        <f t="shared" si="85"/>
        <v>#N/A</v>
      </c>
      <c r="AF96" s="405">
        <f t="shared" si="85"/>
        <v>100</v>
      </c>
      <c r="AG96" s="405">
        <f t="shared" si="85"/>
        <v>100</v>
      </c>
      <c r="AH96" s="405">
        <f t="shared" si="85"/>
        <v>100</v>
      </c>
      <c r="AI96" s="405" t="e">
        <f t="shared" si="85"/>
        <v>#N/A</v>
      </c>
      <c r="AJ96" s="405" t="e">
        <f t="shared" si="85"/>
        <v>#N/A</v>
      </c>
      <c r="AK96" s="405" t="e">
        <f t="shared" si="85"/>
        <v>#N/A</v>
      </c>
      <c r="AL96" s="405">
        <f t="shared" si="85"/>
        <v>100</v>
      </c>
      <c r="AM96" s="405">
        <f t="shared" si="85"/>
        <v>100</v>
      </c>
      <c r="AN96" s="405">
        <f t="shared" si="85"/>
        <v>100</v>
      </c>
      <c r="AO96" s="405" t="e">
        <f t="shared" si="85"/>
        <v>#N/A</v>
      </c>
      <c r="AP96" s="405" t="e">
        <f t="shared" si="85"/>
        <v>#N/A</v>
      </c>
      <c r="AQ96" s="405" t="e">
        <f t="shared" si="85"/>
        <v>#N/A</v>
      </c>
      <c r="AR96" s="405">
        <f t="shared" si="85"/>
        <v>100</v>
      </c>
      <c r="AS96" s="405">
        <f t="shared" si="85"/>
        <v>100</v>
      </c>
      <c r="AT96" s="405">
        <f t="shared" si="85"/>
        <v>100</v>
      </c>
      <c r="AU96" s="405" t="e">
        <f t="shared" si="85"/>
        <v>#VALUE!</v>
      </c>
      <c r="AV96" s="405" t="e">
        <f t="shared" si="85"/>
        <v>#VALUE!</v>
      </c>
      <c r="AW96" s="405" t="e">
        <f t="shared" si="85"/>
        <v>#VALUE!</v>
      </c>
      <c r="AX96" s="405" t="e">
        <f t="shared" si="85"/>
        <v>#VALUE!</v>
      </c>
      <c r="AY96" s="405" t="e">
        <f t="shared" si="85"/>
        <v>#VALUE!</v>
      </c>
      <c r="AZ96" s="405" t="e">
        <f t="shared" si="85"/>
        <v>#N/A</v>
      </c>
      <c r="BA96" s="405" t="e">
        <f t="shared" si="85"/>
        <v>#N/A</v>
      </c>
      <c r="BB96" s="405" t="e">
        <f t="shared" si="85"/>
        <v>#N/A</v>
      </c>
      <c r="BC96" s="405" t="e">
        <f t="shared" si="85"/>
        <v>#N/A</v>
      </c>
      <c r="BD96" s="405" t="e">
        <f t="shared" si="85"/>
        <v>#N/A</v>
      </c>
      <c r="BE96" s="405">
        <f t="shared" si="85"/>
        <v>80</v>
      </c>
      <c r="BF96" s="405">
        <f t="shared" si="85"/>
        <v>90</v>
      </c>
      <c r="BG96" s="405" t="e">
        <f t="shared" si="85"/>
        <v>#N/A</v>
      </c>
      <c r="BH96" s="405" t="e">
        <f t="shared" si="85"/>
        <v>#N/A</v>
      </c>
      <c r="BI96" s="405" t="e">
        <f t="shared" si="85"/>
        <v>#N/A</v>
      </c>
      <c r="BJ96" s="405" t="e">
        <f t="shared" si="85"/>
        <v>#N/A</v>
      </c>
      <c r="BK96" s="405" t="e">
        <f t="shared" si="85"/>
        <v>#N/A</v>
      </c>
      <c r="BL96" s="405" t="e">
        <f t="shared" si="85"/>
        <v>#N/A</v>
      </c>
      <c r="BM96" s="405" t="e">
        <f t="shared" si="85"/>
        <v>#N/A</v>
      </c>
      <c r="BN96" s="405">
        <f t="shared" si="85"/>
        <v>80</v>
      </c>
      <c r="BO96" s="405">
        <f t="shared" si="85"/>
        <v>90</v>
      </c>
      <c r="BP96" s="405" t="e">
        <f t="shared" ref="BP96:CD96" si="86">VLOOKUP(BP41,$B$59:$C$149,2)</f>
        <v>#N/A</v>
      </c>
      <c r="BQ96" s="405" t="e">
        <f t="shared" si="86"/>
        <v>#N/A</v>
      </c>
      <c r="BR96" s="405" t="e">
        <f t="shared" si="86"/>
        <v>#N/A</v>
      </c>
      <c r="BS96" s="405" t="e">
        <f t="shared" si="86"/>
        <v>#N/A</v>
      </c>
      <c r="BT96" s="405">
        <f t="shared" si="86"/>
        <v>80</v>
      </c>
      <c r="BU96" s="405">
        <f t="shared" si="86"/>
        <v>90</v>
      </c>
      <c r="BV96" s="405" t="e">
        <f t="shared" si="86"/>
        <v>#N/A</v>
      </c>
      <c r="BW96" s="405" t="e">
        <f t="shared" si="86"/>
        <v>#N/A</v>
      </c>
      <c r="BX96" s="405" t="e">
        <f t="shared" si="86"/>
        <v>#N/A</v>
      </c>
      <c r="BY96" s="405">
        <f t="shared" si="86"/>
        <v>80</v>
      </c>
      <c r="BZ96" s="405">
        <f t="shared" si="86"/>
        <v>90</v>
      </c>
      <c r="CA96" s="405" t="e">
        <f t="shared" si="86"/>
        <v>#N/A</v>
      </c>
      <c r="CB96" s="405" t="e">
        <f t="shared" si="86"/>
        <v>#N/A</v>
      </c>
      <c r="CC96" s="405" t="e">
        <f t="shared" si="86"/>
        <v>#N/A</v>
      </c>
      <c r="CD96" s="405" t="e">
        <f t="shared" si="86"/>
        <v>#N/A</v>
      </c>
    </row>
    <row r="97" spans="1:82" hidden="1">
      <c r="A97" s="665">
        <v>39</v>
      </c>
      <c r="B97" s="666">
        <v>48</v>
      </c>
      <c r="C97" s="18">
        <v>50</v>
      </c>
      <c r="D97" s="405">
        <f t="shared" ref="D97:BO97" si="87">VLOOKUP(D42,$B$59:$C$149,2)</f>
        <v>100</v>
      </c>
      <c r="E97" s="405">
        <f t="shared" si="87"/>
        <v>100</v>
      </c>
      <c r="F97" s="405">
        <f t="shared" si="87"/>
        <v>100</v>
      </c>
      <c r="G97" s="405" t="e">
        <f t="shared" si="87"/>
        <v>#N/A</v>
      </c>
      <c r="H97" s="405" t="e">
        <f t="shared" si="87"/>
        <v>#N/A</v>
      </c>
      <c r="I97" s="405" t="e">
        <f t="shared" si="87"/>
        <v>#N/A</v>
      </c>
      <c r="J97" s="405">
        <f t="shared" si="87"/>
        <v>90</v>
      </c>
      <c r="K97" s="405">
        <f t="shared" si="87"/>
        <v>80</v>
      </c>
      <c r="L97" s="405">
        <f t="shared" si="87"/>
        <v>100</v>
      </c>
      <c r="M97" s="405">
        <f t="shared" si="87"/>
        <v>100</v>
      </c>
      <c r="N97" s="405">
        <f t="shared" si="87"/>
        <v>100</v>
      </c>
      <c r="O97" s="405" t="e">
        <f t="shared" si="87"/>
        <v>#N/A</v>
      </c>
      <c r="P97" s="405" t="e">
        <f t="shared" si="87"/>
        <v>#N/A</v>
      </c>
      <c r="Q97" s="405" t="e">
        <f t="shared" si="87"/>
        <v>#N/A</v>
      </c>
      <c r="R97" s="405">
        <f t="shared" si="87"/>
        <v>90</v>
      </c>
      <c r="S97" s="405">
        <f t="shared" si="87"/>
        <v>80</v>
      </c>
      <c r="T97" s="405" t="e">
        <f t="shared" si="87"/>
        <v>#N/A</v>
      </c>
      <c r="U97" s="405" t="e">
        <f t="shared" si="87"/>
        <v>#N/A</v>
      </c>
      <c r="V97" s="405" t="e">
        <f t="shared" si="87"/>
        <v>#N/A</v>
      </c>
      <c r="W97" s="405" t="e">
        <f t="shared" si="87"/>
        <v>#N/A</v>
      </c>
      <c r="X97" s="405" t="e">
        <f t="shared" si="87"/>
        <v>#N/A</v>
      </c>
      <c r="Y97" s="405" t="e">
        <f t="shared" si="87"/>
        <v>#N/A</v>
      </c>
      <c r="Z97" s="405">
        <f t="shared" si="87"/>
        <v>100</v>
      </c>
      <c r="AA97" s="405">
        <f t="shared" si="87"/>
        <v>100</v>
      </c>
      <c r="AB97" s="405">
        <f t="shared" si="87"/>
        <v>100</v>
      </c>
      <c r="AC97" s="405">
        <f t="shared" si="87"/>
        <v>100</v>
      </c>
      <c r="AD97" s="405" t="e">
        <f t="shared" si="87"/>
        <v>#N/A</v>
      </c>
      <c r="AE97" s="405" t="e">
        <f t="shared" si="87"/>
        <v>#N/A</v>
      </c>
      <c r="AF97" s="405">
        <f t="shared" si="87"/>
        <v>100</v>
      </c>
      <c r="AG97" s="405">
        <f t="shared" si="87"/>
        <v>100</v>
      </c>
      <c r="AH97" s="405">
        <f t="shared" si="87"/>
        <v>100</v>
      </c>
      <c r="AI97" s="405" t="e">
        <f t="shared" si="87"/>
        <v>#N/A</v>
      </c>
      <c r="AJ97" s="405" t="e">
        <f t="shared" si="87"/>
        <v>#N/A</v>
      </c>
      <c r="AK97" s="405" t="e">
        <f t="shared" si="87"/>
        <v>#N/A</v>
      </c>
      <c r="AL97" s="405">
        <f t="shared" si="87"/>
        <v>100</v>
      </c>
      <c r="AM97" s="405">
        <f t="shared" si="87"/>
        <v>100</v>
      </c>
      <c r="AN97" s="405">
        <f t="shared" si="87"/>
        <v>100</v>
      </c>
      <c r="AO97" s="405" t="e">
        <f t="shared" si="87"/>
        <v>#N/A</v>
      </c>
      <c r="AP97" s="405" t="e">
        <f t="shared" si="87"/>
        <v>#N/A</v>
      </c>
      <c r="AQ97" s="405" t="e">
        <f t="shared" si="87"/>
        <v>#N/A</v>
      </c>
      <c r="AR97" s="405">
        <f t="shared" si="87"/>
        <v>100</v>
      </c>
      <c r="AS97" s="405">
        <f t="shared" si="87"/>
        <v>100</v>
      </c>
      <c r="AT97" s="405">
        <f t="shared" si="87"/>
        <v>100</v>
      </c>
      <c r="AU97" s="405" t="e">
        <f t="shared" si="87"/>
        <v>#VALUE!</v>
      </c>
      <c r="AV97" s="405" t="e">
        <f t="shared" si="87"/>
        <v>#VALUE!</v>
      </c>
      <c r="AW97" s="405" t="e">
        <f t="shared" si="87"/>
        <v>#VALUE!</v>
      </c>
      <c r="AX97" s="405" t="e">
        <f t="shared" si="87"/>
        <v>#VALUE!</v>
      </c>
      <c r="AY97" s="405" t="e">
        <f t="shared" si="87"/>
        <v>#VALUE!</v>
      </c>
      <c r="AZ97" s="405" t="e">
        <f t="shared" si="87"/>
        <v>#N/A</v>
      </c>
      <c r="BA97" s="405" t="e">
        <f t="shared" si="87"/>
        <v>#N/A</v>
      </c>
      <c r="BB97" s="405" t="e">
        <f t="shared" si="87"/>
        <v>#N/A</v>
      </c>
      <c r="BC97" s="405" t="e">
        <f t="shared" si="87"/>
        <v>#N/A</v>
      </c>
      <c r="BD97" s="405" t="e">
        <f t="shared" si="87"/>
        <v>#N/A</v>
      </c>
      <c r="BE97" s="405">
        <f t="shared" si="87"/>
        <v>90</v>
      </c>
      <c r="BF97" s="405">
        <f t="shared" si="87"/>
        <v>80</v>
      </c>
      <c r="BG97" s="405" t="e">
        <f t="shared" si="87"/>
        <v>#N/A</v>
      </c>
      <c r="BH97" s="405" t="e">
        <f t="shared" si="87"/>
        <v>#N/A</v>
      </c>
      <c r="BI97" s="405" t="e">
        <f t="shared" si="87"/>
        <v>#N/A</v>
      </c>
      <c r="BJ97" s="405" t="e">
        <f t="shared" si="87"/>
        <v>#N/A</v>
      </c>
      <c r="BK97" s="405" t="e">
        <f t="shared" si="87"/>
        <v>#N/A</v>
      </c>
      <c r="BL97" s="405" t="e">
        <f t="shared" si="87"/>
        <v>#N/A</v>
      </c>
      <c r="BM97" s="405" t="e">
        <f t="shared" si="87"/>
        <v>#N/A</v>
      </c>
      <c r="BN97" s="405">
        <f t="shared" si="87"/>
        <v>90</v>
      </c>
      <c r="BO97" s="405">
        <f t="shared" si="87"/>
        <v>80</v>
      </c>
      <c r="BP97" s="405" t="e">
        <f t="shared" ref="BP97:CD97" si="88">VLOOKUP(BP42,$B$59:$C$149,2)</f>
        <v>#N/A</v>
      </c>
      <c r="BQ97" s="405" t="e">
        <f t="shared" si="88"/>
        <v>#N/A</v>
      </c>
      <c r="BR97" s="405" t="e">
        <f t="shared" si="88"/>
        <v>#N/A</v>
      </c>
      <c r="BS97" s="405" t="e">
        <f t="shared" si="88"/>
        <v>#N/A</v>
      </c>
      <c r="BT97" s="405">
        <f t="shared" si="88"/>
        <v>90</v>
      </c>
      <c r="BU97" s="405">
        <f t="shared" si="88"/>
        <v>80</v>
      </c>
      <c r="BV97" s="405" t="e">
        <f t="shared" si="88"/>
        <v>#N/A</v>
      </c>
      <c r="BW97" s="405" t="e">
        <f t="shared" si="88"/>
        <v>#N/A</v>
      </c>
      <c r="BX97" s="405" t="e">
        <f t="shared" si="88"/>
        <v>#N/A</v>
      </c>
      <c r="BY97" s="405">
        <f t="shared" si="88"/>
        <v>90</v>
      </c>
      <c r="BZ97" s="405">
        <f t="shared" si="88"/>
        <v>80</v>
      </c>
      <c r="CA97" s="405" t="e">
        <f t="shared" si="88"/>
        <v>#N/A</v>
      </c>
      <c r="CB97" s="405" t="e">
        <f t="shared" si="88"/>
        <v>#N/A</v>
      </c>
      <c r="CC97" s="405" t="e">
        <f t="shared" si="88"/>
        <v>#N/A</v>
      </c>
      <c r="CD97" s="405" t="e">
        <f t="shared" si="88"/>
        <v>#N/A</v>
      </c>
    </row>
    <row r="98" spans="1:82" hidden="1">
      <c r="A98" s="665">
        <v>40</v>
      </c>
      <c r="B98" s="666">
        <v>49</v>
      </c>
      <c r="C98" s="18">
        <v>50</v>
      </c>
      <c r="D98" s="405">
        <f t="shared" ref="D98:BO98" si="89">VLOOKUP(D43,$B$59:$C$149,2)</f>
        <v>100</v>
      </c>
      <c r="E98" s="405">
        <f t="shared" si="89"/>
        <v>100</v>
      </c>
      <c r="F98" s="405">
        <f t="shared" si="89"/>
        <v>100</v>
      </c>
      <c r="G98" s="405" t="e">
        <f t="shared" si="89"/>
        <v>#N/A</v>
      </c>
      <c r="H98" s="405" t="e">
        <f t="shared" si="89"/>
        <v>#N/A</v>
      </c>
      <c r="I98" s="405" t="e">
        <f t="shared" si="89"/>
        <v>#N/A</v>
      </c>
      <c r="J98" s="405">
        <f t="shared" si="89"/>
        <v>90</v>
      </c>
      <c r="K98" s="405">
        <f t="shared" si="89"/>
        <v>80</v>
      </c>
      <c r="L98" s="405">
        <f t="shared" si="89"/>
        <v>100</v>
      </c>
      <c r="M98" s="405">
        <f t="shared" si="89"/>
        <v>100</v>
      </c>
      <c r="N98" s="405">
        <f t="shared" si="89"/>
        <v>100</v>
      </c>
      <c r="O98" s="405" t="e">
        <f t="shared" si="89"/>
        <v>#N/A</v>
      </c>
      <c r="P98" s="405" t="e">
        <f t="shared" si="89"/>
        <v>#N/A</v>
      </c>
      <c r="Q98" s="405" t="e">
        <f t="shared" si="89"/>
        <v>#N/A</v>
      </c>
      <c r="R98" s="405">
        <f t="shared" si="89"/>
        <v>90</v>
      </c>
      <c r="S98" s="405">
        <f t="shared" si="89"/>
        <v>80</v>
      </c>
      <c r="T98" s="405" t="e">
        <f t="shared" si="89"/>
        <v>#N/A</v>
      </c>
      <c r="U98" s="405" t="e">
        <f t="shared" si="89"/>
        <v>#N/A</v>
      </c>
      <c r="V98" s="405" t="e">
        <f t="shared" si="89"/>
        <v>#N/A</v>
      </c>
      <c r="W98" s="405" t="e">
        <f t="shared" si="89"/>
        <v>#N/A</v>
      </c>
      <c r="X98" s="405" t="e">
        <f t="shared" si="89"/>
        <v>#N/A</v>
      </c>
      <c r="Y98" s="405" t="e">
        <f t="shared" si="89"/>
        <v>#N/A</v>
      </c>
      <c r="Z98" s="405">
        <f t="shared" si="89"/>
        <v>100</v>
      </c>
      <c r="AA98" s="405">
        <f t="shared" si="89"/>
        <v>100</v>
      </c>
      <c r="AB98" s="405">
        <f t="shared" si="89"/>
        <v>100</v>
      </c>
      <c r="AC98" s="405">
        <f t="shared" si="89"/>
        <v>100</v>
      </c>
      <c r="AD98" s="405" t="e">
        <f t="shared" si="89"/>
        <v>#N/A</v>
      </c>
      <c r="AE98" s="405" t="e">
        <f t="shared" si="89"/>
        <v>#N/A</v>
      </c>
      <c r="AF98" s="405">
        <f t="shared" si="89"/>
        <v>100</v>
      </c>
      <c r="AG98" s="405">
        <f t="shared" si="89"/>
        <v>100</v>
      </c>
      <c r="AH98" s="405">
        <f t="shared" si="89"/>
        <v>100</v>
      </c>
      <c r="AI98" s="405" t="e">
        <f t="shared" si="89"/>
        <v>#N/A</v>
      </c>
      <c r="AJ98" s="405" t="e">
        <f t="shared" si="89"/>
        <v>#N/A</v>
      </c>
      <c r="AK98" s="405" t="e">
        <f t="shared" si="89"/>
        <v>#N/A</v>
      </c>
      <c r="AL98" s="405">
        <f t="shared" si="89"/>
        <v>100</v>
      </c>
      <c r="AM98" s="405">
        <f t="shared" si="89"/>
        <v>100</v>
      </c>
      <c r="AN98" s="405">
        <f t="shared" si="89"/>
        <v>100</v>
      </c>
      <c r="AO98" s="405" t="e">
        <f t="shared" si="89"/>
        <v>#N/A</v>
      </c>
      <c r="AP98" s="405" t="e">
        <f t="shared" si="89"/>
        <v>#N/A</v>
      </c>
      <c r="AQ98" s="405" t="e">
        <f t="shared" si="89"/>
        <v>#N/A</v>
      </c>
      <c r="AR98" s="405">
        <f t="shared" si="89"/>
        <v>100</v>
      </c>
      <c r="AS98" s="405">
        <f t="shared" si="89"/>
        <v>100</v>
      </c>
      <c r="AT98" s="405">
        <f t="shared" si="89"/>
        <v>100</v>
      </c>
      <c r="AU98" s="405" t="e">
        <f t="shared" si="89"/>
        <v>#VALUE!</v>
      </c>
      <c r="AV98" s="405" t="e">
        <f t="shared" si="89"/>
        <v>#VALUE!</v>
      </c>
      <c r="AW98" s="405" t="e">
        <f t="shared" si="89"/>
        <v>#VALUE!</v>
      </c>
      <c r="AX98" s="405" t="e">
        <f t="shared" si="89"/>
        <v>#VALUE!</v>
      </c>
      <c r="AY98" s="405" t="e">
        <f t="shared" si="89"/>
        <v>#VALUE!</v>
      </c>
      <c r="AZ98" s="405" t="e">
        <f t="shared" si="89"/>
        <v>#N/A</v>
      </c>
      <c r="BA98" s="405" t="e">
        <f t="shared" si="89"/>
        <v>#N/A</v>
      </c>
      <c r="BB98" s="405" t="e">
        <f t="shared" si="89"/>
        <v>#N/A</v>
      </c>
      <c r="BC98" s="405" t="e">
        <f t="shared" si="89"/>
        <v>#N/A</v>
      </c>
      <c r="BD98" s="405" t="e">
        <f t="shared" si="89"/>
        <v>#N/A</v>
      </c>
      <c r="BE98" s="405">
        <f t="shared" si="89"/>
        <v>90</v>
      </c>
      <c r="BF98" s="405">
        <f t="shared" si="89"/>
        <v>80</v>
      </c>
      <c r="BG98" s="405" t="e">
        <f t="shared" si="89"/>
        <v>#N/A</v>
      </c>
      <c r="BH98" s="405" t="e">
        <f t="shared" si="89"/>
        <v>#N/A</v>
      </c>
      <c r="BI98" s="405" t="e">
        <f t="shared" si="89"/>
        <v>#N/A</v>
      </c>
      <c r="BJ98" s="405" t="e">
        <f t="shared" si="89"/>
        <v>#N/A</v>
      </c>
      <c r="BK98" s="405" t="e">
        <f t="shared" si="89"/>
        <v>#N/A</v>
      </c>
      <c r="BL98" s="405" t="e">
        <f t="shared" si="89"/>
        <v>#N/A</v>
      </c>
      <c r="BM98" s="405" t="e">
        <f t="shared" si="89"/>
        <v>#N/A</v>
      </c>
      <c r="BN98" s="405">
        <f t="shared" si="89"/>
        <v>90</v>
      </c>
      <c r="BO98" s="405">
        <f t="shared" si="89"/>
        <v>80</v>
      </c>
      <c r="BP98" s="405" t="e">
        <f t="shared" ref="BP98:CD98" si="90">VLOOKUP(BP43,$B$59:$C$149,2)</f>
        <v>#N/A</v>
      </c>
      <c r="BQ98" s="405" t="e">
        <f t="shared" si="90"/>
        <v>#N/A</v>
      </c>
      <c r="BR98" s="405" t="e">
        <f t="shared" si="90"/>
        <v>#N/A</v>
      </c>
      <c r="BS98" s="405" t="e">
        <f t="shared" si="90"/>
        <v>#N/A</v>
      </c>
      <c r="BT98" s="405">
        <f t="shared" si="90"/>
        <v>90</v>
      </c>
      <c r="BU98" s="405">
        <f t="shared" si="90"/>
        <v>80</v>
      </c>
      <c r="BV98" s="405" t="e">
        <f t="shared" si="90"/>
        <v>#N/A</v>
      </c>
      <c r="BW98" s="405" t="e">
        <f t="shared" si="90"/>
        <v>#N/A</v>
      </c>
      <c r="BX98" s="405" t="e">
        <f t="shared" si="90"/>
        <v>#N/A</v>
      </c>
      <c r="BY98" s="405">
        <f t="shared" si="90"/>
        <v>90</v>
      </c>
      <c r="BZ98" s="405">
        <f t="shared" si="90"/>
        <v>80</v>
      </c>
      <c r="CA98" s="405" t="e">
        <f t="shared" si="90"/>
        <v>#N/A</v>
      </c>
      <c r="CB98" s="405" t="e">
        <f t="shared" si="90"/>
        <v>#N/A</v>
      </c>
      <c r="CC98" s="405" t="e">
        <f t="shared" si="90"/>
        <v>#N/A</v>
      </c>
      <c r="CD98" s="405" t="e">
        <f t="shared" si="90"/>
        <v>#N/A</v>
      </c>
    </row>
    <row r="99" spans="1:82" hidden="1">
      <c r="A99" s="665">
        <v>41</v>
      </c>
      <c r="B99" s="666">
        <v>50</v>
      </c>
      <c r="C99" s="18">
        <v>50</v>
      </c>
      <c r="D99" s="405">
        <f t="shared" ref="D99:BO99" si="91">VLOOKUP(D44,$B$59:$C$149,2)</f>
        <v>100</v>
      </c>
      <c r="E99" s="405">
        <f t="shared" si="91"/>
        <v>100</v>
      </c>
      <c r="F99" s="405">
        <f t="shared" si="91"/>
        <v>100</v>
      </c>
      <c r="G99" s="405" t="e">
        <f t="shared" si="91"/>
        <v>#N/A</v>
      </c>
      <c r="H99" s="405" t="e">
        <f t="shared" si="91"/>
        <v>#N/A</v>
      </c>
      <c r="I99" s="405" t="e">
        <f t="shared" si="91"/>
        <v>#N/A</v>
      </c>
      <c r="J99" s="405">
        <f t="shared" si="91"/>
        <v>80</v>
      </c>
      <c r="K99" s="405">
        <f t="shared" si="91"/>
        <v>90</v>
      </c>
      <c r="L99" s="405">
        <f t="shared" si="91"/>
        <v>100</v>
      </c>
      <c r="M99" s="405">
        <f t="shared" si="91"/>
        <v>100</v>
      </c>
      <c r="N99" s="405">
        <f t="shared" si="91"/>
        <v>100</v>
      </c>
      <c r="O99" s="405" t="e">
        <f t="shared" si="91"/>
        <v>#N/A</v>
      </c>
      <c r="P99" s="405" t="e">
        <f t="shared" si="91"/>
        <v>#N/A</v>
      </c>
      <c r="Q99" s="405" t="e">
        <f t="shared" si="91"/>
        <v>#N/A</v>
      </c>
      <c r="R99" s="405">
        <f t="shared" si="91"/>
        <v>80</v>
      </c>
      <c r="S99" s="405">
        <f t="shared" si="91"/>
        <v>90</v>
      </c>
      <c r="T99" s="405" t="e">
        <f t="shared" si="91"/>
        <v>#N/A</v>
      </c>
      <c r="U99" s="405" t="e">
        <f t="shared" si="91"/>
        <v>#N/A</v>
      </c>
      <c r="V99" s="405" t="e">
        <f t="shared" si="91"/>
        <v>#N/A</v>
      </c>
      <c r="W99" s="405" t="e">
        <f t="shared" si="91"/>
        <v>#N/A</v>
      </c>
      <c r="X99" s="405" t="e">
        <f t="shared" si="91"/>
        <v>#N/A</v>
      </c>
      <c r="Y99" s="405" t="e">
        <f t="shared" si="91"/>
        <v>#N/A</v>
      </c>
      <c r="Z99" s="405">
        <f t="shared" si="91"/>
        <v>100</v>
      </c>
      <c r="AA99" s="405">
        <f t="shared" si="91"/>
        <v>100</v>
      </c>
      <c r="AB99" s="405">
        <f t="shared" si="91"/>
        <v>100</v>
      </c>
      <c r="AC99" s="405">
        <f t="shared" si="91"/>
        <v>100</v>
      </c>
      <c r="AD99" s="405" t="e">
        <f t="shared" si="91"/>
        <v>#N/A</v>
      </c>
      <c r="AE99" s="405" t="e">
        <f t="shared" si="91"/>
        <v>#N/A</v>
      </c>
      <c r="AF99" s="405">
        <f t="shared" si="91"/>
        <v>100</v>
      </c>
      <c r="AG99" s="405">
        <f t="shared" si="91"/>
        <v>100</v>
      </c>
      <c r="AH99" s="405">
        <f t="shared" si="91"/>
        <v>100</v>
      </c>
      <c r="AI99" s="405" t="e">
        <f t="shared" si="91"/>
        <v>#N/A</v>
      </c>
      <c r="AJ99" s="405" t="e">
        <f t="shared" si="91"/>
        <v>#N/A</v>
      </c>
      <c r="AK99" s="405" t="e">
        <f t="shared" si="91"/>
        <v>#N/A</v>
      </c>
      <c r="AL99" s="405">
        <f t="shared" si="91"/>
        <v>100</v>
      </c>
      <c r="AM99" s="405">
        <f t="shared" si="91"/>
        <v>100</v>
      </c>
      <c r="AN99" s="405">
        <f t="shared" si="91"/>
        <v>100</v>
      </c>
      <c r="AO99" s="405" t="e">
        <f t="shared" si="91"/>
        <v>#N/A</v>
      </c>
      <c r="AP99" s="405" t="e">
        <f t="shared" si="91"/>
        <v>#N/A</v>
      </c>
      <c r="AQ99" s="405" t="e">
        <f t="shared" si="91"/>
        <v>#N/A</v>
      </c>
      <c r="AR99" s="405">
        <f t="shared" si="91"/>
        <v>100</v>
      </c>
      <c r="AS99" s="405">
        <f t="shared" si="91"/>
        <v>100</v>
      </c>
      <c r="AT99" s="405">
        <f t="shared" si="91"/>
        <v>100</v>
      </c>
      <c r="AU99" s="405" t="e">
        <f t="shared" si="91"/>
        <v>#VALUE!</v>
      </c>
      <c r="AV99" s="405" t="e">
        <f t="shared" si="91"/>
        <v>#VALUE!</v>
      </c>
      <c r="AW99" s="405" t="e">
        <f t="shared" si="91"/>
        <v>#VALUE!</v>
      </c>
      <c r="AX99" s="405" t="e">
        <f t="shared" si="91"/>
        <v>#VALUE!</v>
      </c>
      <c r="AY99" s="405" t="e">
        <f t="shared" si="91"/>
        <v>#VALUE!</v>
      </c>
      <c r="AZ99" s="405" t="e">
        <f t="shared" si="91"/>
        <v>#N/A</v>
      </c>
      <c r="BA99" s="405" t="e">
        <f t="shared" si="91"/>
        <v>#N/A</v>
      </c>
      <c r="BB99" s="405" t="e">
        <f t="shared" si="91"/>
        <v>#N/A</v>
      </c>
      <c r="BC99" s="405" t="e">
        <f t="shared" si="91"/>
        <v>#N/A</v>
      </c>
      <c r="BD99" s="405" t="e">
        <f t="shared" si="91"/>
        <v>#N/A</v>
      </c>
      <c r="BE99" s="405">
        <f t="shared" si="91"/>
        <v>80</v>
      </c>
      <c r="BF99" s="405">
        <f t="shared" si="91"/>
        <v>90</v>
      </c>
      <c r="BG99" s="405" t="e">
        <f t="shared" si="91"/>
        <v>#N/A</v>
      </c>
      <c r="BH99" s="405" t="e">
        <f t="shared" si="91"/>
        <v>#N/A</v>
      </c>
      <c r="BI99" s="405" t="e">
        <f t="shared" si="91"/>
        <v>#N/A</v>
      </c>
      <c r="BJ99" s="405" t="e">
        <f t="shared" si="91"/>
        <v>#N/A</v>
      </c>
      <c r="BK99" s="405" t="e">
        <f t="shared" si="91"/>
        <v>#N/A</v>
      </c>
      <c r="BL99" s="405" t="e">
        <f t="shared" si="91"/>
        <v>#N/A</v>
      </c>
      <c r="BM99" s="405" t="e">
        <f t="shared" si="91"/>
        <v>#N/A</v>
      </c>
      <c r="BN99" s="405">
        <f t="shared" si="91"/>
        <v>80</v>
      </c>
      <c r="BO99" s="405">
        <f t="shared" si="91"/>
        <v>90</v>
      </c>
      <c r="BP99" s="405" t="e">
        <f t="shared" ref="BP99:CD99" si="92">VLOOKUP(BP44,$B$59:$C$149,2)</f>
        <v>#N/A</v>
      </c>
      <c r="BQ99" s="405" t="e">
        <f t="shared" si="92"/>
        <v>#N/A</v>
      </c>
      <c r="BR99" s="405" t="e">
        <f t="shared" si="92"/>
        <v>#N/A</v>
      </c>
      <c r="BS99" s="405" t="e">
        <f t="shared" si="92"/>
        <v>#N/A</v>
      </c>
      <c r="BT99" s="405">
        <f t="shared" si="92"/>
        <v>80</v>
      </c>
      <c r="BU99" s="405">
        <f t="shared" si="92"/>
        <v>90</v>
      </c>
      <c r="BV99" s="405" t="e">
        <f t="shared" si="92"/>
        <v>#N/A</v>
      </c>
      <c r="BW99" s="405" t="e">
        <f t="shared" si="92"/>
        <v>#N/A</v>
      </c>
      <c r="BX99" s="405" t="e">
        <f t="shared" si="92"/>
        <v>#N/A</v>
      </c>
      <c r="BY99" s="405">
        <f t="shared" si="92"/>
        <v>80</v>
      </c>
      <c r="BZ99" s="405">
        <f t="shared" si="92"/>
        <v>90</v>
      </c>
      <c r="CA99" s="405" t="e">
        <f t="shared" si="92"/>
        <v>#N/A</v>
      </c>
      <c r="CB99" s="405" t="e">
        <f t="shared" si="92"/>
        <v>#N/A</v>
      </c>
      <c r="CC99" s="405" t="e">
        <f t="shared" si="92"/>
        <v>#N/A</v>
      </c>
      <c r="CD99" s="405" t="e">
        <f t="shared" si="92"/>
        <v>#N/A</v>
      </c>
    </row>
    <row r="100" spans="1:82" hidden="1">
      <c r="A100" s="665">
        <v>42</v>
      </c>
      <c r="B100" s="666">
        <v>51</v>
      </c>
      <c r="C100" s="18">
        <v>50</v>
      </c>
      <c r="D100" s="405">
        <f t="shared" ref="D100:BO100" si="93">VLOOKUP(D45,$B$59:$C$149,2)</f>
        <v>100</v>
      </c>
      <c r="E100" s="405">
        <f t="shared" si="93"/>
        <v>100</v>
      </c>
      <c r="F100" s="405">
        <f t="shared" si="93"/>
        <v>100</v>
      </c>
      <c r="G100" s="405" t="e">
        <f t="shared" si="93"/>
        <v>#N/A</v>
      </c>
      <c r="H100" s="405" t="e">
        <f t="shared" si="93"/>
        <v>#N/A</v>
      </c>
      <c r="I100" s="405" t="e">
        <f t="shared" si="93"/>
        <v>#N/A</v>
      </c>
      <c r="J100" s="405">
        <f t="shared" si="93"/>
        <v>85</v>
      </c>
      <c r="K100" s="405">
        <f t="shared" si="93"/>
        <v>90</v>
      </c>
      <c r="L100" s="405">
        <f t="shared" si="93"/>
        <v>100</v>
      </c>
      <c r="M100" s="405">
        <f t="shared" si="93"/>
        <v>100</v>
      </c>
      <c r="N100" s="405">
        <f t="shared" si="93"/>
        <v>100</v>
      </c>
      <c r="O100" s="405" t="e">
        <f t="shared" si="93"/>
        <v>#N/A</v>
      </c>
      <c r="P100" s="405" t="e">
        <f t="shared" si="93"/>
        <v>#N/A</v>
      </c>
      <c r="Q100" s="405" t="e">
        <f t="shared" si="93"/>
        <v>#N/A</v>
      </c>
      <c r="R100" s="405">
        <f t="shared" si="93"/>
        <v>85</v>
      </c>
      <c r="S100" s="405">
        <f t="shared" si="93"/>
        <v>90</v>
      </c>
      <c r="T100" s="405" t="e">
        <f t="shared" si="93"/>
        <v>#N/A</v>
      </c>
      <c r="U100" s="405" t="e">
        <f t="shared" si="93"/>
        <v>#N/A</v>
      </c>
      <c r="V100" s="405" t="e">
        <f t="shared" si="93"/>
        <v>#N/A</v>
      </c>
      <c r="W100" s="405" t="e">
        <f t="shared" si="93"/>
        <v>#N/A</v>
      </c>
      <c r="X100" s="405" t="e">
        <f t="shared" si="93"/>
        <v>#N/A</v>
      </c>
      <c r="Y100" s="405" t="e">
        <f t="shared" si="93"/>
        <v>#N/A</v>
      </c>
      <c r="Z100" s="405">
        <f t="shared" si="93"/>
        <v>100</v>
      </c>
      <c r="AA100" s="405">
        <f t="shared" si="93"/>
        <v>100</v>
      </c>
      <c r="AB100" s="405">
        <f t="shared" si="93"/>
        <v>100</v>
      </c>
      <c r="AC100" s="405">
        <f t="shared" si="93"/>
        <v>100</v>
      </c>
      <c r="AD100" s="405" t="e">
        <f t="shared" si="93"/>
        <v>#N/A</v>
      </c>
      <c r="AE100" s="405" t="e">
        <f t="shared" si="93"/>
        <v>#N/A</v>
      </c>
      <c r="AF100" s="405">
        <f t="shared" si="93"/>
        <v>100</v>
      </c>
      <c r="AG100" s="405">
        <f t="shared" si="93"/>
        <v>100</v>
      </c>
      <c r="AH100" s="405">
        <f t="shared" si="93"/>
        <v>100</v>
      </c>
      <c r="AI100" s="405" t="e">
        <f t="shared" si="93"/>
        <v>#N/A</v>
      </c>
      <c r="AJ100" s="405" t="e">
        <f t="shared" si="93"/>
        <v>#N/A</v>
      </c>
      <c r="AK100" s="405" t="e">
        <f t="shared" si="93"/>
        <v>#N/A</v>
      </c>
      <c r="AL100" s="405">
        <f t="shared" si="93"/>
        <v>100</v>
      </c>
      <c r="AM100" s="405">
        <f t="shared" si="93"/>
        <v>100</v>
      </c>
      <c r="AN100" s="405">
        <f t="shared" si="93"/>
        <v>100</v>
      </c>
      <c r="AO100" s="405" t="e">
        <f t="shared" si="93"/>
        <v>#N/A</v>
      </c>
      <c r="AP100" s="405" t="e">
        <f t="shared" si="93"/>
        <v>#N/A</v>
      </c>
      <c r="AQ100" s="405" t="e">
        <f t="shared" si="93"/>
        <v>#N/A</v>
      </c>
      <c r="AR100" s="405">
        <f t="shared" si="93"/>
        <v>100</v>
      </c>
      <c r="AS100" s="405">
        <f t="shared" si="93"/>
        <v>100</v>
      </c>
      <c r="AT100" s="405">
        <f t="shared" si="93"/>
        <v>100</v>
      </c>
      <c r="AU100" s="405" t="e">
        <f t="shared" si="93"/>
        <v>#VALUE!</v>
      </c>
      <c r="AV100" s="405" t="e">
        <f t="shared" si="93"/>
        <v>#VALUE!</v>
      </c>
      <c r="AW100" s="405" t="e">
        <f t="shared" si="93"/>
        <v>#VALUE!</v>
      </c>
      <c r="AX100" s="405" t="e">
        <f t="shared" si="93"/>
        <v>#VALUE!</v>
      </c>
      <c r="AY100" s="405" t="e">
        <f t="shared" si="93"/>
        <v>#VALUE!</v>
      </c>
      <c r="AZ100" s="405" t="e">
        <f t="shared" si="93"/>
        <v>#N/A</v>
      </c>
      <c r="BA100" s="405" t="e">
        <f t="shared" si="93"/>
        <v>#N/A</v>
      </c>
      <c r="BB100" s="405" t="e">
        <f t="shared" si="93"/>
        <v>#N/A</v>
      </c>
      <c r="BC100" s="405" t="e">
        <f t="shared" si="93"/>
        <v>#N/A</v>
      </c>
      <c r="BD100" s="405" t="e">
        <f t="shared" si="93"/>
        <v>#N/A</v>
      </c>
      <c r="BE100" s="405">
        <f t="shared" si="93"/>
        <v>85</v>
      </c>
      <c r="BF100" s="405">
        <f t="shared" si="93"/>
        <v>90</v>
      </c>
      <c r="BG100" s="405" t="e">
        <f t="shared" si="93"/>
        <v>#N/A</v>
      </c>
      <c r="BH100" s="405" t="e">
        <f t="shared" si="93"/>
        <v>#N/A</v>
      </c>
      <c r="BI100" s="405" t="e">
        <f t="shared" si="93"/>
        <v>#N/A</v>
      </c>
      <c r="BJ100" s="405" t="e">
        <f t="shared" si="93"/>
        <v>#N/A</v>
      </c>
      <c r="BK100" s="405" t="e">
        <f t="shared" si="93"/>
        <v>#N/A</v>
      </c>
      <c r="BL100" s="405" t="e">
        <f t="shared" si="93"/>
        <v>#N/A</v>
      </c>
      <c r="BM100" s="405" t="e">
        <f t="shared" si="93"/>
        <v>#N/A</v>
      </c>
      <c r="BN100" s="405">
        <f t="shared" si="93"/>
        <v>85</v>
      </c>
      <c r="BO100" s="405">
        <f t="shared" si="93"/>
        <v>90</v>
      </c>
      <c r="BP100" s="405" t="e">
        <f t="shared" ref="BP100:CD100" si="94">VLOOKUP(BP45,$B$59:$C$149,2)</f>
        <v>#N/A</v>
      </c>
      <c r="BQ100" s="405" t="e">
        <f t="shared" si="94"/>
        <v>#N/A</v>
      </c>
      <c r="BR100" s="405" t="e">
        <f t="shared" si="94"/>
        <v>#N/A</v>
      </c>
      <c r="BS100" s="405" t="e">
        <f t="shared" si="94"/>
        <v>#N/A</v>
      </c>
      <c r="BT100" s="405">
        <f t="shared" si="94"/>
        <v>85</v>
      </c>
      <c r="BU100" s="405">
        <f t="shared" si="94"/>
        <v>90</v>
      </c>
      <c r="BV100" s="405" t="e">
        <f t="shared" si="94"/>
        <v>#N/A</v>
      </c>
      <c r="BW100" s="405" t="e">
        <f t="shared" si="94"/>
        <v>#N/A</v>
      </c>
      <c r="BX100" s="405" t="e">
        <f t="shared" si="94"/>
        <v>#N/A</v>
      </c>
      <c r="BY100" s="405">
        <f t="shared" si="94"/>
        <v>85</v>
      </c>
      <c r="BZ100" s="405">
        <f t="shared" si="94"/>
        <v>90</v>
      </c>
      <c r="CA100" s="405" t="e">
        <f t="shared" si="94"/>
        <v>#N/A</v>
      </c>
      <c r="CB100" s="405" t="e">
        <f t="shared" si="94"/>
        <v>#N/A</v>
      </c>
      <c r="CC100" s="405" t="e">
        <f t="shared" si="94"/>
        <v>#N/A</v>
      </c>
      <c r="CD100" s="405" t="e">
        <f t="shared" si="94"/>
        <v>#N/A</v>
      </c>
    </row>
    <row r="101" spans="1:82" hidden="1">
      <c r="A101" s="665">
        <v>43</v>
      </c>
      <c r="B101" s="666">
        <v>52</v>
      </c>
      <c r="C101" s="18">
        <v>50</v>
      </c>
      <c r="D101" s="405">
        <f t="shared" ref="D101:BO101" si="95">VLOOKUP(D46,$B$59:$C$149,2)</f>
        <v>100</v>
      </c>
      <c r="E101" s="405">
        <f t="shared" si="95"/>
        <v>100</v>
      </c>
      <c r="F101" s="405">
        <f t="shared" si="95"/>
        <v>100</v>
      </c>
      <c r="G101" s="405" t="e">
        <f t="shared" si="95"/>
        <v>#N/A</v>
      </c>
      <c r="H101" s="405" t="e">
        <f t="shared" si="95"/>
        <v>#N/A</v>
      </c>
      <c r="I101" s="405" t="e">
        <f t="shared" si="95"/>
        <v>#N/A</v>
      </c>
      <c r="J101" s="405">
        <f t="shared" si="95"/>
        <v>75</v>
      </c>
      <c r="K101" s="405">
        <f t="shared" si="95"/>
        <v>80</v>
      </c>
      <c r="L101" s="405">
        <f t="shared" si="95"/>
        <v>100</v>
      </c>
      <c r="M101" s="405">
        <f t="shared" si="95"/>
        <v>100</v>
      </c>
      <c r="N101" s="405">
        <f t="shared" si="95"/>
        <v>100</v>
      </c>
      <c r="O101" s="405" t="e">
        <f t="shared" si="95"/>
        <v>#N/A</v>
      </c>
      <c r="P101" s="405" t="e">
        <f t="shared" si="95"/>
        <v>#N/A</v>
      </c>
      <c r="Q101" s="405" t="e">
        <f t="shared" si="95"/>
        <v>#N/A</v>
      </c>
      <c r="R101" s="405">
        <f t="shared" si="95"/>
        <v>75</v>
      </c>
      <c r="S101" s="405">
        <f t="shared" si="95"/>
        <v>80</v>
      </c>
      <c r="T101" s="405" t="e">
        <f t="shared" si="95"/>
        <v>#N/A</v>
      </c>
      <c r="U101" s="405" t="e">
        <f t="shared" si="95"/>
        <v>#N/A</v>
      </c>
      <c r="V101" s="405" t="e">
        <f t="shared" si="95"/>
        <v>#N/A</v>
      </c>
      <c r="W101" s="405" t="e">
        <f t="shared" si="95"/>
        <v>#N/A</v>
      </c>
      <c r="X101" s="405" t="e">
        <f t="shared" si="95"/>
        <v>#N/A</v>
      </c>
      <c r="Y101" s="405" t="e">
        <f t="shared" si="95"/>
        <v>#N/A</v>
      </c>
      <c r="Z101" s="405">
        <f t="shared" si="95"/>
        <v>100</v>
      </c>
      <c r="AA101" s="405">
        <f t="shared" si="95"/>
        <v>100</v>
      </c>
      <c r="AB101" s="405">
        <f t="shared" si="95"/>
        <v>100</v>
      </c>
      <c r="AC101" s="405">
        <f t="shared" si="95"/>
        <v>100</v>
      </c>
      <c r="AD101" s="405" t="e">
        <f t="shared" si="95"/>
        <v>#N/A</v>
      </c>
      <c r="AE101" s="405" t="e">
        <f t="shared" si="95"/>
        <v>#N/A</v>
      </c>
      <c r="AF101" s="405">
        <f t="shared" si="95"/>
        <v>100</v>
      </c>
      <c r="AG101" s="405">
        <f t="shared" si="95"/>
        <v>100</v>
      </c>
      <c r="AH101" s="405">
        <f t="shared" si="95"/>
        <v>100</v>
      </c>
      <c r="AI101" s="405" t="e">
        <f t="shared" si="95"/>
        <v>#N/A</v>
      </c>
      <c r="AJ101" s="405" t="e">
        <f t="shared" si="95"/>
        <v>#N/A</v>
      </c>
      <c r="AK101" s="405" t="e">
        <f t="shared" si="95"/>
        <v>#N/A</v>
      </c>
      <c r="AL101" s="405">
        <f t="shared" si="95"/>
        <v>100</v>
      </c>
      <c r="AM101" s="405">
        <f t="shared" si="95"/>
        <v>100</v>
      </c>
      <c r="AN101" s="405">
        <f t="shared" si="95"/>
        <v>100</v>
      </c>
      <c r="AO101" s="405" t="e">
        <f t="shared" si="95"/>
        <v>#N/A</v>
      </c>
      <c r="AP101" s="405" t="e">
        <f t="shared" si="95"/>
        <v>#N/A</v>
      </c>
      <c r="AQ101" s="405" t="e">
        <f t="shared" si="95"/>
        <v>#N/A</v>
      </c>
      <c r="AR101" s="405">
        <f t="shared" si="95"/>
        <v>100</v>
      </c>
      <c r="AS101" s="405">
        <f t="shared" si="95"/>
        <v>100</v>
      </c>
      <c r="AT101" s="405">
        <f t="shared" si="95"/>
        <v>100</v>
      </c>
      <c r="AU101" s="405" t="e">
        <f t="shared" si="95"/>
        <v>#VALUE!</v>
      </c>
      <c r="AV101" s="405" t="e">
        <f t="shared" si="95"/>
        <v>#VALUE!</v>
      </c>
      <c r="AW101" s="405" t="e">
        <f t="shared" si="95"/>
        <v>#VALUE!</v>
      </c>
      <c r="AX101" s="405" t="e">
        <f t="shared" si="95"/>
        <v>#VALUE!</v>
      </c>
      <c r="AY101" s="405" t="e">
        <f t="shared" si="95"/>
        <v>#VALUE!</v>
      </c>
      <c r="AZ101" s="405" t="e">
        <f t="shared" si="95"/>
        <v>#N/A</v>
      </c>
      <c r="BA101" s="405" t="e">
        <f t="shared" si="95"/>
        <v>#N/A</v>
      </c>
      <c r="BB101" s="405" t="e">
        <f t="shared" si="95"/>
        <v>#N/A</v>
      </c>
      <c r="BC101" s="405" t="e">
        <f t="shared" si="95"/>
        <v>#N/A</v>
      </c>
      <c r="BD101" s="405" t="e">
        <f t="shared" si="95"/>
        <v>#N/A</v>
      </c>
      <c r="BE101" s="405">
        <f t="shared" si="95"/>
        <v>75</v>
      </c>
      <c r="BF101" s="405">
        <f t="shared" si="95"/>
        <v>80</v>
      </c>
      <c r="BG101" s="405" t="e">
        <f t="shared" si="95"/>
        <v>#N/A</v>
      </c>
      <c r="BH101" s="405" t="e">
        <f t="shared" si="95"/>
        <v>#N/A</v>
      </c>
      <c r="BI101" s="405" t="e">
        <f t="shared" si="95"/>
        <v>#N/A</v>
      </c>
      <c r="BJ101" s="405" t="e">
        <f t="shared" si="95"/>
        <v>#N/A</v>
      </c>
      <c r="BK101" s="405" t="e">
        <f t="shared" si="95"/>
        <v>#N/A</v>
      </c>
      <c r="BL101" s="405" t="e">
        <f t="shared" si="95"/>
        <v>#N/A</v>
      </c>
      <c r="BM101" s="405" t="e">
        <f t="shared" si="95"/>
        <v>#N/A</v>
      </c>
      <c r="BN101" s="405">
        <f t="shared" si="95"/>
        <v>75</v>
      </c>
      <c r="BO101" s="405">
        <f t="shared" si="95"/>
        <v>80</v>
      </c>
      <c r="BP101" s="405" t="e">
        <f t="shared" ref="BP101:CD101" si="96">VLOOKUP(BP46,$B$59:$C$149,2)</f>
        <v>#N/A</v>
      </c>
      <c r="BQ101" s="405" t="e">
        <f t="shared" si="96"/>
        <v>#N/A</v>
      </c>
      <c r="BR101" s="405" t="e">
        <f t="shared" si="96"/>
        <v>#N/A</v>
      </c>
      <c r="BS101" s="405" t="e">
        <f t="shared" si="96"/>
        <v>#N/A</v>
      </c>
      <c r="BT101" s="405">
        <f t="shared" si="96"/>
        <v>75</v>
      </c>
      <c r="BU101" s="405">
        <f t="shared" si="96"/>
        <v>80</v>
      </c>
      <c r="BV101" s="405" t="e">
        <f t="shared" si="96"/>
        <v>#N/A</v>
      </c>
      <c r="BW101" s="405" t="e">
        <f t="shared" si="96"/>
        <v>#N/A</v>
      </c>
      <c r="BX101" s="405" t="e">
        <f t="shared" si="96"/>
        <v>#N/A</v>
      </c>
      <c r="BY101" s="405">
        <f t="shared" si="96"/>
        <v>75</v>
      </c>
      <c r="BZ101" s="405">
        <f t="shared" si="96"/>
        <v>80</v>
      </c>
      <c r="CA101" s="405" t="e">
        <f t="shared" si="96"/>
        <v>#N/A</v>
      </c>
      <c r="CB101" s="405" t="e">
        <f t="shared" si="96"/>
        <v>#N/A</v>
      </c>
      <c r="CC101" s="405" t="e">
        <f t="shared" si="96"/>
        <v>#N/A</v>
      </c>
      <c r="CD101" s="405" t="e">
        <f t="shared" si="96"/>
        <v>#N/A</v>
      </c>
    </row>
    <row r="102" spans="1:82" hidden="1">
      <c r="A102" s="665">
        <v>44</v>
      </c>
      <c r="B102" s="666">
        <v>53</v>
      </c>
      <c r="C102" s="18">
        <v>55</v>
      </c>
      <c r="D102" s="405">
        <f t="shared" ref="D102:BO102" si="97">VLOOKUP(D47,$B$59:$C$149,2)</f>
        <v>100</v>
      </c>
      <c r="E102" s="405">
        <f t="shared" si="97"/>
        <v>100</v>
      </c>
      <c r="F102" s="405">
        <f t="shared" si="97"/>
        <v>100</v>
      </c>
      <c r="G102" s="405" t="e">
        <f t="shared" si="97"/>
        <v>#N/A</v>
      </c>
      <c r="H102" s="405" t="e">
        <f t="shared" si="97"/>
        <v>#N/A</v>
      </c>
      <c r="I102" s="405" t="e">
        <f t="shared" si="97"/>
        <v>#N/A</v>
      </c>
      <c r="J102" s="405">
        <f t="shared" si="97"/>
        <v>75</v>
      </c>
      <c r="K102" s="405">
        <f t="shared" si="97"/>
        <v>80</v>
      </c>
      <c r="L102" s="405">
        <f t="shared" si="97"/>
        <v>100</v>
      </c>
      <c r="M102" s="405">
        <f t="shared" si="97"/>
        <v>100</v>
      </c>
      <c r="N102" s="405">
        <f t="shared" si="97"/>
        <v>100</v>
      </c>
      <c r="O102" s="405" t="e">
        <f t="shared" si="97"/>
        <v>#N/A</v>
      </c>
      <c r="P102" s="405" t="e">
        <f t="shared" si="97"/>
        <v>#N/A</v>
      </c>
      <c r="Q102" s="405" t="e">
        <f t="shared" si="97"/>
        <v>#N/A</v>
      </c>
      <c r="R102" s="405">
        <f t="shared" si="97"/>
        <v>75</v>
      </c>
      <c r="S102" s="405">
        <f t="shared" si="97"/>
        <v>80</v>
      </c>
      <c r="T102" s="405" t="e">
        <f t="shared" si="97"/>
        <v>#N/A</v>
      </c>
      <c r="U102" s="405" t="e">
        <f t="shared" si="97"/>
        <v>#N/A</v>
      </c>
      <c r="V102" s="405" t="e">
        <f t="shared" si="97"/>
        <v>#N/A</v>
      </c>
      <c r="W102" s="405" t="e">
        <f t="shared" si="97"/>
        <v>#N/A</v>
      </c>
      <c r="X102" s="405" t="e">
        <f t="shared" si="97"/>
        <v>#N/A</v>
      </c>
      <c r="Y102" s="405" t="e">
        <f t="shared" si="97"/>
        <v>#N/A</v>
      </c>
      <c r="Z102" s="405">
        <f t="shared" si="97"/>
        <v>100</v>
      </c>
      <c r="AA102" s="405">
        <f t="shared" si="97"/>
        <v>100</v>
      </c>
      <c r="AB102" s="405">
        <f t="shared" si="97"/>
        <v>100</v>
      </c>
      <c r="AC102" s="405">
        <f t="shared" si="97"/>
        <v>100</v>
      </c>
      <c r="AD102" s="405" t="e">
        <f t="shared" si="97"/>
        <v>#N/A</v>
      </c>
      <c r="AE102" s="405" t="e">
        <f t="shared" si="97"/>
        <v>#N/A</v>
      </c>
      <c r="AF102" s="405">
        <f t="shared" si="97"/>
        <v>100</v>
      </c>
      <c r="AG102" s="405">
        <f t="shared" si="97"/>
        <v>100</v>
      </c>
      <c r="AH102" s="405">
        <f t="shared" si="97"/>
        <v>100</v>
      </c>
      <c r="AI102" s="405" t="e">
        <f t="shared" si="97"/>
        <v>#N/A</v>
      </c>
      <c r="AJ102" s="405" t="e">
        <f t="shared" si="97"/>
        <v>#N/A</v>
      </c>
      <c r="AK102" s="405" t="e">
        <f t="shared" si="97"/>
        <v>#N/A</v>
      </c>
      <c r="AL102" s="405">
        <f t="shared" si="97"/>
        <v>100</v>
      </c>
      <c r="AM102" s="405">
        <f t="shared" si="97"/>
        <v>100</v>
      </c>
      <c r="AN102" s="405">
        <f t="shared" si="97"/>
        <v>100</v>
      </c>
      <c r="AO102" s="405" t="e">
        <f t="shared" si="97"/>
        <v>#N/A</v>
      </c>
      <c r="AP102" s="405" t="e">
        <f t="shared" si="97"/>
        <v>#N/A</v>
      </c>
      <c r="AQ102" s="405" t="e">
        <f t="shared" si="97"/>
        <v>#N/A</v>
      </c>
      <c r="AR102" s="405">
        <f t="shared" si="97"/>
        <v>100</v>
      </c>
      <c r="AS102" s="405">
        <f t="shared" si="97"/>
        <v>100</v>
      </c>
      <c r="AT102" s="405">
        <f t="shared" si="97"/>
        <v>100</v>
      </c>
      <c r="AU102" s="405" t="e">
        <f t="shared" si="97"/>
        <v>#VALUE!</v>
      </c>
      <c r="AV102" s="405" t="e">
        <f t="shared" si="97"/>
        <v>#VALUE!</v>
      </c>
      <c r="AW102" s="405" t="e">
        <f t="shared" si="97"/>
        <v>#VALUE!</v>
      </c>
      <c r="AX102" s="405" t="e">
        <f t="shared" si="97"/>
        <v>#VALUE!</v>
      </c>
      <c r="AY102" s="405" t="e">
        <f t="shared" si="97"/>
        <v>#VALUE!</v>
      </c>
      <c r="AZ102" s="405" t="e">
        <f t="shared" si="97"/>
        <v>#N/A</v>
      </c>
      <c r="BA102" s="405" t="e">
        <f t="shared" si="97"/>
        <v>#N/A</v>
      </c>
      <c r="BB102" s="405" t="e">
        <f t="shared" si="97"/>
        <v>#N/A</v>
      </c>
      <c r="BC102" s="405" t="e">
        <f t="shared" si="97"/>
        <v>#N/A</v>
      </c>
      <c r="BD102" s="405" t="e">
        <f t="shared" si="97"/>
        <v>#N/A</v>
      </c>
      <c r="BE102" s="405">
        <f t="shared" si="97"/>
        <v>75</v>
      </c>
      <c r="BF102" s="405">
        <f t="shared" si="97"/>
        <v>80</v>
      </c>
      <c r="BG102" s="405" t="e">
        <f t="shared" si="97"/>
        <v>#N/A</v>
      </c>
      <c r="BH102" s="405" t="e">
        <f t="shared" si="97"/>
        <v>#N/A</v>
      </c>
      <c r="BI102" s="405" t="e">
        <f t="shared" si="97"/>
        <v>#N/A</v>
      </c>
      <c r="BJ102" s="405" t="e">
        <f t="shared" si="97"/>
        <v>#N/A</v>
      </c>
      <c r="BK102" s="405" t="e">
        <f t="shared" si="97"/>
        <v>#N/A</v>
      </c>
      <c r="BL102" s="405" t="e">
        <f t="shared" si="97"/>
        <v>#N/A</v>
      </c>
      <c r="BM102" s="405" t="e">
        <f t="shared" si="97"/>
        <v>#N/A</v>
      </c>
      <c r="BN102" s="405">
        <f t="shared" si="97"/>
        <v>75</v>
      </c>
      <c r="BO102" s="405">
        <f t="shared" si="97"/>
        <v>80</v>
      </c>
      <c r="BP102" s="405" t="e">
        <f t="shared" ref="BP102:CD102" si="98">VLOOKUP(BP47,$B$59:$C$149,2)</f>
        <v>#N/A</v>
      </c>
      <c r="BQ102" s="405" t="e">
        <f t="shared" si="98"/>
        <v>#N/A</v>
      </c>
      <c r="BR102" s="405" t="e">
        <f t="shared" si="98"/>
        <v>#N/A</v>
      </c>
      <c r="BS102" s="405" t="e">
        <f t="shared" si="98"/>
        <v>#N/A</v>
      </c>
      <c r="BT102" s="405">
        <f t="shared" si="98"/>
        <v>75</v>
      </c>
      <c r="BU102" s="405">
        <f t="shared" si="98"/>
        <v>80</v>
      </c>
      <c r="BV102" s="405" t="e">
        <f t="shared" si="98"/>
        <v>#N/A</v>
      </c>
      <c r="BW102" s="405" t="e">
        <f t="shared" si="98"/>
        <v>#N/A</v>
      </c>
      <c r="BX102" s="405" t="e">
        <f t="shared" si="98"/>
        <v>#N/A</v>
      </c>
      <c r="BY102" s="405">
        <f t="shared" si="98"/>
        <v>75</v>
      </c>
      <c r="BZ102" s="405">
        <f t="shared" si="98"/>
        <v>80</v>
      </c>
      <c r="CA102" s="405" t="e">
        <f t="shared" si="98"/>
        <v>#N/A</v>
      </c>
      <c r="CB102" s="405" t="e">
        <f t="shared" si="98"/>
        <v>#N/A</v>
      </c>
      <c r="CC102" s="405" t="e">
        <f t="shared" si="98"/>
        <v>#N/A</v>
      </c>
      <c r="CD102" s="405" t="e">
        <f t="shared" si="98"/>
        <v>#N/A</v>
      </c>
    </row>
    <row r="103" spans="1:82" hidden="1">
      <c r="A103" s="665">
        <v>45</v>
      </c>
      <c r="B103" s="666">
        <v>54</v>
      </c>
      <c r="C103" s="18">
        <v>55</v>
      </c>
      <c r="D103" s="405">
        <f t="shared" ref="D103:BO103" si="99">VLOOKUP(D48,$B$59:$C$149,2)</f>
        <v>100</v>
      </c>
      <c r="E103" s="405">
        <f t="shared" si="99"/>
        <v>100</v>
      </c>
      <c r="F103" s="405">
        <f t="shared" si="99"/>
        <v>100</v>
      </c>
      <c r="G103" s="405" t="e">
        <f t="shared" si="99"/>
        <v>#N/A</v>
      </c>
      <c r="H103" s="405" t="e">
        <f t="shared" si="99"/>
        <v>#N/A</v>
      </c>
      <c r="I103" s="405" t="e">
        <f t="shared" si="99"/>
        <v>#N/A</v>
      </c>
      <c r="J103" s="405">
        <f t="shared" si="99"/>
        <v>75</v>
      </c>
      <c r="K103" s="405">
        <f t="shared" si="99"/>
        <v>70</v>
      </c>
      <c r="L103" s="405">
        <f t="shared" si="99"/>
        <v>100</v>
      </c>
      <c r="M103" s="405">
        <f t="shared" si="99"/>
        <v>100</v>
      </c>
      <c r="N103" s="405">
        <f t="shared" si="99"/>
        <v>100</v>
      </c>
      <c r="O103" s="405" t="e">
        <f t="shared" si="99"/>
        <v>#N/A</v>
      </c>
      <c r="P103" s="405" t="e">
        <f t="shared" si="99"/>
        <v>#N/A</v>
      </c>
      <c r="Q103" s="405" t="e">
        <f t="shared" si="99"/>
        <v>#N/A</v>
      </c>
      <c r="R103" s="405">
        <f t="shared" si="99"/>
        <v>75</v>
      </c>
      <c r="S103" s="405">
        <f t="shared" si="99"/>
        <v>70</v>
      </c>
      <c r="T103" s="405" t="e">
        <f t="shared" si="99"/>
        <v>#N/A</v>
      </c>
      <c r="U103" s="405" t="e">
        <f t="shared" si="99"/>
        <v>#N/A</v>
      </c>
      <c r="V103" s="405" t="e">
        <f t="shared" si="99"/>
        <v>#N/A</v>
      </c>
      <c r="W103" s="405" t="e">
        <f t="shared" si="99"/>
        <v>#N/A</v>
      </c>
      <c r="X103" s="405" t="e">
        <f t="shared" si="99"/>
        <v>#N/A</v>
      </c>
      <c r="Y103" s="405" t="e">
        <f t="shared" si="99"/>
        <v>#N/A</v>
      </c>
      <c r="Z103" s="405">
        <f t="shared" si="99"/>
        <v>100</v>
      </c>
      <c r="AA103" s="405">
        <f t="shared" si="99"/>
        <v>100</v>
      </c>
      <c r="AB103" s="405">
        <f t="shared" si="99"/>
        <v>100</v>
      </c>
      <c r="AC103" s="405">
        <f t="shared" si="99"/>
        <v>100</v>
      </c>
      <c r="AD103" s="405" t="e">
        <f t="shared" si="99"/>
        <v>#N/A</v>
      </c>
      <c r="AE103" s="405" t="e">
        <f t="shared" si="99"/>
        <v>#N/A</v>
      </c>
      <c r="AF103" s="405">
        <f t="shared" si="99"/>
        <v>100</v>
      </c>
      <c r="AG103" s="405">
        <f t="shared" si="99"/>
        <v>100</v>
      </c>
      <c r="AH103" s="405">
        <f t="shared" si="99"/>
        <v>100</v>
      </c>
      <c r="AI103" s="405" t="e">
        <f t="shared" si="99"/>
        <v>#N/A</v>
      </c>
      <c r="AJ103" s="405" t="e">
        <f t="shared" si="99"/>
        <v>#N/A</v>
      </c>
      <c r="AK103" s="405" t="e">
        <f t="shared" si="99"/>
        <v>#N/A</v>
      </c>
      <c r="AL103" s="405">
        <f t="shared" si="99"/>
        <v>100</v>
      </c>
      <c r="AM103" s="405">
        <f t="shared" si="99"/>
        <v>100</v>
      </c>
      <c r="AN103" s="405">
        <f t="shared" si="99"/>
        <v>100</v>
      </c>
      <c r="AO103" s="405" t="e">
        <f t="shared" si="99"/>
        <v>#N/A</v>
      </c>
      <c r="AP103" s="405" t="e">
        <f t="shared" si="99"/>
        <v>#N/A</v>
      </c>
      <c r="AQ103" s="405" t="e">
        <f t="shared" si="99"/>
        <v>#N/A</v>
      </c>
      <c r="AR103" s="405">
        <f t="shared" si="99"/>
        <v>100</v>
      </c>
      <c r="AS103" s="405">
        <f t="shared" si="99"/>
        <v>100</v>
      </c>
      <c r="AT103" s="405">
        <f t="shared" si="99"/>
        <v>100</v>
      </c>
      <c r="AU103" s="405" t="e">
        <f t="shared" si="99"/>
        <v>#VALUE!</v>
      </c>
      <c r="AV103" s="405" t="e">
        <f t="shared" si="99"/>
        <v>#VALUE!</v>
      </c>
      <c r="AW103" s="405" t="e">
        <f t="shared" si="99"/>
        <v>#VALUE!</v>
      </c>
      <c r="AX103" s="405" t="e">
        <f t="shared" si="99"/>
        <v>#VALUE!</v>
      </c>
      <c r="AY103" s="405" t="e">
        <f t="shared" si="99"/>
        <v>#VALUE!</v>
      </c>
      <c r="AZ103" s="405" t="e">
        <f t="shared" si="99"/>
        <v>#N/A</v>
      </c>
      <c r="BA103" s="405" t="e">
        <f t="shared" si="99"/>
        <v>#N/A</v>
      </c>
      <c r="BB103" s="405" t="e">
        <f t="shared" si="99"/>
        <v>#N/A</v>
      </c>
      <c r="BC103" s="405" t="e">
        <f t="shared" si="99"/>
        <v>#N/A</v>
      </c>
      <c r="BD103" s="405" t="e">
        <f t="shared" si="99"/>
        <v>#N/A</v>
      </c>
      <c r="BE103" s="405">
        <f t="shared" si="99"/>
        <v>75</v>
      </c>
      <c r="BF103" s="405">
        <f t="shared" si="99"/>
        <v>70</v>
      </c>
      <c r="BG103" s="405" t="e">
        <f t="shared" si="99"/>
        <v>#N/A</v>
      </c>
      <c r="BH103" s="405" t="e">
        <f t="shared" si="99"/>
        <v>#N/A</v>
      </c>
      <c r="BI103" s="405" t="e">
        <f t="shared" si="99"/>
        <v>#N/A</v>
      </c>
      <c r="BJ103" s="405" t="e">
        <f t="shared" si="99"/>
        <v>#N/A</v>
      </c>
      <c r="BK103" s="405" t="e">
        <f t="shared" si="99"/>
        <v>#N/A</v>
      </c>
      <c r="BL103" s="405" t="e">
        <f t="shared" si="99"/>
        <v>#N/A</v>
      </c>
      <c r="BM103" s="405" t="e">
        <f t="shared" si="99"/>
        <v>#N/A</v>
      </c>
      <c r="BN103" s="405">
        <f t="shared" si="99"/>
        <v>75</v>
      </c>
      <c r="BO103" s="405">
        <f t="shared" si="99"/>
        <v>70</v>
      </c>
      <c r="BP103" s="405" t="e">
        <f t="shared" ref="BP103:CD103" si="100">VLOOKUP(BP48,$B$59:$C$149,2)</f>
        <v>#N/A</v>
      </c>
      <c r="BQ103" s="405" t="e">
        <f t="shared" si="100"/>
        <v>#N/A</v>
      </c>
      <c r="BR103" s="405" t="e">
        <f t="shared" si="100"/>
        <v>#N/A</v>
      </c>
      <c r="BS103" s="405" t="e">
        <f t="shared" si="100"/>
        <v>#N/A</v>
      </c>
      <c r="BT103" s="405">
        <f t="shared" si="100"/>
        <v>75</v>
      </c>
      <c r="BU103" s="405">
        <f t="shared" si="100"/>
        <v>70</v>
      </c>
      <c r="BV103" s="405" t="e">
        <f t="shared" si="100"/>
        <v>#N/A</v>
      </c>
      <c r="BW103" s="405" t="e">
        <f t="shared" si="100"/>
        <v>#N/A</v>
      </c>
      <c r="BX103" s="405" t="e">
        <f t="shared" si="100"/>
        <v>#N/A</v>
      </c>
      <c r="BY103" s="405">
        <f t="shared" si="100"/>
        <v>75</v>
      </c>
      <c r="BZ103" s="405">
        <f t="shared" si="100"/>
        <v>70</v>
      </c>
      <c r="CA103" s="405" t="e">
        <f t="shared" si="100"/>
        <v>#N/A</v>
      </c>
      <c r="CB103" s="405" t="e">
        <f t="shared" si="100"/>
        <v>#N/A</v>
      </c>
      <c r="CC103" s="405" t="e">
        <f t="shared" si="100"/>
        <v>#N/A</v>
      </c>
      <c r="CD103" s="405" t="e">
        <f t="shared" si="100"/>
        <v>#N/A</v>
      </c>
    </row>
    <row r="104" spans="1:82" hidden="1">
      <c r="A104" s="665">
        <v>46</v>
      </c>
      <c r="B104" s="666">
        <v>55</v>
      </c>
      <c r="C104" s="18">
        <v>55</v>
      </c>
      <c r="D104" s="405">
        <f t="shared" ref="D104:BO104" si="101">VLOOKUP(D49,$B$59:$C$149,2)</f>
        <v>100</v>
      </c>
      <c r="E104" s="405">
        <f t="shared" si="101"/>
        <v>100</v>
      </c>
      <c r="F104" s="405">
        <f t="shared" si="101"/>
        <v>100</v>
      </c>
      <c r="G104" s="405" t="e">
        <f t="shared" si="101"/>
        <v>#N/A</v>
      </c>
      <c r="H104" s="405" t="e">
        <f t="shared" si="101"/>
        <v>#N/A</v>
      </c>
      <c r="I104" s="405" t="e">
        <f t="shared" si="101"/>
        <v>#N/A</v>
      </c>
      <c r="J104" s="405">
        <f t="shared" si="101"/>
        <v>85</v>
      </c>
      <c r="K104" s="405">
        <f t="shared" si="101"/>
        <v>85</v>
      </c>
      <c r="L104" s="405">
        <f t="shared" si="101"/>
        <v>100</v>
      </c>
      <c r="M104" s="405">
        <f t="shared" si="101"/>
        <v>100</v>
      </c>
      <c r="N104" s="405">
        <f t="shared" si="101"/>
        <v>100</v>
      </c>
      <c r="O104" s="405" t="e">
        <f t="shared" si="101"/>
        <v>#N/A</v>
      </c>
      <c r="P104" s="405" t="e">
        <f t="shared" si="101"/>
        <v>#N/A</v>
      </c>
      <c r="Q104" s="405" t="e">
        <f t="shared" si="101"/>
        <v>#N/A</v>
      </c>
      <c r="R104" s="405">
        <f t="shared" si="101"/>
        <v>85</v>
      </c>
      <c r="S104" s="405">
        <f t="shared" si="101"/>
        <v>85</v>
      </c>
      <c r="T104" s="405" t="e">
        <f t="shared" si="101"/>
        <v>#N/A</v>
      </c>
      <c r="U104" s="405" t="e">
        <f t="shared" si="101"/>
        <v>#N/A</v>
      </c>
      <c r="V104" s="405" t="e">
        <f t="shared" si="101"/>
        <v>#N/A</v>
      </c>
      <c r="W104" s="405" t="e">
        <f t="shared" si="101"/>
        <v>#N/A</v>
      </c>
      <c r="X104" s="405" t="e">
        <f t="shared" si="101"/>
        <v>#N/A</v>
      </c>
      <c r="Y104" s="405" t="e">
        <f t="shared" si="101"/>
        <v>#N/A</v>
      </c>
      <c r="Z104" s="405">
        <f t="shared" si="101"/>
        <v>100</v>
      </c>
      <c r="AA104" s="405">
        <f t="shared" si="101"/>
        <v>100</v>
      </c>
      <c r="AB104" s="405">
        <f t="shared" si="101"/>
        <v>100</v>
      </c>
      <c r="AC104" s="405">
        <f t="shared" si="101"/>
        <v>100</v>
      </c>
      <c r="AD104" s="405" t="e">
        <f t="shared" si="101"/>
        <v>#N/A</v>
      </c>
      <c r="AE104" s="405" t="e">
        <f t="shared" si="101"/>
        <v>#N/A</v>
      </c>
      <c r="AF104" s="405">
        <f t="shared" si="101"/>
        <v>100</v>
      </c>
      <c r="AG104" s="405">
        <f t="shared" si="101"/>
        <v>100</v>
      </c>
      <c r="AH104" s="405">
        <f t="shared" si="101"/>
        <v>100</v>
      </c>
      <c r="AI104" s="405" t="e">
        <f t="shared" si="101"/>
        <v>#N/A</v>
      </c>
      <c r="AJ104" s="405" t="e">
        <f t="shared" si="101"/>
        <v>#N/A</v>
      </c>
      <c r="AK104" s="405" t="e">
        <f t="shared" si="101"/>
        <v>#N/A</v>
      </c>
      <c r="AL104" s="405">
        <f t="shared" si="101"/>
        <v>100</v>
      </c>
      <c r="AM104" s="405">
        <f t="shared" si="101"/>
        <v>100</v>
      </c>
      <c r="AN104" s="405">
        <f t="shared" si="101"/>
        <v>100</v>
      </c>
      <c r="AO104" s="405" t="e">
        <f t="shared" si="101"/>
        <v>#N/A</v>
      </c>
      <c r="AP104" s="405" t="e">
        <f t="shared" si="101"/>
        <v>#N/A</v>
      </c>
      <c r="AQ104" s="405" t="e">
        <f t="shared" si="101"/>
        <v>#N/A</v>
      </c>
      <c r="AR104" s="405">
        <f t="shared" si="101"/>
        <v>100</v>
      </c>
      <c r="AS104" s="405">
        <f t="shared" si="101"/>
        <v>100</v>
      </c>
      <c r="AT104" s="405">
        <f t="shared" si="101"/>
        <v>100</v>
      </c>
      <c r="AU104" s="405" t="e">
        <f t="shared" si="101"/>
        <v>#VALUE!</v>
      </c>
      <c r="AV104" s="405" t="e">
        <f t="shared" si="101"/>
        <v>#VALUE!</v>
      </c>
      <c r="AW104" s="405" t="e">
        <f t="shared" si="101"/>
        <v>#VALUE!</v>
      </c>
      <c r="AX104" s="405" t="e">
        <f t="shared" si="101"/>
        <v>#VALUE!</v>
      </c>
      <c r="AY104" s="405" t="e">
        <f t="shared" si="101"/>
        <v>#VALUE!</v>
      </c>
      <c r="AZ104" s="405" t="e">
        <f t="shared" si="101"/>
        <v>#N/A</v>
      </c>
      <c r="BA104" s="405" t="e">
        <f t="shared" si="101"/>
        <v>#N/A</v>
      </c>
      <c r="BB104" s="405" t="e">
        <f t="shared" si="101"/>
        <v>#N/A</v>
      </c>
      <c r="BC104" s="405" t="e">
        <f t="shared" si="101"/>
        <v>#N/A</v>
      </c>
      <c r="BD104" s="405" t="e">
        <f t="shared" si="101"/>
        <v>#N/A</v>
      </c>
      <c r="BE104" s="405">
        <f t="shared" si="101"/>
        <v>85</v>
      </c>
      <c r="BF104" s="405">
        <f t="shared" si="101"/>
        <v>85</v>
      </c>
      <c r="BG104" s="405" t="e">
        <f t="shared" si="101"/>
        <v>#N/A</v>
      </c>
      <c r="BH104" s="405" t="e">
        <f t="shared" si="101"/>
        <v>#N/A</v>
      </c>
      <c r="BI104" s="405" t="e">
        <f t="shared" si="101"/>
        <v>#N/A</v>
      </c>
      <c r="BJ104" s="405" t="e">
        <f t="shared" si="101"/>
        <v>#N/A</v>
      </c>
      <c r="BK104" s="405" t="e">
        <f t="shared" si="101"/>
        <v>#N/A</v>
      </c>
      <c r="BL104" s="405" t="e">
        <f t="shared" si="101"/>
        <v>#N/A</v>
      </c>
      <c r="BM104" s="405" t="e">
        <f t="shared" si="101"/>
        <v>#N/A</v>
      </c>
      <c r="BN104" s="405">
        <f t="shared" si="101"/>
        <v>85</v>
      </c>
      <c r="BO104" s="405">
        <f t="shared" si="101"/>
        <v>85</v>
      </c>
      <c r="BP104" s="405" t="e">
        <f t="shared" ref="BP104:CD104" si="102">VLOOKUP(BP49,$B$59:$C$149,2)</f>
        <v>#N/A</v>
      </c>
      <c r="BQ104" s="405" t="e">
        <f t="shared" si="102"/>
        <v>#N/A</v>
      </c>
      <c r="BR104" s="405" t="e">
        <f t="shared" si="102"/>
        <v>#N/A</v>
      </c>
      <c r="BS104" s="405" t="e">
        <f t="shared" si="102"/>
        <v>#N/A</v>
      </c>
      <c r="BT104" s="405">
        <f t="shared" si="102"/>
        <v>85</v>
      </c>
      <c r="BU104" s="405">
        <f t="shared" si="102"/>
        <v>85</v>
      </c>
      <c r="BV104" s="405" t="e">
        <f t="shared" si="102"/>
        <v>#N/A</v>
      </c>
      <c r="BW104" s="405" t="e">
        <f t="shared" si="102"/>
        <v>#N/A</v>
      </c>
      <c r="BX104" s="405" t="e">
        <f t="shared" si="102"/>
        <v>#N/A</v>
      </c>
      <c r="BY104" s="405">
        <f t="shared" si="102"/>
        <v>85</v>
      </c>
      <c r="BZ104" s="405">
        <f t="shared" si="102"/>
        <v>85</v>
      </c>
      <c r="CA104" s="405" t="e">
        <f t="shared" si="102"/>
        <v>#N/A</v>
      </c>
      <c r="CB104" s="405" t="e">
        <f t="shared" si="102"/>
        <v>#N/A</v>
      </c>
      <c r="CC104" s="405" t="e">
        <f t="shared" si="102"/>
        <v>#N/A</v>
      </c>
      <c r="CD104" s="405" t="e">
        <f t="shared" si="102"/>
        <v>#N/A</v>
      </c>
    </row>
    <row r="105" spans="1:82" hidden="1">
      <c r="A105" s="665">
        <v>47</v>
      </c>
      <c r="B105" s="666">
        <v>56</v>
      </c>
      <c r="C105" s="18">
        <v>55</v>
      </c>
      <c r="D105" s="405">
        <f t="shared" ref="D105:BO105" si="103">VLOOKUP(D50,$B$59:$C$149,2)</f>
        <v>100</v>
      </c>
      <c r="E105" s="405">
        <f t="shared" si="103"/>
        <v>100</v>
      </c>
      <c r="F105" s="405">
        <f t="shared" si="103"/>
        <v>100</v>
      </c>
      <c r="G105" s="405" t="e">
        <f t="shared" si="103"/>
        <v>#N/A</v>
      </c>
      <c r="H105" s="405" t="e">
        <f t="shared" si="103"/>
        <v>#N/A</v>
      </c>
      <c r="I105" s="405" t="e">
        <f t="shared" si="103"/>
        <v>#N/A</v>
      </c>
      <c r="J105" s="405">
        <f t="shared" si="103"/>
        <v>70</v>
      </c>
      <c r="K105" s="405">
        <f t="shared" si="103"/>
        <v>70</v>
      </c>
      <c r="L105" s="405">
        <f t="shared" si="103"/>
        <v>100</v>
      </c>
      <c r="M105" s="405">
        <f t="shared" si="103"/>
        <v>100</v>
      </c>
      <c r="N105" s="405">
        <f t="shared" si="103"/>
        <v>100</v>
      </c>
      <c r="O105" s="405" t="e">
        <f t="shared" si="103"/>
        <v>#N/A</v>
      </c>
      <c r="P105" s="405" t="e">
        <f t="shared" si="103"/>
        <v>#N/A</v>
      </c>
      <c r="Q105" s="405" t="e">
        <f t="shared" si="103"/>
        <v>#N/A</v>
      </c>
      <c r="R105" s="405">
        <f t="shared" si="103"/>
        <v>70</v>
      </c>
      <c r="S105" s="405">
        <f t="shared" si="103"/>
        <v>70</v>
      </c>
      <c r="T105" s="405" t="e">
        <f t="shared" si="103"/>
        <v>#N/A</v>
      </c>
      <c r="U105" s="405" t="e">
        <f t="shared" si="103"/>
        <v>#N/A</v>
      </c>
      <c r="V105" s="405" t="e">
        <f t="shared" si="103"/>
        <v>#N/A</v>
      </c>
      <c r="W105" s="405" t="e">
        <f t="shared" si="103"/>
        <v>#N/A</v>
      </c>
      <c r="X105" s="405" t="e">
        <f t="shared" si="103"/>
        <v>#N/A</v>
      </c>
      <c r="Y105" s="405" t="e">
        <f t="shared" si="103"/>
        <v>#N/A</v>
      </c>
      <c r="Z105" s="405">
        <f t="shared" si="103"/>
        <v>100</v>
      </c>
      <c r="AA105" s="405">
        <f t="shared" si="103"/>
        <v>100</v>
      </c>
      <c r="AB105" s="405">
        <f t="shared" si="103"/>
        <v>100</v>
      </c>
      <c r="AC105" s="405">
        <f t="shared" si="103"/>
        <v>100</v>
      </c>
      <c r="AD105" s="405" t="e">
        <f t="shared" si="103"/>
        <v>#N/A</v>
      </c>
      <c r="AE105" s="405" t="e">
        <f t="shared" si="103"/>
        <v>#N/A</v>
      </c>
      <c r="AF105" s="405">
        <f t="shared" si="103"/>
        <v>100</v>
      </c>
      <c r="AG105" s="405">
        <f t="shared" si="103"/>
        <v>100</v>
      </c>
      <c r="AH105" s="405">
        <f t="shared" si="103"/>
        <v>100</v>
      </c>
      <c r="AI105" s="405" t="e">
        <f t="shared" si="103"/>
        <v>#N/A</v>
      </c>
      <c r="AJ105" s="405" t="e">
        <f t="shared" si="103"/>
        <v>#N/A</v>
      </c>
      <c r="AK105" s="405" t="e">
        <f t="shared" si="103"/>
        <v>#N/A</v>
      </c>
      <c r="AL105" s="405">
        <f t="shared" si="103"/>
        <v>100</v>
      </c>
      <c r="AM105" s="405">
        <f t="shared" si="103"/>
        <v>100</v>
      </c>
      <c r="AN105" s="405">
        <f t="shared" si="103"/>
        <v>100</v>
      </c>
      <c r="AO105" s="405" t="e">
        <f t="shared" si="103"/>
        <v>#N/A</v>
      </c>
      <c r="AP105" s="405" t="e">
        <f t="shared" si="103"/>
        <v>#N/A</v>
      </c>
      <c r="AQ105" s="405" t="e">
        <f t="shared" si="103"/>
        <v>#N/A</v>
      </c>
      <c r="AR105" s="405">
        <f t="shared" si="103"/>
        <v>100</v>
      </c>
      <c r="AS105" s="405">
        <f t="shared" si="103"/>
        <v>100</v>
      </c>
      <c r="AT105" s="405">
        <f t="shared" si="103"/>
        <v>100</v>
      </c>
      <c r="AU105" s="405" t="e">
        <f t="shared" si="103"/>
        <v>#VALUE!</v>
      </c>
      <c r="AV105" s="405" t="e">
        <f t="shared" si="103"/>
        <v>#VALUE!</v>
      </c>
      <c r="AW105" s="405" t="e">
        <f t="shared" si="103"/>
        <v>#VALUE!</v>
      </c>
      <c r="AX105" s="405" t="e">
        <f t="shared" si="103"/>
        <v>#VALUE!</v>
      </c>
      <c r="AY105" s="405" t="e">
        <f t="shared" si="103"/>
        <v>#VALUE!</v>
      </c>
      <c r="AZ105" s="405" t="e">
        <f t="shared" si="103"/>
        <v>#N/A</v>
      </c>
      <c r="BA105" s="405" t="e">
        <f t="shared" si="103"/>
        <v>#N/A</v>
      </c>
      <c r="BB105" s="405" t="e">
        <f t="shared" si="103"/>
        <v>#N/A</v>
      </c>
      <c r="BC105" s="405" t="e">
        <f t="shared" si="103"/>
        <v>#N/A</v>
      </c>
      <c r="BD105" s="405" t="e">
        <f t="shared" si="103"/>
        <v>#N/A</v>
      </c>
      <c r="BE105" s="405">
        <f t="shared" si="103"/>
        <v>70</v>
      </c>
      <c r="BF105" s="405">
        <f t="shared" si="103"/>
        <v>70</v>
      </c>
      <c r="BG105" s="405" t="e">
        <f t="shared" si="103"/>
        <v>#N/A</v>
      </c>
      <c r="BH105" s="405" t="e">
        <f t="shared" si="103"/>
        <v>#N/A</v>
      </c>
      <c r="BI105" s="405" t="e">
        <f t="shared" si="103"/>
        <v>#N/A</v>
      </c>
      <c r="BJ105" s="405" t="e">
        <f t="shared" si="103"/>
        <v>#N/A</v>
      </c>
      <c r="BK105" s="405" t="e">
        <f t="shared" si="103"/>
        <v>#N/A</v>
      </c>
      <c r="BL105" s="405" t="e">
        <f t="shared" si="103"/>
        <v>#N/A</v>
      </c>
      <c r="BM105" s="405" t="e">
        <f t="shared" si="103"/>
        <v>#N/A</v>
      </c>
      <c r="BN105" s="405">
        <f t="shared" si="103"/>
        <v>70</v>
      </c>
      <c r="BO105" s="405">
        <f t="shared" si="103"/>
        <v>70</v>
      </c>
      <c r="BP105" s="405" t="e">
        <f t="shared" ref="BP105:CD105" si="104">VLOOKUP(BP50,$B$59:$C$149,2)</f>
        <v>#N/A</v>
      </c>
      <c r="BQ105" s="405" t="e">
        <f t="shared" si="104"/>
        <v>#N/A</v>
      </c>
      <c r="BR105" s="405" t="e">
        <f t="shared" si="104"/>
        <v>#N/A</v>
      </c>
      <c r="BS105" s="405" t="e">
        <f t="shared" si="104"/>
        <v>#N/A</v>
      </c>
      <c r="BT105" s="405">
        <f t="shared" si="104"/>
        <v>70</v>
      </c>
      <c r="BU105" s="405">
        <f t="shared" si="104"/>
        <v>70</v>
      </c>
      <c r="BV105" s="405" t="e">
        <f t="shared" si="104"/>
        <v>#N/A</v>
      </c>
      <c r="BW105" s="405" t="e">
        <f t="shared" si="104"/>
        <v>#N/A</v>
      </c>
      <c r="BX105" s="405" t="e">
        <f t="shared" si="104"/>
        <v>#N/A</v>
      </c>
      <c r="BY105" s="405">
        <f t="shared" si="104"/>
        <v>70</v>
      </c>
      <c r="BZ105" s="405">
        <f t="shared" si="104"/>
        <v>70</v>
      </c>
      <c r="CA105" s="405" t="e">
        <f t="shared" si="104"/>
        <v>#N/A</v>
      </c>
      <c r="CB105" s="405" t="e">
        <f t="shared" si="104"/>
        <v>#N/A</v>
      </c>
      <c r="CC105" s="405" t="e">
        <f t="shared" si="104"/>
        <v>#N/A</v>
      </c>
      <c r="CD105" s="405" t="e">
        <f t="shared" si="104"/>
        <v>#N/A</v>
      </c>
    </row>
    <row r="106" spans="1:82" hidden="1">
      <c r="A106" s="665">
        <v>48</v>
      </c>
      <c r="B106" s="666">
        <v>57</v>
      </c>
      <c r="C106" s="18">
        <v>60</v>
      </c>
      <c r="D106" s="405">
        <f t="shared" ref="D106:BO106" si="105">VLOOKUP(D51,$B$59:$C$149,2)</f>
        <v>100</v>
      </c>
      <c r="E106" s="405">
        <f t="shared" si="105"/>
        <v>100</v>
      </c>
      <c r="F106" s="405">
        <f t="shared" si="105"/>
        <v>100</v>
      </c>
      <c r="G106" s="405" t="e">
        <f t="shared" si="105"/>
        <v>#N/A</v>
      </c>
      <c r="H106" s="405" t="e">
        <f t="shared" si="105"/>
        <v>#N/A</v>
      </c>
      <c r="I106" s="405" t="e">
        <f t="shared" si="105"/>
        <v>#N/A</v>
      </c>
      <c r="J106" s="405">
        <f t="shared" si="105"/>
        <v>70</v>
      </c>
      <c r="K106" s="405">
        <f t="shared" si="105"/>
        <v>70</v>
      </c>
      <c r="L106" s="405">
        <f t="shared" si="105"/>
        <v>100</v>
      </c>
      <c r="M106" s="405">
        <f t="shared" si="105"/>
        <v>100</v>
      </c>
      <c r="N106" s="405">
        <f t="shared" si="105"/>
        <v>100</v>
      </c>
      <c r="O106" s="405" t="e">
        <f t="shared" si="105"/>
        <v>#N/A</v>
      </c>
      <c r="P106" s="405" t="e">
        <f t="shared" si="105"/>
        <v>#N/A</v>
      </c>
      <c r="Q106" s="405" t="e">
        <f t="shared" si="105"/>
        <v>#N/A</v>
      </c>
      <c r="R106" s="405">
        <f t="shared" si="105"/>
        <v>70</v>
      </c>
      <c r="S106" s="405">
        <f t="shared" si="105"/>
        <v>70</v>
      </c>
      <c r="T106" s="405" t="e">
        <f t="shared" si="105"/>
        <v>#N/A</v>
      </c>
      <c r="U106" s="405" t="e">
        <f t="shared" si="105"/>
        <v>#N/A</v>
      </c>
      <c r="V106" s="405" t="e">
        <f t="shared" si="105"/>
        <v>#N/A</v>
      </c>
      <c r="W106" s="405" t="e">
        <f t="shared" si="105"/>
        <v>#N/A</v>
      </c>
      <c r="X106" s="405" t="e">
        <f t="shared" si="105"/>
        <v>#N/A</v>
      </c>
      <c r="Y106" s="405" t="e">
        <f t="shared" si="105"/>
        <v>#N/A</v>
      </c>
      <c r="Z106" s="405">
        <f t="shared" si="105"/>
        <v>100</v>
      </c>
      <c r="AA106" s="405">
        <f t="shared" si="105"/>
        <v>100</v>
      </c>
      <c r="AB106" s="405">
        <f t="shared" si="105"/>
        <v>100</v>
      </c>
      <c r="AC106" s="405">
        <f t="shared" si="105"/>
        <v>100</v>
      </c>
      <c r="AD106" s="405" t="e">
        <f t="shared" si="105"/>
        <v>#N/A</v>
      </c>
      <c r="AE106" s="405" t="e">
        <f t="shared" si="105"/>
        <v>#N/A</v>
      </c>
      <c r="AF106" s="405">
        <f t="shared" si="105"/>
        <v>100</v>
      </c>
      <c r="AG106" s="405">
        <f t="shared" si="105"/>
        <v>100</v>
      </c>
      <c r="AH106" s="405">
        <f t="shared" si="105"/>
        <v>100</v>
      </c>
      <c r="AI106" s="405" t="e">
        <f t="shared" si="105"/>
        <v>#N/A</v>
      </c>
      <c r="AJ106" s="405" t="e">
        <f t="shared" si="105"/>
        <v>#N/A</v>
      </c>
      <c r="AK106" s="405" t="e">
        <f t="shared" si="105"/>
        <v>#N/A</v>
      </c>
      <c r="AL106" s="405">
        <f t="shared" si="105"/>
        <v>100</v>
      </c>
      <c r="AM106" s="405">
        <f t="shared" si="105"/>
        <v>100</v>
      </c>
      <c r="AN106" s="405">
        <f t="shared" si="105"/>
        <v>100</v>
      </c>
      <c r="AO106" s="405" t="e">
        <f t="shared" si="105"/>
        <v>#N/A</v>
      </c>
      <c r="AP106" s="405" t="e">
        <f t="shared" si="105"/>
        <v>#N/A</v>
      </c>
      <c r="AQ106" s="405" t="e">
        <f t="shared" si="105"/>
        <v>#N/A</v>
      </c>
      <c r="AR106" s="405">
        <f t="shared" si="105"/>
        <v>100</v>
      </c>
      <c r="AS106" s="405">
        <f t="shared" si="105"/>
        <v>100</v>
      </c>
      <c r="AT106" s="405">
        <f t="shared" si="105"/>
        <v>100</v>
      </c>
      <c r="AU106" s="405" t="e">
        <f t="shared" si="105"/>
        <v>#VALUE!</v>
      </c>
      <c r="AV106" s="405" t="e">
        <f t="shared" si="105"/>
        <v>#VALUE!</v>
      </c>
      <c r="AW106" s="405" t="e">
        <f t="shared" si="105"/>
        <v>#VALUE!</v>
      </c>
      <c r="AX106" s="405" t="e">
        <f t="shared" si="105"/>
        <v>#VALUE!</v>
      </c>
      <c r="AY106" s="405" t="e">
        <f t="shared" si="105"/>
        <v>#VALUE!</v>
      </c>
      <c r="AZ106" s="405" t="e">
        <f t="shared" si="105"/>
        <v>#N/A</v>
      </c>
      <c r="BA106" s="405" t="e">
        <f t="shared" si="105"/>
        <v>#N/A</v>
      </c>
      <c r="BB106" s="405" t="e">
        <f t="shared" si="105"/>
        <v>#N/A</v>
      </c>
      <c r="BC106" s="405" t="e">
        <f t="shared" si="105"/>
        <v>#N/A</v>
      </c>
      <c r="BD106" s="405" t="e">
        <f t="shared" si="105"/>
        <v>#N/A</v>
      </c>
      <c r="BE106" s="405">
        <f t="shared" si="105"/>
        <v>70</v>
      </c>
      <c r="BF106" s="405">
        <f t="shared" si="105"/>
        <v>70</v>
      </c>
      <c r="BG106" s="405" t="e">
        <f t="shared" si="105"/>
        <v>#N/A</v>
      </c>
      <c r="BH106" s="405" t="e">
        <f t="shared" si="105"/>
        <v>#N/A</v>
      </c>
      <c r="BI106" s="405" t="e">
        <f t="shared" si="105"/>
        <v>#N/A</v>
      </c>
      <c r="BJ106" s="405" t="e">
        <f t="shared" si="105"/>
        <v>#N/A</v>
      </c>
      <c r="BK106" s="405" t="e">
        <f t="shared" si="105"/>
        <v>#N/A</v>
      </c>
      <c r="BL106" s="405" t="e">
        <f t="shared" si="105"/>
        <v>#N/A</v>
      </c>
      <c r="BM106" s="405" t="e">
        <f t="shared" si="105"/>
        <v>#N/A</v>
      </c>
      <c r="BN106" s="405">
        <f t="shared" si="105"/>
        <v>70</v>
      </c>
      <c r="BO106" s="405">
        <f t="shared" si="105"/>
        <v>70</v>
      </c>
      <c r="BP106" s="405" t="e">
        <f t="shared" ref="BP106:CD106" si="106">VLOOKUP(BP51,$B$59:$C$149,2)</f>
        <v>#N/A</v>
      </c>
      <c r="BQ106" s="405" t="e">
        <f t="shared" si="106"/>
        <v>#N/A</v>
      </c>
      <c r="BR106" s="405" t="e">
        <f t="shared" si="106"/>
        <v>#N/A</v>
      </c>
      <c r="BS106" s="405" t="e">
        <f t="shared" si="106"/>
        <v>#N/A</v>
      </c>
      <c r="BT106" s="405">
        <f t="shared" si="106"/>
        <v>70</v>
      </c>
      <c r="BU106" s="405">
        <f t="shared" si="106"/>
        <v>70</v>
      </c>
      <c r="BV106" s="405" t="e">
        <f t="shared" si="106"/>
        <v>#N/A</v>
      </c>
      <c r="BW106" s="405" t="e">
        <f t="shared" si="106"/>
        <v>#N/A</v>
      </c>
      <c r="BX106" s="405" t="e">
        <f t="shared" si="106"/>
        <v>#N/A</v>
      </c>
      <c r="BY106" s="405">
        <f t="shared" si="106"/>
        <v>70</v>
      </c>
      <c r="BZ106" s="405">
        <f t="shared" si="106"/>
        <v>70</v>
      </c>
      <c r="CA106" s="405" t="e">
        <f t="shared" si="106"/>
        <v>#N/A</v>
      </c>
      <c r="CB106" s="405" t="e">
        <f t="shared" si="106"/>
        <v>#N/A</v>
      </c>
      <c r="CC106" s="405" t="e">
        <f t="shared" si="106"/>
        <v>#N/A</v>
      </c>
      <c r="CD106" s="405" t="e">
        <f t="shared" si="106"/>
        <v>#N/A</v>
      </c>
    </row>
    <row r="107" spans="1:82" hidden="1">
      <c r="A107" s="665">
        <v>49</v>
      </c>
      <c r="B107" s="666">
        <v>58</v>
      </c>
      <c r="C107" s="18">
        <v>60</v>
      </c>
      <c r="D107" s="405">
        <f t="shared" ref="D107:BO107" si="107">VLOOKUP(D52,$B$59:$C$149,2)</f>
        <v>100</v>
      </c>
      <c r="E107" s="405">
        <f t="shared" si="107"/>
        <v>100</v>
      </c>
      <c r="F107" s="405">
        <f t="shared" si="107"/>
        <v>100</v>
      </c>
      <c r="G107" s="405" t="e">
        <f t="shared" si="107"/>
        <v>#N/A</v>
      </c>
      <c r="H107" s="405" t="e">
        <f t="shared" si="107"/>
        <v>#N/A</v>
      </c>
      <c r="I107" s="405" t="e">
        <f t="shared" si="107"/>
        <v>#N/A</v>
      </c>
      <c r="J107" s="405">
        <f t="shared" si="107"/>
        <v>90</v>
      </c>
      <c r="K107" s="405">
        <f t="shared" si="107"/>
        <v>80</v>
      </c>
      <c r="L107" s="405">
        <f t="shared" si="107"/>
        <v>100</v>
      </c>
      <c r="M107" s="405">
        <f t="shared" si="107"/>
        <v>100</v>
      </c>
      <c r="N107" s="405">
        <f t="shared" si="107"/>
        <v>100</v>
      </c>
      <c r="O107" s="405" t="e">
        <f t="shared" si="107"/>
        <v>#N/A</v>
      </c>
      <c r="P107" s="405" t="e">
        <f t="shared" si="107"/>
        <v>#N/A</v>
      </c>
      <c r="Q107" s="405" t="e">
        <f t="shared" si="107"/>
        <v>#N/A</v>
      </c>
      <c r="R107" s="405">
        <f t="shared" si="107"/>
        <v>90</v>
      </c>
      <c r="S107" s="405">
        <f t="shared" si="107"/>
        <v>80</v>
      </c>
      <c r="T107" s="405" t="e">
        <f t="shared" si="107"/>
        <v>#N/A</v>
      </c>
      <c r="U107" s="405" t="e">
        <f t="shared" si="107"/>
        <v>#N/A</v>
      </c>
      <c r="V107" s="405" t="e">
        <f t="shared" si="107"/>
        <v>#N/A</v>
      </c>
      <c r="W107" s="405" t="e">
        <f t="shared" si="107"/>
        <v>#N/A</v>
      </c>
      <c r="X107" s="405" t="e">
        <f t="shared" si="107"/>
        <v>#N/A</v>
      </c>
      <c r="Y107" s="405" t="e">
        <f t="shared" si="107"/>
        <v>#N/A</v>
      </c>
      <c r="Z107" s="405">
        <f t="shared" si="107"/>
        <v>100</v>
      </c>
      <c r="AA107" s="405">
        <f t="shared" si="107"/>
        <v>100</v>
      </c>
      <c r="AB107" s="405">
        <f t="shared" si="107"/>
        <v>100</v>
      </c>
      <c r="AC107" s="405">
        <f t="shared" si="107"/>
        <v>100</v>
      </c>
      <c r="AD107" s="405" t="e">
        <f t="shared" si="107"/>
        <v>#N/A</v>
      </c>
      <c r="AE107" s="405" t="e">
        <f t="shared" si="107"/>
        <v>#N/A</v>
      </c>
      <c r="AF107" s="405">
        <f t="shared" si="107"/>
        <v>100</v>
      </c>
      <c r="AG107" s="405">
        <f t="shared" si="107"/>
        <v>100</v>
      </c>
      <c r="AH107" s="405">
        <f t="shared" si="107"/>
        <v>100</v>
      </c>
      <c r="AI107" s="405" t="e">
        <f t="shared" si="107"/>
        <v>#N/A</v>
      </c>
      <c r="AJ107" s="405" t="e">
        <f t="shared" si="107"/>
        <v>#N/A</v>
      </c>
      <c r="AK107" s="405" t="e">
        <f t="shared" si="107"/>
        <v>#N/A</v>
      </c>
      <c r="AL107" s="405">
        <f t="shared" si="107"/>
        <v>100</v>
      </c>
      <c r="AM107" s="405">
        <f t="shared" si="107"/>
        <v>100</v>
      </c>
      <c r="AN107" s="405">
        <f t="shared" si="107"/>
        <v>100</v>
      </c>
      <c r="AO107" s="405" t="e">
        <f t="shared" si="107"/>
        <v>#N/A</v>
      </c>
      <c r="AP107" s="405" t="e">
        <f t="shared" si="107"/>
        <v>#N/A</v>
      </c>
      <c r="AQ107" s="405" t="e">
        <f t="shared" si="107"/>
        <v>#N/A</v>
      </c>
      <c r="AR107" s="405">
        <f t="shared" si="107"/>
        <v>100</v>
      </c>
      <c r="AS107" s="405">
        <f t="shared" si="107"/>
        <v>100</v>
      </c>
      <c r="AT107" s="405">
        <f t="shared" si="107"/>
        <v>100</v>
      </c>
      <c r="AU107" s="405" t="e">
        <f t="shared" si="107"/>
        <v>#VALUE!</v>
      </c>
      <c r="AV107" s="405" t="e">
        <f t="shared" si="107"/>
        <v>#VALUE!</v>
      </c>
      <c r="AW107" s="405" t="e">
        <f t="shared" si="107"/>
        <v>#VALUE!</v>
      </c>
      <c r="AX107" s="405" t="e">
        <f t="shared" si="107"/>
        <v>#VALUE!</v>
      </c>
      <c r="AY107" s="405" t="e">
        <f t="shared" si="107"/>
        <v>#VALUE!</v>
      </c>
      <c r="AZ107" s="405" t="e">
        <f t="shared" si="107"/>
        <v>#N/A</v>
      </c>
      <c r="BA107" s="405" t="e">
        <f t="shared" si="107"/>
        <v>#N/A</v>
      </c>
      <c r="BB107" s="405" t="e">
        <f t="shared" si="107"/>
        <v>#N/A</v>
      </c>
      <c r="BC107" s="405" t="e">
        <f t="shared" si="107"/>
        <v>#N/A</v>
      </c>
      <c r="BD107" s="405" t="e">
        <f t="shared" si="107"/>
        <v>#N/A</v>
      </c>
      <c r="BE107" s="405">
        <f t="shared" si="107"/>
        <v>90</v>
      </c>
      <c r="BF107" s="405">
        <f t="shared" si="107"/>
        <v>80</v>
      </c>
      <c r="BG107" s="405" t="e">
        <f t="shared" si="107"/>
        <v>#N/A</v>
      </c>
      <c r="BH107" s="405" t="e">
        <f t="shared" si="107"/>
        <v>#N/A</v>
      </c>
      <c r="BI107" s="405" t="e">
        <f t="shared" si="107"/>
        <v>#N/A</v>
      </c>
      <c r="BJ107" s="405" t="e">
        <f t="shared" si="107"/>
        <v>#N/A</v>
      </c>
      <c r="BK107" s="405" t="e">
        <f t="shared" si="107"/>
        <v>#N/A</v>
      </c>
      <c r="BL107" s="405" t="e">
        <f t="shared" si="107"/>
        <v>#N/A</v>
      </c>
      <c r="BM107" s="405" t="e">
        <f t="shared" si="107"/>
        <v>#N/A</v>
      </c>
      <c r="BN107" s="405">
        <f t="shared" si="107"/>
        <v>90</v>
      </c>
      <c r="BO107" s="405">
        <f t="shared" si="107"/>
        <v>80</v>
      </c>
      <c r="BP107" s="405" t="e">
        <f t="shared" ref="BP107:CD107" si="108">VLOOKUP(BP52,$B$59:$C$149,2)</f>
        <v>#N/A</v>
      </c>
      <c r="BQ107" s="405" t="e">
        <f t="shared" si="108"/>
        <v>#N/A</v>
      </c>
      <c r="BR107" s="405" t="e">
        <f t="shared" si="108"/>
        <v>#N/A</v>
      </c>
      <c r="BS107" s="405" t="e">
        <f t="shared" si="108"/>
        <v>#N/A</v>
      </c>
      <c r="BT107" s="405">
        <f t="shared" si="108"/>
        <v>90</v>
      </c>
      <c r="BU107" s="405">
        <f t="shared" si="108"/>
        <v>80</v>
      </c>
      <c r="BV107" s="405" t="e">
        <f t="shared" si="108"/>
        <v>#N/A</v>
      </c>
      <c r="BW107" s="405" t="e">
        <f t="shared" si="108"/>
        <v>#N/A</v>
      </c>
      <c r="BX107" s="405" t="e">
        <f t="shared" si="108"/>
        <v>#N/A</v>
      </c>
      <c r="BY107" s="405">
        <f t="shared" si="108"/>
        <v>90</v>
      </c>
      <c r="BZ107" s="405">
        <f t="shared" si="108"/>
        <v>80</v>
      </c>
      <c r="CA107" s="405" t="e">
        <f t="shared" si="108"/>
        <v>#N/A</v>
      </c>
      <c r="CB107" s="405" t="e">
        <f t="shared" si="108"/>
        <v>#N/A</v>
      </c>
      <c r="CC107" s="405" t="e">
        <f t="shared" si="108"/>
        <v>#N/A</v>
      </c>
      <c r="CD107" s="405" t="e">
        <f t="shared" si="108"/>
        <v>#N/A</v>
      </c>
    </row>
    <row r="108" spans="1:82" hidden="1">
      <c r="A108" s="665">
        <v>50</v>
      </c>
      <c r="B108" s="666">
        <v>59</v>
      </c>
      <c r="C108" s="18">
        <v>60</v>
      </c>
      <c r="D108" s="405">
        <f t="shared" ref="D108:BO108" si="109">VLOOKUP(D53,$B$59:$C$149,2)</f>
        <v>100</v>
      </c>
      <c r="E108" s="405">
        <f t="shared" si="109"/>
        <v>100</v>
      </c>
      <c r="F108" s="405">
        <f t="shared" si="109"/>
        <v>100</v>
      </c>
      <c r="G108" s="405" t="e">
        <f t="shared" si="109"/>
        <v>#N/A</v>
      </c>
      <c r="H108" s="405" t="e">
        <f t="shared" si="109"/>
        <v>#N/A</v>
      </c>
      <c r="I108" s="405" t="e">
        <f t="shared" si="109"/>
        <v>#N/A</v>
      </c>
      <c r="J108" s="405">
        <f t="shared" si="109"/>
        <v>90</v>
      </c>
      <c r="K108" s="405">
        <f t="shared" si="109"/>
        <v>70</v>
      </c>
      <c r="L108" s="405">
        <f t="shared" si="109"/>
        <v>100</v>
      </c>
      <c r="M108" s="405">
        <f t="shared" si="109"/>
        <v>100</v>
      </c>
      <c r="N108" s="405">
        <f t="shared" si="109"/>
        <v>100</v>
      </c>
      <c r="O108" s="405" t="e">
        <f t="shared" si="109"/>
        <v>#N/A</v>
      </c>
      <c r="P108" s="405" t="e">
        <f t="shared" si="109"/>
        <v>#N/A</v>
      </c>
      <c r="Q108" s="405" t="e">
        <f t="shared" si="109"/>
        <v>#N/A</v>
      </c>
      <c r="R108" s="405">
        <f t="shared" si="109"/>
        <v>90</v>
      </c>
      <c r="S108" s="405">
        <f t="shared" si="109"/>
        <v>70</v>
      </c>
      <c r="T108" s="405" t="e">
        <f t="shared" si="109"/>
        <v>#N/A</v>
      </c>
      <c r="U108" s="405" t="e">
        <f t="shared" si="109"/>
        <v>#N/A</v>
      </c>
      <c r="V108" s="405" t="e">
        <f t="shared" si="109"/>
        <v>#N/A</v>
      </c>
      <c r="W108" s="405" t="e">
        <f t="shared" si="109"/>
        <v>#N/A</v>
      </c>
      <c r="X108" s="405" t="e">
        <f t="shared" si="109"/>
        <v>#N/A</v>
      </c>
      <c r="Y108" s="405" t="e">
        <f t="shared" si="109"/>
        <v>#N/A</v>
      </c>
      <c r="Z108" s="405">
        <f t="shared" si="109"/>
        <v>100</v>
      </c>
      <c r="AA108" s="405">
        <f t="shared" si="109"/>
        <v>100</v>
      </c>
      <c r="AB108" s="405">
        <f t="shared" si="109"/>
        <v>100</v>
      </c>
      <c r="AC108" s="405">
        <f t="shared" si="109"/>
        <v>100</v>
      </c>
      <c r="AD108" s="405" t="e">
        <f t="shared" si="109"/>
        <v>#N/A</v>
      </c>
      <c r="AE108" s="405" t="e">
        <f t="shared" si="109"/>
        <v>#N/A</v>
      </c>
      <c r="AF108" s="405">
        <f t="shared" si="109"/>
        <v>100</v>
      </c>
      <c r="AG108" s="405">
        <f t="shared" si="109"/>
        <v>100</v>
      </c>
      <c r="AH108" s="405">
        <f t="shared" si="109"/>
        <v>100</v>
      </c>
      <c r="AI108" s="405" t="e">
        <f t="shared" si="109"/>
        <v>#N/A</v>
      </c>
      <c r="AJ108" s="405" t="e">
        <f t="shared" si="109"/>
        <v>#N/A</v>
      </c>
      <c r="AK108" s="405" t="e">
        <f t="shared" si="109"/>
        <v>#N/A</v>
      </c>
      <c r="AL108" s="405">
        <f t="shared" si="109"/>
        <v>100</v>
      </c>
      <c r="AM108" s="405">
        <f t="shared" si="109"/>
        <v>100</v>
      </c>
      <c r="AN108" s="405">
        <f t="shared" si="109"/>
        <v>100</v>
      </c>
      <c r="AO108" s="405" t="e">
        <f t="shared" si="109"/>
        <v>#N/A</v>
      </c>
      <c r="AP108" s="405" t="e">
        <f t="shared" si="109"/>
        <v>#N/A</v>
      </c>
      <c r="AQ108" s="405" t="e">
        <f t="shared" si="109"/>
        <v>#N/A</v>
      </c>
      <c r="AR108" s="405">
        <f t="shared" si="109"/>
        <v>100</v>
      </c>
      <c r="AS108" s="405">
        <f t="shared" si="109"/>
        <v>100</v>
      </c>
      <c r="AT108" s="405">
        <f t="shared" si="109"/>
        <v>100</v>
      </c>
      <c r="AU108" s="405" t="e">
        <f t="shared" si="109"/>
        <v>#VALUE!</v>
      </c>
      <c r="AV108" s="405" t="e">
        <f t="shared" si="109"/>
        <v>#VALUE!</v>
      </c>
      <c r="AW108" s="405" t="e">
        <f t="shared" si="109"/>
        <v>#VALUE!</v>
      </c>
      <c r="AX108" s="405" t="e">
        <f t="shared" si="109"/>
        <v>#VALUE!</v>
      </c>
      <c r="AY108" s="405" t="e">
        <f t="shared" si="109"/>
        <v>#VALUE!</v>
      </c>
      <c r="AZ108" s="405" t="e">
        <f t="shared" si="109"/>
        <v>#N/A</v>
      </c>
      <c r="BA108" s="405" t="e">
        <f t="shared" si="109"/>
        <v>#N/A</v>
      </c>
      <c r="BB108" s="405" t="e">
        <f t="shared" si="109"/>
        <v>#N/A</v>
      </c>
      <c r="BC108" s="405" t="e">
        <f t="shared" si="109"/>
        <v>#N/A</v>
      </c>
      <c r="BD108" s="405" t="e">
        <f t="shared" si="109"/>
        <v>#N/A</v>
      </c>
      <c r="BE108" s="405">
        <f t="shared" si="109"/>
        <v>90</v>
      </c>
      <c r="BF108" s="405">
        <f t="shared" si="109"/>
        <v>70</v>
      </c>
      <c r="BG108" s="405" t="e">
        <f t="shared" si="109"/>
        <v>#N/A</v>
      </c>
      <c r="BH108" s="405" t="e">
        <f t="shared" si="109"/>
        <v>#N/A</v>
      </c>
      <c r="BI108" s="405" t="e">
        <f t="shared" si="109"/>
        <v>#N/A</v>
      </c>
      <c r="BJ108" s="405" t="e">
        <f t="shared" si="109"/>
        <v>#N/A</v>
      </c>
      <c r="BK108" s="405" t="e">
        <f t="shared" si="109"/>
        <v>#N/A</v>
      </c>
      <c r="BL108" s="405" t="e">
        <f t="shared" si="109"/>
        <v>#N/A</v>
      </c>
      <c r="BM108" s="405" t="e">
        <f t="shared" si="109"/>
        <v>#N/A</v>
      </c>
      <c r="BN108" s="405">
        <f t="shared" si="109"/>
        <v>90</v>
      </c>
      <c r="BO108" s="405">
        <f t="shared" si="109"/>
        <v>70</v>
      </c>
      <c r="BP108" s="405" t="e">
        <f t="shared" ref="BP108:CD108" si="110">VLOOKUP(BP53,$B$59:$C$149,2)</f>
        <v>#N/A</v>
      </c>
      <c r="BQ108" s="405" t="e">
        <f t="shared" si="110"/>
        <v>#N/A</v>
      </c>
      <c r="BR108" s="405" t="e">
        <f t="shared" si="110"/>
        <v>#N/A</v>
      </c>
      <c r="BS108" s="405" t="e">
        <f t="shared" si="110"/>
        <v>#N/A</v>
      </c>
      <c r="BT108" s="405">
        <f t="shared" si="110"/>
        <v>90</v>
      </c>
      <c r="BU108" s="405">
        <f t="shared" si="110"/>
        <v>70</v>
      </c>
      <c r="BV108" s="405" t="e">
        <f t="shared" si="110"/>
        <v>#N/A</v>
      </c>
      <c r="BW108" s="405" t="e">
        <f t="shared" si="110"/>
        <v>#N/A</v>
      </c>
      <c r="BX108" s="405" t="e">
        <f t="shared" si="110"/>
        <v>#N/A</v>
      </c>
      <c r="BY108" s="405">
        <f t="shared" si="110"/>
        <v>90</v>
      </c>
      <c r="BZ108" s="405">
        <f t="shared" si="110"/>
        <v>70</v>
      </c>
      <c r="CA108" s="405" t="e">
        <f t="shared" si="110"/>
        <v>#N/A</v>
      </c>
      <c r="CB108" s="405" t="e">
        <f t="shared" si="110"/>
        <v>#N/A</v>
      </c>
      <c r="CC108" s="405" t="e">
        <f t="shared" si="110"/>
        <v>#N/A</v>
      </c>
      <c r="CD108" s="405" t="e">
        <f t="shared" si="110"/>
        <v>#N/A</v>
      </c>
    </row>
    <row r="109" spans="1:82" hidden="1">
      <c r="A109" s="665">
        <v>51</v>
      </c>
      <c r="B109" s="666">
        <v>60</v>
      </c>
      <c r="C109" s="18">
        <v>60</v>
      </c>
      <c r="D109" s="405"/>
      <c r="E109" s="405"/>
      <c r="F109" s="405"/>
      <c r="G109" s="405"/>
      <c r="H109" s="405"/>
      <c r="I109" s="405"/>
      <c r="J109" s="405"/>
      <c r="K109" s="405"/>
      <c r="L109" s="405"/>
      <c r="M109" s="405"/>
      <c r="N109" s="405"/>
      <c r="O109" s="405"/>
      <c r="P109" s="405"/>
      <c r="Q109" s="405"/>
      <c r="R109" s="405"/>
      <c r="S109" s="405"/>
      <c r="T109" s="405"/>
      <c r="U109" s="405"/>
      <c r="V109" s="405"/>
      <c r="W109" s="405"/>
      <c r="X109" s="405"/>
      <c r="Y109" s="405"/>
      <c r="Z109" s="405"/>
      <c r="AA109" s="405"/>
      <c r="AB109" s="405"/>
      <c r="AC109" s="405"/>
      <c r="AD109" s="405"/>
      <c r="AE109" s="405"/>
      <c r="AF109" s="405"/>
      <c r="AG109" s="405"/>
      <c r="AH109" s="405"/>
      <c r="AI109" s="405"/>
      <c r="AJ109" s="405"/>
      <c r="AK109" s="405"/>
      <c r="AL109" s="405"/>
      <c r="AM109" s="405"/>
      <c r="AN109" s="405"/>
      <c r="AO109" s="405"/>
      <c r="AP109" s="405"/>
      <c r="AQ109" s="405"/>
      <c r="AR109" s="405"/>
      <c r="AS109" s="405"/>
      <c r="AT109" s="405"/>
      <c r="AU109" s="405"/>
      <c r="AV109" s="405"/>
      <c r="AW109" s="405"/>
      <c r="AX109" s="405"/>
      <c r="AY109" s="405"/>
      <c r="AZ109" s="405"/>
      <c r="BA109" s="405"/>
      <c r="BB109" s="405"/>
      <c r="BC109" s="405"/>
      <c r="BD109" s="405"/>
      <c r="BE109" s="405"/>
      <c r="BF109" s="405"/>
      <c r="BG109" s="405"/>
      <c r="BH109" s="405"/>
      <c r="BI109" s="405"/>
      <c r="BJ109" s="405"/>
      <c r="BK109" s="405"/>
      <c r="BL109" s="405"/>
      <c r="BM109" s="405"/>
      <c r="BN109" s="405"/>
      <c r="BO109" s="405"/>
      <c r="BP109" s="405"/>
      <c r="BQ109" s="405"/>
      <c r="BR109" s="405"/>
      <c r="BS109" s="405"/>
      <c r="BT109" s="405"/>
      <c r="BU109" s="405"/>
      <c r="BV109" s="405"/>
      <c r="BW109" s="405"/>
      <c r="BX109" s="405"/>
      <c r="BY109" s="405"/>
      <c r="BZ109" s="405"/>
      <c r="CA109" s="405"/>
      <c r="CB109" s="405"/>
      <c r="CC109" s="405"/>
      <c r="CD109" s="405"/>
    </row>
    <row r="110" spans="1:82" hidden="1">
      <c r="A110" s="665">
        <v>52</v>
      </c>
      <c r="B110" s="666">
        <v>61</v>
      </c>
      <c r="C110" s="18">
        <v>60</v>
      </c>
      <c r="D110" s="405"/>
      <c r="E110" s="405"/>
      <c r="F110" s="405"/>
      <c r="G110" s="405"/>
      <c r="H110" s="405"/>
      <c r="I110" s="405"/>
      <c r="J110" s="405"/>
      <c r="K110" s="405"/>
      <c r="L110" s="405"/>
      <c r="M110" s="405"/>
      <c r="N110" s="405"/>
      <c r="O110" s="405"/>
      <c r="P110" s="405"/>
      <c r="Q110" s="405"/>
      <c r="R110" s="405"/>
      <c r="S110" s="405"/>
      <c r="T110" s="405"/>
      <c r="U110" s="405"/>
      <c r="V110" s="405"/>
      <c r="W110" s="405"/>
      <c r="X110" s="405"/>
      <c r="Y110" s="405"/>
      <c r="Z110" s="405"/>
      <c r="AA110" s="405"/>
      <c r="AB110" s="405"/>
      <c r="AC110" s="405"/>
      <c r="AD110" s="405"/>
      <c r="AE110" s="405"/>
      <c r="AF110" s="405"/>
      <c r="AG110" s="405"/>
      <c r="AH110" s="405"/>
      <c r="AI110" s="405"/>
      <c r="AJ110" s="405"/>
      <c r="AK110" s="405"/>
      <c r="AL110" s="405"/>
      <c r="AM110" s="405"/>
      <c r="AN110" s="405"/>
      <c r="AO110" s="405"/>
      <c r="AP110" s="405"/>
      <c r="AQ110" s="405"/>
      <c r="AR110" s="405"/>
      <c r="AS110" s="405"/>
      <c r="AT110" s="405"/>
      <c r="AU110" s="405"/>
      <c r="AV110" s="405"/>
      <c r="AW110" s="405"/>
      <c r="AX110" s="405"/>
      <c r="AY110" s="405"/>
      <c r="AZ110" s="405"/>
      <c r="BA110" s="405"/>
      <c r="BB110" s="405"/>
      <c r="BC110" s="405"/>
      <c r="BD110" s="405"/>
      <c r="BE110" s="405"/>
      <c r="BF110" s="405"/>
      <c r="BG110" s="405"/>
      <c r="BH110" s="405"/>
      <c r="BI110" s="405"/>
      <c r="BJ110" s="405"/>
      <c r="BK110" s="405"/>
      <c r="BL110" s="405"/>
      <c r="BM110" s="405"/>
      <c r="BN110" s="405"/>
      <c r="BO110" s="405"/>
      <c r="BP110" s="405"/>
      <c r="BQ110" s="405"/>
      <c r="BR110" s="405"/>
      <c r="BS110" s="405"/>
      <c r="BT110" s="405"/>
      <c r="BU110" s="405"/>
      <c r="BV110" s="405"/>
      <c r="BW110" s="405"/>
      <c r="BX110" s="405"/>
      <c r="BY110" s="405"/>
      <c r="BZ110" s="405"/>
      <c r="CA110" s="405"/>
      <c r="CB110" s="405"/>
      <c r="CC110" s="405"/>
      <c r="CD110" s="405"/>
    </row>
    <row r="111" spans="1:82" hidden="1">
      <c r="A111" s="665">
        <v>53</v>
      </c>
      <c r="B111" s="666">
        <v>62</v>
      </c>
      <c r="C111" s="18">
        <v>60</v>
      </c>
      <c r="D111" s="405"/>
      <c r="E111" s="405"/>
      <c r="F111" s="405"/>
      <c r="G111" s="405"/>
      <c r="H111" s="405"/>
      <c r="I111" s="405"/>
      <c r="J111" s="405"/>
      <c r="K111" s="405"/>
      <c r="L111" s="405"/>
      <c r="M111" s="405"/>
      <c r="N111" s="405"/>
      <c r="O111" s="405"/>
      <c r="P111" s="405"/>
      <c r="Q111" s="405"/>
      <c r="R111" s="405"/>
      <c r="S111" s="405"/>
      <c r="T111" s="405"/>
      <c r="U111" s="405"/>
      <c r="V111" s="405"/>
      <c r="W111" s="405"/>
      <c r="X111" s="405"/>
      <c r="Y111" s="405"/>
      <c r="Z111" s="405"/>
      <c r="AA111" s="405"/>
      <c r="AB111" s="405"/>
      <c r="AC111" s="405"/>
      <c r="AD111" s="405"/>
      <c r="AE111" s="405"/>
      <c r="AF111" s="405"/>
      <c r="AG111" s="405"/>
      <c r="AH111" s="405"/>
      <c r="AI111" s="405"/>
      <c r="AJ111" s="405"/>
      <c r="AK111" s="405"/>
      <c r="AL111" s="405"/>
      <c r="AM111" s="405"/>
      <c r="AN111" s="405"/>
      <c r="AO111" s="405"/>
      <c r="AP111" s="405"/>
      <c r="AQ111" s="405"/>
      <c r="AR111" s="405"/>
      <c r="AS111" s="405"/>
      <c r="AT111" s="405"/>
      <c r="AU111" s="405"/>
      <c r="AV111" s="405"/>
      <c r="AW111" s="405"/>
      <c r="AX111" s="405"/>
      <c r="AY111" s="405"/>
      <c r="AZ111" s="405"/>
      <c r="BA111" s="405"/>
      <c r="BB111" s="405"/>
      <c r="BC111" s="405"/>
      <c r="BD111" s="405"/>
      <c r="BE111" s="405"/>
      <c r="BF111" s="405"/>
      <c r="BG111" s="405"/>
      <c r="BH111" s="405"/>
      <c r="BI111" s="405"/>
      <c r="BJ111" s="405"/>
      <c r="BK111" s="405"/>
      <c r="BL111" s="405"/>
      <c r="BM111" s="405"/>
      <c r="BN111" s="405"/>
      <c r="BO111" s="405"/>
      <c r="BP111" s="405"/>
      <c r="BQ111" s="405"/>
      <c r="BR111" s="405"/>
      <c r="BS111" s="405"/>
      <c r="BT111" s="405"/>
      <c r="BU111" s="405"/>
      <c r="BV111" s="405"/>
      <c r="BW111" s="405"/>
      <c r="BX111" s="405"/>
      <c r="BY111" s="405"/>
      <c r="BZ111" s="405"/>
      <c r="CA111" s="405"/>
      <c r="CB111" s="405"/>
      <c r="CC111" s="405"/>
      <c r="CD111" s="405"/>
    </row>
    <row r="112" spans="1:82" hidden="1">
      <c r="A112" s="665">
        <v>54</v>
      </c>
      <c r="B112" s="666">
        <v>63</v>
      </c>
      <c r="C112" s="18">
        <v>65</v>
      </c>
      <c r="D112" s="405"/>
      <c r="E112" s="405"/>
      <c r="F112" s="405"/>
      <c r="G112" s="405"/>
      <c r="H112" s="405"/>
      <c r="I112" s="405"/>
      <c r="J112" s="405"/>
      <c r="K112" s="405"/>
      <c r="L112" s="405"/>
      <c r="M112" s="405"/>
      <c r="N112" s="405"/>
      <c r="O112" s="405"/>
      <c r="P112" s="405"/>
      <c r="Q112" s="405"/>
      <c r="R112" s="405"/>
      <c r="S112" s="405"/>
      <c r="T112" s="405"/>
      <c r="U112" s="405"/>
      <c r="V112" s="405"/>
      <c r="W112" s="405"/>
      <c r="X112" s="405"/>
      <c r="Y112" s="405"/>
      <c r="Z112" s="405"/>
      <c r="AA112" s="405"/>
      <c r="AB112" s="405"/>
      <c r="AC112" s="405"/>
      <c r="AD112" s="405"/>
      <c r="AE112" s="405"/>
      <c r="AF112" s="405"/>
      <c r="AG112" s="405"/>
      <c r="AH112" s="405"/>
      <c r="AI112" s="405"/>
      <c r="AJ112" s="405"/>
      <c r="AK112" s="405"/>
      <c r="AL112" s="405"/>
      <c r="AM112" s="405"/>
      <c r="AN112" s="405"/>
      <c r="AO112" s="405"/>
      <c r="AP112" s="405"/>
      <c r="AQ112" s="405"/>
      <c r="AR112" s="405"/>
      <c r="AS112" s="405"/>
      <c r="AT112" s="405"/>
      <c r="AU112" s="405"/>
      <c r="AV112" s="405"/>
      <c r="AW112" s="405"/>
      <c r="AX112" s="405"/>
      <c r="AY112" s="405"/>
      <c r="AZ112" s="405"/>
      <c r="BA112" s="405"/>
      <c r="BB112" s="405"/>
      <c r="BC112" s="405"/>
      <c r="BD112" s="405"/>
      <c r="BE112" s="405"/>
      <c r="BF112" s="405"/>
      <c r="BG112" s="405"/>
      <c r="BH112" s="405"/>
      <c r="BI112" s="405"/>
      <c r="BJ112" s="405"/>
      <c r="BK112" s="405"/>
      <c r="BL112" s="405"/>
      <c r="BM112" s="405"/>
      <c r="BN112" s="405"/>
      <c r="BO112" s="405"/>
      <c r="BP112" s="405"/>
      <c r="BQ112" s="405"/>
      <c r="BR112" s="405"/>
      <c r="BS112" s="405"/>
      <c r="BT112" s="405"/>
      <c r="BU112" s="405"/>
      <c r="BV112" s="405"/>
      <c r="BW112" s="405"/>
      <c r="BX112" s="405"/>
      <c r="BY112" s="405"/>
      <c r="BZ112" s="405"/>
      <c r="CA112" s="405"/>
      <c r="CB112" s="405"/>
      <c r="CC112" s="405"/>
      <c r="CD112" s="405"/>
    </row>
    <row r="113" spans="1:82" hidden="1">
      <c r="A113" s="665">
        <v>55</v>
      </c>
      <c r="B113" s="666">
        <v>64</v>
      </c>
      <c r="C113" s="18">
        <v>65</v>
      </c>
      <c r="D113" s="405"/>
      <c r="E113" s="405"/>
      <c r="F113" s="405"/>
      <c r="G113" s="405"/>
      <c r="H113" s="405"/>
      <c r="I113" s="405"/>
      <c r="J113" s="405"/>
      <c r="K113" s="405"/>
      <c r="L113" s="405"/>
      <c r="M113" s="405"/>
      <c r="N113" s="405"/>
      <c r="O113" s="405"/>
      <c r="P113" s="405"/>
      <c r="Q113" s="405"/>
      <c r="R113" s="405"/>
      <c r="S113" s="405"/>
      <c r="T113" s="405"/>
      <c r="U113" s="405"/>
      <c r="V113" s="405"/>
      <c r="W113" s="405"/>
      <c r="X113" s="405"/>
      <c r="Y113" s="405"/>
      <c r="Z113" s="405"/>
      <c r="AA113" s="405"/>
      <c r="AB113" s="405"/>
      <c r="AC113" s="405"/>
      <c r="AD113" s="405"/>
      <c r="AE113" s="405"/>
      <c r="AF113" s="405"/>
      <c r="AG113" s="405"/>
      <c r="AH113" s="405"/>
      <c r="AI113" s="405"/>
      <c r="AJ113" s="405"/>
      <c r="AK113" s="405"/>
      <c r="AL113" s="405"/>
      <c r="AM113" s="405"/>
      <c r="AN113" s="405"/>
      <c r="AO113" s="405"/>
      <c r="AP113" s="405"/>
      <c r="AQ113" s="405"/>
      <c r="AR113" s="405"/>
      <c r="AS113" s="405"/>
      <c r="AT113" s="405"/>
      <c r="AU113" s="405"/>
      <c r="AV113" s="405"/>
      <c r="AW113" s="405"/>
      <c r="AX113" s="405"/>
      <c r="AY113" s="405"/>
      <c r="AZ113" s="405"/>
      <c r="BA113" s="405"/>
      <c r="BB113" s="405"/>
      <c r="BC113" s="405"/>
      <c r="BD113" s="405"/>
      <c r="BE113" s="405"/>
      <c r="BF113" s="405"/>
      <c r="BG113" s="405"/>
      <c r="BH113" s="405"/>
      <c r="BI113" s="405"/>
      <c r="BJ113" s="405"/>
      <c r="BK113" s="405"/>
      <c r="BL113" s="405"/>
      <c r="BM113" s="405"/>
      <c r="BN113" s="405"/>
      <c r="BO113" s="405"/>
      <c r="BP113" s="405"/>
      <c r="BQ113" s="405"/>
      <c r="BR113" s="405"/>
      <c r="BS113" s="405"/>
      <c r="BT113" s="405"/>
      <c r="BU113" s="405"/>
      <c r="BV113" s="405"/>
      <c r="BW113" s="405"/>
      <c r="BX113" s="405"/>
      <c r="BY113" s="405"/>
      <c r="BZ113" s="405"/>
      <c r="CA113" s="405"/>
      <c r="CB113" s="405"/>
      <c r="CC113" s="405"/>
      <c r="CD113" s="405"/>
    </row>
    <row r="114" spans="1:82" hidden="1">
      <c r="A114" s="665">
        <v>56</v>
      </c>
      <c r="B114" s="666">
        <v>65</v>
      </c>
      <c r="C114" s="18">
        <v>65</v>
      </c>
      <c r="D114" s="405"/>
      <c r="E114" s="405"/>
      <c r="F114" s="405"/>
      <c r="G114" s="405"/>
      <c r="H114" s="405"/>
      <c r="I114" s="405"/>
      <c r="J114" s="405"/>
      <c r="K114" s="405"/>
      <c r="L114" s="405"/>
      <c r="M114" s="405"/>
      <c r="N114" s="405"/>
      <c r="O114" s="405"/>
      <c r="P114" s="405"/>
      <c r="Q114" s="405"/>
      <c r="R114" s="405"/>
      <c r="S114" s="405"/>
      <c r="T114" s="405"/>
      <c r="U114" s="405"/>
      <c r="V114" s="405"/>
      <c r="W114" s="405"/>
      <c r="X114" s="405"/>
      <c r="Y114" s="405"/>
      <c r="Z114" s="405"/>
      <c r="AA114" s="405"/>
      <c r="AB114" s="405"/>
      <c r="AC114" s="405"/>
      <c r="AD114" s="405"/>
      <c r="AE114" s="405"/>
      <c r="AF114" s="405"/>
      <c r="AG114" s="405"/>
      <c r="AH114" s="405"/>
      <c r="AI114" s="405"/>
      <c r="AJ114" s="405"/>
      <c r="AK114" s="405"/>
      <c r="AL114" s="405"/>
      <c r="AM114" s="405"/>
      <c r="AN114" s="405"/>
      <c r="AO114" s="405"/>
      <c r="AP114" s="405"/>
      <c r="AQ114" s="405"/>
      <c r="AR114" s="405"/>
      <c r="AS114" s="405"/>
      <c r="AT114" s="405"/>
      <c r="AU114" s="405"/>
      <c r="AV114" s="405"/>
      <c r="AW114" s="405"/>
      <c r="AX114" s="405"/>
      <c r="AY114" s="405"/>
      <c r="AZ114" s="405"/>
      <c r="BA114" s="405"/>
      <c r="BB114" s="405"/>
      <c r="BC114" s="405"/>
      <c r="BD114" s="405"/>
      <c r="BE114" s="405"/>
      <c r="BF114" s="405"/>
      <c r="BG114" s="405"/>
      <c r="BH114" s="405"/>
      <c r="BI114" s="405"/>
      <c r="BJ114" s="405"/>
      <c r="BK114" s="405"/>
      <c r="BL114" s="405"/>
      <c r="BM114" s="405"/>
      <c r="BN114" s="405"/>
      <c r="BO114" s="405"/>
      <c r="BP114" s="405"/>
      <c r="BQ114" s="405"/>
      <c r="BR114" s="405"/>
      <c r="BS114" s="405"/>
      <c r="BT114" s="405"/>
      <c r="BU114" s="405"/>
      <c r="BV114" s="405"/>
      <c r="BW114" s="405"/>
      <c r="BX114" s="405"/>
      <c r="BY114" s="405"/>
      <c r="BZ114" s="405"/>
      <c r="CA114" s="405"/>
      <c r="CB114" s="405"/>
      <c r="CC114" s="405"/>
      <c r="CD114" s="405"/>
    </row>
    <row r="115" spans="1:82" hidden="1">
      <c r="A115" s="665">
        <v>57</v>
      </c>
      <c r="B115" s="666">
        <v>66</v>
      </c>
      <c r="C115" s="18">
        <v>65</v>
      </c>
      <c r="D115" s="405"/>
      <c r="E115" s="405"/>
      <c r="F115" s="405"/>
      <c r="G115" s="405"/>
      <c r="H115" s="405"/>
      <c r="I115" s="405"/>
      <c r="J115" s="405"/>
      <c r="K115" s="405"/>
      <c r="L115" s="405"/>
      <c r="M115" s="405"/>
      <c r="N115" s="405"/>
      <c r="O115" s="405"/>
      <c r="P115" s="405"/>
      <c r="Q115" s="405"/>
      <c r="R115" s="405"/>
      <c r="S115" s="405"/>
      <c r="T115" s="405"/>
      <c r="U115" s="405"/>
      <c r="V115" s="405"/>
      <c r="W115" s="405"/>
      <c r="X115" s="405"/>
      <c r="Y115" s="405"/>
      <c r="Z115" s="405"/>
      <c r="AA115" s="405"/>
      <c r="AB115" s="405"/>
      <c r="AC115" s="405"/>
      <c r="AD115" s="405"/>
      <c r="AE115" s="405"/>
      <c r="AF115" s="405"/>
      <c r="AG115" s="405"/>
      <c r="AH115" s="405"/>
      <c r="AI115" s="405"/>
      <c r="AJ115" s="405"/>
      <c r="AK115" s="405"/>
      <c r="AL115" s="405"/>
      <c r="AM115" s="405"/>
      <c r="AN115" s="405"/>
      <c r="AO115" s="405"/>
      <c r="AP115" s="405"/>
      <c r="AQ115" s="405"/>
      <c r="AR115" s="405"/>
      <c r="AS115" s="405"/>
      <c r="AT115" s="405"/>
      <c r="AU115" s="405"/>
      <c r="AV115" s="405"/>
      <c r="AW115" s="405"/>
      <c r="AX115" s="405"/>
      <c r="AY115" s="405"/>
      <c r="AZ115" s="405"/>
      <c r="BA115" s="405"/>
      <c r="BB115" s="405"/>
      <c r="BC115" s="405"/>
      <c r="BD115" s="405"/>
      <c r="BE115" s="405"/>
      <c r="BF115" s="405"/>
      <c r="BG115" s="405"/>
      <c r="BH115" s="405"/>
      <c r="BI115" s="405"/>
      <c r="BJ115" s="405"/>
      <c r="BK115" s="405"/>
      <c r="BL115" s="405"/>
      <c r="BM115" s="405"/>
      <c r="BN115" s="405"/>
      <c r="BO115" s="405"/>
      <c r="BP115" s="405"/>
      <c r="BQ115" s="405"/>
      <c r="BR115" s="405"/>
      <c r="BS115" s="405"/>
      <c r="BT115" s="405"/>
      <c r="BU115" s="405"/>
      <c r="BV115" s="405"/>
      <c r="BW115" s="405"/>
      <c r="BX115" s="405"/>
      <c r="BY115" s="405"/>
      <c r="BZ115" s="405"/>
      <c r="CA115" s="405"/>
      <c r="CB115" s="405"/>
      <c r="CC115" s="405"/>
      <c r="CD115" s="405"/>
    </row>
    <row r="116" spans="1:82" hidden="1">
      <c r="A116" s="665">
        <v>58</v>
      </c>
      <c r="B116" s="666">
        <v>67</v>
      </c>
      <c r="C116" s="18">
        <v>70</v>
      </c>
      <c r="D116" s="405"/>
      <c r="E116" s="405"/>
      <c r="F116" s="405"/>
      <c r="G116" s="405"/>
      <c r="H116" s="405"/>
      <c r="I116" s="405"/>
      <c r="J116" s="405"/>
      <c r="K116" s="405"/>
      <c r="L116" s="405"/>
      <c r="M116" s="405"/>
      <c r="N116" s="405"/>
      <c r="O116" s="405"/>
      <c r="P116" s="405"/>
      <c r="Q116" s="405"/>
      <c r="R116" s="405"/>
      <c r="S116" s="405"/>
      <c r="T116" s="405"/>
      <c r="U116" s="405"/>
      <c r="V116" s="405"/>
      <c r="W116" s="405"/>
      <c r="X116" s="405"/>
      <c r="Y116" s="405"/>
      <c r="Z116" s="405"/>
      <c r="AA116" s="405"/>
      <c r="AB116" s="405"/>
      <c r="AC116" s="405"/>
      <c r="AD116" s="405"/>
      <c r="AE116" s="405"/>
      <c r="AF116" s="405"/>
      <c r="AG116" s="405"/>
      <c r="AH116" s="405"/>
      <c r="AI116" s="405"/>
      <c r="AJ116" s="405"/>
      <c r="AK116" s="405"/>
      <c r="AL116" s="405"/>
      <c r="AM116" s="405"/>
      <c r="AN116" s="405"/>
      <c r="AO116" s="405"/>
      <c r="AP116" s="405"/>
      <c r="AQ116" s="405"/>
      <c r="AR116" s="405"/>
      <c r="AS116" s="405"/>
      <c r="AT116" s="405"/>
      <c r="AU116" s="405"/>
      <c r="AV116" s="405"/>
      <c r="AW116" s="405"/>
      <c r="AX116" s="405"/>
      <c r="AY116" s="405"/>
      <c r="AZ116" s="405"/>
      <c r="BA116" s="405"/>
      <c r="BB116" s="405"/>
      <c r="BC116" s="405"/>
      <c r="BD116" s="405"/>
      <c r="BE116" s="405"/>
      <c r="BF116" s="405"/>
      <c r="BG116" s="405"/>
      <c r="BH116" s="405"/>
      <c r="BI116" s="405"/>
      <c r="BJ116" s="405"/>
      <c r="BK116" s="405"/>
      <c r="BL116" s="405"/>
      <c r="BM116" s="405"/>
      <c r="BN116" s="405"/>
      <c r="BO116" s="405"/>
      <c r="BP116" s="405"/>
      <c r="BQ116" s="405"/>
      <c r="BR116" s="405"/>
      <c r="BS116" s="405"/>
      <c r="BT116" s="405"/>
      <c r="BU116" s="405"/>
      <c r="BV116" s="405"/>
      <c r="BW116" s="405"/>
      <c r="BX116" s="405"/>
      <c r="BY116" s="405"/>
      <c r="BZ116" s="405"/>
      <c r="CA116" s="405"/>
      <c r="CB116" s="405"/>
      <c r="CC116" s="405"/>
      <c r="CD116" s="405"/>
    </row>
    <row r="117" spans="1:82" hidden="1">
      <c r="A117" s="665">
        <v>59</v>
      </c>
      <c r="B117" s="666">
        <v>68</v>
      </c>
      <c r="C117" s="18">
        <v>70</v>
      </c>
      <c r="D117" s="405"/>
      <c r="E117" s="405"/>
      <c r="F117" s="405"/>
      <c r="G117" s="405"/>
      <c r="H117" s="405"/>
      <c r="I117" s="405"/>
      <c r="J117" s="405"/>
      <c r="K117" s="405"/>
      <c r="L117" s="405"/>
      <c r="M117" s="405"/>
      <c r="N117" s="405"/>
      <c r="O117" s="405"/>
      <c r="P117" s="405"/>
      <c r="Q117" s="405"/>
      <c r="R117" s="405"/>
      <c r="S117" s="405"/>
      <c r="T117" s="405"/>
      <c r="U117" s="405"/>
      <c r="V117" s="405"/>
      <c r="W117" s="405"/>
      <c r="X117" s="405"/>
      <c r="Y117" s="405"/>
      <c r="Z117" s="405"/>
      <c r="AA117" s="405"/>
      <c r="AB117" s="405"/>
      <c r="AC117" s="405"/>
      <c r="AD117" s="405"/>
      <c r="AE117" s="405"/>
      <c r="AF117" s="405"/>
      <c r="AG117" s="405"/>
      <c r="AH117" s="405"/>
      <c r="AI117" s="405"/>
      <c r="AJ117" s="405"/>
      <c r="AK117" s="405"/>
      <c r="AL117" s="405"/>
      <c r="AM117" s="405"/>
      <c r="AN117" s="405"/>
      <c r="AO117" s="405"/>
      <c r="AP117" s="405"/>
      <c r="AQ117" s="405"/>
      <c r="AR117" s="405"/>
      <c r="AS117" s="405"/>
      <c r="AT117" s="405"/>
      <c r="AU117" s="405"/>
      <c r="AV117" s="405"/>
      <c r="AW117" s="405"/>
      <c r="AX117" s="405"/>
      <c r="AY117" s="405"/>
      <c r="AZ117" s="405"/>
      <c r="BA117" s="405"/>
      <c r="BB117" s="405"/>
      <c r="BC117" s="405"/>
      <c r="BD117" s="405"/>
      <c r="BE117" s="405"/>
      <c r="BF117" s="405"/>
      <c r="BG117" s="405"/>
      <c r="BH117" s="405"/>
      <c r="BI117" s="405"/>
      <c r="BJ117" s="405"/>
      <c r="BK117" s="405"/>
      <c r="BL117" s="405"/>
      <c r="BM117" s="405"/>
      <c r="BN117" s="405"/>
      <c r="BO117" s="405"/>
      <c r="BP117" s="405"/>
      <c r="BQ117" s="405"/>
      <c r="BR117" s="405"/>
      <c r="BS117" s="405"/>
      <c r="BT117" s="405"/>
      <c r="BU117" s="405"/>
      <c r="BV117" s="405"/>
      <c r="BW117" s="405"/>
      <c r="BX117" s="405"/>
      <c r="BY117" s="405"/>
      <c r="BZ117" s="405"/>
      <c r="CA117" s="405"/>
      <c r="CB117" s="405"/>
      <c r="CC117" s="405"/>
      <c r="CD117" s="405"/>
    </row>
    <row r="118" spans="1:82" hidden="1">
      <c r="A118" s="665">
        <v>60</v>
      </c>
      <c r="B118" s="666">
        <v>69</v>
      </c>
      <c r="C118" s="18">
        <v>70</v>
      </c>
      <c r="D118" s="405"/>
      <c r="E118" s="405"/>
      <c r="F118" s="405"/>
      <c r="G118" s="405"/>
      <c r="H118" s="405"/>
      <c r="I118" s="405"/>
      <c r="J118" s="405"/>
      <c r="K118" s="405"/>
      <c r="L118" s="405"/>
      <c r="M118" s="405"/>
      <c r="N118" s="405"/>
      <c r="O118" s="405"/>
      <c r="P118" s="405"/>
      <c r="Q118" s="405"/>
      <c r="R118" s="405"/>
      <c r="S118" s="405"/>
      <c r="T118" s="405"/>
      <c r="U118" s="405"/>
      <c r="V118" s="405"/>
      <c r="W118" s="405"/>
      <c r="X118" s="405"/>
      <c r="Y118" s="405"/>
      <c r="Z118" s="405"/>
      <c r="AA118" s="405"/>
      <c r="AB118" s="405"/>
      <c r="AC118" s="405"/>
      <c r="AD118" s="405"/>
      <c r="AE118" s="405"/>
      <c r="AF118" s="405"/>
      <c r="AG118" s="405"/>
      <c r="AH118" s="405"/>
      <c r="AI118" s="405"/>
      <c r="AJ118" s="405"/>
      <c r="AK118" s="405"/>
      <c r="AL118" s="405"/>
      <c r="AM118" s="405"/>
      <c r="AN118" s="405"/>
      <c r="AO118" s="405"/>
      <c r="AP118" s="405"/>
      <c r="AQ118" s="405"/>
      <c r="AR118" s="405"/>
      <c r="AS118" s="405"/>
      <c r="AT118" s="405"/>
      <c r="AU118" s="405"/>
      <c r="AV118" s="405"/>
      <c r="AW118" s="405"/>
      <c r="AX118" s="405"/>
      <c r="AY118" s="405"/>
      <c r="AZ118" s="405"/>
      <c r="BA118" s="405"/>
      <c r="BB118" s="405"/>
      <c r="BC118" s="405"/>
      <c r="BD118" s="405"/>
      <c r="BE118" s="405"/>
      <c r="BF118" s="405"/>
      <c r="BG118" s="405"/>
      <c r="BH118" s="405"/>
      <c r="BI118" s="405"/>
      <c r="BJ118" s="405"/>
      <c r="BK118" s="405"/>
      <c r="BL118" s="405"/>
      <c r="BM118" s="405"/>
      <c r="BN118" s="405"/>
      <c r="BO118" s="405"/>
      <c r="BP118" s="405"/>
      <c r="BQ118" s="405"/>
      <c r="BR118" s="405"/>
      <c r="BS118" s="405"/>
      <c r="BT118" s="405"/>
      <c r="BU118" s="405"/>
      <c r="BV118" s="405"/>
      <c r="BW118" s="405"/>
      <c r="BX118" s="405"/>
      <c r="BY118" s="405"/>
      <c r="BZ118" s="405"/>
      <c r="CA118" s="405"/>
      <c r="CB118" s="405"/>
      <c r="CC118" s="405"/>
      <c r="CD118" s="405"/>
    </row>
    <row r="119" spans="1:82" hidden="1">
      <c r="A119" s="665"/>
      <c r="B119" s="666">
        <v>70</v>
      </c>
      <c r="C119" s="18">
        <v>70</v>
      </c>
      <c r="D119" s="405"/>
      <c r="E119" s="405"/>
      <c r="F119" s="405"/>
      <c r="G119" s="405"/>
      <c r="H119" s="405"/>
      <c r="I119" s="405"/>
      <c r="J119" s="405"/>
      <c r="K119" s="405"/>
      <c r="L119" s="405"/>
      <c r="M119" s="405"/>
      <c r="N119" s="405"/>
      <c r="O119" s="405"/>
      <c r="P119" s="405"/>
      <c r="Q119" s="405"/>
      <c r="R119" s="405"/>
      <c r="S119" s="405"/>
      <c r="T119" s="405"/>
      <c r="U119" s="405"/>
      <c r="V119" s="405"/>
      <c r="W119" s="405"/>
      <c r="X119" s="405"/>
      <c r="Y119" s="405"/>
      <c r="Z119" s="405"/>
      <c r="AA119" s="405"/>
      <c r="AB119" s="405"/>
      <c r="AC119" s="405"/>
      <c r="AD119" s="405"/>
      <c r="AE119" s="405"/>
      <c r="AF119" s="405"/>
      <c r="AG119" s="405"/>
      <c r="AH119" s="405"/>
      <c r="AI119" s="405"/>
      <c r="AJ119" s="405"/>
      <c r="AK119" s="405"/>
      <c r="AL119" s="405"/>
      <c r="AM119" s="405"/>
      <c r="AN119" s="405"/>
      <c r="AO119" s="405"/>
      <c r="AP119" s="405"/>
      <c r="AQ119" s="405"/>
      <c r="AR119" s="405"/>
      <c r="AS119" s="405"/>
      <c r="AT119" s="405"/>
      <c r="AU119" s="405"/>
      <c r="AV119" s="405"/>
      <c r="AW119" s="405"/>
      <c r="AX119" s="405"/>
      <c r="AY119" s="405"/>
      <c r="AZ119" s="405"/>
      <c r="BA119" s="405"/>
      <c r="BB119" s="405"/>
      <c r="BC119" s="405"/>
      <c r="BD119" s="405"/>
      <c r="BE119" s="405"/>
      <c r="BF119" s="405"/>
      <c r="BG119" s="405"/>
      <c r="BH119" s="405"/>
      <c r="BI119" s="405"/>
      <c r="BJ119" s="405"/>
      <c r="BK119" s="405"/>
      <c r="BL119" s="405"/>
      <c r="BM119" s="405"/>
      <c r="BN119" s="405"/>
      <c r="BO119" s="405"/>
      <c r="BP119" s="405"/>
      <c r="BQ119" s="405"/>
      <c r="BR119" s="405"/>
      <c r="BS119" s="405"/>
      <c r="BT119" s="405"/>
      <c r="BU119" s="405"/>
      <c r="BV119" s="405"/>
      <c r="BW119" s="405"/>
      <c r="BX119" s="405"/>
      <c r="BY119" s="405"/>
      <c r="BZ119" s="405"/>
      <c r="CA119" s="405"/>
      <c r="CB119" s="405"/>
      <c r="CC119" s="405"/>
      <c r="CD119" s="405"/>
    </row>
    <row r="120" spans="1:82" hidden="1">
      <c r="A120" s="665"/>
      <c r="B120" s="666">
        <v>71</v>
      </c>
      <c r="C120" s="18">
        <v>70</v>
      </c>
      <c r="D120" s="405"/>
      <c r="E120" s="405"/>
      <c r="F120" s="405"/>
      <c r="G120" s="405"/>
      <c r="H120" s="405"/>
      <c r="I120" s="405"/>
      <c r="J120" s="405"/>
      <c r="K120" s="405"/>
      <c r="L120" s="405"/>
      <c r="M120" s="405"/>
      <c r="N120" s="405"/>
      <c r="O120" s="405"/>
      <c r="P120" s="405"/>
      <c r="Q120" s="405"/>
      <c r="R120" s="405"/>
      <c r="S120" s="405"/>
      <c r="T120" s="405"/>
      <c r="U120" s="405"/>
      <c r="V120" s="405"/>
      <c r="W120" s="405"/>
      <c r="X120" s="405"/>
      <c r="Y120" s="405"/>
      <c r="Z120" s="405"/>
      <c r="AA120" s="405"/>
      <c r="AB120" s="405"/>
      <c r="AC120" s="405"/>
      <c r="AD120" s="405"/>
      <c r="AE120" s="405"/>
      <c r="AF120" s="405"/>
      <c r="AG120" s="405"/>
      <c r="AH120" s="405"/>
      <c r="AI120" s="405"/>
      <c r="AJ120" s="405"/>
      <c r="AK120" s="405"/>
      <c r="AL120" s="405"/>
      <c r="AM120" s="405"/>
      <c r="AN120" s="405"/>
      <c r="AO120" s="405"/>
      <c r="AP120" s="405"/>
      <c r="AQ120" s="405"/>
      <c r="AR120" s="405"/>
      <c r="AS120" s="405"/>
      <c r="AT120" s="405"/>
      <c r="AU120" s="405"/>
      <c r="AV120" s="405"/>
      <c r="AW120" s="405"/>
      <c r="AX120" s="405"/>
      <c r="AY120" s="405"/>
      <c r="AZ120" s="405"/>
      <c r="BA120" s="405"/>
      <c r="BB120" s="405"/>
      <c r="BC120" s="405"/>
      <c r="BD120" s="405"/>
      <c r="BE120" s="405"/>
      <c r="BF120" s="405"/>
      <c r="BG120" s="405"/>
      <c r="BH120" s="405"/>
      <c r="BI120" s="405"/>
      <c r="BJ120" s="405"/>
      <c r="BK120" s="405"/>
      <c r="BL120" s="405"/>
      <c r="BM120" s="405"/>
      <c r="BN120" s="405"/>
      <c r="BO120" s="405"/>
      <c r="BP120" s="405"/>
      <c r="BQ120" s="405"/>
      <c r="BR120" s="405"/>
      <c r="BS120" s="405"/>
      <c r="BT120" s="405"/>
      <c r="BU120" s="405"/>
      <c r="BV120" s="405"/>
      <c r="BW120" s="405"/>
      <c r="BX120" s="405"/>
      <c r="BY120" s="405"/>
      <c r="BZ120" s="405"/>
      <c r="CA120" s="405"/>
      <c r="CB120" s="405"/>
      <c r="CC120" s="405"/>
      <c r="CD120" s="405"/>
    </row>
    <row r="121" spans="1:82" hidden="1">
      <c r="A121"/>
      <c r="B121" s="666">
        <v>72</v>
      </c>
      <c r="C121" s="18">
        <v>70</v>
      </c>
      <c r="D121" s="405"/>
      <c r="E121" s="405"/>
      <c r="F121" s="405"/>
      <c r="G121" s="405"/>
      <c r="H121" s="405"/>
      <c r="I121" s="405"/>
      <c r="J121" s="405"/>
      <c r="K121" s="405"/>
      <c r="L121" s="405"/>
      <c r="M121" s="405"/>
      <c r="N121" s="405"/>
      <c r="O121" s="405"/>
      <c r="P121" s="405"/>
      <c r="Q121" s="405"/>
      <c r="R121" s="405"/>
      <c r="S121" s="405"/>
      <c r="T121" s="405"/>
      <c r="U121" s="405"/>
      <c r="V121" s="405"/>
      <c r="W121" s="405"/>
      <c r="X121" s="405"/>
      <c r="Y121" s="405"/>
      <c r="Z121" s="405"/>
      <c r="AA121" s="405"/>
      <c r="AB121" s="405"/>
      <c r="AC121" s="405"/>
      <c r="AD121" s="405"/>
      <c r="AE121" s="405"/>
      <c r="AF121" s="405"/>
      <c r="AG121" s="405"/>
      <c r="AH121" s="405"/>
      <c r="AI121" s="405"/>
      <c r="AJ121" s="405"/>
      <c r="AK121" s="405"/>
      <c r="AL121" s="405"/>
      <c r="AM121" s="405"/>
      <c r="AN121" s="405"/>
      <c r="AO121" s="405"/>
      <c r="AP121" s="405"/>
      <c r="AQ121" s="405"/>
      <c r="AR121" s="405"/>
      <c r="AS121" s="405"/>
      <c r="AT121" s="405"/>
      <c r="AU121" s="405"/>
      <c r="AV121" s="405"/>
      <c r="AW121" s="405"/>
      <c r="AX121" s="405"/>
      <c r="AY121" s="405"/>
      <c r="AZ121" s="405"/>
      <c r="BA121" s="405"/>
      <c r="BB121" s="405"/>
      <c r="BC121" s="405"/>
      <c r="BD121" s="405"/>
      <c r="BE121" s="405"/>
      <c r="BF121" s="405"/>
      <c r="BG121" s="405"/>
      <c r="BH121" s="405"/>
      <c r="BI121" s="405"/>
      <c r="BJ121" s="405"/>
      <c r="BK121" s="405"/>
      <c r="BL121" s="405"/>
      <c r="BM121" s="405"/>
      <c r="BN121" s="405"/>
      <c r="BO121" s="405"/>
      <c r="BP121" s="405"/>
      <c r="BQ121" s="405"/>
      <c r="BR121" s="405"/>
      <c r="BS121" s="405"/>
      <c r="BT121" s="405"/>
      <c r="BU121" s="405"/>
      <c r="BV121" s="405"/>
      <c r="BW121" s="405"/>
      <c r="BX121" s="405"/>
      <c r="BY121" s="405"/>
      <c r="BZ121" s="405"/>
      <c r="CA121" s="405"/>
      <c r="CB121" s="405"/>
      <c r="CC121" s="405"/>
      <c r="CD121" s="405"/>
    </row>
    <row r="122" spans="1:82" hidden="1">
      <c r="A122"/>
      <c r="B122" s="666">
        <v>73</v>
      </c>
      <c r="C122" s="18">
        <v>75</v>
      </c>
      <c r="D122" s="405"/>
      <c r="E122" s="405"/>
      <c r="F122" s="405"/>
      <c r="G122" s="405"/>
      <c r="H122" s="405"/>
      <c r="I122" s="405"/>
      <c r="J122" s="405"/>
      <c r="K122" s="405"/>
      <c r="L122" s="405"/>
      <c r="M122" s="405"/>
      <c r="N122" s="405"/>
      <c r="O122" s="405"/>
      <c r="P122" s="405"/>
      <c r="Q122" s="405"/>
      <c r="R122" s="405"/>
      <c r="S122" s="405"/>
      <c r="T122" s="405"/>
      <c r="U122" s="405"/>
      <c r="V122" s="405"/>
      <c r="W122" s="405"/>
      <c r="X122" s="405"/>
      <c r="Y122" s="405"/>
      <c r="Z122" s="405"/>
      <c r="AA122" s="405"/>
      <c r="AB122" s="405"/>
      <c r="AC122" s="405"/>
      <c r="AD122" s="405"/>
      <c r="AE122" s="405"/>
      <c r="AF122" s="405"/>
      <c r="AG122" s="405"/>
      <c r="AH122" s="405"/>
      <c r="AI122" s="405"/>
      <c r="AJ122" s="405"/>
      <c r="AK122" s="405"/>
      <c r="AL122" s="405"/>
      <c r="AM122" s="405"/>
      <c r="AN122" s="405"/>
      <c r="AO122" s="405"/>
      <c r="AP122" s="405"/>
      <c r="AQ122" s="405"/>
      <c r="AR122" s="405"/>
      <c r="AS122" s="405"/>
      <c r="AT122" s="405"/>
      <c r="AU122" s="405"/>
      <c r="AV122" s="405"/>
      <c r="AW122" s="405"/>
      <c r="AX122" s="405"/>
      <c r="AY122" s="405"/>
      <c r="AZ122" s="405"/>
      <c r="BA122" s="405"/>
      <c r="BB122" s="405"/>
      <c r="BC122" s="405"/>
      <c r="BD122" s="405"/>
      <c r="BE122" s="405"/>
      <c r="BF122" s="405"/>
      <c r="BG122" s="405"/>
      <c r="BH122" s="405"/>
      <c r="BI122" s="405"/>
      <c r="BJ122" s="405"/>
      <c r="BK122" s="405"/>
      <c r="BL122" s="405"/>
      <c r="BM122" s="405"/>
      <c r="BN122" s="405"/>
      <c r="BO122" s="405"/>
      <c r="BP122" s="405"/>
      <c r="BQ122" s="405"/>
      <c r="BR122" s="405"/>
      <c r="BS122" s="405"/>
      <c r="BT122" s="405"/>
      <c r="BU122" s="405"/>
      <c r="BV122" s="405"/>
      <c r="BW122" s="405"/>
      <c r="BX122" s="405"/>
      <c r="BY122" s="405"/>
      <c r="BZ122" s="405"/>
      <c r="CA122" s="405"/>
      <c r="CB122" s="405"/>
      <c r="CC122" s="405"/>
      <c r="CD122" s="405"/>
    </row>
    <row r="123" spans="1:82" hidden="1">
      <c r="A123"/>
      <c r="B123" s="666">
        <v>74</v>
      </c>
      <c r="C123" s="18">
        <v>75</v>
      </c>
      <c r="D123" s="405"/>
      <c r="E123" s="405"/>
      <c r="F123" s="405"/>
      <c r="G123" s="405"/>
      <c r="H123" s="405"/>
      <c r="I123" s="405"/>
      <c r="J123" s="405"/>
      <c r="K123" s="405"/>
      <c r="L123" s="405"/>
      <c r="M123" s="405"/>
      <c r="N123" s="405"/>
      <c r="O123" s="405"/>
      <c r="P123" s="405"/>
      <c r="Q123" s="405"/>
      <c r="R123" s="405"/>
      <c r="S123" s="405"/>
      <c r="T123" s="405"/>
      <c r="U123" s="405"/>
      <c r="V123" s="405"/>
      <c r="W123" s="405"/>
      <c r="X123" s="405"/>
      <c r="Y123" s="405"/>
      <c r="Z123" s="405"/>
      <c r="AA123" s="405"/>
      <c r="AB123" s="405"/>
      <c r="AC123" s="405"/>
      <c r="AD123" s="405"/>
      <c r="AE123" s="405"/>
      <c r="AF123" s="405"/>
      <c r="AG123" s="405"/>
      <c r="AH123" s="405"/>
      <c r="AI123" s="405"/>
      <c r="AJ123" s="405"/>
      <c r="AK123" s="405"/>
      <c r="AL123" s="405"/>
      <c r="AM123" s="405"/>
      <c r="AN123" s="405"/>
      <c r="AO123" s="405"/>
      <c r="AP123" s="405"/>
      <c r="AQ123" s="405"/>
      <c r="AR123" s="405"/>
      <c r="AS123" s="405"/>
      <c r="AT123" s="405"/>
      <c r="AU123" s="405"/>
      <c r="AV123" s="405"/>
      <c r="AW123" s="405"/>
      <c r="AX123" s="405"/>
      <c r="AY123" s="405"/>
      <c r="AZ123" s="405"/>
      <c r="BA123" s="405"/>
      <c r="BB123" s="405"/>
      <c r="BC123" s="405"/>
      <c r="BD123" s="405"/>
      <c r="BE123" s="405"/>
      <c r="BF123" s="405"/>
      <c r="BG123" s="405"/>
      <c r="BH123" s="405"/>
      <c r="BI123" s="405"/>
      <c r="BJ123" s="405"/>
      <c r="BK123" s="405"/>
      <c r="BL123" s="405"/>
      <c r="BM123" s="405"/>
      <c r="BN123" s="405"/>
      <c r="BO123" s="405"/>
      <c r="BP123" s="405"/>
      <c r="BQ123" s="405"/>
      <c r="BR123" s="405"/>
      <c r="BS123" s="405"/>
      <c r="BT123" s="405"/>
      <c r="BU123" s="405"/>
      <c r="BV123" s="405"/>
      <c r="BW123" s="405"/>
      <c r="BX123" s="405"/>
      <c r="BY123" s="405"/>
      <c r="BZ123" s="405"/>
      <c r="CA123" s="405"/>
      <c r="CB123" s="405"/>
      <c r="CC123" s="405"/>
      <c r="CD123" s="405"/>
    </row>
    <row r="124" spans="1:82" hidden="1">
      <c r="A124"/>
      <c r="B124" s="666">
        <v>75</v>
      </c>
      <c r="C124" s="18">
        <v>75</v>
      </c>
      <c r="D124" s="405"/>
      <c r="E124" s="405"/>
      <c r="F124" s="405"/>
      <c r="G124" s="405"/>
      <c r="H124" s="405"/>
      <c r="I124" s="405"/>
      <c r="J124" s="405"/>
      <c r="K124" s="405"/>
      <c r="L124" s="405"/>
      <c r="M124" s="405"/>
      <c r="N124" s="405"/>
      <c r="O124" s="405"/>
      <c r="P124" s="405"/>
      <c r="Q124" s="405"/>
      <c r="R124" s="405"/>
      <c r="S124" s="405"/>
      <c r="T124" s="405"/>
      <c r="U124" s="405"/>
      <c r="V124" s="405"/>
      <c r="W124" s="405"/>
      <c r="X124" s="405"/>
      <c r="Y124" s="405"/>
      <c r="Z124" s="405"/>
      <c r="AA124" s="405"/>
      <c r="AB124" s="405"/>
      <c r="AC124" s="405"/>
      <c r="AD124" s="405"/>
      <c r="AE124" s="405"/>
      <c r="AF124" s="405"/>
      <c r="AG124" s="405"/>
      <c r="AH124" s="405"/>
      <c r="AI124" s="405"/>
      <c r="AJ124" s="405"/>
      <c r="AK124" s="405"/>
      <c r="AL124" s="405"/>
      <c r="AM124" s="405"/>
      <c r="AN124" s="405"/>
      <c r="AO124" s="405"/>
      <c r="AP124" s="405"/>
      <c r="AQ124" s="405"/>
      <c r="AR124" s="405"/>
      <c r="AS124" s="405"/>
      <c r="AT124" s="405"/>
      <c r="AU124" s="405"/>
      <c r="AV124" s="405"/>
      <c r="AW124" s="405"/>
      <c r="AX124" s="405"/>
      <c r="AY124" s="405"/>
      <c r="AZ124" s="405"/>
      <c r="BA124" s="405"/>
      <c r="BB124" s="405"/>
      <c r="BC124" s="405"/>
      <c r="BD124" s="405"/>
      <c r="BE124" s="405"/>
      <c r="BF124" s="405"/>
      <c r="BG124" s="405"/>
      <c r="BH124" s="405"/>
      <c r="BI124" s="405"/>
      <c r="BJ124" s="405"/>
      <c r="BK124" s="405"/>
      <c r="BL124" s="405"/>
      <c r="BM124" s="405"/>
      <c r="BN124" s="405"/>
      <c r="BO124" s="405"/>
      <c r="BP124" s="405"/>
      <c r="BQ124" s="405"/>
      <c r="BR124" s="405"/>
      <c r="BS124" s="405"/>
      <c r="BT124" s="405"/>
      <c r="BU124" s="405"/>
      <c r="BV124" s="405"/>
      <c r="BW124" s="405"/>
      <c r="BX124" s="405"/>
      <c r="BY124" s="405"/>
      <c r="BZ124" s="405"/>
      <c r="CA124" s="405"/>
      <c r="CB124" s="405"/>
      <c r="CC124" s="405"/>
      <c r="CD124" s="405"/>
    </row>
    <row r="125" spans="1:82" hidden="1">
      <c r="A125"/>
      <c r="B125" s="666">
        <v>76</v>
      </c>
      <c r="C125" s="18">
        <v>75</v>
      </c>
      <c r="D125" s="405"/>
      <c r="E125" s="405"/>
      <c r="F125" s="405"/>
      <c r="G125" s="405"/>
      <c r="H125" s="405"/>
      <c r="I125" s="405"/>
      <c r="J125" s="405"/>
      <c r="K125" s="405"/>
      <c r="L125" s="405"/>
      <c r="M125" s="405"/>
      <c r="N125" s="405"/>
      <c r="O125" s="405"/>
      <c r="P125" s="405"/>
      <c r="Q125" s="405"/>
      <c r="R125" s="405"/>
      <c r="S125" s="405"/>
      <c r="T125" s="405"/>
      <c r="U125" s="405"/>
      <c r="V125" s="405"/>
      <c r="W125" s="405"/>
      <c r="X125" s="405"/>
      <c r="Y125" s="405"/>
      <c r="Z125" s="405"/>
      <c r="AA125" s="405"/>
      <c r="AB125" s="405"/>
      <c r="AC125" s="405"/>
      <c r="AD125" s="405"/>
      <c r="AE125" s="405"/>
      <c r="AF125" s="405"/>
      <c r="AG125" s="405"/>
      <c r="AH125" s="405"/>
      <c r="AI125" s="405"/>
      <c r="AJ125" s="405"/>
      <c r="AK125" s="405"/>
      <c r="AL125" s="405"/>
      <c r="AM125" s="405"/>
      <c r="AN125" s="405"/>
      <c r="AO125" s="405"/>
      <c r="AP125" s="405"/>
      <c r="AQ125" s="405"/>
      <c r="AR125" s="405"/>
      <c r="AS125" s="405"/>
      <c r="AT125" s="405"/>
      <c r="AU125" s="405"/>
      <c r="AV125" s="405"/>
      <c r="AW125" s="405"/>
      <c r="AX125" s="405"/>
      <c r="AY125" s="405"/>
      <c r="AZ125" s="405"/>
      <c r="BA125" s="405"/>
      <c r="BB125" s="405"/>
      <c r="BC125" s="405"/>
      <c r="BD125" s="405"/>
      <c r="BE125" s="405"/>
      <c r="BF125" s="405"/>
      <c r="BG125" s="405"/>
      <c r="BH125" s="405"/>
      <c r="BI125" s="405"/>
      <c r="BJ125" s="405"/>
      <c r="BK125" s="405"/>
      <c r="BL125" s="405"/>
      <c r="BM125" s="405"/>
      <c r="BN125" s="405"/>
      <c r="BO125" s="405"/>
      <c r="BP125" s="405"/>
      <c r="BQ125" s="405"/>
      <c r="BR125" s="405"/>
      <c r="BS125" s="405"/>
      <c r="BT125" s="405"/>
      <c r="BU125" s="405"/>
      <c r="BV125" s="405"/>
      <c r="BW125" s="405"/>
      <c r="BX125" s="405"/>
      <c r="BY125" s="405"/>
      <c r="BZ125" s="405"/>
      <c r="CA125" s="405"/>
      <c r="CB125" s="405"/>
      <c r="CC125" s="405"/>
      <c r="CD125" s="405"/>
    </row>
    <row r="126" spans="1:82" hidden="1">
      <c r="A126"/>
      <c r="B126" s="666">
        <v>77</v>
      </c>
      <c r="C126" s="18">
        <v>80</v>
      </c>
      <c r="D126" s="405"/>
      <c r="E126" s="405"/>
      <c r="F126" s="405"/>
      <c r="G126" s="405"/>
      <c r="H126" s="405"/>
      <c r="I126" s="405"/>
      <c r="J126" s="405"/>
      <c r="K126" s="405"/>
      <c r="L126" s="405"/>
      <c r="M126" s="405"/>
      <c r="N126" s="405"/>
      <c r="O126" s="405"/>
      <c r="P126" s="405"/>
      <c r="Q126" s="405"/>
      <c r="R126" s="405"/>
      <c r="S126" s="405"/>
      <c r="T126" s="405"/>
      <c r="U126" s="405"/>
      <c r="V126" s="405"/>
      <c r="W126" s="405"/>
      <c r="X126" s="405"/>
      <c r="Y126" s="405"/>
      <c r="Z126" s="405"/>
      <c r="AA126" s="405"/>
      <c r="AB126" s="405"/>
      <c r="AC126" s="405"/>
      <c r="AD126" s="405"/>
      <c r="AE126" s="405"/>
      <c r="AF126" s="405"/>
      <c r="AG126" s="405"/>
      <c r="AH126" s="405"/>
      <c r="AI126" s="405"/>
      <c r="AJ126" s="405"/>
      <c r="AK126" s="405"/>
      <c r="AL126" s="405"/>
      <c r="AM126" s="405"/>
      <c r="AN126" s="405"/>
      <c r="AO126" s="405"/>
      <c r="AP126" s="405"/>
      <c r="AQ126" s="405"/>
      <c r="AR126" s="405"/>
      <c r="AS126" s="405"/>
      <c r="AT126" s="405"/>
      <c r="AU126" s="405"/>
      <c r="AV126" s="405"/>
      <c r="AW126" s="405"/>
      <c r="AX126" s="405"/>
      <c r="AY126" s="405"/>
      <c r="AZ126" s="405"/>
      <c r="BA126" s="405"/>
      <c r="BB126" s="405"/>
      <c r="BC126" s="405"/>
      <c r="BD126" s="405"/>
      <c r="BE126" s="405"/>
      <c r="BF126" s="405"/>
      <c r="BG126" s="405"/>
      <c r="BH126" s="405"/>
      <c r="BI126" s="405"/>
      <c r="BJ126" s="405"/>
      <c r="BK126" s="405"/>
      <c r="BL126" s="405"/>
      <c r="BM126" s="405"/>
      <c r="BN126" s="405"/>
      <c r="BO126" s="405"/>
      <c r="BP126" s="405"/>
      <c r="BQ126" s="405"/>
      <c r="BR126" s="405"/>
      <c r="BS126" s="405"/>
      <c r="BT126" s="405"/>
      <c r="BU126" s="405"/>
      <c r="BV126" s="405"/>
      <c r="BW126" s="405"/>
      <c r="BX126" s="405"/>
      <c r="BY126" s="405"/>
      <c r="BZ126" s="405"/>
      <c r="CA126" s="405"/>
      <c r="CB126" s="405"/>
      <c r="CC126" s="405"/>
      <c r="CD126" s="405"/>
    </row>
    <row r="127" spans="1:82" hidden="1">
      <c r="A127"/>
      <c r="B127" s="666">
        <v>78</v>
      </c>
      <c r="C127" s="18">
        <v>80</v>
      </c>
      <c r="D127" s="405"/>
      <c r="E127" s="405"/>
      <c r="F127" s="405"/>
      <c r="G127" s="405"/>
      <c r="H127" s="405"/>
      <c r="I127" s="405"/>
      <c r="J127" s="405"/>
      <c r="K127" s="405"/>
      <c r="L127" s="405"/>
      <c r="M127" s="405"/>
      <c r="N127" s="405"/>
      <c r="O127" s="405"/>
      <c r="P127" s="405"/>
      <c r="Q127" s="405"/>
      <c r="R127" s="405"/>
      <c r="S127" s="405"/>
      <c r="T127" s="405"/>
      <c r="U127" s="405"/>
      <c r="V127" s="405"/>
      <c r="W127" s="405"/>
      <c r="X127" s="405"/>
      <c r="Y127" s="405"/>
      <c r="Z127" s="405"/>
      <c r="AA127" s="405"/>
      <c r="AB127" s="405"/>
      <c r="AC127" s="405"/>
      <c r="AD127" s="405"/>
      <c r="AE127" s="405"/>
      <c r="AF127" s="405"/>
      <c r="AG127" s="405"/>
      <c r="AH127" s="405"/>
      <c r="AI127" s="405"/>
      <c r="AJ127" s="405"/>
      <c r="AK127" s="405"/>
      <c r="AL127" s="405"/>
      <c r="AM127" s="405"/>
      <c r="AN127" s="405"/>
      <c r="AO127" s="405"/>
      <c r="AP127" s="405"/>
      <c r="AQ127" s="405"/>
      <c r="AR127" s="405"/>
      <c r="AS127" s="405"/>
      <c r="AT127" s="405"/>
      <c r="AU127" s="405"/>
      <c r="AV127" s="405"/>
      <c r="AW127" s="405"/>
      <c r="AX127" s="405"/>
      <c r="AY127" s="405"/>
      <c r="AZ127" s="405"/>
      <c r="BA127" s="405"/>
      <c r="BB127" s="405"/>
      <c r="BC127" s="405"/>
      <c r="BD127" s="405"/>
      <c r="BE127" s="405"/>
      <c r="BF127" s="405"/>
      <c r="BG127" s="405"/>
      <c r="BH127" s="405"/>
      <c r="BI127" s="405"/>
      <c r="BJ127" s="405"/>
      <c r="BK127" s="405"/>
      <c r="BL127" s="405"/>
      <c r="BM127" s="405"/>
      <c r="BN127" s="405"/>
      <c r="BO127" s="405"/>
      <c r="BP127" s="405"/>
      <c r="BQ127" s="405"/>
      <c r="BR127" s="405"/>
      <c r="BS127" s="405"/>
      <c r="BT127" s="405"/>
      <c r="BU127" s="405"/>
      <c r="BV127" s="405"/>
      <c r="BW127" s="405"/>
      <c r="BX127" s="405"/>
      <c r="BY127" s="405"/>
      <c r="BZ127" s="405"/>
      <c r="CA127" s="405"/>
      <c r="CB127" s="405"/>
      <c r="CC127" s="405"/>
      <c r="CD127" s="405"/>
    </row>
    <row r="128" spans="1:82" hidden="1">
      <c r="A128"/>
      <c r="B128" s="666">
        <v>79</v>
      </c>
      <c r="C128" s="18">
        <v>80</v>
      </c>
      <c r="D128" s="405"/>
      <c r="E128" s="405"/>
      <c r="F128" s="405"/>
      <c r="G128" s="405"/>
      <c r="H128" s="405"/>
      <c r="I128" s="405"/>
      <c r="J128" s="405"/>
      <c r="K128" s="405"/>
      <c r="L128" s="405"/>
      <c r="M128" s="405"/>
      <c r="N128" s="405"/>
      <c r="O128" s="405"/>
      <c r="P128" s="405"/>
      <c r="Q128" s="405"/>
      <c r="R128" s="405"/>
      <c r="S128" s="405"/>
      <c r="T128" s="405"/>
      <c r="U128" s="405"/>
      <c r="V128" s="405"/>
      <c r="W128" s="405"/>
      <c r="X128" s="405"/>
      <c r="Y128" s="405"/>
      <c r="Z128" s="405"/>
      <c r="AA128" s="405"/>
      <c r="AB128" s="405"/>
      <c r="AC128" s="405"/>
      <c r="AD128" s="405"/>
      <c r="AE128" s="405"/>
      <c r="AF128" s="405"/>
      <c r="AG128" s="405"/>
      <c r="AH128" s="405"/>
      <c r="AI128" s="405"/>
      <c r="AJ128" s="405"/>
      <c r="AK128" s="405"/>
      <c r="AL128" s="405"/>
      <c r="AM128" s="405"/>
      <c r="AN128" s="405"/>
      <c r="AO128" s="405"/>
      <c r="AP128" s="405"/>
      <c r="AQ128" s="405"/>
      <c r="AR128" s="405"/>
      <c r="AS128" s="405"/>
      <c r="AT128" s="405"/>
      <c r="AU128" s="405"/>
      <c r="AV128" s="405"/>
      <c r="AW128" s="405"/>
      <c r="AX128" s="405"/>
      <c r="AY128" s="405"/>
      <c r="AZ128" s="405"/>
      <c r="BA128" s="405"/>
      <c r="BB128" s="405"/>
      <c r="BC128" s="405"/>
      <c r="BD128" s="405"/>
      <c r="BE128" s="405"/>
      <c r="BF128" s="405"/>
      <c r="BG128" s="405"/>
      <c r="BH128" s="405"/>
      <c r="BI128" s="405"/>
      <c r="BJ128" s="405"/>
      <c r="BK128" s="405"/>
      <c r="BL128" s="405"/>
      <c r="BM128" s="405"/>
      <c r="BN128" s="405"/>
      <c r="BO128" s="405"/>
      <c r="BP128" s="405"/>
      <c r="BQ128" s="405"/>
      <c r="BR128" s="405"/>
      <c r="BS128" s="405"/>
      <c r="BT128" s="405"/>
      <c r="BU128" s="405"/>
      <c r="BV128" s="405"/>
      <c r="BW128" s="405"/>
      <c r="BX128" s="405"/>
      <c r="BY128" s="405"/>
      <c r="BZ128" s="405"/>
      <c r="CA128" s="405"/>
      <c r="CB128" s="405"/>
      <c r="CC128" s="405"/>
      <c r="CD128" s="405"/>
    </row>
    <row r="129" spans="1:82" hidden="1">
      <c r="A129"/>
      <c r="B129" s="666">
        <v>80</v>
      </c>
      <c r="C129" s="18">
        <v>80</v>
      </c>
      <c r="D129" s="405"/>
      <c r="E129" s="405"/>
      <c r="F129" s="405"/>
      <c r="G129" s="405"/>
      <c r="H129" s="405"/>
      <c r="I129" s="405"/>
      <c r="J129" s="405"/>
      <c r="K129" s="405"/>
      <c r="L129" s="405"/>
      <c r="M129" s="405"/>
      <c r="N129" s="405"/>
      <c r="O129" s="405"/>
      <c r="P129" s="405"/>
      <c r="Q129" s="405"/>
      <c r="R129" s="405"/>
      <c r="S129" s="405"/>
      <c r="T129" s="405"/>
      <c r="U129" s="405"/>
      <c r="V129" s="405"/>
      <c r="W129" s="405"/>
      <c r="X129" s="405"/>
      <c r="Y129" s="405"/>
      <c r="Z129" s="405"/>
      <c r="AA129" s="405"/>
      <c r="AB129" s="405"/>
      <c r="AC129" s="405"/>
      <c r="AD129" s="405"/>
      <c r="AE129" s="405"/>
      <c r="AF129" s="405"/>
      <c r="AG129" s="405"/>
      <c r="AH129" s="405"/>
      <c r="AI129" s="405"/>
      <c r="AJ129" s="405"/>
      <c r="AK129" s="405"/>
      <c r="AL129" s="405"/>
      <c r="AM129" s="405"/>
      <c r="AN129" s="405"/>
      <c r="AO129" s="405"/>
      <c r="AP129" s="405"/>
      <c r="AQ129" s="405"/>
      <c r="AR129" s="405"/>
      <c r="AS129" s="405"/>
      <c r="AT129" s="405"/>
      <c r="AU129" s="405"/>
      <c r="AV129" s="405"/>
      <c r="AW129" s="405"/>
      <c r="AX129" s="405"/>
      <c r="AY129" s="405"/>
      <c r="AZ129" s="405"/>
      <c r="BA129" s="405"/>
      <c r="BB129" s="405"/>
      <c r="BC129" s="405"/>
      <c r="BD129" s="405"/>
      <c r="BE129" s="405"/>
      <c r="BF129" s="405"/>
      <c r="BG129" s="405"/>
      <c r="BH129" s="405"/>
      <c r="BI129" s="405"/>
      <c r="BJ129" s="405"/>
      <c r="BK129" s="405"/>
      <c r="BL129" s="405"/>
      <c r="BM129" s="405"/>
      <c r="BN129" s="405"/>
      <c r="BO129" s="405"/>
      <c r="BP129" s="405"/>
      <c r="BQ129" s="405"/>
      <c r="BR129" s="405"/>
      <c r="BS129" s="405"/>
      <c r="BT129" s="405"/>
      <c r="BU129" s="405"/>
      <c r="BV129" s="405"/>
      <c r="BW129" s="405"/>
      <c r="BX129" s="405"/>
      <c r="BY129" s="405"/>
      <c r="BZ129" s="405"/>
      <c r="CA129" s="405"/>
      <c r="CB129" s="405"/>
      <c r="CC129" s="405"/>
      <c r="CD129" s="405"/>
    </row>
    <row r="130" spans="1:82" hidden="1">
      <c r="A130"/>
      <c r="B130" s="666">
        <v>81</v>
      </c>
      <c r="C130" s="18">
        <v>80</v>
      </c>
      <c r="D130" s="405"/>
      <c r="E130" s="405"/>
      <c r="F130" s="405"/>
      <c r="G130" s="405"/>
      <c r="H130" s="405"/>
      <c r="I130" s="405"/>
      <c r="J130" s="405"/>
      <c r="K130" s="405"/>
      <c r="L130" s="405"/>
      <c r="M130" s="405"/>
      <c r="N130" s="405"/>
      <c r="O130" s="405"/>
      <c r="P130" s="405"/>
      <c r="Q130" s="405"/>
      <c r="R130" s="405"/>
      <c r="S130" s="405"/>
      <c r="T130" s="405"/>
      <c r="U130" s="405"/>
      <c r="V130" s="405"/>
      <c r="W130" s="405"/>
      <c r="X130" s="405"/>
      <c r="Y130" s="405"/>
      <c r="Z130" s="405"/>
      <c r="AA130" s="405"/>
      <c r="AB130" s="405"/>
      <c r="AC130" s="405"/>
      <c r="AD130" s="405"/>
      <c r="AE130" s="405"/>
      <c r="AF130" s="405"/>
      <c r="AG130" s="405"/>
      <c r="AH130" s="405"/>
      <c r="AI130" s="405"/>
      <c r="AJ130" s="405"/>
      <c r="AK130" s="405"/>
      <c r="AL130" s="405"/>
      <c r="AM130" s="405"/>
      <c r="AN130" s="405"/>
      <c r="AO130" s="405"/>
      <c r="AP130" s="405"/>
      <c r="AQ130" s="405"/>
      <c r="AR130" s="405"/>
      <c r="AS130" s="405"/>
      <c r="AT130" s="405"/>
      <c r="AU130" s="405"/>
      <c r="AV130" s="405"/>
      <c r="AW130" s="405"/>
      <c r="AX130" s="405"/>
      <c r="AY130" s="405"/>
      <c r="AZ130" s="405"/>
      <c r="BA130" s="405"/>
      <c r="BB130" s="405"/>
      <c r="BC130" s="405"/>
      <c r="BD130" s="405"/>
      <c r="BE130" s="405"/>
      <c r="BF130" s="405"/>
      <c r="BG130" s="405"/>
      <c r="BH130" s="405"/>
      <c r="BI130" s="405"/>
      <c r="BJ130" s="405"/>
      <c r="BK130" s="405"/>
      <c r="BL130" s="405"/>
      <c r="BM130" s="405"/>
      <c r="BN130" s="405"/>
      <c r="BO130" s="405"/>
      <c r="BP130" s="405"/>
      <c r="BQ130" s="405"/>
      <c r="BR130" s="405"/>
      <c r="BS130" s="405"/>
      <c r="BT130" s="405"/>
      <c r="BU130" s="405"/>
      <c r="BV130" s="405"/>
      <c r="BW130" s="405"/>
      <c r="BX130" s="405"/>
      <c r="BY130" s="405"/>
      <c r="BZ130" s="405"/>
      <c r="CA130" s="405"/>
      <c r="CB130" s="405"/>
      <c r="CC130" s="405"/>
      <c r="CD130" s="405"/>
    </row>
    <row r="131" spans="1:82" hidden="1">
      <c r="A131"/>
      <c r="B131" s="666">
        <v>82</v>
      </c>
      <c r="C131" s="18">
        <v>80</v>
      </c>
      <c r="D131" s="405"/>
      <c r="E131" s="405"/>
      <c r="F131" s="405"/>
      <c r="G131" s="405"/>
      <c r="H131" s="405"/>
      <c r="I131" s="405"/>
      <c r="J131" s="405"/>
      <c r="K131" s="405"/>
      <c r="L131" s="405"/>
      <c r="M131" s="405"/>
      <c r="N131" s="405"/>
      <c r="O131" s="405"/>
      <c r="P131" s="405"/>
      <c r="Q131" s="405"/>
      <c r="R131" s="405"/>
      <c r="S131" s="405"/>
      <c r="T131" s="405"/>
      <c r="U131" s="405"/>
      <c r="V131" s="405"/>
      <c r="W131" s="405"/>
      <c r="X131" s="405"/>
      <c r="Y131" s="405"/>
      <c r="Z131" s="405"/>
      <c r="AA131" s="405"/>
      <c r="AB131" s="405"/>
      <c r="AC131" s="405"/>
      <c r="AD131" s="405"/>
      <c r="AE131" s="405"/>
      <c r="AF131" s="405"/>
      <c r="AG131" s="405"/>
      <c r="AH131" s="405"/>
      <c r="AI131" s="405"/>
      <c r="AJ131" s="405"/>
      <c r="AK131" s="405"/>
      <c r="AL131" s="405"/>
      <c r="AM131" s="405"/>
      <c r="AN131" s="405"/>
      <c r="AO131" s="405"/>
      <c r="AP131" s="405"/>
      <c r="AQ131" s="405"/>
      <c r="AR131" s="405"/>
      <c r="AS131" s="405"/>
      <c r="AT131" s="405"/>
      <c r="AU131" s="405"/>
      <c r="AV131" s="405"/>
      <c r="AW131" s="405"/>
      <c r="AX131" s="405"/>
      <c r="AY131" s="405"/>
      <c r="AZ131" s="405"/>
      <c r="BA131" s="405"/>
      <c r="BB131" s="405"/>
      <c r="BC131" s="405"/>
      <c r="BD131" s="405"/>
      <c r="BE131" s="405"/>
      <c r="BF131" s="405"/>
      <c r="BG131" s="405"/>
      <c r="BH131" s="405"/>
      <c r="BI131" s="405"/>
      <c r="BJ131" s="405"/>
      <c r="BK131" s="405"/>
      <c r="BL131" s="405"/>
      <c r="BM131" s="405"/>
      <c r="BN131" s="405"/>
      <c r="BO131" s="405"/>
      <c r="BP131" s="405"/>
      <c r="BQ131" s="405"/>
      <c r="BR131" s="405"/>
      <c r="BS131" s="405"/>
      <c r="BT131" s="405"/>
      <c r="BU131" s="405"/>
      <c r="BV131" s="405"/>
      <c r="BW131" s="405"/>
      <c r="BX131" s="405"/>
      <c r="BY131" s="405"/>
      <c r="BZ131" s="405"/>
      <c r="CA131" s="405"/>
      <c r="CB131" s="405"/>
      <c r="CC131" s="405"/>
      <c r="CD131" s="405"/>
    </row>
    <row r="132" spans="1:82" hidden="1">
      <c r="A132"/>
      <c r="B132" s="666">
        <v>83</v>
      </c>
      <c r="C132" s="18">
        <v>85</v>
      </c>
      <c r="D132" s="405"/>
      <c r="E132" s="405"/>
      <c r="F132" s="405"/>
      <c r="G132" s="405"/>
      <c r="H132" s="405"/>
      <c r="I132" s="405"/>
      <c r="J132" s="405"/>
      <c r="K132" s="405"/>
      <c r="L132" s="405"/>
      <c r="M132" s="405"/>
      <c r="N132" s="405"/>
      <c r="O132" s="405"/>
      <c r="P132" s="405"/>
      <c r="Q132" s="405"/>
      <c r="R132" s="405"/>
      <c r="S132" s="405"/>
      <c r="T132" s="405"/>
      <c r="U132" s="405"/>
      <c r="V132" s="405"/>
      <c r="W132" s="405"/>
      <c r="X132" s="405"/>
      <c r="Y132" s="405"/>
      <c r="Z132" s="405"/>
      <c r="AA132" s="405"/>
      <c r="AB132" s="405"/>
      <c r="AC132" s="405"/>
      <c r="AD132" s="405"/>
      <c r="AE132" s="405"/>
      <c r="AF132" s="405"/>
      <c r="AG132" s="405"/>
      <c r="AH132" s="405"/>
      <c r="AI132" s="405"/>
      <c r="AJ132" s="405"/>
      <c r="AK132" s="405"/>
      <c r="AL132" s="405"/>
      <c r="AM132" s="405"/>
      <c r="AN132" s="405"/>
      <c r="AO132" s="405"/>
      <c r="AP132" s="405"/>
      <c r="AQ132" s="405"/>
      <c r="AR132" s="405"/>
      <c r="AS132" s="405"/>
      <c r="AT132" s="405"/>
      <c r="AU132" s="405"/>
      <c r="AV132" s="405"/>
      <c r="AW132" s="405"/>
      <c r="AX132" s="405"/>
      <c r="AY132" s="405"/>
      <c r="AZ132" s="405"/>
      <c r="BA132" s="405"/>
      <c r="BB132" s="405"/>
      <c r="BC132" s="405"/>
      <c r="BD132" s="405"/>
      <c r="BE132" s="405"/>
      <c r="BF132" s="405"/>
      <c r="BG132" s="405"/>
      <c r="BH132" s="405"/>
      <c r="BI132" s="405"/>
      <c r="BJ132" s="405"/>
      <c r="BK132" s="405"/>
      <c r="BL132" s="405"/>
      <c r="BM132" s="405"/>
      <c r="BN132" s="405"/>
      <c r="BO132" s="405"/>
      <c r="BP132" s="405"/>
      <c r="BQ132" s="405"/>
      <c r="BR132" s="405"/>
      <c r="BS132" s="405"/>
      <c r="BT132" s="405"/>
      <c r="BU132" s="405"/>
      <c r="BV132" s="405"/>
      <c r="BW132" s="405"/>
      <c r="BX132" s="405"/>
      <c r="BY132" s="405"/>
      <c r="BZ132" s="405"/>
      <c r="CA132" s="405"/>
      <c r="CB132" s="405"/>
      <c r="CC132" s="405"/>
      <c r="CD132" s="405"/>
    </row>
    <row r="133" spans="1:82" hidden="1">
      <c r="A133"/>
      <c r="B133" s="666">
        <v>84</v>
      </c>
      <c r="C133" s="18">
        <v>85</v>
      </c>
      <c r="D133" s="405"/>
      <c r="E133" s="405"/>
      <c r="F133" s="405"/>
      <c r="G133" s="405"/>
      <c r="H133" s="405"/>
      <c r="I133" s="405"/>
      <c r="J133" s="405"/>
      <c r="K133" s="405"/>
      <c r="L133" s="405"/>
      <c r="M133" s="405"/>
      <c r="N133" s="405"/>
      <c r="O133" s="405"/>
      <c r="P133" s="405"/>
      <c r="Q133" s="405"/>
      <c r="R133" s="405"/>
      <c r="S133" s="405"/>
      <c r="T133" s="405"/>
      <c r="U133" s="405"/>
      <c r="V133" s="405"/>
      <c r="W133" s="405"/>
      <c r="X133" s="405"/>
      <c r="Y133" s="405"/>
      <c r="Z133" s="405"/>
      <c r="AA133" s="405"/>
      <c r="AB133" s="405"/>
      <c r="AC133" s="405"/>
      <c r="AD133" s="405"/>
      <c r="AE133" s="405"/>
      <c r="AF133" s="405"/>
      <c r="AG133" s="405"/>
      <c r="AH133" s="405"/>
      <c r="AI133" s="405"/>
      <c r="AJ133" s="405"/>
      <c r="AK133" s="405"/>
      <c r="AL133" s="405"/>
      <c r="AM133" s="405"/>
      <c r="AN133" s="405"/>
      <c r="AO133" s="405"/>
      <c r="AP133" s="405"/>
      <c r="AQ133" s="405"/>
      <c r="AR133" s="405"/>
      <c r="AS133" s="405"/>
      <c r="AT133" s="405"/>
      <c r="AU133" s="405"/>
      <c r="AV133" s="405"/>
      <c r="AW133" s="405"/>
      <c r="AX133" s="405"/>
      <c r="AY133" s="405"/>
      <c r="AZ133" s="405"/>
      <c r="BA133" s="405"/>
      <c r="BB133" s="405"/>
      <c r="BC133" s="405"/>
      <c r="BD133" s="405"/>
      <c r="BE133" s="405"/>
      <c r="BF133" s="405"/>
      <c r="BG133" s="405"/>
      <c r="BH133" s="405"/>
      <c r="BI133" s="405"/>
      <c r="BJ133" s="405"/>
      <c r="BK133" s="405"/>
      <c r="BL133" s="405"/>
      <c r="BM133" s="405"/>
      <c r="BN133" s="405"/>
      <c r="BO133" s="405"/>
      <c r="BP133" s="405"/>
      <c r="BQ133" s="405"/>
      <c r="BR133" s="405"/>
      <c r="BS133" s="405"/>
      <c r="BT133" s="405"/>
      <c r="BU133" s="405"/>
      <c r="BV133" s="405"/>
      <c r="BW133" s="405"/>
      <c r="BX133" s="405"/>
      <c r="BY133" s="405"/>
      <c r="BZ133" s="405"/>
      <c r="CA133" s="405"/>
      <c r="CB133" s="405"/>
      <c r="CC133" s="405"/>
      <c r="CD133" s="405"/>
    </row>
    <row r="134" spans="1:82" hidden="1">
      <c r="A134"/>
      <c r="B134" s="666">
        <v>85</v>
      </c>
      <c r="C134" s="18">
        <v>85</v>
      </c>
      <c r="D134" s="405"/>
      <c r="E134" s="405"/>
      <c r="F134" s="405"/>
      <c r="G134" s="405"/>
      <c r="H134" s="405"/>
      <c r="I134" s="405"/>
      <c r="J134" s="405"/>
      <c r="K134" s="405"/>
      <c r="L134" s="405"/>
      <c r="M134" s="405"/>
      <c r="N134" s="405"/>
      <c r="O134" s="405"/>
      <c r="P134" s="405"/>
      <c r="Q134" s="405"/>
      <c r="R134" s="405"/>
      <c r="S134" s="405"/>
      <c r="T134" s="405"/>
      <c r="U134" s="405"/>
      <c r="V134" s="405"/>
      <c r="W134" s="405"/>
      <c r="X134" s="405"/>
      <c r="Y134" s="405"/>
      <c r="Z134" s="405"/>
      <c r="AA134" s="405"/>
      <c r="AB134" s="405"/>
      <c r="AC134" s="405"/>
      <c r="AD134" s="405"/>
      <c r="AE134" s="405"/>
      <c r="AF134" s="405"/>
      <c r="AG134" s="405"/>
      <c r="AH134" s="405"/>
      <c r="AI134" s="405"/>
      <c r="AJ134" s="405"/>
      <c r="AK134" s="405"/>
      <c r="AL134" s="405"/>
      <c r="AM134" s="405"/>
      <c r="AN134" s="405"/>
      <c r="AO134" s="405"/>
      <c r="AP134" s="405"/>
      <c r="AQ134" s="405"/>
      <c r="AR134" s="405"/>
      <c r="AS134" s="405"/>
      <c r="AT134" s="405"/>
      <c r="AU134" s="405"/>
      <c r="AV134" s="405"/>
      <c r="AW134" s="405"/>
      <c r="AX134" s="405"/>
      <c r="AY134" s="405"/>
      <c r="AZ134" s="405"/>
      <c r="BA134" s="405"/>
      <c r="BB134" s="405"/>
      <c r="BC134" s="405"/>
      <c r="BD134" s="405"/>
      <c r="BE134" s="405"/>
      <c r="BF134" s="405"/>
      <c r="BG134" s="405"/>
      <c r="BH134" s="405"/>
      <c r="BI134" s="405"/>
      <c r="BJ134" s="405"/>
      <c r="BK134" s="405"/>
      <c r="BL134" s="405"/>
      <c r="BM134" s="405"/>
      <c r="BN134" s="405"/>
      <c r="BO134" s="405"/>
      <c r="BP134" s="405"/>
      <c r="BQ134" s="405"/>
      <c r="BR134" s="405"/>
      <c r="BS134" s="405"/>
      <c r="BT134" s="405"/>
      <c r="BU134" s="405"/>
      <c r="BV134" s="405"/>
      <c r="BW134" s="405"/>
      <c r="BX134" s="405"/>
      <c r="BY134" s="405"/>
      <c r="BZ134" s="405"/>
      <c r="CA134" s="405"/>
      <c r="CB134" s="405"/>
      <c r="CC134" s="405"/>
      <c r="CD134" s="405"/>
    </row>
    <row r="135" spans="1:82" hidden="1">
      <c r="A135"/>
      <c r="B135" s="666">
        <v>86</v>
      </c>
      <c r="C135" s="18">
        <v>85</v>
      </c>
      <c r="D135" s="405"/>
      <c r="E135" s="405"/>
      <c r="F135" s="405"/>
      <c r="G135" s="405"/>
      <c r="H135" s="405"/>
      <c r="I135" s="405"/>
      <c r="J135" s="405"/>
      <c r="K135" s="405"/>
      <c r="L135" s="405"/>
      <c r="M135" s="405"/>
      <c r="N135" s="405"/>
      <c r="O135" s="405"/>
      <c r="P135" s="405"/>
      <c r="Q135" s="405"/>
      <c r="R135" s="405"/>
      <c r="S135" s="405"/>
      <c r="T135" s="405"/>
      <c r="U135" s="405"/>
      <c r="V135" s="405"/>
      <c r="W135" s="405"/>
      <c r="X135" s="405"/>
      <c r="Y135" s="405"/>
      <c r="Z135" s="405"/>
      <c r="AA135" s="405"/>
      <c r="AB135" s="405"/>
      <c r="AC135" s="405"/>
      <c r="AD135" s="405"/>
      <c r="AE135" s="405"/>
      <c r="AF135" s="405"/>
      <c r="AG135" s="405"/>
      <c r="AH135" s="405"/>
      <c r="AI135" s="405"/>
      <c r="AJ135" s="405"/>
      <c r="AK135" s="405"/>
      <c r="AL135" s="405"/>
      <c r="AM135" s="405"/>
      <c r="AN135" s="405"/>
      <c r="AO135" s="405"/>
      <c r="AP135" s="405"/>
      <c r="AQ135" s="405"/>
      <c r="AR135" s="405"/>
      <c r="AS135" s="405"/>
      <c r="AT135" s="405"/>
      <c r="AU135" s="405"/>
      <c r="AV135" s="405"/>
      <c r="AW135" s="405"/>
      <c r="AX135" s="405"/>
      <c r="AY135" s="405"/>
      <c r="AZ135" s="405"/>
      <c r="BA135" s="405"/>
      <c r="BB135" s="405"/>
      <c r="BC135" s="405"/>
      <c r="BD135" s="405"/>
      <c r="BE135" s="405"/>
      <c r="BF135" s="405"/>
      <c r="BG135" s="405"/>
      <c r="BH135" s="405"/>
      <c r="BI135" s="405"/>
      <c r="BJ135" s="405"/>
      <c r="BK135" s="405"/>
      <c r="BL135" s="405"/>
      <c r="BM135" s="405"/>
      <c r="BN135" s="405"/>
      <c r="BO135" s="405"/>
      <c r="BP135" s="405"/>
      <c r="BQ135" s="405"/>
      <c r="BR135" s="405"/>
      <c r="BS135" s="405"/>
      <c r="BT135" s="405"/>
      <c r="BU135" s="405"/>
      <c r="BV135" s="405"/>
      <c r="BW135" s="405"/>
      <c r="BX135" s="405"/>
      <c r="BY135" s="405"/>
      <c r="BZ135" s="405"/>
      <c r="CA135" s="405"/>
      <c r="CB135" s="405"/>
      <c r="CC135" s="405"/>
      <c r="CD135" s="405"/>
    </row>
    <row r="136" spans="1:82" hidden="1">
      <c r="A136"/>
      <c r="B136" s="666">
        <v>87</v>
      </c>
      <c r="C136" s="18">
        <v>90</v>
      </c>
      <c r="D136" s="405"/>
      <c r="E136" s="405"/>
      <c r="F136" s="405"/>
      <c r="G136" s="405"/>
      <c r="H136" s="405"/>
      <c r="I136" s="405"/>
      <c r="J136" s="405"/>
      <c r="K136" s="405"/>
      <c r="L136" s="405"/>
      <c r="M136" s="405"/>
      <c r="N136" s="405"/>
      <c r="O136" s="405"/>
      <c r="P136" s="405"/>
      <c r="Q136" s="405"/>
      <c r="R136" s="405"/>
      <c r="S136" s="405"/>
      <c r="T136" s="405"/>
      <c r="U136" s="405"/>
      <c r="V136" s="405"/>
      <c r="W136" s="405"/>
      <c r="X136" s="405"/>
      <c r="Y136" s="405"/>
      <c r="Z136" s="405"/>
      <c r="AA136" s="405"/>
      <c r="AB136" s="405"/>
      <c r="AC136" s="405"/>
      <c r="AD136" s="405"/>
      <c r="AE136" s="405"/>
      <c r="AF136" s="405"/>
      <c r="AG136" s="405"/>
      <c r="AH136" s="405"/>
      <c r="AI136" s="405"/>
      <c r="AJ136" s="405"/>
      <c r="AK136" s="405"/>
      <c r="AL136" s="405"/>
      <c r="AM136" s="405"/>
      <c r="AN136" s="405"/>
      <c r="AO136" s="405"/>
      <c r="AP136" s="405"/>
      <c r="AQ136" s="405"/>
      <c r="AR136" s="405"/>
      <c r="AS136" s="405"/>
      <c r="AT136" s="405"/>
      <c r="AU136" s="405"/>
      <c r="AV136" s="405"/>
      <c r="AW136" s="405"/>
      <c r="AX136" s="405"/>
      <c r="AY136" s="405"/>
      <c r="AZ136" s="405"/>
      <c r="BA136" s="405"/>
      <c r="BB136" s="405"/>
      <c r="BC136" s="405"/>
      <c r="BD136" s="405"/>
      <c r="BE136" s="405"/>
      <c r="BF136" s="405"/>
      <c r="BG136" s="405"/>
      <c r="BH136" s="405"/>
      <c r="BI136" s="405"/>
      <c r="BJ136" s="405"/>
      <c r="BK136" s="405"/>
      <c r="BL136" s="405"/>
      <c r="BM136" s="405"/>
      <c r="BN136" s="405"/>
      <c r="BO136" s="405"/>
      <c r="BP136" s="405"/>
      <c r="BQ136" s="405"/>
      <c r="BR136" s="405"/>
      <c r="BS136" s="405"/>
      <c r="BT136" s="405"/>
      <c r="BU136" s="405"/>
      <c r="BV136" s="405"/>
      <c r="BW136" s="405"/>
      <c r="BX136" s="405"/>
      <c r="BY136" s="405"/>
      <c r="BZ136" s="405"/>
      <c r="CA136" s="405"/>
      <c r="CB136" s="405"/>
      <c r="CC136" s="405"/>
      <c r="CD136" s="405"/>
    </row>
    <row r="137" spans="1:82" hidden="1">
      <c r="A137"/>
      <c r="B137" s="666">
        <v>88</v>
      </c>
      <c r="C137" s="18">
        <v>90</v>
      </c>
      <c r="D137" s="405"/>
      <c r="E137" s="405"/>
      <c r="F137" s="405"/>
      <c r="G137" s="405"/>
      <c r="H137" s="405"/>
      <c r="I137" s="405"/>
      <c r="J137" s="405"/>
      <c r="K137" s="405"/>
      <c r="L137" s="405"/>
      <c r="M137" s="405"/>
      <c r="N137" s="405"/>
      <c r="O137" s="405"/>
      <c r="P137" s="405"/>
      <c r="Q137" s="405"/>
      <c r="R137" s="405"/>
      <c r="S137" s="405"/>
      <c r="T137" s="405"/>
      <c r="U137" s="405"/>
      <c r="V137" s="405"/>
      <c r="W137" s="405"/>
      <c r="X137" s="405"/>
      <c r="Y137" s="405"/>
      <c r="Z137" s="405"/>
      <c r="AA137" s="405"/>
      <c r="AB137" s="405"/>
      <c r="AC137" s="405"/>
      <c r="AD137" s="405"/>
      <c r="AE137" s="405"/>
      <c r="AF137" s="405"/>
      <c r="AG137" s="405"/>
      <c r="AH137" s="405"/>
      <c r="AI137" s="405"/>
      <c r="AJ137" s="405"/>
      <c r="AK137" s="405"/>
      <c r="AL137" s="405"/>
      <c r="AM137" s="405"/>
      <c r="AN137" s="405"/>
      <c r="AO137" s="405"/>
      <c r="AP137" s="405"/>
      <c r="AQ137" s="405"/>
      <c r="AR137" s="405"/>
      <c r="AS137" s="405"/>
      <c r="AT137" s="405"/>
      <c r="AU137" s="405"/>
      <c r="AV137" s="405"/>
      <c r="AW137" s="405"/>
      <c r="AX137" s="405"/>
      <c r="AY137" s="405"/>
      <c r="AZ137" s="405"/>
      <c r="BA137" s="405"/>
      <c r="BB137" s="405"/>
      <c r="BC137" s="405"/>
      <c r="BD137" s="405"/>
      <c r="BE137" s="405"/>
      <c r="BF137" s="405"/>
      <c r="BG137" s="405"/>
      <c r="BH137" s="405"/>
      <c r="BI137" s="405"/>
      <c r="BJ137" s="405"/>
      <c r="BK137" s="405"/>
      <c r="BL137" s="405"/>
      <c r="BM137" s="405"/>
      <c r="BN137" s="405"/>
      <c r="BO137" s="405"/>
      <c r="BP137" s="405"/>
      <c r="BQ137" s="405"/>
      <c r="BR137" s="405"/>
      <c r="BS137" s="405"/>
      <c r="BT137" s="405"/>
      <c r="BU137" s="405"/>
      <c r="BV137" s="405"/>
      <c r="BW137" s="405"/>
      <c r="BX137" s="405"/>
      <c r="BY137" s="405"/>
      <c r="BZ137" s="405"/>
      <c r="CA137" s="405"/>
      <c r="CB137" s="405"/>
      <c r="CC137" s="405"/>
      <c r="CD137" s="405"/>
    </row>
    <row r="138" spans="1:82" hidden="1">
      <c r="A138"/>
      <c r="B138" s="666">
        <v>89</v>
      </c>
      <c r="C138" s="18">
        <v>90</v>
      </c>
      <c r="D138" s="405"/>
      <c r="E138" s="405"/>
      <c r="F138" s="405"/>
      <c r="G138" s="405"/>
      <c r="H138" s="405"/>
      <c r="I138" s="405"/>
      <c r="J138" s="405"/>
      <c r="K138" s="405"/>
      <c r="L138" s="405"/>
      <c r="M138" s="405"/>
      <c r="N138" s="405"/>
      <c r="O138" s="405"/>
      <c r="P138" s="405"/>
      <c r="Q138" s="405"/>
      <c r="R138" s="405"/>
      <c r="S138" s="405"/>
      <c r="T138" s="405"/>
      <c r="U138" s="405"/>
      <c r="V138" s="405"/>
      <c r="W138" s="405"/>
      <c r="X138" s="405"/>
      <c r="Y138" s="405"/>
      <c r="Z138" s="405"/>
      <c r="AA138" s="405"/>
      <c r="AB138" s="405"/>
      <c r="AC138" s="405"/>
      <c r="AD138" s="405"/>
      <c r="AE138" s="405"/>
      <c r="AF138" s="405"/>
      <c r="AG138" s="405"/>
      <c r="AH138" s="405"/>
      <c r="AI138" s="405"/>
      <c r="AJ138" s="405"/>
      <c r="AK138" s="405"/>
      <c r="AL138" s="405"/>
      <c r="AM138" s="405"/>
      <c r="AN138" s="405"/>
      <c r="AO138" s="405"/>
      <c r="AP138" s="405"/>
      <c r="AQ138" s="405"/>
      <c r="AR138" s="405"/>
      <c r="AS138" s="405"/>
      <c r="AT138" s="405"/>
      <c r="AU138" s="405"/>
      <c r="AV138" s="405"/>
      <c r="AW138" s="405"/>
      <c r="AX138" s="405"/>
      <c r="AY138" s="405"/>
      <c r="AZ138" s="405"/>
      <c r="BA138" s="405"/>
      <c r="BB138" s="405"/>
      <c r="BC138" s="405"/>
      <c r="BD138" s="405"/>
      <c r="BE138" s="405"/>
      <c r="BF138" s="405"/>
      <c r="BG138" s="405"/>
      <c r="BH138" s="405"/>
      <c r="BI138" s="405"/>
      <c r="BJ138" s="405"/>
      <c r="BK138" s="405"/>
      <c r="BL138" s="405"/>
      <c r="BM138" s="405"/>
      <c r="BN138" s="405"/>
      <c r="BO138" s="405"/>
      <c r="BP138" s="405"/>
      <c r="BQ138" s="405"/>
      <c r="BR138" s="405"/>
      <c r="BS138" s="405"/>
      <c r="BT138" s="405"/>
      <c r="BU138" s="405"/>
      <c r="BV138" s="405"/>
      <c r="BW138" s="405"/>
      <c r="BX138" s="405"/>
      <c r="BY138" s="405"/>
      <c r="BZ138" s="405"/>
      <c r="CA138" s="405"/>
      <c r="CB138" s="405"/>
      <c r="CC138" s="405"/>
      <c r="CD138" s="405"/>
    </row>
    <row r="139" spans="1:82" hidden="1">
      <c r="A139"/>
      <c r="B139" s="666">
        <v>90</v>
      </c>
      <c r="C139" s="18">
        <v>90</v>
      </c>
      <c r="D139" s="405"/>
      <c r="E139" s="405"/>
      <c r="F139" s="405"/>
      <c r="G139" s="405"/>
      <c r="H139" s="405"/>
      <c r="I139" s="405"/>
      <c r="J139" s="405"/>
      <c r="K139" s="405"/>
      <c r="L139" s="405"/>
      <c r="M139" s="405"/>
      <c r="N139" s="405"/>
      <c r="O139" s="405"/>
      <c r="P139" s="405"/>
      <c r="Q139" s="405"/>
      <c r="R139" s="405"/>
      <c r="S139" s="405"/>
      <c r="T139" s="405"/>
      <c r="U139" s="405"/>
      <c r="V139" s="405"/>
      <c r="W139" s="405"/>
      <c r="X139" s="405"/>
      <c r="Y139" s="405"/>
      <c r="Z139" s="405"/>
      <c r="AA139" s="405"/>
      <c r="AB139" s="405"/>
      <c r="AC139" s="405"/>
      <c r="AD139" s="405"/>
      <c r="AE139" s="405"/>
      <c r="AF139" s="405"/>
      <c r="AG139" s="405"/>
      <c r="AH139" s="405"/>
      <c r="AI139" s="405"/>
      <c r="AJ139" s="405"/>
      <c r="AK139" s="405"/>
      <c r="AL139" s="405"/>
      <c r="AM139" s="405"/>
      <c r="AN139" s="405"/>
      <c r="AO139" s="405"/>
      <c r="AP139" s="405"/>
      <c r="AQ139" s="405"/>
      <c r="AR139" s="405"/>
      <c r="AS139" s="405"/>
      <c r="AT139" s="405"/>
      <c r="AU139" s="405"/>
      <c r="AV139" s="405"/>
      <c r="AW139" s="405"/>
      <c r="AX139" s="405"/>
      <c r="AY139" s="405"/>
      <c r="AZ139" s="405"/>
      <c r="BA139" s="405"/>
      <c r="BB139" s="405"/>
      <c r="BC139" s="405"/>
      <c r="BD139" s="405"/>
      <c r="BE139" s="405"/>
      <c r="BF139" s="405"/>
      <c r="BG139" s="405"/>
      <c r="BH139" s="405"/>
      <c r="BI139" s="405"/>
      <c r="BJ139" s="405"/>
      <c r="BK139" s="405"/>
      <c r="BL139" s="405"/>
      <c r="BM139" s="405"/>
      <c r="BN139" s="405"/>
      <c r="BO139" s="405"/>
      <c r="BP139" s="405"/>
      <c r="BQ139" s="405"/>
      <c r="BR139" s="405"/>
      <c r="BS139" s="405"/>
      <c r="BT139" s="405"/>
      <c r="BU139" s="405"/>
      <c r="BV139" s="405"/>
      <c r="BW139" s="405"/>
      <c r="BX139" s="405"/>
      <c r="BY139" s="405"/>
      <c r="BZ139" s="405"/>
      <c r="CA139" s="405"/>
      <c r="CB139" s="405"/>
      <c r="CC139" s="405"/>
      <c r="CD139" s="405"/>
    </row>
    <row r="140" spans="1:82" hidden="1">
      <c r="A140"/>
      <c r="B140" s="666">
        <v>91</v>
      </c>
      <c r="C140" s="18">
        <v>90</v>
      </c>
      <c r="D140" s="405"/>
      <c r="E140" s="405"/>
      <c r="F140" s="405"/>
      <c r="G140" s="405"/>
      <c r="H140" s="405"/>
      <c r="I140" s="405"/>
      <c r="J140" s="405"/>
      <c r="K140" s="405"/>
      <c r="L140" s="405"/>
      <c r="M140" s="405"/>
      <c r="N140" s="405"/>
      <c r="O140" s="405"/>
      <c r="P140" s="405"/>
      <c r="Q140" s="405"/>
      <c r="R140" s="405"/>
      <c r="S140" s="405"/>
      <c r="T140" s="405"/>
      <c r="U140" s="405"/>
      <c r="V140" s="405"/>
      <c r="W140" s="405"/>
      <c r="X140" s="405"/>
      <c r="Y140" s="405"/>
      <c r="Z140" s="405"/>
      <c r="AA140" s="405"/>
      <c r="AB140" s="405"/>
      <c r="AC140" s="405"/>
      <c r="AD140" s="405"/>
      <c r="AE140" s="405"/>
      <c r="AF140" s="405"/>
      <c r="AG140" s="405"/>
      <c r="AH140" s="405"/>
      <c r="AI140" s="405"/>
      <c r="AJ140" s="405"/>
      <c r="AK140" s="405"/>
      <c r="AL140" s="405"/>
      <c r="AM140" s="405"/>
      <c r="AN140" s="405"/>
      <c r="AO140" s="405"/>
      <c r="AP140" s="405"/>
      <c r="AQ140" s="405"/>
      <c r="AR140" s="405"/>
      <c r="AS140" s="405"/>
      <c r="AT140" s="405"/>
      <c r="AU140" s="405"/>
      <c r="AV140" s="405"/>
      <c r="AW140" s="405"/>
      <c r="AX140" s="405"/>
      <c r="AY140" s="405"/>
      <c r="AZ140" s="405"/>
      <c r="BA140" s="405"/>
      <c r="BB140" s="405"/>
      <c r="BC140" s="405"/>
      <c r="BD140" s="405"/>
      <c r="BE140" s="405"/>
      <c r="BF140" s="405"/>
      <c r="BG140" s="405"/>
      <c r="BH140" s="405"/>
      <c r="BI140" s="405"/>
      <c r="BJ140" s="405"/>
      <c r="BK140" s="405"/>
      <c r="BL140" s="405"/>
      <c r="BM140" s="405"/>
      <c r="BN140" s="405"/>
      <c r="BO140" s="405"/>
      <c r="BP140" s="405"/>
      <c r="BQ140" s="405"/>
      <c r="BR140" s="405"/>
      <c r="BS140" s="405"/>
      <c r="BT140" s="405"/>
      <c r="BU140" s="405"/>
      <c r="BV140" s="405"/>
      <c r="BW140" s="405"/>
      <c r="BX140" s="405"/>
      <c r="BY140" s="405"/>
      <c r="BZ140" s="405"/>
      <c r="CA140" s="405"/>
      <c r="CB140" s="405"/>
      <c r="CC140" s="405"/>
      <c r="CD140" s="405"/>
    </row>
    <row r="141" spans="1:82" hidden="1">
      <c r="A141"/>
      <c r="B141" s="666">
        <v>92</v>
      </c>
      <c r="C141" s="18">
        <v>90</v>
      </c>
      <c r="D141" s="405"/>
      <c r="E141" s="405"/>
      <c r="F141" s="405"/>
      <c r="G141" s="405"/>
      <c r="H141" s="405"/>
      <c r="I141" s="405"/>
      <c r="J141" s="405"/>
      <c r="K141" s="405"/>
      <c r="L141" s="405"/>
      <c r="M141" s="405"/>
      <c r="N141" s="405"/>
      <c r="O141" s="405"/>
      <c r="P141" s="405"/>
      <c r="Q141" s="405"/>
      <c r="R141" s="405"/>
      <c r="S141" s="405"/>
      <c r="T141" s="405"/>
      <c r="U141" s="405"/>
      <c r="V141" s="405"/>
      <c r="W141" s="405"/>
      <c r="X141" s="405"/>
      <c r="Y141" s="405"/>
      <c r="Z141" s="405"/>
      <c r="AA141" s="405"/>
      <c r="AB141" s="405"/>
      <c r="AC141" s="405"/>
      <c r="AD141" s="405"/>
      <c r="AE141" s="405"/>
      <c r="AF141" s="405"/>
      <c r="AG141" s="405"/>
      <c r="AH141" s="405"/>
      <c r="AI141" s="405"/>
      <c r="AJ141" s="405"/>
      <c r="AK141" s="405"/>
      <c r="AL141" s="405"/>
      <c r="AM141" s="405"/>
      <c r="AN141" s="405"/>
      <c r="AO141" s="405"/>
      <c r="AP141" s="405"/>
      <c r="AQ141" s="405"/>
      <c r="AR141" s="405"/>
      <c r="AS141" s="405"/>
      <c r="AT141" s="405"/>
      <c r="AU141" s="405"/>
      <c r="AV141" s="405"/>
      <c r="AW141" s="405"/>
      <c r="AX141" s="405"/>
      <c r="AY141" s="405"/>
      <c r="AZ141" s="405"/>
      <c r="BA141" s="405"/>
      <c r="BB141" s="405"/>
      <c r="BC141" s="405"/>
      <c r="BD141" s="405"/>
      <c r="BE141" s="405"/>
      <c r="BF141" s="405"/>
      <c r="BG141" s="405"/>
      <c r="BH141" s="405"/>
      <c r="BI141" s="405"/>
      <c r="BJ141" s="405"/>
      <c r="BK141" s="405"/>
      <c r="BL141" s="405"/>
      <c r="BM141" s="405"/>
      <c r="BN141" s="405"/>
      <c r="BO141" s="405"/>
      <c r="BP141" s="405"/>
      <c r="BQ141" s="405"/>
      <c r="BR141" s="405"/>
      <c r="BS141" s="405"/>
      <c r="BT141" s="405"/>
      <c r="BU141" s="405"/>
      <c r="BV141" s="405"/>
      <c r="BW141" s="405"/>
      <c r="BX141" s="405"/>
      <c r="BY141" s="405"/>
      <c r="BZ141" s="405"/>
      <c r="CA141" s="405"/>
      <c r="CB141" s="405"/>
      <c r="CC141" s="405"/>
      <c r="CD141" s="405"/>
    </row>
    <row r="142" spans="1:82" hidden="1">
      <c r="A142"/>
      <c r="B142" s="666">
        <v>93</v>
      </c>
      <c r="C142" s="18">
        <v>95</v>
      </c>
      <c r="D142" s="405"/>
      <c r="E142" s="405"/>
      <c r="F142" s="405"/>
      <c r="G142" s="405"/>
      <c r="H142" s="405"/>
      <c r="I142" s="405"/>
      <c r="J142" s="405"/>
      <c r="K142" s="405"/>
      <c r="L142" s="405"/>
      <c r="M142" s="405"/>
      <c r="N142" s="405"/>
      <c r="O142" s="405"/>
      <c r="P142" s="405"/>
      <c r="Q142" s="405"/>
      <c r="R142" s="405"/>
      <c r="S142" s="405"/>
      <c r="T142" s="405"/>
      <c r="U142" s="405"/>
      <c r="V142" s="405"/>
      <c r="W142" s="405"/>
      <c r="X142" s="405"/>
      <c r="Y142" s="405"/>
      <c r="Z142" s="405"/>
      <c r="AA142" s="405"/>
      <c r="AB142" s="405"/>
      <c r="AC142" s="405"/>
      <c r="AD142" s="405"/>
      <c r="AE142" s="405"/>
      <c r="AF142" s="405"/>
      <c r="AG142" s="405"/>
      <c r="AH142" s="405"/>
      <c r="AI142" s="405"/>
      <c r="AJ142" s="405"/>
      <c r="AK142" s="405"/>
      <c r="AL142" s="405"/>
      <c r="AM142" s="405"/>
      <c r="AN142" s="405"/>
      <c r="AO142" s="405"/>
      <c r="AP142" s="405"/>
      <c r="AQ142" s="405"/>
      <c r="AR142" s="405"/>
      <c r="AS142" s="405"/>
      <c r="AT142" s="405"/>
      <c r="AU142" s="405"/>
      <c r="AV142" s="405"/>
      <c r="AW142" s="405"/>
      <c r="AX142" s="405"/>
      <c r="AY142" s="405"/>
      <c r="AZ142" s="405"/>
      <c r="BA142" s="405"/>
      <c r="BB142" s="405"/>
      <c r="BC142" s="405"/>
      <c r="BD142" s="405"/>
      <c r="BE142" s="405"/>
      <c r="BF142" s="405"/>
      <c r="BG142" s="405"/>
      <c r="BH142" s="405"/>
      <c r="BI142" s="405"/>
      <c r="BJ142" s="405"/>
      <c r="BK142" s="405"/>
      <c r="BL142" s="405"/>
      <c r="BM142" s="405"/>
      <c r="BN142" s="405"/>
      <c r="BO142" s="405"/>
      <c r="BP142" s="405"/>
      <c r="BQ142" s="405"/>
      <c r="BR142" s="405"/>
      <c r="BS142" s="405"/>
      <c r="BT142" s="405"/>
      <c r="BU142" s="405"/>
      <c r="BV142" s="405"/>
      <c r="BW142" s="405"/>
      <c r="BX142" s="405"/>
      <c r="BY142" s="405"/>
      <c r="BZ142" s="405"/>
      <c r="CA142" s="405"/>
      <c r="CB142" s="405"/>
      <c r="CC142" s="405"/>
      <c r="CD142" s="405"/>
    </row>
    <row r="143" spans="1:82" hidden="1">
      <c r="A143"/>
      <c r="B143" s="666">
        <v>94</v>
      </c>
      <c r="C143" s="18">
        <v>95</v>
      </c>
      <c r="D143" s="405"/>
      <c r="E143" s="405"/>
      <c r="F143" s="405"/>
      <c r="G143" s="405"/>
      <c r="H143" s="405"/>
      <c r="I143" s="405"/>
      <c r="J143" s="405"/>
      <c r="K143" s="405"/>
      <c r="L143" s="405"/>
      <c r="M143" s="405"/>
      <c r="N143" s="405"/>
      <c r="O143" s="405"/>
      <c r="P143" s="405"/>
      <c r="Q143" s="405"/>
      <c r="R143" s="405"/>
      <c r="S143" s="405"/>
      <c r="T143" s="405"/>
      <c r="U143" s="405"/>
      <c r="V143" s="405"/>
      <c r="W143" s="405"/>
      <c r="X143" s="405"/>
      <c r="Y143" s="405"/>
      <c r="Z143" s="405"/>
      <c r="AA143" s="405"/>
      <c r="AB143" s="405"/>
      <c r="AC143" s="405"/>
      <c r="AD143" s="405"/>
      <c r="AE143" s="405"/>
      <c r="AF143" s="405"/>
      <c r="AG143" s="405"/>
      <c r="AH143" s="405"/>
      <c r="AI143" s="405"/>
      <c r="AJ143" s="405"/>
      <c r="AK143" s="405"/>
      <c r="AL143" s="405"/>
      <c r="AM143" s="405"/>
      <c r="AN143" s="405"/>
      <c r="AO143" s="405"/>
      <c r="AP143" s="405"/>
      <c r="AQ143" s="405"/>
      <c r="AR143" s="405"/>
      <c r="AS143" s="405"/>
      <c r="AT143" s="405"/>
      <c r="AU143" s="405"/>
      <c r="AV143" s="405"/>
      <c r="AW143" s="405"/>
      <c r="AX143" s="405"/>
      <c r="AY143" s="405"/>
      <c r="AZ143" s="405"/>
      <c r="BA143" s="405"/>
      <c r="BB143" s="405"/>
      <c r="BC143" s="405"/>
      <c r="BD143" s="405"/>
      <c r="BE143" s="405"/>
      <c r="BF143" s="405"/>
      <c r="BG143" s="405"/>
      <c r="BH143" s="405"/>
      <c r="BI143" s="405"/>
      <c r="BJ143" s="405"/>
      <c r="BK143" s="405"/>
      <c r="BL143" s="405"/>
      <c r="BM143" s="405"/>
      <c r="BN143" s="405"/>
      <c r="BO143" s="405"/>
      <c r="BP143" s="405"/>
      <c r="BQ143" s="405"/>
      <c r="BR143" s="405"/>
      <c r="BS143" s="405"/>
      <c r="BT143" s="405"/>
      <c r="BU143" s="405"/>
      <c r="BV143" s="405"/>
      <c r="BW143" s="405"/>
      <c r="BX143" s="405"/>
      <c r="BY143" s="405"/>
      <c r="BZ143" s="405"/>
      <c r="CA143" s="405"/>
      <c r="CB143" s="405"/>
      <c r="CC143" s="405"/>
      <c r="CD143" s="405"/>
    </row>
    <row r="144" spans="1:82" hidden="1">
      <c r="A144"/>
      <c r="B144" s="666">
        <v>95</v>
      </c>
      <c r="C144" s="18">
        <v>95</v>
      </c>
      <c r="D144" s="405"/>
      <c r="E144" s="405"/>
      <c r="F144" s="405"/>
      <c r="G144" s="405"/>
      <c r="H144" s="405"/>
      <c r="I144" s="405"/>
      <c r="J144" s="405"/>
      <c r="K144" s="405"/>
      <c r="L144" s="405"/>
      <c r="M144" s="405"/>
      <c r="N144" s="405"/>
      <c r="O144" s="405"/>
      <c r="P144" s="405"/>
      <c r="Q144" s="405"/>
      <c r="R144" s="405"/>
      <c r="S144" s="405"/>
      <c r="T144" s="405"/>
      <c r="U144" s="405"/>
      <c r="V144" s="405"/>
      <c r="W144" s="405"/>
      <c r="X144" s="405"/>
      <c r="Y144" s="405"/>
      <c r="Z144" s="405"/>
      <c r="AA144" s="405"/>
      <c r="AB144" s="405"/>
      <c r="AC144" s="405"/>
      <c r="AD144" s="405"/>
      <c r="AE144" s="405"/>
      <c r="AF144" s="405"/>
      <c r="AG144" s="405"/>
      <c r="AH144" s="405"/>
      <c r="AI144" s="405"/>
      <c r="AJ144" s="405"/>
      <c r="AK144" s="405"/>
      <c r="AL144" s="405"/>
      <c r="AM144" s="405"/>
      <c r="AN144" s="405"/>
      <c r="AO144" s="405"/>
      <c r="AP144" s="405"/>
      <c r="AQ144" s="405"/>
      <c r="AR144" s="405"/>
      <c r="AS144" s="405"/>
      <c r="AT144" s="405"/>
      <c r="AU144" s="405"/>
      <c r="AV144" s="405"/>
      <c r="AW144" s="405"/>
      <c r="AX144" s="405"/>
      <c r="AY144" s="405"/>
      <c r="AZ144" s="405"/>
      <c r="BA144" s="405"/>
      <c r="BB144" s="405"/>
      <c r="BC144" s="405"/>
      <c r="BD144" s="405"/>
      <c r="BE144" s="405"/>
      <c r="BF144" s="405"/>
      <c r="BG144" s="405"/>
      <c r="BH144" s="405"/>
      <c r="BI144" s="405"/>
      <c r="BJ144" s="405"/>
      <c r="BK144" s="405"/>
      <c r="BL144" s="405"/>
      <c r="BM144" s="405"/>
      <c r="BN144" s="405"/>
      <c r="BO144" s="405"/>
      <c r="BP144" s="405"/>
      <c r="BQ144" s="405"/>
      <c r="BR144" s="405"/>
      <c r="BS144" s="405"/>
      <c r="BT144" s="405"/>
      <c r="BU144" s="405"/>
      <c r="BV144" s="405"/>
      <c r="BW144" s="405"/>
      <c r="BX144" s="405"/>
      <c r="BY144" s="405"/>
      <c r="BZ144" s="405"/>
      <c r="CA144" s="405"/>
      <c r="CB144" s="405"/>
      <c r="CC144" s="405"/>
      <c r="CD144" s="405"/>
    </row>
    <row r="145" spans="1:82" hidden="1">
      <c r="A145"/>
      <c r="B145" s="666">
        <v>96</v>
      </c>
      <c r="C145" s="18">
        <v>95</v>
      </c>
      <c r="D145" s="405"/>
      <c r="E145" s="405"/>
      <c r="F145" s="405"/>
      <c r="G145" s="405"/>
      <c r="H145" s="405"/>
      <c r="I145" s="405"/>
      <c r="J145" s="405"/>
      <c r="K145" s="405"/>
      <c r="L145" s="405"/>
      <c r="M145" s="405"/>
      <c r="N145" s="405"/>
      <c r="O145" s="405"/>
      <c r="P145" s="405"/>
      <c r="Q145" s="405"/>
      <c r="R145" s="405"/>
      <c r="S145" s="405"/>
      <c r="T145" s="405"/>
      <c r="U145" s="405"/>
      <c r="V145" s="405"/>
      <c r="W145" s="405"/>
      <c r="X145" s="405"/>
      <c r="Y145" s="405"/>
      <c r="Z145" s="405"/>
      <c r="AA145" s="405"/>
      <c r="AB145" s="405"/>
      <c r="AC145" s="405"/>
      <c r="AD145" s="405"/>
      <c r="AE145" s="405"/>
      <c r="AF145" s="405"/>
      <c r="AG145" s="405"/>
      <c r="AH145" s="405"/>
      <c r="AI145" s="405"/>
      <c r="AJ145" s="405"/>
      <c r="AK145" s="405"/>
      <c r="AL145" s="405"/>
      <c r="AM145" s="405"/>
      <c r="AN145" s="405"/>
      <c r="AO145" s="405"/>
      <c r="AP145" s="405"/>
      <c r="AQ145" s="405"/>
      <c r="AR145" s="405"/>
      <c r="AS145" s="405"/>
      <c r="AT145" s="405"/>
      <c r="AU145" s="405"/>
      <c r="AV145" s="405"/>
      <c r="AW145" s="405"/>
      <c r="AX145" s="405"/>
      <c r="AY145" s="405"/>
      <c r="AZ145" s="405"/>
      <c r="BA145" s="405"/>
      <c r="BB145" s="405"/>
      <c r="BC145" s="405"/>
      <c r="BD145" s="405"/>
      <c r="BE145" s="405"/>
      <c r="BF145" s="405"/>
      <c r="BG145" s="405"/>
      <c r="BH145" s="405"/>
      <c r="BI145" s="405"/>
      <c r="BJ145" s="405"/>
      <c r="BK145" s="405"/>
      <c r="BL145" s="405"/>
      <c r="BM145" s="405"/>
      <c r="BN145" s="405"/>
      <c r="BO145" s="405"/>
      <c r="BP145" s="405"/>
      <c r="BQ145" s="405"/>
      <c r="BR145" s="405"/>
      <c r="BS145" s="405"/>
      <c r="BT145" s="405"/>
      <c r="BU145" s="405"/>
      <c r="BV145" s="405"/>
      <c r="BW145" s="405"/>
      <c r="BX145" s="405"/>
      <c r="BY145" s="405"/>
      <c r="BZ145" s="405"/>
      <c r="CA145" s="405"/>
      <c r="CB145" s="405"/>
      <c r="CC145" s="405"/>
      <c r="CD145" s="405"/>
    </row>
    <row r="146" spans="1:82" hidden="1">
      <c r="A146"/>
      <c r="B146" s="666">
        <v>97</v>
      </c>
      <c r="C146" s="18">
        <v>100</v>
      </c>
      <c r="D146" s="405"/>
      <c r="E146" s="405"/>
      <c r="F146" s="405"/>
      <c r="G146" s="405"/>
      <c r="H146" s="405"/>
      <c r="I146" s="405"/>
      <c r="J146" s="405"/>
      <c r="K146" s="405"/>
      <c r="L146" s="405"/>
      <c r="M146" s="405"/>
      <c r="N146" s="405"/>
      <c r="O146" s="405"/>
      <c r="P146" s="405"/>
      <c r="Q146" s="405"/>
      <c r="R146" s="405"/>
      <c r="S146" s="405"/>
      <c r="T146" s="405"/>
      <c r="U146" s="405"/>
      <c r="V146" s="405"/>
      <c r="W146" s="405"/>
      <c r="X146" s="405"/>
      <c r="Y146" s="405"/>
      <c r="Z146" s="405"/>
      <c r="AA146" s="405"/>
      <c r="AB146" s="405"/>
      <c r="AC146" s="405"/>
      <c r="AD146" s="405"/>
      <c r="AE146" s="405"/>
      <c r="AF146" s="405"/>
      <c r="AG146" s="405"/>
      <c r="AH146" s="405"/>
      <c r="AI146" s="405"/>
      <c r="AJ146" s="405"/>
      <c r="AK146" s="405"/>
      <c r="AL146" s="405"/>
      <c r="AM146" s="405"/>
      <c r="AN146" s="405"/>
      <c r="AO146" s="405"/>
      <c r="AP146" s="405"/>
      <c r="AQ146" s="405"/>
      <c r="AR146" s="405"/>
      <c r="AS146" s="405"/>
      <c r="AT146" s="405"/>
      <c r="AU146" s="405"/>
      <c r="AV146" s="405"/>
      <c r="AW146" s="405"/>
      <c r="AX146" s="405"/>
      <c r="AY146" s="405"/>
      <c r="AZ146" s="405"/>
      <c r="BA146" s="405"/>
      <c r="BB146" s="405"/>
      <c r="BC146" s="405"/>
      <c r="BD146" s="405"/>
      <c r="BE146" s="405"/>
      <c r="BF146" s="405"/>
      <c r="BG146" s="405"/>
      <c r="BH146" s="405"/>
      <c r="BI146" s="405"/>
      <c r="BJ146" s="405"/>
      <c r="BK146" s="405"/>
      <c r="BL146" s="405"/>
      <c r="BM146" s="405"/>
      <c r="BN146" s="405"/>
      <c r="BO146" s="405"/>
      <c r="BP146" s="405"/>
      <c r="BQ146" s="405"/>
      <c r="BR146" s="405"/>
      <c r="BS146" s="405"/>
      <c r="BT146" s="405"/>
      <c r="BU146" s="405"/>
      <c r="BV146" s="405"/>
      <c r="BW146" s="405"/>
      <c r="BX146" s="405"/>
      <c r="BY146" s="405"/>
      <c r="BZ146" s="405"/>
      <c r="CA146" s="405"/>
      <c r="CB146" s="405"/>
      <c r="CC146" s="405"/>
      <c r="CD146" s="405"/>
    </row>
    <row r="147" spans="1:82" hidden="1">
      <c r="A147"/>
      <c r="B147" s="666">
        <v>98</v>
      </c>
      <c r="C147" s="18">
        <v>100</v>
      </c>
      <c r="D147" s="405"/>
      <c r="E147" s="405"/>
      <c r="F147" s="405"/>
      <c r="G147" s="405"/>
      <c r="H147" s="405"/>
      <c r="I147" s="405"/>
      <c r="J147" s="405"/>
      <c r="K147" s="405"/>
      <c r="L147" s="405"/>
      <c r="M147" s="405"/>
      <c r="N147" s="405"/>
      <c r="O147" s="405"/>
      <c r="P147" s="405"/>
      <c r="Q147" s="405"/>
      <c r="R147" s="405"/>
      <c r="S147" s="405"/>
      <c r="T147" s="405"/>
      <c r="U147" s="405"/>
      <c r="V147" s="405"/>
      <c r="W147" s="405"/>
      <c r="X147" s="405"/>
      <c r="Y147" s="405"/>
      <c r="Z147" s="405"/>
      <c r="AA147" s="405"/>
      <c r="AB147" s="405"/>
      <c r="AC147" s="405"/>
      <c r="AD147" s="405"/>
      <c r="AE147" s="405"/>
      <c r="AF147" s="405"/>
      <c r="AG147" s="405"/>
      <c r="AH147" s="405"/>
      <c r="AI147" s="405"/>
      <c r="AJ147" s="405"/>
      <c r="AK147" s="405"/>
      <c r="AL147" s="405"/>
      <c r="AM147" s="405"/>
      <c r="AN147" s="405"/>
      <c r="AO147" s="405"/>
      <c r="AP147" s="405"/>
      <c r="AQ147" s="405"/>
      <c r="AR147" s="405"/>
      <c r="AS147" s="405"/>
      <c r="AT147" s="405"/>
      <c r="AU147" s="405"/>
      <c r="AV147" s="405"/>
      <c r="AW147" s="405"/>
      <c r="AX147" s="405"/>
      <c r="AY147" s="405"/>
      <c r="AZ147" s="405"/>
      <c r="BA147" s="405"/>
      <c r="BB147" s="405"/>
      <c r="BC147" s="405"/>
      <c r="BD147" s="405"/>
      <c r="BE147" s="405"/>
      <c r="BF147" s="405"/>
      <c r="BG147" s="405"/>
      <c r="BH147" s="405"/>
      <c r="BI147" s="405"/>
      <c r="BJ147" s="405"/>
      <c r="BK147" s="405"/>
      <c r="BL147" s="405"/>
      <c r="BM147" s="405"/>
      <c r="BN147" s="405"/>
      <c r="BO147" s="405"/>
      <c r="BP147" s="405"/>
      <c r="BQ147" s="405"/>
      <c r="BR147" s="405"/>
      <c r="BS147" s="405"/>
      <c r="BT147" s="405"/>
      <c r="BU147" s="405"/>
      <c r="BV147" s="405"/>
      <c r="BW147" s="405"/>
      <c r="BX147" s="405"/>
      <c r="BY147" s="405"/>
      <c r="BZ147" s="405"/>
      <c r="CA147" s="405"/>
      <c r="CB147" s="405"/>
      <c r="CC147" s="405"/>
      <c r="CD147" s="405"/>
    </row>
    <row r="148" spans="1:82" hidden="1">
      <c r="A148"/>
      <c r="B148" s="666">
        <v>99</v>
      </c>
      <c r="C148" s="18">
        <v>100</v>
      </c>
      <c r="D148" s="405"/>
      <c r="E148" s="405"/>
      <c r="F148" s="405"/>
      <c r="G148" s="405"/>
      <c r="H148" s="405"/>
      <c r="I148" s="405"/>
      <c r="J148" s="405"/>
      <c r="K148" s="405"/>
      <c r="L148" s="405"/>
      <c r="M148" s="405"/>
      <c r="N148" s="405"/>
      <c r="O148" s="405"/>
      <c r="P148" s="405"/>
      <c r="Q148" s="405"/>
      <c r="R148" s="405"/>
      <c r="S148" s="405"/>
      <c r="T148" s="405"/>
      <c r="U148" s="405"/>
      <c r="V148" s="405"/>
      <c r="W148" s="405"/>
      <c r="X148" s="405"/>
      <c r="Y148" s="405"/>
      <c r="Z148" s="405"/>
      <c r="AA148" s="405"/>
      <c r="AB148" s="405"/>
      <c r="AC148" s="405"/>
      <c r="AD148" s="405"/>
      <c r="AE148" s="405"/>
      <c r="AF148" s="405"/>
      <c r="AG148" s="405"/>
      <c r="AH148" s="405"/>
      <c r="AI148" s="405"/>
      <c r="AJ148" s="405"/>
      <c r="AK148" s="405"/>
      <c r="AL148" s="405"/>
      <c r="AM148" s="405"/>
      <c r="AN148" s="405"/>
      <c r="AO148" s="405"/>
      <c r="AP148" s="405"/>
      <c r="AQ148" s="405"/>
      <c r="AR148" s="405"/>
      <c r="AS148" s="405"/>
      <c r="AT148" s="405"/>
      <c r="AU148" s="405"/>
      <c r="AV148" s="405"/>
      <c r="AW148" s="405"/>
      <c r="AX148" s="405"/>
      <c r="AY148" s="405"/>
      <c r="AZ148" s="405"/>
      <c r="BA148" s="405"/>
      <c r="BB148" s="405"/>
      <c r="BC148" s="405"/>
      <c r="BD148" s="405"/>
      <c r="BE148" s="405"/>
      <c r="BF148" s="405"/>
      <c r="BG148" s="405"/>
      <c r="BH148" s="405"/>
      <c r="BI148" s="405"/>
      <c r="BJ148" s="405"/>
      <c r="BK148" s="405"/>
      <c r="BL148" s="405"/>
      <c r="BM148" s="405"/>
      <c r="BN148" s="405"/>
      <c r="BO148" s="405"/>
      <c r="BP148" s="405"/>
      <c r="BQ148" s="405"/>
      <c r="BR148" s="405"/>
      <c r="BS148" s="405"/>
      <c r="BT148" s="405"/>
      <c r="BU148" s="405"/>
      <c r="BV148" s="405"/>
      <c r="BW148" s="405"/>
      <c r="BX148" s="405"/>
      <c r="BY148" s="405"/>
      <c r="BZ148" s="405"/>
      <c r="CA148" s="405"/>
      <c r="CB148" s="405"/>
      <c r="CC148" s="405"/>
      <c r="CD148" s="405"/>
    </row>
    <row r="149" spans="1:82" hidden="1">
      <c r="A149"/>
      <c r="B149" s="666">
        <v>100</v>
      </c>
      <c r="C149" s="18">
        <v>100</v>
      </c>
      <c r="D149" s="405"/>
      <c r="E149" s="405"/>
      <c r="F149" s="405"/>
      <c r="G149" s="405"/>
      <c r="H149" s="405"/>
      <c r="I149" s="405"/>
      <c r="J149" s="405"/>
      <c r="K149" s="405"/>
      <c r="L149" s="405"/>
      <c r="M149" s="405"/>
      <c r="N149" s="405"/>
      <c r="O149" s="405"/>
      <c r="P149" s="405"/>
      <c r="Q149" s="405"/>
      <c r="R149" s="405"/>
      <c r="S149" s="405"/>
      <c r="T149" s="405"/>
      <c r="U149" s="405"/>
      <c r="V149" s="405"/>
      <c r="W149" s="405"/>
      <c r="X149" s="405"/>
      <c r="Y149" s="405"/>
      <c r="Z149" s="405"/>
      <c r="AA149" s="405"/>
      <c r="AB149" s="405"/>
      <c r="AC149" s="405"/>
      <c r="AD149" s="405"/>
      <c r="AE149" s="405"/>
      <c r="AF149" s="405"/>
      <c r="AG149" s="405"/>
      <c r="AH149" s="405"/>
      <c r="AI149" s="405"/>
      <c r="AJ149" s="405"/>
      <c r="AK149" s="405"/>
      <c r="AL149" s="405"/>
      <c r="AM149" s="405"/>
      <c r="AN149" s="405"/>
      <c r="AO149" s="405"/>
      <c r="AP149" s="405"/>
      <c r="AQ149" s="405"/>
      <c r="AR149" s="405"/>
      <c r="AS149" s="405"/>
      <c r="AT149" s="405"/>
      <c r="AU149" s="405"/>
      <c r="AV149" s="405"/>
      <c r="AW149" s="405"/>
      <c r="AX149" s="405"/>
      <c r="AY149" s="405"/>
      <c r="AZ149" s="405"/>
      <c r="BA149" s="405"/>
      <c r="BB149" s="405"/>
      <c r="BC149" s="405"/>
      <c r="BD149" s="405"/>
      <c r="BE149" s="405"/>
      <c r="BF149" s="405"/>
      <c r="BG149" s="405"/>
      <c r="BH149" s="405"/>
      <c r="BI149" s="405"/>
      <c r="BJ149" s="405"/>
      <c r="BK149" s="405"/>
      <c r="BL149" s="405"/>
      <c r="BM149" s="405"/>
      <c r="BN149" s="405"/>
      <c r="BO149" s="405"/>
      <c r="BP149" s="405"/>
      <c r="BQ149" s="405"/>
      <c r="BR149" s="405"/>
      <c r="BS149" s="405"/>
      <c r="BT149" s="405"/>
      <c r="BU149" s="405"/>
      <c r="BV149" s="405"/>
      <c r="BW149" s="405"/>
      <c r="BX149" s="405"/>
      <c r="BY149" s="405"/>
      <c r="BZ149" s="405"/>
      <c r="CA149" s="405"/>
      <c r="CB149" s="405"/>
      <c r="CC149" s="405"/>
      <c r="CD149" s="405"/>
    </row>
    <row r="150" spans="1:82" hidden="1"/>
    <row r="151" spans="1:82" hidden="1"/>
    <row r="152" spans="1:82" hidden="1"/>
    <row r="153" spans="1:82" hidden="1"/>
    <row r="154" spans="1:82" hidden="1"/>
    <row r="155" spans="1:82" hidden="1"/>
    <row r="156" spans="1:82" hidden="1"/>
    <row r="157" spans="1:82" hidden="1"/>
    <row r="158" spans="1:82" hidden="1"/>
    <row r="159" spans="1:82" hidden="1"/>
    <row r="160" spans="1:82"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sheetData>
  <mergeCells count="25">
    <mergeCell ref="BE57:BL57"/>
    <mergeCell ref="BM57:BR57"/>
    <mergeCell ref="BS57:BX57"/>
    <mergeCell ref="BY57:CD57"/>
    <mergeCell ref="B1:J1"/>
    <mergeCell ref="D57:I57"/>
    <mergeCell ref="J57:Q57"/>
    <mergeCell ref="R57:Y57"/>
    <mergeCell ref="Z57:AE57"/>
    <mergeCell ref="AF57:AK57"/>
    <mergeCell ref="AL57:AQ57"/>
    <mergeCell ref="AR57:BD57"/>
    <mergeCell ref="BM2:BR2"/>
    <mergeCell ref="BS2:BX2"/>
    <mergeCell ref="BY2:CD2"/>
    <mergeCell ref="BE2:BL2"/>
    <mergeCell ref="A2:A3"/>
    <mergeCell ref="B2:B3"/>
    <mergeCell ref="AR2:BD2"/>
    <mergeCell ref="D2:I2"/>
    <mergeCell ref="J2:Q2"/>
    <mergeCell ref="R2:Y2"/>
    <mergeCell ref="Z2:AE2"/>
    <mergeCell ref="AF2:AK2"/>
    <mergeCell ref="AL2:AQ2"/>
  </mergeCells>
  <pageMargins left="0.7" right="0.7" top="0.75" bottom="0.75" header="0.3" footer="0.3"/>
  <pageSetup paperSize="256" orientation="portrait" horizontalDpi="4294967293" verticalDpi="0"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CD53"/>
  <sheetViews>
    <sheetView zoomScale="70" zoomScaleNormal="70" workbookViewId="0">
      <pane xSplit="2" ySplit="3" topLeftCell="C4" activePane="bottomRight" state="frozen"/>
      <selection pane="topRight" activeCell="C1" sqref="C1"/>
      <selection pane="bottomLeft" activeCell="A4" sqref="A4"/>
      <selection pane="bottomRight" activeCell="B2" sqref="B2:B3"/>
    </sheetView>
  </sheetViews>
  <sheetFormatPr defaultRowHeight="15"/>
  <cols>
    <col min="1" max="1" width="8.140625" style="104" customWidth="1"/>
    <col min="2" max="2" width="31" style="104" customWidth="1"/>
    <col min="3" max="81" width="6.140625" style="104" customWidth="1"/>
    <col min="82" max="82" width="0" style="104" hidden="1" customWidth="1"/>
    <col min="83" max="16384" width="9.140625" style="104"/>
  </cols>
  <sheetData>
    <row r="1" spans="1:82" ht="42.75" customHeight="1">
      <c r="A1" s="649"/>
      <c r="B1" s="1509" t="s">
        <v>860</v>
      </c>
      <c r="C1" s="1509"/>
      <c r="D1" s="1509"/>
      <c r="E1" s="1509"/>
      <c r="F1" s="1509"/>
      <c r="G1" s="1509"/>
      <c r="H1" s="1509"/>
      <c r="I1" s="1509"/>
      <c r="J1" s="649"/>
      <c r="K1" s="649"/>
      <c r="L1" s="649"/>
      <c r="M1" s="649"/>
      <c r="N1" s="649"/>
      <c r="O1" s="649"/>
      <c r="P1" s="649"/>
      <c r="Q1" s="649"/>
      <c r="R1" s="649"/>
      <c r="S1" s="649"/>
      <c r="T1" s="649"/>
      <c r="U1" s="649"/>
      <c r="V1" s="649"/>
      <c r="W1" s="649"/>
      <c r="X1" s="649"/>
      <c r="Y1" s="649"/>
      <c r="Z1" s="649"/>
      <c r="AA1" s="649"/>
      <c r="AB1" s="649"/>
      <c r="AC1" s="649"/>
      <c r="AD1" s="649"/>
      <c r="AE1" s="649"/>
      <c r="AF1" s="649"/>
      <c r="AG1" s="649"/>
      <c r="AH1" s="649"/>
      <c r="AI1" s="649"/>
      <c r="AJ1" s="649"/>
      <c r="AK1" s="649"/>
      <c r="AL1" s="649"/>
      <c r="AM1" s="649"/>
      <c r="AN1" s="649"/>
      <c r="AO1" s="649"/>
      <c r="AP1" s="649"/>
      <c r="AQ1" s="649"/>
      <c r="AR1" s="649"/>
      <c r="AS1" s="649"/>
      <c r="AT1" s="649"/>
      <c r="AU1" s="649"/>
      <c r="AV1" s="649"/>
      <c r="AW1" s="649"/>
      <c r="AX1" s="649"/>
      <c r="AY1" s="649"/>
      <c r="AZ1" s="649"/>
      <c r="BA1" s="649"/>
      <c r="BB1" s="649"/>
      <c r="BC1" s="649"/>
      <c r="BD1" s="649"/>
      <c r="BE1" s="649"/>
      <c r="BF1" s="649"/>
      <c r="BG1" s="649"/>
      <c r="BH1" s="649"/>
      <c r="BI1" s="649"/>
      <c r="BJ1" s="649"/>
      <c r="BK1" s="649"/>
      <c r="BL1" s="649"/>
      <c r="BM1" s="649"/>
      <c r="BN1" s="649"/>
      <c r="BO1" s="649"/>
      <c r="BP1" s="649"/>
      <c r="BQ1" s="649"/>
      <c r="BR1" s="649"/>
      <c r="BS1" s="649"/>
      <c r="BT1" s="649"/>
      <c r="BU1" s="649"/>
      <c r="BV1" s="649"/>
      <c r="BW1" s="649"/>
      <c r="BX1" s="649"/>
      <c r="BY1" s="649"/>
      <c r="BZ1" s="649"/>
      <c r="CA1" s="649"/>
      <c r="CB1" s="649"/>
      <c r="CC1" s="649"/>
    </row>
    <row r="2" spans="1:82" s="648" customFormat="1">
      <c r="A2" s="1220" t="s">
        <v>2</v>
      </c>
      <c r="B2" s="1220" t="s">
        <v>4</v>
      </c>
      <c r="C2" s="1499" t="s">
        <v>170</v>
      </c>
      <c r="D2" s="1499"/>
      <c r="E2" s="1499"/>
      <c r="F2" s="1499"/>
      <c r="G2" s="1499"/>
      <c r="H2" s="1499"/>
      <c r="I2" s="1500" t="s">
        <v>858</v>
      </c>
      <c r="J2" s="1500"/>
      <c r="K2" s="1500"/>
      <c r="L2" s="1500"/>
      <c r="M2" s="1500"/>
      <c r="N2" s="1500"/>
      <c r="O2" s="1500"/>
      <c r="P2" s="1500"/>
      <c r="Q2" s="1501" t="s">
        <v>729</v>
      </c>
      <c r="R2" s="1501"/>
      <c r="S2" s="1501"/>
      <c r="T2" s="1501"/>
      <c r="U2" s="1501"/>
      <c r="V2" s="1501"/>
      <c r="W2" s="1501"/>
      <c r="X2" s="1501"/>
      <c r="Y2" s="1502" t="s">
        <v>260</v>
      </c>
      <c r="Z2" s="1502"/>
      <c r="AA2" s="1502"/>
      <c r="AB2" s="1502"/>
      <c r="AC2" s="1502"/>
      <c r="AD2" s="1502"/>
      <c r="AE2" s="1503" t="s">
        <v>261</v>
      </c>
      <c r="AF2" s="1503"/>
      <c r="AG2" s="1503"/>
      <c r="AH2" s="1503"/>
      <c r="AI2" s="1503"/>
      <c r="AJ2" s="1503"/>
      <c r="AK2" s="1504" t="s">
        <v>173</v>
      </c>
      <c r="AL2" s="1504"/>
      <c r="AM2" s="1504"/>
      <c r="AN2" s="1504"/>
      <c r="AO2" s="1504"/>
      <c r="AP2" s="1504"/>
      <c r="AQ2" s="1498" t="s">
        <v>169</v>
      </c>
      <c r="AR2" s="1498"/>
      <c r="AS2" s="1498"/>
      <c r="AT2" s="1498"/>
      <c r="AU2" s="1498"/>
      <c r="AV2" s="1498"/>
      <c r="AW2" s="1498"/>
      <c r="AX2" s="1498"/>
      <c r="AY2" s="1498"/>
      <c r="AZ2" s="1498"/>
      <c r="BA2" s="1498"/>
      <c r="BB2" s="1498"/>
      <c r="BC2" s="1498"/>
      <c r="BD2" s="1505" t="s">
        <v>174</v>
      </c>
      <c r="BE2" s="1505"/>
      <c r="BF2" s="1505"/>
      <c r="BG2" s="1505"/>
      <c r="BH2" s="1505"/>
      <c r="BI2" s="1505"/>
      <c r="BJ2" s="1505"/>
      <c r="BK2" s="1505"/>
      <c r="BL2" s="1506" t="str">
        <f>KKM!X7</f>
        <v>Bahasa Jawa</v>
      </c>
      <c r="BM2" s="1506"/>
      <c r="BN2" s="1506"/>
      <c r="BO2" s="1506"/>
      <c r="BP2" s="1506"/>
      <c r="BQ2" s="1506"/>
      <c r="BR2" s="1507" t="str">
        <f>KKM!X8</f>
        <v>Bahasa Inggris</v>
      </c>
      <c r="BS2" s="1507"/>
      <c r="BT2" s="1507"/>
      <c r="BU2" s="1507"/>
      <c r="BV2" s="1507"/>
      <c r="BW2" s="1507"/>
      <c r="BX2" s="1508" t="str">
        <f>KKM!X9</f>
        <v>TIK</v>
      </c>
      <c r="BY2" s="1508"/>
      <c r="BZ2" s="1508"/>
      <c r="CA2" s="1508"/>
      <c r="CB2" s="1508"/>
      <c r="CC2" s="1508"/>
      <c r="CD2" s="647">
        <f>DEPAN!J5</f>
        <v>3</v>
      </c>
    </row>
    <row r="3" spans="1:82" s="648" customFormat="1">
      <c r="A3" s="1220"/>
      <c r="B3" s="1220"/>
      <c r="C3" s="650" t="str">
        <f>'PKN3'!E3</f>
        <v>3.2</v>
      </c>
      <c r="D3" s="650" t="str">
        <f>'PKN3'!F3</f>
        <v>3.3</v>
      </c>
      <c r="E3" s="650" t="str">
        <f>'PKN3'!G3</f>
        <v>3.4</v>
      </c>
      <c r="F3" s="650" t="str">
        <f>'PKN3'!H3</f>
        <v/>
      </c>
      <c r="G3" s="650" t="str">
        <f>'PKN3'!I3</f>
        <v/>
      </c>
      <c r="H3" s="650" t="str">
        <f>'PKN3'!J3</f>
        <v/>
      </c>
      <c r="I3" s="651" t="str">
        <f>BIND3!AA3</f>
        <v>3.3</v>
      </c>
      <c r="J3" s="651" t="str">
        <f>BIND3!AB3</f>
        <v>3.6</v>
      </c>
      <c r="K3" s="651" t="str">
        <f>BIND3!AC3</f>
        <v>3.7</v>
      </c>
      <c r="L3" s="651" t="str">
        <f>BIND3!AD3</f>
        <v>3.9</v>
      </c>
      <c r="M3" s="651" t="str">
        <f>BIND3!AE3</f>
        <v>3.10</v>
      </c>
      <c r="N3" s="651" t="str">
        <f>BIND3!AF3</f>
        <v/>
      </c>
      <c r="O3" s="651" t="str">
        <f>BIND3!AG3</f>
        <v/>
      </c>
      <c r="P3" s="651"/>
      <c r="Q3" s="652" t="str">
        <f>'MTK3'!AE3</f>
        <v>3.1</v>
      </c>
      <c r="R3" s="652" t="str">
        <f>'MTK3'!AF3</f>
        <v>3.2</v>
      </c>
      <c r="S3" s="652" t="str">
        <f>'MTK3'!AG3</f>
        <v>3.3</v>
      </c>
      <c r="T3" s="652" t="str">
        <f>'MTK3'!AH3</f>
        <v>3.4</v>
      </c>
      <c r="U3" s="652" t="str">
        <f>'MTK3'!AI3</f>
        <v>3.5</v>
      </c>
      <c r="V3" s="652" t="str">
        <f>'MTK3'!AJ3</f>
        <v>3.6</v>
      </c>
      <c r="W3" s="652" t="str">
        <f>'MTK3'!AK3</f>
        <v>3.7</v>
      </c>
      <c r="X3" s="652">
        <f>'MTK3'!AL3</f>
        <v>0</v>
      </c>
      <c r="Y3" s="653" t="str">
        <f>'IPA3'!Y3</f>
        <v>3.2</v>
      </c>
      <c r="Z3" s="653" t="str">
        <f>'IPA3'!Z3</f>
        <v>3.3</v>
      </c>
      <c r="AA3" s="653" t="str">
        <f>'IPA3'!AA3</f>
        <v>3.4</v>
      </c>
      <c r="AB3" s="653" t="str">
        <f>'IPA3'!AB3</f>
        <v>3.5</v>
      </c>
      <c r="AC3" s="653" t="str">
        <f>'IPA3'!AC3</f>
        <v/>
      </c>
      <c r="AD3" s="653" t="str">
        <f>'IPA3'!AD3</f>
        <v/>
      </c>
      <c r="AE3" s="654" t="str">
        <f>'IPS3'!Y3:Y4</f>
        <v>3.1</v>
      </c>
      <c r="AF3" s="654" t="str">
        <f>'IPS3'!Z3:Z4</f>
        <v>3.2</v>
      </c>
      <c r="AG3" s="654" t="str">
        <f>'IPS3'!AA3:AA4</f>
        <v>3.3</v>
      </c>
      <c r="AH3" s="654" t="str">
        <f>'IPS3'!AB3:AB4</f>
        <v/>
      </c>
      <c r="AI3" s="654" t="str">
        <f>'IPS3'!AC3:AC4</f>
        <v/>
      </c>
      <c r="AJ3" s="654" t="str">
        <f>'IPS3'!AD3:AD4</f>
        <v/>
      </c>
      <c r="AK3" s="655" t="str">
        <f>SBDP3!Y3</f>
        <v>3.1</v>
      </c>
      <c r="AL3" s="655" t="str">
        <f>SBDP3!Z3</f>
        <v>3.2</v>
      </c>
      <c r="AM3" s="655" t="str">
        <f>SBDP3!AA3</f>
        <v>3.3</v>
      </c>
      <c r="AN3" s="655" t="str">
        <f>SBDP3!AB3</f>
        <v>3.4</v>
      </c>
      <c r="AO3" s="655" t="str">
        <f>SBDP3!AC3</f>
        <v/>
      </c>
      <c r="AP3" s="656"/>
      <c r="AQ3" s="658">
        <f>'PAI3'!AQ5</f>
        <v>3.1</v>
      </c>
      <c r="AR3" s="658">
        <f>'PAI3'!AR5</f>
        <v>3.4</v>
      </c>
      <c r="AS3" s="658">
        <f>'PAI3'!AS5</f>
        <v>3.12</v>
      </c>
      <c r="AT3" s="658">
        <f>'PAI3'!AT5</f>
        <v>3.13</v>
      </c>
      <c r="AU3" s="658">
        <f>'PAI3'!AU5</f>
        <v>3.7</v>
      </c>
      <c r="AV3" s="658">
        <f>'PAI3'!AV5</f>
        <v>3.8</v>
      </c>
      <c r="AW3" s="658">
        <f>'PAI3'!AW5</f>
        <v>3.15</v>
      </c>
      <c r="AX3" s="658" t="str">
        <f>'PAI3'!AX5</f>
        <v>3.21</v>
      </c>
      <c r="AY3" s="658">
        <f>'PAI3'!AY5</f>
        <v>0</v>
      </c>
      <c r="AZ3" s="658">
        <f>'PAI3'!AZ5</f>
        <v>0</v>
      </c>
      <c r="BA3" s="658">
        <f>'PAI3'!BA5</f>
        <v>0</v>
      </c>
      <c r="BB3" s="658">
        <f>'PAI3'!BB5</f>
        <v>0</v>
      </c>
      <c r="BC3" s="658">
        <f>'PAI3'!BC5</f>
        <v>0</v>
      </c>
      <c r="BD3" s="657" t="str">
        <f>PJOK3!Y3</f>
        <v>3.3</v>
      </c>
      <c r="BE3" s="657" t="str">
        <f>PJOK3!Z3</f>
        <v>3.2</v>
      </c>
      <c r="BF3" s="657" t="str">
        <f>PJOK3!AA3</f>
        <v>3.5</v>
      </c>
      <c r="BG3" s="657" t="str">
        <f>PJOK3!AB3</f>
        <v>3.4</v>
      </c>
      <c r="BH3" s="657" t="str">
        <f>PJOK3!AC3</f>
        <v>3.6</v>
      </c>
      <c r="BI3" s="657" t="str">
        <f>PJOK3!AD3</f>
        <v/>
      </c>
      <c r="BJ3" s="657"/>
      <c r="BK3" s="657"/>
      <c r="BL3" s="659" t="str">
        <f>'MLK1-3'!AC3</f>
        <v>3.5</v>
      </c>
      <c r="BM3" s="659" t="str">
        <f>'MLK1-3'!AD3</f>
        <v>3.6</v>
      </c>
      <c r="BN3" s="659" t="str">
        <f>'MLK1-3'!AE3</f>
        <v>3.7</v>
      </c>
      <c r="BO3" s="659"/>
      <c r="BP3" s="660"/>
      <c r="BQ3" s="661"/>
      <c r="BR3" s="662" t="str">
        <f>'MLK2-3'!AA3</f>
        <v>3.5</v>
      </c>
      <c r="BS3" s="662" t="str">
        <f>'MLK2-3'!AB3</f>
        <v>3.6</v>
      </c>
      <c r="BT3" s="662" t="str">
        <f>'MLK2-3'!AC3</f>
        <v>3.7</v>
      </c>
      <c r="BU3" s="662" t="str">
        <f>'MLK2-3'!AD3</f>
        <v>3.8</v>
      </c>
      <c r="BV3" s="662" t="str">
        <f>'MLK2-3'!AE3</f>
        <v/>
      </c>
      <c r="BW3" s="662" t="str">
        <f>'MLK2-3'!AG3</f>
        <v/>
      </c>
      <c r="BX3" s="663" t="str">
        <f>'MLK3-3'!AA3:AA4</f>
        <v>3.5</v>
      </c>
      <c r="BY3" s="663" t="str">
        <f>'MLK3-3'!AB3:AB4</f>
        <v>3.6</v>
      </c>
      <c r="BZ3" s="663"/>
      <c r="CA3" s="663"/>
      <c r="CB3" s="664"/>
      <c r="CC3" s="663"/>
      <c r="CD3" s="108" t="e">
        <f>(#REF!+CD2)*2</f>
        <v>#REF!</v>
      </c>
    </row>
    <row r="4" spans="1:82" ht="20.25" customHeight="1">
      <c r="A4" s="113">
        <v>1</v>
      </c>
      <c r="B4" s="410" t="str">
        <f>SISWA!C6</f>
        <v>Anak 1</v>
      </c>
      <c r="C4" s="412">
        <f>PAS!D59</f>
        <v>90</v>
      </c>
      <c r="D4" s="412">
        <f>PAS!E59</f>
        <v>100</v>
      </c>
      <c r="E4" s="412">
        <f>PAS!F59</f>
        <v>100</v>
      </c>
      <c r="F4" s="412" t="e">
        <f>PAS!G59</f>
        <v>#N/A</v>
      </c>
      <c r="G4" s="412" t="e">
        <f>PAS!H59</f>
        <v>#N/A</v>
      </c>
      <c r="H4" s="412" t="e">
        <f>PAS!I59</f>
        <v>#N/A</v>
      </c>
      <c r="I4" s="412">
        <f>PAS!J59</f>
        <v>90</v>
      </c>
      <c r="J4" s="412">
        <f>PAS!K59</f>
        <v>50</v>
      </c>
      <c r="K4" s="412" t="e">
        <f>PAS!L59</f>
        <v>#N/A</v>
      </c>
      <c r="L4" s="412" t="e">
        <f>PAS!M59</f>
        <v>#N/A</v>
      </c>
      <c r="M4" s="412" t="e">
        <f>PAS!N59</f>
        <v>#N/A</v>
      </c>
      <c r="N4" s="412" t="e">
        <f>PAS!O59</f>
        <v>#N/A</v>
      </c>
      <c r="O4" s="412" t="e">
        <f>PAS!P59</f>
        <v>#N/A</v>
      </c>
      <c r="P4" s="412" t="e">
        <f>PAS!Q59</f>
        <v>#N/A</v>
      </c>
      <c r="Q4" s="412">
        <f>PAS!R59</f>
        <v>90</v>
      </c>
      <c r="R4" s="412">
        <f>PAS!S59</f>
        <v>75</v>
      </c>
      <c r="S4" s="412" t="e">
        <f>PAS!T59</f>
        <v>#N/A</v>
      </c>
      <c r="T4" s="412" t="e">
        <f>PAS!U59</f>
        <v>#N/A</v>
      </c>
      <c r="U4" s="412" t="e">
        <f>PAS!V59</f>
        <v>#N/A</v>
      </c>
      <c r="V4" s="412" t="e">
        <f>PAS!W59</f>
        <v>#N/A</v>
      </c>
      <c r="W4" s="412" t="e">
        <f>PAS!X59</f>
        <v>#N/A</v>
      </c>
      <c r="X4" s="412" t="e">
        <f>PAS!Y59</f>
        <v>#N/A</v>
      </c>
      <c r="Y4" s="412">
        <f>PAS!Z59</f>
        <v>90</v>
      </c>
      <c r="Z4" s="412">
        <f>PAS!AA59</f>
        <v>90</v>
      </c>
      <c r="AA4" s="412">
        <f>PAS!AB59</f>
        <v>100</v>
      </c>
      <c r="AB4" s="412">
        <f>PAS!AC59</f>
        <v>100</v>
      </c>
      <c r="AC4" s="412" t="e">
        <f>PAS!AD59</f>
        <v>#N/A</v>
      </c>
      <c r="AD4" s="412" t="e">
        <f>PAS!AE59</f>
        <v>#N/A</v>
      </c>
      <c r="AE4" s="412" t="e">
        <f>PAS!AF59</f>
        <v>#N/A</v>
      </c>
      <c r="AF4" s="412" t="e">
        <f>PAS!AG59</f>
        <v>#N/A</v>
      </c>
      <c r="AG4" s="412" t="e">
        <f>PAS!AH59</f>
        <v>#N/A</v>
      </c>
      <c r="AH4" s="412" t="e">
        <f>PAS!AI59</f>
        <v>#N/A</v>
      </c>
      <c r="AI4" s="412" t="e">
        <f>PAS!AJ59</f>
        <v>#N/A</v>
      </c>
      <c r="AJ4" s="412" t="e">
        <f>PAS!AK59</f>
        <v>#N/A</v>
      </c>
      <c r="AK4" s="412">
        <f>PAS!AL59</f>
        <v>100</v>
      </c>
      <c r="AL4" s="412">
        <f>PAS!AM59</f>
        <v>90</v>
      </c>
      <c r="AM4" s="412">
        <f>PAS!AN59</f>
        <v>100</v>
      </c>
      <c r="AN4" s="412" t="e">
        <f>PAS!AO59</f>
        <v>#N/A</v>
      </c>
      <c r="AO4" s="412" t="e">
        <f>PAS!AP59</f>
        <v>#N/A</v>
      </c>
      <c r="AP4" s="412" t="e">
        <f>PAS!AQ59</f>
        <v>#N/A</v>
      </c>
      <c r="AQ4" s="412">
        <f>PAS!AR59</f>
        <v>90</v>
      </c>
      <c r="AR4" s="412">
        <f>PAS!AS59</f>
        <v>100</v>
      </c>
      <c r="AS4" s="412">
        <f>PAS!AT59</f>
        <v>100</v>
      </c>
      <c r="AT4" s="412" t="e">
        <f>PAS!AU59</f>
        <v>#VALUE!</v>
      </c>
      <c r="AU4" s="412" t="e">
        <f>PAS!AV59</f>
        <v>#VALUE!</v>
      </c>
      <c r="AV4" s="412" t="e">
        <f>PAS!AW59</f>
        <v>#VALUE!</v>
      </c>
      <c r="AW4" s="412">
        <f>PAS!AX59</f>
        <v>80</v>
      </c>
      <c r="AX4" s="412" t="e">
        <f>PAS!AY59</f>
        <v>#VALUE!</v>
      </c>
      <c r="AY4" s="412" t="e">
        <f>PAS!AZ59</f>
        <v>#N/A</v>
      </c>
      <c r="AZ4" s="412" t="e">
        <f>PAS!BA59</f>
        <v>#N/A</v>
      </c>
      <c r="BA4" s="412" t="e">
        <f>PAS!BB59</f>
        <v>#N/A</v>
      </c>
      <c r="BB4" s="412" t="e">
        <f>PAS!BC59</f>
        <v>#N/A</v>
      </c>
      <c r="BC4" s="412" t="e">
        <f>PAS!BD59</f>
        <v>#N/A</v>
      </c>
      <c r="BD4" s="412">
        <f>PAS!BE59</f>
        <v>60</v>
      </c>
      <c r="BE4" s="412">
        <f>PAS!BF59</f>
        <v>50</v>
      </c>
      <c r="BF4" s="412">
        <f>PAS!BG59</f>
        <v>90</v>
      </c>
      <c r="BG4" s="412">
        <f>PAS!BH59</f>
        <v>90</v>
      </c>
      <c r="BH4" s="412">
        <f>PAS!BI59</f>
        <v>90</v>
      </c>
      <c r="BI4" s="412" t="e">
        <f>PAS!BJ59</f>
        <v>#N/A</v>
      </c>
      <c r="BJ4" s="412" t="e">
        <f>PAS!BK59</f>
        <v>#N/A</v>
      </c>
      <c r="BK4" s="412" t="e">
        <f>PAS!BL59</f>
        <v>#N/A</v>
      </c>
      <c r="BL4" s="412">
        <f>PAS!BM59</f>
        <v>90</v>
      </c>
      <c r="BM4" s="412">
        <f>PAS!BN59</f>
        <v>60</v>
      </c>
      <c r="BN4" s="412">
        <f>PAS!BO59</f>
        <v>50</v>
      </c>
      <c r="BO4" s="412" t="e">
        <f>PAS!BP59</f>
        <v>#N/A</v>
      </c>
      <c r="BP4" s="412" t="e">
        <f>PAS!BQ59</f>
        <v>#N/A</v>
      </c>
      <c r="BQ4" s="412" t="e">
        <f>PAS!BR59</f>
        <v>#N/A</v>
      </c>
      <c r="BR4" s="412">
        <f>PAS!BS59</f>
        <v>90</v>
      </c>
      <c r="BS4" s="412">
        <f>PAS!BT59</f>
        <v>60</v>
      </c>
      <c r="BT4" s="412">
        <f>PAS!BU59</f>
        <v>50</v>
      </c>
      <c r="BU4" s="412">
        <f>PAS!BV59</f>
        <v>90</v>
      </c>
      <c r="BV4" s="412" t="e">
        <f>PAS!BW59</f>
        <v>#N/A</v>
      </c>
      <c r="BW4" s="412" t="e">
        <f>PAS!BX59</f>
        <v>#N/A</v>
      </c>
      <c r="BX4" s="412">
        <f>PAS!BY59</f>
        <v>60</v>
      </c>
      <c r="BY4" s="412">
        <f>PAS!BZ59</f>
        <v>50</v>
      </c>
      <c r="BZ4" s="412" t="e">
        <f>PAS!CA59</f>
        <v>#N/A</v>
      </c>
      <c r="CA4" s="412" t="e">
        <f>PAS!CB59</f>
        <v>#N/A</v>
      </c>
      <c r="CB4" s="412" t="e">
        <f>PAS!CC59</f>
        <v>#N/A</v>
      </c>
      <c r="CC4" s="412" t="e">
        <f>PAS!CD59</f>
        <v>#N/A</v>
      </c>
    </row>
    <row r="5" spans="1:82" ht="20.25" customHeight="1">
      <c r="A5" s="113">
        <v>2</v>
      </c>
      <c r="B5" s="410" t="str">
        <f>SISWA!C7</f>
        <v>Anak 2</v>
      </c>
      <c r="C5" s="412">
        <f>PAS!D60</f>
        <v>100</v>
      </c>
      <c r="D5" s="412">
        <f>PAS!E60</f>
        <v>100</v>
      </c>
      <c r="E5" s="412">
        <f>PAS!F60</f>
        <v>90</v>
      </c>
      <c r="F5" s="412" t="e">
        <f>PAS!G60</f>
        <v>#N/A</v>
      </c>
      <c r="G5" s="412" t="e">
        <f>PAS!H60</f>
        <v>#N/A</v>
      </c>
      <c r="H5" s="412" t="e">
        <f>PAS!I60</f>
        <v>#N/A</v>
      </c>
      <c r="I5" s="412">
        <f>PAS!J60</f>
        <v>95</v>
      </c>
      <c r="J5" s="412">
        <f>PAS!K60</f>
        <v>95</v>
      </c>
      <c r="K5" s="412">
        <f>PAS!L60</f>
        <v>100</v>
      </c>
      <c r="L5" s="412">
        <f>PAS!M60</f>
        <v>100</v>
      </c>
      <c r="M5" s="412">
        <f>PAS!N60</f>
        <v>100</v>
      </c>
      <c r="N5" s="412" t="e">
        <f>PAS!O60</f>
        <v>#N/A</v>
      </c>
      <c r="O5" s="412" t="e">
        <f>PAS!P60</f>
        <v>#N/A</v>
      </c>
      <c r="P5" s="412" t="e">
        <f>PAS!Q60</f>
        <v>#N/A</v>
      </c>
      <c r="Q5" s="412">
        <f>PAS!R60</f>
        <v>65</v>
      </c>
      <c r="R5" s="412">
        <f>PAS!S60</f>
        <v>90</v>
      </c>
      <c r="S5" s="412" t="e">
        <f>PAS!T60</f>
        <v>#N/A</v>
      </c>
      <c r="T5" s="412" t="e">
        <f>PAS!U60</f>
        <v>#N/A</v>
      </c>
      <c r="U5" s="412" t="e">
        <f>PAS!V60</f>
        <v>#N/A</v>
      </c>
      <c r="V5" s="412" t="e">
        <f>PAS!W60</f>
        <v>#N/A</v>
      </c>
      <c r="W5" s="412" t="e">
        <f>PAS!X60</f>
        <v>#N/A</v>
      </c>
      <c r="X5" s="412" t="e">
        <f>PAS!Y60</f>
        <v>#N/A</v>
      </c>
      <c r="Y5" s="412">
        <f>PAS!Z60</f>
        <v>90</v>
      </c>
      <c r="Z5" s="412">
        <f>PAS!AA60</f>
        <v>90</v>
      </c>
      <c r="AA5" s="412">
        <f>PAS!AB60</f>
        <v>100</v>
      </c>
      <c r="AB5" s="412">
        <f>PAS!AC60</f>
        <v>100</v>
      </c>
      <c r="AC5" s="412" t="e">
        <f>PAS!AD60</f>
        <v>#N/A</v>
      </c>
      <c r="AD5" s="412" t="e">
        <f>PAS!AE60</f>
        <v>#N/A</v>
      </c>
      <c r="AE5" s="412">
        <f>PAS!AF60</f>
        <v>90</v>
      </c>
      <c r="AF5" s="412">
        <f>PAS!AG60</f>
        <v>90</v>
      </c>
      <c r="AG5" s="412">
        <f>PAS!AH60</f>
        <v>100</v>
      </c>
      <c r="AH5" s="412" t="e">
        <f>PAS!AI60</f>
        <v>#N/A</v>
      </c>
      <c r="AI5" s="412" t="e">
        <f>PAS!AJ60</f>
        <v>#N/A</v>
      </c>
      <c r="AJ5" s="412" t="e">
        <f>PAS!AK60</f>
        <v>#N/A</v>
      </c>
      <c r="AK5" s="412">
        <f>PAS!AL60</f>
        <v>90</v>
      </c>
      <c r="AL5" s="412">
        <f>PAS!AM60</f>
        <v>90</v>
      </c>
      <c r="AM5" s="412">
        <f>PAS!AN60</f>
        <v>100</v>
      </c>
      <c r="AN5" s="412" t="e">
        <f>PAS!AO60</f>
        <v>#N/A</v>
      </c>
      <c r="AO5" s="412" t="e">
        <f>PAS!AP60</f>
        <v>#N/A</v>
      </c>
      <c r="AP5" s="412" t="e">
        <f>PAS!AQ60</f>
        <v>#N/A</v>
      </c>
      <c r="AQ5" s="412">
        <f>PAS!AR60</f>
        <v>100</v>
      </c>
      <c r="AR5" s="412">
        <f>PAS!AS60</f>
        <v>100</v>
      </c>
      <c r="AS5" s="412">
        <f>PAS!AT60</f>
        <v>100</v>
      </c>
      <c r="AT5" s="412" t="e">
        <f>PAS!AU60</f>
        <v>#VALUE!</v>
      </c>
      <c r="AU5" s="412" t="e">
        <f>PAS!AV60</f>
        <v>#VALUE!</v>
      </c>
      <c r="AV5" s="412" t="e">
        <f>PAS!AW60</f>
        <v>#VALUE!</v>
      </c>
      <c r="AW5" s="412" t="e">
        <f>PAS!AX60</f>
        <v>#VALUE!</v>
      </c>
      <c r="AX5" s="412" t="e">
        <f>PAS!AY60</f>
        <v>#VALUE!</v>
      </c>
      <c r="AY5" s="412" t="e">
        <f>PAS!AZ60</f>
        <v>#N/A</v>
      </c>
      <c r="AZ5" s="412" t="e">
        <f>PAS!BA60</f>
        <v>#N/A</v>
      </c>
      <c r="BA5" s="412" t="e">
        <f>PAS!BB60</f>
        <v>#N/A</v>
      </c>
      <c r="BB5" s="412" t="e">
        <f>PAS!BC60</f>
        <v>#N/A</v>
      </c>
      <c r="BC5" s="412" t="e">
        <f>PAS!BD60</f>
        <v>#N/A</v>
      </c>
      <c r="BD5" s="412">
        <f>PAS!BE60</f>
        <v>95</v>
      </c>
      <c r="BE5" s="412">
        <f>PAS!BF60</f>
        <v>95</v>
      </c>
      <c r="BF5" s="412">
        <f>PAS!BG60</f>
        <v>70</v>
      </c>
      <c r="BG5" s="412">
        <f>PAS!BH60</f>
        <v>85</v>
      </c>
      <c r="BH5" s="412">
        <f>PAS!BI60</f>
        <v>65</v>
      </c>
      <c r="BI5" s="412" t="e">
        <f>PAS!BJ60</f>
        <v>#N/A</v>
      </c>
      <c r="BJ5" s="412" t="e">
        <f>PAS!BK60</f>
        <v>#N/A</v>
      </c>
      <c r="BK5" s="412" t="e">
        <f>PAS!BL60</f>
        <v>#N/A</v>
      </c>
      <c r="BL5" s="412">
        <f>PAS!BM60</f>
        <v>70</v>
      </c>
      <c r="BM5" s="412">
        <f>PAS!BN60</f>
        <v>95</v>
      </c>
      <c r="BN5" s="412">
        <f>PAS!BO60</f>
        <v>95</v>
      </c>
      <c r="BO5" s="412" t="e">
        <f>PAS!BP60</f>
        <v>#N/A</v>
      </c>
      <c r="BP5" s="412" t="e">
        <f>PAS!BQ60</f>
        <v>#N/A</v>
      </c>
      <c r="BQ5" s="412" t="e">
        <f>PAS!BR60</f>
        <v>#N/A</v>
      </c>
      <c r="BR5" s="412">
        <f>PAS!BS60</f>
        <v>65</v>
      </c>
      <c r="BS5" s="412">
        <f>PAS!BT60</f>
        <v>95</v>
      </c>
      <c r="BT5" s="412">
        <f>PAS!BU60</f>
        <v>95</v>
      </c>
      <c r="BU5" s="412">
        <f>PAS!BV60</f>
        <v>85</v>
      </c>
      <c r="BV5" s="412" t="e">
        <f>PAS!BW60</f>
        <v>#N/A</v>
      </c>
      <c r="BW5" s="412" t="e">
        <f>PAS!BX60</f>
        <v>#N/A</v>
      </c>
      <c r="BX5" s="412">
        <f>PAS!BY60</f>
        <v>95</v>
      </c>
      <c r="BY5" s="412">
        <f>PAS!BZ60</f>
        <v>95</v>
      </c>
      <c r="BZ5" s="412" t="e">
        <f>PAS!CA60</f>
        <v>#N/A</v>
      </c>
      <c r="CA5" s="412" t="e">
        <f>PAS!CB60</f>
        <v>#N/A</v>
      </c>
      <c r="CB5" s="412" t="e">
        <f>PAS!CC60</f>
        <v>#N/A</v>
      </c>
      <c r="CC5" s="412" t="e">
        <f>PAS!CD60</f>
        <v>#N/A</v>
      </c>
    </row>
    <row r="6" spans="1:82" ht="20.25" customHeight="1">
      <c r="A6" s="113">
        <v>3</v>
      </c>
      <c r="B6" s="410" t="str">
        <f>SISWA!C8</f>
        <v>Anak 3</v>
      </c>
      <c r="C6" s="412">
        <f>PAS!D61</f>
        <v>100</v>
      </c>
      <c r="D6" s="412">
        <f>PAS!E61</f>
        <v>100</v>
      </c>
      <c r="E6" s="412">
        <f>PAS!F61</f>
        <v>100</v>
      </c>
      <c r="F6" s="412" t="e">
        <f>PAS!G61</f>
        <v>#N/A</v>
      </c>
      <c r="G6" s="412" t="e">
        <f>PAS!H61</f>
        <v>#N/A</v>
      </c>
      <c r="H6" s="412" t="e">
        <f>PAS!I61</f>
        <v>#N/A</v>
      </c>
      <c r="I6" s="412">
        <f>PAS!J61</f>
        <v>95</v>
      </c>
      <c r="J6" s="412">
        <f>PAS!K61</f>
        <v>80</v>
      </c>
      <c r="K6" s="412">
        <f>PAS!L61</f>
        <v>100</v>
      </c>
      <c r="L6" s="412">
        <f>PAS!M61</f>
        <v>100</v>
      </c>
      <c r="M6" s="412">
        <f>PAS!N61</f>
        <v>100</v>
      </c>
      <c r="N6" s="412" t="e">
        <f>PAS!O61</f>
        <v>#N/A</v>
      </c>
      <c r="O6" s="412" t="e">
        <f>PAS!P61</f>
        <v>#N/A</v>
      </c>
      <c r="P6" s="412" t="e">
        <f>PAS!Q61</f>
        <v>#N/A</v>
      </c>
      <c r="Q6" s="412">
        <f>PAS!R61</f>
        <v>95</v>
      </c>
      <c r="R6" s="412">
        <f>PAS!S61</f>
        <v>80</v>
      </c>
      <c r="S6" s="412" t="e">
        <f>PAS!T61</f>
        <v>#N/A</v>
      </c>
      <c r="T6" s="412" t="e">
        <f>PAS!U61</f>
        <v>#N/A</v>
      </c>
      <c r="U6" s="412" t="e">
        <f>PAS!V61</f>
        <v>#N/A</v>
      </c>
      <c r="V6" s="412" t="e">
        <f>PAS!W61</f>
        <v>#N/A</v>
      </c>
      <c r="W6" s="412">
        <f>PAS!X61</f>
        <v>90</v>
      </c>
      <c r="X6" s="412" t="e">
        <f>PAS!Y61</f>
        <v>#N/A</v>
      </c>
      <c r="Y6" s="412">
        <f>PAS!Z61</f>
        <v>100</v>
      </c>
      <c r="Z6" s="412">
        <f>PAS!AA61</f>
        <v>100</v>
      </c>
      <c r="AA6" s="412">
        <f>PAS!AB61</f>
        <v>100</v>
      </c>
      <c r="AB6" s="412">
        <f>PAS!AC61</f>
        <v>100</v>
      </c>
      <c r="AC6" s="412" t="e">
        <f>PAS!AD61</f>
        <v>#N/A</v>
      </c>
      <c r="AD6" s="412" t="e">
        <f>PAS!AE61</f>
        <v>#N/A</v>
      </c>
      <c r="AE6" s="412">
        <f>PAS!AF61</f>
        <v>100</v>
      </c>
      <c r="AF6" s="412">
        <f>PAS!AG61</f>
        <v>100</v>
      </c>
      <c r="AG6" s="412">
        <f>PAS!AH61</f>
        <v>100</v>
      </c>
      <c r="AH6" s="412" t="e">
        <f>PAS!AI61</f>
        <v>#N/A</v>
      </c>
      <c r="AI6" s="412" t="e">
        <f>PAS!AJ61</f>
        <v>#N/A</v>
      </c>
      <c r="AJ6" s="412" t="e">
        <f>PAS!AK61</f>
        <v>#N/A</v>
      </c>
      <c r="AK6" s="412">
        <f>PAS!AL61</f>
        <v>90</v>
      </c>
      <c r="AL6" s="412">
        <f>PAS!AM61</f>
        <v>90</v>
      </c>
      <c r="AM6" s="412">
        <f>PAS!AN61</f>
        <v>100</v>
      </c>
      <c r="AN6" s="412" t="e">
        <f>PAS!AO61</f>
        <v>#N/A</v>
      </c>
      <c r="AO6" s="412" t="e">
        <f>PAS!AP61</f>
        <v>#N/A</v>
      </c>
      <c r="AP6" s="412" t="e">
        <f>PAS!AQ61</f>
        <v>#N/A</v>
      </c>
      <c r="AQ6" s="412">
        <f>PAS!AR61</f>
        <v>100</v>
      </c>
      <c r="AR6" s="412">
        <f>PAS!AS61</f>
        <v>100</v>
      </c>
      <c r="AS6" s="412">
        <f>PAS!AT61</f>
        <v>100</v>
      </c>
      <c r="AT6" s="412" t="e">
        <f>PAS!AU61</f>
        <v>#VALUE!</v>
      </c>
      <c r="AU6" s="412" t="e">
        <f>PAS!AV61</f>
        <v>#VALUE!</v>
      </c>
      <c r="AV6" s="412" t="e">
        <f>PAS!AW61</f>
        <v>#VALUE!</v>
      </c>
      <c r="AW6" s="412" t="e">
        <f>PAS!AX61</f>
        <v>#VALUE!</v>
      </c>
      <c r="AX6" s="412" t="e">
        <f>PAS!AY61</f>
        <v>#VALUE!</v>
      </c>
      <c r="AY6" s="412" t="e">
        <f>PAS!AZ61</f>
        <v>#N/A</v>
      </c>
      <c r="AZ6" s="412" t="e">
        <f>PAS!BA61</f>
        <v>#N/A</v>
      </c>
      <c r="BA6" s="412" t="e">
        <f>PAS!BB61</f>
        <v>#N/A</v>
      </c>
      <c r="BB6" s="412" t="e">
        <f>PAS!BC61</f>
        <v>#N/A</v>
      </c>
      <c r="BC6" s="412" t="e">
        <f>PAS!BD61</f>
        <v>#N/A</v>
      </c>
      <c r="BD6" s="412">
        <f>PAS!BE61</f>
        <v>95</v>
      </c>
      <c r="BE6" s="412">
        <f>PAS!BF61</f>
        <v>80</v>
      </c>
      <c r="BF6" s="412" t="e">
        <f>PAS!BG61</f>
        <v>#N/A</v>
      </c>
      <c r="BG6" s="412" t="e">
        <f>PAS!BH61</f>
        <v>#N/A</v>
      </c>
      <c r="BH6" s="412" t="e">
        <f>PAS!BI61</f>
        <v>#N/A</v>
      </c>
      <c r="BI6" s="412" t="e">
        <f>PAS!BJ61</f>
        <v>#N/A</v>
      </c>
      <c r="BJ6" s="412" t="e">
        <f>PAS!BK61</f>
        <v>#N/A</v>
      </c>
      <c r="BK6" s="412" t="e">
        <f>PAS!BL61</f>
        <v>#N/A</v>
      </c>
      <c r="BL6" s="412" t="e">
        <f>PAS!BM61</f>
        <v>#N/A</v>
      </c>
      <c r="BM6" s="412">
        <f>PAS!BN61</f>
        <v>95</v>
      </c>
      <c r="BN6" s="412">
        <f>PAS!BO61</f>
        <v>80</v>
      </c>
      <c r="BO6" s="412" t="e">
        <f>PAS!BP61</f>
        <v>#N/A</v>
      </c>
      <c r="BP6" s="412" t="e">
        <f>PAS!BQ61</f>
        <v>#N/A</v>
      </c>
      <c r="BQ6" s="412" t="e">
        <f>PAS!BR61</f>
        <v>#N/A</v>
      </c>
      <c r="BR6" s="412" t="e">
        <f>PAS!BS61</f>
        <v>#N/A</v>
      </c>
      <c r="BS6" s="412">
        <f>PAS!BT61</f>
        <v>95</v>
      </c>
      <c r="BT6" s="412">
        <f>PAS!BU61</f>
        <v>80</v>
      </c>
      <c r="BU6" s="412" t="e">
        <f>PAS!BV61</f>
        <v>#N/A</v>
      </c>
      <c r="BV6" s="412" t="e">
        <f>PAS!BW61</f>
        <v>#N/A</v>
      </c>
      <c r="BW6" s="412" t="e">
        <f>PAS!BX61</f>
        <v>#N/A</v>
      </c>
      <c r="BX6" s="412">
        <f>PAS!BY61</f>
        <v>95</v>
      </c>
      <c r="BY6" s="412">
        <f>PAS!BZ61</f>
        <v>80</v>
      </c>
      <c r="BZ6" s="412" t="e">
        <f>PAS!CA61</f>
        <v>#N/A</v>
      </c>
      <c r="CA6" s="412" t="e">
        <f>PAS!CB61</f>
        <v>#N/A</v>
      </c>
      <c r="CB6" s="412" t="e">
        <f>PAS!CC61</f>
        <v>#N/A</v>
      </c>
      <c r="CC6" s="412" t="e">
        <f>PAS!CD61</f>
        <v>#N/A</v>
      </c>
    </row>
    <row r="7" spans="1:82" ht="20.25" customHeight="1">
      <c r="A7" s="113">
        <v>4</v>
      </c>
      <c r="B7" s="410" t="str">
        <f>SISWA!C9</f>
        <v>Anak 4</v>
      </c>
      <c r="C7" s="412">
        <f>PAS!D62</f>
        <v>100</v>
      </c>
      <c r="D7" s="412">
        <f>PAS!E62</f>
        <v>100</v>
      </c>
      <c r="E7" s="412">
        <f>PAS!F62</f>
        <v>100</v>
      </c>
      <c r="F7" s="412" t="e">
        <f>PAS!G62</f>
        <v>#N/A</v>
      </c>
      <c r="G7" s="412" t="e">
        <f>PAS!H62</f>
        <v>#N/A</v>
      </c>
      <c r="H7" s="412" t="e">
        <f>PAS!I62</f>
        <v>#N/A</v>
      </c>
      <c r="I7" s="412">
        <f>PAS!J62</f>
        <v>80</v>
      </c>
      <c r="J7" s="412">
        <f>PAS!K62</f>
        <v>80</v>
      </c>
      <c r="K7" s="412" t="e">
        <f>PAS!L62</f>
        <v>#N/A</v>
      </c>
      <c r="L7" s="412" t="e">
        <f>PAS!M62</f>
        <v>#N/A</v>
      </c>
      <c r="M7" s="412" t="e">
        <f>PAS!N62</f>
        <v>#N/A</v>
      </c>
      <c r="N7" s="412" t="e">
        <f>PAS!O62</f>
        <v>#N/A</v>
      </c>
      <c r="O7" s="412" t="e">
        <f>PAS!P62</f>
        <v>#N/A</v>
      </c>
      <c r="P7" s="412" t="e">
        <f>PAS!Q62</f>
        <v>#N/A</v>
      </c>
      <c r="Q7" s="412">
        <f>PAS!R62</f>
        <v>80</v>
      </c>
      <c r="R7" s="412">
        <f>PAS!S62</f>
        <v>80</v>
      </c>
      <c r="S7" s="412" t="e">
        <f>PAS!T62</f>
        <v>#N/A</v>
      </c>
      <c r="T7" s="412" t="e">
        <f>PAS!U62</f>
        <v>#N/A</v>
      </c>
      <c r="U7" s="412" t="e">
        <f>PAS!V62</f>
        <v>#N/A</v>
      </c>
      <c r="V7" s="412" t="e">
        <f>PAS!W62</f>
        <v>#N/A</v>
      </c>
      <c r="W7" s="412" t="e">
        <f>PAS!X62</f>
        <v>#N/A</v>
      </c>
      <c r="X7" s="412" t="e">
        <f>PAS!Y62</f>
        <v>#N/A</v>
      </c>
      <c r="Y7" s="412" t="e">
        <f>PAS!Z62</f>
        <v>#N/A</v>
      </c>
      <c r="Z7" s="412" t="e">
        <f>PAS!AA62</f>
        <v>#N/A</v>
      </c>
      <c r="AA7" s="412" t="e">
        <f>PAS!AB62</f>
        <v>#N/A</v>
      </c>
      <c r="AB7" s="412" t="e">
        <f>PAS!AC62</f>
        <v>#N/A</v>
      </c>
      <c r="AC7" s="412" t="e">
        <f>PAS!AD62</f>
        <v>#N/A</v>
      </c>
      <c r="AD7" s="412" t="e">
        <f>PAS!AE62</f>
        <v>#N/A</v>
      </c>
      <c r="AE7" s="412">
        <f>PAS!AF62</f>
        <v>100</v>
      </c>
      <c r="AF7" s="412">
        <f>PAS!AG62</f>
        <v>100</v>
      </c>
      <c r="AG7" s="412">
        <f>PAS!AH62</f>
        <v>100</v>
      </c>
      <c r="AH7" s="412" t="e">
        <f>PAS!AI62</f>
        <v>#N/A</v>
      </c>
      <c r="AI7" s="412" t="e">
        <f>PAS!AJ62</f>
        <v>#N/A</v>
      </c>
      <c r="AJ7" s="412" t="e">
        <f>PAS!AK62</f>
        <v>#N/A</v>
      </c>
      <c r="AK7" s="412">
        <f>PAS!AL62</f>
        <v>100</v>
      </c>
      <c r="AL7" s="412">
        <f>PAS!AM62</f>
        <v>100</v>
      </c>
      <c r="AM7" s="412">
        <f>PAS!AN62</f>
        <v>100</v>
      </c>
      <c r="AN7" s="412" t="e">
        <f>PAS!AO62</f>
        <v>#N/A</v>
      </c>
      <c r="AO7" s="412" t="e">
        <f>PAS!AP62</f>
        <v>#N/A</v>
      </c>
      <c r="AP7" s="412" t="e">
        <f>PAS!AQ62</f>
        <v>#N/A</v>
      </c>
      <c r="AQ7" s="412">
        <f>PAS!AR62</f>
        <v>100</v>
      </c>
      <c r="AR7" s="412">
        <f>PAS!AS62</f>
        <v>100</v>
      </c>
      <c r="AS7" s="412">
        <f>PAS!AT62</f>
        <v>100</v>
      </c>
      <c r="AT7" s="412" t="e">
        <f>PAS!AU62</f>
        <v>#VALUE!</v>
      </c>
      <c r="AU7" s="412" t="e">
        <f>PAS!AV62</f>
        <v>#VALUE!</v>
      </c>
      <c r="AV7" s="412" t="e">
        <f>PAS!AW62</f>
        <v>#VALUE!</v>
      </c>
      <c r="AW7" s="412" t="e">
        <f>PAS!AX62</f>
        <v>#VALUE!</v>
      </c>
      <c r="AX7" s="412" t="e">
        <f>PAS!AY62</f>
        <v>#VALUE!</v>
      </c>
      <c r="AY7" s="412" t="e">
        <f>PAS!AZ62</f>
        <v>#N/A</v>
      </c>
      <c r="AZ7" s="412" t="e">
        <f>PAS!BA62</f>
        <v>#N/A</v>
      </c>
      <c r="BA7" s="412" t="e">
        <f>PAS!BB62</f>
        <v>#N/A</v>
      </c>
      <c r="BB7" s="412" t="e">
        <f>PAS!BC62</f>
        <v>#N/A</v>
      </c>
      <c r="BC7" s="412" t="e">
        <f>PAS!BD62</f>
        <v>#N/A</v>
      </c>
      <c r="BD7" s="412">
        <f>PAS!BE62</f>
        <v>80</v>
      </c>
      <c r="BE7" s="412">
        <f>PAS!BF62</f>
        <v>80</v>
      </c>
      <c r="BF7" s="412" t="e">
        <f>PAS!BG62</f>
        <v>#N/A</v>
      </c>
      <c r="BG7" s="412" t="e">
        <f>PAS!BH62</f>
        <v>#N/A</v>
      </c>
      <c r="BH7" s="412" t="e">
        <f>PAS!BI62</f>
        <v>#N/A</v>
      </c>
      <c r="BI7" s="412" t="e">
        <f>PAS!BJ62</f>
        <v>#N/A</v>
      </c>
      <c r="BJ7" s="412" t="e">
        <f>PAS!BK62</f>
        <v>#N/A</v>
      </c>
      <c r="BK7" s="412" t="e">
        <f>PAS!BL62</f>
        <v>#N/A</v>
      </c>
      <c r="BL7" s="412" t="e">
        <f>PAS!BM62</f>
        <v>#N/A</v>
      </c>
      <c r="BM7" s="412">
        <f>PAS!BN62</f>
        <v>80</v>
      </c>
      <c r="BN7" s="412">
        <f>PAS!BO62</f>
        <v>80</v>
      </c>
      <c r="BO7" s="412" t="e">
        <f>PAS!BP62</f>
        <v>#N/A</v>
      </c>
      <c r="BP7" s="412" t="e">
        <f>PAS!BQ62</f>
        <v>#N/A</v>
      </c>
      <c r="BQ7" s="412" t="e">
        <f>PAS!BR62</f>
        <v>#N/A</v>
      </c>
      <c r="BR7" s="412" t="e">
        <f>PAS!BS62</f>
        <v>#N/A</v>
      </c>
      <c r="BS7" s="412">
        <f>PAS!BT62</f>
        <v>80</v>
      </c>
      <c r="BT7" s="412">
        <f>PAS!BU62</f>
        <v>80</v>
      </c>
      <c r="BU7" s="412" t="e">
        <f>PAS!BV62</f>
        <v>#N/A</v>
      </c>
      <c r="BV7" s="412" t="e">
        <f>PAS!BW62</f>
        <v>#N/A</v>
      </c>
      <c r="BW7" s="412" t="e">
        <f>PAS!BX62</f>
        <v>#N/A</v>
      </c>
      <c r="BX7" s="412">
        <f>PAS!BY62</f>
        <v>80</v>
      </c>
      <c r="BY7" s="412">
        <f>PAS!BZ62</f>
        <v>80</v>
      </c>
      <c r="BZ7" s="412" t="e">
        <f>PAS!CA62</f>
        <v>#N/A</v>
      </c>
      <c r="CA7" s="412" t="e">
        <f>PAS!CB62</f>
        <v>#N/A</v>
      </c>
      <c r="CB7" s="412" t="e">
        <f>PAS!CC62</f>
        <v>#N/A</v>
      </c>
      <c r="CC7" s="412" t="e">
        <f>PAS!CD62</f>
        <v>#N/A</v>
      </c>
    </row>
    <row r="8" spans="1:82" ht="20.25" customHeight="1">
      <c r="A8" s="113">
        <v>5</v>
      </c>
      <c r="B8" s="410" t="str">
        <f>SISWA!C10</f>
        <v>Anak 5</v>
      </c>
      <c r="C8" s="412">
        <f>PAS!D63</f>
        <v>100</v>
      </c>
      <c r="D8" s="412">
        <f>PAS!E63</f>
        <v>100</v>
      </c>
      <c r="E8" s="412">
        <f>PAS!F63</f>
        <v>100</v>
      </c>
      <c r="F8" s="412" t="e">
        <f>PAS!G63</f>
        <v>#N/A</v>
      </c>
      <c r="G8" s="412" t="e">
        <f>PAS!H63</f>
        <v>#N/A</v>
      </c>
      <c r="H8" s="412" t="e">
        <f>PAS!I63</f>
        <v>#N/A</v>
      </c>
      <c r="I8" s="412">
        <f>PAS!J63</f>
        <v>80</v>
      </c>
      <c r="J8" s="412">
        <f>PAS!K63</f>
        <v>80</v>
      </c>
      <c r="K8" s="412">
        <f>PAS!L63</f>
        <v>100</v>
      </c>
      <c r="L8" s="412">
        <f>PAS!M63</f>
        <v>100</v>
      </c>
      <c r="M8" s="412">
        <f>PAS!N63</f>
        <v>100</v>
      </c>
      <c r="N8" s="412" t="e">
        <f>PAS!O63</f>
        <v>#N/A</v>
      </c>
      <c r="O8" s="412" t="e">
        <f>PAS!P63</f>
        <v>#N/A</v>
      </c>
      <c r="P8" s="412" t="e">
        <f>PAS!Q63</f>
        <v>#N/A</v>
      </c>
      <c r="Q8" s="412">
        <f>PAS!R63</f>
        <v>80</v>
      </c>
      <c r="R8" s="412">
        <f>PAS!S63</f>
        <v>80</v>
      </c>
      <c r="S8" s="412" t="e">
        <f>PAS!T63</f>
        <v>#N/A</v>
      </c>
      <c r="T8" s="412" t="e">
        <f>PAS!U63</f>
        <v>#N/A</v>
      </c>
      <c r="U8" s="412" t="e">
        <f>PAS!V63</f>
        <v>#N/A</v>
      </c>
      <c r="V8" s="412" t="e">
        <f>PAS!W63</f>
        <v>#N/A</v>
      </c>
      <c r="W8" s="412" t="e">
        <f>PAS!X63</f>
        <v>#N/A</v>
      </c>
      <c r="X8" s="412" t="e">
        <f>PAS!Y63</f>
        <v>#N/A</v>
      </c>
      <c r="Y8" s="412">
        <f>PAS!Z63</f>
        <v>100</v>
      </c>
      <c r="Z8" s="412">
        <f>PAS!AA63</f>
        <v>100</v>
      </c>
      <c r="AA8" s="412">
        <f>PAS!AB63</f>
        <v>100</v>
      </c>
      <c r="AB8" s="412">
        <f>PAS!AC63</f>
        <v>100</v>
      </c>
      <c r="AC8" s="412" t="e">
        <f>PAS!AD63</f>
        <v>#N/A</v>
      </c>
      <c r="AD8" s="412" t="e">
        <f>PAS!AE63</f>
        <v>#N/A</v>
      </c>
      <c r="AE8" s="412">
        <f>PAS!AF63</f>
        <v>100</v>
      </c>
      <c r="AF8" s="412">
        <f>PAS!AG63</f>
        <v>100</v>
      </c>
      <c r="AG8" s="412">
        <f>PAS!AH63</f>
        <v>100</v>
      </c>
      <c r="AH8" s="412" t="e">
        <f>PAS!AI63</f>
        <v>#N/A</v>
      </c>
      <c r="AI8" s="412" t="e">
        <f>PAS!AJ63</f>
        <v>#N/A</v>
      </c>
      <c r="AJ8" s="412" t="e">
        <f>PAS!AK63</f>
        <v>#N/A</v>
      </c>
      <c r="AK8" s="412">
        <f>PAS!AL63</f>
        <v>100</v>
      </c>
      <c r="AL8" s="412">
        <f>PAS!AM63</f>
        <v>100</v>
      </c>
      <c r="AM8" s="412">
        <f>PAS!AN63</f>
        <v>100</v>
      </c>
      <c r="AN8" s="412" t="e">
        <f>PAS!AO63</f>
        <v>#N/A</v>
      </c>
      <c r="AO8" s="412" t="e">
        <f>PAS!AP63</f>
        <v>#N/A</v>
      </c>
      <c r="AP8" s="412" t="e">
        <f>PAS!AQ63</f>
        <v>#N/A</v>
      </c>
      <c r="AQ8" s="412">
        <f>PAS!AR63</f>
        <v>100</v>
      </c>
      <c r="AR8" s="412">
        <f>PAS!AS63</f>
        <v>100</v>
      </c>
      <c r="AS8" s="412">
        <f>PAS!AT63</f>
        <v>100</v>
      </c>
      <c r="AT8" s="412" t="e">
        <f>PAS!AU63</f>
        <v>#VALUE!</v>
      </c>
      <c r="AU8" s="412" t="e">
        <f>PAS!AV63</f>
        <v>#VALUE!</v>
      </c>
      <c r="AV8" s="412" t="e">
        <f>PAS!AW63</f>
        <v>#VALUE!</v>
      </c>
      <c r="AW8" s="412" t="e">
        <f>PAS!AX63</f>
        <v>#VALUE!</v>
      </c>
      <c r="AX8" s="412" t="e">
        <f>PAS!AY63</f>
        <v>#VALUE!</v>
      </c>
      <c r="AY8" s="412" t="e">
        <f>PAS!AZ63</f>
        <v>#N/A</v>
      </c>
      <c r="AZ8" s="412" t="e">
        <f>PAS!BA63</f>
        <v>#N/A</v>
      </c>
      <c r="BA8" s="412" t="e">
        <f>PAS!BB63</f>
        <v>#N/A</v>
      </c>
      <c r="BB8" s="412" t="e">
        <f>PAS!BC63</f>
        <v>#N/A</v>
      </c>
      <c r="BC8" s="412" t="e">
        <f>PAS!BD63</f>
        <v>#N/A</v>
      </c>
      <c r="BD8" s="412">
        <f>PAS!BE63</f>
        <v>80</v>
      </c>
      <c r="BE8" s="412">
        <f>PAS!BF63</f>
        <v>80</v>
      </c>
      <c r="BF8" s="412" t="e">
        <f>PAS!BG63</f>
        <v>#N/A</v>
      </c>
      <c r="BG8" s="412" t="e">
        <f>PAS!BH63</f>
        <v>#N/A</v>
      </c>
      <c r="BH8" s="412" t="e">
        <f>PAS!BI63</f>
        <v>#N/A</v>
      </c>
      <c r="BI8" s="412" t="e">
        <f>PAS!BJ63</f>
        <v>#N/A</v>
      </c>
      <c r="BJ8" s="412" t="e">
        <f>PAS!BK63</f>
        <v>#N/A</v>
      </c>
      <c r="BK8" s="412" t="e">
        <f>PAS!BL63</f>
        <v>#N/A</v>
      </c>
      <c r="BL8" s="412" t="e">
        <f>PAS!BM63</f>
        <v>#N/A</v>
      </c>
      <c r="BM8" s="412">
        <f>PAS!BN63</f>
        <v>80</v>
      </c>
      <c r="BN8" s="412">
        <f>PAS!BO63</f>
        <v>80</v>
      </c>
      <c r="BO8" s="412" t="e">
        <f>PAS!BP63</f>
        <v>#N/A</v>
      </c>
      <c r="BP8" s="412" t="e">
        <f>PAS!BQ63</f>
        <v>#N/A</v>
      </c>
      <c r="BQ8" s="412" t="e">
        <f>PAS!BR63</f>
        <v>#N/A</v>
      </c>
      <c r="BR8" s="412" t="e">
        <f>PAS!BS63</f>
        <v>#N/A</v>
      </c>
      <c r="BS8" s="412">
        <f>PAS!BT63</f>
        <v>80</v>
      </c>
      <c r="BT8" s="412">
        <f>PAS!BU63</f>
        <v>80</v>
      </c>
      <c r="BU8" s="412" t="e">
        <f>PAS!BV63</f>
        <v>#N/A</v>
      </c>
      <c r="BV8" s="412" t="e">
        <f>PAS!BW63</f>
        <v>#N/A</v>
      </c>
      <c r="BW8" s="412" t="e">
        <f>PAS!BX63</f>
        <v>#N/A</v>
      </c>
      <c r="BX8" s="412">
        <f>PAS!BY63</f>
        <v>80</v>
      </c>
      <c r="BY8" s="412">
        <f>PAS!BZ63</f>
        <v>80</v>
      </c>
      <c r="BZ8" s="412" t="e">
        <f>PAS!CA63</f>
        <v>#N/A</v>
      </c>
      <c r="CA8" s="412" t="e">
        <f>PAS!CB63</f>
        <v>#N/A</v>
      </c>
      <c r="CB8" s="412" t="e">
        <f>PAS!CC63</f>
        <v>#N/A</v>
      </c>
      <c r="CC8" s="412" t="e">
        <f>PAS!CD63</f>
        <v>#N/A</v>
      </c>
    </row>
    <row r="9" spans="1:82" ht="20.25" customHeight="1">
      <c r="A9" s="113">
        <v>6</v>
      </c>
      <c r="B9" s="410" t="str">
        <f>SISWA!C11</f>
        <v>Anak 6</v>
      </c>
      <c r="C9" s="412">
        <f>PAS!D64</f>
        <v>100</v>
      </c>
      <c r="D9" s="412">
        <f>PAS!E64</f>
        <v>100</v>
      </c>
      <c r="E9" s="412">
        <f>PAS!F64</f>
        <v>100</v>
      </c>
      <c r="F9" s="412" t="e">
        <f>PAS!G64</f>
        <v>#N/A</v>
      </c>
      <c r="G9" s="412" t="e">
        <f>PAS!H64</f>
        <v>#N/A</v>
      </c>
      <c r="H9" s="412" t="e">
        <f>PAS!I64</f>
        <v>#N/A</v>
      </c>
      <c r="I9" s="412">
        <f>PAS!J64</f>
        <v>80</v>
      </c>
      <c r="J9" s="412">
        <f>PAS!K64</f>
        <v>70</v>
      </c>
      <c r="K9" s="412">
        <f>PAS!L64</f>
        <v>100</v>
      </c>
      <c r="L9" s="412">
        <f>PAS!M64</f>
        <v>100</v>
      </c>
      <c r="M9" s="412">
        <f>PAS!N64</f>
        <v>100</v>
      </c>
      <c r="N9" s="412" t="e">
        <f>PAS!O64</f>
        <v>#N/A</v>
      </c>
      <c r="O9" s="412" t="e">
        <f>PAS!P64</f>
        <v>#N/A</v>
      </c>
      <c r="P9" s="412" t="e">
        <f>PAS!Q64</f>
        <v>#N/A</v>
      </c>
      <c r="Q9" s="412">
        <f>PAS!R64</f>
        <v>80</v>
      </c>
      <c r="R9" s="412">
        <f>PAS!S64</f>
        <v>70</v>
      </c>
      <c r="S9" s="412" t="e">
        <f>PAS!T64</f>
        <v>#N/A</v>
      </c>
      <c r="T9" s="412" t="e">
        <f>PAS!U64</f>
        <v>#N/A</v>
      </c>
      <c r="U9" s="412" t="e">
        <f>PAS!V64</f>
        <v>#N/A</v>
      </c>
      <c r="V9" s="412" t="e">
        <f>PAS!W64</f>
        <v>#N/A</v>
      </c>
      <c r="W9" s="412" t="e">
        <f>PAS!X64</f>
        <v>#N/A</v>
      </c>
      <c r="X9" s="412" t="e">
        <f>PAS!Y64</f>
        <v>#N/A</v>
      </c>
      <c r="Y9" s="412">
        <f>PAS!Z64</f>
        <v>100</v>
      </c>
      <c r="Z9" s="412">
        <f>PAS!AA64</f>
        <v>100</v>
      </c>
      <c r="AA9" s="412">
        <f>PAS!AB64</f>
        <v>100</v>
      </c>
      <c r="AB9" s="412">
        <f>PAS!AC64</f>
        <v>100</v>
      </c>
      <c r="AC9" s="412" t="e">
        <f>PAS!AD64</f>
        <v>#N/A</v>
      </c>
      <c r="AD9" s="412" t="e">
        <f>PAS!AE64</f>
        <v>#N/A</v>
      </c>
      <c r="AE9" s="412">
        <f>PAS!AF64</f>
        <v>100</v>
      </c>
      <c r="AF9" s="412">
        <f>PAS!AG64</f>
        <v>100</v>
      </c>
      <c r="AG9" s="412">
        <f>PAS!AH64</f>
        <v>100</v>
      </c>
      <c r="AH9" s="412" t="e">
        <f>PAS!AI64</f>
        <v>#N/A</v>
      </c>
      <c r="AI9" s="412" t="e">
        <f>PAS!AJ64</f>
        <v>#N/A</v>
      </c>
      <c r="AJ9" s="412" t="e">
        <f>PAS!AK64</f>
        <v>#N/A</v>
      </c>
      <c r="AK9" s="412">
        <f>PAS!AL64</f>
        <v>100</v>
      </c>
      <c r="AL9" s="412">
        <f>PAS!AM64</f>
        <v>100</v>
      </c>
      <c r="AM9" s="412">
        <f>PAS!AN64</f>
        <v>100</v>
      </c>
      <c r="AN9" s="412" t="e">
        <f>PAS!AO64</f>
        <v>#N/A</v>
      </c>
      <c r="AO9" s="412" t="e">
        <f>PAS!AP64</f>
        <v>#N/A</v>
      </c>
      <c r="AP9" s="412" t="e">
        <f>PAS!AQ64</f>
        <v>#N/A</v>
      </c>
      <c r="AQ9" s="412">
        <f>PAS!AR64</f>
        <v>100</v>
      </c>
      <c r="AR9" s="412">
        <f>PAS!AS64</f>
        <v>100</v>
      </c>
      <c r="AS9" s="412">
        <f>PAS!AT64</f>
        <v>100</v>
      </c>
      <c r="AT9" s="412" t="e">
        <f>PAS!AU64</f>
        <v>#VALUE!</v>
      </c>
      <c r="AU9" s="412" t="e">
        <f>PAS!AV64</f>
        <v>#VALUE!</v>
      </c>
      <c r="AV9" s="412" t="e">
        <f>PAS!AW64</f>
        <v>#VALUE!</v>
      </c>
      <c r="AW9" s="412" t="e">
        <f>PAS!AX64</f>
        <v>#VALUE!</v>
      </c>
      <c r="AX9" s="412" t="e">
        <f>PAS!AY64</f>
        <v>#VALUE!</v>
      </c>
      <c r="AY9" s="412" t="e">
        <f>PAS!AZ64</f>
        <v>#N/A</v>
      </c>
      <c r="AZ9" s="412" t="e">
        <f>PAS!BA64</f>
        <v>#N/A</v>
      </c>
      <c r="BA9" s="412" t="e">
        <f>PAS!BB64</f>
        <v>#N/A</v>
      </c>
      <c r="BB9" s="412" t="e">
        <f>PAS!BC64</f>
        <v>#N/A</v>
      </c>
      <c r="BC9" s="412" t="e">
        <f>PAS!BD64</f>
        <v>#N/A</v>
      </c>
      <c r="BD9" s="412">
        <f>PAS!BE64</f>
        <v>80</v>
      </c>
      <c r="BE9" s="412">
        <f>PAS!BF64</f>
        <v>70</v>
      </c>
      <c r="BF9" s="412" t="e">
        <f>PAS!BG64</f>
        <v>#N/A</v>
      </c>
      <c r="BG9" s="412" t="e">
        <f>PAS!BH64</f>
        <v>#N/A</v>
      </c>
      <c r="BH9" s="412" t="e">
        <f>PAS!BI64</f>
        <v>#N/A</v>
      </c>
      <c r="BI9" s="412" t="e">
        <f>PAS!BJ64</f>
        <v>#N/A</v>
      </c>
      <c r="BJ9" s="412" t="e">
        <f>PAS!BK64</f>
        <v>#N/A</v>
      </c>
      <c r="BK9" s="412" t="e">
        <f>PAS!BL64</f>
        <v>#N/A</v>
      </c>
      <c r="BL9" s="412" t="e">
        <f>PAS!BM64</f>
        <v>#N/A</v>
      </c>
      <c r="BM9" s="412">
        <f>PAS!BN64</f>
        <v>80</v>
      </c>
      <c r="BN9" s="412">
        <f>PAS!BO64</f>
        <v>70</v>
      </c>
      <c r="BO9" s="412" t="e">
        <f>PAS!BP64</f>
        <v>#N/A</v>
      </c>
      <c r="BP9" s="412" t="e">
        <f>PAS!BQ64</f>
        <v>#N/A</v>
      </c>
      <c r="BQ9" s="412" t="e">
        <f>PAS!BR64</f>
        <v>#N/A</v>
      </c>
      <c r="BR9" s="412" t="e">
        <f>PAS!BS64</f>
        <v>#N/A</v>
      </c>
      <c r="BS9" s="412">
        <f>PAS!BT64</f>
        <v>80</v>
      </c>
      <c r="BT9" s="412">
        <f>PAS!BU64</f>
        <v>70</v>
      </c>
      <c r="BU9" s="412" t="e">
        <f>PAS!BV64</f>
        <v>#N/A</v>
      </c>
      <c r="BV9" s="412" t="e">
        <f>PAS!BW64</f>
        <v>#N/A</v>
      </c>
      <c r="BW9" s="412" t="e">
        <f>PAS!BX64</f>
        <v>#N/A</v>
      </c>
      <c r="BX9" s="412">
        <f>PAS!BY64</f>
        <v>80</v>
      </c>
      <c r="BY9" s="412">
        <f>PAS!BZ64</f>
        <v>70</v>
      </c>
      <c r="BZ9" s="412" t="e">
        <f>PAS!CA64</f>
        <v>#N/A</v>
      </c>
      <c r="CA9" s="412" t="e">
        <f>PAS!CB64</f>
        <v>#N/A</v>
      </c>
      <c r="CB9" s="412" t="e">
        <f>PAS!CC64</f>
        <v>#N/A</v>
      </c>
      <c r="CC9" s="412" t="e">
        <f>PAS!CD64</f>
        <v>#N/A</v>
      </c>
    </row>
    <row r="10" spans="1:82" ht="20.25" customHeight="1">
      <c r="A10" s="113">
        <v>7</v>
      </c>
      <c r="B10" s="410" t="str">
        <f>SISWA!C12</f>
        <v>Anak 7</v>
      </c>
      <c r="C10" s="412">
        <f>PAS!D65</f>
        <v>100</v>
      </c>
      <c r="D10" s="412">
        <f>PAS!E65</f>
        <v>100</v>
      </c>
      <c r="E10" s="412">
        <f>PAS!F65</f>
        <v>100</v>
      </c>
      <c r="F10" s="412" t="e">
        <f>PAS!G65</f>
        <v>#N/A</v>
      </c>
      <c r="G10" s="412" t="e">
        <f>PAS!H65</f>
        <v>#N/A</v>
      </c>
      <c r="H10" s="412" t="e">
        <f>PAS!I65</f>
        <v>#N/A</v>
      </c>
      <c r="I10" s="412">
        <f>PAS!J65</f>
        <v>70</v>
      </c>
      <c r="J10" s="412">
        <f>PAS!K65</f>
        <v>70</v>
      </c>
      <c r="K10" s="412">
        <f>PAS!L65</f>
        <v>100</v>
      </c>
      <c r="L10" s="412">
        <f>PAS!M65</f>
        <v>100</v>
      </c>
      <c r="M10" s="412">
        <f>PAS!N65</f>
        <v>100</v>
      </c>
      <c r="N10" s="412" t="e">
        <f>PAS!O65</f>
        <v>#N/A</v>
      </c>
      <c r="O10" s="412" t="e">
        <f>PAS!P65</f>
        <v>#N/A</v>
      </c>
      <c r="P10" s="412" t="e">
        <f>PAS!Q65</f>
        <v>#N/A</v>
      </c>
      <c r="Q10" s="412">
        <f>PAS!R65</f>
        <v>70</v>
      </c>
      <c r="R10" s="412">
        <f>PAS!S65</f>
        <v>70</v>
      </c>
      <c r="S10" s="412" t="e">
        <f>PAS!T65</f>
        <v>#N/A</v>
      </c>
      <c r="T10" s="412" t="e">
        <f>PAS!U65</f>
        <v>#N/A</v>
      </c>
      <c r="U10" s="412" t="e">
        <f>PAS!V65</f>
        <v>#N/A</v>
      </c>
      <c r="V10" s="412" t="e">
        <f>PAS!W65</f>
        <v>#N/A</v>
      </c>
      <c r="W10" s="412" t="e">
        <f>PAS!X65</f>
        <v>#N/A</v>
      </c>
      <c r="X10" s="412" t="e">
        <f>PAS!Y65</f>
        <v>#N/A</v>
      </c>
      <c r="Y10" s="412">
        <f>PAS!Z65</f>
        <v>100</v>
      </c>
      <c r="Z10" s="412">
        <f>PAS!AA65</f>
        <v>100</v>
      </c>
      <c r="AA10" s="412">
        <f>PAS!AB65</f>
        <v>100</v>
      </c>
      <c r="AB10" s="412">
        <f>PAS!AC65</f>
        <v>100</v>
      </c>
      <c r="AC10" s="412" t="e">
        <f>PAS!AD65</f>
        <v>#N/A</v>
      </c>
      <c r="AD10" s="412" t="e">
        <f>PAS!AE65</f>
        <v>#N/A</v>
      </c>
      <c r="AE10" s="412">
        <f>PAS!AF65</f>
        <v>100</v>
      </c>
      <c r="AF10" s="412">
        <f>PAS!AG65</f>
        <v>100</v>
      </c>
      <c r="AG10" s="412">
        <f>PAS!AH65</f>
        <v>100</v>
      </c>
      <c r="AH10" s="412" t="e">
        <f>PAS!AI65</f>
        <v>#N/A</v>
      </c>
      <c r="AI10" s="412" t="e">
        <f>PAS!AJ65</f>
        <v>#N/A</v>
      </c>
      <c r="AJ10" s="412" t="e">
        <f>PAS!AK65</f>
        <v>#N/A</v>
      </c>
      <c r="AK10" s="412">
        <f>PAS!AL65</f>
        <v>100</v>
      </c>
      <c r="AL10" s="412">
        <f>PAS!AM65</f>
        <v>100</v>
      </c>
      <c r="AM10" s="412">
        <f>PAS!AN65</f>
        <v>100</v>
      </c>
      <c r="AN10" s="412" t="e">
        <f>PAS!AO65</f>
        <v>#N/A</v>
      </c>
      <c r="AO10" s="412" t="e">
        <f>PAS!AP65</f>
        <v>#N/A</v>
      </c>
      <c r="AP10" s="412" t="e">
        <f>PAS!AQ65</f>
        <v>#N/A</v>
      </c>
      <c r="AQ10" s="412">
        <f>PAS!AR65</f>
        <v>100</v>
      </c>
      <c r="AR10" s="412">
        <f>PAS!AS65</f>
        <v>100</v>
      </c>
      <c r="AS10" s="412">
        <f>PAS!AT65</f>
        <v>100</v>
      </c>
      <c r="AT10" s="412" t="e">
        <f>PAS!AU65</f>
        <v>#VALUE!</v>
      </c>
      <c r="AU10" s="412" t="e">
        <f>PAS!AV65</f>
        <v>#VALUE!</v>
      </c>
      <c r="AV10" s="412" t="e">
        <f>PAS!AW65</f>
        <v>#VALUE!</v>
      </c>
      <c r="AW10" s="412" t="e">
        <f>PAS!AX65</f>
        <v>#VALUE!</v>
      </c>
      <c r="AX10" s="412" t="e">
        <f>PAS!AY65</f>
        <v>#VALUE!</v>
      </c>
      <c r="AY10" s="412" t="e">
        <f>PAS!AZ65</f>
        <v>#N/A</v>
      </c>
      <c r="AZ10" s="412" t="e">
        <f>PAS!BA65</f>
        <v>#N/A</v>
      </c>
      <c r="BA10" s="412" t="e">
        <f>PAS!BB65</f>
        <v>#N/A</v>
      </c>
      <c r="BB10" s="412" t="e">
        <f>PAS!BC65</f>
        <v>#N/A</v>
      </c>
      <c r="BC10" s="412" t="e">
        <f>PAS!BD65</f>
        <v>#N/A</v>
      </c>
      <c r="BD10" s="412">
        <f>PAS!BE65</f>
        <v>70</v>
      </c>
      <c r="BE10" s="412">
        <f>PAS!BF65</f>
        <v>70</v>
      </c>
      <c r="BF10" s="412" t="e">
        <f>PAS!BG65</f>
        <v>#N/A</v>
      </c>
      <c r="BG10" s="412" t="e">
        <f>PAS!BH65</f>
        <v>#N/A</v>
      </c>
      <c r="BH10" s="412" t="e">
        <f>PAS!BI65</f>
        <v>#N/A</v>
      </c>
      <c r="BI10" s="412" t="e">
        <f>PAS!BJ65</f>
        <v>#N/A</v>
      </c>
      <c r="BJ10" s="412" t="e">
        <f>PAS!BK65</f>
        <v>#N/A</v>
      </c>
      <c r="BK10" s="412" t="e">
        <f>PAS!BL65</f>
        <v>#N/A</v>
      </c>
      <c r="BL10" s="412" t="e">
        <f>PAS!BM65</f>
        <v>#N/A</v>
      </c>
      <c r="BM10" s="412">
        <f>PAS!BN65</f>
        <v>70</v>
      </c>
      <c r="BN10" s="412">
        <f>PAS!BO65</f>
        <v>70</v>
      </c>
      <c r="BO10" s="412" t="e">
        <f>PAS!BP65</f>
        <v>#N/A</v>
      </c>
      <c r="BP10" s="412" t="e">
        <f>PAS!BQ65</f>
        <v>#N/A</v>
      </c>
      <c r="BQ10" s="412" t="e">
        <f>PAS!BR65</f>
        <v>#N/A</v>
      </c>
      <c r="BR10" s="412" t="e">
        <f>PAS!BS65</f>
        <v>#N/A</v>
      </c>
      <c r="BS10" s="412">
        <f>PAS!BT65</f>
        <v>70</v>
      </c>
      <c r="BT10" s="412">
        <f>PAS!BU65</f>
        <v>70</v>
      </c>
      <c r="BU10" s="412" t="e">
        <f>PAS!BV65</f>
        <v>#N/A</v>
      </c>
      <c r="BV10" s="412" t="e">
        <f>PAS!BW65</f>
        <v>#N/A</v>
      </c>
      <c r="BW10" s="412" t="e">
        <f>PAS!BX65</f>
        <v>#N/A</v>
      </c>
      <c r="BX10" s="412">
        <f>PAS!BY65</f>
        <v>70</v>
      </c>
      <c r="BY10" s="412">
        <f>PAS!BZ65</f>
        <v>70</v>
      </c>
      <c r="BZ10" s="412" t="e">
        <f>PAS!CA65</f>
        <v>#N/A</v>
      </c>
      <c r="CA10" s="412" t="e">
        <f>PAS!CB65</f>
        <v>#N/A</v>
      </c>
      <c r="CB10" s="412" t="e">
        <f>PAS!CC65</f>
        <v>#N/A</v>
      </c>
      <c r="CC10" s="412" t="e">
        <f>PAS!CD65</f>
        <v>#N/A</v>
      </c>
    </row>
    <row r="11" spans="1:82" ht="20.25" customHeight="1">
      <c r="A11" s="113">
        <v>8</v>
      </c>
      <c r="B11" s="410" t="str">
        <f>SISWA!C13</f>
        <v>Anak 8</v>
      </c>
      <c r="C11" s="412">
        <f>PAS!D66</f>
        <v>100</v>
      </c>
      <c r="D11" s="412">
        <f>PAS!E66</f>
        <v>100</v>
      </c>
      <c r="E11" s="412">
        <f>PAS!F66</f>
        <v>100</v>
      </c>
      <c r="F11" s="412" t="e">
        <f>PAS!G66</f>
        <v>#N/A</v>
      </c>
      <c r="G11" s="412" t="e">
        <f>PAS!H66</f>
        <v>#N/A</v>
      </c>
      <c r="H11" s="412" t="e">
        <f>PAS!I66</f>
        <v>#N/A</v>
      </c>
      <c r="I11" s="412">
        <f>PAS!J66</f>
        <v>70</v>
      </c>
      <c r="J11" s="412">
        <f>PAS!K66</f>
        <v>80</v>
      </c>
      <c r="K11" s="412">
        <f>PAS!L66</f>
        <v>100</v>
      </c>
      <c r="L11" s="412">
        <f>PAS!M66</f>
        <v>100</v>
      </c>
      <c r="M11" s="412">
        <f>PAS!N66</f>
        <v>100</v>
      </c>
      <c r="N11" s="412" t="e">
        <f>PAS!O66</f>
        <v>#N/A</v>
      </c>
      <c r="O11" s="412" t="e">
        <f>PAS!P66</f>
        <v>#N/A</v>
      </c>
      <c r="P11" s="412" t="e">
        <f>PAS!Q66</f>
        <v>#N/A</v>
      </c>
      <c r="Q11" s="412">
        <f>PAS!R66</f>
        <v>70</v>
      </c>
      <c r="R11" s="412">
        <f>PAS!S66</f>
        <v>80</v>
      </c>
      <c r="S11" s="412" t="e">
        <f>PAS!T66</f>
        <v>#N/A</v>
      </c>
      <c r="T11" s="412" t="e">
        <f>PAS!U66</f>
        <v>#N/A</v>
      </c>
      <c r="U11" s="412" t="e">
        <f>PAS!V66</f>
        <v>#N/A</v>
      </c>
      <c r="V11" s="412" t="e">
        <f>PAS!W66</f>
        <v>#N/A</v>
      </c>
      <c r="W11" s="412" t="e">
        <f>PAS!X66</f>
        <v>#N/A</v>
      </c>
      <c r="X11" s="412" t="e">
        <f>PAS!Y66</f>
        <v>#N/A</v>
      </c>
      <c r="Y11" s="412">
        <f>PAS!Z66</f>
        <v>100</v>
      </c>
      <c r="Z11" s="412">
        <f>PAS!AA66</f>
        <v>100</v>
      </c>
      <c r="AA11" s="412">
        <f>PAS!AB66</f>
        <v>100</v>
      </c>
      <c r="AB11" s="412">
        <f>PAS!AC66</f>
        <v>100</v>
      </c>
      <c r="AC11" s="412" t="e">
        <f>PAS!AD66</f>
        <v>#N/A</v>
      </c>
      <c r="AD11" s="412" t="e">
        <f>PAS!AE66</f>
        <v>#N/A</v>
      </c>
      <c r="AE11" s="412">
        <f>PAS!AF66</f>
        <v>100</v>
      </c>
      <c r="AF11" s="412">
        <f>PAS!AG66</f>
        <v>100</v>
      </c>
      <c r="AG11" s="412">
        <f>PAS!AH66</f>
        <v>100</v>
      </c>
      <c r="AH11" s="412" t="e">
        <f>PAS!AI66</f>
        <v>#N/A</v>
      </c>
      <c r="AI11" s="412" t="e">
        <f>PAS!AJ66</f>
        <v>#N/A</v>
      </c>
      <c r="AJ11" s="412" t="e">
        <f>PAS!AK66</f>
        <v>#N/A</v>
      </c>
      <c r="AK11" s="412">
        <f>PAS!AL66</f>
        <v>100</v>
      </c>
      <c r="AL11" s="412">
        <f>PAS!AM66</f>
        <v>100</v>
      </c>
      <c r="AM11" s="412">
        <f>PAS!AN66</f>
        <v>100</v>
      </c>
      <c r="AN11" s="412" t="e">
        <f>PAS!AO66</f>
        <v>#N/A</v>
      </c>
      <c r="AO11" s="412" t="e">
        <f>PAS!AP66</f>
        <v>#N/A</v>
      </c>
      <c r="AP11" s="412" t="e">
        <f>PAS!AQ66</f>
        <v>#N/A</v>
      </c>
      <c r="AQ11" s="412">
        <f>PAS!AR66</f>
        <v>100</v>
      </c>
      <c r="AR11" s="412">
        <f>PAS!AS66</f>
        <v>100</v>
      </c>
      <c r="AS11" s="412">
        <f>PAS!AT66</f>
        <v>100</v>
      </c>
      <c r="AT11" s="412" t="e">
        <f>PAS!AU66</f>
        <v>#VALUE!</v>
      </c>
      <c r="AU11" s="412" t="e">
        <f>PAS!AV66</f>
        <v>#VALUE!</v>
      </c>
      <c r="AV11" s="412" t="e">
        <f>PAS!AW66</f>
        <v>#VALUE!</v>
      </c>
      <c r="AW11" s="412" t="e">
        <f>PAS!AX66</f>
        <v>#VALUE!</v>
      </c>
      <c r="AX11" s="412" t="e">
        <f>PAS!AY66</f>
        <v>#VALUE!</v>
      </c>
      <c r="AY11" s="412" t="e">
        <f>PAS!AZ66</f>
        <v>#N/A</v>
      </c>
      <c r="AZ11" s="412" t="e">
        <f>PAS!BA66</f>
        <v>#N/A</v>
      </c>
      <c r="BA11" s="412" t="e">
        <f>PAS!BB66</f>
        <v>#N/A</v>
      </c>
      <c r="BB11" s="412" t="e">
        <f>PAS!BC66</f>
        <v>#N/A</v>
      </c>
      <c r="BC11" s="412" t="e">
        <f>PAS!BD66</f>
        <v>#N/A</v>
      </c>
      <c r="BD11" s="412">
        <f>PAS!BE66</f>
        <v>70</v>
      </c>
      <c r="BE11" s="412">
        <f>PAS!BF66</f>
        <v>80</v>
      </c>
      <c r="BF11" s="412" t="e">
        <f>PAS!BG66</f>
        <v>#N/A</v>
      </c>
      <c r="BG11" s="412" t="e">
        <f>PAS!BH66</f>
        <v>#N/A</v>
      </c>
      <c r="BH11" s="412" t="e">
        <f>PAS!BI66</f>
        <v>#N/A</v>
      </c>
      <c r="BI11" s="412" t="e">
        <f>PAS!BJ66</f>
        <v>#N/A</v>
      </c>
      <c r="BJ11" s="412" t="e">
        <f>PAS!BK66</f>
        <v>#N/A</v>
      </c>
      <c r="BK11" s="412" t="e">
        <f>PAS!BL66</f>
        <v>#N/A</v>
      </c>
      <c r="BL11" s="412" t="e">
        <f>PAS!BM66</f>
        <v>#N/A</v>
      </c>
      <c r="BM11" s="412">
        <f>PAS!BN66</f>
        <v>70</v>
      </c>
      <c r="BN11" s="412">
        <f>PAS!BO66</f>
        <v>80</v>
      </c>
      <c r="BO11" s="412" t="e">
        <f>PAS!BP66</f>
        <v>#N/A</v>
      </c>
      <c r="BP11" s="412" t="e">
        <f>PAS!BQ66</f>
        <v>#N/A</v>
      </c>
      <c r="BQ11" s="412" t="e">
        <f>PAS!BR66</f>
        <v>#N/A</v>
      </c>
      <c r="BR11" s="412" t="e">
        <f>PAS!BS66</f>
        <v>#N/A</v>
      </c>
      <c r="BS11" s="412">
        <f>PAS!BT66</f>
        <v>70</v>
      </c>
      <c r="BT11" s="412">
        <f>PAS!BU66</f>
        <v>80</v>
      </c>
      <c r="BU11" s="412" t="e">
        <f>PAS!BV66</f>
        <v>#N/A</v>
      </c>
      <c r="BV11" s="412" t="e">
        <f>PAS!BW66</f>
        <v>#N/A</v>
      </c>
      <c r="BW11" s="412" t="e">
        <f>PAS!BX66</f>
        <v>#N/A</v>
      </c>
      <c r="BX11" s="412">
        <f>PAS!BY66</f>
        <v>70</v>
      </c>
      <c r="BY11" s="412">
        <f>PAS!BZ66</f>
        <v>80</v>
      </c>
      <c r="BZ11" s="412" t="e">
        <f>PAS!CA66</f>
        <v>#N/A</v>
      </c>
      <c r="CA11" s="412" t="e">
        <f>PAS!CB66</f>
        <v>#N/A</v>
      </c>
      <c r="CB11" s="412" t="e">
        <f>PAS!CC66</f>
        <v>#N/A</v>
      </c>
      <c r="CC11" s="412" t="e">
        <f>PAS!CD66</f>
        <v>#N/A</v>
      </c>
    </row>
    <row r="12" spans="1:82" ht="20.25" customHeight="1">
      <c r="A12" s="113">
        <v>9</v>
      </c>
      <c r="B12" s="410" t="str">
        <f>SISWA!C14</f>
        <v>Anak 9</v>
      </c>
      <c r="C12" s="412">
        <f>PAS!D67</f>
        <v>100</v>
      </c>
      <c r="D12" s="412">
        <f>PAS!E67</f>
        <v>100</v>
      </c>
      <c r="E12" s="412">
        <f>PAS!F67</f>
        <v>100</v>
      </c>
      <c r="F12" s="412" t="e">
        <f>PAS!G67</f>
        <v>#N/A</v>
      </c>
      <c r="G12" s="412" t="e">
        <f>PAS!H67</f>
        <v>#N/A</v>
      </c>
      <c r="H12" s="412" t="e">
        <f>PAS!I67</f>
        <v>#N/A</v>
      </c>
      <c r="I12" s="412">
        <f>PAS!J67</f>
        <v>80</v>
      </c>
      <c r="J12" s="412">
        <f>PAS!K67</f>
        <v>70</v>
      </c>
      <c r="K12" s="412">
        <f>PAS!L67</f>
        <v>100</v>
      </c>
      <c r="L12" s="412">
        <f>PAS!M67</f>
        <v>100</v>
      </c>
      <c r="M12" s="412">
        <f>PAS!N67</f>
        <v>100</v>
      </c>
      <c r="N12" s="412" t="e">
        <f>PAS!O67</f>
        <v>#N/A</v>
      </c>
      <c r="O12" s="412" t="e">
        <f>PAS!P67</f>
        <v>#N/A</v>
      </c>
      <c r="P12" s="412" t="e">
        <f>PAS!Q67</f>
        <v>#N/A</v>
      </c>
      <c r="Q12" s="412">
        <f>PAS!R67</f>
        <v>80</v>
      </c>
      <c r="R12" s="412">
        <f>PAS!S67</f>
        <v>70</v>
      </c>
      <c r="S12" s="412" t="e">
        <f>PAS!T67</f>
        <v>#N/A</v>
      </c>
      <c r="T12" s="412" t="e">
        <f>PAS!U67</f>
        <v>#N/A</v>
      </c>
      <c r="U12" s="412" t="e">
        <f>PAS!V67</f>
        <v>#N/A</v>
      </c>
      <c r="V12" s="412" t="e">
        <f>PAS!W67</f>
        <v>#N/A</v>
      </c>
      <c r="W12" s="412" t="e">
        <f>PAS!X67</f>
        <v>#N/A</v>
      </c>
      <c r="X12" s="412" t="e">
        <f>PAS!Y67</f>
        <v>#N/A</v>
      </c>
      <c r="Y12" s="412">
        <f>PAS!Z67</f>
        <v>100</v>
      </c>
      <c r="Z12" s="412">
        <f>PAS!AA67</f>
        <v>100</v>
      </c>
      <c r="AA12" s="412">
        <f>PAS!AB67</f>
        <v>100</v>
      </c>
      <c r="AB12" s="412">
        <f>PAS!AC67</f>
        <v>100</v>
      </c>
      <c r="AC12" s="412" t="e">
        <f>PAS!AD67</f>
        <v>#N/A</v>
      </c>
      <c r="AD12" s="412" t="e">
        <f>PAS!AE67</f>
        <v>#N/A</v>
      </c>
      <c r="AE12" s="412">
        <f>PAS!AF67</f>
        <v>100</v>
      </c>
      <c r="AF12" s="412">
        <f>PAS!AG67</f>
        <v>100</v>
      </c>
      <c r="AG12" s="412">
        <f>PAS!AH67</f>
        <v>100</v>
      </c>
      <c r="AH12" s="412" t="e">
        <f>PAS!AI67</f>
        <v>#N/A</v>
      </c>
      <c r="AI12" s="412" t="e">
        <f>PAS!AJ67</f>
        <v>#N/A</v>
      </c>
      <c r="AJ12" s="412" t="e">
        <f>PAS!AK67</f>
        <v>#N/A</v>
      </c>
      <c r="AK12" s="412">
        <f>PAS!AL67</f>
        <v>100</v>
      </c>
      <c r="AL12" s="412">
        <f>PAS!AM67</f>
        <v>100</v>
      </c>
      <c r="AM12" s="412">
        <f>PAS!AN67</f>
        <v>100</v>
      </c>
      <c r="AN12" s="412" t="e">
        <f>PAS!AO67</f>
        <v>#N/A</v>
      </c>
      <c r="AO12" s="412" t="e">
        <f>PAS!AP67</f>
        <v>#N/A</v>
      </c>
      <c r="AP12" s="412" t="e">
        <f>PAS!AQ67</f>
        <v>#N/A</v>
      </c>
      <c r="AQ12" s="412">
        <f>PAS!AR67</f>
        <v>100</v>
      </c>
      <c r="AR12" s="412">
        <f>PAS!AS67</f>
        <v>100</v>
      </c>
      <c r="AS12" s="412">
        <f>PAS!AT67</f>
        <v>100</v>
      </c>
      <c r="AT12" s="412" t="e">
        <f>PAS!AU67</f>
        <v>#VALUE!</v>
      </c>
      <c r="AU12" s="412" t="e">
        <f>PAS!AV67</f>
        <v>#VALUE!</v>
      </c>
      <c r="AV12" s="412" t="e">
        <f>PAS!AW67</f>
        <v>#VALUE!</v>
      </c>
      <c r="AW12" s="412" t="e">
        <f>PAS!AX67</f>
        <v>#VALUE!</v>
      </c>
      <c r="AX12" s="412" t="e">
        <f>PAS!AY67</f>
        <v>#VALUE!</v>
      </c>
      <c r="AY12" s="412" t="e">
        <f>PAS!AZ67</f>
        <v>#N/A</v>
      </c>
      <c r="AZ12" s="412" t="e">
        <f>PAS!BA67</f>
        <v>#N/A</v>
      </c>
      <c r="BA12" s="412" t="e">
        <f>PAS!BB67</f>
        <v>#N/A</v>
      </c>
      <c r="BB12" s="412" t="e">
        <f>PAS!BC67</f>
        <v>#N/A</v>
      </c>
      <c r="BC12" s="412" t="e">
        <f>PAS!BD67</f>
        <v>#N/A</v>
      </c>
      <c r="BD12" s="412">
        <f>PAS!BE67</f>
        <v>80</v>
      </c>
      <c r="BE12" s="412">
        <f>PAS!BF67</f>
        <v>70</v>
      </c>
      <c r="BF12" s="412" t="e">
        <f>PAS!BG67</f>
        <v>#N/A</v>
      </c>
      <c r="BG12" s="412" t="e">
        <f>PAS!BH67</f>
        <v>#N/A</v>
      </c>
      <c r="BH12" s="412" t="e">
        <f>PAS!BI67</f>
        <v>#N/A</v>
      </c>
      <c r="BI12" s="412" t="e">
        <f>PAS!BJ67</f>
        <v>#N/A</v>
      </c>
      <c r="BJ12" s="412" t="e">
        <f>PAS!BK67</f>
        <v>#N/A</v>
      </c>
      <c r="BK12" s="412" t="e">
        <f>PAS!BL67</f>
        <v>#N/A</v>
      </c>
      <c r="BL12" s="412" t="e">
        <f>PAS!BM67</f>
        <v>#N/A</v>
      </c>
      <c r="BM12" s="412">
        <f>PAS!BN67</f>
        <v>80</v>
      </c>
      <c r="BN12" s="412">
        <f>PAS!BO67</f>
        <v>70</v>
      </c>
      <c r="BO12" s="412" t="e">
        <f>PAS!BP67</f>
        <v>#N/A</v>
      </c>
      <c r="BP12" s="412" t="e">
        <f>PAS!BQ67</f>
        <v>#N/A</v>
      </c>
      <c r="BQ12" s="412" t="e">
        <f>PAS!BR67</f>
        <v>#N/A</v>
      </c>
      <c r="BR12" s="412" t="e">
        <f>PAS!BS67</f>
        <v>#N/A</v>
      </c>
      <c r="BS12" s="412">
        <f>PAS!BT67</f>
        <v>80</v>
      </c>
      <c r="BT12" s="412">
        <f>PAS!BU67</f>
        <v>70</v>
      </c>
      <c r="BU12" s="412" t="e">
        <f>PAS!BV67</f>
        <v>#N/A</v>
      </c>
      <c r="BV12" s="412" t="e">
        <f>PAS!BW67</f>
        <v>#N/A</v>
      </c>
      <c r="BW12" s="412" t="e">
        <f>PAS!BX67</f>
        <v>#N/A</v>
      </c>
      <c r="BX12" s="412">
        <f>PAS!BY67</f>
        <v>80</v>
      </c>
      <c r="BY12" s="412">
        <f>PAS!BZ67</f>
        <v>70</v>
      </c>
      <c r="BZ12" s="412" t="e">
        <f>PAS!CA67</f>
        <v>#N/A</v>
      </c>
      <c r="CA12" s="412" t="e">
        <f>PAS!CB67</f>
        <v>#N/A</v>
      </c>
      <c r="CB12" s="412" t="e">
        <f>PAS!CC67</f>
        <v>#N/A</v>
      </c>
      <c r="CC12" s="412" t="e">
        <f>PAS!CD67</f>
        <v>#N/A</v>
      </c>
    </row>
    <row r="13" spans="1:82" ht="20.25" customHeight="1">
      <c r="A13" s="113">
        <v>10</v>
      </c>
      <c r="B13" s="410" t="str">
        <f>SISWA!C15</f>
        <v>Anak 10</v>
      </c>
      <c r="C13" s="412">
        <f>PAS!D68</f>
        <v>100</v>
      </c>
      <c r="D13" s="412">
        <f>PAS!E68</f>
        <v>100</v>
      </c>
      <c r="E13" s="412">
        <f>PAS!F68</f>
        <v>100</v>
      </c>
      <c r="F13" s="412" t="e">
        <f>PAS!G68</f>
        <v>#N/A</v>
      </c>
      <c r="G13" s="412" t="e">
        <f>PAS!H68</f>
        <v>#N/A</v>
      </c>
      <c r="H13" s="412" t="e">
        <f>PAS!I68</f>
        <v>#N/A</v>
      </c>
      <c r="I13" s="412">
        <f>PAS!J68</f>
        <v>70</v>
      </c>
      <c r="J13" s="412">
        <f>PAS!K68</f>
        <v>70</v>
      </c>
      <c r="K13" s="412">
        <f>PAS!L68</f>
        <v>100</v>
      </c>
      <c r="L13" s="412">
        <f>PAS!M68</f>
        <v>100</v>
      </c>
      <c r="M13" s="412">
        <f>PAS!N68</f>
        <v>100</v>
      </c>
      <c r="N13" s="412" t="e">
        <f>PAS!O68</f>
        <v>#N/A</v>
      </c>
      <c r="O13" s="412" t="e">
        <f>PAS!P68</f>
        <v>#N/A</v>
      </c>
      <c r="P13" s="412" t="e">
        <f>PAS!Q68</f>
        <v>#N/A</v>
      </c>
      <c r="Q13" s="412">
        <f>PAS!R68</f>
        <v>70</v>
      </c>
      <c r="R13" s="412">
        <f>PAS!S68</f>
        <v>70</v>
      </c>
      <c r="S13" s="412" t="e">
        <f>PAS!T68</f>
        <v>#N/A</v>
      </c>
      <c r="T13" s="412" t="e">
        <f>PAS!U68</f>
        <v>#N/A</v>
      </c>
      <c r="U13" s="412" t="e">
        <f>PAS!V68</f>
        <v>#N/A</v>
      </c>
      <c r="V13" s="412" t="e">
        <f>PAS!W68</f>
        <v>#N/A</v>
      </c>
      <c r="W13" s="412" t="e">
        <f>PAS!X68</f>
        <v>#N/A</v>
      </c>
      <c r="X13" s="412" t="e">
        <f>PAS!Y68</f>
        <v>#N/A</v>
      </c>
      <c r="Y13" s="412">
        <f>PAS!Z68</f>
        <v>100</v>
      </c>
      <c r="Z13" s="412">
        <f>PAS!AA68</f>
        <v>100</v>
      </c>
      <c r="AA13" s="412">
        <f>PAS!AB68</f>
        <v>100</v>
      </c>
      <c r="AB13" s="412">
        <f>PAS!AC68</f>
        <v>100</v>
      </c>
      <c r="AC13" s="412" t="e">
        <f>PAS!AD68</f>
        <v>#N/A</v>
      </c>
      <c r="AD13" s="412" t="e">
        <f>PAS!AE68</f>
        <v>#N/A</v>
      </c>
      <c r="AE13" s="412">
        <f>PAS!AF68</f>
        <v>100</v>
      </c>
      <c r="AF13" s="412">
        <f>PAS!AG68</f>
        <v>100</v>
      </c>
      <c r="AG13" s="412">
        <f>PAS!AH68</f>
        <v>100</v>
      </c>
      <c r="AH13" s="412" t="e">
        <f>PAS!AI68</f>
        <v>#N/A</v>
      </c>
      <c r="AI13" s="412" t="e">
        <f>PAS!AJ68</f>
        <v>#N/A</v>
      </c>
      <c r="AJ13" s="412" t="e">
        <f>PAS!AK68</f>
        <v>#N/A</v>
      </c>
      <c r="AK13" s="412">
        <f>PAS!AL68</f>
        <v>100</v>
      </c>
      <c r="AL13" s="412">
        <f>PAS!AM68</f>
        <v>100</v>
      </c>
      <c r="AM13" s="412">
        <f>PAS!AN68</f>
        <v>100</v>
      </c>
      <c r="AN13" s="412" t="e">
        <f>PAS!AO68</f>
        <v>#N/A</v>
      </c>
      <c r="AO13" s="412" t="e">
        <f>PAS!AP68</f>
        <v>#N/A</v>
      </c>
      <c r="AP13" s="412" t="e">
        <f>PAS!AQ68</f>
        <v>#N/A</v>
      </c>
      <c r="AQ13" s="412">
        <f>PAS!AR68</f>
        <v>100</v>
      </c>
      <c r="AR13" s="412">
        <f>PAS!AS68</f>
        <v>100</v>
      </c>
      <c r="AS13" s="412">
        <f>PAS!AT68</f>
        <v>100</v>
      </c>
      <c r="AT13" s="412" t="e">
        <f>PAS!AU68</f>
        <v>#VALUE!</v>
      </c>
      <c r="AU13" s="412" t="e">
        <f>PAS!AV68</f>
        <v>#VALUE!</v>
      </c>
      <c r="AV13" s="412" t="e">
        <f>PAS!AW68</f>
        <v>#VALUE!</v>
      </c>
      <c r="AW13" s="412" t="e">
        <f>PAS!AX68</f>
        <v>#VALUE!</v>
      </c>
      <c r="AX13" s="412" t="e">
        <f>PAS!AY68</f>
        <v>#VALUE!</v>
      </c>
      <c r="AY13" s="412" t="e">
        <f>PAS!AZ68</f>
        <v>#N/A</v>
      </c>
      <c r="AZ13" s="412" t="e">
        <f>PAS!BA68</f>
        <v>#N/A</v>
      </c>
      <c r="BA13" s="412" t="e">
        <f>PAS!BB68</f>
        <v>#N/A</v>
      </c>
      <c r="BB13" s="412" t="e">
        <f>PAS!BC68</f>
        <v>#N/A</v>
      </c>
      <c r="BC13" s="412" t="e">
        <f>PAS!BD68</f>
        <v>#N/A</v>
      </c>
      <c r="BD13" s="412">
        <f>PAS!BE68</f>
        <v>70</v>
      </c>
      <c r="BE13" s="412">
        <f>PAS!BF68</f>
        <v>70</v>
      </c>
      <c r="BF13" s="412" t="e">
        <f>PAS!BG68</f>
        <v>#N/A</v>
      </c>
      <c r="BG13" s="412" t="e">
        <f>PAS!BH68</f>
        <v>#N/A</v>
      </c>
      <c r="BH13" s="412" t="e">
        <f>PAS!BI68</f>
        <v>#N/A</v>
      </c>
      <c r="BI13" s="412" t="e">
        <f>PAS!BJ68</f>
        <v>#N/A</v>
      </c>
      <c r="BJ13" s="412" t="e">
        <f>PAS!BK68</f>
        <v>#N/A</v>
      </c>
      <c r="BK13" s="412" t="e">
        <f>PAS!BL68</f>
        <v>#N/A</v>
      </c>
      <c r="BL13" s="412" t="e">
        <f>PAS!BM68</f>
        <v>#N/A</v>
      </c>
      <c r="BM13" s="412">
        <f>PAS!BN68</f>
        <v>70</v>
      </c>
      <c r="BN13" s="412">
        <f>PAS!BO68</f>
        <v>70</v>
      </c>
      <c r="BO13" s="412" t="e">
        <f>PAS!BP68</f>
        <v>#N/A</v>
      </c>
      <c r="BP13" s="412" t="e">
        <f>PAS!BQ68</f>
        <v>#N/A</v>
      </c>
      <c r="BQ13" s="412" t="e">
        <f>PAS!BR68</f>
        <v>#N/A</v>
      </c>
      <c r="BR13" s="412" t="e">
        <f>PAS!BS68</f>
        <v>#N/A</v>
      </c>
      <c r="BS13" s="412">
        <f>PAS!BT68</f>
        <v>70</v>
      </c>
      <c r="BT13" s="412">
        <f>PAS!BU68</f>
        <v>70</v>
      </c>
      <c r="BU13" s="412" t="e">
        <f>PAS!BV68</f>
        <v>#N/A</v>
      </c>
      <c r="BV13" s="412" t="e">
        <f>PAS!BW68</f>
        <v>#N/A</v>
      </c>
      <c r="BW13" s="412" t="e">
        <f>PAS!BX68</f>
        <v>#N/A</v>
      </c>
      <c r="BX13" s="412">
        <f>PAS!BY68</f>
        <v>70</v>
      </c>
      <c r="BY13" s="412">
        <f>PAS!BZ68</f>
        <v>70</v>
      </c>
      <c r="BZ13" s="412" t="e">
        <f>PAS!CA68</f>
        <v>#N/A</v>
      </c>
      <c r="CA13" s="412" t="e">
        <f>PAS!CB68</f>
        <v>#N/A</v>
      </c>
      <c r="CB13" s="412" t="e">
        <f>PAS!CC68</f>
        <v>#N/A</v>
      </c>
      <c r="CC13" s="412" t="e">
        <f>PAS!CD68</f>
        <v>#N/A</v>
      </c>
    </row>
    <row r="14" spans="1:82" ht="20.25" customHeight="1">
      <c r="A14" s="113">
        <v>11</v>
      </c>
      <c r="B14" s="410" t="str">
        <f>SISWA!C16</f>
        <v>Anak 11</v>
      </c>
      <c r="C14" s="412">
        <f>PAS!D69</f>
        <v>100</v>
      </c>
      <c r="D14" s="412">
        <f>PAS!E69</f>
        <v>100</v>
      </c>
      <c r="E14" s="412">
        <f>PAS!F69</f>
        <v>100</v>
      </c>
      <c r="F14" s="412" t="e">
        <f>PAS!G69</f>
        <v>#N/A</v>
      </c>
      <c r="G14" s="412" t="e">
        <f>PAS!H69</f>
        <v>#N/A</v>
      </c>
      <c r="H14" s="412" t="e">
        <f>PAS!I69</f>
        <v>#N/A</v>
      </c>
      <c r="I14" s="412">
        <f>PAS!J69</f>
        <v>70</v>
      </c>
      <c r="J14" s="412">
        <f>PAS!K69</f>
        <v>70</v>
      </c>
      <c r="K14" s="412">
        <f>PAS!L69</f>
        <v>100</v>
      </c>
      <c r="L14" s="412">
        <f>PAS!M69</f>
        <v>100</v>
      </c>
      <c r="M14" s="412">
        <f>PAS!N69</f>
        <v>100</v>
      </c>
      <c r="N14" s="412" t="e">
        <f>PAS!O69</f>
        <v>#N/A</v>
      </c>
      <c r="O14" s="412" t="e">
        <f>PAS!P69</f>
        <v>#N/A</v>
      </c>
      <c r="P14" s="412" t="e">
        <f>PAS!Q69</f>
        <v>#N/A</v>
      </c>
      <c r="Q14" s="412">
        <f>PAS!R69</f>
        <v>70</v>
      </c>
      <c r="R14" s="412">
        <f>PAS!S69</f>
        <v>70</v>
      </c>
      <c r="S14" s="412" t="e">
        <f>PAS!T69</f>
        <v>#N/A</v>
      </c>
      <c r="T14" s="412" t="e">
        <f>PAS!U69</f>
        <v>#N/A</v>
      </c>
      <c r="U14" s="412" t="e">
        <f>PAS!V69</f>
        <v>#N/A</v>
      </c>
      <c r="V14" s="412" t="e">
        <f>PAS!W69</f>
        <v>#N/A</v>
      </c>
      <c r="W14" s="412" t="e">
        <f>PAS!X69</f>
        <v>#N/A</v>
      </c>
      <c r="X14" s="412" t="e">
        <f>PAS!Y69</f>
        <v>#N/A</v>
      </c>
      <c r="Y14" s="412">
        <f>PAS!Z69</f>
        <v>100</v>
      </c>
      <c r="Z14" s="412">
        <f>PAS!AA69</f>
        <v>100</v>
      </c>
      <c r="AA14" s="412">
        <f>PAS!AB69</f>
        <v>100</v>
      </c>
      <c r="AB14" s="412">
        <f>PAS!AC69</f>
        <v>100</v>
      </c>
      <c r="AC14" s="412" t="e">
        <f>PAS!AD69</f>
        <v>#N/A</v>
      </c>
      <c r="AD14" s="412" t="e">
        <f>PAS!AE69</f>
        <v>#N/A</v>
      </c>
      <c r="AE14" s="412">
        <f>PAS!AF69</f>
        <v>100</v>
      </c>
      <c r="AF14" s="412">
        <f>PAS!AG69</f>
        <v>100</v>
      </c>
      <c r="AG14" s="412">
        <f>PAS!AH69</f>
        <v>100</v>
      </c>
      <c r="AH14" s="412" t="e">
        <f>PAS!AI69</f>
        <v>#N/A</v>
      </c>
      <c r="AI14" s="412" t="e">
        <f>PAS!AJ69</f>
        <v>#N/A</v>
      </c>
      <c r="AJ14" s="412" t="e">
        <f>PAS!AK69</f>
        <v>#N/A</v>
      </c>
      <c r="AK14" s="412">
        <f>PAS!AL69</f>
        <v>100</v>
      </c>
      <c r="AL14" s="412">
        <f>PAS!AM69</f>
        <v>100</v>
      </c>
      <c r="AM14" s="412">
        <f>PAS!AN69</f>
        <v>100</v>
      </c>
      <c r="AN14" s="412" t="e">
        <f>PAS!AO69</f>
        <v>#N/A</v>
      </c>
      <c r="AO14" s="412" t="e">
        <f>PAS!AP69</f>
        <v>#N/A</v>
      </c>
      <c r="AP14" s="412" t="e">
        <f>PAS!AQ69</f>
        <v>#N/A</v>
      </c>
      <c r="AQ14" s="412">
        <f>PAS!AR69</f>
        <v>100</v>
      </c>
      <c r="AR14" s="412">
        <f>PAS!AS69</f>
        <v>100</v>
      </c>
      <c r="AS14" s="412">
        <f>PAS!AT69</f>
        <v>100</v>
      </c>
      <c r="AT14" s="412" t="e">
        <f>PAS!AU69</f>
        <v>#VALUE!</v>
      </c>
      <c r="AU14" s="412" t="e">
        <f>PAS!AV69</f>
        <v>#VALUE!</v>
      </c>
      <c r="AV14" s="412" t="e">
        <f>PAS!AW69</f>
        <v>#VALUE!</v>
      </c>
      <c r="AW14" s="412" t="e">
        <f>PAS!AX69</f>
        <v>#VALUE!</v>
      </c>
      <c r="AX14" s="412" t="e">
        <f>PAS!AY69</f>
        <v>#VALUE!</v>
      </c>
      <c r="AY14" s="412" t="e">
        <f>PAS!AZ69</f>
        <v>#N/A</v>
      </c>
      <c r="AZ14" s="412" t="e">
        <f>PAS!BA69</f>
        <v>#N/A</v>
      </c>
      <c r="BA14" s="412" t="e">
        <f>PAS!BB69</f>
        <v>#N/A</v>
      </c>
      <c r="BB14" s="412" t="e">
        <f>PAS!BC69</f>
        <v>#N/A</v>
      </c>
      <c r="BC14" s="412" t="e">
        <f>PAS!BD69</f>
        <v>#N/A</v>
      </c>
      <c r="BD14" s="412">
        <f>PAS!BE69</f>
        <v>70</v>
      </c>
      <c r="BE14" s="412">
        <f>PAS!BF69</f>
        <v>70</v>
      </c>
      <c r="BF14" s="412" t="e">
        <f>PAS!BG69</f>
        <v>#N/A</v>
      </c>
      <c r="BG14" s="412" t="e">
        <f>PAS!BH69</f>
        <v>#N/A</v>
      </c>
      <c r="BH14" s="412" t="e">
        <f>PAS!BI69</f>
        <v>#N/A</v>
      </c>
      <c r="BI14" s="412" t="e">
        <f>PAS!BJ69</f>
        <v>#N/A</v>
      </c>
      <c r="BJ14" s="412" t="e">
        <f>PAS!BK69</f>
        <v>#N/A</v>
      </c>
      <c r="BK14" s="412" t="e">
        <f>PAS!BL69</f>
        <v>#N/A</v>
      </c>
      <c r="BL14" s="412" t="e">
        <f>PAS!BM69</f>
        <v>#N/A</v>
      </c>
      <c r="BM14" s="412">
        <f>PAS!BN69</f>
        <v>70</v>
      </c>
      <c r="BN14" s="412">
        <f>PAS!BO69</f>
        <v>70</v>
      </c>
      <c r="BO14" s="412" t="e">
        <f>PAS!BP69</f>
        <v>#N/A</v>
      </c>
      <c r="BP14" s="412" t="e">
        <f>PAS!BQ69</f>
        <v>#N/A</v>
      </c>
      <c r="BQ14" s="412" t="e">
        <f>PAS!BR69</f>
        <v>#N/A</v>
      </c>
      <c r="BR14" s="412" t="e">
        <f>PAS!BS69</f>
        <v>#N/A</v>
      </c>
      <c r="BS14" s="412">
        <f>PAS!BT69</f>
        <v>70</v>
      </c>
      <c r="BT14" s="412">
        <f>PAS!BU69</f>
        <v>70</v>
      </c>
      <c r="BU14" s="412" t="e">
        <f>PAS!BV69</f>
        <v>#N/A</v>
      </c>
      <c r="BV14" s="412" t="e">
        <f>PAS!BW69</f>
        <v>#N/A</v>
      </c>
      <c r="BW14" s="412" t="e">
        <f>PAS!BX69</f>
        <v>#N/A</v>
      </c>
      <c r="BX14" s="412">
        <f>PAS!BY69</f>
        <v>70</v>
      </c>
      <c r="BY14" s="412">
        <f>PAS!BZ69</f>
        <v>70</v>
      </c>
      <c r="BZ14" s="412" t="e">
        <f>PAS!CA69</f>
        <v>#N/A</v>
      </c>
      <c r="CA14" s="412" t="e">
        <f>PAS!CB69</f>
        <v>#N/A</v>
      </c>
      <c r="CB14" s="412" t="e">
        <f>PAS!CC69</f>
        <v>#N/A</v>
      </c>
      <c r="CC14" s="412" t="e">
        <f>PAS!CD69</f>
        <v>#N/A</v>
      </c>
    </row>
    <row r="15" spans="1:82" ht="20.25" customHeight="1">
      <c r="A15" s="113">
        <v>12</v>
      </c>
      <c r="B15" s="410" t="str">
        <f>SISWA!C17</f>
        <v>Anak 12</v>
      </c>
      <c r="C15" s="412">
        <f>PAS!D70</f>
        <v>100</v>
      </c>
      <c r="D15" s="412">
        <f>PAS!E70</f>
        <v>100</v>
      </c>
      <c r="E15" s="412">
        <f>PAS!F70</f>
        <v>100</v>
      </c>
      <c r="F15" s="412" t="e">
        <f>PAS!G70</f>
        <v>#N/A</v>
      </c>
      <c r="G15" s="412" t="e">
        <f>PAS!H70</f>
        <v>#N/A</v>
      </c>
      <c r="H15" s="412" t="e">
        <f>PAS!I70</f>
        <v>#N/A</v>
      </c>
      <c r="I15" s="412">
        <f>PAS!J70</f>
        <v>70</v>
      </c>
      <c r="J15" s="412">
        <f>PAS!K70</f>
        <v>85</v>
      </c>
      <c r="K15" s="412">
        <f>PAS!L70</f>
        <v>100</v>
      </c>
      <c r="L15" s="412">
        <f>PAS!M70</f>
        <v>100</v>
      </c>
      <c r="M15" s="412">
        <f>PAS!N70</f>
        <v>100</v>
      </c>
      <c r="N15" s="412" t="e">
        <f>PAS!O70</f>
        <v>#N/A</v>
      </c>
      <c r="O15" s="412" t="e">
        <f>PAS!P70</f>
        <v>#N/A</v>
      </c>
      <c r="P15" s="412" t="e">
        <f>PAS!Q70</f>
        <v>#N/A</v>
      </c>
      <c r="Q15" s="412">
        <f>PAS!R70</f>
        <v>70</v>
      </c>
      <c r="R15" s="412">
        <f>PAS!S70</f>
        <v>85</v>
      </c>
      <c r="S15" s="412" t="e">
        <f>PAS!T70</f>
        <v>#N/A</v>
      </c>
      <c r="T15" s="412" t="e">
        <f>PAS!U70</f>
        <v>#N/A</v>
      </c>
      <c r="U15" s="412" t="e">
        <f>PAS!V70</f>
        <v>#N/A</v>
      </c>
      <c r="V15" s="412" t="e">
        <f>PAS!W70</f>
        <v>#N/A</v>
      </c>
      <c r="W15" s="412" t="e">
        <f>PAS!X70</f>
        <v>#N/A</v>
      </c>
      <c r="X15" s="412" t="e">
        <f>PAS!Y70</f>
        <v>#N/A</v>
      </c>
      <c r="Y15" s="412">
        <f>PAS!Z70</f>
        <v>100</v>
      </c>
      <c r="Z15" s="412">
        <f>PAS!AA70</f>
        <v>100</v>
      </c>
      <c r="AA15" s="412">
        <f>PAS!AB70</f>
        <v>100</v>
      </c>
      <c r="AB15" s="412">
        <f>PAS!AC70</f>
        <v>100</v>
      </c>
      <c r="AC15" s="412" t="e">
        <f>PAS!AD70</f>
        <v>#N/A</v>
      </c>
      <c r="AD15" s="412" t="e">
        <f>PAS!AE70</f>
        <v>#N/A</v>
      </c>
      <c r="AE15" s="412">
        <f>PAS!AF70</f>
        <v>100</v>
      </c>
      <c r="AF15" s="412">
        <f>PAS!AG70</f>
        <v>100</v>
      </c>
      <c r="AG15" s="412">
        <f>PAS!AH70</f>
        <v>100</v>
      </c>
      <c r="AH15" s="412" t="e">
        <f>PAS!AI70</f>
        <v>#N/A</v>
      </c>
      <c r="AI15" s="412" t="e">
        <f>PAS!AJ70</f>
        <v>#N/A</v>
      </c>
      <c r="AJ15" s="412" t="e">
        <f>PAS!AK70</f>
        <v>#N/A</v>
      </c>
      <c r="AK15" s="412">
        <f>PAS!AL70</f>
        <v>100</v>
      </c>
      <c r="AL15" s="412">
        <f>PAS!AM70</f>
        <v>100</v>
      </c>
      <c r="AM15" s="412">
        <f>PAS!AN70</f>
        <v>100</v>
      </c>
      <c r="AN15" s="412" t="e">
        <f>PAS!AO70</f>
        <v>#N/A</v>
      </c>
      <c r="AO15" s="412" t="e">
        <f>PAS!AP70</f>
        <v>#N/A</v>
      </c>
      <c r="AP15" s="412" t="e">
        <f>PAS!AQ70</f>
        <v>#N/A</v>
      </c>
      <c r="AQ15" s="412">
        <f>PAS!AR70</f>
        <v>100</v>
      </c>
      <c r="AR15" s="412">
        <f>PAS!AS70</f>
        <v>100</v>
      </c>
      <c r="AS15" s="412">
        <f>PAS!AT70</f>
        <v>100</v>
      </c>
      <c r="AT15" s="412" t="e">
        <f>PAS!AU70</f>
        <v>#VALUE!</v>
      </c>
      <c r="AU15" s="412" t="e">
        <f>PAS!AV70</f>
        <v>#VALUE!</v>
      </c>
      <c r="AV15" s="412" t="e">
        <f>PAS!AW70</f>
        <v>#VALUE!</v>
      </c>
      <c r="AW15" s="412" t="e">
        <f>PAS!AX70</f>
        <v>#VALUE!</v>
      </c>
      <c r="AX15" s="412" t="e">
        <f>PAS!AY70</f>
        <v>#VALUE!</v>
      </c>
      <c r="AY15" s="412" t="e">
        <f>PAS!AZ70</f>
        <v>#N/A</v>
      </c>
      <c r="AZ15" s="412" t="e">
        <f>PAS!BA70</f>
        <v>#N/A</v>
      </c>
      <c r="BA15" s="412" t="e">
        <f>PAS!BB70</f>
        <v>#N/A</v>
      </c>
      <c r="BB15" s="412" t="e">
        <f>PAS!BC70</f>
        <v>#N/A</v>
      </c>
      <c r="BC15" s="412" t="e">
        <f>PAS!BD70</f>
        <v>#N/A</v>
      </c>
      <c r="BD15" s="412">
        <f>PAS!BE70</f>
        <v>70</v>
      </c>
      <c r="BE15" s="412">
        <f>PAS!BF70</f>
        <v>85</v>
      </c>
      <c r="BF15" s="412" t="e">
        <f>PAS!BG70</f>
        <v>#N/A</v>
      </c>
      <c r="BG15" s="412" t="e">
        <f>PAS!BH70</f>
        <v>#N/A</v>
      </c>
      <c r="BH15" s="412" t="e">
        <f>PAS!BI70</f>
        <v>#N/A</v>
      </c>
      <c r="BI15" s="412" t="e">
        <f>PAS!BJ70</f>
        <v>#N/A</v>
      </c>
      <c r="BJ15" s="412" t="e">
        <f>PAS!BK70</f>
        <v>#N/A</v>
      </c>
      <c r="BK15" s="412" t="e">
        <f>PAS!BL70</f>
        <v>#N/A</v>
      </c>
      <c r="BL15" s="412" t="e">
        <f>PAS!BM70</f>
        <v>#N/A</v>
      </c>
      <c r="BM15" s="412">
        <f>PAS!BN70</f>
        <v>70</v>
      </c>
      <c r="BN15" s="412">
        <f>PAS!BO70</f>
        <v>85</v>
      </c>
      <c r="BO15" s="412" t="e">
        <f>PAS!BP70</f>
        <v>#N/A</v>
      </c>
      <c r="BP15" s="412" t="e">
        <f>PAS!BQ70</f>
        <v>#N/A</v>
      </c>
      <c r="BQ15" s="412" t="e">
        <f>PAS!BR70</f>
        <v>#N/A</v>
      </c>
      <c r="BR15" s="412" t="e">
        <f>PAS!BS70</f>
        <v>#N/A</v>
      </c>
      <c r="BS15" s="412">
        <f>PAS!BT70</f>
        <v>70</v>
      </c>
      <c r="BT15" s="412">
        <f>PAS!BU70</f>
        <v>85</v>
      </c>
      <c r="BU15" s="412" t="e">
        <f>PAS!BV70</f>
        <v>#N/A</v>
      </c>
      <c r="BV15" s="412" t="e">
        <f>PAS!BW70</f>
        <v>#N/A</v>
      </c>
      <c r="BW15" s="412" t="e">
        <f>PAS!BX70</f>
        <v>#N/A</v>
      </c>
      <c r="BX15" s="412">
        <f>PAS!BY70</f>
        <v>70</v>
      </c>
      <c r="BY15" s="412">
        <f>PAS!BZ70</f>
        <v>85</v>
      </c>
      <c r="BZ15" s="412" t="e">
        <f>PAS!CA70</f>
        <v>#N/A</v>
      </c>
      <c r="CA15" s="412" t="e">
        <f>PAS!CB70</f>
        <v>#N/A</v>
      </c>
      <c r="CB15" s="412" t="e">
        <f>PAS!CC70</f>
        <v>#N/A</v>
      </c>
      <c r="CC15" s="412" t="e">
        <f>PAS!CD70</f>
        <v>#N/A</v>
      </c>
    </row>
    <row r="16" spans="1:82" ht="20.25" customHeight="1">
      <c r="A16" s="113">
        <v>13</v>
      </c>
      <c r="B16" s="410" t="str">
        <f>SISWA!C18</f>
        <v>Anak 13</v>
      </c>
      <c r="C16" s="412">
        <f>PAS!D71</f>
        <v>100</v>
      </c>
      <c r="D16" s="412">
        <f>PAS!E71</f>
        <v>100</v>
      </c>
      <c r="E16" s="412">
        <f>PAS!F71</f>
        <v>100</v>
      </c>
      <c r="F16" s="412" t="e">
        <f>PAS!G71</f>
        <v>#N/A</v>
      </c>
      <c r="G16" s="412" t="e">
        <f>PAS!H71</f>
        <v>#N/A</v>
      </c>
      <c r="H16" s="412" t="e">
        <f>PAS!I71</f>
        <v>#N/A</v>
      </c>
      <c r="I16" s="412">
        <f>PAS!J71</f>
        <v>85</v>
      </c>
      <c r="J16" s="412">
        <f>PAS!K71</f>
        <v>75</v>
      </c>
      <c r="K16" s="412">
        <f>PAS!L71</f>
        <v>100</v>
      </c>
      <c r="L16" s="412">
        <f>PAS!M71</f>
        <v>100</v>
      </c>
      <c r="M16" s="412">
        <f>PAS!N71</f>
        <v>100</v>
      </c>
      <c r="N16" s="412" t="e">
        <f>PAS!O71</f>
        <v>#N/A</v>
      </c>
      <c r="O16" s="412" t="e">
        <f>PAS!P71</f>
        <v>#N/A</v>
      </c>
      <c r="P16" s="412" t="e">
        <f>PAS!Q71</f>
        <v>#N/A</v>
      </c>
      <c r="Q16" s="412">
        <f>PAS!R71</f>
        <v>85</v>
      </c>
      <c r="R16" s="412">
        <f>PAS!S71</f>
        <v>75</v>
      </c>
      <c r="S16" s="412" t="e">
        <f>PAS!T71</f>
        <v>#N/A</v>
      </c>
      <c r="T16" s="412" t="e">
        <f>PAS!U71</f>
        <v>#N/A</v>
      </c>
      <c r="U16" s="412" t="e">
        <f>PAS!V71</f>
        <v>#N/A</v>
      </c>
      <c r="V16" s="412" t="e">
        <f>PAS!W71</f>
        <v>#N/A</v>
      </c>
      <c r="W16" s="412" t="e">
        <f>PAS!X71</f>
        <v>#N/A</v>
      </c>
      <c r="X16" s="412" t="e">
        <f>PAS!Y71</f>
        <v>#N/A</v>
      </c>
      <c r="Y16" s="412">
        <f>PAS!Z71</f>
        <v>100</v>
      </c>
      <c r="Z16" s="412">
        <f>PAS!AA71</f>
        <v>100</v>
      </c>
      <c r="AA16" s="412">
        <f>PAS!AB71</f>
        <v>100</v>
      </c>
      <c r="AB16" s="412">
        <f>PAS!AC71</f>
        <v>100</v>
      </c>
      <c r="AC16" s="412" t="e">
        <f>PAS!AD71</f>
        <v>#N/A</v>
      </c>
      <c r="AD16" s="412" t="e">
        <f>PAS!AE71</f>
        <v>#N/A</v>
      </c>
      <c r="AE16" s="412">
        <f>PAS!AF71</f>
        <v>100</v>
      </c>
      <c r="AF16" s="412">
        <f>PAS!AG71</f>
        <v>100</v>
      </c>
      <c r="AG16" s="412">
        <f>PAS!AH71</f>
        <v>100</v>
      </c>
      <c r="AH16" s="412" t="e">
        <f>PAS!AI71</f>
        <v>#N/A</v>
      </c>
      <c r="AI16" s="412" t="e">
        <f>PAS!AJ71</f>
        <v>#N/A</v>
      </c>
      <c r="AJ16" s="412" t="e">
        <f>PAS!AK71</f>
        <v>#N/A</v>
      </c>
      <c r="AK16" s="412">
        <f>PAS!AL71</f>
        <v>100</v>
      </c>
      <c r="AL16" s="412">
        <f>PAS!AM71</f>
        <v>100</v>
      </c>
      <c r="AM16" s="412">
        <f>PAS!AN71</f>
        <v>100</v>
      </c>
      <c r="AN16" s="412" t="e">
        <f>PAS!AO71</f>
        <v>#N/A</v>
      </c>
      <c r="AO16" s="412" t="e">
        <f>PAS!AP71</f>
        <v>#N/A</v>
      </c>
      <c r="AP16" s="412" t="e">
        <f>PAS!AQ71</f>
        <v>#N/A</v>
      </c>
      <c r="AQ16" s="412">
        <f>PAS!AR71</f>
        <v>100</v>
      </c>
      <c r="AR16" s="412">
        <f>PAS!AS71</f>
        <v>100</v>
      </c>
      <c r="AS16" s="412">
        <f>PAS!AT71</f>
        <v>100</v>
      </c>
      <c r="AT16" s="412" t="e">
        <f>PAS!AU71</f>
        <v>#VALUE!</v>
      </c>
      <c r="AU16" s="412" t="e">
        <f>PAS!AV71</f>
        <v>#VALUE!</v>
      </c>
      <c r="AV16" s="412" t="e">
        <f>PAS!AW71</f>
        <v>#VALUE!</v>
      </c>
      <c r="AW16" s="412" t="e">
        <f>PAS!AX71</f>
        <v>#VALUE!</v>
      </c>
      <c r="AX16" s="412" t="e">
        <f>PAS!AY71</f>
        <v>#VALUE!</v>
      </c>
      <c r="AY16" s="412" t="e">
        <f>PAS!AZ71</f>
        <v>#N/A</v>
      </c>
      <c r="AZ16" s="412" t="e">
        <f>PAS!BA71</f>
        <v>#N/A</v>
      </c>
      <c r="BA16" s="412" t="e">
        <f>PAS!BB71</f>
        <v>#N/A</v>
      </c>
      <c r="BB16" s="412" t="e">
        <f>PAS!BC71</f>
        <v>#N/A</v>
      </c>
      <c r="BC16" s="412" t="e">
        <f>PAS!BD71</f>
        <v>#N/A</v>
      </c>
      <c r="BD16" s="412">
        <f>PAS!BE71</f>
        <v>85</v>
      </c>
      <c r="BE16" s="412">
        <f>PAS!BF71</f>
        <v>75</v>
      </c>
      <c r="BF16" s="412" t="e">
        <f>PAS!BG71</f>
        <v>#N/A</v>
      </c>
      <c r="BG16" s="412" t="e">
        <f>PAS!BH71</f>
        <v>#N/A</v>
      </c>
      <c r="BH16" s="412" t="e">
        <f>PAS!BI71</f>
        <v>#N/A</v>
      </c>
      <c r="BI16" s="412" t="e">
        <f>PAS!BJ71</f>
        <v>#N/A</v>
      </c>
      <c r="BJ16" s="412" t="e">
        <f>PAS!BK71</f>
        <v>#N/A</v>
      </c>
      <c r="BK16" s="412" t="e">
        <f>PAS!BL71</f>
        <v>#N/A</v>
      </c>
      <c r="BL16" s="412" t="e">
        <f>PAS!BM71</f>
        <v>#N/A</v>
      </c>
      <c r="BM16" s="412">
        <f>PAS!BN71</f>
        <v>85</v>
      </c>
      <c r="BN16" s="412">
        <f>PAS!BO71</f>
        <v>75</v>
      </c>
      <c r="BO16" s="412" t="e">
        <f>PAS!BP71</f>
        <v>#N/A</v>
      </c>
      <c r="BP16" s="412" t="e">
        <f>PAS!BQ71</f>
        <v>#N/A</v>
      </c>
      <c r="BQ16" s="412" t="e">
        <f>PAS!BR71</f>
        <v>#N/A</v>
      </c>
      <c r="BR16" s="412" t="e">
        <f>PAS!BS71</f>
        <v>#N/A</v>
      </c>
      <c r="BS16" s="412">
        <f>PAS!BT71</f>
        <v>85</v>
      </c>
      <c r="BT16" s="412">
        <f>PAS!BU71</f>
        <v>75</v>
      </c>
      <c r="BU16" s="412" t="e">
        <f>PAS!BV71</f>
        <v>#N/A</v>
      </c>
      <c r="BV16" s="412" t="e">
        <f>PAS!BW71</f>
        <v>#N/A</v>
      </c>
      <c r="BW16" s="412" t="e">
        <f>PAS!BX71</f>
        <v>#N/A</v>
      </c>
      <c r="BX16" s="412">
        <f>PAS!BY71</f>
        <v>85</v>
      </c>
      <c r="BY16" s="412">
        <f>PAS!BZ71</f>
        <v>75</v>
      </c>
      <c r="BZ16" s="412" t="e">
        <f>PAS!CA71</f>
        <v>#N/A</v>
      </c>
      <c r="CA16" s="412" t="e">
        <f>PAS!CB71</f>
        <v>#N/A</v>
      </c>
      <c r="CB16" s="412" t="e">
        <f>PAS!CC71</f>
        <v>#N/A</v>
      </c>
      <c r="CC16" s="412" t="e">
        <f>PAS!CD71</f>
        <v>#N/A</v>
      </c>
    </row>
    <row r="17" spans="1:81" ht="20.25" customHeight="1">
      <c r="A17" s="113">
        <v>14</v>
      </c>
      <c r="B17" s="410" t="str">
        <f>SISWA!C19</f>
        <v>Anak 14</v>
      </c>
      <c r="C17" s="412">
        <f>PAS!D72</f>
        <v>100</v>
      </c>
      <c r="D17" s="412">
        <f>PAS!E72</f>
        <v>100</v>
      </c>
      <c r="E17" s="412">
        <f>PAS!F72</f>
        <v>100</v>
      </c>
      <c r="F17" s="412" t="e">
        <f>PAS!G72</f>
        <v>#N/A</v>
      </c>
      <c r="G17" s="412" t="e">
        <f>PAS!H72</f>
        <v>#N/A</v>
      </c>
      <c r="H17" s="412" t="e">
        <f>PAS!I72</f>
        <v>#N/A</v>
      </c>
      <c r="I17" s="412">
        <f>PAS!J72</f>
        <v>75</v>
      </c>
      <c r="J17" s="412">
        <f>PAS!K72</f>
        <v>80</v>
      </c>
      <c r="K17" s="412">
        <f>PAS!L72</f>
        <v>100</v>
      </c>
      <c r="L17" s="412">
        <f>PAS!M72</f>
        <v>100</v>
      </c>
      <c r="M17" s="412">
        <f>PAS!N72</f>
        <v>100</v>
      </c>
      <c r="N17" s="412" t="e">
        <f>PAS!O72</f>
        <v>#N/A</v>
      </c>
      <c r="O17" s="412" t="e">
        <f>PAS!P72</f>
        <v>#N/A</v>
      </c>
      <c r="P17" s="412" t="e">
        <f>PAS!Q72</f>
        <v>#N/A</v>
      </c>
      <c r="Q17" s="412">
        <f>PAS!R72</f>
        <v>75</v>
      </c>
      <c r="R17" s="412">
        <f>PAS!S72</f>
        <v>80</v>
      </c>
      <c r="S17" s="412" t="e">
        <f>PAS!T72</f>
        <v>#N/A</v>
      </c>
      <c r="T17" s="412" t="e">
        <f>PAS!U72</f>
        <v>#N/A</v>
      </c>
      <c r="U17" s="412" t="e">
        <f>PAS!V72</f>
        <v>#N/A</v>
      </c>
      <c r="V17" s="412" t="e">
        <f>PAS!W72</f>
        <v>#N/A</v>
      </c>
      <c r="W17" s="412" t="e">
        <f>PAS!X72</f>
        <v>#N/A</v>
      </c>
      <c r="X17" s="412" t="e">
        <f>PAS!Y72</f>
        <v>#N/A</v>
      </c>
      <c r="Y17" s="412">
        <f>PAS!Z72</f>
        <v>100</v>
      </c>
      <c r="Z17" s="412">
        <f>PAS!AA72</f>
        <v>100</v>
      </c>
      <c r="AA17" s="412">
        <f>PAS!AB72</f>
        <v>100</v>
      </c>
      <c r="AB17" s="412">
        <f>PAS!AC72</f>
        <v>100</v>
      </c>
      <c r="AC17" s="412" t="e">
        <f>PAS!AD72</f>
        <v>#N/A</v>
      </c>
      <c r="AD17" s="412" t="e">
        <f>PAS!AE72</f>
        <v>#N/A</v>
      </c>
      <c r="AE17" s="412">
        <f>PAS!AF72</f>
        <v>100</v>
      </c>
      <c r="AF17" s="412">
        <f>PAS!AG72</f>
        <v>100</v>
      </c>
      <c r="AG17" s="412">
        <f>PAS!AH72</f>
        <v>100</v>
      </c>
      <c r="AH17" s="412" t="e">
        <f>PAS!AI72</f>
        <v>#N/A</v>
      </c>
      <c r="AI17" s="412" t="e">
        <f>PAS!AJ72</f>
        <v>#N/A</v>
      </c>
      <c r="AJ17" s="412" t="e">
        <f>PAS!AK72</f>
        <v>#N/A</v>
      </c>
      <c r="AK17" s="412">
        <f>PAS!AL72</f>
        <v>100</v>
      </c>
      <c r="AL17" s="412">
        <f>PAS!AM72</f>
        <v>100</v>
      </c>
      <c r="AM17" s="412">
        <f>PAS!AN72</f>
        <v>100</v>
      </c>
      <c r="AN17" s="412" t="e">
        <f>PAS!AO72</f>
        <v>#N/A</v>
      </c>
      <c r="AO17" s="412" t="e">
        <f>PAS!AP72</f>
        <v>#N/A</v>
      </c>
      <c r="AP17" s="412" t="e">
        <f>PAS!AQ72</f>
        <v>#N/A</v>
      </c>
      <c r="AQ17" s="412">
        <f>PAS!AR72</f>
        <v>100</v>
      </c>
      <c r="AR17" s="412">
        <f>PAS!AS72</f>
        <v>100</v>
      </c>
      <c r="AS17" s="412">
        <f>PAS!AT72</f>
        <v>100</v>
      </c>
      <c r="AT17" s="412" t="e">
        <f>PAS!AU72</f>
        <v>#VALUE!</v>
      </c>
      <c r="AU17" s="412" t="e">
        <f>PAS!AV72</f>
        <v>#VALUE!</v>
      </c>
      <c r="AV17" s="412" t="e">
        <f>PAS!AW72</f>
        <v>#VALUE!</v>
      </c>
      <c r="AW17" s="412" t="e">
        <f>PAS!AX72</f>
        <v>#VALUE!</v>
      </c>
      <c r="AX17" s="412" t="e">
        <f>PAS!AY72</f>
        <v>#VALUE!</v>
      </c>
      <c r="AY17" s="412" t="e">
        <f>PAS!AZ72</f>
        <v>#N/A</v>
      </c>
      <c r="AZ17" s="412" t="e">
        <f>PAS!BA72</f>
        <v>#N/A</v>
      </c>
      <c r="BA17" s="412" t="e">
        <f>PAS!BB72</f>
        <v>#N/A</v>
      </c>
      <c r="BB17" s="412" t="e">
        <f>PAS!BC72</f>
        <v>#N/A</v>
      </c>
      <c r="BC17" s="412" t="e">
        <f>PAS!BD72</f>
        <v>#N/A</v>
      </c>
      <c r="BD17" s="412">
        <f>PAS!BE72</f>
        <v>75</v>
      </c>
      <c r="BE17" s="412">
        <f>PAS!BF72</f>
        <v>80</v>
      </c>
      <c r="BF17" s="412" t="e">
        <f>PAS!BG72</f>
        <v>#N/A</v>
      </c>
      <c r="BG17" s="412" t="e">
        <f>PAS!BH72</f>
        <v>#N/A</v>
      </c>
      <c r="BH17" s="412" t="e">
        <f>PAS!BI72</f>
        <v>#N/A</v>
      </c>
      <c r="BI17" s="412" t="e">
        <f>PAS!BJ72</f>
        <v>#N/A</v>
      </c>
      <c r="BJ17" s="412" t="e">
        <f>PAS!BK72</f>
        <v>#N/A</v>
      </c>
      <c r="BK17" s="412" t="e">
        <f>PAS!BL72</f>
        <v>#N/A</v>
      </c>
      <c r="BL17" s="412" t="e">
        <f>PAS!BM72</f>
        <v>#N/A</v>
      </c>
      <c r="BM17" s="412">
        <f>PAS!BN72</f>
        <v>75</v>
      </c>
      <c r="BN17" s="412">
        <f>PAS!BO72</f>
        <v>80</v>
      </c>
      <c r="BO17" s="412" t="e">
        <f>PAS!BP72</f>
        <v>#N/A</v>
      </c>
      <c r="BP17" s="412" t="e">
        <f>PAS!BQ72</f>
        <v>#N/A</v>
      </c>
      <c r="BQ17" s="412" t="e">
        <f>PAS!BR72</f>
        <v>#N/A</v>
      </c>
      <c r="BR17" s="412" t="e">
        <f>PAS!BS72</f>
        <v>#N/A</v>
      </c>
      <c r="BS17" s="412">
        <f>PAS!BT72</f>
        <v>75</v>
      </c>
      <c r="BT17" s="412">
        <f>PAS!BU72</f>
        <v>80</v>
      </c>
      <c r="BU17" s="412" t="e">
        <f>PAS!BV72</f>
        <v>#N/A</v>
      </c>
      <c r="BV17" s="412" t="e">
        <f>PAS!BW72</f>
        <v>#N/A</v>
      </c>
      <c r="BW17" s="412" t="e">
        <f>PAS!BX72</f>
        <v>#N/A</v>
      </c>
      <c r="BX17" s="412">
        <f>PAS!BY72</f>
        <v>75</v>
      </c>
      <c r="BY17" s="412">
        <f>PAS!BZ72</f>
        <v>80</v>
      </c>
      <c r="BZ17" s="412" t="e">
        <f>PAS!CA72</f>
        <v>#N/A</v>
      </c>
      <c r="CA17" s="412" t="e">
        <f>PAS!CB72</f>
        <v>#N/A</v>
      </c>
      <c r="CB17" s="412" t="e">
        <f>PAS!CC72</f>
        <v>#N/A</v>
      </c>
      <c r="CC17" s="412" t="e">
        <f>PAS!CD72</f>
        <v>#N/A</v>
      </c>
    </row>
    <row r="18" spans="1:81" ht="20.25" customHeight="1">
      <c r="A18" s="113">
        <v>15</v>
      </c>
      <c r="B18" s="410" t="str">
        <f>SISWA!C20</f>
        <v>Anak 15</v>
      </c>
      <c r="C18" s="412">
        <f>PAS!D73</f>
        <v>100</v>
      </c>
      <c r="D18" s="412">
        <f>PAS!E73</f>
        <v>100</v>
      </c>
      <c r="E18" s="412">
        <f>PAS!F73</f>
        <v>100</v>
      </c>
      <c r="F18" s="412" t="e">
        <f>PAS!G73</f>
        <v>#N/A</v>
      </c>
      <c r="G18" s="412" t="e">
        <f>PAS!H73</f>
        <v>#N/A</v>
      </c>
      <c r="H18" s="412" t="e">
        <f>PAS!I73</f>
        <v>#N/A</v>
      </c>
      <c r="I18" s="412">
        <f>PAS!J73</f>
        <v>80</v>
      </c>
      <c r="J18" s="412">
        <f>PAS!K73</f>
        <v>80</v>
      </c>
      <c r="K18" s="412">
        <f>PAS!L73</f>
        <v>100</v>
      </c>
      <c r="L18" s="412">
        <f>PAS!M73</f>
        <v>100</v>
      </c>
      <c r="M18" s="412">
        <f>PAS!N73</f>
        <v>100</v>
      </c>
      <c r="N18" s="412" t="e">
        <f>PAS!O73</f>
        <v>#N/A</v>
      </c>
      <c r="O18" s="412" t="e">
        <f>PAS!P73</f>
        <v>#N/A</v>
      </c>
      <c r="P18" s="412" t="e">
        <f>PAS!Q73</f>
        <v>#N/A</v>
      </c>
      <c r="Q18" s="412">
        <f>PAS!R73</f>
        <v>80</v>
      </c>
      <c r="R18" s="412">
        <f>PAS!S73</f>
        <v>80</v>
      </c>
      <c r="S18" s="412" t="e">
        <f>PAS!T73</f>
        <v>#N/A</v>
      </c>
      <c r="T18" s="412" t="e">
        <f>PAS!U73</f>
        <v>#N/A</v>
      </c>
      <c r="U18" s="412" t="e">
        <f>PAS!V73</f>
        <v>#N/A</v>
      </c>
      <c r="V18" s="412" t="e">
        <f>PAS!W73</f>
        <v>#N/A</v>
      </c>
      <c r="W18" s="412" t="e">
        <f>PAS!X73</f>
        <v>#N/A</v>
      </c>
      <c r="X18" s="412" t="e">
        <f>PAS!Y73</f>
        <v>#N/A</v>
      </c>
      <c r="Y18" s="412">
        <f>PAS!Z73</f>
        <v>100</v>
      </c>
      <c r="Z18" s="412">
        <f>PAS!AA73</f>
        <v>100</v>
      </c>
      <c r="AA18" s="412">
        <f>PAS!AB73</f>
        <v>100</v>
      </c>
      <c r="AB18" s="412">
        <f>PAS!AC73</f>
        <v>100</v>
      </c>
      <c r="AC18" s="412" t="e">
        <f>PAS!AD73</f>
        <v>#N/A</v>
      </c>
      <c r="AD18" s="412" t="e">
        <f>PAS!AE73</f>
        <v>#N/A</v>
      </c>
      <c r="AE18" s="412">
        <f>PAS!AF73</f>
        <v>100</v>
      </c>
      <c r="AF18" s="412">
        <f>PAS!AG73</f>
        <v>100</v>
      </c>
      <c r="AG18" s="412">
        <f>PAS!AH73</f>
        <v>100</v>
      </c>
      <c r="AH18" s="412" t="e">
        <f>PAS!AI73</f>
        <v>#N/A</v>
      </c>
      <c r="AI18" s="412" t="e">
        <f>PAS!AJ73</f>
        <v>#N/A</v>
      </c>
      <c r="AJ18" s="412" t="e">
        <f>PAS!AK73</f>
        <v>#N/A</v>
      </c>
      <c r="AK18" s="412">
        <f>PAS!AL73</f>
        <v>100</v>
      </c>
      <c r="AL18" s="412">
        <f>PAS!AM73</f>
        <v>100</v>
      </c>
      <c r="AM18" s="412">
        <f>PAS!AN73</f>
        <v>100</v>
      </c>
      <c r="AN18" s="412" t="e">
        <f>PAS!AO73</f>
        <v>#N/A</v>
      </c>
      <c r="AO18" s="412" t="e">
        <f>PAS!AP73</f>
        <v>#N/A</v>
      </c>
      <c r="AP18" s="412" t="e">
        <f>PAS!AQ73</f>
        <v>#N/A</v>
      </c>
      <c r="AQ18" s="412">
        <f>PAS!AR73</f>
        <v>100</v>
      </c>
      <c r="AR18" s="412">
        <f>PAS!AS73</f>
        <v>100</v>
      </c>
      <c r="AS18" s="412">
        <f>PAS!AT73</f>
        <v>100</v>
      </c>
      <c r="AT18" s="412" t="e">
        <f>PAS!AU73</f>
        <v>#VALUE!</v>
      </c>
      <c r="AU18" s="412" t="e">
        <f>PAS!AV73</f>
        <v>#VALUE!</v>
      </c>
      <c r="AV18" s="412" t="e">
        <f>PAS!AW73</f>
        <v>#VALUE!</v>
      </c>
      <c r="AW18" s="412" t="e">
        <f>PAS!AX73</f>
        <v>#VALUE!</v>
      </c>
      <c r="AX18" s="412" t="e">
        <f>PAS!AY73</f>
        <v>#VALUE!</v>
      </c>
      <c r="AY18" s="412" t="e">
        <f>PAS!AZ73</f>
        <v>#N/A</v>
      </c>
      <c r="AZ18" s="412" t="e">
        <f>PAS!BA73</f>
        <v>#N/A</v>
      </c>
      <c r="BA18" s="412" t="e">
        <f>PAS!BB73</f>
        <v>#N/A</v>
      </c>
      <c r="BB18" s="412" t="e">
        <f>PAS!BC73</f>
        <v>#N/A</v>
      </c>
      <c r="BC18" s="412" t="e">
        <f>PAS!BD73</f>
        <v>#N/A</v>
      </c>
      <c r="BD18" s="412">
        <f>PAS!BE73</f>
        <v>80</v>
      </c>
      <c r="BE18" s="412">
        <f>PAS!BF73</f>
        <v>80</v>
      </c>
      <c r="BF18" s="412" t="e">
        <f>PAS!BG73</f>
        <v>#N/A</v>
      </c>
      <c r="BG18" s="412" t="e">
        <f>PAS!BH73</f>
        <v>#N/A</v>
      </c>
      <c r="BH18" s="412" t="e">
        <f>PAS!BI73</f>
        <v>#N/A</v>
      </c>
      <c r="BI18" s="412" t="e">
        <f>PAS!BJ73</f>
        <v>#N/A</v>
      </c>
      <c r="BJ18" s="412" t="e">
        <f>PAS!BK73</f>
        <v>#N/A</v>
      </c>
      <c r="BK18" s="412" t="e">
        <f>PAS!BL73</f>
        <v>#N/A</v>
      </c>
      <c r="BL18" s="412" t="e">
        <f>PAS!BM73</f>
        <v>#N/A</v>
      </c>
      <c r="BM18" s="412">
        <f>PAS!BN73</f>
        <v>80</v>
      </c>
      <c r="BN18" s="412">
        <f>PAS!BO73</f>
        <v>80</v>
      </c>
      <c r="BO18" s="412" t="e">
        <f>PAS!BP73</f>
        <v>#N/A</v>
      </c>
      <c r="BP18" s="412" t="e">
        <f>PAS!BQ73</f>
        <v>#N/A</v>
      </c>
      <c r="BQ18" s="412" t="e">
        <f>PAS!BR73</f>
        <v>#N/A</v>
      </c>
      <c r="BR18" s="412" t="e">
        <f>PAS!BS73</f>
        <v>#N/A</v>
      </c>
      <c r="BS18" s="412">
        <f>PAS!BT73</f>
        <v>80</v>
      </c>
      <c r="BT18" s="412">
        <f>PAS!BU73</f>
        <v>80</v>
      </c>
      <c r="BU18" s="412" t="e">
        <f>PAS!BV73</f>
        <v>#N/A</v>
      </c>
      <c r="BV18" s="412" t="e">
        <f>PAS!BW73</f>
        <v>#N/A</v>
      </c>
      <c r="BW18" s="412" t="e">
        <f>PAS!BX73</f>
        <v>#N/A</v>
      </c>
      <c r="BX18" s="412">
        <f>PAS!BY73</f>
        <v>80</v>
      </c>
      <c r="BY18" s="412">
        <f>PAS!BZ73</f>
        <v>80</v>
      </c>
      <c r="BZ18" s="412" t="e">
        <f>PAS!CA73</f>
        <v>#N/A</v>
      </c>
      <c r="CA18" s="412" t="e">
        <f>PAS!CB73</f>
        <v>#N/A</v>
      </c>
      <c r="CB18" s="412" t="e">
        <f>PAS!CC73</f>
        <v>#N/A</v>
      </c>
      <c r="CC18" s="412" t="e">
        <f>PAS!CD73</f>
        <v>#N/A</v>
      </c>
    </row>
    <row r="19" spans="1:81" ht="20.25" customHeight="1">
      <c r="A19" s="113">
        <v>16</v>
      </c>
      <c r="B19" s="410" t="str">
        <f>SISWA!C21</f>
        <v>Anak 16</v>
      </c>
      <c r="C19" s="412">
        <f>PAS!D74</f>
        <v>100</v>
      </c>
      <c r="D19" s="412">
        <f>PAS!E74</f>
        <v>100</v>
      </c>
      <c r="E19" s="412">
        <f>PAS!F74</f>
        <v>100</v>
      </c>
      <c r="F19" s="412" t="e">
        <f>PAS!G74</f>
        <v>#N/A</v>
      </c>
      <c r="G19" s="412" t="e">
        <f>PAS!H74</f>
        <v>#N/A</v>
      </c>
      <c r="H19" s="412" t="e">
        <f>PAS!I74</f>
        <v>#N/A</v>
      </c>
      <c r="I19" s="412">
        <f>PAS!J74</f>
        <v>80</v>
      </c>
      <c r="J19" s="412">
        <f>PAS!K74</f>
        <v>80</v>
      </c>
      <c r="K19" s="412">
        <f>PAS!L74</f>
        <v>100</v>
      </c>
      <c r="L19" s="412">
        <f>PAS!M74</f>
        <v>100</v>
      </c>
      <c r="M19" s="412">
        <f>PAS!N74</f>
        <v>100</v>
      </c>
      <c r="N19" s="412" t="e">
        <f>PAS!O74</f>
        <v>#N/A</v>
      </c>
      <c r="O19" s="412" t="e">
        <f>PAS!P74</f>
        <v>#N/A</v>
      </c>
      <c r="P19" s="412" t="e">
        <f>PAS!Q74</f>
        <v>#N/A</v>
      </c>
      <c r="Q19" s="412">
        <f>PAS!R74</f>
        <v>80</v>
      </c>
      <c r="R19" s="412">
        <f>PAS!S74</f>
        <v>80</v>
      </c>
      <c r="S19" s="412" t="e">
        <f>PAS!T74</f>
        <v>#N/A</v>
      </c>
      <c r="T19" s="412" t="e">
        <f>PAS!U74</f>
        <v>#N/A</v>
      </c>
      <c r="U19" s="412" t="e">
        <f>PAS!V74</f>
        <v>#N/A</v>
      </c>
      <c r="V19" s="412" t="e">
        <f>PAS!W74</f>
        <v>#N/A</v>
      </c>
      <c r="W19" s="412" t="e">
        <f>PAS!X74</f>
        <v>#N/A</v>
      </c>
      <c r="X19" s="412" t="e">
        <f>PAS!Y74</f>
        <v>#N/A</v>
      </c>
      <c r="Y19" s="412">
        <f>PAS!Z74</f>
        <v>100</v>
      </c>
      <c r="Z19" s="412">
        <f>PAS!AA74</f>
        <v>100</v>
      </c>
      <c r="AA19" s="412">
        <f>PAS!AB74</f>
        <v>100</v>
      </c>
      <c r="AB19" s="412">
        <f>PAS!AC74</f>
        <v>100</v>
      </c>
      <c r="AC19" s="412" t="e">
        <f>PAS!AD74</f>
        <v>#N/A</v>
      </c>
      <c r="AD19" s="412" t="e">
        <f>PAS!AE74</f>
        <v>#N/A</v>
      </c>
      <c r="AE19" s="412">
        <f>PAS!AF74</f>
        <v>100</v>
      </c>
      <c r="AF19" s="412">
        <f>PAS!AG74</f>
        <v>100</v>
      </c>
      <c r="AG19" s="412">
        <f>PAS!AH74</f>
        <v>100</v>
      </c>
      <c r="AH19" s="412" t="e">
        <f>PAS!AI74</f>
        <v>#N/A</v>
      </c>
      <c r="AI19" s="412" t="e">
        <f>PAS!AJ74</f>
        <v>#N/A</v>
      </c>
      <c r="AJ19" s="412" t="e">
        <f>PAS!AK74</f>
        <v>#N/A</v>
      </c>
      <c r="AK19" s="412">
        <f>PAS!AL74</f>
        <v>100</v>
      </c>
      <c r="AL19" s="412">
        <f>PAS!AM74</f>
        <v>100</v>
      </c>
      <c r="AM19" s="412">
        <f>PAS!AN74</f>
        <v>100</v>
      </c>
      <c r="AN19" s="412" t="e">
        <f>PAS!AO74</f>
        <v>#N/A</v>
      </c>
      <c r="AO19" s="412" t="e">
        <f>PAS!AP74</f>
        <v>#N/A</v>
      </c>
      <c r="AP19" s="412" t="e">
        <f>PAS!AQ74</f>
        <v>#N/A</v>
      </c>
      <c r="AQ19" s="412">
        <f>PAS!AR74</f>
        <v>100</v>
      </c>
      <c r="AR19" s="412">
        <f>PAS!AS74</f>
        <v>100</v>
      </c>
      <c r="AS19" s="412">
        <f>PAS!AT74</f>
        <v>100</v>
      </c>
      <c r="AT19" s="412" t="e">
        <f>PAS!AU74</f>
        <v>#VALUE!</v>
      </c>
      <c r="AU19" s="412" t="e">
        <f>PAS!AV74</f>
        <v>#VALUE!</v>
      </c>
      <c r="AV19" s="412" t="e">
        <f>PAS!AW74</f>
        <v>#VALUE!</v>
      </c>
      <c r="AW19" s="412" t="e">
        <f>PAS!AX74</f>
        <v>#VALUE!</v>
      </c>
      <c r="AX19" s="412" t="e">
        <f>PAS!AY74</f>
        <v>#VALUE!</v>
      </c>
      <c r="AY19" s="412" t="e">
        <f>PAS!AZ74</f>
        <v>#N/A</v>
      </c>
      <c r="AZ19" s="412" t="e">
        <f>PAS!BA74</f>
        <v>#N/A</v>
      </c>
      <c r="BA19" s="412" t="e">
        <f>PAS!BB74</f>
        <v>#N/A</v>
      </c>
      <c r="BB19" s="412" t="e">
        <f>PAS!BC74</f>
        <v>#N/A</v>
      </c>
      <c r="BC19" s="412" t="e">
        <f>PAS!BD74</f>
        <v>#N/A</v>
      </c>
      <c r="BD19" s="412">
        <f>PAS!BE74</f>
        <v>80</v>
      </c>
      <c r="BE19" s="412">
        <f>PAS!BF74</f>
        <v>80</v>
      </c>
      <c r="BF19" s="412" t="e">
        <f>PAS!BG74</f>
        <v>#N/A</v>
      </c>
      <c r="BG19" s="412" t="e">
        <f>PAS!BH74</f>
        <v>#N/A</v>
      </c>
      <c r="BH19" s="412" t="e">
        <f>PAS!BI74</f>
        <v>#N/A</v>
      </c>
      <c r="BI19" s="412" t="e">
        <f>PAS!BJ74</f>
        <v>#N/A</v>
      </c>
      <c r="BJ19" s="412" t="e">
        <f>PAS!BK74</f>
        <v>#N/A</v>
      </c>
      <c r="BK19" s="412" t="e">
        <f>PAS!BL74</f>
        <v>#N/A</v>
      </c>
      <c r="BL19" s="412" t="e">
        <f>PAS!BM74</f>
        <v>#N/A</v>
      </c>
      <c r="BM19" s="412">
        <f>PAS!BN74</f>
        <v>80</v>
      </c>
      <c r="BN19" s="412">
        <f>PAS!BO74</f>
        <v>80</v>
      </c>
      <c r="BO19" s="412" t="e">
        <f>PAS!BP74</f>
        <v>#N/A</v>
      </c>
      <c r="BP19" s="412" t="e">
        <f>PAS!BQ74</f>
        <v>#N/A</v>
      </c>
      <c r="BQ19" s="412" t="e">
        <f>PAS!BR74</f>
        <v>#N/A</v>
      </c>
      <c r="BR19" s="412" t="e">
        <f>PAS!BS74</f>
        <v>#N/A</v>
      </c>
      <c r="BS19" s="412">
        <f>PAS!BT74</f>
        <v>80</v>
      </c>
      <c r="BT19" s="412">
        <f>PAS!BU74</f>
        <v>80</v>
      </c>
      <c r="BU19" s="412" t="e">
        <f>PAS!BV74</f>
        <v>#N/A</v>
      </c>
      <c r="BV19" s="412" t="e">
        <f>PAS!BW74</f>
        <v>#N/A</v>
      </c>
      <c r="BW19" s="412" t="e">
        <f>PAS!BX74</f>
        <v>#N/A</v>
      </c>
      <c r="BX19" s="412">
        <f>PAS!BY74</f>
        <v>80</v>
      </c>
      <c r="BY19" s="412">
        <f>PAS!BZ74</f>
        <v>80</v>
      </c>
      <c r="BZ19" s="412" t="e">
        <f>PAS!CA74</f>
        <v>#N/A</v>
      </c>
      <c r="CA19" s="412" t="e">
        <f>PAS!CB74</f>
        <v>#N/A</v>
      </c>
      <c r="CB19" s="412" t="e">
        <f>PAS!CC74</f>
        <v>#N/A</v>
      </c>
      <c r="CC19" s="412" t="e">
        <f>PAS!CD74</f>
        <v>#N/A</v>
      </c>
    </row>
    <row r="20" spans="1:81" ht="20.25" customHeight="1">
      <c r="A20" s="113">
        <v>17</v>
      </c>
      <c r="B20" s="410" t="str">
        <f>SISWA!C22</f>
        <v>Anak 17</v>
      </c>
      <c r="C20" s="412">
        <f>PAS!D75</f>
        <v>100</v>
      </c>
      <c r="D20" s="412">
        <f>PAS!E75</f>
        <v>100</v>
      </c>
      <c r="E20" s="412">
        <f>PAS!F75</f>
        <v>100</v>
      </c>
      <c r="F20" s="412" t="e">
        <f>PAS!G75</f>
        <v>#N/A</v>
      </c>
      <c r="G20" s="412" t="e">
        <f>PAS!H75</f>
        <v>#N/A</v>
      </c>
      <c r="H20" s="412" t="e">
        <f>PAS!I75</f>
        <v>#N/A</v>
      </c>
      <c r="I20" s="412">
        <f>PAS!J75</f>
        <v>80</v>
      </c>
      <c r="J20" s="412">
        <f>PAS!K75</f>
        <v>80</v>
      </c>
      <c r="K20" s="412">
        <f>PAS!L75</f>
        <v>100</v>
      </c>
      <c r="L20" s="412">
        <f>PAS!M75</f>
        <v>100</v>
      </c>
      <c r="M20" s="412">
        <f>PAS!N75</f>
        <v>100</v>
      </c>
      <c r="N20" s="412" t="e">
        <f>PAS!O75</f>
        <v>#N/A</v>
      </c>
      <c r="O20" s="412" t="e">
        <f>PAS!P75</f>
        <v>#N/A</v>
      </c>
      <c r="P20" s="412" t="e">
        <f>PAS!Q75</f>
        <v>#N/A</v>
      </c>
      <c r="Q20" s="412">
        <f>PAS!R75</f>
        <v>80</v>
      </c>
      <c r="R20" s="412">
        <f>PAS!S75</f>
        <v>80</v>
      </c>
      <c r="S20" s="412" t="e">
        <f>PAS!T75</f>
        <v>#N/A</v>
      </c>
      <c r="T20" s="412" t="e">
        <f>PAS!U75</f>
        <v>#N/A</v>
      </c>
      <c r="U20" s="412" t="e">
        <f>PAS!V75</f>
        <v>#N/A</v>
      </c>
      <c r="V20" s="412" t="e">
        <f>PAS!W75</f>
        <v>#N/A</v>
      </c>
      <c r="W20" s="412" t="e">
        <f>PAS!X75</f>
        <v>#N/A</v>
      </c>
      <c r="X20" s="412" t="e">
        <f>PAS!Y75</f>
        <v>#N/A</v>
      </c>
      <c r="Y20" s="412">
        <f>PAS!Z75</f>
        <v>100</v>
      </c>
      <c r="Z20" s="412">
        <f>PAS!AA75</f>
        <v>100</v>
      </c>
      <c r="AA20" s="412">
        <f>PAS!AB75</f>
        <v>100</v>
      </c>
      <c r="AB20" s="412">
        <f>PAS!AC75</f>
        <v>100</v>
      </c>
      <c r="AC20" s="412" t="e">
        <f>PAS!AD75</f>
        <v>#N/A</v>
      </c>
      <c r="AD20" s="412" t="e">
        <f>PAS!AE75</f>
        <v>#N/A</v>
      </c>
      <c r="AE20" s="412">
        <f>PAS!AF75</f>
        <v>100</v>
      </c>
      <c r="AF20" s="412">
        <f>PAS!AG75</f>
        <v>100</v>
      </c>
      <c r="AG20" s="412">
        <f>PAS!AH75</f>
        <v>100</v>
      </c>
      <c r="AH20" s="412" t="e">
        <f>PAS!AI75</f>
        <v>#N/A</v>
      </c>
      <c r="AI20" s="412" t="e">
        <f>PAS!AJ75</f>
        <v>#N/A</v>
      </c>
      <c r="AJ20" s="412" t="e">
        <f>PAS!AK75</f>
        <v>#N/A</v>
      </c>
      <c r="AK20" s="412">
        <f>PAS!AL75</f>
        <v>100</v>
      </c>
      <c r="AL20" s="412">
        <f>PAS!AM75</f>
        <v>100</v>
      </c>
      <c r="AM20" s="412">
        <f>PAS!AN75</f>
        <v>100</v>
      </c>
      <c r="AN20" s="412" t="e">
        <f>PAS!AO75</f>
        <v>#N/A</v>
      </c>
      <c r="AO20" s="412" t="e">
        <f>PAS!AP75</f>
        <v>#N/A</v>
      </c>
      <c r="AP20" s="412" t="e">
        <f>PAS!AQ75</f>
        <v>#N/A</v>
      </c>
      <c r="AQ20" s="412">
        <f>PAS!AR75</f>
        <v>100</v>
      </c>
      <c r="AR20" s="412">
        <f>PAS!AS75</f>
        <v>100</v>
      </c>
      <c r="AS20" s="412">
        <f>PAS!AT75</f>
        <v>100</v>
      </c>
      <c r="AT20" s="412" t="e">
        <f>PAS!AU75</f>
        <v>#VALUE!</v>
      </c>
      <c r="AU20" s="412" t="e">
        <f>PAS!AV75</f>
        <v>#VALUE!</v>
      </c>
      <c r="AV20" s="412" t="e">
        <f>PAS!AW75</f>
        <v>#VALUE!</v>
      </c>
      <c r="AW20" s="412" t="e">
        <f>PAS!AX75</f>
        <v>#VALUE!</v>
      </c>
      <c r="AX20" s="412" t="e">
        <f>PAS!AY75</f>
        <v>#VALUE!</v>
      </c>
      <c r="AY20" s="412" t="e">
        <f>PAS!AZ75</f>
        <v>#N/A</v>
      </c>
      <c r="AZ20" s="412" t="e">
        <f>PAS!BA75</f>
        <v>#N/A</v>
      </c>
      <c r="BA20" s="412" t="e">
        <f>PAS!BB75</f>
        <v>#N/A</v>
      </c>
      <c r="BB20" s="412" t="e">
        <f>PAS!BC75</f>
        <v>#N/A</v>
      </c>
      <c r="BC20" s="412" t="e">
        <f>PAS!BD75</f>
        <v>#N/A</v>
      </c>
      <c r="BD20" s="412">
        <f>PAS!BE75</f>
        <v>80</v>
      </c>
      <c r="BE20" s="412">
        <f>PAS!BF75</f>
        <v>80</v>
      </c>
      <c r="BF20" s="412" t="e">
        <f>PAS!BG75</f>
        <v>#N/A</v>
      </c>
      <c r="BG20" s="412" t="e">
        <f>PAS!BH75</f>
        <v>#N/A</v>
      </c>
      <c r="BH20" s="412" t="e">
        <f>PAS!BI75</f>
        <v>#N/A</v>
      </c>
      <c r="BI20" s="412" t="e">
        <f>PAS!BJ75</f>
        <v>#N/A</v>
      </c>
      <c r="BJ20" s="412" t="e">
        <f>PAS!BK75</f>
        <v>#N/A</v>
      </c>
      <c r="BK20" s="412" t="e">
        <f>PAS!BL75</f>
        <v>#N/A</v>
      </c>
      <c r="BL20" s="412" t="e">
        <f>PAS!BM75</f>
        <v>#N/A</v>
      </c>
      <c r="BM20" s="412">
        <f>PAS!BN75</f>
        <v>80</v>
      </c>
      <c r="BN20" s="412">
        <f>PAS!BO75</f>
        <v>80</v>
      </c>
      <c r="BO20" s="412" t="e">
        <f>PAS!BP75</f>
        <v>#N/A</v>
      </c>
      <c r="BP20" s="412" t="e">
        <f>PAS!BQ75</f>
        <v>#N/A</v>
      </c>
      <c r="BQ20" s="412" t="e">
        <f>PAS!BR75</f>
        <v>#N/A</v>
      </c>
      <c r="BR20" s="412" t="e">
        <f>PAS!BS75</f>
        <v>#N/A</v>
      </c>
      <c r="BS20" s="412">
        <f>PAS!BT75</f>
        <v>80</v>
      </c>
      <c r="BT20" s="412">
        <f>PAS!BU75</f>
        <v>80</v>
      </c>
      <c r="BU20" s="412" t="e">
        <f>PAS!BV75</f>
        <v>#N/A</v>
      </c>
      <c r="BV20" s="412" t="e">
        <f>PAS!BW75</f>
        <v>#N/A</v>
      </c>
      <c r="BW20" s="412" t="e">
        <f>PAS!BX75</f>
        <v>#N/A</v>
      </c>
      <c r="BX20" s="412">
        <f>PAS!BY75</f>
        <v>80</v>
      </c>
      <c r="BY20" s="412">
        <f>PAS!BZ75</f>
        <v>80</v>
      </c>
      <c r="BZ20" s="412" t="e">
        <f>PAS!CA75</f>
        <v>#N/A</v>
      </c>
      <c r="CA20" s="412" t="e">
        <f>PAS!CB75</f>
        <v>#N/A</v>
      </c>
      <c r="CB20" s="412" t="e">
        <f>PAS!CC75</f>
        <v>#N/A</v>
      </c>
      <c r="CC20" s="412" t="e">
        <f>PAS!CD75</f>
        <v>#N/A</v>
      </c>
    </row>
    <row r="21" spans="1:81" ht="20.25" customHeight="1">
      <c r="A21" s="113">
        <v>18</v>
      </c>
      <c r="B21" s="410" t="str">
        <f>SISWA!C23</f>
        <v>Anak 18</v>
      </c>
      <c r="C21" s="412">
        <f>PAS!D76</f>
        <v>100</v>
      </c>
      <c r="D21" s="412">
        <f>PAS!E76</f>
        <v>100</v>
      </c>
      <c r="E21" s="412">
        <f>PAS!F76</f>
        <v>100</v>
      </c>
      <c r="F21" s="412" t="e">
        <f>PAS!G76</f>
        <v>#N/A</v>
      </c>
      <c r="G21" s="412" t="e">
        <f>PAS!H76</f>
        <v>#N/A</v>
      </c>
      <c r="H21" s="412" t="e">
        <f>PAS!I76</f>
        <v>#N/A</v>
      </c>
      <c r="I21" s="412">
        <f>PAS!J76</f>
        <v>80</v>
      </c>
      <c r="J21" s="412">
        <f>PAS!K76</f>
        <v>90</v>
      </c>
      <c r="K21" s="412">
        <f>PAS!L76</f>
        <v>100</v>
      </c>
      <c r="L21" s="412">
        <f>PAS!M76</f>
        <v>100</v>
      </c>
      <c r="M21" s="412">
        <f>PAS!N76</f>
        <v>100</v>
      </c>
      <c r="N21" s="412" t="e">
        <f>PAS!O76</f>
        <v>#N/A</v>
      </c>
      <c r="O21" s="412" t="e">
        <f>PAS!P76</f>
        <v>#N/A</v>
      </c>
      <c r="P21" s="412" t="e">
        <f>PAS!Q76</f>
        <v>#N/A</v>
      </c>
      <c r="Q21" s="412">
        <f>PAS!R76</f>
        <v>80</v>
      </c>
      <c r="R21" s="412">
        <f>PAS!S76</f>
        <v>90</v>
      </c>
      <c r="S21" s="412" t="e">
        <f>PAS!T76</f>
        <v>#N/A</v>
      </c>
      <c r="T21" s="412" t="e">
        <f>PAS!U76</f>
        <v>#N/A</v>
      </c>
      <c r="U21" s="412" t="e">
        <f>PAS!V76</f>
        <v>#N/A</v>
      </c>
      <c r="V21" s="412" t="e">
        <f>PAS!W76</f>
        <v>#N/A</v>
      </c>
      <c r="W21" s="412" t="e">
        <f>PAS!X76</f>
        <v>#N/A</v>
      </c>
      <c r="X21" s="412" t="e">
        <f>PAS!Y76</f>
        <v>#N/A</v>
      </c>
      <c r="Y21" s="412">
        <f>PAS!Z76</f>
        <v>100</v>
      </c>
      <c r="Z21" s="412">
        <f>PAS!AA76</f>
        <v>100</v>
      </c>
      <c r="AA21" s="412">
        <f>PAS!AB76</f>
        <v>100</v>
      </c>
      <c r="AB21" s="412">
        <f>PAS!AC76</f>
        <v>100</v>
      </c>
      <c r="AC21" s="412" t="e">
        <f>PAS!AD76</f>
        <v>#N/A</v>
      </c>
      <c r="AD21" s="412" t="e">
        <f>PAS!AE76</f>
        <v>#N/A</v>
      </c>
      <c r="AE21" s="412">
        <f>PAS!AF76</f>
        <v>100</v>
      </c>
      <c r="AF21" s="412">
        <f>PAS!AG76</f>
        <v>100</v>
      </c>
      <c r="AG21" s="412">
        <f>PAS!AH76</f>
        <v>100</v>
      </c>
      <c r="AH21" s="412" t="e">
        <f>PAS!AI76</f>
        <v>#N/A</v>
      </c>
      <c r="AI21" s="412" t="e">
        <f>PAS!AJ76</f>
        <v>#N/A</v>
      </c>
      <c r="AJ21" s="412" t="e">
        <f>PAS!AK76</f>
        <v>#N/A</v>
      </c>
      <c r="AK21" s="412">
        <f>PAS!AL76</f>
        <v>100</v>
      </c>
      <c r="AL21" s="412">
        <f>PAS!AM76</f>
        <v>100</v>
      </c>
      <c r="AM21" s="412">
        <f>PAS!AN76</f>
        <v>100</v>
      </c>
      <c r="AN21" s="412" t="e">
        <f>PAS!AO76</f>
        <v>#N/A</v>
      </c>
      <c r="AO21" s="412" t="e">
        <f>PAS!AP76</f>
        <v>#N/A</v>
      </c>
      <c r="AP21" s="412" t="e">
        <f>PAS!AQ76</f>
        <v>#N/A</v>
      </c>
      <c r="AQ21" s="412">
        <f>PAS!AR76</f>
        <v>100</v>
      </c>
      <c r="AR21" s="412">
        <f>PAS!AS76</f>
        <v>100</v>
      </c>
      <c r="AS21" s="412">
        <f>PAS!AT76</f>
        <v>100</v>
      </c>
      <c r="AT21" s="412" t="e">
        <f>PAS!AU76</f>
        <v>#VALUE!</v>
      </c>
      <c r="AU21" s="412" t="e">
        <f>PAS!AV76</f>
        <v>#VALUE!</v>
      </c>
      <c r="AV21" s="412" t="e">
        <f>PAS!AW76</f>
        <v>#VALUE!</v>
      </c>
      <c r="AW21" s="412" t="e">
        <f>PAS!AX76</f>
        <v>#VALUE!</v>
      </c>
      <c r="AX21" s="412" t="e">
        <f>PAS!AY76</f>
        <v>#VALUE!</v>
      </c>
      <c r="AY21" s="412" t="e">
        <f>PAS!AZ76</f>
        <v>#N/A</v>
      </c>
      <c r="AZ21" s="412" t="e">
        <f>PAS!BA76</f>
        <v>#N/A</v>
      </c>
      <c r="BA21" s="412" t="e">
        <f>PAS!BB76</f>
        <v>#N/A</v>
      </c>
      <c r="BB21" s="412" t="e">
        <f>PAS!BC76</f>
        <v>#N/A</v>
      </c>
      <c r="BC21" s="412" t="e">
        <f>PAS!BD76</f>
        <v>#N/A</v>
      </c>
      <c r="BD21" s="412">
        <f>PAS!BE76</f>
        <v>80</v>
      </c>
      <c r="BE21" s="412">
        <f>PAS!BF76</f>
        <v>90</v>
      </c>
      <c r="BF21" s="412" t="e">
        <f>PAS!BG76</f>
        <v>#N/A</v>
      </c>
      <c r="BG21" s="412" t="e">
        <f>PAS!BH76</f>
        <v>#N/A</v>
      </c>
      <c r="BH21" s="412" t="e">
        <f>PAS!BI76</f>
        <v>#N/A</v>
      </c>
      <c r="BI21" s="412" t="e">
        <f>PAS!BJ76</f>
        <v>#N/A</v>
      </c>
      <c r="BJ21" s="412" t="e">
        <f>PAS!BK76</f>
        <v>#N/A</v>
      </c>
      <c r="BK21" s="412" t="e">
        <f>PAS!BL76</f>
        <v>#N/A</v>
      </c>
      <c r="BL21" s="412" t="e">
        <f>PAS!BM76</f>
        <v>#N/A</v>
      </c>
      <c r="BM21" s="412">
        <f>PAS!BN76</f>
        <v>80</v>
      </c>
      <c r="BN21" s="412">
        <f>PAS!BO76</f>
        <v>90</v>
      </c>
      <c r="BO21" s="412" t="e">
        <f>PAS!BP76</f>
        <v>#N/A</v>
      </c>
      <c r="BP21" s="412" t="e">
        <f>PAS!BQ76</f>
        <v>#N/A</v>
      </c>
      <c r="BQ21" s="412" t="e">
        <f>PAS!BR76</f>
        <v>#N/A</v>
      </c>
      <c r="BR21" s="412" t="e">
        <f>PAS!BS76</f>
        <v>#N/A</v>
      </c>
      <c r="BS21" s="412">
        <f>PAS!BT76</f>
        <v>80</v>
      </c>
      <c r="BT21" s="412">
        <f>PAS!BU76</f>
        <v>90</v>
      </c>
      <c r="BU21" s="412" t="e">
        <f>PAS!BV76</f>
        <v>#N/A</v>
      </c>
      <c r="BV21" s="412" t="e">
        <f>PAS!BW76</f>
        <v>#N/A</v>
      </c>
      <c r="BW21" s="412" t="e">
        <f>PAS!BX76</f>
        <v>#N/A</v>
      </c>
      <c r="BX21" s="412">
        <f>PAS!BY76</f>
        <v>80</v>
      </c>
      <c r="BY21" s="412">
        <f>PAS!BZ76</f>
        <v>90</v>
      </c>
      <c r="BZ21" s="412" t="e">
        <f>PAS!CA76</f>
        <v>#N/A</v>
      </c>
      <c r="CA21" s="412" t="e">
        <f>PAS!CB76</f>
        <v>#N/A</v>
      </c>
      <c r="CB21" s="412" t="e">
        <f>PAS!CC76</f>
        <v>#N/A</v>
      </c>
      <c r="CC21" s="412" t="e">
        <f>PAS!CD76</f>
        <v>#N/A</v>
      </c>
    </row>
    <row r="22" spans="1:81" ht="20.25" customHeight="1">
      <c r="A22" s="113">
        <v>19</v>
      </c>
      <c r="B22" s="410" t="str">
        <f>SISWA!C24</f>
        <v>Anak 19</v>
      </c>
      <c r="C22" s="412">
        <f>PAS!D77</f>
        <v>100</v>
      </c>
      <c r="D22" s="412">
        <f>PAS!E77</f>
        <v>100</v>
      </c>
      <c r="E22" s="412">
        <f>PAS!F77</f>
        <v>100</v>
      </c>
      <c r="F22" s="412" t="e">
        <f>PAS!G77</f>
        <v>#N/A</v>
      </c>
      <c r="G22" s="412" t="e">
        <f>PAS!H77</f>
        <v>#N/A</v>
      </c>
      <c r="H22" s="412" t="e">
        <f>PAS!I77</f>
        <v>#N/A</v>
      </c>
      <c r="I22" s="412">
        <f>PAS!J77</f>
        <v>90</v>
      </c>
      <c r="J22" s="412">
        <f>PAS!K77</f>
        <v>80</v>
      </c>
      <c r="K22" s="412">
        <f>PAS!L77</f>
        <v>100</v>
      </c>
      <c r="L22" s="412">
        <f>PAS!M77</f>
        <v>100</v>
      </c>
      <c r="M22" s="412">
        <f>PAS!N77</f>
        <v>100</v>
      </c>
      <c r="N22" s="412" t="e">
        <f>PAS!O77</f>
        <v>#N/A</v>
      </c>
      <c r="O22" s="412" t="e">
        <f>PAS!P77</f>
        <v>#N/A</v>
      </c>
      <c r="P22" s="412" t="e">
        <f>PAS!Q77</f>
        <v>#N/A</v>
      </c>
      <c r="Q22" s="412">
        <f>PAS!R77</f>
        <v>90</v>
      </c>
      <c r="R22" s="412">
        <f>PAS!S77</f>
        <v>80</v>
      </c>
      <c r="S22" s="412" t="e">
        <f>PAS!T77</f>
        <v>#N/A</v>
      </c>
      <c r="T22" s="412" t="e">
        <f>PAS!U77</f>
        <v>#N/A</v>
      </c>
      <c r="U22" s="412" t="e">
        <f>PAS!V77</f>
        <v>#N/A</v>
      </c>
      <c r="V22" s="412" t="e">
        <f>PAS!W77</f>
        <v>#N/A</v>
      </c>
      <c r="W22" s="412" t="e">
        <f>PAS!X77</f>
        <v>#N/A</v>
      </c>
      <c r="X22" s="412" t="e">
        <f>PAS!Y77</f>
        <v>#N/A</v>
      </c>
      <c r="Y22" s="412">
        <f>PAS!Z77</f>
        <v>100</v>
      </c>
      <c r="Z22" s="412">
        <f>PAS!AA77</f>
        <v>100</v>
      </c>
      <c r="AA22" s="412">
        <f>PAS!AB77</f>
        <v>100</v>
      </c>
      <c r="AB22" s="412">
        <f>PAS!AC77</f>
        <v>100</v>
      </c>
      <c r="AC22" s="412" t="e">
        <f>PAS!AD77</f>
        <v>#N/A</v>
      </c>
      <c r="AD22" s="412" t="e">
        <f>PAS!AE77</f>
        <v>#N/A</v>
      </c>
      <c r="AE22" s="412">
        <f>PAS!AF77</f>
        <v>100</v>
      </c>
      <c r="AF22" s="412">
        <f>PAS!AG77</f>
        <v>100</v>
      </c>
      <c r="AG22" s="412">
        <f>PAS!AH77</f>
        <v>100</v>
      </c>
      <c r="AH22" s="412" t="e">
        <f>PAS!AI77</f>
        <v>#N/A</v>
      </c>
      <c r="AI22" s="412" t="e">
        <f>PAS!AJ77</f>
        <v>#N/A</v>
      </c>
      <c r="AJ22" s="412" t="e">
        <f>PAS!AK77</f>
        <v>#N/A</v>
      </c>
      <c r="AK22" s="412">
        <f>PAS!AL77</f>
        <v>100</v>
      </c>
      <c r="AL22" s="412">
        <f>PAS!AM77</f>
        <v>100</v>
      </c>
      <c r="AM22" s="412">
        <f>PAS!AN77</f>
        <v>100</v>
      </c>
      <c r="AN22" s="412" t="e">
        <f>PAS!AO77</f>
        <v>#N/A</v>
      </c>
      <c r="AO22" s="412" t="e">
        <f>PAS!AP77</f>
        <v>#N/A</v>
      </c>
      <c r="AP22" s="412" t="e">
        <f>PAS!AQ77</f>
        <v>#N/A</v>
      </c>
      <c r="AQ22" s="412">
        <f>PAS!AR77</f>
        <v>100</v>
      </c>
      <c r="AR22" s="412">
        <f>PAS!AS77</f>
        <v>100</v>
      </c>
      <c r="AS22" s="412">
        <f>PAS!AT77</f>
        <v>100</v>
      </c>
      <c r="AT22" s="412" t="e">
        <f>PAS!AU77</f>
        <v>#VALUE!</v>
      </c>
      <c r="AU22" s="412" t="e">
        <f>PAS!AV77</f>
        <v>#VALUE!</v>
      </c>
      <c r="AV22" s="412" t="e">
        <f>PAS!AW77</f>
        <v>#VALUE!</v>
      </c>
      <c r="AW22" s="412" t="e">
        <f>PAS!AX77</f>
        <v>#VALUE!</v>
      </c>
      <c r="AX22" s="412" t="e">
        <f>PAS!AY77</f>
        <v>#VALUE!</v>
      </c>
      <c r="AY22" s="412" t="e">
        <f>PAS!AZ77</f>
        <v>#N/A</v>
      </c>
      <c r="AZ22" s="412" t="e">
        <f>PAS!BA77</f>
        <v>#N/A</v>
      </c>
      <c r="BA22" s="412" t="e">
        <f>PAS!BB77</f>
        <v>#N/A</v>
      </c>
      <c r="BB22" s="412" t="e">
        <f>PAS!BC77</f>
        <v>#N/A</v>
      </c>
      <c r="BC22" s="412" t="e">
        <f>PAS!BD77</f>
        <v>#N/A</v>
      </c>
      <c r="BD22" s="412">
        <f>PAS!BE77</f>
        <v>90</v>
      </c>
      <c r="BE22" s="412">
        <f>PAS!BF77</f>
        <v>80</v>
      </c>
      <c r="BF22" s="412" t="e">
        <f>PAS!BG77</f>
        <v>#N/A</v>
      </c>
      <c r="BG22" s="412" t="e">
        <f>PAS!BH77</f>
        <v>#N/A</v>
      </c>
      <c r="BH22" s="412" t="e">
        <f>PAS!BI77</f>
        <v>#N/A</v>
      </c>
      <c r="BI22" s="412" t="e">
        <f>PAS!BJ77</f>
        <v>#N/A</v>
      </c>
      <c r="BJ22" s="412" t="e">
        <f>PAS!BK77</f>
        <v>#N/A</v>
      </c>
      <c r="BK22" s="412" t="e">
        <f>PAS!BL77</f>
        <v>#N/A</v>
      </c>
      <c r="BL22" s="412" t="e">
        <f>PAS!BM77</f>
        <v>#N/A</v>
      </c>
      <c r="BM22" s="412">
        <f>PAS!BN77</f>
        <v>90</v>
      </c>
      <c r="BN22" s="412">
        <f>PAS!BO77</f>
        <v>80</v>
      </c>
      <c r="BO22" s="412" t="e">
        <f>PAS!BP77</f>
        <v>#N/A</v>
      </c>
      <c r="BP22" s="412" t="e">
        <f>PAS!BQ77</f>
        <v>#N/A</v>
      </c>
      <c r="BQ22" s="412" t="e">
        <f>PAS!BR77</f>
        <v>#N/A</v>
      </c>
      <c r="BR22" s="412" t="e">
        <f>PAS!BS77</f>
        <v>#N/A</v>
      </c>
      <c r="BS22" s="412">
        <f>PAS!BT77</f>
        <v>90</v>
      </c>
      <c r="BT22" s="412">
        <f>PAS!BU77</f>
        <v>80</v>
      </c>
      <c r="BU22" s="412" t="e">
        <f>PAS!BV77</f>
        <v>#N/A</v>
      </c>
      <c r="BV22" s="412" t="e">
        <f>PAS!BW77</f>
        <v>#N/A</v>
      </c>
      <c r="BW22" s="412" t="e">
        <f>PAS!BX77</f>
        <v>#N/A</v>
      </c>
      <c r="BX22" s="412">
        <f>PAS!BY77</f>
        <v>90</v>
      </c>
      <c r="BY22" s="412">
        <f>PAS!BZ77</f>
        <v>80</v>
      </c>
      <c r="BZ22" s="412" t="e">
        <f>PAS!CA77</f>
        <v>#N/A</v>
      </c>
      <c r="CA22" s="412" t="e">
        <f>PAS!CB77</f>
        <v>#N/A</v>
      </c>
      <c r="CB22" s="412" t="e">
        <f>PAS!CC77</f>
        <v>#N/A</v>
      </c>
      <c r="CC22" s="412" t="e">
        <f>PAS!CD77</f>
        <v>#N/A</v>
      </c>
    </row>
    <row r="23" spans="1:81" ht="20.25" customHeight="1">
      <c r="A23" s="113">
        <v>20</v>
      </c>
      <c r="B23" s="410" t="str">
        <f>SISWA!C25</f>
        <v>Anak 20</v>
      </c>
      <c r="C23" s="412">
        <f>PAS!D78</f>
        <v>100</v>
      </c>
      <c r="D23" s="412">
        <f>PAS!E78</f>
        <v>100</v>
      </c>
      <c r="E23" s="412">
        <f>PAS!F78</f>
        <v>100</v>
      </c>
      <c r="F23" s="412" t="e">
        <f>PAS!G78</f>
        <v>#N/A</v>
      </c>
      <c r="G23" s="412" t="e">
        <f>PAS!H78</f>
        <v>#N/A</v>
      </c>
      <c r="H23" s="412" t="e">
        <f>PAS!I78</f>
        <v>#N/A</v>
      </c>
      <c r="I23" s="412">
        <f>PAS!J78</f>
        <v>80</v>
      </c>
      <c r="J23" s="412">
        <f>PAS!K78</f>
        <v>80</v>
      </c>
      <c r="K23" s="412">
        <f>PAS!L78</f>
        <v>100</v>
      </c>
      <c r="L23" s="412">
        <f>PAS!M78</f>
        <v>100</v>
      </c>
      <c r="M23" s="412">
        <f>PAS!N78</f>
        <v>100</v>
      </c>
      <c r="N23" s="412" t="e">
        <f>PAS!O78</f>
        <v>#N/A</v>
      </c>
      <c r="O23" s="412" t="e">
        <f>PAS!P78</f>
        <v>#N/A</v>
      </c>
      <c r="P23" s="412" t="e">
        <f>PAS!Q78</f>
        <v>#N/A</v>
      </c>
      <c r="Q23" s="412">
        <f>PAS!R78</f>
        <v>80</v>
      </c>
      <c r="R23" s="412">
        <f>PAS!S78</f>
        <v>80</v>
      </c>
      <c r="S23" s="412" t="e">
        <f>PAS!T78</f>
        <v>#N/A</v>
      </c>
      <c r="T23" s="412" t="e">
        <f>PAS!U78</f>
        <v>#N/A</v>
      </c>
      <c r="U23" s="412" t="e">
        <f>PAS!V78</f>
        <v>#N/A</v>
      </c>
      <c r="V23" s="412" t="e">
        <f>PAS!W78</f>
        <v>#N/A</v>
      </c>
      <c r="W23" s="412" t="e">
        <f>PAS!X78</f>
        <v>#N/A</v>
      </c>
      <c r="X23" s="412" t="e">
        <f>PAS!Y78</f>
        <v>#N/A</v>
      </c>
      <c r="Y23" s="412">
        <f>PAS!Z78</f>
        <v>100</v>
      </c>
      <c r="Z23" s="412">
        <f>PAS!AA78</f>
        <v>100</v>
      </c>
      <c r="AA23" s="412">
        <f>PAS!AB78</f>
        <v>100</v>
      </c>
      <c r="AB23" s="412">
        <f>PAS!AC78</f>
        <v>100</v>
      </c>
      <c r="AC23" s="412" t="e">
        <f>PAS!AD78</f>
        <v>#N/A</v>
      </c>
      <c r="AD23" s="412" t="e">
        <f>PAS!AE78</f>
        <v>#N/A</v>
      </c>
      <c r="AE23" s="412">
        <f>PAS!AF78</f>
        <v>100</v>
      </c>
      <c r="AF23" s="412">
        <f>PAS!AG78</f>
        <v>100</v>
      </c>
      <c r="AG23" s="412">
        <f>PAS!AH78</f>
        <v>100</v>
      </c>
      <c r="AH23" s="412" t="e">
        <f>PAS!AI78</f>
        <v>#N/A</v>
      </c>
      <c r="AI23" s="412" t="e">
        <f>PAS!AJ78</f>
        <v>#N/A</v>
      </c>
      <c r="AJ23" s="412" t="e">
        <f>PAS!AK78</f>
        <v>#N/A</v>
      </c>
      <c r="AK23" s="412">
        <f>PAS!AL78</f>
        <v>100</v>
      </c>
      <c r="AL23" s="412">
        <f>PAS!AM78</f>
        <v>100</v>
      </c>
      <c r="AM23" s="412">
        <f>PAS!AN78</f>
        <v>100</v>
      </c>
      <c r="AN23" s="412" t="e">
        <f>PAS!AO78</f>
        <v>#N/A</v>
      </c>
      <c r="AO23" s="412" t="e">
        <f>PAS!AP78</f>
        <v>#N/A</v>
      </c>
      <c r="AP23" s="412" t="e">
        <f>PAS!AQ78</f>
        <v>#N/A</v>
      </c>
      <c r="AQ23" s="412">
        <f>PAS!AR78</f>
        <v>100</v>
      </c>
      <c r="AR23" s="412">
        <f>PAS!AS78</f>
        <v>100</v>
      </c>
      <c r="AS23" s="412">
        <f>PAS!AT78</f>
        <v>100</v>
      </c>
      <c r="AT23" s="412" t="e">
        <f>PAS!AU78</f>
        <v>#VALUE!</v>
      </c>
      <c r="AU23" s="412" t="e">
        <f>PAS!AV78</f>
        <v>#VALUE!</v>
      </c>
      <c r="AV23" s="412" t="e">
        <f>PAS!AW78</f>
        <v>#VALUE!</v>
      </c>
      <c r="AW23" s="412" t="e">
        <f>PAS!AX78</f>
        <v>#VALUE!</v>
      </c>
      <c r="AX23" s="412" t="e">
        <f>PAS!AY78</f>
        <v>#VALUE!</v>
      </c>
      <c r="AY23" s="412" t="e">
        <f>PAS!AZ78</f>
        <v>#N/A</v>
      </c>
      <c r="AZ23" s="412" t="e">
        <f>PAS!BA78</f>
        <v>#N/A</v>
      </c>
      <c r="BA23" s="412" t="e">
        <f>PAS!BB78</f>
        <v>#N/A</v>
      </c>
      <c r="BB23" s="412" t="e">
        <f>PAS!BC78</f>
        <v>#N/A</v>
      </c>
      <c r="BC23" s="412" t="e">
        <f>PAS!BD78</f>
        <v>#N/A</v>
      </c>
      <c r="BD23" s="412">
        <f>PAS!BE78</f>
        <v>80</v>
      </c>
      <c r="BE23" s="412">
        <f>PAS!BF78</f>
        <v>80</v>
      </c>
      <c r="BF23" s="412" t="e">
        <f>PAS!BG78</f>
        <v>#N/A</v>
      </c>
      <c r="BG23" s="412" t="e">
        <f>PAS!BH78</f>
        <v>#N/A</v>
      </c>
      <c r="BH23" s="412" t="e">
        <f>PAS!BI78</f>
        <v>#N/A</v>
      </c>
      <c r="BI23" s="412" t="e">
        <f>PAS!BJ78</f>
        <v>#N/A</v>
      </c>
      <c r="BJ23" s="412" t="e">
        <f>PAS!BK78</f>
        <v>#N/A</v>
      </c>
      <c r="BK23" s="412" t="e">
        <f>PAS!BL78</f>
        <v>#N/A</v>
      </c>
      <c r="BL23" s="412" t="e">
        <f>PAS!BM78</f>
        <v>#N/A</v>
      </c>
      <c r="BM23" s="412">
        <f>PAS!BN78</f>
        <v>80</v>
      </c>
      <c r="BN23" s="412">
        <f>PAS!BO78</f>
        <v>80</v>
      </c>
      <c r="BO23" s="412" t="e">
        <f>PAS!BP78</f>
        <v>#N/A</v>
      </c>
      <c r="BP23" s="412" t="e">
        <f>PAS!BQ78</f>
        <v>#N/A</v>
      </c>
      <c r="BQ23" s="412" t="e">
        <f>PAS!BR78</f>
        <v>#N/A</v>
      </c>
      <c r="BR23" s="412" t="e">
        <f>PAS!BS78</f>
        <v>#N/A</v>
      </c>
      <c r="BS23" s="412">
        <f>PAS!BT78</f>
        <v>80</v>
      </c>
      <c r="BT23" s="412">
        <f>PAS!BU78</f>
        <v>80</v>
      </c>
      <c r="BU23" s="412" t="e">
        <f>PAS!BV78</f>
        <v>#N/A</v>
      </c>
      <c r="BV23" s="412" t="e">
        <f>PAS!BW78</f>
        <v>#N/A</v>
      </c>
      <c r="BW23" s="412" t="e">
        <f>PAS!BX78</f>
        <v>#N/A</v>
      </c>
      <c r="BX23" s="412">
        <f>PAS!BY78</f>
        <v>80</v>
      </c>
      <c r="BY23" s="412">
        <f>PAS!BZ78</f>
        <v>80</v>
      </c>
      <c r="BZ23" s="412" t="e">
        <f>PAS!CA78</f>
        <v>#N/A</v>
      </c>
      <c r="CA23" s="412" t="e">
        <f>PAS!CB78</f>
        <v>#N/A</v>
      </c>
      <c r="CB23" s="412" t="e">
        <f>PAS!CC78</f>
        <v>#N/A</v>
      </c>
      <c r="CC23" s="412" t="e">
        <f>PAS!CD78</f>
        <v>#N/A</v>
      </c>
    </row>
    <row r="24" spans="1:81" ht="20.25" customHeight="1">
      <c r="A24" s="113">
        <v>21</v>
      </c>
      <c r="B24" s="410" t="str">
        <f>SISWA!C26</f>
        <v>Anak 21</v>
      </c>
      <c r="C24" s="412">
        <f>PAS!D79</f>
        <v>100</v>
      </c>
      <c r="D24" s="412">
        <f>PAS!E79</f>
        <v>100</v>
      </c>
      <c r="E24" s="412">
        <f>PAS!F79</f>
        <v>100</v>
      </c>
      <c r="F24" s="412" t="e">
        <f>PAS!G79</f>
        <v>#N/A</v>
      </c>
      <c r="G24" s="412" t="e">
        <f>PAS!H79</f>
        <v>#N/A</v>
      </c>
      <c r="H24" s="412" t="e">
        <f>PAS!I79</f>
        <v>#N/A</v>
      </c>
      <c r="I24" s="412">
        <f>PAS!J79</f>
        <v>80</v>
      </c>
      <c r="J24" s="412">
        <f>PAS!K79</f>
        <v>90</v>
      </c>
      <c r="K24" s="412">
        <f>PAS!L79</f>
        <v>100</v>
      </c>
      <c r="L24" s="412">
        <f>PAS!M79</f>
        <v>100</v>
      </c>
      <c r="M24" s="412">
        <f>PAS!N79</f>
        <v>100</v>
      </c>
      <c r="N24" s="412" t="e">
        <f>PAS!O79</f>
        <v>#N/A</v>
      </c>
      <c r="O24" s="412" t="e">
        <f>PAS!P79</f>
        <v>#N/A</v>
      </c>
      <c r="P24" s="412" t="e">
        <f>PAS!Q79</f>
        <v>#N/A</v>
      </c>
      <c r="Q24" s="412">
        <f>PAS!R79</f>
        <v>80</v>
      </c>
      <c r="R24" s="412">
        <f>PAS!S79</f>
        <v>90</v>
      </c>
      <c r="S24" s="412" t="e">
        <f>PAS!T79</f>
        <v>#N/A</v>
      </c>
      <c r="T24" s="412" t="e">
        <f>PAS!U79</f>
        <v>#N/A</v>
      </c>
      <c r="U24" s="412" t="e">
        <f>PAS!V79</f>
        <v>#N/A</v>
      </c>
      <c r="V24" s="412" t="e">
        <f>PAS!W79</f>
        <v>#N/A</v>
      </c>
      <c r="W24" s="412" t="e">
        <f>PAS!X79</f>
        <v>#N/A</v>
      </c>
      <c r="X24" s="412" t="e">
        <f>PAS!Y79</f>
        <v>#N/A</v>
      </c>
      <c r="Y24" s="412">
        <f>PAS!Z79</f>
        <v>100</v>
      </c>
      <c r="Z24" s="412">
        <f>PAS!AA79</f>
        <v>100</v>
      </c>
      <c r="AA24" s="412">
        <f>PAS!AB79</f>
        <v>100</v>
      </c>
      <c r="AB24" s="412">
        <f>PAS!AC79</f>
        <v>100</v>
      </c>
      <c r="AC24" s="412" t="e">
        <f>PAS!AD79</f>
        <v>#N/A</v>
      </c>
      <c r="AD24" s="412" t="e">
        <f>PAS!AE79</f>
        <v>#N/A</v>
      </c>
      <c r="AE24" s="412">
        <f>PAS!AF79</f>
        <v>100</v>
      </c>
      <c r="AF24" s="412">
        <f>PAS!AG79</f>
        <v>100</v>
      </c>
      <c r="AG24" s="412">
        <f>PAS!AH79</f>
        <v>100</v>
      </c>
      <c r="AH24" s="412" t="e">
        <f>PAS!AI79</f>
        <v>#N/A</v>
      </c>
      <c r="AI24" s="412" t="e">
        <f>PAS!AJ79</f>
        <v>#N/A</v>
      </c>
      <c r="AJ24" s="412" t="e">
        <f>PAS!AK79</f>
        <v>#N/A</v>
      </c>
      <c r="AK24" s="412">
        <f>PAS!AL79</f>
        <v>100</v>
      </c>
      <c r="AL24" s="412">
        <f>PAS!AM79</f>
        <v>100</v>
      </c>
      <c r="AM24" s="412">
        <f>PAS!AN79</f>
        <v>100</v>
      </c>
      <c r="AN24" s="412" t="e">
        <f>PAS!AO79</f>
        <v>#N/A</v>
      </c>
      <c r="AO24" s="412" t="e">
        <f>PAS!AP79</f>
        <v>#N/A</v>
      </c>
      <c r="AP24" s="412" t="e">
        <f>PAS!AQ79</f>
        <v>#N/A</v>
      </c>
      <c r="AQ24" s="412">
        <f>PAS!AR79</f>
        <v>100</v>
      </c>
      <c r="AR24" s="412">
        <f>PAS!AS79</f>
        <v>100</v>
      </c>
      <c r="AS24" s="412">
        <f>PAS!AT79</f>
        <v>100</v>
      </c>
      <c r="AT24" s="412" t="e">
        <f>PAS!AU79</f>
        <v>#VALUE!</v>
      </c>
      <c r="AU24" s="412" t="e">
        <f>PAS!AV79</f>
        <v>#VALUE!</v>
      </c>
      <c r="AV24" s="412" t="e">
        <f>PAS!AW79</f>
        <v>#VALUE!</v>
      </c>
      <c r="AW24" s="412" t="e">
        <f>PAS!AX79</f>
        <v>#VALUE!</v>
      </c>
      <c r="AX24" s="412" t="e">
        <f>PAS!AY79</f>
        <v>#VALUE!</v>
      </c>
      <c r="AY24" s="412" t="e">
        <f>PAS!AZ79</f>
        <v>#N/A</v>
      </c>
      <c r="AZ24" s="412" t="e">
        <f>PAS!BA79</f>
        <v>#N/A</v>
      </c>
      <c r="BA24" s="412" t="e">
        <f>PAS!BB79</f>
        <v>#N/A</v>
      </c>
      <c r="BB24" s="412" t="e">
        <f>PAS!BC79</f>
        <v>#N/A</v>
      </c>
      <c r="BC24" s="412" t="e">
        <f>PAS!BD79</f>
        <v>#N/A</v>
      </c>
      <c r="BD24" s="412">
        <f>PAS!BE79</f>
        <v>80</v>
      </c>
      <c r="BE24" s="412">
        <f>PAS!BF79</f>
        <v>90</v>
      </c>
      <c r="BF24" s="412" t="e">
        <f>PAS!BG79</f>
        <v>#N/A</v>
      </c>
      <c r="BG24" s="412" t="e">
        <f>PAS!BH79</f>
        <v>#N/A</v>
      </c>
      <c r="BH24" s="412" t="e">
        <f>PAS!BI79</f>
        <v>#N/A</v>
      </c>
      <c r="BI24" s="412" t="e">
        <f>PAS!BJ79</f>
        <v>#N/A</v>
      </c>
      <c r="BJ24" s="412" t="e">
        <f>PAS!BK79</f>
        <v>#N/A</v>
      </c>
      <c r="BK24" s="412" t="e">
        <f>PAS!BL79</f>
        <v>#N/A</v>
      </c>
      <c r="BL24" s="412" t="e">
        <f>PAS!BM79</f>
        <v>#N/A</v>
      </c>
      <c r="BM24" s="412">
        <f>PAS!BN79</f>
        <v>80</v>
      </c>
      <c r="BN24" s="412">
        <f>PAS!BO79</f>
        <v>90</v>
      </c>
      <c r="BO24" s="412" t="e">
        <f>PAS!BP79</f>
        <v>#N/A</v>
      </c>
      <c r="BP24" s="412" t="e">
        <f>PAS!BQ79</f>
        <v>#N/A</v>
      </c>
      <c r="BQ24" s="412" t="e">
        <f>PAS!BR79</f>
        <v>#N/A</v>
      </c>
      <c r="BR24" s="412" t="e">
        <f>PAS!BS79</f>
        <v>#N/A</v>
      </c>
      <c r="BS24" s="412">
        <f>PAS!BT79</f>
        <v>80</v>
      </c>
      <c r="BT24" s="412">
        <f>PAS!BU79</f>
        <v>90</v>
      </c>
      <c r="BU24" s="412" t="e">
        <f>PAS!BV79</f>
        <v>#N/A</v>
      </c>
      <c r="BV24" s="412" t="e">
        <f>PAS!BW79</f>
        <v>#N/A</v>
      </c>
      <c r="BW24" s="412" t="e">
        <f>PAS!BX79</f>
        <v>#N/A</v>
      </c>
      <c r="BX24" s="412">
        <f>PAS!BY79</f>
        <v>80</v>
      </c>
      <c r="BY24" s="412">
        <f>PAS!BZ79</f>
        <v>90</v>
      </c>
      <c r="BZ24" s="412" t="e">
        <f>PAS!CA79</f>
        <v>#N/A</v>
      </c>
      <c r="CA24" s="412" t="e">
        <f>PAS!CB79</f>
        <v>#N/A</v>
      </c>
      <c r="CB24" s="412" t="e">
        <f>PAS!CC79</f>
        <v>#N/A</v>
      </c>
      <c r="CC24" s="412" t="e">
        <f>PAS!CD79</f>
        <v>#N/A</v>
      </c>
    </row>
    <row r="25" spans="1:81" ht="20.25" customHeight="1">
      <c r="A25" s="113">
        <v>22</v>
      </c>
      <c r="B25" s="410" t="str">
        <f>SISWA!C27</f>
        <v>Anak 22</v>
      </c>
      <c r="C25" s="412">
        <f>PAS!D80</f>
        <v>100</v>
      </c>
      <c r="D25" s="412">
        <f>PAS!E80</f>
        <v>100</v>
      </c>
      <c r="E25" s="412">
        <f>PAS!F80</f>
        <v>100</v>
      </c>
      <c r="F25" s="412" t="e">
        <f>PAS!G80</f>
        <v>#N/A</v>
      </c>
      <c r="G25" s="412" t="e">
        <f>PAS!H80</f>
        <v>#N/A</v>
      </c>
      <c r="H25" s="412" t="e">
        <f>PAS!I80</f>
        <v>#N/A</v>
      </c>
      <c r="I25" s="412">
        <f>PAS!J80</f>
        <v>90</v>
      </c>
      <c r="J25" s="412">
        <f>PAS!K80</f>
        <v>90</v>
      </c>
      <c r="K25" s="412">
        <f>PAS!L80</f>
        <v>100</v>
      </c>
      <c r="L25" s="412">
        <f>PAS!M80</f>
        <v>100</v>
      </c>
      <c r="M25" s="412">
        <f>PAS!N80</f>
        <v>100</v>
      </c>
      <c r="N25" s="412" t="e">
        <f>PAS!O80</f>
        <v>#N/A</v>
      </c>
      <c r="O25" s="412" t="e">
        <f>PAS!P80</f>
        <v>#N/A</v>
      </c>
      <c r="P25" s="412" t="e">
        <f>PAS!Q80</f>
        <v>#N/A</v>
      </c>
      <c r="Q25" s="412">
        <f>PAS!R80</f>
        <v>90</v>
      </c>
      <c r="R25" s="412">
        <f>PAS!S80</f>
        <v>90</v>
      </c>
      <c r="S25" s="412" t="e">
        <f>PAS!T80</f>
        <v>#N/A</v>
      </c>
      <c r="T25" s="412" t="e">
        <f>PAS!U80</f>
        <v>#N/A</v>
      </c>
      <c r="U25" s="412" t="e">
        <f>PAS!V80</f>
        <v>#N/A</v>
      </c>
      <c r="V25" s="412" t="e">
        <f>PAS!W80</f>
        <v>#N/A</v>
      </c>
      <c r="W25" s="412" t="e">
        <f>PAS!X80</f>
        <v>#N/A</v>
      </c>
      <c r="X25" s="412" t="e">
        <f>PAS!Y80</f>
        <v>#N/A</v>
      </c>
      <c r="Y25" s="412">
        <f>PAS!Z80</f>
        <v>100</v>
      </c>
      <c r="Z25" s="412">
        <f>PAS!AA80</f>
        <v>100</v>
      </c>
      <c r="AA25" s="412">
        <f>PAS!AB80</f>
        <v>100</v>
      </c>
      <c r="AB25" s="412">
        <f>PAS!AC80</f>
        <v>100</v>
      </c>
      <c r="AC25" s="412" t="e">
        <f>PAS!AD80</f>
        <v>#N/A</v>
      </c>
      <c r="AD25" s="412" t="e">
        <f>PAS!AE80</f>
        <v>#N/A</v>
      </c>
      <c r="AE25" s="412">
        <f>PAS!AF80</f>
        <v>100</v>
      </c>
      <c r="AF25" s="412">
        <f>PAS!AG80</f>
        <v>100</v>
      </c>
      <c r="AG25" s="412">
        <f>PAS!AH80</f>
        <v>100</v>
      </c>
      <c r="AH25" s="412" t="e">
        <f>PAS!AI80</f>
        <v>#N/A</v>
      </c>
      <c r="AI25" s="412" t="e">
        <f>PAS!AJ80</f>
        <v>#N/A</v>
      </c>
      <c r="AJ25" s="412" t="e">
        <f>PAS!AK80</f>
        <v>#N/A</v>
      </c>
      <c r="AK25" s="412">
        <f>PAS!AL80</f>
        <v>100</v>
      </c>
      <c r="AL25" s="412">
        <f>PAS!AM80</f>
        <v>100</v>
      </c>
      <c r="AM25" s="412">
        <f>PAS!AN80</f>
        <v>100</v>
      </c>
      <c r="AN25" s="412" t="e">
        <f>PAS!AO80</f>
        <v>#N/A</v>
      </c>
      <c r="AO25" s="412" t="e">
        <f>PAS!AP80</f>
        <v>#N/A</v>
      </c>
      <c r="AP25" s="412" t="e">
        <f>PAS!AQ80</f>
        <v>#N/A</v>
      </c>
      <c r="AQ25" s="412">
        <f>PAS!AR80</f>
        <v>100</v>
      </c>
      <c r="AR25" s="412">
        <f>PAS!AS80</f>
        <v>100</v>
      </c>
      <c r="AS25" s="412">
        <f>PAS!AT80</f>
        <v>100</v>
      </c>
      <c r="AT25" s="412" t="e">
        <f>PAS!AU80</f>
        <v>#VALUE!</v>
      </c>
      <c r="AU25" s="412" t="e">
        <f>PAS!AV80</f>
        <v>#VALUE!</v>
      </c>
      <c r="AV25" s="412" t="e">
        <f>PAS!AW80</f>
        <v>#VALUE!</v>
      </c>
      <c r="AW25" s="412" t="e">
        <f>PAS!AX80</f>
        <v>#VALUE!</v>
      </c>
      <c r="AX25" s="412" t="e">
        <f>PAS!AY80</f>
        <v>#VALUE!</v>
      </c>
      <c r="AY25" s="412" t="e">
        <f>PAS!AZ80</f>
        <v>#N/A</v>
      </c>
      <c r="AZ25" s="412" t="e">
        <f>PAS!BA80</f>
        <v>#N/A</v>
      </c>
      <c r="BA25" s="412" t="e">
        <f>PAS!BB80</f>
        <v>#N/A</v>
      </c>
      <c r="BB25" s="412" t="e">
        <f>PAS!BC80</f>
        <v>#N/A</v>
      </c>
      <c r="BC25" s="412" t="e">
        <f>PAS!BD80</f>
        <v>#N/A</v>
      </c>
      <c r="BD25" s="412">
        <f>PAS!BE80</f>
        <v>90</v>
      </c>
      <c r="BE25" s="412">
        <f>PAS!BF80</f>
        <v>90</v>
      </c>
      <c r="BF25" s="412" t="e">
        <f>PAS!BG80</f>
        <v>#N/A</v>
      </c>
      <c r="BG25" s="412" t="e">
        <f>PAS!BH80</f>
        <v>#N/A</v>
      </c>
      <c r="BH25" s="412" t="e">
        <f>PAS!BI80</f>
        <v>#N/A</v>
      </c>
      <c r="BI25" s="412" t="e">
        <f>PAS!BJ80</f>
        <v>#N/A</v>
      </c>
      <c r="BJ25" s="412" t="e">
        <f>PAS!BK80</f>
        <v>#N/A</v>
      </c>
      <c r="BK25" s="412" t="e">
        <f>PAS!BL80</f>
        <v>#N/A</v>
      </c>
      <c r="BL25" s="412" t="e">
        <f>PAS!BM80</f>
        <v>#N/A</v>
      </c>
      <c r="BM25" s="412">
        <f>PAS!BN80</f>
        <v>90</v>
      </c>
      <c r="BN25" s="412">
        <f>PAS!BO80</f>
        <v>90</v>
      </c>
      <c r="BO25" s="412" t="e">
        <f>PAS!BP80</f>
        <v>#N/A</v>
      </c>
      <c r="BP25" s="412" t="e">
        <f>PAS!BQ80</f>
        <v>#N/A</v>
      </c>
      <c r="BQ25" s="412" t="e">
        <f>PAS!BR80</f>
        <v>#N/A</v>
      </c>
      <c r="BR25" s="412" t="e">
        <f>PAS!BS80</f>
        <v>#N/A</v>
      </c>
      <c r="BS25" s="412">
        <f>PAS!BT80</f>
        <v>90</v>
      </c>
      <c r="BT25" s="412">
        <f>PAS!BU80</f>
        <v>90</v>
      </c>
      <c r="BU25" s="412" t="e">
        <f>PAS!BV80</f>
        <v>#N/A</v>
      </c>
      <c r="BV25" s="412" t="e">
        <f>PAS!BW80</f>
        <v>#N/A</v>
      </c>
      <c r="BW25" s="412" t="e">
        <f>PAS!BX80</f>
        <v>#N/A</v>
      </c>
      <c r="BX25" s="412">
        <f>PAS!BY80</f>
        <v>90</v>
      </c>
      <c r="BY25" s="412">
        <f>PAS!BZ80</f>
        <v>90</v>
      </c>
      <c r="BZ25" s="412" t="e">
        <f>PAS!CA80</f>
        <v>#N/A</v>
      </c>
      <c r="CA25" s="412" t="e">
        <f>PAS!CB80</f>
        <v>#N/A</v>
      </c>
      <c r="CB25" s="412" t="e">
        <f>PAS!CC80</f>
        <v>#N/A</v>
      </c>
      <c r="CC25" s="412" t="e">
        <f>PAS!CD80</f>
        <v>#N/A</v>
      </c>
    </row>
    <row r="26" spans="1:81" ht="20.25" customHeight="1">
      <c r="A26" s="113">
        <v>23</v>
      </c>
      <c r="B26" s="410" t="str">
        <f>SISWA!C28</f>
        <v>Anak 23</v>
      </c>
      <c r="C26" s="412">
        <f>PAS!D81</f>
        <v>100</v>
      </c>
      <c r="D26" s="412">
        <f>PAS!E81</f>
        <v>100</v>
      </c>
      <c r="E26" s="412">
        <f>PAS!F81</f>
        <v>100</v>
      </c>
      <c r="F26" s="412" t="e">
        <f>PAS!G81</f>
        <v>#N/A</v>
      </c>
      <c r="G26" s="412" t="e">
        <f>PAS!H81</f>
        <v>#N/A</v>
      </c>
      <c r="H26" s="412" t="e">
        <f>PAS!I81</f>
        <v>#N/A</v>
      </c>
      <c r="I26" s="412">
        <f>PAS!J81</f>
        <v>90</v>
      </c>
      <c r="J26" s="412">
        <f>PAS!K81</f>
        <v>80</v>
      </c>
      <c r="K26" s="412">
        <f>PAS!L81</f>
        <v>100</v>
      </c>
      <c r="L26" s="412">
        <f>PAS!M81</f>
        <v>100</v>
      </c>
      <c r="M26" s="412">
        <f>PAS!N81</f>
        <v>100</v>
      </c>
      <c r="N26" s="412" t="e">
        <f>PAS!O81</f>
        <v>#N/A</v>
      </c>
      <c r="O26" s="412" t="e">
        <f>PAS!P81</f>
        <v>#N/A</v>
      </c>
      <c r="P26" s="412" t="e">
        <f>PAS!Q81</f>
        <v>#N/A</v>
      </c>
      <c r="Q26" s="412">
        <f>PAS!R81</f>
        <v>90</v>
      </c>
      <c r="R26" s="412">
        <f>PAS!S81</f>
        <v>80</v>
      </c>
      <c r="S26" s="412" t="e">
        <f>PAS!T81</f>
        <v>#N/A</v>
      </c>
      <c r="T26" s="412" t="e">
        <f>PAS!U81</f>
        <v>#N/A</v>
      </c>
      <c r="U26" s="412" t="e">
        <f>PAS!V81</f>
        <v>#N/A</v>
      </c>
      <c r="V26" s="412" t="e">
        <f>PAS!W81</f>
        <v>#N/A</v>
      </c>
      <c r="W26" s="412" t="e">
        <f>PAS!X81</f>
        <v>#N/A</v>
      </c>
      <c r="X26" s="412" t="e">
        <f>PAS!Y81</f>
        <v>#N/A</v>
      </c>
      <c r="Y26" s="412">
        <f>PAS!Z81</f>
        <v>100</v>
      </c>
      <c r="Z26" s="412">
        <f>PAS!AA81</f>
        <v>100</v>
      </c>
      <c r="AA26" s="412">
        <f>PAS!AB81</f>
        <v>100</v>
      </c>
      <c r="AB26" s="412">
        <f>PAS!AC81</f>
        <v>100</v>
      </c>
      <c r="AC26" s="412" t="e">
        <f>PAS!AD81</f>
        <v>#N/A</v>
      </c>
      <c r="AD26" s="412" t="e">
        <f>PAS!AE81</f>
        <v>#N/A</v>
      </c>
      <c r="AE26" s="412">
        <f>PAS!AF81</f>
        <v>100</v>
      </c>
      <c r="AF26" s="412">
        <f>PAS!AG81</f>
        <v>100</v>
      </c>
      <c r="AG26" s="412">
        <f>PAS!AH81</f>
        <v>100</v>
      </c>
      <c r="AH26" s="412" t="e">
        <f>PAS!AI81</f>
        <v>#N/A</v>
      </c>
      <c r="AI26" s="412" t="e">
        <f>PAS!AJ81</f>
        <v>#N/A</v>
      </c>
      <c r="AJ26" s="412" t="e">
        <f>PAS!AK81</f>
        <v>#N/A</v>
      </c>
      <c r="AK26" s="412">
        <f>PAS!AL81</f>
        <v>100</v>
      </c>
      <c r="AL26" s="412">
        <f>PAS!AM81</f>
        <v>100</v>
      </c>
      <c r="AM26" s="412">
        <f>PAS!AN81</f>
        <v>100</v>
      </c>
      <c r="AN26" s="412" t="e">
        <f>PAS!AO81</f>
        <v>#N/A</v>
      </c>
      <c r="AO26" s="412" t="e">
        <f>PAS!AP81</f>
        <v>#N/A</v>
      </c>
      <c r="AP26" s="412" t="e">
        <f>PAS!AQ81</f>
        <v>#N/A</v>
      </c>
      <c r="AQ26" s="412">
        <f>PAS!AR81</f>
        <v>100</v>
      </c>
      <c r="AR26" s="412">
        <f>PAS!AS81</f>
        <v>100</v>
      </c>
      <c r="AS26" s="412">
        <f>PAS!AT81</f>
        <v>100</v>
      </c>
      <c r="AT26" s="412" t="e">
        <f>PAS!AU81</f>
        <v>#VALUE!</v>
      </c>
      <c r="AU26" s="412" t="e">
        <f>PAS!AV81</f>
        <v>#VALUE!</v>
      </c>
      <c r="AV26" s="412" t="e">
        <f>PAS!AW81</f>
        <v>#VALUE!</v>
      </c>
      <c r="AW26" s="412" t="e">
        <f>PAS!AX81</f>
        <v>#VALUE!</v>
      </c>
      <c r="AX26" s="412" t="e">
        <f>PAS!AY81</f>
        <v>#VALUE!</v>
      </c>
      <c r="AY26" s="412" t="e">
        <f>PAS!AZ81</f>
        <v>#N/A</v>
      </c>
      <c r="AZ26" s="412" t="e">
        <f>PAS!BA81</f>
        <v>#N/A</v>
      </c>
      <c r="BA26" s="412" t="e">
        <f>PAS!BB81</f>
        <v>#N/A</v>
      </c>
      <c r="BB26" s="412" t="e">
        <f>PAS!BC81</f>
        <v>#N/A</v>
      </c>
      <c r="BC26" s="412" t="e">
        <f>PAS!BD81</f>
        <v>#N/A</v>
      </c>
      <c r="BD26" s="412">
        <f>PAS!BE81</f>
        <v>90</v>
      </c>
      <c r="BE26" s="412">
        <f>PAS!BF81</f>
        <v>80</v>
      </c>
      <c r="BF26" s="412" t="e">
        <f>PAS!BG81</f>
        <v>#N/A</v>
      </c>
      <c r="BG26" s="412" t="e">
        <f>PAS!BH81</f>
        <v>#N/A</v>
      </c>
      <c r="BH26" s="412" t="e">
        <f>PAS!BI81</f>
        <v>#N/A</v>
      </c>
      <c r="BI26" s="412" t="e">
        <f>PAS!BJ81</f>
        <v>#N/A</v>
      </c>
      <c r="BJ26" s="412" t="e">
        <f>PAS!BK81</f>
        <v>#N/A</v>
      </c>
      <c r="BK26" s="412" t="e">
        <f>PAS!BL81</f>
        <v>#N/A</v>
      </c>
      <c r="BL26" s="412" t="e">
        <f>PAS!BM81</f>
        <v>#N/A</v>
      </c>
      <c r="BM26" s="412">
        <f>PAS!BN81</f>
        <v>90</v>
      </c>
      <c r="BN26" s="412">
        <f>PAS!BO81</f>
        <v>80</v>
      </c>
      <c r="BO26" s="412" t="e">
        <f>PAS!BP81</f>
        <v>#N/A</v>
      </c>
      <c r="BP26" s="412" t="e">
        <f>PAS!BQ81</f>
        <v>#N/A</v>
      </c>
      <c r="BQ26" s="412" t="e">
        <f>PAS!BR81</f>
        <v>#N/A</v>
      </c>
      <c r="BR26" s="412" t="e">
        <f>PAS!BS81</f>
        <v>#N/A</v>
      </c>
      <c r="BS26" s="412">
        <f>PAS!BT81</f>
        <v>90</v>
      </c>
      <c r="BT26" s="412">
        <f>PAS!BU81</f>
        <v>80</v>
      </c>
      <c r="BU26" s="412" t="e">
        <f>PAS!BV81</f>
        <v>#N/A</v>
      </c>
      <c r="BV26" s="412" t="e">
        <f>PAS!BW81</f>
        <v>#N/A</v>
      </c>
      <c r="BW26" s="412" t="e">
        <f>PAS!BX81</f>
        <v>#N/A</v>
      </c>
      <c r="BX26" s="412">
        <f>PAS!BY81</f>
        <v>90</v>
      </c>
      <c r="BY26" s="412">
        <f>PAS!BZ81</f>
        <v>80</v>
      </c>
      <c r="BZ26" s="412" t="e">
        <f>PAS!CA81</f>
        <v>#N/A</v>
      </c>
      <c r="CA26" s="412" t="e">
        <f>PAS!CB81</f>
        <v>#N/A</v>
      </c>
      <c r="CB26" s="412" t="e">
        <f>PAS!CC81</f>
        <v>#N/A</v>
      </c>
      <c r="CC26" s="412" t="e">
        <f>PAS!CD81</f>
        <v>#N/A</v>
      </c>
    </row>
    <row r="27" spans="1:81" ht="20.25" customHeight="1">
      <c r="A27" s="113">
        <v>24</v>
      </c>
      <c r="B27" s="410" t="str">
        <f>SISWA!C29</f>
        <v>Anak 24</v>
      </c>
      <c r="C27" s="412">
        <f>PAS!D82</f>
        <v>100</v>
      </c>
      <c r="D27" s="412">
        <f>PAS!E82</f>
        <v>100</v>
      </c>
      <c r="E27" s="412">
        <f>PAS!F82</f>
        <v>100</v>
      </c>
      <c r="F27" s="412" t="e">
        <f>PAS!G82</f>
        <v>#N/A</v>
      </c>
      <c r="G27" s="412" t="e">
        <f>PAS!H82</f>
        <v>#N/A</v>
      </c>
      <c r="H27" s="412" t="e">
        <f>PAS!I82</f>
        <v>#N/A</v>
      </c>
      <c r="I27" s="412">
        <f>PAS!J82</f>
        <v>80</v>
      </c>
      <c r="J27" s="412">
        <f>PAS!K82</f>
        <v>85</v>
      </c>
      <c r="K27" s="412">
        <f>PAS!L82</f>
        <v>100</v>
      </c>
      <c r="L27" s="412">
        <f>PAS!M82</f>
        <v>100</v>
      </c>
      <c r="M27" s="412">
        <f>PAS!N82</f>
        <v>100</v>
      </c>
      <c r="N27" s="412" t="e">
        <f>PAS!O82</f>
        <v>#N/A</v>
      </c>
      <c r="O27" s="412" t="e">
        <f>PAS!P82</f>
        <v>#N/A</v>
      </c>
      <c r="P27" s="412" t="e">
        <f>PAS!Q82</f>
        <v>#N/A</v>
      </c>
      <c r="Q27" s="412">
        <f>PAS!R82</f>
        <v>80</v>
      </c>
      <c r="R27" s="412">
        <f>PAS!S82</f>
        <v>85</v>
      </c>
      <c r="S27" s="412" t="e">
        <f>PAS!T82</f>
        <v>#N/A</v>
      </c>
      <c r="T27" s="412" t="e">
        <f>PAS!U82</f>
        <v>#N/A</v>
      </c>
      <c r="U27" s="412" t="e">
        <f>PAS!V82</f>
        <v>#N/A</v>
      </c>
      <c r="V27" s="412" t="e">
        <f>PAS!W82</f>
        <v>#N/A</v>
      </c>
      <c r="W27" s="412" t="e">
        <f>PAS!X82</f>
        <v>#N/A</v>
      </c>
      <c r="X27" s="412" t="e">
        <f>PAS!Y82</f>
        <v>#N/A</v>
      </c>
      <c r="Y27" s="412">
        <f>PAS!Z82</f>
        <v>100</v>
      </c>
      <c r="Z27" s="412">
        <f>PAS!AA82</f>
        <v>100</v>
      </c>
      <c r="AA27" s="412">
        <f>PAS!AB82</f>
        <v>100</v>
      </c>
      <c r="AB27" s="412">
        <f>PAS!AC82</f>
        <v>100</v>
      </c>
      <c r="AC27" s="412" t="e">
        <f>PAS!AD82</f>
        <v>#N/A</v>
      </c>
      <c r="AD27" s="412" t="e">
        <f>PAS!AE82</f>
        <v>#N/A</v>
      </c>
      <c r="AE27" s="412">
        <f>PAS!AF82</f>
        <v>100</v>
      </c>
      <c r="AF27" s="412">
        <f>PAS!AG82</f>
        <v>100</v>
      </c>
      <c r="AG27" s="412">
        <f>PAS!AH82</f>
        <v>100</v>
      </c>
      <c r="AH27" s="412" t="e">
        <f>PAS!AI82</f>
        <v>#N/A</v>
      </c>
      <c r="AI27" s="412" t="e">
        <f>PAS!AJ82</f>
        <v>#N/A</v>
      </c>
      <c r="AJ27" s="412" t="e">
        <f>PAS!AK82</f>
        <v>#N/A</v>
      </c>
      <c r="AK27" s="412">
        <f>PAS!AL82</f>
        <v>100</v>
      </c>
      <c r="AL27" s="412">
        <f>PAS!AM82</f>
        <v>100</v>
      </c>
      <c r="AM27" s="412">
        <f>PAS!AN82</f>
        <v>100</v>
      </c>
      <c r="AN27" s="412" t="e">
        <f>PAS!AO82</f>
        <v>#N/A</v>
      </c>
      <c r="AO27" s="412" t="e">
        <f>PAS!AP82</f>
        <v>#N/A</v>
      </c>
      <c r="AP27" s="412" t="e">
        <f>PAS!AQ82</f>
        <v>#N/A</v>
      </c>
      <c r="AQ27" s="412">
        <f>PAS!AR82</f>
        <v>100</v>
      </c>
      <c r="AR27" s="412">
        <f>PAS!AS82</f>
        <v>100</v>
      </c>
      <c r="AS27" s="412">
        <f>PAS!AT82</f>
        <v>100</v>
      </c>
      <c r="AT27" s="412" t="e">
        <f>PAS!AU82</f>
        <v>#VALUE!</v>
      </c>
      <c r="AU27" s="412" t="e">
        <f>PAS!AV82</f>
        <v>#VALUE!</v>
      </c>
      <c r="AV27" s="412" t="e">
        <f>PAS!AW82</f>
        <v>#VALUE!</v>
      </c>
      <c r="AW27" s="412">
        <f>PAS!AX82</f>
        <v>90</v>
      </c>
      <c r="AX27" s="412" t="e">
        <f>PAS!AY82</f>
        <v>#VALUE!</v>
      </c>
      <c r="AY27" s="412" t="e">
        <f>PAS!AZ82</f>
        <v>#N/A</v>
      </c>
      <c r="AZ27" s="412" t="e">
        <f>PAS!BA82</f>
        <v>#N/A</v>
      </c>
      <c r="BA27" s="412" t="e">
        <f>PAS!BB82</f>
        <v>#N/A</v>
      </c>
      <c r="BB27" s="412" t="e">
        <f>PAS!BC82</f>
        <v>#N/A</v>
      </c>
      <c r="BC27" s="412" t="e">
        <f>PAS!BD82</f>
        <v>#N/A</v>
      </c>
      <c r="BD27" s="412">
        <f>PAS!BE82</f>
        <v>80</v>
      </c>
      <c r="BE27" s="412">
        <f>PAS!BF82</f>
        <v>85</v>
      </c>
      <c r="BF27" s="412" t="e">
        <f>PAS!BG82</f>
        <v>#N/A</v>
      </c>
      <c r="BG27" s="412" t="e">
        <f>PAS!BH82</f>
        <v>#N/A</v>
      </c>
      <c r="BH27" s="412" t="e">
        <f>PAS!BI82</f>
        <v>#N/A</v>
      </c>
      <c r="BI27" s="412" t="e">
        <f>PAS!BJ82</f>
        <v>#N/A</v>
      </c>
      <c r="BJ27" s="412" t="e">
        <f>PAS!BK82</f>
        <v>#N/A</v>
      </c>
      <c r="BK27" s="412" t="e">
        <f>PAS!BL82</f>
        <v>#N/A</v>
      </c>
      <c r="BL27" s="412" t="e">
        <f>PAS!BM82</f>
        <v>#N/A</v>
      </c>
      <c r="BM27" s="412">
        <f>PAS!BN82</f>
        <v>80</v>
      </c>
      <c r="BN27" s="412">
        <f>PAS!BO82</f>
        <v>85</v>
      </c>
      <c r="BO27" s="412" t="e">
        <f>PAS!BP82</f>
        <v>#N/A</v>
      </c>
      <c r="BP27" s="412" t="e">
        <f>PAS!BQ82</f>
        <v>#N/A</v>
      </c>
      <c r="BQ27" s="412" t="e">
        <f>PAS!BR82</f>
        <v>#N/A</v>
      </c>
      <c r="BR27" s="412" t="e">
        <f>PAS!BS82</f>
        <v>#N/A</v>
      </c>
      <c r="BS27" s="412">
        <f>PAS!BT82</f>
        <v>80</v>
      </c>
      <c r="BT27" s="412">
        <f>PAS!BU82</f>
        <v>85</v>
      </c>
      <c r="BU27" s="412" t="e">
        <f>PAS!BV82</f>
        <v>#N/A</v>
      </c>
      <c r="BV27" s="412" t="e">
        <f>PAS!BW82</f>
        <v>#N/A</v>
      </c>
      <c r="BW27" s="412" t="e">
        <f>PAS!BX82</f>
        <v>#N/A</v>
      </c>
      <c r="BX27" s="412">
        <f>PAS!BY82</f>
        <v>80</v>
      </c>
      <c r="BY27" s="412">
        <f>PAS!BZ82</f>
        <v>85</v>
      </c>
      <c r="BZ27" s="412" t="e">
        <f>PAS!CA82</f>
        <v>#N/A</v>
      </c>
      <c r="CA27" s="412" t="e">
        <f>PAS!CB82</f>
        <v>#N/A</v>
      </c>
      <c r="CB27" s="412" t="e">
        <f>PAS!CC82</f>
        <v>#N/A</v>
      </c>
      <c r="CC27" s="412" t="e">
        <f>PAS!CD82</f>
        <v>#N/A</v>
      </c>
    </row>
    <row r="28" spans="1:81" ht="20.25" customHeight="1">
      <c r="A28" s="113">
        <v>25</v>
      </c>
      <c r="B28" s="410" t="str">
        <f>SISWA!C30</f>
        <v>Anak 25</v>
      </c>
      <c r="C28" s="412">
        <f>PAS!D83</f>
        <v>100</v>
      </c>
      <c r="D28" s="412">
        <f>PAS!E83</f>
        <v>100</v>
      </c>
      <c r="E28" s="412">
        <f>PAS!F83</f>
        <v>100</v>
      </c>
      <c r="F28" s="412" t="e">
        <f>PAS!G83</f>
        <v>#N/A</v>
      </c>
      <c r="G28" s="412" t="e">
        <f>PAS!H83</f>
        <v>#N/A</v>
      </c>
      <c r="H28" s="412" t="e">
        <f>PAS!I83</f>
        <v>#N/A</v>
      </c>
      <c r="I28" s="412">
        <f>PAS!J83</f>
        <v>85</v>
      </c>
      <c r="J28" s="412">
        <f>PAS!K83</f>
        <v>75</v>
      </c>
      <c r="K28" s="412">
        <f>PAS!L83</f>
        <v>100</v>
      </c>
      <c r="L28" s="412">
        <f>PAS!M83</f>
        <v>100</v>
      </c>
      <c r="M28" s="412">
        <f>PAS!N83</f>
        <v>100</v>
      </c>
      <c r="N28" s="412" t="e">
        <f>PAS!O83</f>
        <v>#N/A</v>
      </c>
      <c r="O28" s="412" t="e">
        <f>PAS!P83</f>
        <v>#N/A</v>
      </c>
      <c r="P28" s="412" t="e">
        <f>PAS!Q83</f>
        <v>#N/A</v>
      </c>
      <c r="Q28" s="412">
        <f>PAS!R83</f>
        <v>85</v>
      </c>
      <c r="R28" s="412">
        <f>PAS!S83</f>
        <v>75</v>
      </c>
      <c r="S28" s="412" t="e">
        <f>PAS!T83</f>
        <v>#N/A</v>
      </c>
      <c r="T28" s="412" t="e">
        <f>PAS!U83</f>
        <v>#N/A</v>
      </c>
      <c r="U28" s="412" t="e">
        <f>PAS!V83</f>
        <v>#N/A</v>
      </c>
      <c r="V28" s="412" t="e">
        <f>PAS!W83</f>
        <v>#N/A</v>
      </c>
      <c r="W28" s="412" t="e">
        <f>PAS!X83</f>
        <v>#N/A</v>
      </c>
      <c r="X28" s="412" t="e">
        <f>PAS!Y83</f>
        <v>#N/A</v>
      </c>
      <c r="Y28" s="412">
        <f>PAS!Z83</f>
        <v>100</v>
      </c>
      <c r="Z28" s="412">
        <f>PAS!AA83</f>
        <v>100</v>
      </c>
      <c r="AA28" s="412">
        <f>PAS!AB83</f>
        <v>100</v>
      </c>
      <c r="AB28" s="412">
        <f>PAS!AC83</f>
        <v>100</v>
      </c>
      <c r="AC28" s="412" t="e">
        <f>PAS!AD83</f>
        <v>#N/A</v>
      </c>
      <c r="AD28" s="412" t="e">
        <f>PAS!AE83</f>
        <v>#N/A</v>
      </c>
      <c r="AE28" s="412">
        <f>PAS!AF83</f>
        <v>100</v>
      </c>
      <c r="AF28" s="412">
        <f>PAS!AG83</f>
        <v>100</v>
      </c>
      <c r="AG28" s="412">
        <f>PAS!AH83</f>
        <v>100</v>
      </c>
      <c r="AH28" s="412" t="e">
        <f>PAS!AI83</f>
        <v>#N/A</v>
      </c>
      <c r="AI28" s="412" t="e">
        <f>PAS!AJ83</f>
        <v>#N/A</v>
      </c>
      <c r="AJ28" s="412" t="e">
        <f>PAS!AK83</f>
        <v>#N/A</v>
      </c>
      <c r="AK28" s="412">
        <f>PAS!AL83</f>
        <v>100</v>
      </c>
      <c r="AL28" s="412">
        <f>PAS!AM83</f>
        <v>100</v>
      </c>
      <c r="AM28" s="412">
        <f>PAS!AN83</f>
        <v>100</v>
      </c>
      <c r="AN28" s="412" t="e">
        <f>PAS!AO83</f>
        <v>#N/A</v>
      </c>
      <c r="AO28" s="412" t="e">
        <f>PAS!AP83</f>
        <v>#N/A</v>
      </c>
      <c r="AP28" s="412" t="e">
        <f>PAS!AQ83</f>
        <v>#N/A</v>
      </c>
      <c r="AQ28" s="412">
        <f>PAS!AR83</f>
        <v>100</v>
      </c>
      <c r="AR28" s="412">
        <f>PAS!AS83</f>
        <v>100</v>
      </c>
      <c r="AS28" s="412">
        <f>PAS!AT83</f>
        <v>100</v>
      </c>
      <c r="AT28" s="412" t="e">
        <f>PAS!AU83</f>
        <v>#VALUE!</v>
      </c>
      <c r="AU28" s="412" t="e">
        <f>PAS!AV83</f>
        <v>#VALUE!</v>
      </c>
      <c r="AV28" s="412">
        <f>PAS!AW83</f>
        <v>80</v>
      </c>
      <c r="AW28" s="412" t="e">
        <f>PAS!AX83</f>
        <v>#VALUE!</v>
      </c>
      <c r="AX28" s="412" t="e">
        <f>PAS!AY83</f>
        <v>#VALUE!</v>
      </c>
      <c r="AY28" s="412" t="e">
        <f>PAS!AZ83</f>
        <v>#N/A</v>
      </c>
      <c r="AZ28" s="412" t="e">
        <f>PAS!BA83</f>
        <v>#N/A</v>
      </c>
      <c r="BA28" s="412" t="e">
        <f>PAS!BB83</f>
        <v>#N/A</v>
      </c>
      <c r="BB28" s="412" t="e">
        <f>PAS!BC83</f>
        <v>#N/A</v>
      </c>
      <c r="BC28" s="412" t="e">
        <f>PAS!BD83</f>
        <v>#N/A</v>
      </c>
      <c r="BD28" s="412">
        <f>PAS!BE83</f>
        <v>85</v>
      </c>
      <c r="BE28" s="412">
        <f>PAS!BF83</f>
        <v>75</v>
      </c>
      <c r="BF28" s="412" t="e">
        <f>PAS!BG83</f>
        <v>#N/A</v>
      </c>
      <c r="BG28" s="412" t="e">
        <f>PAS!BH83</f>
        <v>#N/A</v>
      </c>
      <c r="BH28" s="412" t="e">
        <f>PAS!BI83</f>
        <v>#N/A</v>
      </c>
      <c r="BI28" s="412" t="e">
        <f>PAS!BJ83</f>
        <v>#N/A</v>
      </c>
      <c r="BJ28" s="412" t="e">
        <f>PAS!BK83</f>
        <v>#N/A</v>
      </c>
      <c r="BK28" s="412" t="e">
        <f>PAS!BL83</f>
        <v>#N/A</v>
      </c>
      <c r="BL28" s="412" t="e">
        <f>PAS!BM83</f>
        <v>#N/A</v>
      </c>
      <c r="BM28" s="412">
        <f>PAS!BN83</f>
        <v>85</v>
      </c>
      <c r="BN28" s="412">
        <f>PAS!BO83</f>
        <v>75</v>
      </c>
      <c r="BO28" s="412" t="e">
        <f>PAS!BP83</f>
        <v>#N/A</v>
      </c>
      <c r="BP28" s="412" t="e">
        <f>PAS!BQ83</f>
        <v>#N/A</v>
      </c>
      <c r="BQ28" s="412" t="e">
        <f>PAS!BR83</f>
        <v>#N/A</v>
      </c>
      <c r="BR28" s="412" t="e">
        <f>PAS!BS83</f>
        <v>#N/A</v>
      </c>
      <c r="BS28" s="412">
        <f>PAS!BT83</f>
        <v>85</v>
      </c>
      <c r="BT28" s="412">
        <f>PAS!BU83</f>
        <v>75</v>
      </c>
      <c r="BU28" s="412" t="e">
        <f>PAS!BV83</f>
        <v>#N/A</v>
      </c>
      <c r="BV28" s="412" t="e">
        <f>PAS!BW83</f>
        <v>#N/A</v>
      </c>
      <c r="BW28" s="412" t="e">
        <f>PAS!BX83</f>
        <v>#N/A</v>
      </c>
      <c r="BX28" s="412">
        <f>PAS!BY83</f>
        <v>85</v>
      </c>
      <c r="BY28" s="412">
        <f>PAS!BZ83</f>
        <v>75</v>
      </c>
      <c r="BZ28" s="412" t="e">
        <f>PAS!CA83</f>
        <v>#N/A</v>
      </c>
      <c r="CA28" s="412" t="e">
        <f>PAS!CB83</f>
        <v>#N/A</v>
      </c>
      <c r="CB28" s="412" t="e">
        <f>PAS!CC83</f>
        <v>#N/A</v>
      </c>
      <c r="CC28" s="412" t="e">
        <f>PAS!CD83</f>
        <v>#N/A</v>
      </c>
    </row>
    <row r="29" spans="1:81" ht="20.25" customHeight="1">
      <c r="A29" s="113">
        <v>26</v>
      </c>
      <c r="B29" s="410" t="str">
        <f>SISWA!C31</f>
        <v>Anak 26</v>
      </c>
      <c r="C29" s="412">
        <f>PAS!D84</f>
        <v>100</v>
      </c>
      <c r="D29" s="412">
        <f>PAS!E84</f>
        <v>100</v>
      </c>
      <c r="E29" s="412">
        <f>PAS!F84</f>
        <v>100</v>
      </c>
      <c r="F29" s="412" t="e">
        <f>PAS!G84</f>
        <v>#N/A</v>
      </c>
      <c r="G29" s="412" t="e">
        <f>PAS!H84</f>
        <v>#N/A</v>
      </c>
      <c r="H29" s="412" t="e">
        <f>PAS!I84</f>
        <v>#N/A</v>
      </c>
      <c r="I29" s="412">
        <f>PAS!J84</f>
        <v>75</v>
      </c>
      <c r="J29" s="412">
        <f>PAS!K84</f>
        <v>75</v>
      </c>
      <c r="K29" s="412">
        <f>PAS!L84</f>
        <v>100</v>
      </c>
      <c r="L29" s="412">
        <f>PAS!M84</f>
        <v>100</v>
      </c>
      <c r="M29" s="412">
        <f>PAS!N84</f>
        <v>100</v>
      </c>
      <c r="N29" s="412" t="e">
        <f>PAS!O84</f>
        <v>#N/A</v>
      </c>
      <c r="O29" s="412" t="e">
        <f>PAS!P84</f>
        <v>#N/A</v>
      </c>
      <c r="P29" s="412" t="e">
        <f>PAS!Q84</f>
        <v>#N/A</v>
      </c>
      <c r="Q29" s="412">
        <f>PAS!R84</f>
        <v>75</v>
      </c>
      <c r="R29" s="412">
        <f>PAS!S84</f>
        <v>75</v>
      </c>
      <c r="S29" s="412" t="e">
        <f>PAS!T84</f>
        <v>#N/A</v>
      </c>
      <c r="T29" s="412" t="e">
        <f>PAS!U84</f>
        <v>#N/A</v>
      </c>
      <c r="U29" s="412" t="e">
        <f>PAS!V84</f>
        <v>#N/A</v>
      </c>
      <c r="V29" s="412" t="e">
        <f>PAS!W84</f>
        <v>#N/A</v>
      </c>
      <c r="W29" s="412" t="e">
        <f>PAS!X84</f>
        <v>#N/A</v>
      </c>
      <c r="X29" s="412" t="e">
        <f>PAS!Y84</f>
        <v>#N/A</v>
      </c>
      <c r="Y29" s="412">
        <f>PAS!Z84</f>
        <v>100</v>
      </c>
      <c r="Z29" s="412">
        <f>PAS!AA84</f>
        <v>100</v>
      </c>
      <c r="AA29" s="412">
        <f>PAS!AB84</f>
        <v>100</v>
      </c>
      <c r="AB29" s="412">
        <f>PAS!AC84</f>
        <v>100</v>
      </c>
      <c r="AC29" s="412" t="e">
        <f>PAS!AD84</f>
        <v>#N/A</v>
      </c>
      <c r="AD29" s="412" t="e">
        <f>PAS!AE84</f>
        <v>#N/A</v>
      </c>
      <c r="AE29" s="412">
        <f>PAS!AF84</f>
        <v>100</v>
      </c>
      <c r="AF29" s="412">
        <f>PAS!AG84</f>
        <v>100</v>
      </c>
      <c r="AG29" s="412">
        <f>PAS!AH84</f>
        <v>100</v>
      </c>
      <c r="AH29" s="412" t="e">
        <f>PAS!AI84</f>
        <v>#N/A</v>
      </c>
      <c r="AI29" s="412" t="e">
        <f>PAS!AJ84</f>
        <v>#N/A</v>
      </c>
      <c r="AJ29" s="412" t="e">
        <f>PAS!AK84</f>
        <v>#N/A</v>
      </c>
      <c r="AK29" s="412">
        <f>PAS!AL84</f>
        <v>100</v>
      </c>
      <c r="AL29" s="412">
        <f>PAS!AM84</f>
        <v>100</v>
      </c>
      <c r="AM29" s="412">
        <f>PAS!AN84</f>
        <v>100</v>
      </c>
      <c r="AN29" s="412" t="e">
        <f>PAS!AO84</f>
        <v>#N/A</v>
      </c>
      <c r="AO29" s="412" t="e">
        <f>PAS!AP84</f>
        <v>#N/A</v>
      </c>
      <c r="AP29" s="412" t="e">
        <f>PAS!AQ84</f>
        <v>#N/A</v>
      </c>
      <c r="AQ29" s="412">
        <f>PAS!AR84</f>
        <v>100</v>
      </c>
      <c r="AR29" s="412">
        <f>PAS!AS84</f>
        <v>100</v>
      </c>
      <c r="AS29" s="412">
        <f>PAS!AT84</f>
        <v>100</v>
      </c>
      <c r="AT29" s="412" t="e">
        <f>PAS!AU84</f>
        <v>#VALUE!</v>
      </c>
      <c r="AU29" s="412" t="e">
        <f>PAS!AV84</f>
        <v>#VALUE!</v>
      </c>
      <c r="AV29" s="412" t="e">
        <f>PAS!AW84</f>
        <v>#VALUE!</v>
      </c>
      <c r="AW29" s="412" t="e">
        <f>PAS!AX84</f>
        <v>#VALUE!</v>
      </c>
      <c r="AX29" s="412" t="e">
        <f>PAS!AY84</f>
        <v>#VALUE!</v>
      </c>
      <c r="AY29" s="412" t="e">
        <f>PAS!AZ84</f>
        <v>#N/A</v>
      </c>
      <c r="AZ29" s="412" t="e">
        <f>PAS!BA84</f>
        <v>#N/A</v>
      </c>
      <c r="BA29" s="412" t="e">
        <f>PAS!BB84</f>
        <v>#N/A</v>
      </c>
      <c r="BB29" s="412" t="e">
        <f>PAS!BC84</f>
        <v>#N/A</v>
      </c>
      <c r="BC29" s="412" t="e">
        <f>PAS!BD84</f>
        <v>#N/A</v>
      </c>
      <c r="BD29" s="412">
        <f>PAS!BE84</f>
        <v>75</v>
      </c>
      <c r="BE29" s="412">
        <f>PAS!BF84</f>
        <v>75</v>
      </c>
      <c r="BF29" s="412" t="e">
        <f>PAS!BG84</f>
        <v>#N/A</v>
      </c>
      <c r="BG29" s="412" t="e">
        <f>PAS!BH84</f>
        <v>#N/A</v>
      </c>
      <c r="BH29" s="412" t="e">
        <f>PAS!BI84</f>
        <v>#N/A</v>
      </c>
      <c r="BI29" s="412" t="e">
        <f>PAS!BJ84</f>
        <v>#N/A</v>
      </c>
      <c r="BJ29" s="412" t="e">
        <f>PAS!BK84</f>
        <v>#N/A</v>
      </c>
      <c r="BK29" s="412" t="e">
        <f>PAS!BL84</f>
        <v>#N/A</v>
      </c>
      <c r="BL29" s="412" t="e">
        <f>PAS!BM84</f>
        <v>#N/A</v>
      </c>
      <c r="BM29" s="412">
        <f>PAS!BN84</f>
        <v>75</v>
      </c>
      <c r="BN29" s="412">
        <f>PAS!BO84</f>
        <v>75</v>
      </c>
      <c r="BO29" s="412" t="e">
        <f>PAS!BP84</f>
        <v>#N/A</v>
      </c>
      <c r="BP29" s="412" t="e">
        <f>PAS!BQ84</f>
        <v>#N/A</v>
      </c>
      <c r="BQ29" s="412" t="e">
        <f>PAS!BR84</f>
        <v>#N/A</v>
      </c>
      <c r="BR29" s="412" t="e">
        <f>PAS!BS84</f>
        <v>#N/A</v>
      </c>
      <c r="BS29" s="412">
        <f>PAS!BT84</f>
        <v>75</v>
      </c>
      <c r="BT29" s="412">
        <f>PAS!BU84</f>
        <v>75</v>
      </c>
      <c r="BU29" s="412" t="e">
        <f>PAS!BV84</f>
        <v>#N/A</v>
      </c>
      <c r="BV29" s="412" t="e">
        <f>PAS!BW84</f>
        <v>#N/A</v>
      </c>
      <c r="BW29" s="412" t="e">
        <f>PAS!BX84</f>
        <v>#N/A</v>
      </c>
      <c r="BX29" s="412">
        <f>PAS!BY84</f>
        <v>75</v>
      </c>
      <c r="BY29" s="412">
        <f>PAS!BZ84</f>
        <v>75</v>
      </c>
      <c r="BZ29" s="412" t="e">
        <f>PAS!CA84</f>
        <v>#N/A</v>
      </c>
      <c r="CA29" s="412" t="e">
        <f>PAS!CB84</f>
        <v>#N/A</v>
      </c>
      <c r="CB29" s="412" t="e">
        <f>PAS!CC84</f>
        <v>#N/A</v>
      </c>
      <c r="CC29" s="412" t="e">
        <f>PAS!CD84</f>
        <v>#N/A</v>
      </c>
    </row>
    <row r="30" spans="1:81" ht="20.25" customHeight="1">
      <c r="A30" s="113">
        <v>27</v>
      </c>
      <c r="B30" s="410" t="str">
        <f>SISWA!C32</f>
        <v>Anak 27</v>
      </c>
      <c r="C30" s="412">
        <f>PAS!D85</f>
        <v>100</v>
      </c>
      <c r="D30" s="412">
        <f>PAS!E85</f>
        <v>100</v>
      </c>
      <c r="E30" s="412">
        <f>PAS!F85</f>
        <v>100</v>
      </c>
      <c r="F30" s="412" t="e">
        <f>PAS!G85</f>
        <v>#N/A</v>
      </c>
      <c r="G30" s="412" t="e">
        <f>PAS!H85</f>
        <v>#N/A</v>
      </c>
      <c r="H30" s="412" t="e">
        <f>PAS!I85</f>
        <v>#N/A</v>
      </c>
      <c r="I30" s="412">
        <f>PAS!J85</f>
        <v>75</v>
      </c>
      <c r="J30" s="412">
        <f>PAS!K85</f>
        <v>75</v>
      </c>
      <c r="K30" s="412">
        <f>PAS!L85</f>
        <v>100</v>
      </c>
      <c r="L30" s="412">
        <f>PAS!M85</f>
        <v>100</v>
      </c>
      <c r="M30" s="412">
        <f>PAS!N85</f>
        <v>100</v>
      </c>
      <c r="N30" s="412" t="e">
        <f>PAS!O85</f>
        <v>#N/A</v>
      </c>
      <c r="O30" s="412" t="e">
        <f>PAS!P85</f>
        <v>#N/A</v>
      </c>
      <c r="P30" s="412" t="e">
        <f>PAS!Q85</f>
        <v>#N/A</v>
      </c>
      <c r="Q30" s="412">
        <f>PAS!R85</f>
        <v>75</v>
      </c>
      <c r="R30" s="412">
        <f>PAS!S85</f>
        <v>75</v>
      </c>
      <c r="S30" s="412" t="e">
        <f>PAS!T85</f>
        <v>#N/A</v>
      </c>
      <c r="T30" s="412" t="e">
        <f>PAS!U85</f>
        <v>#N/A</v>
      </c>
      <c r="U30" s="412" t="e">
        <f>PAS!V85</f>
        <v>#N/A</v>
      </c>
      <c r="V30" s="412" t="e">
        <f>PAS!W85</f>
        <v>#N/A</v>
      </c>
      <c r="W30" s="412" t="e">
        <f>PAS!X85</f>
        <v>#N/A</v>
      </c>
      <c r="X30" s="412" t="e">
        <f>PAS!Y85</f>
        <v>#N/A</v>
      </c>
      <c r="Y30" s="412">
        <f>PAS!Z85</f>
        <v>100</v>
      </c>
      <c r="Z30" s="412">
        <f>PAS!AA85</f>
        <v>100</v>
      </c>
      <c r="AA30" s="412">
        <f>PAS!AB85</f>
        <v>100</v>
      </c>
      <c r="AB30" s="412">
        <f>PAS!AC85</f>
        <v>100</v>
      </c>
      <c r="AC30" s="412" t="e">
        <f>PAS!AD85</f>
        <v>#N/A</v>
      </c>
      <c r="AD30" s="412" t="e">
        <f>PAS!AE85</f>
        <v>#N/A</v>
      </c>
      <c r="AE30" s="412">
        <f>PAS!AF85</f>
        <v>100</v>
      </c>
      <c r="AF30" s="412">
        <f>PAS!AG85</f>
        <v>100</v>
      </c>
      <c r="AG30" s="412">
        <f>PAS!AH85</f>
        <v>100</v>
      </c>
      <c r="AH30" s="412" t="e">
        <f>PAS!AI85</f>
        <v>#N/A</v>
      </c>
      <c r="AI30" s="412" t="e">
        <f>PAS!AJ85</f>
        <v>#N/A</v>
      </c>
      <c r="AJ30" s="412" t="e">
        <f>PAS!AK85</f>
        <v>#N/A</v>
      </c>
      <c r="AK30" s="412">
        <f>PAS!AL85</f>
        <v>100</v>
      </c>
      <c r="AL30" s="412">
        <f>PAS!AM85</f>
        <v>100</v>
      </c>
      <c r="AM30" s="412">
        <f>PAS!AN85</f>
        <v>100</v>
      </c>
      <c r="AN30" s="412" t="e">
        <f>PAS!AO85</f>
        <v>#N/A</v>
      </c>
      <c r="AO30" s="412" t="e">
        <f>PAS!AP85</f>
        <v>#N/A</v>
      </c>
      <c r="AP30" s="412" t="e">
        <f>PAS!AQ85</f>
        <v>#N/A</v>
      </c>
      <c r="AQ30" s="412">
        <f>PAS!AR85</f>
        <v>100</v>
      </c>
      <c r="AR30" s="412">
        <f>PAS!AS85</f>
        <v>100</v>
      </c>
      <c r="AS30" s="412">
        <f>PAS!AT85</f>
        <v>100</v>
      </c>
      <c r="AT30" s="412" t="e">
        <f>PAS!AU85</f>
        <v>#VALUE!</v>
      </c>
      <c r="AU30" s="412" t="e">
        <f>PAS!AV85</f>
        <v>#VALUE!</v>
      </c>
      <c r="AV30" s="412" t="e">
        <f>PAS!AW85</f>
        <v>#VALUE!</v>
      </c>
      <c r="AW30" s="412" t="e">
        <f>PAS!AX85</f>
        <v>#VALUE!</v>
      </c>
      <c r="AX30" s="412" t="e">
        <f>PAS!AY85</f>
        <v>#VALUE!</v>
      </c>
      <c r="AY30" s="412" t="e">
        <f>PAS!AZ85</f>
        <v>#N/A</v>
      </c>
      <c r="AZ30" s="412" t="e">
        <f>PAS!BA85</f>
        <v>#N/A</v>
      </c>
      <c r="BA30" s="412" t="e">
        <f>PAS!BB85</f>
        <v>#N/A</v>
      </c>
      <c r="BB30" s="412" t="e">
        <f>PAS!BC85</f>
        <v>#N/A</v>
      </c>
      <c r="BC30" s="412" t="e">
        <f>PAS!BD85</f>
        <v>#N/A</v>
      </c>
      <c r="BD30" s="412">
        <f>PAS!BE85</f>
        <v>75</v>
      </c>
      <c r="BE30" s="412">
        <f>PAS!BF85</f>
        <v>75</v>
      </c>
      <c r="BF30" s="412" t="e">
        <f>PAS!BG85</f>
        <v>#N/A</v>
      </c>
      <c r="BG30" s="412" t="e">
        <f>PAS!BH85</f>
        <v>#N/A</v>
      </c>
      <c r="BH30" s="412" t="e">
        <f>PAS!BI85</f>
        <v>#N/A</v>
      </c>
      <c r="BI30" s="412" t="e">
        <f>PAS!BJ85</f>
        <v>#N/A</v>
      </c>
      <c r="BJ30" s="412" t="e">
        <f>PAS!BK85</f>
        <v>#N/A</v>
      </c>
      <c r="BK30" s="412" t="e">
        <f>PAS!BL85</f>
        <v>#N/A</v>
      </c>
      <c r="BL30" s="412" t="e">
        <f>PAS!BM85</f>
        <v>#N/A</v>
      </c>
      <c r="BM30" s="412">
        <f>PAS!BN85</f>
        <v>75</v>
      </c>
      <c r="BN30" s="412">
        <f>PAS!BO85</f>
        <v>75</v>
      </c>
      <c r="BO30" s="412" t="e">
        <f>PAS!BP85</f>
        <v>#N/A</v>
      </c>
      <c r="BP30" s="412" t="e">
        <f>PAS!BQ85</f>
        <v>#N/A</v>
      </c>
      <c r="BQ30" s="412" t="e">
        <f>PAS!BR85</f>
        <v>#N/A</v>
      </c>
      <c r="BR30" s="412" t="e">
        <f>PAS!BS85</f>
        <v>#N/A</v>
      </c>
      <c r="BS30" s="412">
        <f>PAS!BT85</f>
        <v>75</v>
      </c>
      <c r="BT30" s="412">
        <f>PAS!BU85</f>
        <v>75</v>
      </c>
      <c r="BU30" s="412" t="e">
        <f>PAS!BV85</f>
        <v>#N/A</v>
      </c>
      <c r="BV30" s="412" t="e">
        <f>PAS!BW85</f>
        <v>#N/A</v>
      </c>
      <c r="BW30" s="412" t="e">
        <f>PAS!BX85</f>
        <v>#N/A</v>
      </c>
      <c r="BX30" s="412">
        <f>PAS!BY85</f>
        <v>75</v>
      </c>
      <c r="BY30" s="412">
        <f>PAS!BZ85</f>
        <v>75</v>
      </c>
      <c r="BZ30" s="412" t="e">
        <f>PAS!CA85</f>
        <v>#N/A</v>
      </c>
      <c r="CA30" s="412" t="e">
        <f>PAS!CB85</f>
        <v>#N/A</v>
      </c>
      <c r="CB30" s="412" t="e">
        <f>PAS!CC85</f>
        <v>#N/A</v>
      </c>
      <c r="CC30" s="412" t="e">
        <f>PAS!CD85</f>
        <v>#N/A</v>
      </c>
    </row>
    <row r="31" spans="1:81" ht="20.25" customHeight="1">
      <c r="A31" s="113">
        <v>28</v>
      </c>
      <c r="B31" s="410" t="str">
        <f>SISWA!C33</f>
        <v>Anak 28</v>
      </c>
      <c r="C31" s="412">
        <f>PAS!D86</f>
        <v>100</v>
      </c>
      <c r="D31" s="412">
        <f>PAS!E86</f>
        <v>100</v>
      </c>
      <c r="E31" s="412">
        <f>PAS!F86</f>
        <v>100</v>
      </c>
      <c r="F31" s="412" t="e">
        <f>PAS!G86</f>
        <v>#N/A</v>
      </c>
      <c r="G31" s="412" t="e">
        <f>PAS!H86</f>
        <v>#N/A</v>
      </c>
      <c r="H31" s="412" t="e">
        <f>PAS!I86</f>
        <v>#N/A</v>
      </c>
      <c r="I31" s="412">
        <f>PAS!J86</f>
        <v>75</v>
      </c>
      <c r="J31" s="412">
        <f>PAS!K86</f>
        <v>85</v>
      </c>
      <c r="K31" s="412">
        <f>PAS!L86</f>
        <v>100</v>
      </c>
      <c r="L31" s="412">
        <f>PAS!M86</f>
        <v>100</v>
      </c>
      <c r="M31" s="412">
        <f>PAS!N86</f>
        <v>100</v>
      </c>
      <c r="N31" s="412" t="e">
        <f>PAS!O86</f>
        <v>#N/A</v>
      </c>
      <c r="O31" s="412" t="e">
        <f>PAS!P86</f>
        <v>#N/A</v>
      </c>
      <c r="P31" s="412" t="e">
        <f>PAS!Q86</f>
        <v>#N/A</v>
      </c>
      <c r="Q31" s="412">
        <f>PAS!R86</f>
        <v>75</v>
      </c>
      <c r="R31" s="412">
        <f>PAS!S86</f>
        <v>85</v>
      </c>
      <c r="S31" s="412" t="e">
        <f>PAS!T86</f>
        <v>#N/A</v>
      </c>
      <c r="T31" s="412" t="e">
        <f>PAS!U86</f>
        <v>#N/A</v>
      </c>
      <c r="U31" s="412" t="e">
        <f>PAS!V86</f>
        <v>#N/A</v>
      </c>
      <c r="V31" s="412" t="e">
        <f>PAS!W86</f>
        <v>#N/A</v>
      </c>
      <c r="W31" s="412" t="e">
        <f>PAS!X86</f>
        <v>#N/A</v>
      </c>
      <c r="X31" s="412" t="e">
        <f>PAS!Y86</f>
        <v>#N/A</v>
      </c>
      <c r="Y31" s="412">
        <f>PAS!Z86</f>
        <v>100</v>
      </c>
      <c r="Z31" s="412">
        <f>PAS!AA86</f>
        <v>100</v>
      </c>
      <c r="AA31" s="412">
        <f>PAS!AB86</f>
        <v>100</v>
      </c>
      <c r="AB31" s="412">
        <f>PAS!AC86</f>
        <v>100</v>
      </c>
      <c r="AC31" s="412" t="e">
        <f>PAS!AD86</f>
        <v>#N/A</v>
      </c>
      <c r="AD31" s="412" t="e">
        <f>PAS!AE86</f>
        <v>#N/A</v>
      </c>
      <c r="AE31" s="412">
        <f>PAS!AF86</f>
        <v>100</v>
      </c>
      <c r="AF31" s="412">
        <f>PAS!AG86</f>
        <v>100</v>
      </c>
      <c r="AG31" s="412">
        <f>PAS!AH86</f>
        <v>100</v>
      </c>
      <c r="AH31" s="412" t="e">
        <f>PAS!AI86</f>
        <v>#N/A</v>
      </c>
      <c r="AI31" s="412" t="e">
        <f>PAS!AJ86</f>
        <v>#N/A</v>
      </c>
      <c r="AJ31" s="412" t="e">
        <f>PAS!AK86</f>
        <v>#N/A</v>
      </c>
      <c r="AK31" s="412">
        <f>PAS!AL86</f>
        <v>100</v>
      </c>
      <c r="AL31" s="412">
        <f>PAS!AM86</f>
        <v>100</v>
      </c>
      <c r="AM31" s="412">
        <f>PAS!AN86</f>
        <v>100</v>
      </c>
      <c r="AN31" s="412" t="e">
        <f>PAS!AO86</f>
        <v>#N/A</v>
      </c>
      <c r="AO31" s="412" t="e">
        <f>PAS!AP86</f>
        <v>#N/A</v>
      </c>
      <c r="AP31" s="412" t="e">
        <f>PAS!AQ86</f>
        <v>#N/A</v>
      </c>
      <c r="AQ31" s="412">
        <f>PAS!AR86</f>
        <v>100</v>
      </c>
      <c r="AR31" s="412">
        <f>PAS!AS86</f>
        <v>100</v>
      </c>
      <c r="AS31" s="412">
        <f>PAS!AT86</f>
        <v>100</v>
      </c>
      <c r="AT31" s="412" t="e">
        <f>PAS!AU86</f>
        <v>#VALUE!</v>
      </c>
      <c r="AU31" s="412" t="e">
        <f>PAS!AV86</f>
        <v>#VALUE!</v>
      </c>
      <c r="AV31" s="412" t="e">
        <f>PAS!AW86</f>
        <v>#VALUE!</v>
      </c>
      <c r="AW31" s="412" t="e">
        <f>PAS!AX86</f>
        <v>#VALUE!</v>
      </c>
      <c r="AX31" s="412" t="e">
        <f>PAS!AY86</f>
        <v>#VALUE!</v>
      </c>
      <c r="AY31" s="412" t="e">
        <f>PAS!AZ86</f>
        <v>#N/A</v>
      </c>
      <c r="AZ31" s="412" t="e">
        <f>PAS!BA86</f>
        <v>#N/A</v>
      </c>
      <c r="BA31" s="412" t="e">
        <f>PAS!BB86</f>
        <v>#N/A</v>
      </c>
      <c r="BB31" s="412" t="e">
        <f>PAS!BC86</f>
        <v>#N/A</v>
      </c>
      <c r="BC31" s="412" t="e">
        <f>PAS!BD86</f>
        <v>#N/A</v>
      </c>
      <c r="BD31" s="412">
        <f>PAS!BE86</f>
        <v>75</v>
      </c>
      <c r="BE31" s="412">
        <f>PAS!BF86</f>
        <v>85</v>
      </c>
      <c r="BF31" s="412" t="e">
        <f>PAS!BG86</f>
        <v>#N/A</v>
      </c>
      <c r="BG31" s="412" t="e">
        <f>PAS!BH86</f>
        <v>#N/A</v>
      </c>
      <c r="BH31" s="412" t="e">
        <f>PAS!BI86</f>
        <v>#N/A</v>
      </c>
      <c r="BI31" s="412" t="e">
        <f>PAS!BJ86</f>
        <v>#N/A</v>
      </c>
      <c r="BJ31" s="412" t="e">
        <f>PAS!BK86</f>
        <v>#N/A</v>
      </c>
      <c r="BK31" s="412" t="e">
        <f>PAS!BL86</f>
        <v>#N/A</v>
      </c>
      <c r="BL31" s="412" t="e">
        <f>PAS!BM86</f>
        <v>#N/A</v>
      </c>
      <c r="BM31" s="412">
        <f>PAS!BN86</f>
        <v>75</v>
      </c>
      <c r="BN31" s="412">
        <f>PAS!BO86</f>
        <v>85</v>
      </c>
      <c r="BO31" s="412" t="e">
        <f>PAS!BP86</f>
        <v>#N/A</v>
      </c>
      <c r="BP31" s="412" t="e">
        <f>PAS!BQ86</f>
        <v>#N/A</v>
      </c>
      <c r="BQ31" s="412" t="e">
        <f>PAS!BR86</f>
        <v>#N/A</v>
      </c>
      <c r="BR31" s="412" t="e">
        <f>PAS!BS86</f>
        <v>#N/A</v>
      </c>
      <c r="BS31" s="412">
        <f>PAS!BT86</f>
        <v>75</v>
      </c>
      <c r="BT31" s="412">
        <f>PAS!BU86</f>
        <v>85</v>
      </c>
      <c r="BU31" s="412" t="e">
        <f>PAS!BV86</f>
        <v>#N/A</v>
      </c>
      <c r="BV31" s="412" t="e">
        <f>PAS!BW86</f>
        <v>#N/A</v>
      </c>
      <c r="BW31" s="412" t="e">
        <f>PAS!BX86</f>
        <v>#N/A</v>
      </c>
      <c r="BX31" s="412">
        <f>PAS!BY86</f>
        <v>75</v>
      </c>
      <c r="BY31" s="412">
        <f>PAS!BZ86</f>
        <v>85</v>
      </c>
      <c r="BZ31" s="412" t="e">
        <f>PAS!CA86</f>
        <v>#N/A</v>
      </c>
      <c r="CA31" s="412" t="e">
        <f>PAS!CB86</f>
        <v>#N/A</v>
      </c>
      <c r="CB31" s="412" t="e">
        <f>PAS!CC86</f>
        <v>#N/A</v>
      </c>
      <c r="CC31" s="412" t="e">
        <f>PAS!CD86</f>
        <v>#N/A</v>
      </c>
    </row>
    <row r="32" spans="1:81" ht="20.25" customHeight="1">
      <c r="A32" s="113">
        <v>29</v>
      </c>
      <c r="B32" s="410" t="str">
        <f>SISWA!C34</f>
        <v>Anak 29</v>
      </c>
      <c r="C32" s="412">
        <f>PAS!D87</f>
        <v>100</v>
      </c>
      <c r="D32" s="412">
        <f>PAS!E87</f>
        <v>100</v>
      </c>
      <c r="E32" s="412">
        <f>PAS!F87</f>
        <v>100</v>
      </c>
      <c r="F32" s="412" t="e">
        <f>PAS!G87</f>
        <v>#N/A</v>
      </c>
      <c r="G32" s="412" t="e">
        <f>PAS!H87</f>
        <v>#N/A</v>
      </c>
      <c r="H32" s="412" t="e">
        <f>PAS!I87</f>
        <v>#N/A</v>
      </c>
      <c r="I32" s="412">
        <f>PAS!J87</f>
        <v>85</v>
      </c>
      <c r="J32" s="412">
        <f>PAS!K87</f>
        <v>70</v>
      </c>
      <c r="K32" s="412">
        <f>PAS!L87</f>
        <v>100</v>
      </c>
      <c r="L32" s="412">
        <f>PAS!M87</f>
        <v>100</v>
      </c>
      <c r="M32" s="412">
        <f>PAS!N87</f>
        <v>100</v>
      </c>
      <c r="N32" s="412" t="e">
        <f>PAS!O87</f>
        <v>#N/A</v>
      </c>
      <c r="O32" s="412" t="e">
        <f>PAS!P87</f>
        <v>#N/A</v>
      </c>
      <c r="P32" s="412" t="e">
        <f>PAS!Q87</f>
        <v>#N/A</v>
      </c>
      <c r="Q32" s="412">
        <f>PAS!R87</f>
        <v>85</v>
      </c>
      <c r="R32" s="412">
        <f>PAS!S87</f>
        <v>70</v>
      </c>
      <c r="S32" s="412" t="e">
        <f>PAS!T87</f>
        <v>#N/A</v>
      </c>
      <c r="T32" s="412" t="e">
        <f>PAS!U87</f>
        <v>#N/A</v>
      </c>
      <c r="U32" s="412" t="e">
        <f>PAS!V87</f>
        <v>#N/A</v>
      </c>
      <c r="V32" s="412" t="e">
        <f>PAS!W87</f>
        <v>#N/A</v>
      </c>
      <c r="W32" s="412" t="e">
        <f>PAS!X87</f>
        <v>#N/A</v>
      </c>
      <c r="X32" s="412" t="e">
        <f>PAS!Y87</f>
        <v>#N/A</v>
      </c>
      <c r="Y32" s="412">
        <f>PAS!Z87</f>
        <v>100</v>
      </c>
      <c r="Z32" s="412">
        <f>PAS!AA87</f>
        <v>100</v>
      </c>
      <c r="AA32" s="412">
        <f>PAS!AB87</f>
        <v>100</v>
      </c>
      <c r="AB32" s="412">
        <f>PAS!AC87</f>
        <v>100</v>
      </c>
      <c r="AC32" s="412" t="e">
        <f>PAS!AD87</f>
        <v>#N/A</v>
      </c>
      <c r="AD32" s="412" t="e">
        <f>PAS!AE87</f>
        <v>#N/A</v>
      </c>
      <c r="AE32" s="412">
        <f>PAS!AF87</f>
        <v>100</v>
      </c>
      <c r="AF32" s="412">
        <f>PAS!AG87</f>
        <v>100</v>
      </c>
      <c r="AG32" s="412">
        <f>PAS!AH87</f>
        <v>100</v>
      </c>
      <c r="AH32" s="412" t="e">
        <f>PAS!AI87</f>
        <v>#N/A</v>
      </c>
      <c r="AI32" s="412" t="e">
        <f>PAS!AJ87</f>
        <v>#N/A</v>
      </c>
      <c r="AJ32" s="412" t="e">
        <f>PAS!AK87</f>
        <v>#N/A</v>
      </c>
      <c r="AK32" s="412">
        <f>PAS!AL87</f>
        <v>100</v>
      </c>
      <c r="AL32" s="412">
        <f>PAS!AM87</f>
        <v>100</v>
      </c>
      <c r="AM32" s="412">
        <f>PAS!AN87</f>
        <v>100</v>
      </c>
      <c r="AN32" s="412" t="e">
        <f>PAS!AO87</f>
        <v>#N/A</v>
      </c>
      <c r="AO32" s="412" t="e">
        <f>PAS!AP87</f>
        <v>#N/A</v>
      </c>
      <c r="AP32" s="412" t="e">
        <f>PAS!AQ87</f>
        <v>#N/A</v>
      </c>
      <c r="AQ32" s="412">
        <f>PAS!AR87</f>
        <v>100</v>
      </c>
      <c r="AR32" s="412">
        <f>PAS!AS87</f>
        <v>100</v>
      </c>
      <c r="AS32" s="412">
        <f>PAS!AT87</f>
        <v>100</v>
      </c>
      <c r="AT32" s="412" t="e">
        <f>PAS!AU87</f>
        <v>#VALUE!</v>
      </c>
      <c r="AU32" s="412" t="e">
        <f>PAS!AV87</f>
        <v>#VALUE!</v>
      </c>
      <c r="AV32" s="412" t="e">
        <f>PAS!AW87</f>
        <v>#VALUE!</v>
      </c>
      <c r="AW32" s="412" t="e">
        <f>PAS!AX87</f>
        <v>#VALUE!</v>
      </c>
      <c r="AX32" s="412" t="e">
        <f>PAS!AY87</f>
        <v>#VALUE!</v>
      </c>
      <c r="AY32" s="412" t="e">
        <f>PAS!AZ87</f>
        <v>#N/A</v>
      </c>
      <c r="AZ32" s="412" t="e">
        <f>PAS!BA87</f>
        <v>#N/A</v>
      </c>
      <c r="BA32" s="412" t="e">
        <f>PAS!BB87</f>
        <v>#N/A</v>
      </c>
      <c r="BB32" s="412" t="e">
        <f>PAS!BC87</f>
        <v>#N/A</v>
      </c>
      <c r="BC32" s="412" t="e">
        <f>PAS!BD87</f>
        <v>#N/A</v>
      </c>
      <c r="BD32" s="412">
        <f>PAS!BE87</f>
        <v>85</v>
      </c>
      <c r="BE32" s="412">
        <f>PAS!BF87</f>
        <v>70</v>
      </c>
      <c r="BF32" s="412" t="e">
        <f>PAS!BG87</f>
        <v>#N/A</v>
      </c>
      <c r="BG32" s="412" t="e">
        <f>PAS!BH87</f>
        <v>#N/A</v>
      </c>
      <c r="BH32" s="412" t="e">
        <f>PAS!BI87</f>
        <v>#N/A</v>
      </c>
      <c r="BI32" s="412" t="e">
        <f>PAS!BJ87</f>
        <v>#N/A</v>
      </c>
      <c r="BJ32" s="412" t="e">
        <f>PAS!BK87</f>
        <v>#N/A</v>
      </c>
      <c r="BK32" s="412" t="e">
        <f>PAS!BL87</f>
        <v>#N/A</v>
      </c>
      <c r="BL32" s="412" t="e">
        <f>PAS!BM87</f>
        <v>#N/A</v>
      </c>
      <c r="BM32" s="412">
        <f>PAS!BN87</f>
        <v>85</v>
      </c>
      <c r="BN32" s="412">
        <f>PAS!BO87</f>
        <v>70</v>
      </c>
      <c r="BO32" s="412" t="e">
        <f>PAS!BP87</f>
        <v>#N/A</v>
      </c>
      <c r="BP32" s="412" t="e">
        <f>PAS!BQ87</f>
        <v>#N/A</v>
      </c>
      <c r="BQ32" s="412" t="e">
        <f>PAS!BR87</f>
        <v>#N/A</v>
      </c>
      <c r="BR32" s="412" t="e">
        <f>PAS!BS87</f>
        <v>#N/A</v>
      </c>
      <c r="BS32" s="412">
        <f>PAS!BT87</f>
        <v>85</v>
      </c>
      <c r="BT32" s="412">
        <f>PAS!BU87</f>
        <v>70</v>
      </c>
      <c r="BU32" s="412" t="e">
        <f>PAS!BV87</f>
        <v>#N/A</v>
      </c>
      <c r="BV32" s="412" t="e">
        <f>PAS!BW87</f>
        <v>#N/A</v>
      </c>
      <c r="BW32" s="412" t="e">
        <f>PAS!BX87</f>
        <v>#N/A</v>
      </c>
      <c r="BX32" s="412">
        <f>PAS!BY87</f>
        <v>85</v>
      </c>
      <c r="BY32" s="412">
        <f>PAS!BZ87</f>
        <v>70</v>
      </c>
      <c r="BZ32" s="412" t="e">
        <f>PAS!CA87</f>
        <v>#N/A</v>
      </c>
      <c r="CA32" s="412" t="e">
        <f>PAS!CB87</f>
        <v>#N/A</v>
      </c>
      <c r="CB32" s="412" t="e">
        <f>PAS!CC87</f>
        <v>#N/A</v>
      </c>
      <c r="CC32" s="412" t="e">
        <f>PAS!CD87</f>
        <v>#N/A</v>
      </c>
    </row>
    <row r="33" spans="1:81" ht="20.25" customHeight="1">
      <c r="A33" s="113">
        <v>30</v>
      </c>
      <c r="B33" s="410" t="str">
        <f>SISWA!C35</f>
        <v>Anak 30</v>
      </c>
      <c r="C33" s="412">
        <f>PAS!D88</f>
        <v>100</v>
      </c>
      <c r="D33" s="412">
        <f>PAS!E88</f>
        <v>100</v>
      </c>
      <c r="E33" s="412">
        <f>PAS!F88</f>
        <v>100</v>
      </c>
      <c r="F33" s="412" t="e">
        <f>PAS!G88</f>
        <v>#N/A</v>
      </c>
      <c r="G33" s="412" t="e">
        <f>PAS!H88</f>
        <v>#N/A</v>
      </c>
      <c r="H33" s="412" t="e">
        <f>PAS!I88</f>
        <v>#N/A</v>
      </c>
      <c r="I33" s="412">
        <f>PAS!J88</f>
        <v>85</v>
      </c>
      <c r="J33" s="412">
        <f>PAS!K88</f>
        <v>70</v>
      </c>
      <c r="K33" s="412">
        <f>PAS!L88</f>
        <v>100</v>
      </c>
      <c r="L33" s="412">
        <f>PAS!M88</f>
        <v>100</v>
      </c>
      <c r="M33" s="412">
        <f>PAS!N88</f>
        <v>100</v>
      </c>
      <c r="N33" s="412" t="e">
        <f>PAS!O88</f>
        <v>#N/A</v>
      </c>
      <c r="O33" s="412" t="e">
        <f>PAS!P88</f>
        <v>#N/A</v>
      </c>
      <c r="P33" s="412" t="e">
        <f>PAS!Q88</f>
        <v>#N/A</v>
      </c>
      <c r="Q33" s="412">
        <f>PAS!R88</f>
        <v>85</v>
      </c>
      <c r="R33" s="412">
        <f>PAS!S88</f>
        <v>70</v>
      </c>
      <c r="S33" s="412" t="e">
        <f>PAS!T88</f>
        <v>#N/A</v>
      </c>
      <c r="T33" s="412" t="e">
        <f>PAS!U88</f>
        <v>#N/A</v>
      </c>
      <c r="U33" s="412" t="e">
        <f>PAS!V88</f>
        <v>#N/A</v>
      </c>
      <c r="V33" s="412" t="e">
        <f>PAS!W88</f>
        <v>#N/A</v>
      </c>
      <c r="W33" s="412" t="e">
        <f>PAS!X88</f>
        <v>#N/A</v>
      </c>
      <c r="X33" s="412" t="e">
        <f>PAS!Y88</f>
        <v>#N/A</v>
      </c>
      <c r="Y33" s="412">
        <f>PAS!Z88</f>
        <v>100</v>
      </c>
      <c r="Z33" s="412">
        <f>PAS!AA88</f>
        <v>100</v>
      </c>
      <c r="AA33" s="412">
        <f>PAS!AB88</f>
        <v>100</v>
      </c>
      <c r="AB33" s="412">
        <f>PAS!AC88</f>
        <v>100</v>
      </c>
      <c r="AC33" s="412" t="e">
        <f>PAS!AD88</f>
        <v>#N/A</v>
      </c>
      <c r="AD33" s="412" t="e">
        <f>PAS!AE88</f>
        <v>#N/A</v>
      </c>
      <c r="AE33" s="412">
        <f>PAS!AF88</f>
        <v>100</v>
      </c>
      <c r="AF33" s="412">
        <f>PAS!AG88</f>
        <v>100</v>
      </c>
      <c r="AG33" s="412">
        <f>PAS!AH88</f>
        <v>100</v>
      </c>
      <c r="AH33" s="412" t="e">
        <f>PAS!AI88</f>
        <v>#N/A</v>
      </c>
      <c r="AI33" s="412" t="e">
        <f>PAS!AJ88</f>
        <v>#N/A</v>
      </c>
      <c r="AJ33" s="412" t="e">
        <f>PAS!AK88</f>
        <v>#N/A</v>
      </c>
      <c r="AK33" s="412">
        <f>PAS!AL88</f>
        <v>100</v>
      </c>
      <c r="AL33" s="412">
        <f>PAS!AM88</f>
        <v>100</v>
      </c>
      <c r="AM33" s="412">
        <f>PAS!AN88</f>
        <v>100</v>
      </c>
      <c r="AN33" s="412" t="e">
        <f>PAS!AO88</f>
        <v>#N/A</v>
      </c>
      <c r="AO33" s="412" t="e">
        <f>PAS!AP88</f>
        <v>#N/A</v>
      </c>
      <c r="AP33" s="412" t="e">
        <f>PAS!AQ88</f>
        <v>#N/A</v>
      </c>
      <c r="AQ33" s="412">
        <f>PAS!AR88</f>
        <v>100</v>
      </c>
      <c r="AR33" s="412">
        <f>PAS!AS88</f>
        <v>100</v>
      </c>
      <c r="AS33" s="412">
        <f>PAS!AT88</f>
        <v>100</v>
      </c>
      <c r="AT33" s="412" t="e">
        <f>PAS!AU88</f>
        <v>#VALUE!</v>
      </c>
      <c r="AU33" s="412" t="e">
        <f>PAS!AV88</f>
        <v>#VALUE!</v>
      </c>
      <c r="AV33" s="412" t="e">
        <f>PAS!AW88</f>
        <v>#VALUE!</v>
      </c>
      <c r="AW33" s="412" t="e">
        <f>PAS!AX88</f>
        <v>#VALUE!</v>
      </c>
      <c r="AX33" s="412" t="e">
        <f>PAS!AY88</f>
        <v>#VALUE!</v>
      </c>
      <c r="AY33" s="412" t="e">
        <f>PAS!AZ88</f>
        <v>#N/A</v>
      </c>
      <c r="AZ33" s="412" t="e">
        <f>PAS!BA88</f>
        <v>#N/A</v>
      </c>
      <c r="BA33" s="412" t="e">
        <f>PAS!BB88</f>
        <v>#N/A</v>
      </c>
      <c r="BB33" s="412" t="e">
        <f>PAS!BC88</f>
        <v>#N/A</v>
      </c>
      <c r="BC33" s="412" t="e">
        <f>PAS!BD88</f>
        <v>#N/A</v>
      </c>
      <c r="BD33" s="412">
        <f>PAS!BE88</f>
        <v>85</v>
      </c>
      <c r="BE33" s="412">
        <f>PAS!BF88</f>
        <v>70</v>
      </c>
      <c r="BF33" s="412" t="e">
        <f>PAS!BG88</f>
        <v>#N/A</v>
      </c>
      <c r="BG33" s="412" t="e">
        <f>PAS!BH88</f>
        <v>#N/A</v>
      </c>
      <c r="BH33" s="412" t="e">
        <f>PAS!BI88</f>
        <v>#N/A</v>
      </c>
      <c r="BI33" s="412" t="e">
        <f>PAS!BJ88</f>
        <v>#N/A</v>
      </c>
      <c r="BJ33" s="412" t="e">
        <f>PAS!BK88</f>
        <v>#N/A</v>
      </c>
      <c r="BK33" s="412" t="e">
        <f>PAS!BL88</f>
        <v>#N/A</v>
      </c>
      <c r="BL33" s="412" t="e">
        <f>PAS!BM88</f>
        <v>#N/A</v>
      </c>
      <c r="BM33" s="412">
        <f>PAS!BN88</f>
        <v>85</v>
      </c>
      <c r="BN33" s="412">
        <f>PAS!BO88</f>
        <v>70</v>
      </c>
      <c r="BO33" s="412" t="e">
        <f>PAS!BP88</f>
        <v>#N/A</v>
      </c>
      <c r="BP33" s="412" t="e">
        <f>PAS!BQ88</f>
        <v>#N/A</v>
      </c>
      <c r="BQ33" s="412" t="e">
        <f>PAS!BR88</f>
        <v>#N/A</v>
      </c>
      <c r="BR33" s="412" t="e">
        <f>PAS!BS88</f>
        <v>#N/A</v>
      </c>
      <c r="BS33" s="412">
        <f>PAS!BT88</f>
        <v>85</v>
      </c>
      <c r="BT33" s="412">
        <f>PAS!BU88</f>
        <v>70</v>
      </c>
      <c r="BU33" s="412" t="e">
        <f>PAS!BV88</f>
        <v>#N/A</v>
      </c>
      <c r="BV33" s="412" t="e">
        <f>PAS!BW88</f>
        <v>#N/A</v>
      </c>
      <c r="BW33" s="412" t="e">
        <f>PAS!BX88</f>
        <v>#N/A</v>
      </c>
      <c r="BX33" s="412">
        <f>PAS!BY88</f>
        <v>85</v>
      </c>
      <c r="BY33" s="412">
        <f>PAS!BZ88</f>
        <v>70</v>
      </c>
      <c r="BZ33" s="412" t="e">
        <f>PAS!CA88</f>
        <v>#N/A</v>
      </c>
      <c r="CA33" s="412" t="e">
        <f>PAS!CB88</f>
        <v>#N/A</v>
      </c>
      <c r="CB33" s="412" t="e">
        <f>PAS!CC88</f>
        <v>#N/A</v>
      </c>
      <c r="CC33" s="412" t="e">
        <f>PAS!CD88</f>
        <v>#N/A</v>
      </c>
    </row>
    <row r="34" spans="1:81" ht="20.25" customHeight="1">
      <c r="A34" s="113">
        <v>31</v>
      </c>
      <c r="B34" s="410" t="str">
        <f>SISWA!C36</f>
        <v>Anak 31</v>
      </c>
      <c r="C34" s="412">
        <f>PAS!D89</f>
        <v>100</v>
      </c>
      <c r="D34" s="412">
        <f>PAS!E89</f>
        <v>100</v>
      </c>
      <c r="E34" s="412">
        <f>PAS!F89</f>
        <v>100</v>
      </c>
      <c r="F34" s="412" t="e">
        <f>PAS!G89</f>
        <v>#N/A</v>
      </c>
      <c r="G34" s="412" t="e">
        <f>PAS!H89</f>
        <v>#N/A</v>
      </c>
      <c r="H34" s="412" t="e">
        <f>PAS!I89</f>
        <v>#N/A</v>
      </c>
      <c r="I34" s="412">
        <f>PAS!J89</f>
        <v>75</v>
      </c>
      <c r="J34" s="412">
        <f>PAS!K89</f>
        <v>80</v>
      </c>
      <c r="K34" s="412">
        <f>PAS!L89</f>
        <v>100</v>
      </c>
      <c r="L34" s="412">
        <f>PAS!M89</f>
        <v>100</v>
      </c>
      <c r="M34" s="412">
        <f>PAS!N89</f>
        <v>100</v>
      </c>
      <c r="N34" s="412" t="e">
        <f>PAS!O89</f>
        <v>#N/A</v>
      </c>
      <c r="O34" s="412" t="e">
        <f>PAS!P89</f>
        <v>#N/A</v>
      </c>
      <c r="P34" s="412" t="e">
        <f>PAS!Q89</f>
        <v>#N/A</v>
      </c>
      <c r="Q34" s="412">
        <f>PAS!R89</f>
        <v>75</v>
      </c>
      <c r="R34" s="412">
        <f>PAS!S89</f>
        <v>80</v>
      </c>
      <c r="S34" s="412" t="e">
        <f>PAS!T89</f>
        <v>#N/A</v>
      </c>
      <c r="T34" s="412" t="e">
        <f>PAS!U89</f>
        <v>#N/A</v>
      </c>
      <c r="U34" s="412" t="e">
        <f>PAS!V89</f>
        <v>#N/A</v>
      </c>
      <c r="V34" s="412" t="e">
        <f>PAS!W89</f>
        <v>#N/A</v>
      </c>
      <c r="W34" s="412" t="e">
        <f>PAS!X89</f>
        <v>#N/A</v>
      </c>
      <c r="X34" s="412" t="e">
        <f>PAS!Y89</f>
        <v>#N/A</v>
      </c>
      <c r="Y34" s="412">
        <f>PAS!Z89</f>
        <v>100</v>
      </c>
      <c r="Z34" s="412">
        <f>PAS!AA89</f>
        <v>100</v>
      </c>
      <c r="AA34" s="412">
        <f>PAS!AB89</f>
        <v>100</v>
      </c>
      <c r="AB34" s="412">
        <f>PAS!AC89</f>
        <v>100</v>
      </c>
      <c r="AC34" s="412" t="e">
        <f>PAS!AD89</f>
        <v>#N/A</v>
      </c>
      <c r="AD34" s="412" t="e">
        <f>PAS!AE89</f>
        <v>#N/A</v>
      </c>
      <c r="AE34" s="412">
        <f>PAS!AF89</f>
        <v>100</v>
      </c>
      <c r="AF34" s="412">
        <f>PAS!AG89</f>
        <v>100</v>
      </c>
      <c r="AG34" s="412">
        <f>PAS!AH89</f>
        <v>100</v>
      </c>
      <c r="AH34" s="412" t="e">
        <f>PAS!AI89</f>
        <v>#N/A</v>
      </c>
      <c r="AI34" s="412" t="e">
        <f>PAS!AJ89</f>
        <v>#N/A</v>
      </c>
      <c r="AJ34" s="412" t="e">
        <f>PAS!AK89</f>
        <v>#N/A</v>
      </c>
      <c r="AK34" s="412">
        <f>PAS!AL89</f>
        <v>100</v>
      </c>
      <c r="AL34" s="412">
        <f>PAS!AM89</f>
        <v>100</v>
      </c>
      <c r="AM34" s="412">
        <f>PAS!AN89</f>
        <v>100</v>
      </c>
      <c r="AN34" s="412" t="e">
        <f>PAS!AO89</f>
        <v>#N/A</v>
      </c>
      <c r="AO34" s="412" t="e">
        <f>PAS!AP89</f>
        <v>#N/A</v>
      </c>
      <c r="AP34" s="412" t="e">
        <f>PAS!AQ89</f>
        <v>#N/A</v>
      </c>
      <c r="AQ34" s="412">
        <f>PAS!AR89</f>
        <v>100</v>
      </c>
      <c r="AR34" s="412">
        <f>PAS!AS89</f>
        <v>100</v>
      </c>
      <c r="AS34" s="412">
        <f>PAS!AT89</f>
        <v>100</v>
      </c>
      <c r="AT34" s="412" t="e">
        <f>PAS!AU89</f>
        <v>#VALUE!</v>
      </c>
      <c r="AU34" s="412" t="e">
        <f>PAS!AV89</f>
        <v>#VALUE!</v>
      </c>
      <c r="AV34" s="412" t="e">
        <f>PAS!AW89</f>
        <v>#VALUE!</v>
      </c>
      <c r="AW34" s="412" t="e">
        <f>PAS!AX89</f>
        <v>#VALUE!</v>
      </c>
      <c r="AX34" s="412" t="e">
        <f>PAS!AY89</f>
        <v>#VALUE!</v>
      </c>
      <c r="AY34" s="412" t="e">
        <f>PAS!AZ89</f>
        <v>#N/A</v>
      </c>
      <c r="AZ34" s="412" t="e">
        <f>PAS!BA89</f>
        <v>#N/A</v>
      </c>
      <c r="BA34" s="412" t="e">
        <f>PAS!BB89</f>
        <v>#N/A</v>
      </c>
      <c r="BB34" s="412" t="e">
        <f>PAS!BC89</f>
        <v>#N/A</v>
      </c>
      <c r="BC34" s="412" t="e">
        <f>PAS!BD89</f>
        <v>#N/A</v>
      </c>
      <c r="BD34" s="412">
        <f>PAS!BE89</f>
        <v>75</v>
      </c>
      <c r="BE34" s="412">
        <f>PAS!BF89</f>
        <v>80</v>
      </c>
      <c r="BF34" s="412" t="e">
        <f>PAS!BG89</f>
        <v>#N/A</v>
      </c>
      <c r="BG34" s="412" t="e">
        <f>PAS!BH89</f>
        <v>#N/A</v>
      </c>
      <c r="BH34" s="412" t="e">
        <f>PAS!BI89</f>
        <v>#N/A</v>
      </c>
      <c r="BI34" s="412" t="e">
        <f>PAS!BJ89</f>
        <v>#N/A</v>
      </c>
      <c r="BJ34" s="412" t="e">
        <f>PAS!BK89</f>
        <v>#N/A</v>
      </c>
      <c r="BK34" s="412" t="e">
        <f>PAS!BL89</f>
        <v>#N/A</v>
      </c>
      <c r="BL34" s="412" t="e">
        <f>PAS!BM89</f>
        <v>#N/A</v>
      </c>
      <c r="BM34" s="412">
        <f>PAS!BN89</f>
        <v>75</v>
      </c>
      <c r="BN34" s="412">
        <f>PAS!BO89</f>
        <v>80</v>
      </c>
      <c r="BO34" s="412" t="e">
        <f>PAS!BP89</f>
        <v>#N/A</v>
      </c>
      <c r="BP34" s="412" t="e">
        <f>PAS!BQ89</f>
        <v>#N/A</v>
      </c>
      <c r="BQ34" s="412" t="e">
        <f>PAS!BR89</f>
        <v>#N/A</v>
      </c>
      <c r="BR34" s="412" t="e">
        <f>PAS!BS89</f>
        <v>#N/A</v>
      </c>
      <c r="BS34" s="412">
        <f>PAS!BT89</f>
        <v>75</v>
      </c>
      <c r="BT34" s="412">
        <f>PAS!BU89</f>
        <v>80</v>
      </c>
      <c r="BU34" s="412" t="e">
        <f>PAS!BV89</f>
        <v>#N/A</v>
      </c>
      <c r="BV34" s="412" t="e">
        <f>PAS!BW89</f>
        <v>#N/A</v>
      </c>
      <c r="BW34" s="412" t="e">
        <f>PAS!BX89</f>
        <v>#N/A</v>
      </c>
      <c r="BX34" s="412">
        <f>PAS!BY89</f>
        <v>75</v>
      </c>
      <c r="BY34" s="412">
        <f>PAS!BZ89</f>
        <v>80</v>
      </c>
      <c r="BZ34" s="412" t="e">
        <f>PAS!CA89</f>
        <v>#N/A</v>
      </c>
      <c r="CA34" s="412" t="e">
        <f>PAS!CB89</f>
        <v>#N/A</v>
      </c>
      <c r="CB34" s="412" t="e">
        <f>PAS!CC89</f>
        <v>#N/A</v>
      </c>
      <c r="CC34" s="412" t="e">
        <f>PAS!CD89</f>
        <v>#N/A</v>
      </c>
    </row>
    <row r="35" spans="1:81" ht="20.25" customHeight="1">
      <c r="A35" s="113">
        <v>32</v>
      </c>
      <c r="B35" s="410" t="str">
        <f>SISWA!C37</f>
        <v>Anak 32</v>
      </c>
      <c r="C35" s="412">
        <f>PAS!D90</f>
        <v>100</v>
      </c>
      <c r="D35" s="412">
        <f>PAS!E90</f>
        <v>100</v>
      </c>
      <c r="E35" s="412">
        <f>PAS!F90</f>
        <v>100</v>
      </c>
      <c r="F35" s="412" t="e">
        <f>PAS!G90</f>
        <v>#N/A</v>
      </c>
      <c r="G35" s="412" t="e">
        <f>PAS!H90</f>
        <v>#N/A</v>
      </c>
      <c r="H35" s="412" t="e">
        <f>PAS!I90</f>
        <v>#N/A</v>
      </c>
      <c r="I35" s="412">
        <f>PAS!J90</f>
        <v>80</v>
      </c>
      <c r="J35" s="412">
        <f>PAS!K90</f>
        <v>70</v>
      </c>
      <c r="K35" s="412">
        <f>PAS!L90</f>
        <v>100</v>
      </c>
      <c r="L35" s="412">
        <f>PAS!M90</f>
        <v>100</v>
      </c>
      <c r="M35" s="412">
        <f>PAS!N90</f>
        <v>100</v>
      </c>
      <c r="N35" s="412" t="e">
        <f>PAS!O90</f>
        <v>#N/A</v>
      </c>
      <c r="O35" s="412" t="e">
        <f>PAS!P90</f>
        <v>#N/A</v>
      </c>
      <c r="P35" s="412" t="e">
        <f>PAS!Q90</f>
        <v>#N/A</v>
      </c>
      <c r="Q35" s="412">
        <f>PAS!R90</f>
        <v>80</v>
      </c>
      <c r="R35" s="412">
        <f>PAS!S90</f>
        <v>70</v>
      </c>
      <c r="S35" s="412" t="e">
        <f>PAS!T90</f>
        <v>#N/A</v>
      </c>
      <c r="T35" s="412" t="e">
        <f>PAS!U90</f>
        <v>#N/A</v>
      </c>
      <c r="U35" s="412" t="e">
        <f>PAS!V90</f>
        <v>#N/A</v>
      </c>
      <c r="V35" s="412" t="e">
        <f>PAS!W90</f>
        <v>#N/A</v>
      </c>
      <c r="W35" s="412" t="e">
        <f>PAS!X90</f>
        <v>#N/A</v>
      </c>
      <c r="X35" s="412" t="e">
        <f>PAS!Y90</f>
        <v>#N/A</v>
      </c>
      <c r="Y35" s="412">
        <f>PAS!Z90</f>
        <v>100</v>
      </c>
      <c r="Z35" s="412">
        <f>PAS!AA90</f>
        <v>100</v>
      </c>
      <c r="AA35" s="412">
        <f>PAS!AB90</f>
        <v>100</v>
      </c>
      <c r="AB35" s="412">
        <f>PAS!AC90</f>
        <v>100</v>
      </c>
      <c r="AC35" s="412" t="e">
        <f>PAS!AD90</f>
        <v>#N/A</v>
      </c>
      <c r="AD35" s="412" t="e">
        <f>PAS!AE90</f>
        <v>#N/A</v>
      </c>
      <c r="AE35" s="412">
        <f>PAS!AF90</f>
        <v>100</v>
      </c>
      <c r="AF35" s="412">
        <f>PAS!AG90</f>
        <v>100</v>
      </c>
      <c r="AG35" s="412">
        <f>PAS!AH90</f>
        <v>100</v>
      </c>
      <c r="AH35" s="412" t="e">
        <f>PAS!AI90</f>
        <v>#N/A</v>
      </c>
      <c r="AI35" s="412" t="e">
        <f>PAS!AJ90</f>
        <v>#N/A</v>
      </c>
      <c r="AJ35" s="412" t="e">
        <f>PAS!AK90</f>
        <v>#N/A</v>
      </c>
      <c r="AK35" s="412">
        <f>PAS!AL90</f>
        <v>100</v>
      </c>
      <c r="AL35" s="412">
        <f>PAS!AM90</f>
        <v>100</v>
      </c>
      <c r="AM35" s="412">
        <f>PAS!AN90</f>
        <v>100</v>
      </c>
      <c r="AN35" s="412" t="e">
        <f>PAS!AO90</f>
        <v>#N/A</v>
      </c>
      <c r="AO35" s="412" t="e">
        <f>PAS!AP90</f>
        <v>#N/A</v>
      </c>
      <c r="AP35" s="412" t="e">
        <f>PAS!AQ90</f>
        <v>#N/A</v>
      </c>
      <c r="AQ35" s="412">
        <f>PAS!AR90</f>
        <v>100</v>
      </c>
      <c r="AR35" s="412">
        <f>PAS!AS90</f>
        <v>100</v>
      </c>
      <c r="AS35" s="412">
        <f>PAS!AT90</f>
        <v>100</v>
      </c>
      <c r="AT35" s="412" t="e">
        <f>PAS!AU90</f>
        <v>#VALUE!</v>
      </c>
      <c r="AU35" s="412" t="e">
        <f>PAS!AV90</f>
        <v>#VALUE!</v>
      </c>
      <c r="AV35" s="412" t="e">
        <f>PAS!AW90</f>
        <v>#VALUE!</v>
      </c>
      <c r="AW35" s="412" t="e">
        <f>PAS!AX90</f>
        <v>#VALUE!</v>
      </c>
      <c r="AX35" s="412" t="e">
        <f>PAS!AY90</f>
        <v>#VALUE!</v>
      </c>
      <c r="AY35" s="412" t="e">
        <f>PAS!AZ90</f>
        <v>#N/A</v>
      </c>
      <c r="AZ35" s="412" t="e">
        <f>PAS!BA90</f>
        <v>#N/A</v>
      </c>
      <c r="BA35" s="412" t="e">
        <f>PAS!BB90</f>
        <v>#N/A</v>
      </c>
      <c r="BB35" s="412" t="e">
        <f>PAS!BC90</f>
        <v>#N/A</v>
      </c>
      <c r="BC35" s="412" t="e">
        <f>PAS!BD90</f>
        <v>#N/A</v>
      </c>
      <c r="BD35" s="412">
        <f>PAS!BE90</f>
        <v>80</v>
      </c>
      <c r="BE35" s="412">
        <f>PAS!BF90</f>
        <v>70</v>
      </c>
      <c r="BF35" s="412" t="e">
        <f>PAS!BG90</f>
        <v>#N/A</v>
      </c>
      <c r="BG35" s="412" t="e">
        <f>PAS!BH90</f>
        <v>#N/A</v>
      </c>
      <c r="BH35" s="412" t="e">
        <f>PAS!BI90</f>
        <v>#N/A</v>
      </c>
      <c r="BI35" s="412" t="e">
        <f>PAS!BJ90</f>
        <v>#N/A</v>
      </c>
      <c r="BJ35" s="412" t="e">
        <f>PAS!BK90</f>
        <v>#N/A</v>
      </c>
      <c r="BK35" s="412" t="e">
        <f>PAS!BL90</f>
        <v>#N/A</v>
      </c>
      <c r="BL35" s="412" t="e">
        <f>PAS!BM90</f>
        <v>#N/A</v>
      </c>
      <c r="BM35" s="412">
        <f>PAS!BN90</f>
        <v>80</v>
      </c>
      <c r="BN35" s="412">
        <f>PAS!BO90</f>
        <v>70</v>
      </c>
      <c r="BO35" s="412" t="e">
        <f>PAS!BP90</f>
        <v>#N/A</v>
      </c>
      <c r="BP35" s="412" t="e">
        <f>PAS!BQ90</f>
        <v>#N/A</v>
      </c>
      <c r="BQ35" s="412" t="e">
        <f>PAS!BR90</f>
        <v>#N/A</v>
      </c>
      <c r="BR35" s="412" t="e">
        <f>PAS!BS90</f>
        <v>#N/A</v>
      </c>
      <c r="BS35" s="412">
        <f>PAS!BT90</f>
        <v>80</v>
      </c>
      <c r="BT35" s="412">
        <f>PAS!BU90</f>
        <v>70</v>
      </c>
      <c r="BU35" s="412" t="e">
        <f>PAS!BV90</f>
        <v>#N/A</v>
      </c>
      <c r="BV35" s="412" t="e">
        <f>PAS!BW90</f>
        <v>#N/A</v>
      </c>
      <c r="BW35" s="412" t="e">
        <f>PAS!BX90</f>
        <v>#N/A</v>
      </c>
      <c r="BX35" s="412">
        <f>PAS!BY90</f>
        <v>80</v>
      </c>
      <c r="BY35" s="412">
        <f>PAS!BZ90</f>
        <v>70</v>
      </c>
      <c r="BZ35" s="412" t="e">
        <f>PAS!CA90</f>
        <v>#N/A</v>
      </c>
      <c r="CA35" s="412" t="e">
        <f>PAS!CB90</f>
        <v>#N/A</v>
      </c>
      <c r="CB35" s="412" t="e">
        <f>PAS!CC90</f>
        <v>#N/A</v>
      </c>
      <c r="CC35" s="412" t="e">
        <f>PAS!CD90</f>
        <v>#N/A</v>
      </c>
    </row>
    <row r="36" spans="1:81" ht="20.25" customHeight="1">
      <c r="A36" s="113">
        <v>33</v>
      </c>
      <c r="B36" s="410" t="str">
        <f>SISWA!C38</f>
        <v>Anak 33</v>
      </c>
      <c r="C36" s="412">
        <f>PAS!D91</f>
        <v>100</v>
      </c>
      <c r="D36" s="412">
        <f>PAS!E91</f>
        <v>100</v>
      </c>
      <c r="E36" s="412">
        <f>PAS!F91</f>
        <v>100</v>
      </c>
      <c r="F36" s="412" t="e">
        <f>PAS!G91</f>
        <v>#N/A</v>
      </c>
      <c r="G36" s="412" t="e">
        <f>PAS!H91</f>
        <v>#N/A</v>
      </c>
      <c r="H36" s="412" t="e">
        <f>PAS!I91</f>
        <v>#N/A</v>
      </c>
      <c r="I36" s="412">
        <f>PAS!J91</f>
        <v>80</v>
      </c>
      <c r="J36" s="412">
        <f>PAS!K91</f>
        <v>75</v>
      </c>
      <c r="K36" s="412">
        <f>PAS!L91</f>
        <v>100</v>
      </c>
      <c r="L36" s="412">
        <f>PAS!M91</f>
        <v>100</v>
      </c>
      <c r="M36" s="412">
        <f>PAS!N91</f>
        <v>100</v>
      </c>
      <c r="N36" s="412" t="e">
        <f>PAS!O91</f>
        <v>#N/A</v>
      </c>
      <c r="O36" s="412" t="e">
        <f>PAS!P91</f>
        <v>#N/A</v>
      </c>
      <c r="P36" s="412" t="e">
        <f>PAS!Q91</f>
        <v>#N/A</v>
      </c>
      <c r="Q36" s="412">
        <f>PAS!R91</f>
        <v>80</v>
      </c>
      <c r="R36" s="412">
        <f>PAS!S91</f>
        <v>75</v>
      </c>
      <c r="S36" s="412" t="e">
        <f>PAS!T91</f>
        <v>#N/A</v>
      </c>
      <c r="T36" s="412" t="e">
        <f>PAS!U91</f>
        <v>#N/A</v>
      </c>
      <c r="U36" s="412" t="e">
        <f>PAS!V91</f>
        <v>#N/A</v>
      </c>
      <c r="V36" s="412" t="e">
        <f>PAS!W91</f>
        <v>#N/A</v>
      </c>
      <c r="W36" s="412" t="e">
        <f>PAS!X91</f>
        <v>#N/A</v>
      </c>
      <c r="X36" s="412" t="e">
        <f>PAS!Y91</f>
        <v>#N/A</v>
      </c>
      <c r="Y36" s="412">
        <f>PAS!Z91</f>
        <v>100</v>
      </c>
      <c r="Z36" s="412">
        <f>PAS!AA91</f>
        <v>100</v>
      </c>
      <c r="AA36" s="412">
        <f>PAS!AB91</f>
        <v>100</v>
      </c>
      <c r="AB36" s="412">
        <f>PAS!AC91</f>
        <v>100</v>
      </c>
      <c r="AC36" s="412" t="e">
        <f>PAS!AD91</f>
        <v>#N/A</v>
      </c>
      <c r="AD36" s="412" t="e">
        <f>PAS!AE91</f>
        <v>#N/A</v>
      </c>
      <c r="AE36" s="412">
        <f>PAS!AF91</f>
        <v>100</v>
      </c>
      <c r="AF36" s="412">
        <f>PAS!AG91</f>
        <v>100</v>
      </c>
      <c r="AG36" s="412">
        <f>PAS!AH91</f>
        <v>100</v>
      </c>
      <c r="AH36" s="412" t="e">
        <f>PAS!AI91</f>
        <v>#N/A</v>
      </c>
      <c r="AI36" s="412" t="e">
        <f>PAS!AJ91</f>
        <v>#N/A</v>
      </c>
      <c r="AJ36" s="412" t="e">
        <f>PAS!AK91</f>
        <v>#N/A</v>
      </c>
      <c r="AK36" s="412">
        <f>PAS!AL91</f>
        <v>100</v>
      </c>
      <c r="AL36" s="412">
        <f>PAS!AM91</f>
        <v>100</v>
      </c>
      <c r="AM36" s="412">
        <f>PAS!AN91</f>
        <v>100</v>
      </c>
      <c r="AN36" s="412" t="e">
        <f>PAS!AO91</f>
        <v>#N/A</v>
      </c>
      <c r="AO36" s="412" t="e">
        <f>PAS!AP91</f>
        <v>#N/A</v>
      </c>
      <c r="AP36" s="412" t="e">
        <f>PAS!AQ91</f>
        <v>#N/A</v>
      </c>
      <c r="AQ36" s="412">
        <f>PAS!AR91</f>
        <v>100</v>
      </c>
      <c r="AR36" s="412">
        <f>PAS!AS91</f>
        <v>95</v>
      </c>
      <c r="AS36" s="412">
        <f>PAS!AT91</f>
        <v>95</v>
      </c>
      <c r="AT36" s="412" t="e">
        <f>PAS!AU91</f>
        <v>#VALUE!</v>
      </c>
      <c r="AU36" s="412" t="e">
        <f>PAS!AV91</f>
        <v>#VALUE!</v>
      </c>
      <c r="AV36" s="412" t="e">
        <f>PAS!AW91</f>
        <v>#VALUE!</v>
      </c>
      <c r="AW36" s="412" t="e">
        <f>PAS!AX91</f>
        <v>#VALUE!</v>
      </c>
      <c r="AX36" s="412" t="e">
        <f>PAS!AY91</f>
        <v>#VALUE!</v>
      </c>
      <c r="AY36" s="412" t="e">
        <f>PAS!AZ91</f>
        <v>#N/A</v>
      </c>
      <c r="AZ36" s="412" t="e">
        <f>PAS!BA91</f>
        <v>#N/A</v>
      </c>
      <c r="BA36" s="412" t="e">
        <f>PAS!BB91</f>
        <v>#N/A</v>
      </c>
      <c r="BB36" s="412" t="e">
        <f>PAS!BC91</f>
        <v>#N/A</v>
      </c>
      <c r="BC36" s="412" t="e">
        <f>PAS!BD91</f>
        <v>#N/A</v>
      </c>
      <c r="BD36" s="412">
        <f>PAS!BE91</f>
        <v>80</v>
      </c>
      <c r="BE36" s="412">
        <f>PAS!BF91</f>
        <v>75</v>
      </c>
      <c r="BF36" s="412" t="e">
        <f>PAS!BG91</f>
        <v>#N/A</v>
      </c>
      <c r="BG36" s="412" t="e">
        <f>PAS!BH91</f>
        <v>#N/A</v>
      </c>
      <c r="BH36" s="412" t="e">
        <f>PAS!BI91</f>
        <v>#N/A</v>
      </c>
      <c r="BI36" s="412" t="e">
        <f>PAS!BJ91</f>
        <v>#N/A</v>
      </c>
      <c r="BJ36" s="412" t="e">
        <f>PAS!BK91</f>
        <v>#N/A</v>
      </c>
      <c r="BK36" s="412" t="e">
        <f>PAS!BL91</f>
        <v>#N/A</v>
      </c>
      <c r="BL36" s="412" t="e">
        <f>PAS!BM91</f>
        <v>#N/A</v>
      </c>
      <c r="BM36" s="412">
        <f>PAS!BN91</f>
        <v>80</v>
      </c>
      <c r="BN36" s="412">
        <f>PAS!BO91</f>
        <v>75</v>
      </c>
      <c r="BO36" s="412" t="e">
        <f>PAS!BP91</f>
        <v>#N/A</v>
      </c>
      <c r="BP36" s="412" t="e">
        <f>PAS!BQ91</f>
        <v>#N/A</v>
      </c>
      <c r="BQ36" s="412" t="e">
        <f>PAS!BR91</f>
        <v>#N/A</v>
      </c>
      <c r="BR36" s="412" t="e">
        <f>PAS!BS91</f>
        <v>#N/A</v>
      </c>
      <c r="BS36" s="412">
        <f>PAS!BT91</f>
        <v>80</v>
      </c>
      <c r="BT36" s="412">
        <f>PAS!BU91</f>
        <v>75</v>
      </c>
      <c r="BU36" s="412" t="e">
        <f>PAS!BV91</f>
        <v>#N/A</v>
      </c>
      <c r="BV36" s="412" t="e">
        <f>PAS!BW91</f>
        <v>#N/A</v>
      </c>
      <c r="BW36" s="412" t="e">
        <f>PAS!BX91</f>
        <v>#N/A</v>
      </c>
      <c r="BX36" s="412">
        <f>PAS!BY91</f>
        <v>80</v>
      </c>
      <c r="BY36" s="412">
        <f>PAS!BZ91</f>
        <v>75</v>
      </c>
      <c r="BZ36" s="412" t="e">
        <f>PAS!CA91</f>
        <v>#N/A</v>
      </c>
      <c r="CA36" s="412" t="e">
        <f>PAS!CB91</f>
        <v>#N/A</v>
      </c>
      <c r="CB36" s="412" t="e">
        <f>PAS!CC91</f>
        <v>#N/A</v>
      </c>
      <c r="CC36" s="412" t="e">
        <f>PAS!CD91</f>
        <v>#N/A</v>
      </c>
    </row>
    <row r="37" spans="1:81" ht="20.25" customHeight="1">
      <c r="A37" s="113">
        <v>34</v>
      </c>
      <c r="B37" s="410" t="str">
        <f>SISWA!C39</f>
        <v>Anak 34</v>
      </c>
      <c r="C37" s="412">
        <f>PAS!D92</f>
        <v>100</v>
      </c>
      <c r="D37" s="412">
        <f>PAS!E92</f>
        <v>100</v>
      </c>
      <c r="E37" s="412">
        <f>PAS!F92</f>
        <v>100</v>
      </c>
      <c r="F37" s="412" t="e">
        <f>PAS!G92</f>
        <v>#N/A</v>
      </c>
      <c r="G37" s="412" t="e">
        <f>PAS!H92</f>
        <v>#N/A</v>
      </c>
      <c r="H37" s="412" t="e">
        <f>PAS!I92</f>
        <v>#N/A</v>
      </c>
      <c r="I37" s="412">
        <f>PAS!J92</f>
        <v>80</v>
      </c>
      <c r="J37" s="412">
        <f>PAS!K92</f>
        <v>85</v>
      </c>
      <c r="K37" s="412">
        <f>PAS!L92</f>
        <v>100</v>
      </c>
      <c r="L37" s="412">
        <f>PAS!M92</f>
        <v>100</v>
      </c>
      <c r="M37" s="412">
        <f>PAS!N92</f>
        <v>100</v>
      </c>
      <c r="N37" s="412" t="e">
        <f>PAS!O92</f>
        <v>#N/A</v>
      </c>
      <c r="O37" s="412" t="e">
        <f>PAS!P92</f>
        <v>#N/A</v>
      </c>
      <c r="P37" s="412" t="e">
        <f>PAS!Q92</f>
        <v>#N/A</v>
      </c>
      <c r="Q37" s="412">
        <f>PAS!R92</f>
        <v>80</v>
      </c>
      <c r="R37" s="412">
        <f>PAS!S92</f>
        <v>85</v>
      </c>
      <c r="S37" s="412" t="e">
        <f>PAS!T92</f>
        <v>#N/A</v>
      </c>
      <c r="T37" s="412" t="e">
        <f>PAS!U92</f>
        <v>#N/A</v>
      </c>
      <c r="U37" s="412" t="e">
        <f>PAS!V92</f>
        <v>#N/A</v>
      </c>
      <c r="V37" s="412" t="e">
        <f>PAS!W92</f>
        <v>#N/A</v>
      </c>
      <c r="W37" s="412" t="e">
        <f>PAS!X92</f>
        <v>#N/A</v>
      </c>
      <c r="X37" s="412" t="e">
        <f>PAS!Y92</f>
        <v>#N/A</v>
      </c>
      <c r="Y37" s="412">
        <f>PAS!Z92</f>
        <v>100</v>
      </c>
      <c r="Z37" s="412">
        <f>PAS!AA92</f>
        <v>100</v>
      </c>
      <c r="AA37" s="412">
        <f>PAS!AB92</f>
        <v>100</v>
      </c>
      <c r="AB37" s="412">
        <f>PAS!AC92</f>
        <v>100</v>
      </c>
      <c r="AC37" s="412" t="e">
        <f>PAS!AD92</f>
        <v>#N/A</v>
      </c>
      <c r="AD37" s="412" t="e">
        <f>PAS!AE92</f>
        <v>#N/A</v>
      </c>
      <c r="AE37" s="412">
        <f>PAS!AF92</f>
        <v>100</v>
      </c>
      <c r="AF37" s="412">
        <f>PAS!AG92</f>
        <v>100</v>
      </c>
      <c r="AG37" s="412">
        <f>PAS!AH92</f>
        <v>100</v>
      </c>
      <c r="AH37" s="412" t="e">
        <f>PAS!AI92</f>
        <v>#N/A</v>
      </c>
      <c r="AI37" s="412" t="e">
        <f>PAS!AJ92</f>
        <v>#N/A</v>
      </c>
      <c r="AJ37" s="412" t="e">
        <f>PAS!AK92</f>
        <v>#N/A</v>
      </c>
      <c r="AK37" s="412">
        <f>PAS!AL92</f>
        <v>100</v>
      </c>
      <c r="AL37" s="412">
        <f>PAS!AM92</f>
        <v>100</v>
      </c>
      <c r="AM37" s="412">
        <f>PAS!AN92</f>
        <v>100</v>
      </c>
      <c r="AN37" s="412" t="e">
        <f>PAS!AO92</f>
        <v>#N/A</v>
      </c>
      <c r="AO37" s="412" t="e">
        <f>PAS!AP92</f>
        <v>#N/A</v>
      </c>
      <c r="AP37" s="412" t="e">
        <f>PAS!AQ92</f>
        <v>#N/A</v>
      </c>
      <c r="AQ37" s="412">
        <f>PAS!AR92</f>
        <v>100</v>
      </c>
      <c r="AR37" s="412">
        <f>PAS!AS92</f>
        <v>100</v>
      </c>
      <c r="AS37" s="412">
        <f>PAS!AT92</f>
        <v>100</v>
      </c>
      <c r="AT37" s="412" t="e">
        <f>PAS!AU92</f>
        <v>#VALUE!</v>
      </c>
      <c r="AU37" s="412" t="e">
        <f>PAS!AV92</f>
        <v>#VALUE!</v>
      </c>
      <c r="AV37" s="412" t="e">
        <f>PAS!AW92</f>
        <v>#VALUE!</v>
      </c>
      <c r="AW37" s="412" t="e">
        <f>PAS!AX92</f>
        <v>#VALUE!</v>
      </c>
      <c r="AX37" s="412" t="e">
        <f>PAS!AY92</f>
        <v>#VALUE!</v>
      </c>
      <c r="AY37" s="412" t="e">
        <f>PAS!AZ92</f>
        <v>#N/A</v>
      </c>
      <c r="AZ37" s="412" t="e">
        <f>PAS!BA92</f>
        <v>#N/A</v>
      </c>
      <c r="BA37" s="412" t="e">
        <f>PAS!BB92</f>
        <v>#N/A</v>
      </c>
      <c r="BB37" s="412" t="e">
        <f>PAS!BC92</f>
        <v>#N/A</v>
      </c>
      <c r="BC37" s="412" t="e">
        <f>PAS!BD92</f>
        <v>#N/A</v>
      </c>
      <c r="BD37" s="412">
        <f>PAS!BE92</f>
        <v>80</v>
      </c>
      <c r="BE37" s="412">
        <f>PAS!BF92</f>
        <v>85</v>
      </c>
      <c r="BF37" s="412" t="e">
        <f>PAS!BG92</f>
        <v>#N/A</v>
      </c>
      <c r="BG37" s="412" t="e">
        <f>PAS!BH92</f>
        <v>#N/A</v>
      </c>
      <c r="BH37" s="412" t="e">
        <f>PAS!BI92</f>
        <v>#N/A</v>
      </c>
      <c r="BI37" s="412" t="e">
        <f>PAS!BJ92</f>
        <v>#N/A</v>
      </c>
      <c r="BJ37" s="412" t="e">
        <f>PAS!BK92</f>
        <v>#N/A</v>
      </c>
      <c r="BK37" s="412" t="e">
        <f>PAS!BL92</f>
        <v>#N/A</v>
      </c>
      <c r="BL37" s="412" t="e">
        <f>PAS!BM92</f>
        <v>#N/A</v>
      </c>
      <c r="BM37" s="412">
        <f>PAS!BN92</f>
        <v>80</v>
      </c>
      <c r="BN37" s="412">
        <f>PAS!BO92</f>
        <v>85</v>
      </c>
      <c r="BO37" s="412" t="e">
        <f>PAS!BP92</f>
        <v>#N/A</v>
      </c>
      <c r="BP37" s="412" t="e">
        <f>PAS!BQ92</f>
        <v>#N/A</v>
      </c>
      <c r="BQ37" s="412" t="e">
        <f>PAS!BR92</f>
        <v>#N/A</v>
      </c>
      <c r="BR37" s="412" t="e">
        <f>PAS!BS92</f>
        <v>#N/A</v>
      </c>
      <c r="BS37" s="412">
        <f>PAS!BT92</f>
        <v>80</v>
      </c>
      <c r="BT37" s="412">
        <f>PAS!BU92</f>
        <v>85</v>
      </c>
      <c r="BU37" s="412" t="e">
        <f>PAS!BV92</f>
        <v>#N/A</v>
      </c>
      <c r="BV37" s="412" t="e">
        <f>PAS!BW92</f>
        <v>#N/A</v>
      </c>
      <c r="BW37" s="412" t="e">
        <f>PAS!BX92</f>
        <v>#N/A</v>
      </c>
      <c r="BX37" s="412">
        <f>PAS!BY92</f>
        <v>80</v>
      </c>
      <c r="BY37" s="412">
        <f>PAS!BZ92</f>
        <v>85</v>
      </c>
      <c r="BZ37" s="412" t="e">
        <f>PAS!CA92</f>
        <v>#N/A</v>
      </c>
      <c r="CA37" s="412" t="e">
        <f>PAS!CB92</f>
        <v>#N/A</v>
      </c>
      <c r="CB37" s="412" t="e">
        <f>PAS!CC92</f>
        <v>#N/A</v>
      </c>
      <c r="CC37" s="412" t="e">
        <f>PAS!CD92</f>
        <v>#N/A</v>
      </c>
    </row>
    <row r="38" spans="1:81" ht="20.25" customHeight="1">
      <c r="A38" s="113">
        <v>35</v>
      </c>
      <c r="B38" s="410" t="str">
        <f>SISWA!C40</f>
        <v>Anak 35</v>
      </c>
      <c r="C38" s="412">
        <f>PAS!D93</f>
        <v>100</v>
      </c>
      <c r="D38" s="412">
        <f>PAS!E93</f>
        <v>100</v>
      </c>
      <c r="E38" s="412">
        <f>PAS!F93</f>
        <v>100</v>
      </c>
      <c r="F38" s="412" t="e">
        <f>PAS!G93</f>
        <v>#N/A</v>
      </c>
      <c r="G38" s="412" t="e">
        <f>PAS!H93</f>
        <v>#N/A</v>
      </c>
      <c r="H38" s="412" t="e">
        <f>PAS!I93</f>
        <v>#N/A</v>
      </c>
      <c r="I38" s="412">
        <f>PAS!J93</f>
        <v>80</v>
      </c>
      <c r="J38" s="412">
        <f>PAS!K93</f>
        <v>75</v>
      </c>
      <c r="K38" s="412">
        <f>PAS!L93</f>
        <v>100</v>
      </c>
      <c r="L38" s="412">
        <f>PAS!M93</f>
        <v>100</v>
      </c>
      <c r="M38" s="412">
        <f>PAS!N93</f>
        <v>100</v>
      </c>
      <c r="N38" s="412" t="e">
        <f>PAS!O93</f>
        <v>#N/A</v>
      </c>
      <c r="O38" s="412" t="e">
        <f>PAS!P93</f>
        <v>#N/A</v>
      </c>
      <c r="P38" s="412" t="e">
        <f>PAS!Q93</f>
        <v>#N/A</v>
      </c>
      <c r="Q38" s="412">
        <f>PAS!R93</f>
        <v>80</v>
      </c>
      <c r="R38" s="412">
        <f>PAS!S93</f>
        <v>75</v>
      </c>
      <c r="S38" s="412" t="e">
        <f>PAS!T93</f>
        <v>#N/A</v>
      </c>
      <c r="T38" s="412" t="e">
        <f>PAS!U93</f>
        <v>#N/A</v>
      </c>
      <c r="U38" s="412" t="e">
        <f>PAS!V93</f>
        <v>#N/A</v>
      </c>
      <c r="V38" s="412" t="e">
        <f>PAS!W93</f>
        <v>#N/A</v>
      </c>
      <c r="W38" s="412" t="e">
        <f>PAS!X93</f>
        <v>#N/A</v>
      </c>
      <c r="X38" s="412" t="e">
        <f>PAS!Y93</f>
        <v>#N/A</v>
      </c>
      <c r="Y38" s="412">
        <f>PAS!Z93</f>
        <v>100</v>
      </c>
      <c r="Z38" s="412">
        <f>PAS!AA93</f>
        <v>100</v>
      </c>
      <c r="AA38" s="412">
        <f>PAS!AB93</f>
        <v>100</v>
      </c>
      <c r="AB38" s="412">
        <f>PAS!AC93</f>
        <v>100</v>
      </c>
      <c r="AC38" s="412" t="e">
        <f>PAS!AD93</f>
        <v>#N/A</v>
      </c>
      <c r="AD38" s="412" t="e">
        <f>PAS!AE93</f>
        <v>#N/A</v>
      </c>
      <c r="AE38" s="412">
        <f>PAS!AF93</f>
        <v>100</v>
      </c>
      <c r="AF38" s="412">
        <f>PAS!AG93</f>
        <v>100</v>
      </c>
      <c r="AG38" s="412">
        <f>PAS!AH93</f>
        <v>100</v>
      </c>
      <c r="AH38" s="412" t="e">
        <f>PAS!AI93</f>
        <v>#N/A</v>
      </c>
      <c r="AI38" s="412" t="e">
        <f>PAS!AJ93</f>
        <v>#N/A</v>
      </c>
      <c r="AJ38" s="412" t="e">
        <f>PAS!AK93</f>
        <v>#N/A</v>
      </c>
      <c r="AK38" s="412">
        <f>PAS!AL93</f>
        <v>100</v>
      </c>
      <c r="AL38" s="412">
        <f>PAS!AM93</f>
        <v>100</v>
      </c>
      <c r="AM38" s="412">
        <f>PAS!AN93</f>
        <v>100</v>
      </c>
      <c r="AN38" s="412" t="e">
        <f>PAS!AO93</f>
        <v>#N/A</v>
      </c>
      <c r="AO38" s="412" t="e">
        <f>PAS!AP93</f>
        <v>#N/A</v>
      </c>
      <c r="AP38" s="412" t="e">
        <f>PAS!AQ93</f>
        <v>#N/A</v>
      </c>
      <c r="AQ38" s="412">
        <f>PAS!AR93</f>
        <v>100</v>
      </c>
      <c r="AR38" s="412">
        <f>PAS!AS93</f>
        <v>100</v>
      </c>
      <c r="AS38" s="412">
        <f>PAS!AT93</f>
        <v>100</v>
      </c>
      <c r="AT38" s="412" t="e">
        <f>PAS!AU93</f>
        <v>#VALUE!</v>
      </c>
      <c r="AU38" s="412" t="e">
        <f>PAS!AV93</f>
        <v>#VALUE!</v>
      </c>
      <c r="AV38" s="412" t="e">
        <f>PAS!AW93</f>
        <v>#VALUE!</v>
      </c>
      <c r="AW38" s="412" t="e">
        <f>PAS!AX93</f>
        <v>#VALUE!</v>
      </c>
      <c r="AX38" s="412" t="e">
        <f>PAS!AY93</f>
        <v>#VALUE!</v>
      </c>
      <c r="AY38" s="412" t="e">
        <f>PAS!AZ93</f>
        <v>#N/A</v>
      </c>
      <c r="AZ38" s="412" t="e">
        <f>PAS!BA93</f>
        <v>#N/A</v>
      </c>
      <c r="BA38" s="412" t="e">
        <f>PAS!BB93</f>
        <v>#N/A</v>
      </c>
      <c r="BB38" s="412" t="e">
        <f>PAS!BC93</f>
        <v>#N/A</v>
      </c>
      <c r="BC38" s="412" t="e">
        <f>PAS!BD93</f>
        <v>#N/A</v>
      </c>
      <c r="BD38" s="412">
        <f>PAS!BE93</f>
        <v>80</v>
      </c>
      <c r="BE38" s="412">
        <f>PAS!BF93</f>
        <v>75</v>
      </c>
      <c r="BF38" s="412" t="e">
        <f>PAS!BG93</f>
        <v>#N/A</v>
      </c>
      <c r="BG38" s="412" t="e">
        <f>PAS!BH93</f>
        <v>#N/A</v>
      </c>
      <c r="BH38" s="412" t="e">
        <f>PAS!BI93</f>
        <v>#N/A</v>
      </c>
      <c r="BI38" s="412" t="e">
        <f>PAS!BJ93</f>
        <v>#N/A</v>
      </c>
      <c r="BJ38" s="412" t="e">
        <f>PAS!BK93</f>
        <v>#N/A</v>
      </c>
      <c r="BK38" s="412" t="e">
        <f>PAS!BL93</f>
        <v>#N/A</v>
      </c>
      <c r="BL38" s="412" t="e">
        <f>PAS!BM93</f>
        <v>#N/A</v>
      </c>
      <c r="BM38" s="412">
        <f>PAS!BN93</f>
        <v>80</v>
      </c>
      <c r="BN38" s="412">
        <f>PAS!BO93</f>
        <v>75</v>
      </c>
      <c r="BO38" s="412" t="e">
        <f>PAS!BP93</f>
        <v>#N/A</v>
      </c>
      <c r="BP38" s="412" t="e">
        <f>PAS!BQ93</f>
        <v>#N/A</v>
      </c>
      <c r="BQ38" s="412" t="e">
        <f>PAS!BR93</f>
        <v>#N/A</v>
      </c>
      <c r="BR38" s="412" t="e">
        <f>PAS!BS93</f>
        <v>#N/A</v>
      </c>
      <c r="BS38" s="412">
        <f>PAS!BT93</f>
        <v>80</v>
      </c>
      <c r="BT38" s="412">
        <f>PAS!BU93</f>
        <v>75</v>
      </c>
      <c r="BU38" s="412" t="e">
        <f>PAS!BV93</f>
        <v>#N/A</v>
      </c>
      <c r="BV38" s="412" t="e">
        <f>PAS!BW93</f>
        <v>#N/A</v>
      </c>
      <c r="BW38" s="412" t="e">
        <f>PAS!BX93</f>
        <v>#N/A</v>
      </c>
      <c r="BX38" s="412">
        <f>PAS!BY93</f>
        <v>80</v>
      </c>
      <c r="BY38" s="412">
        <f>PAS!BZ93</f>
        <v>75</v>
      </c>
      <c r="BZ38" s="412" t="e">
        <f>PAS!CA93</f>
        <v>#N/A</v>
      </c>
      <c r="CA38" s="412" t="e">
        <f>PAS!CB93</f>
        <v>#N/A</v>
      </c>
      <c r="CB38" s="412" t="e">
        <f>PAS!CC93</f>
        <v>#N/A</v>
      </c>
      <c r="CC38" s="412" t="e">
        <f>PAS!CD93</f>
        <v>#N/A</v>
      </c>
    </row>
    <row r="39" spans="1:81" ht="20.25" customHeight="1">
      <c r="A39" s="113">
        <v>36</v>
      </c>
      <c r="B39" s="410" t="str">
        <f>SISWA!C41</f>
        <v>Anak 36</v>
      </c>
      <c r="C39" s="412">
        <f>PAS!D94</f>
        <v>100</v>
      </c>
      <c r="D39" s="412">
        <f>PAS!E94</f>
        <v>100</v>
      </c>
      <c r="E39" s="412">
        <f>PAS!F94</f>
        <v>100</v>
      </c>
      <c r="F39" s="412" t="e">
        <f>PAS!G94</f>
        <v>#N/A</v>
      </c>
      <c r="G39" s="412" t="e">
        <f>PAS!H94</f>
        <v>#N/A</v>
      </c>
      <c r="H39" s="412" t="e">
        <f>PAS!I94</f>
        <v>#N/A</v>
      </c>
      <c r="I39" s="412">
        <f>PAS!J94</f>
        <v>90</v>
      </c>
      <c r="J39" s="412">
        <f>PAS!K94</f>
        <v>75</v>
      </c>
      <c r="K39" s="412">
        <f>PAS!L94</f>
        <v>100</v>
      </c>
      <c r="L39" s="412">
        <f>PAS!M94</f>
        <v>100</v>
      </c>
      <c r="M39" s="412">
        <f>PAS!N94</f>
        <v>100</v>
      </c>
      <c r="N39" s="412" t="e">
        <f>PAS!O94</f>
        <v>#N/A</v>
      </c>
      <c r="O39" s="412" t="e">
        <f>PAS!P94</f>
        <v>#N/A</v>
      </c>
      <c r="P39" s="412" t="e">
        <f>PAS!Q94</f>
        <v>#N/A</v>
      </c>
      <c r="Q39" s="412">
        <f>PAS!R94</f>
        <v>90</v>
      </c>
      <c r="R39" s="412">
        <f>PAS!S94</f>
        <v>75</v>
      </c>
      <c r="S39" s="412" t="e">
        <f>PAS!T94</f>
        <v>#N/A</v>
      </c>
      <c r="T39" s="412" t="e">
        <f>PAS!U94</f>
        <v>#N/A</v>
      </c>
      <c r="U39" s="412" t="e">
        <f>PAS!V94</f>
        <v>#N/A</v>
      </c>
      <c r="V39" s="412" t="e">
        <f>PAS!W94</f>
        <v>#N/A</v>
      </c>
      <c r="W39" s="412" t="e">
        <f>PAS!X94</f>
        <v>#N/A</v>
      </c>
      <c r="X39" s="412" t="e">
        <f>PAS!Y94</f>
        <v>#N/A</v>
      </c>
      <c r="Y39" s="412">
        <f>PAS!Z94</f>
        <v>100</v>
      </c>
      <c r="Z39" s="412">
        <f>PAS!AA94</f>
        <v>100</v>
      </c>
      <c r="AA39" s="412">
        <f>PAS!AB94</f>
        <v>100</v>
      </c>
      <c r="AB39" s="412">
        <f>PAS!AC94</f>
        <v>100</v>
      </c>
      <c r="AC39" s="412" t="e">
        <f>PAS!AD94</f>
        <v>#N/A</v>
      </c>
      <c r="AD39" s="412" t="e">
        <f>PAS!AE94</f>
        <v>#N/A</v>
      </c>
      <c r="AE39" s="412">
        <f>PAS!AF94</f>
        <v>100</v>
      </c>
      <c r="AF39" s="412">
        <f>PAS!AG94</f>
        <v>100</v>
      </c>
      <c r="AG39" s="412">
        <f>PAS!AH94</f>
        <v>100</v>
      </c>
      <c r="AH39" s="412" t="e">
        <f>PAS!AI94</f>
        <v>#N/A</v>
      </c>
      <c r="AI39" s="412" t="e">
        <f>PAS!AJ94</f>
        <v>#N/A</v>
      </c>
      <c r="AJ39" s="412" t="e">
        <f>PAS!AK94</f>
        <v>#N/A</v>
      </c>
      <c r="AK39" s="412">
        <f>PAS!AL94</f>
        <v>100</v>
      </c>
      <c r="AL39" s="412">
        <f>PAS!AM94</f>
        <v>100</v>
      </c>
      <c r="AM39" s="412">
        <f>PAS!AN94</f>
        <v>100</v>
      </c>
      <c r="AN39" s="412" t="e">
        <f>PAS!AO94</f>
        <v>#N/A</v>
      </c>
      <c r="AO39" s="412" t="e">
        <f>PAS!AP94</f>
        <v>#N/A</v>
      </c>
      <c r="AP39" s="412" t="e">
        <f>PAS!AQ94</f>
        <v>#N/A</v>
      </c>
      <c r="AQ39" s="412">
        <f>PAS!AR94</f>
        <v>100</v>
      </c>
      <c r="AR39" s="412">
        <f>PAS!AS94</f>
        <v>100</v>
      </c>
      <c r="AS39" s="412">
        <f>PAS!AT94</f>
        <v>100</v>
      </c>
      <c r="AT39" s="412" t="e">
        <f>PAS!AU94</f>
        <v>#VALUE!</v>
      </c>
      <c r="AU39" s="412" t="e">
        <f>PAS!AV94</f>
        <v>#VALUE!</v>
      </c>
      <c r="AV39" s="412" t="e">
        <f>PAS!AW94</f>
        <v>#VALUE!</v>
      </c>
      <c r="AW39" s="412" t="e">
        <f>PAS!AX94</f>
        <v>#VALUE!</v>
      </c>
      <c r="AX39" s="412" t="e">
        <f>PAS!AY94</f>
        <v>#VALUE!</v>
      </c>
      <c r="AY39" s="412" t="e">
        <f>PAS!AZ94</f>
        <v>#N/A</v>
      </c>
      <c r="AZ39" s="412" t="e">
        <f>PAS!BA94</f>
        <v>#N/A</v>
      </c>
      <c r="BA39" s="412" t="e">
        <f>PAS!BB94</f>
        <v>#N/A</v>
      </c>
      <c r="BB39" s="412" t="e">
        <f>PAS!BC94</f>
        <v>#N/A</v>
      </c>
      <c r="BC39" s="412" t="e">
        <f>PAS!BD94</f>
        <v>#N/A</v>
      </c>
      <c r="BD39" s="412">
        <f>PAS!BE94</f>
        <v>90</v>
      </c>
      <c r="BE39" s="412">
        <f>PAS!BF94</f>
        <v>75</v>
      </c>
      <c r="BF39" s="412" t="e">
        <f>PAS!BG94</f>
        <v>#N/A</v>
      </c>
      <c r="BG39" s="412" t="e">
        <f>PAS!BH94</f>
        <v>#N/A</v>
      </c>
      <c r="BH39" s="412" t="e">
        <f>PAS!BI94</f>
        <v>#N/A</v>
      </c>
      <c r="BI39" s="412" t="e">
        <f>PAS!BJ94</f>
        <v>#N/A</v>
      </c>
      <c r="BJ39" s="412" t="e">
        <f>PAS!BK94</f>
        <v>#N/A</v>
      </c>
      <c r="BK39" s="412" t="e">
        <f>PAS!BL94</f>
        <v>#N/A</v>
      </c>
      <c r="BL39" s="412" t="e">
        <f>PAS!BM94</f>
        <v>#N/A</v>
      </c>
      <c r="BM39" s="412">
        <f>PAS!BN94</f>
        <v>90</v>
      </c>
      <c r="BN39" s="412">
        <f>PAS!BO94</f>
        <v>75</v>
      </c>
      <c r="BO39" s="412" t="e">
        <f>PAS!BP94</f>
        <v>#N/A</v>
      </c>
      <c r="BP39" s="412" t="e">
        <f>PAS!BQ94</f>
        <v>#N/A</v>
      </c>
      <c r="BQ39" s="412" t="e">
        <f>PAS!BR94</f>
        <v>#N/A</v>
      </c>
      <c r="BR39" s="412" t="e">
        <f>PAS!BS94</f>
        <v>#N/A</v>
      </c>
      <c r="BS39" s="412">
        <f>PAS!BT94</f>
        <v>90</v>
      </c>
      <c r="BT39" s="412">
        <f>PAS!BU94</f>
        <v>75</v>
      </c>
      <c r="BU39" s="412" t="e">
        <f>PAS!BV94</f>
        <v>#N/A</v>
      </c>
      <c r="BV39" s="412" t="e">
        <f>PAS!BW94</f>
        <v>#N/A</v>
      </c>
      <c r="BW39" s="412" t="e">
        <f>PAS!BX94</f>
        <v>#N/A</v>
      </c>
      <c r="BX39" s="412">
        <f>PAS!BY94</f>
        <v>90</v>
      </c>
      <c r="BY39" s="412">
        <f>PAS!BZ94</f>
        <v>75</v>
      </c>
      <c r="BZ39" s="412" t="e">
        <f>PAS!CA94</f>
        <v>#N/A</v>
      </c>
      <c r="CA39" s="412" t="e">
        <f>PAS!CB94</f>
        <v>#N/A</v>
      </c>
      <c r="CB39" s="412" t="e">
        <f>PAS!CC94</f>
        <v>#N/A</v>
      </c>
      <c r="CC39" s="412" t="e">
        <f>PAS!CD94</f>
        <v>#N/A</v>
      </c>
    </row>
    <row r="40" spans="1:81" ht="20.25" customHeight="1">
      <c r="A40" s="113">
        <v>37</v>
      </c>
      <c r="B40" s="410" t="str">
        <f>SISWA!C42</f>
        <v>Anak 37</v>
      </c>
      <c r="C40" s="412">
        <f>PAS!D95</f>
        <v>100</v>
      </c>
      <c r="D40" s="412">
        <f>PAS!E95</f>
        <v>100</v>
      </c>
      <c r="E40" s="412">
        <f>PAS!F95</f>
        <v>100</v>
      </c>
      <c r="F40" s="412" t="e">
        <f>PAS!G95</f>
        <v>#N/A</v>
      </c>
      <c r="G40" s="412" t="e">
        <f>PAS!H95</f>
        <v>#N/A</v>
      </c>
      <c r="H40" s="412" t="e">
        <f>PAS!I95</f>
        <v>#N/A</v>
      </c>
      <c r="I40" s="412">
        <f>PAS!J95</f>
        <v>80</v>
      </c>
      <c r="J40" s="412">
        <f>PAS!K95</f>
        <v>80</v>
      </c>
      <c r="K40" s="412">
        <f>PAS!L95</f>
        <v>100</v>
      </c>
      <c r="L40" s="412">
        <f>PAS!M95</f>
        <v>100</v>
      </c>
      <c r="M40" s="412">
        <f>PAS!N95</f>
        <v>100</v>
      </c>
      <c r="N40" s="412" t="e">
        <f>PAS!O95</f>
        <v>#N/A</v>
      </c>
      <c r="O40" s="412" t="e">
        <f>PAS!P95</f>
        <v>#N/A</v>
      </c>
      <c r="P40" s="412" t="e">
        <f>PAS!Q95</f>
        <v>#N/A</v>
      </c>
      <c r="Q40" s="412">
        <f>PAS!R95</f>
        <v>80</v>
      </c>
      <c r="R40" s="412">
        <f>PAS!S95</f>
        <v>80</v>
      </c>
      <c r="S40" s="412" t="e">
        <f>PAS!T95</f>
        <v>#N/A</v>
      </c>
      <c r="T40" s="412" t="e">
        <f>PAS!U95</f>
        <v>#N/A</v>
      </c>
      <c r="U40" s="412" t="e">
        <f>PAS!V95</f>
        <v>#N/A</v>
      </c>
      <c r="V40" s="412" t="e">
        <f>PAS!W95</f>
        <v>#N/A</v>
      </c>
      <c r="W40" s="412" t="e">
        <f>PAS!X95</f>
        <v>#N/A</v>
      </c>
      <c r="X40" s="412" t="e">
        <f>PAS!Y95</f>
        <v>#N/A</v>
      </c>
      <c r="Y40" s="412">
        <f>PAS!Z95</f>
        <v>100</v>
      </c>
      <c r="Z40" s="412">
        <f>PAS!AA95</f>
        <v>100</v>
      </c>
      <c r="AA40" s="412">
        <f>PAS!AB95</f>
        <v>100</v>
      </c>
      <c r="AB40" s="412">
        <f>PAS!AC95</f>
        <v>100</v>
      </c>
      <c r="AC40" s="412" t="e">
        <f>PAS!AD95</f>
        <v>#N/A</v>
      </c>
      <c r="AD40" s="412" t="e">
        <f>PAS!AE95</f>
        <v>#N/A</v>
      </c>
      <c r="AE40" s="412">
        <f>PAS!AF95</f>
        <v>100</v>
      </c>
      <c r="AF40" s="412">
        <f>PAS!AG95</f>
        <v>100</v>
      </c>
      <c r="AG40" s="412">
        <f>PAS!AH95</f>
        <v>100</v>
      </c>
      <c r="AH40" s="412" t="e">
        <f>PAS!AI95</f>
        <v>#N/A</v>
      </c>
      <c r="AI40" s="412" t="e">
        <f>PAS!AJ95</f>
        <v>#N/A</v>
      </c>
      <c r="AJ40" s="412" t="e">
        <f>PAS!AK95</f>
        <v>#N/A</v>
      </c>
      <c r="AK40" s="412">
        <f>PAS!AL95</f>
        <v>100</v>
      </c>
      <c r="AL40" s="412">
        <f>PAS!AM95</f>
        <v>100</v>
      </c>
      <c r="AM40" s="412">
        <f>PAS!AN95</f>
        <v>100</v>
      </c>
      <c r="AN40" s="412" t="e">
        <f>PAS!AO95</f>
        <v>#N/A</v>
      </c>
      <c r="AO40" s="412" t="e">
        <f>PAS!AP95</f>
        <v>#N/A</v>
      </c>
      <c r="AP40" s="412" t="e">
        <f>PAS!AQ95</f>
        <v>#N/A</v>
      </c>
      <c r="AQ40" s="412">
        <f>PAS!AR95</f>
        <v>100</v>
      </c>
      <c r="AR40" s="412">
        <f>PAS!AS95</f>
        <v>100</v>
      </c>
      <c r="AS40" s="412">
        <f>PAS!AT95</f>
        <v>100</v>
      </c>
      <c r="AT40" s="412" t="e">
        <f>PAS!AU95</f>
        <v>#VALUE!</v>
      </c>
      <c r="AU40" s="412" t="e">
        <f>PAS!AV95</f>
        <v>#VALUE!</v>
      </c>
      <c r="AV40" s="412" t="e">
        <f>PAS!AW95</f>
        <v>#VALUE!</v>
      </c>
      <c r="AW40" s="412" t="e">
        <f>PAS!AX95</f>
        <v>#VALUE!</v>
      </c>
      <c r="AX40" s="412" t="e">
        <f>PAS!AY95</f>
        <v>#VALUE!</v>
      </c>
      <c r="AY40" s="412" t="e">
        <f>PAS!AZ95</f>
        <v>#N/A</v>
      </c>
      <c r="AZ40" s="412" t="e">
        <f>PAS!BA95</f>
        <v>#N/A</v>
      </c>
      <c r="BA40" s="412" t="e">
        <f>PAS!BB95</f>
        <v>#N/A</v>
      </c>
      <c r="BB40" s="412" t="e">
        <f>PAS!BC95</f>
        <v>#N/A</v>
      </c>
      <c r="BC40" s="412" t="e">
        <f>PAS!BD95</f>
        <v>#N/A</v>
      </c>
      <c r="BD40" s="412">
        <f>PAS!BE95</f>
        <v>80</v>
      </c>
      <c r="BE40" s="412">
        <f>PAS!BF95</f>
        <v>80</v>
      </c>
      <c r="BF40" s="412" t="e">
        <f>PAS!BG95</f>
        <v>#N/A</v>
      </c>
      <c r="BG40" s="412" t="e">
        <f>PAS!BH95</f>
        <v>#N/A</v>
      </c>
      <c r="BH40" s="412" t="e">
        <f>PAS!BI95</f>
        <v>#N/A</v>
      </c>
      <c r="BI40" s="412" t="e">
        <f>PAS!BJ95</f>
        <v>#N/A</v>
      </c>
      <c r="BJ40" s="412" t="e">
        <f>PAS!BK95</f>
        <v>#N/A</v>
      </c>
      <c r="BK40" s="412" t="e">
        <f>PAS!BL95</f>
        <v>#N/A</v>
      </c>
      <c r="BL40" s="412" t="e">
        <f>PAS!BM95</f>
        <v>#N/A</v>
      </c>
      <c r="BM40" s="412">
        <f>PAS!BN95</f>
        <v>80</v>
      </c>
      <c r="BN40" s="412">
        <f>PAS!BO95</f>
        <v>80</v>
      </c>
      <c r="BO40" s="412" t="e">
        <f>PAS!BP95</f>
        <v>#N/A</v>
      </c>
      <c r="BP40" s="412" t="e">
        <f>PAS!BQ95</f>
        <v>#N/A</v>
      </c>
      <c r="BQ40" s="412" t="e">
        <f>PAS!BR95</f>
        <v>#N/A</v>
      </c>
      <c r="BR40" s="412" t="e">
        <f>PAS!BS95</f>
        <v>#N/A</v>
      </c>
      <c r="BS40" s="412">
        <f>PAS!BT95</f>
        <v>80</v>
      </c>
      <c r="BT40" s="412">
        <f>PAS!BU95</f>
        <v>80</v>
      </c>
      <c r="BU40" s="412" t="e">
        <f>PAS!BV95</f>
        <v>#N/A</v>
      </c>
      <c r="BV40" s="412" t="e">
        <f>PAS!BW95</f>
        <v>#N/A</v>
      </c>
      <c r="BW40" s="412" t="e">
        <f>PAS!BX95</f>
        <v>#N/A</v>
      </c>
      <c r="BX40" s="412">
        <f>PAS!BY95</f>
        <v>80</v>
      </c>
      <c r="BY40" s="412">
        <f>PAS!BZ95</f>
        <v>80</v>
      </c>
      <c r="BZ40" s="412" t="e">
        <f>PAS!CA95</f>
        <v>#N/A</v>
      </c>
      <c r="CA40" s="412" t="e">
        <f>PAS!CB95</f>
        <v>#N/A</v>
      </c>
      <c r="CB40" s="412" t="e">
        <f>PAS!CC95</f>
        <v>#N/A</v>
      </c>
      <c r="CC40" s="412" t="e">
        <f>PAS!CD95</f>
        <v>#N/A</v>
      </c>
    </row>
    <row r="41" spans="1:81" ht="20.25" customHeight="1">
      <c r="A41" s="113">
        <v>38</v>
      </c>
      <c r="B41" s="410" t="str">
        <f>SISWA!C43</f>
        <v>Anak 38</v>
      </c>
      <c r="C41" s="412">
        <f>PAS!D96</f>
        <v>100</v>
      </c>
      <c r="D41" s="412">
        <f>PAS!E96</f>
        <v>100</v>
      </c>
      <c r="E41" s="412">
        <f>PAS!F96</f>
        <v>100</v>
      </c>
      <c r="F41" s="412" t="e">
        <f>PAS!G96</f>
        <v>#N/A</v>
      </c>
      <c r="G41" s="412" t="e">
        <f>PAS!H96</f>
        <v>#N/A</v>
      </c>
      <c r="H41" s="412" t="e">
        <f>PAS!I96</f>
        <v>#N/A</v>
      </c>
      <c r="I41" s="412">
        <f>PAS!J96</f>
        <v>80</v>
      </c>
      <c r="J41" s="412">
        <f>PAS!K96</f>
        <v>90</v>
      </c>
      <c r="K41" s="412">
        <f>PAS!L96</f>
        <v>100</v>
      </c>
      <c r="L41" s="412">
        <f>PAS!M96</f>
        <v>100</v>
      </c>
      <c r="M41" s="412">
        <f>PAS!N96</f>
        <v>100</v>
      </c>
      <c r="N41" s="412" t="e">
        <f>PAS!O96</f>
        <v>#N/A</v>
      </c>
      <c r="O41" s="412" t="e">
        <f>PAS!P96</f>
        <v>#N/A</v>
      </c>
      <c r="P41" s="412" t="e">
        <f>PAS!Q96</f>
        <v>#N/A</v>
      </c>
      <c r="Q41" s="412">
        <f>PAS!R96</f>
        <v>80</v>
      </c>
      <c r="R41" s="412">
        <f>PAS!S96</f>
        <v>90</v>
      </c>
      <c r="S41" s="412" t="e">
        <f>PAS!T96</f>
        <v>#N/A</v>
      </c>
      <c r="T41" s="412" t="e">
        <f>PAS!U96</f>
        <v>#N/A</v>
      </c>
      <c r="U41" s="412" t="e">
        <f>PAS!V96</f>
        <v>#N/A</v>
      </c>
      <c r="V41" s="412" t="e">
        <f>PAS!W96</f>
        <v>#N/A</v>
      </c>
      <c r="W41" s="412" t="e">
        <f>PAS!X96</f>
        <v>#N/A</v>
      </c>
      <c r="X41" s="412" t="e">
        <f>PAS!Y96</f>
        <v>#N/A</v>
      </c>
      <c r="Y41" s="412">
        <f>PAS!Z96</f>
        <v>100</v>
      </c>
      <c r="Z41" s="412">
        <f>PAS!AA96</f>
        <v>100</v>
      </c>
      <c r="AA41" s="412">
        <f>PAS!AB96</f>
        <v>100</v>
      </c>
      <c r="AB41" s="412">
        <f>PAS!AC96</f>
        <v>100</v>
      </c>
      <c r="AC41" s="412" t="e">
        <f>PAS!AD96</f>
        <v>#N/A</v>
      </c>
      <c r="AD41" s="412" t="e">
        <f>PAS!AE96</f>
        <v>#N/A</v>
      </c>
      <c r="AE41" s="412">
        <f>PAS!AF96</f>
        <v>100</v>
      </c>
      <c r="AF41" s="412">
        <f>PAS!AG96</f>
        <v>100</v>
      </c>
      <c r="AG41" s="412">
        <f>PAS!AH96</f>
        <v>100</v>
      </c>
      <c r="AH41" s="412" t="e">
        <f>PAS!AI96</f>
        <v>#N/A</v>
      </c>
      <c r="AI41" s="412" t="e">
        <f>PAS!AJ96</f>
        <v>#N/A</v>
      </c>
      <c r="AJ41" s="412" t="e">
        <f>PAS!AK96</f>
        <v>#N/A</v>
      </c>
      <c r="AK41" s="412">
        <f>PAS!AL96</f>
        <v>100</v>
      </c>
      <c r="AL41" s="412">
        <f>PAS!AM96</f>
        <v>100</v>
      </c>
      <c r="AM41" s="412">
        <f>PAS!AN96</f>
        <v>100</v>
      </c>
      <c r="AN41" s="412" t="e">
        <f>PAS!AO96</f>
        <v>#N/A</v>
      </c>
      <c r="AO41" s="412" t="e">
        <f>PAS!AP96</f>
        <v>#N/A</v>
      </c>
      <c r="AP41" s="412" t="e">
        <f>PAS!AQ96</f>
        <v>#N/A</v>
      </c>
      <c r="AQ41" s="412">
        <f>PAS!AR96</f>
        <v>100</v>
      </c>
      <c r="AR41" s="412">
        <f>PAS!AS96</f>
        <v>100</v>
      </c>
      <c r="AS41" s="412">
        <f>PAS!AT96</f>
        <v>100</v>
      </c>
      <c r="AT41" s="412" t="e">
        <f>PAS!AU96</f>
        <v>#VALUE!</v>
      </c>
      <c r="AU41" s="412" t="e">
        <f>PAS!AV96</f>
        <v>#VALUE!</v>
      </c>
      <c r="AV41" s="412" t="e">
        <f>PAS!AW96</f>
        <v>#VALUE!</v>
      </c>
      <c r="AW41" s="412" t="e">
        <f>PAS!AX96</f>
        <v>#VALUE!</v>
      </c>
      <c r="AX41" s="412" t="e">
        <f>PAS!AY96</f>
        <v>#VALUE!</v>
      </c>
      <c r="AY41" s="412" t="e">
        <f>PAS!AZ96</f>
        <v>#N/A</v>
      </c>
      <c r="AZ41" s="412" t="e">
        <f>PAS!BA96</f>
        <v>#N/A</v>
      </c>
      <c r="BA41" s="412" t="e">
        <f>PAS!BB96</f>
        <v>#N/A</v>
      </c>
      <c r="BB41" s="412" t="e">
        <f>PAS!BC96</f>
        <v>#N/A</v>
      </c>
      <c r="BC41" s="412" t="e">
        <f>PAS!BD96</f>
        <v>#N/A</v>
      </c>
      <c r="BD41" s="412">
        <f>PAS!BE96</f>
        <v>80</v>
      </c>
      <c r="BE41" s="412">
        <f>PAS!BF96</f>
        <v>90</v>
      </c>
      <c r="BF41" s="412" t="e">
        <f>PAS!BG96</f>
        <v>#N/A</v>
      </c>
      <c r="BG41" s="412" t="e">
        <f>PAS!BH96</f>
        <v>#N/A</v>
      </c>
      <c r="BH41" s="412" t="e">
        <f>PAS!BI96</f>
        <v>#N/A</v>
      </c>
      <c r="BI41" s="412" t="e">
        <f>PAS!BJ96</f>
        <v>#N/A</v>
      </c>
      <c r="BJ41" s="412" t="e">
        <f>PAS!BK96</f>
        <v>#N/A</v>
      </c>
      <c r="BK41" s="412" t="e">
        <f>PAS!BL96</f>
        <v>#N/A</v>
      </c>
      <c r="BL41" s="412" t="e">
        <f>PAS!BM96</f>
        <v>#N/A</v>
      </c>
      <c r="BM41" s="412">
        <f>PAS!BN96</f>
        <v>80</v>
      </c>
      <c r="BN41" s="412">
        <f>PAS!BO96</f>
        <v>90</v>
      </c>
      <c r="BO41" s="412" t="e">
        <f>PAS!BP96</f>
        <v>#N/A</v>
      </c>
      <c r="BP41" s="412" t="e">
        <f>PAS!BQ96</f>
        <v>#N/A</v>
      </c>
      <c r="BQ41" s="412" t="e">
        <f>PAS!BR96</f>
        <v>#N/A</v>
      </c>
      <c r="BR41" s="412" t="e">
        <f>PAS!BS96</f>
        <v>#N/A</v>
      </c>
      <c r="BS41" s="412">
        <f>PAS!BT96</f>
        <v>80</v>
      </c>
      <c r="BT41" s="412">
        <f>PAS!BU96</f>
        <v>90</v>
      </c>
      <c r="BU41" s="412" t="e">
        <f>PAS!BV96</f>
        <v>#N/A</v>
      </c>
      <c r="BV41" s="412" t="e">
        <f>PAS!BW96</f>
        <v>#N/A</v>
      </c>
      <c r="BW41" s="412" t="e">
        <f>PAS!BX96</f>
        <v>#N/A</v>
      </c>
      <c r="BX41" s="412">
        <f>PAS!BY96</f>
        <v>80</v>
      </c>
      <c r="BY41" s="412">
        <f>PAS!BZ96</f>
        <v>90</v>
      </c>
      <c r="BZ41" s="412" t="e">
        <f>PAS!CA96</f>
        <v>#N/A</v>
      </c>
      <c r="CA41" s="412" t="e">
        <f>PAS!CB96</f>
        <v>#N/A</v>
      </c>
      <c r="CB41" s="412" t="e">
        <f>PAS!CC96</f>
        <v>#N/A</v>
      </c>
      <c r="CC41" s="412" t="e">
        <f>PAS!CD96</f>
        <v>#N/A</v>
      </c>
    </row>
    <row r="42" spans="1:81" ht="20.25" customHeight="1">
      <c r="A42" s="113">
        <v>39</v>
      </c>
      <c r="B42" s="410" t="str">
        <f>SISWA!C44</f>
        <v>Anak 39</v>
      </c>
      <c r="C42" s="412">
        <f>PAS!D97</f>
        <v>100</v>
      </c>
      <c r="D42" s="412">
        <f>PAS!E97</f>
        <v>100</v>
      </c>
      <c r="E42" s="412">
        <f>PAS!F97</f>
        <v>100</v>
      </c>
      <c r="F42" s="412" t="e">
        <f>PAS!G97</f>
        <v>#N/A</v>
      </c>
      <c r="G42" s="412" t="e">
        <f>PAS!H97</f>
        <v>#N/A</v>
      </c>
      <c r="H42" s="412" t="e">
        <f>PAS!I97</f>
        <v>#N/A</v>
      </c>
      <c r="I42" s="412">
        <f>PAS!J97</f>
        <v>90</v>
      </c>
      <c r="J42" s="412">
        <f>PAS!K97</f>
        <v>80</v>
      </c>
      <c r="K42" s="412">
        <f>PAS!L97</f>
        <v>100</v>
      </c>
      <c r="L42" s="412">
        <f>PAS!M97</f>
        <v>100</v>
      </c>
      <c r="M42" s="412">
        <f>PAS!N97</f>
        <v>100</v>
      </c>
      <c r="N42" s="412" t="e">
        <f>PAS!O97</f>
        <v>#N/A</v>
      </c>
      <c r="O42" s="412" t="e">
        <f>PAS!P97</f>
        <v>#N/A</v>
      </c>
      <c r="P42" s="412" t="e">
        <f>PAS!Q97</f>
        <v>#N/A</v>
      </c>
      <c r="Q42" s="412">
        <f>PAS!R97</f>
        <v>90</v>
      </c>
      <c r="R42" s="412">
        <f>PAS!S97</f>
        <v>80</v>
      </c>
      <c r="S42" s="412" t="e">
        <f>PAS!T97</f>
        <v>#N/A</v>
      </c>
      <c r="T42" s="412" t="e">
        <f>PAS!U97</f>
        <v>#N/A</v>
      </c>
      <c r="U42" s="412" t="e">
        <f>PAS!V97</f>
        <v>#N/A</v>
      </c>
      <c r="V42" s="412" t="e">
        <f>PAS!W97</f>
        <v>#N/A</v>
      </c>
      <c r="W42" s="412" t="e">
        <f>PAS!X97</f>
        <v>#N/A</v>
      </c>
      <c r="X42" s="412" t="e">
        <f>PAS!Y97</f>
        <v>#N/A</v>
      </c>
      <c r="Y42" s="412">
        <f>PAS!Z97</f>
        <v>100</v>
      </c>
      <c r="Z42" s="412">
        <f>PAS!AA97</f>
        <v>100</v>
      </c>
      <c r="AA42" s="412">
        <f>PAS!AB97</f>
        <v>100</v>
      </c>
      <c r="AB42" s="412">
        <f>PAS!AC97</f>
        <v>100</v>
      </c>
      <c r="AC42" s="412" t="e">
        <f>PAS!AD97</f>
        <v>#N/A</v>
      </c>
      <c r="AD42" s="412" t="e">
        <f>PAS!AE97</f>
        <v>#N/A</v>
      </c>
      <c r="AE42" s="412">
        <f>PAS!AF97</f>
        <v>100</v>
      </c>
      <c r="AF42" s="412">
        <f>PAS!AG97</f>
        <v>100</v>
      </c>
      <c r="AG42" s="412">
        <f>PAS!AH97</f>
        <v>100</v>
      </c>
      <c r="AH42" s="412" t="e">
        <f>PAS!AI97</f>
        <v>#N/A</v>
      </c>
      <c r="AI42" s="412" t="e">
        <f>PAS!AJ97</f>
        <v>#N/A</v>
      </c>
      <c r="AJ42" s="412" t="e">
        <f>PAS!AK97</f>
        <v>#N/A</v>
      </c>
      <c r="AK42" s="412">
        <f>PAS!AL97</f>
        <v>100</v>
      </c>
      <c r="AL42" s="412">
        <f>PAS!AM97</f>
        <v>100</v>
      </c>
      <c r="AM42" s="412">
        <f>PAS!AN97</f>
        <v>100</v>
      </c>
      <c r="AN42" s="412" t="e">
        <f>PAS!AO97</f>
        <v>#N/A</v>
      </c>
      <c r="AO42" s="412" t="e">
        <f>PAS!AP97</f>
        <v>#N/A</v>
      </c>
      <c r="AP42" s="412" t="e">
        <f>PAS!AQ97</f>
        <v>#N/A</v>
      </c>
      <c r="AQ42" s="412">
        <f>PAS!AR97</f>
        <v>100</v>
      </c>
      <c r="AR42" s="412">
        <f>PAS!AS97</f>
        <v>100</v>
      </c>
      <c r="AS42" s="412">
        <f>PAS!AT97</f>
        <v>100</v>
      </c>
      <c r="AT42" s="412" t="e">
        <f>PAS!AU97</f>
        <v>#VALUE!</v>
      </c>
      <c r="AU42" s="412" t="e">
        <f>PAS!AV97</f>
        <v>#VALUE!</v>
      </c>
      <c r="AV42" s="412" t="e">
        <f>PAS!AW97</f>
        <v>#VALUE!</v>
      </c>
      <c r="AW42" s="412" t="e">
        <f>PAS!AX97</f>
        <v>#VALUE!</v>
      </c>
      <c r="AX42" s="412" t="e">
        <f>PAS!AY97</f>
        <v>#VALUE!</v>
      </c>
      <c r="AY42" s="412" t="e">
        <f>PAS!AZ97</f>
        <v>#N/A</v>
      </c>
      <c r="AZ42" s="412" t="e">
        <f>PAS!BA97</f>
        <v>#N/A</v>
      </c>
      <c r="BA42" s="412" t="e">
        <f>PAS!BB97</f>
        <v>#N/A</v>
      </c>
      <c r="BB42" s="412" t="e">
        <f>PAS!BC97</f>
        <v>#N/A</v>
      </c>
      <c r="BC42" s="412" t="e">
        <f>PAS!BD97</f>
        <v>#N/A</v>
      </c>
      <c r="BD42" s="412">
        <f>PAS!BE97</f>
        <v>90</v>
      </c>
      <c r="BE42" s="412">
        <f>PAS!BF97</f>
        <v>80</v>
      </c>
      <c r="BF42" s="412" t="e">
        <f>PAS!BG97</f>
        <v>#N/A</v>
      </c>
      <c r="BG42" s="412" t="e">
        <f>PAS!BH97</f>
        <v>#N/A</v>
      </c>
      <c r="BH42" s="412" t="e">
        <f>PAS!BI97</f>
        <v>#N/A</v>
      </c>
      <c r="BI42" s="412" t="e">
        <f>PAS!BJ97</f>
        <v>#N/A</v>
      </c>
      <c r="BJ42" s="412" t="e">
        <f>PAS!BK97</f>
        <v>#N/A</v>
      </c>
      <c r="BK42" s="412" t="e">
        <f>PAS!BL97</f>
        <v>#N/A</v>
      </c>
      <c r="BL42" s="412" t="e">
        <f>PAS!BM97</f>
        <v>#N/A</v>
      </c>
      <c r="BM42" s="412">
        <f>PAS!BN97</f>
        <v>90</v>
      </c>
      <c r="BN42" s="412">
        <f>PAS!BO97</f>
        <v>80</v>
      </c>
      <c r="BO42" s="412" t="e">
        <f>PAS!BP97</f>
        <v>#N/A</v>
      </c>
      <c r="BP42" s="412" t="e">
        <f>PAS!BQ97</f>
        <v>#N/A</v>
      </c>
      <c r="BQ42" s="412" t="e">
        <f>PAS!BR97</f>
        <v>#N/A</v>
      </c>
      <c r="BR42" s="412" t="e">
        <f>PAS!BS97</f>
        <v>#N/A</v>
      </c>
      <c r="BS42" s="412">
        <f>PAS!BT97</f>
        <v>90</v>
      </c>
      <c r="BT42" s="412">
        <f>PAS!BU97</f>
        <v>80</v>
      </c>
      <c r="BU42" s="412" t="e">
        <f>PAS!BV97</f>
        <v>#N/A</v>
      </c>
      <c r="BV42" s="412" t="e">
        <f>PAS!BW97</f>
        <v>#N/A</v>
      </c>
      <c r="BW42" s="412" t="e">
        <f>PAS!BX97</f>
        <v>#N/A</v>
      </c>
      <c r="BX42" s="412">
        <f>PAS!BY97</f>
        <v>90</v>
      </c>
      <c r="BY42" s="412">
        <f>PAS!BZ97</f>
        <v>80</v>
      </c>
      <c r="BZ42" s="412" t="e">
        <f>PAS!CA97</f>
        <v>#N/A</v>
      </c>
      <c r="CA42" s="412" t="e">
        <f>PAS!CB97</f>
        <v>#N/A</v>
      </c>
      <c r="CB42" s="412" t="e">
        <f>PAS!CC97</f>
        <v>#N/A</v>
      </c>
      <c r="CC42" s="412" t="e">
        <f>PAS!CD97</f>
        <v>#N/A</v>
      </c>
    </row>
    <row r="43" spans="1:81" ht="20.25" customHeight="1">
      <c r="A43" s="113">
        <v>40</v>
      </c>
      <c r="B43" s="410" t="str">
        <f>SISWA!C45</f>
        <v>Anak 40</v>
      </c>
      <c r="C43" s="412">
        <f>PAS!D98</f>
        <v>100</v>
      </c>
      <c r="D43" s="412">
        <f>PAS!E98</f>
        <v>100</v>
      </c>
      <c r="E43" s="412">
        <f>PAS!F98</f>
        <v>100</v>
      </c>
      <c r="F43" s="412" t="e">
        <f>PAS!G98</f>
        <v>#N/A</v>
      </c>
      <c r="G43" s="412" t="e">
        <f>PAS!H98</f>
        <v>#N/A</v>
      </c>
      <c r="H43" s="412" t="e">
        <f>PAS!I98</f>
        <v>#N/A</v>
      </c>
      <c r="I43" s="412">
        <f>PAS!J98</f>
        <v>90</v>
      </c>
      <c r="J43" s="412">
        <f>PAS!K98</f>
        <v>80</v>
      </c>
      <c r="K43" s="412">
        <f>PAS!L98</f>
        <v>100</v>
      </c>
      <c r="L43" s="412">
        <f>PAS!M98</f>
        <v>100</v>
      </c>
      <c r="M43" s="412">
        <f>PAS!N98</f>
        <v>100</v>
      </c>
      <c r="N43" s="412" t="e">
        <f>PAS!O98</f>
        <v>#N/A</v>
      </c>
      <c r="O43" s="412" t="e">
        <f>PAS!P98</f>
        <v>#N/A</v>
      </c>
      <c r="P43" s="412" t="e">
        <f>PAS!Q98</f>
        <v>#N/A</v>
      </c>
      <c r="Q43" s="412">
        <f>PAS!R98</f>
        <v>90</v>
      </c>
      <c r="R43" s="412">
        <f>PAS!S98</f>
        <v>80</v>
      </c>
      <c r="S43" s="412" t="e">
        <f>PAS!T98</f>
        <v>#N/A</v>
      </c>
      <c r="T43" s="412" t="e">
        <f>PAS!U98</f>
        <v>#N/A</v>
      </c>
      <c r="U43" s="412" t="e">
        <f>PAS!V98</f>
        <v>#N/A</v>
      </c>
      <c r="V43" s="412" t="e">
        <f>PAS!W98</f>
        <v>#N/A</v>
      </c>
      <c r="W43" s="412" t="e">
        <f>PAS!X98</f>
        <v>#N/A</v>
      </c>
      <c r="X43" s="412" t="e">
        <f>PAS!Y98</f>
        <v>#N/A</v>
      </c>
      <c r="Y43" s="412">
        <f>PAS!Z98</f>
        <v>100</v>
      </c>
      <c r="Z43" s="412">
        <f>PAS!AA98</f>
        <v>100</v>
      </c>
      <c r="AA43" s="412">
        <f>PAS!AB98</f>
        <v>100</v>
      </c>
      <c r="AB43" s="412">
        <f>PAS!AC98</f>
        <v>100</v>
      </c>
      <c r="AC43" s="412" t="e">
        <f>PAS!AD98</f>
        <v>#N/A</v>
      </c>
      <c r="AD43" s="412" t="e">
        <f>PAS!AE98</f>
        <v>#N/A</v>
      </c>
      <c r="AE43" s="412">
        <f>PAS!AF98</f>
        <v>100</v>
      </c>
      <c r="AF43" s="412">
        <f>PAS!AG98</f>
        <v>100</v>
      </c>
      <c r="AG43" s="412">
        <f>PAS!AH98</f>
        <v>100</v>
      </c>
      <c r="AH43" s="412" t="e">
        <f>PAS!AI98</f>
        <v>#N/A</v>
      </c>
      <c r="AI43" s="412" t="e">
        <f>PAS!AJ98</f>
        <v>#N/A</v>
      </c>
      <c r="AJ43" s="412" t="e">
        <f>PAS!AK98</f>
        <v>#N/A</v>
      </c>
      <c r="AK43" s="412">
        <f>PAS!AL98</f>
        <v>100</v>
      </c>
      <c r="AL43" s="412">
        <f>PAS!AM98</f>
        <v>100</v>
      </c>
      <c r="AM43" s="412">
        <f>PAS!AN98</f>
        <v>100</v>
      </c>
      <c r="AN43" s="412" t="e">
        <f>PAS!AO98</f>
        <v>#N/A</v>
      </c>
      <c r="AO43" s="412" t="e">
        <f>PAS!AP98</f>
        <v>#N/A</v>
      </c>
      <c r="AP43" s="412" t="e">
        <f>PAS!AQ98</f>
        <v>#N/A</v>
      </c>
      <c r="AQ43" s="412">
        <f>PAS!AR98</f>
        <v>100</v>
      </c>
      <c r="AR43" s="412">
        <f>PAS!AS98</f>
        <v>100</v>
      </c>
      <c r="AS43" s="412">
        <f>PAS!AT98</f>
        <v>100</v>
      </c>
      <c r="AT43" s="412" t="e">
        <f>PAS!AU98</f>
        <v>#VALUE!</v>
      </c>
      <c r="AU43" s="412" t="e">
        <f>PAS!AV98</f>
        <v>#VALUE!</v>
      </c>
      <c r="AV43" s="412" t="e">
        <f>PAS!AW98</f>
        <v>#VALUE!</v>
      </c>
      <c r="AW43" s="412" t="e">
        <f>PAS!AX98</f>
        <v>#VALUE!</v>
      </c>
      <c r="AX43" s="412" t="e">
        <f>PAS!AY98</f>
        <v>#VALUE!</v>
      </c>
      <c r="AY43" s="412" t="e">
        <f>PAS!AZ98</f>
        <v>#N/A</v>
      </c>
      <c r="AZ43" s="412" t="e">
        <f>PAS!BA98</f>
        <v>#N/A</v>
      </c>
      <c r="BA43" s="412" t="e">
        <f>PAS!BB98</f>
        <v>#N/A</v>
      </c>
      <c r="BB43" s="412" t="e">
        <f>PAS!BC98</f>
        <v>#N/A</v>
      </c>
      <c r="BC43" s="412" t="e">
        <f>PAS!BD98</f>
        <v>#N/A</v>
      </c>
      <c r="BD43" s="412">
        <f>PAS!BE98</f>
        <v>90</v>
      </c>
      <c r="BE43" s="412">
        <f>PAS!BF98</f>
        <v>80</v>
      </c>
      <c r="BF43" s="412" t="e">
        <f>PAS!BG98</f>
        <v>#N/A</v>
      </c>
      <c r="BG43" s="412" t="e">
        <f>PAS!BH98</f>
        <v>#N/A</v>
      </c>
      <c r="BH43" s="412" t="e">
        <f>PAS!BI98</f>
        <v>#N/A</v>
      </c>
      <c r="BI43" s="412" t="e">
        <f>PAS!BJ98</f>
        <v>#N/A</v>
      </c>
      <c r="BJ43" s="412" t="e">
        <f>PAS!BK98</f>
        <v>#N/A</v>
      </c>
      <c r="BK43" s="412" t="e">
        <f>PAS!BL98</f>
        <v>#N/A</v>
      </c>
      <c r="BL43" s="412" t="e">
        <f>PAS!BM98</f>
        <v>#N/A</v>
      </c>
      <c r="BM43" s="412">
        <f>PAS!BN98</f>
        <v>90</v>
      </c>
      <c r="BN43" s="412">
        <f>PAS!BO98</f>
        <v>80</v>
      </c>
      <c r="BO43" s="412" t="e">
        <f>PAS!BP98</f>
        <v>#N/A</v>
      </c>
      <c r="BP43" s="412" t="e">
        <f>PAS!BQ98</f>
        <v>#N/A</v>
      </c>
      <c r="BQ43" s="412" t="e">
        <f>PAS!BR98</f>
        <v>#N/A</v>
      </c>
      <c r="BR43" s="412" t="e">
        <f>PAS!BS98</f>
        <v>#N/A</v>
      </c>
      <c r="BS43" s="412">
        <f>PAS!BT98</f>
        <v>90</v>
      </c>
      <c r="BT43" s="412">
        <f>PAS!BU98</f>
        <v>80</v>
      </c>
      <c r="BU43" s="412" t="e">
        <f>PAS!BV98</f>
        <v>#N/A</v>
      </c>
      <c r="BV43" s="412" t="e">
        <f>PAS!BW98</f>
        <v>#N/A</v>
      </c>
      <c r="BW43" s="412" t="e">
        <f>PAS!BX98</f>
        <v>#N/A</v>
      </c>
      <c r="BX43" s="412">
        <f>PAS!BY98</f>
        <v>90</v>
      </c>
      <c r="BY43" s="412">
        <f>PAS!BZ98</f>
        <v>80</v>
      </c>
      <c r="BZ43" s="412" t="e">
        <f>PAS!CA98</f>
        <v>#N/A</v>
      </c>
      <c r="CA43" s="412" t="e">
        <f>PAS!CB98</f>
        <v>#N/A</v>
      </c>
      <c r="CB43" s="412" t="e">
        <f>PAS!CC98</f>
        <v>#N/A</v>
      </c>
      <c r="CC43" s="412" t="e">
        <f>PAS!CD98</f>
        <v>#N/A</v>
      </c>
    </row>
    <row r="44" spans="1:81" ht="20.25" customHeight="1">
      <c r="A44" s="113">
        <v>41</v>
      </c>
      <c r="B44" s="410" t="str">
        <f>SISWA!C46</f>
        <v>Anak 41</v>
      </c>
      <c r="C44" s="412">
        <f>PAS!D99</f>
        <v>100</v>
      </c>
      <c r="D44" s="412">
        <f>PAS!E99</f>
        <v>100</v>
      </c>
      <c r="E44" s="412">
        <f>PAS!F99</f>
        <v>100</v>
      </c>
      <c r="F44" s="412" t="e">
        <f>PAS!G99</f>
        <v>#N/A</v>
      </c>
      <c r="G44" s="412" t="e">
        <f>PAS!H99</f>
        <v>#N/A</v>
      </c>
      <c r="H44" s="412" t="e">
        <f>PAS!I99</f>
        <v>#N/A</v>
      </c>
      <c r="I44" s="412">
        <f>PAS!J99</f>
        <v>80</v>
      </c>
      <c r="J44" s="412">
        <f>PAS!K99</f>
        <v>90</v>
      </c>
      <c r="K44" s="412">
        <f>PAS!L99</f>
        <v>100</v>
      </c>
      <c r="L44" s="412">
        <f>PAS!M99</f>
        <v>100</v>
      </c>
      <c r="M44" s="412">
        <f>PAS!N99</f>
        <v>100</v>
      </c>
      <c r="N44" s="412" t="e">
        <f>PAS!O99</f>
        <v>#N/A</v>
      </c>
      <c r="O44" s="412" t="e">
        <f>PAS!P99</f>
        <v>#N/A</v>
      </c>
      <c r="P44" s="412" t="e">
        <f>PAS!Q99</f>
        <v>#N/A</v>
      </c>
      <c r="Q44" s="412">
        <f>PAS!R99</f>
        <v>80</v>
      </c>
      <c r="R44" s="412">
        <f>PAS!S99</f>
        <v>90</v>
      </c>
      <c r="S44" s="412" t="e">
        <f>PAS!T99</f>
        <v>#N/A</v>
      </c>
      <c r="T44" s="412" t="e">
        <f>PAS!U99</f>
        <v>#N/A</v>
      </c>
      <c r="U44" s="412" t="e">
        <f>PAS!V99</f>
        <v>#N/A</v>
      </c>
      <c r="V44" s="412" t="e">
        <f>PAS!W99</f>
        <v>#N/A</v>
      </c>
      <c r="W44" s="412" t="e">
        <f>PAS!X99</f>
        <v>#N/A</v>
      </c>
      <c r="X44" s="412" t="e">
        <f>PAS!Y99</f>
        <v>#N/A</v>
      </c>
      <c r="Y44" s="412">
        <f>PAS!Z99</f>
        <v>100</v>
      </c>
      <c r="Z44" s="412">
        <f>PAS!AA99</f>
        <v>100</v>
      </c>
      <c r="AA44" s="412">
        <f>PAS!AB99</f>
        <v>100</v>
      </c>
      <c r="AB44" s="412">
        <f>PAS!AC99</f>
        <v>100</v>
      </c>
      <c r="AC44" s="412" t="e">
        <f>PAS!AD99</f>
        <v>#N/A</v>
      </c>
      <c r="AD44" s="412" t="e">
        <f>PAS!AE99</f>
        <v>#N/A</v>
      </c>
      <c r="AE44" s="412">
        <f>PAS!AF99</f>
        <v>100</v>
      </c>
      <c r="AF44" s="412">
        <f>PAS!AG99</f>
        <v>100</v>
      </c>
      <c r="AG44" s="412">
        <f>PAS!AH99</f>
        <v>100</v>
      </c>
      <c r="AH44" s="412" t="e">
        <f>PAS!AI99</f>
        <v>#N/A</v>
      </c>
      <c r="AI44" s="412" t="e">
        <f>PAS!AJ99</f>
        <v>#N/A</v>
      </c>
      <c r="AJ44" s="412" t="e">
        <f>PAS!AK99</f>
        <v>#N/A</v>
      </c>
      <c r="AK44" s="412">
        <f>PAS!AL99</f>
        <v>100</v>
      </c>
      <c r="AL44" s="412">
        <f>PAS!AM99</f>
        <v>100</v>
      </c>
      <c r="AM44" s="412">
        <f>PAS!AN99</f>
        <v>100</v>
      </c>
      <c r="AN44" s="412" t="e">
        <f>PAS!AO99</f>
        <v>#N/A</v>
      </c>
      <c r="AO44" s="412" t="e">
        <f>PAS!AP99</f>
        <v>#N/A</v>
      </c>
      <c r="AP44" s="412" t="e">
        <f>PAS!AQ99</f>
        <v>#N/A</v>
      </c>
      <c r="AQ44" s="412">
        <f>PAS!AR99</f>
        <v>100</v>
      </c>
      <c r="AR44" s="412">
        <f>PAS!AS99</f>
        <v>100</v>
      </c>
      <c r="AS44" s="412">
        <f>PAS!AT99</f>
        <v>100</v>
      </c>
      <c r="AT44" s="412" t="e">
        <f>PAS!AU99</f>
        <v>#VALUE!</v>
      </c>
      <c r="AU44" s="412" t="e">
        <f>PAS!AV99</f>
        <v>#VALUE!</v>
      </c>
      <c r="AV44" s="412" t="e">
        <f>PAS!AW99</f>
        <v>#VALUE!</v>
      </c>
      <c r="AW44" s="412" t="e">
        <f>PAS!AX99</f>
        <v>#VALUE!</v>
      </c>
      <c r="AX44" s="412" t="e">
        <f>PAS!AY99</f>
        <v>#VALUE!</v>
      </c>
      <c r="AY44" s="412" t="e">
        <f>PAS!AZ99</f>
        <v>#N/A</v>
      </c>
      <c r="AZ44" s="412" t="e">
        <f>PAS!BA99</f>
        <v>#N/A</v>
      </c>
      <c r="BA44" s="412" t="e">
        <f>PAS!BB99</f>
        <v>#N/A</v>
      </c>
      <c r="BB44" s="412" t="e">
        <f>PAS!BC99</f>
        <v>#N/A</v>
      </c>
      <c r="BC44" s="412" t="e">
        <f>PAS!BD99</f>
        <v>#N/A</v>
      </c>
      <c r="BD44" s="412">
        <f>PAS!BE99</f>
        <v>80</v>
      </c>
      <c r="BE44" s="412">
        <f>PAS!BF99</f>
        <v>90</v>
      </c>
      <c r="BF44" s="412" t="e">
        <f>PAS!BG99</f>
        <v>#N/A</v>
      </c>
      <c r="BG44" s="412" t="e">
        <f>PAS!BH99</f>
        <v>#N/A</v>
      </c>
      <c r="BH44" s="412" t="e">
        <f>PAS!BI99</f>
        <v>#N/A</v>
      </c>
      <c r="BI44" s="412" t="e">
        <f>PAS!BJ99</f>
        <v>#N/A</v>
      </c>
      <c r="BJ44" s="412" t="e">
        <f>PAS!BK99</f>
        <v>#N/A</v>
      </c>
      <c r="BK44" s="412" t="e">
        <f>PAS!BL99</f>
        <v>#N/A</v>
      </c>
      <c r="BL44" s="412" t="e">
        <f>PAS!BM99</f>
        <v>#N/A</v>
      </c>
      <c r="BM44" s="412">
        <f>PAS!BN99</f>
        <v>80</v>
      </c>
      <c r="BN44" s="412">
        <f>PAS!BO99</f>
        <v>90</v>
      </c>
      <c r="BO44" s="412" t="e">
        <f>PAS!BP99</f>
        <v>#N/A</v>
      </c>
      <c r="BP44" s="412" t="e">
        <f>PAS!BQ99</f>
        <v>#N/A</v>
      </c>
      <c r="BQ44" s="412" t="e">
        <f>PAS!BR99</f>
        <v>#N/A</v>
      </c>
      <c r="BR44" s="412" t="e">
        <f>PAS!BS99</f>
        <v>#N/A</v>
      </c>
      <c r="BS44" s="412">
        <f>PAS!BT99</f>
        <v>80</v>
      </c>
      <c r="BT44" s="412">
        <f>PAS!BU99</f>
        <v>90</v>
      </c>
      <c r="BU44" s="412" t="e">
        <f>PAS!BV99</f>
        <v>#N/A</v>
      </c>
      <c r="BV44" s="412" t="e">
        <f>PAS!BW99</f>
        <v>#N/A</v>
      </c>
      <c r="BW44" s="412" t="e">
        <f>PAS!BX99</f>
        <v>#N/A</v>
      </c>
      <c r="BX44" s="412">
        <f>PAS!BY99</f>
        <v>80</v>
      </c>
      <c r="BY44" s="412">
        <f>PAS!BZ99</f>
        <v>90</v>
      </c>
      <c r="BZ44" s="412" t="e">
        <f>PAS!CA99</f>
        <v>#N/A</v>
      </c>
      <c r="CA44" s="412" t="e">
        <f>PAS!CB99</f>
        <v>#N/A</v>
      </c>
      <c r="CB44" s="412" t="e">
        <f>PAS!CC99</f>
        <v>#N/A</v>
      </c>
      <c r="CC44" s="412" t="e">
        <f>PAS!CD99</f>
        <v>#N/A</v>
      </c>
    </row>
    <row r="45" spans="1:81" ht="20.25" customHeight="1">
      <c r="A45" s="113">
        <v>42</v>
      </c>
      <c r="B45" s="410" t="str">
        <f>SISWA!C47</f>
        <v>Anak 42</v>
      </c>
      <c r="C45" s="412">
        <f>PAS!D100</f>
        <v>100</v>
      </c>
      <c r="D45" s="412">
        <f>PAS!E100</f>
        <v>100</v>
      </c>
      <c r="E45" s="412">
        <f>PAS!F100</f>
        <v>100</v>
      </c>
      <c r="F45" s="412" t="e">
        <f>PAS!G100</f>
        <v>#N/A</v>
      </c>
      <c r="G45" s="412" t="e">
        <f>PAS!H100</f>
        <v>#N/A</v>
      </c>
      <c r="H45" s="412" t="e">
        <f>PAS!I100</f>
        <v>#N/A</v>
      </c>
      <c r="I45" s="412">
        <f>PAS!J100</f>
        <v>85</v>
      </c>
      <c r="J45" s="412">
        <f>PAS!K100</f>
        <v>90</v>
      </c>
      <c r="K45" s="412">
        <f>PAS!L100</f>
        <v>100</v>
      </c>
      <c r="L45" s="412">
        <f>PAS!M100</f>
        <v>100</v>
      </c>
      <c r="M45" s="412">
        <f>PAS!N100</f>
        <v>100</v>
      </c>
      <c r="N45" s="412" t="e">
        <f>PAS!O100</f>
        <v>#N/A</v>
      </c>
      <c r="O45" s="412" t="e">
        <f>PAS!P100</f>
        <v>#N/A</v>
      </c>
      <c r="P45" s="412" t="e">
        <f>PAS!Q100</f>
        <v>#N/A</v>
      </c>
      <c r="Q45" s="412">
        <f>PAS!R100</f>
        <v>85</v>
      </c>
      <c r="R45" s="412">
        <f>PAS!S100</f>
        <v>90</v>
      </c>
      <c r="S45" s="412" t="e">
        <f>PAS!T100</f>
        <v>#N/A</v>
      </c>
      <c r="T45" s="412" t="e">
        <f>PAS!U100</f>
        <v>#N/A</v>
      </c>
      <c r="U45" s="412" t="e">
        <f>PAS!V100</f>
        <v>#N/A</v>
      </c>
      <c r="V45" s="412" t="e">
        <f>PAS!W100</f>
        <v>#N/A</v>
      </c>
      <c r="W45" s="412" t="e">
        <f>PAS!X100</f>
        <v>#N/A</v>
      </c>
      <c r="X45" s="412" t="e">
        <f>PAS!Y100</f>
        <v>#N/A</v>
      </c>
      <c r="Y45" s="412">
        <f>PAS!Z100</f>
        <v>100</v>
      </c>
      <c r="Z45" s="412">
        <f>PAS!AA100</f>
        <v>100</v>
      </c>
      <c r="AA45" s="412">
        <f>PAS!AB100</f>
        <v>100</v>
      </c>
      <c r="AB45" s="412">
        <f>PAS!AC100</f>
        <v>100</v>
      </c>
      <c r="AC45" s="412" t="e">
        <f>PAS!AD100</f>
        <v>#N/A</v>
      </c>
      <c r="AD45" s="412" t="e">
        <f>PAS!AE100</f>
        <v>#N/A</v>
      </c>
      <c r="AE45" s="412">
        <f>PAS!AF100</f>
        <v>100</v>
      </c>
      <c r="AF45" s="412">
        <f>PAS!AG100</f>
        <v>100</v>
      </c>
      <c r="AG45" s="412">
        <f>PAS!AH100</f>
        <v>100</v>
      </c>
      <c r="AH45" s="412" t="e">
        <f>PAS!AI100</f>
        <v>#N/A</v>
      </c>
      <c r="AI45" s="412" t="e">
        <f>PAS!AJ100</f>
        <v>#N/A</v>
      </c>
      <c r="AJ45" s="412" t="e">
        <f>PAS!AK100</f>
        <v>#N/A</v>
      </c>
      <c r="AK45" s="412">
        <f>PAS!AL100</f>
        <v>100</v>
      </c>
      <c r="AL45" s="412">
        <f>PAS!AM100</f>
        <v>100</v>
      </c>
      <c r="AM45" s="412">
        <f>PAS!AN100</f>
        <v>100</v>
      </c>
      <c r="AN45" s="412" t="e">
        <f>PAS!AO100</f>
        <v>#N/A</v>
      </c>
      <c r="AO45" s="412" t="e">
        <f>PAS!AP100</f>
        <v>#N/A</v>
      </c>
      <c r="AP45" s="412" t="e">
        <f>PAS!AQ100</f>
        <v>#N/A</v>
      </c>
      <c r="AQ45" s="412">
        <f>PAS!AR100</f>
        <v>100</v>
      </c>
      <c r="AR45" s="412">
        <f>PAS!AS100</f>
        <v>100</v>
      </c>
      <c r="AS45" s="412">
        <f>PAS!AT100</f>
        <v>100</v>
      </c>
      <c r="AT45" s="412" t="e">
        <f>PAS!AU100</f>
        <v>#VALUE!</v>
      </c>
      <c r="AU45" s="412" t="e">
        <f>PAS!AV100</f>
        <v>#VALUE!</v>
      </c>
      <c r="AV45" s="412" t="e">
        <f>PAS!AW100</f>
        <v>#VALUE!</v>
      </c>
      <c r="AW45" s="412" t="e">
        <f>PAS!AX100</f>
        <v>#VALUE!</v>
      </c>
      <c r="AX45" s="412" t="e">
        <f>PAS!AY100</f>
        <v>#VALUE!</v>
      </c>
      <c r="AY45" s="412" t="e">
        <f>PAS!AZ100</f>
        <v>#N/A</v>
      </c>
      <c r="AZ45" s="412" t="e">
        <f>PAS!BA100</f>
        <v>#N/A</v>
      </c>
      <c r="BA45" s="412" t="e">
        <f>PAS!BB100</f>
        <v>#N/A</v>
      </c>
      <c r="BB45" s="412" t="e">
        <f>PAS!BC100</f>
        <v>#N/A</v>
      </c>
      <c r="BC45" s="412" t="e">
        <f>PAS!BD100</f>
        <v>#N/A</v>
      </c>
      <c r="BD45" s="412">
        <f>PAS!BE100</f>
        <v>85</v>
      </c>
      <c r="BE45" s="412">
        <f>PAS!BF100</f>
        <v>90</v>
      </c>
      <c r="BF45" s="412" t="e">
        <f>PAS!BG100</f>
        <v>#N/A</v>
      </c>
      <c r="BG45" s="412" t="e">
        <f>PAS!BH100</f>
        <v>#N/A</v>
      </c>
      <c r="BH45" s="412" t="e">
        <f>PAS!BI100</f>
        <v>#N/A</v>
      </c>
      <c r="BI45" s="412" t="e">
        <f>PAS!BJ100</f>
        <v>#N/A</v>
      </c>
      <c r="BJ45" s="412" t="e">
        <f>PAS!BK100</f>
        <v>#N/A</v>
      </c>
      <c r="BK45" s="412" t="e">
        <f>PAS!BL100</f>
        <v>#N/A</v>
      </c>
      <c r="BL45" s="412" t="e">
        <f>PAS!BM100</f>
        <v>#N/A</v>
      </c>
      <c r="BM45" s="412">
        <f>PAS!BN100</f>
        <v>85</v>
      </c>
      <c r="BN45" s="412">
        <f>PAS!BO100</f>
        <v>90</v>
      </c>
      <c r="BO45" s="412" t="e">
        <f>PAS!BP100</f>
        <v>#N/A</v>
      </c>
      <c r="BP45" s="412" t="e">
        <f>PAS!BQ100</f>
        <v>#N/A</v>
      </c>
      <c r="BQ45" s="412" t="e">
        <f>PAS!BR100</f>
        <v>#N/A</v>
      </c>
      <c r="BR45" s="412" t="e">
        <f>PAS!BS100</f>
        <v>#N/A</v>
      </c>
      <c r="BS45" s="412">
        <f>PAS!BT100</f>
        <v>85</v>
      </c>
      <c r="BT45" s="412">
        <f>PAS!BU100</f>
        <v>90</v>
      </c>
      <c r="BU45" s="412" t="e">
        <f>PAS!BV100</f>
        <v>#N/A</v>
      </c>
      <c r="BV45" s="412" t="e">
        <f>PAS!BW100</f>
        <v>#N/A</v>
      </c>
      <c r="BW45" s="412" t="e">
        <f>PAS!BX100</f>
        <v>#N/A</v>
      </c>
      <c r="BX45" s="412">
        <f>PAS!BY100</f>
        <v>85</v>
      </c>
      <c r="BY45" s="412">
        <f>PAS!BZ100</f>
        <v>90</v>
      </c>
      <c r="BZ45" s="412" t="e">
        <f>PAS!CA100</f>
        <v>#N/A</v>
      </c>
      <c r="CA45" s="412" t="e">
        <f>PAS!CB100</f>
        <v>#N/A</v>
      </c>
      <c r="CB45" s="412" t="e">
        <f>PAS!CC100</f>
        <v>#N/A</v>
      </c>
      <c r="CC45" s="412" t="e">
        <f>PAS!CD100</f>
        <v>#N/A</v>
      </c>
    </row>
    <row r="46" spans="1:81" ht="20.25" customHeight="1">
      <c r="A46" s="113">
        <v>43</v>
      </c>
      <c r="B46" s="410" t="str">
        <f>SISWA!C48</f>
        <v>Anak 43</v>
      </c>
      <c r="C46" s="412">
        <f>PAS!D101</f>
        <v>100</v>
      </c>
      <c r="D46" s="412">
        <f>PAS!E101</f>
        <v>100</v>
      </c>
      <c r="E46" s="412">
        <f>PAS!F101</f>
        <v>100</v>
      </c>
      <c r="F46" s="412" t="e">
        <f>PAS!G101</f>
        <v>#N/A</v>
      </c>
      <c r="G46" s="412" t="e">
        <f>PAS!H101</f>
        <v>#N/A</v>
      </c>
      <c r="H46" s="412" t="e">
        <f>PAS!I101</f>
        <v>#N/A</v>
      </c>
      <c r="I46" s="412">
        <f>PAS!J101</f>
        <v>75</v>
      </c>
      <c r="J46" s="412">
        <f>PAS!K101</f>
        <v>80</v>
      </c>
      <c r="K46" s="412">
        <f>PAS!L101</f>
        <v>100</v>
      </c>
      <c r="L46" s="412">
        <f>PAS!M101</f>
        <v>100</v>
      </c>
      <c r="M46" s="412">
        <f>PAS!N101</f>
        <v>100</v>
      </c>
      <c r="N46" s="412" t="e">
        <f>PAS!O101</f>
        <v>#N/A</v>
      </c>
      <c r="O46" s="412" t="e">
        <f>PAS!P101</f>
        <v>#N/A</v>
      </c>
      <c r="P46" s="412" t="e">
        <f>PAS!Q101</f>
        <v>#N/A</v>
      </c>
      <c r="Q46" s="412">
        <f>PAS!R101</f>
        <v>75</v>
      </c>
      <c r="R46" s="412">
        <f>PAS!S101</f>
        <v>80</v>
      </c>
      <c r="S46" s="412" t="e">
        <f>PAS!T101</f>
        <v>#N/A</v>
      </c>
      <c r="T46" s="412" t="e">
        <f>PAS!U101</f>
        <v>#N/A</v>
      </c>
      <c r="U46" s="412" t="e">
        <f>PAS!V101</f>
        <v>#N/A</v>
      </c>
      <c r="V46" s="412" t="e">
        <f>PAS!W101</f>
        <v>#N/A</v>
      </c>
      <c r="W46" s="412" t="e">
        <f>PAS!X101</f>
        <v>#N/A</v>
      </c>
      <c r="X46" s="412" t="e">
        <f>PAS!Y101</f>
        <v>#N/A</v>
      </c>
      <c r="Y46" s="412">
        <f>PAS!Z101</f>
        <v>100</v>
      </c>
      <c r="Z46" s="412">
        <f>PAS!AA101</f>
        <v>100</v>
      </c>
      <c r="AA46" s="412">
        <f>PAS!AB101</f>
        <v>100</v>
      </c>
      <c r="AB46" s="412">
        <f>PAS!AC101</f>
        <v>100</v>
      </c>
      <c r="AC46" s="412" t="e">
        <f>PAS!AD101</f>
        <v>#N/A</v>
      </c>
      <c r="AD46" s="412" t="e">
        <f>PAS!AE101</f>
        <v>#N/A</v>
      </c>
      <c r="AE46" s="412">
        <f>PAS!AF101</f>
        <v>100</v>
      </c>
      <c r="AF46" s="412">
        <f>PAS!AG101</f>
        <v>100</v>
      </c>
      <c r="AG46" s="412">
        <f>PAS!AH101</f>
        <v>100</v>
      </c>
      <c r="AH46" s="412" t="e">
        <f>PAS!AI101</f>
        <v>#N/A</v>
      </c>
      <c r="AI46" s="412" t="e">
        <f>PAS!AJ101</f>
        <v>#N/A</v>
      </c>
      <c r="AJ46" s="412" t="e">
        <f>PAS!AK101</f>
        <v>#N/A</v>
      </c>
      <c r="AK46" s="412">
        <f>PAS!AL101</f>
        <v>100</v>
      </c>
      <c r="AL46" s="412">
        <f>PAS!AM101</f>
        <v>100</v>
      </c>
      <c r="AM46" s="412">
        <f>PAS!AN101</f>
        <v>100</v>
      </c>
      <c r="AN46" s="412" t="e">
        <f>PAS!AO101</f>
        <v>#N/A</v>
      </c>
      <c r="AO46" s="412" t="e">
        <f>PAS!AP101</f>
        <v>#N/A</v>
      </c>
      <c r="AP46" s="412" t="e">
        <f>PAS!AQ101</f>
        <v>#N/A</v>
      </c>
      <c r="AQ46" s="412">
        <f>PAS!AR101</f>
        <v>100</v>
      </c>
      <c r="AR46" s="412">
        <f>PAS!AS101</f>
        <v>100</v>
      </c>
      <c r="AS46" s="412">
        <f>PAS!AT101</f>
        <v>100</v>
      </c>
      <c r="AT46" s="412" t="e">
        <f>PAS!AU101</f>
        <v>#VALUE!</v>
      </c>
      <c r="AU46" s="412" t="e">
        <f>PAS!AV101</f>
        <v>#VALUE!</v>
      </c>
      <c r="AV46" s="412" t="e">
        <f>PAS!AW101</f>
        <v>#VALUE!</v>
      </c>
      <c r="AW46" s="412" t="e">
        <f>PAS!AX101</f>
        <v>#VALUE!</v>
      </c>
      <c r="AX46" s="412" t="e">
        <f>PAS!AY101</f>
        <v>#VALUE!</v>
      </c>
      <c r="AY46" s="412" t="e">
        <f>PAS!AZ101</f>
        <v>#N/A</v>
      </c>
      <c r="AZ46" s="412" t="e">
        <f>PAS!BA101</f>
        <v>#N/A</v>
      </c>
      <c r="BA46" s="412" t="e">
        <f>PAS!BB101</f>
        <v>#N/A</v>
      </c>
      <c r="BB46" s="412" t="e">
        <f>PAS!BC101</f>
        <v>#N/A</v>
      </c>
      <c r="BC46" s="412" t="e">
        <f>PAS!BD101</f>
        <v>#N/A</v>
      </c>
      <c r="BD46" s="412">
        <f>PAS!BE101</f>
        <v>75</v>
      </c>
      <c r="BE46" s="412">
        <f>PAS!BF101</f>
        <v>80</v>
      </c>
      <c r="BF46" s="412" t="e">
        <f>PAS!BG101</f>
        <v>#N/A</v>
      </c>
      <c r="BG46" s="412" t="e">
        <f>PAS!BH101</f>
        <v>#N/A</v>
      </c>
      <c r="BH46" s="412" t="e">
        <f>PAS!BI101</f>
        <v>#N/A</v>
      </c>
      <c r="BI46" s="412" t="e">
        <f>PAS!BJ101</f>
        <v>#N/A</v>
      </c>
      <c r="BJ46" s="412" t="e">
        <f>PAS!BK101</f>
        <v>#N/A</v>
      </c>
      <c r="BK46" s="412" t="e">
        <f>PAS!BL101</f>
        <v>#N/A</v>
      </c>
      <c r="BL46" s="412" t="e">
        <f>PAS!BM101</f>
        <v>#N/A</v>
      </c>
      <c r="BM46" s="412">
        <f>PAS!BN101</f>
        <v>75</v>
      </c>
      <c r="BN46" s="412">
        <f>PAS!BO101</f>
        <v>80</v>
      </c>
      <c r="BO46" s="412" t="e">
        <f>PAS!BP101</f>
        <v>#N/A</v>
      </c>
      <c r="BP46" s="412" t="e">
        <f>PAS!BQ101</f>
        <v>#N/A</v>
      </c>
      <c r="BQ46" s="412" t="e">
        <f>PAS!BR101</f>
        <v>#N/A</v>
      </c>
      <c r="BR46" s="412" t="e">
        <f>PAS!BS101</f>
        <v>#N/A</v>
      </c>
      <c r="BS46" s="412">
        <f>PAS!BT101</f>
        <v>75</v>
      </c>
      <c r="BT46" s="412">
        <f>PAS!BU101</f>
        <v>80</v>
      </c>
      <c r="BU46" s="412" t="e">
        <f>PAS!BV101</f>
        <v>#N/A</v>
      </c>
      <c r="BV46" s="412" t="e">
        <f>PAS!BW101</f>
        <v>#N/A</v>
      </c>
      <c r="BW46" s="412" t="e">
        <f>PAS!BX101</f>
        <v>#N/A</v>
      </c>
      <c r="BX46" s="412">
        <f>PAS!BY101</f>
        <v>75</v>
      </c>
      <c r="BY46" s="412">
        <f>PAS!BZ101</f>
        <v>80</v>
      </c>
      <c r="BZ46" s="412" t="e">
        <f>PAS!CA101</f>
        <v>#N/A</v>
      </c>
      <c r="CA46" s="412" t="e">
        <f>PAS!CB101</f>
        <v>#N/A</v>
      </c>
      <c r="CB46" s="412" t="e">
        <f>PAS!CC101</f>
        <v>#N/A</v>
      </c>
      <c r="CC46" s="412" t="e">
        <f>PAS!CD101</f>
        <v>#N/A</v>
      </c>
    </row>
    <row r="47" spans="1:81" ht="20.25" customHeight="1">
      <c r="A47" s="113">
        <v>44</v>
      </c>
      <c r="B47" s="410" t="str">
        <f>SISWA!C49</f>
        <v>Anak 44</v>
      </c>
      <c r="C47" s="412">
        <f>PAS!D102</f>
        <v>100</v>
      </c>
      <c r="D47" s="412">
        <f>PAS!E102</f>
        <v>100</v>
      </c>
      <c r="E47" s="412">
        <f>PAS!F102</f>
        <v>100</v>
      </c>
      <c r="F47" s="412" t="e">
        <f>PAS!G102</f>
        <v>#N/A</v>
      </c>
      <c r="G47" s="412" t="e">
        <f>PAS!H102</f>
        <v>#N/A</v>
      </c>
      <c r="H47" s="412" t="e">
        <f>PAS!I102</f>
        <v>#N/A</v>
      </c>
      <c r="I47" s="412">
        <f>PAS!J102</f>
        <v>75</v>
      </c>
      <c r="J47" s="412">
        <f>PAS!K102</f>
        <v>80</v>
      </c>
      <c r="K47" s="412">
        <f>PAS!L102</f>
        <v>100</v>
      </c>
      <c r="L47" s="412">
        <f>PAS!M102</f>
        <v>100</v>
      </c>
      <c r="M47" s="412">
        <f>PAS!N102</f>
        <v>100</v>
      </c>
      <c r="N47" s="412" t="e">
        <f>PAS!O102</f>
        <v>#N/A</v>
      </c>
      <c r="O47" s="412" t="e">
        <f>PAS!P102</f>
        <v>#N/A</v>
      </c>
      <c r="P47" s="412" t="e">
        <f>PAS!Q102</f>
        <v>#N/A</v>
      </c>
      <c r="Q47" s="412">
        <f>PAS!R102</f>
        <v>75</v>
      </c>
      <c r="R47" s="412">
        <f>PAS!S102</f>
        <v>80</v>
      </c>
      <c r="S47" s="412" t="e">
        <f>PAS!T102</f>
        <v>#N/A</v>
      </c>
      <c r="T47" s="412" t="e">
        <f>PAS!U102</f>
        <v>#N/A</v>
      </c>
      <c r="U47" s="412" t="e">
        <f>PAS!V102</f>
        <v>#N/A</v>
      </c>
      <c r="V47" s="412" t="e">
        <f>PAS!W102</f>
        <v>#N/A</v>
      </c>
      <c r="W47" s="412" t="e">
        <f>PAS!X102</f>
        <v>#N/A</v>
      </c>
      <c r="X47" s="412" t="e">
        <f>PAS!Y102</f>
        <v>#N/A</v>
      </c>
      <c r="Y47" s="412">
        <f>PAS!Z102</f>
        <v>100</v>
      </c>
      <c r="Z47" s="412">
        <f>PAS!AA102</f>
        <v>100</v>
      </c>
      <c r="AA47" s="412">
        <f>PAS!AB102</f>
        <v>100</v>
      </c>
      <c r="AB47" s="412">
        <f>PAS!AC102</f>
        <v>100</v>
      </c>
      <c r="AC47" s="412" t="e">
        <f>PAS!AD102</f>
        <v>#N/A</v>
      </c>
      <c r="AD47" s="412" t="e">
        <f>PAS!AE102</f>
        <v>#N/A</v>
      </c>
      <c r="AE47" s="412">
        <f>PAS!AF102</f>
        <v>100</v>
      </c>
      <c r="AF47" s="412">
        <f>PAS!AG102</f>
        <v>100</v>
      </c>
      <c r="AG47" s="412">
        <f>PAS!AH102</f>
        <v>100</v>
      </c>
      <c r="AH47" s="412" t="e">
        <f>PAS!AI102</f>
        <v>#N/A</v>
      </c>
      <c r="AI47" s="412" t="e">
        <f>PAS!AJ102</f>
        <v>#N/A</v>
      </c>
      <c r="AJ47" s="412" t="e">
        <f>PAS!AK102</f>
        <v>#N/A</v>
      </c>
      <c r="AK47" s="412">
        <f>PAS!AL102</f>
        <v>100</v>
      </c>
      <c r="AL47" s="412">
        <f>PAS!AM102</f>
        <v>100</v>
      </c>
      <c r="AM47" s="412">
        <f>PAS!AN102</f>
        <v>100</v>
      </c>
      <c r="AN47" s="412" t="e">
        <f>PAS!AO102</f>
        <v>#N/A</v>
      </c>
      <c r="AO47" s="412" t="e">
        <f>PAS!AP102</f>
        <v>#N/A</v>
      </c>
      <c r="AP47" s="412" t="e">
        <f>PAS!AQ102</f>
        <v>#N/A</v>
      </c>
      <c r="AQ47" s="412">
        <f>PAS!AR102</f>
        <v>100</v>
      </c>
      <c r="AR47" s="412">
        <f>PAS!AS102</f>
        <v>100</v>
      </c>
      <c r="AS47" s="412">
        <f>PAS!AT102</f>
        <v>100</v>
      </c>
      <c r="AT47" s="412" t="e">
        <f>PAS!AU102</f>
        <v>#VALUE!</v>
      </c>
      <c r="AU47" s="412" t="e">
        <f>PAS!AV102</f>
        <v>#VALUE!</v>
      </c>
      <c r="AV47" s="412" t="e">
        <f>PAS!AW102</f>
        <v>#VALUE!</v>
      </c>
      <c r="AW47" s="412" t="e">
        <f>PAS!AX102</f>
        <v>#VALUE!</v>
      </c>
      <c r="AX47" s="412" t="e">
        <f>PAS!AY102</f>
        <v>#VALUE!</v>
      </c>
      <c r="AY47" s="412" t="e">
        <f>PAS!AZ102</f>
        <v>#N/A</v>
      </c>
      <c r="AZ47" s="412" t="e">
        <f>PAS!BA102</f>
        <v>#N/A</v>
      </c>
      <c r="BA47" s="412" t="e">
        <f>PAS!BB102</f>
        <v>#N/A</v>
      </c>
      <c r="BB47" s="412" t="e">
        <f>PAS!BC102</f>
        <v>#N/A</v>
      </c>
      <c r="BC47" s="412" t="e">
        <f>PAS!BD102</f>
        <v>#N/A</v>
      </c>
      <c r="BD47" s="412">
        <f>PAS!BE102</f>
        <v>75</v>
      </c>
      <c r="BE47" s="412">
        <f>PAS!BF102</f>
        <v>80</v>
      </c>
      <c r="BF47" s="412" t="e">
        <f>PAS!BG102</f>
        <v>#N/A</v>
      </c>
      <c r="BG47" s="412" t="e">
        <f>PAS!BH102</f>
        <v>#N/A</v>
      </c>
      <c r="BH47" s="412" t="e">
        <f>PAS!BI102</f>
        <v>#N/A</v>
      </c>
      <c r="BI47" s="412" t="e">
        <f>PAS!BJ102</f>
        <v>#N/A</v>
      </c>
      <c r="BJ47" s="412" t="e">
        <f>PAS!BK102</f>
        <v>#N/A</v>
      </c>
      <c r="BK47" s="412" t="e">
        <f>PAS!BL102</f>
        <v>#N/A</v>
      </c>
      <c r="BL47" s="412" t="e">
        <f>PAS!BM102</f>
        <v>#N/A</v>
      </c>
      <c r="BM47" s="412">
        <f>PAS!BN102</f>
        <v>75</v>
      </c>
      <c r="BN47" s="412">
        <f>PAS!BO102</f>
        <v>80</v>
      </c>
      <c r="BO47" s="412" t="e">
        <f>PAS!BP102</f>
        <v>#N/A</v>
      </c>
      <c r="BP47" s="412" t="e">
        <f>PAS!BQ102</f>
        <v>#N/A</v>
      </c>
      <c r="BQ47" s="412" t="e">
        <f>PAS!BR102</f>
        <v>#N/A</v>
      </c>
      <c r="BR47" s="412" t="e">
        <f>PAS!BS102</f>
        <v>#N/A</v>
      </c>
      <c r="BS47" s="412">
        <f>PAS!BT102</f>
        <v>75</v>
      </c>
      <c r="BT47" s="412">
        <f>PAS!BU102</f>
        <v>80</v>
      </c>
      <c r="BU47" s="412" t="e">
        <f>PAS!BV102</f>
        <v>#N/A</v>
      </c>
      <c r="BV47" s="412" t="e">
        <f>PAS!BW102</f>
        <v>#N/A</v>
      </c>
      <c r="BW47" s="412" t="e">
        <f>PAS!BX102</f>
        <v>#N/A</v>
      </c>
      <c r="BX47" s="412">
        <f>PAS!BY102</f>
        <v>75</v>
      </c>
      <c r="BY47" s="412">
        <f>PAS!BZ102</f>
        <v>80</v>
      </c>
      <c r="BZ47" s="412" t="e">
        <f>PAS!CA102</f>
        <v>#N/A</v>
      </c>
      <c r="CA47" s="412" t="e">
        <f>PAS!CB102</f>
        <v>#N/A</v>
      </c>
      <c r="CB47" s="412" t="e">
        <f>PAS!CC102</f>
        <v>#N/A</v>
      </c>
      <c r="CC47" s="412" t="e">
        <f>PAS!CD102</f>
        <v>#N/A</v>
      </c>
    </row>
    <row r="48" spans="1:81" ht="20.25" customHeight="1">
      <c r="A48" s="113">
        <v>45</v>
      </c>
      <c r="B48" s="410" t="str">
        <f>SISWA!C50</f>
        <v>Anak 45</v>
      </c>
      <c r="C48" s="412">
        <f>PAS!D103</f>
        <v>100</v>
      </c>
      <c r="D48" s="412">
        <f>PAS!E103</f>
        <v>100</v>
      </c>
      <c r="E48" s="412">
        <f>PAS!F103</f>
        <v>100</v>
      </c>
      <c r="F48" s="412" t="e">
        <f>PAS!G103</f>
        <v>#N/A</v>
      </c>
      <c r="G48" s="412" t="e">
        <f>PAS!H103</f>
        <v>#N/A</v>
      </c>
      <c r="H48" s="412" t="e">
        <f>PAS!I103</f>
        <v>#N/A</v>
      </c>
      <c r="I48" s="412">
        <f>PAS!J103</f>
        <v>75</v>
      </c>
      <c r="J48" s="412">
        <f>PAS!K103</f>
        <v>70</v>
      </c>
      <c r="K48" s="412">
        <f>PAS!L103</f>
        <v>100</v>
      </c>
      <c r="L48" s="412">
        <f>PAS!M103</f>
        <v>100</v>
      </c>
      <c r="M48" s="412">
        <f>PAS!N103</f>
        <v>100</v>
      </c>
      <c r="N48" s="412" t="e">
        <f>PAS!O103</f>
        <v>#N/A</v>
      </c>
      <c r="O48" s="412" t="e">
        <f>PAS!P103</f>
        <v>#N/A</v>
      </c>
      <c r="P48" s="412" t="e">
        <f>PAS!Q103</f>
        <v>#N/A</v>
      </c>
      <c r="Q48" s="412">
        <f>PAS!R103</f>
        <v>75</v>
      </c>
      <c r="R48" s="412">
        <f>PAS!S103</f>
        <v>70</v>
      </c>
      <c r="S48" s="412" t="e">
        <f>PAS!T103</f>
        <v>#N/A</v>
      </c>
      <c r="T48" s="412" t="e">
        <f>PAS!U103</f>
        <v>#N/A</v>
      </c>
      <c r="U48" s="412" t="e">
        <f>PAS!V103</f>
        <v>#N/A</v>
      </c>
      <c r="V48" s="412" t="e">
        <f>PAS!W103</f>
        <v>#N/A</v>
      </c>
      <c r="W48" s="412" t="e">
        <f>PAS!X103</f>
        <v>#N/A</v>
      </c>
      <c r="X48" s="412" t="e">
        <f>PAS!Y103</f>
        <v>#N/A</v>
      </c>
      <c r="Y48" s="412">
        <f>PAS!Z103</f>
        <v>100</v>
      </c>
      <c r="Z48" s="412">
        <f>PAS!AA103</f>
        <v>100</v>
      </c>
      <c r="AA48" s="412">
        <f>PAS!AB103</f>
        <v>100</v>
      </c>
      <c r="AB48" s="412">
        <f>PAS!AC103</f>
        <v>100</v>
      </c>
      <c r="AC48" s="412" t="e">
        <f>PAS!AD103</f>
        <v>#N/A</v>
      </c>
      <c r="AD48" s="412" t="e">
        <f>PAS!AE103</f>
        <v>#N/A</v>
      </c>
      <c r="AE48" s="412">
        <f>PAS!AF103</f>
        <v>100</v>
      </c>
      <c r="AF48" s="412">
        <f>PAS!AG103</f>
        <v>100</v>
      </c>
      <c r="AG48" s="412">
        <f>PAS!AH103</f>
        <v>100</v>
      </c>
      <c r="AH48" s="412" t="e">
        <f>PAS!AI103</f>
        <v>#N/A</v>
      </c>
      <c r="AI48" s="412" t="e">
        <f>PAS!AJ103</f>
        <v>#N/A</v>
      </c>
      <c r="AJ48" s="412" t="e">
        <f>PAS!AK103</f>
        <v>#N/A</v>
      </c>
      <c r="AK48" s="412">
        <f>PAS!AL103</f>
        <v>100</v>
      </c>
      <c r="AL48" s="412">
        <f>PAS!AM103</f>
        <v>100</v>
      </c>
      <c r="AM48" s="412">
        <f>PAS!AN103</f>
        <v>100</v>
      </c>
      <c r="AN48" s="412" t="e">
        <f>PAS!AO103</f>
        <v>#N/A</v>
      </c>
      <c r="AO48" s="412" t="e">
        <f>PAS!AP103</f>
        <v>#N/A</v>
      </c>
      <c r="AP48" s="412" t="e">
        <f>PAS!AQ103</f>
        <v>#N/A</v>
      </c>
      <c r="AQ48" s="412">
        <f>PAS!AR103</f>
        <v>100</v>
      </c>
      <c r="AR48" s="412">
        <f>PAS!AS103</f>
        <v>100</v>
      </c>
      <c r="AS48" s="412">
        <f>PAS!AT103</f>
        <v>100</v>
      </c>
      <c r="AT48" s="412" t="e">
        <f>PAS!AU103</f>
        <v>#VALUE!</v>
      </c>
      <c r="AU48" s="412" t="e">
        <f>PAS!AV103</f>
        <v>#VALUE!</v>
      </c>
      <c r="AV48" s="412" t="e">
        <f>PAS!AW103</f>
        <v>#VALUE!</v>
      </c>
      <c r="AW48" s="412" t="e">
        <f>PAS!AX103</f>
        <v>#VALUE!</v>
      </c>
      <c r="AX48" s="412" t="e">
        <f>PAS!AY103</f>
        <v>#VALUE!</v>
      </c>
      <c r="AY48" s="412" t="e">
        <f>PAS!AZ103</f>
        <v>#N/A</v>
      </c>
      <c r="AZ48" s="412" t="e">
        <f>PAS!BA103</f>
        <v>#N/A</v>
      </c>
      <c r="BA48" s="412" t="e">
        <f>PAS!BB103</f>
        <v>#N/A</v>
      </c>
      <c r="BB48" s="412" t="e">
        <f>PAS!BC103</f>
        <v>#N/A</v>
      </c>
      <c r="BC48" s="412" t="e">
        <f>PAS!BD103</f>
        <v>#N/A</v>
      </c>
      <c r="BD48" s="412">
        <f>PAS!BE103</f>
        <v>75</v>
      </c>
      <c r="BE48" s="412">
        <f>PAS!BF103</f>
        <v>70</v>
      </c>
      <c r="BF48" s="412" t="e">
        <f>PAS!BG103</f>
        <v>#N/A</v>
      </c>
      <c r="BG48" s="412" t="e">
        <f>PAS!BH103</f>
        <v>#N/A</v>
      </c>
      <c r="BH48" s="412" t="e">
        <f>PAS!BI103</f>
        <v>#N/A</v>
      </c>
      <c r="BI48" s="412" t="e">
        <f>PAS!BJ103</f>
        <v>#N/A</v>
      </c>
      <c r="BJ48" s="412" t="e">
        <f>PAS!BK103</f>
        <v>#N/A</v>
      </c>
      <c r="BK48" s="412" t="e">
        <f>PAS!BL103</f>
        <v>#N/A</v>
      </c>
      <c r="BL48" s="412" t="e">
        <f>PAS!BM103</f>
        <v>#N/A</v>
      </c>
      <c r="BM48" s="412">
        <f>PAS!BN103</f>
        <v>75</v>
      </c>
      <c r="BN48" s="412">
        <f>PAS!BO103</f>
        <v>70</v>
      </c>
      <c r="BO48" s="412" t="e">
        <f>PAS!BP103</f>
        <v>#N/A</v>
      </c>
      <c r="BP48" s="412" t="e">
        <f>PAS!BQ103</f>
        <v>#N/A</v>
      </c>
      <c r="BQ48" s="412" t="e">
        <f>PAS!BR103</f>
        <v>#N/A</v>
      </c>
      <c r="BR48" s="412" t="e">
        <f>PAS!BS103</f>
        <v>#N/A</v>
      </c>
      <c r="BS48" s="412">
        <f>PAS!BT103</f>
        <v>75</v>
      </c>
      <c r="BT48" s="412">
        <f>PAS!BU103</f>
        <v>70</v>
      </c>
      <c r="BU48" s="412" t="e">
        <f>PAS!BV103</f>
        <v>#N/A</v>
      </c>
      <c r="BV48" s="412" t="e">
        <f>PAS!BW103</f>
        <v>#N/A</v>
      </c>
      <c r="BW48" s="412" t="e">
        <f>PAS!BX103</f>
        <v>#N/A</v>
      </c>
      <c r="BX48" s="412">
        <f>PAS!BY103</f>
        <v>75</v>
      </c>
      <c r="BY48" s="412">
        <f>PAS!BZ103</f>
        <v>70</v>
      </c>
      <c r="BZ48" s="412" t="e">
        <f>PAS!CA103</f>
        <v>#N/A</v>
      </c>
      <c r="CA48" s="412" t="e">
        <f>PAS!CB103</f>
        <v>#N/A</v>
      </c>
      <c r="CB48" s="412" t="e">
        <f>PAS!CC103</f>
        <v>#N/A</v>
      </c>
      <c r="CC48" s="412" t="e">
        <f>PAS!CD103</f>
        <v>#N/A</v>
      </c>
    </row>
    <row r="49" spans="1:81" ht="20.25" customHeight="1">
      <c r="A49" s="113">
        <v>46</v>
      </c>
      <c r="B49" s="410" t="str">
        <f>SISWA!C51</f>
        <v>Anak 46</v>
      </c>
      <c r="C49" s="412">
        <f>PAS!D104</f>
        <v>100</v>
      </c>
      <c r="D49" s="412">
        <f>PAS!E104</f>
        <v>100</v>
      </c>
      <c r="E49" s="412">
        <f>PAS!F104</f>
        <v>100</v>
      </c>
      <c r="F49" s="412" t="e">
        <f>PAS!G104</f>
        <v>#N/A</v>
      </c>
      <c r="G49" s="412" t="e">
        <f>PAS!H104</f>
        <v>#N/A</v>
      </c>
      <c r="H49" s="412" t="e">
        <f>PAS!I104</f>
        <v>#N/A</v>
      </c>
      <c r="I49" s="412">
        <f>PAS!J104</f>
        <v>85</v>
      </c>
      <c r="J49" s="412">
        <f>PAS!K104</f>
        <v>85</v>
      </c>
      <c r="K49" s="412">
        <f>PAS!L104</f>
        <v>100</v>
      </c>
      <c r="L49" s="412">
        <f>PAS!M104</f>
        <v>100</v>
      </c>
      <c r="M49" s="412">
        <f>PAS!N104</f>
        <v>100</v>
      </c>
      <c r="N49" s="412" t="e">
        <f>PAS!O104</f>
        <v>#N/A</v>
      </c>
      <c r="O49" s="412" t="e">
        <f>PAS!P104</f>
        <v>#N/A</v>
      </c>
      <c r="P49" s="412" t="e">
        <f>PAS!Q104</f>
        <v>#N/A</v>
      </c>
      <c r="Q49" s="412">
        <f>PAS!R104</f>
        <v>85</v>
      </c>
      <c r="R49" s="412">
        <f>PAS!S104</f>
        <v>85</v>
      </c>
      <c r="S49" s="412" t="e">
        <f>PAS!T104</f>
        <v>#N/A</v>
      </c>
      <c r="T49" s="412" t="e">
        <f>PAS!U104</f>
        <v>#N/A</v>
      </c>
      <c r="U49" s="412" t="e">
        <f>PAS!V104</f>
        <v>#N/A</v>
      </c>
      <c r="V49" s="412" t="e">
        <f>PAS!W104</f>
        <v>#N/A</v>
      </c>
      <c r="W49" s="412" t="e">
        <f>PAS!X104</f>
        <v>#N/A</v>
      </c>
      <c r="X49" s="412" t="e">
        <f>PAS!Y104</f>
        <v>#N/A</v>
      </c>
      <c r="Y49" s="412">
        <f>PAS!Z104</f>
        <v>100</v>
      </c>
      <c r="Z49" s="412">
        <f>PAS!AA104</f>
        <v>100</v>
      </c>
      <c r="AA49" s="412">
        <f>PAS!AB104</f>
        <v>100</v>
      </c>
      <c r="AB49" s="412">
        <f>PAS!AC104</f>
        <v>100</v>
      </c>
      <c r="AC49" s="412" t="e">
        <f>PAS!AD104</f>
        <v>#N/A</v>
      </c>
      <c r="AD49" s="412" t="e">
        <f>PAS!AE104</f>
        <v>#N/A</v>
      </c>
      <c r="AE49" s="412">
        <f>PAS!AF104</f>
        <v>100</v>
      </c>
      <c r="AF49" s="412">
        <f>PAS!AG104</f>
        <v>100</v>
      </c>
      <c r="AG49" s="412">
        <f>PAS!AH104</f>
        <v>100</v>
      </c>
      <c r="AH49" s="412" t="e">
        <f>PAS!AI104</f>
        <v>#N/A</v>
      </c>
      <c r="AI49" s="412" t="e">
        <f>PAS!AJ104</f>
        <v>#N/A</v>
      </c>
      <c r="AJ49" s="412" t="e">
        <f>PAS!AK104</f>
        <v>#N/A</v>
      </c>
      <c r="AK49" s="412">
        <f>PAS!AL104</f>
        <v>100</v>
      </c>
      <c r="AL49" s="412">
        <f>PAS!AM104</f>
        <v>100</v>
      </c>
      <c r="AM49" s="412">
        <f>PAS!AN104</f>
        <v>100</v>
      </c>
      <c r="AN49" s="412" t="e">
        <f>PAS!AO104</f>
        <v>#N/A</v>
      </c>
      <c r="AO49" s="412" t="e">
        <f>PAS!AP104</f>
        <v>#N/A</v>
      </c>
      <c r="AP49" s="412" t="e">
        <f>PAS!AQ104</f>
        <v>#N/A</v>
      </c>
      <c r="AQ49" s="412">
        <f>PAS!AR104</f>
        <v>100</v>
      </c>
      <c r="AR49" s="412">
        <f>PAS!AS104</f>
        <v>100</v>
      </c>
      <c r="AS49" s="412">
        <f>PAS!AT104</f>
        <v>100</v>
      </c>
      <c r="AT49" s="412" t="e">
        <f>PAS!AU104</f>
        <v>#VALUE!</v>
      </c>
      <c r="AU49" s="412" t="e">
        <f>PAS!AV104</f>
        <v>#VALUE!</v>
      </c>
      <c r="AV49" s="412" t="e">
        <f>PAS!AW104</f>
        <v>#VALUE!</v>
      </c>
      <c r="AW49" s="412" t="e">
        <f>PAS!AX104</f>
        <v>#VALUE!</v>
      </c>
      <c r="AX49" s="412" t="e">
        <f>PAS!AY104</f>
        <v>#VALUE!</v>
      </c>
      <c r="AY49" s="412" t="e">
        <f>PAS!AZ104</f>
        <v>#N/A</v>
      </c>
      <c r="AZ49" s="412" t="e">
        <f>PAS!BA104</f>
        <v>#N/A</v>
      </c>
      <c r="BA49" s="412" t="e">
        <f>PAS!BB104</f>
        <v>#N/A</v>
      </c>
      <c r="BB49" s="412" t="e">
        <f>PAS!BC104</f>
        <v>#N/A</v>
      </c>
      <c r="BC49" s="412" t="e">
        <f>PAS!BD104</f>
        <v>#N/A</v>
      </c>
      <c r="BD49" s="412">
        <f>PAS!BE104</f>
        <v>85</v>
      </c>
      <c r="BE49" s="412">
        <f>PAS!BF104</f>
        <v>85</v>
      </c>
      <c r="BF49" s="412" t="e">
        <f>PAS!BG104</f>
        <v>#N/A</v>
      </c>
      <c r="BG49" s="412" t="e">
        <f>PAS!BH104</f>
        <v>#N/A</v>
      </c>
      <c r="BH49" s="412" t="e">
        <f>PAS!BI104</f>
        <v>#N/A</v>
      </c>
      <c r="BI49" s="412" t="e">
        <f>PAS!BJ104</f>
        <v>#N/A</v>
      </c>
      <c r="BJ49" s="412" t="e">
        <f>PAS!BK104</f>
        <v>#N/A</v>
      </c>
      <c r="BK49" s="412" t="e">
        <f>PAS!BL104</f>
        <v>#N/A</v>
      </c>
      <c r="BL49" s="412" t="e">
        <f>PAS!BM104</f>
        <v>#N/A</v>
      </c>
      <c r="BM49" s="412">
        <f>PAS!BN104</f>
        <v>85</v>
      </c>
      <c r="BN49" s="412">
        <f>PAS!BO104</f>
        <v>85</v>
      </c>
      <c r="BO49" s="412" t="e">
        <f>PAS!BP104</f>
        <v>#N/A</v>
      </c>
      <c r="BP49" s="412" t="e">
        <f>PAS!BQ104</f>
        <v>#N/A</v>
      </c>
      <c r="BQ49" s="412" t="e">
        <f>PAS!BR104</f>
        <v>#N/A</v>
      </c>
      <c r="BR49" s="412" t="e">
        <f>PAS!BS104</f>
        <v>#N/A</v>
      </c>
      <c r="BS49" s="412">
        <f>PAS!BT104</f>
        <v>85</v>
      </c>
      <c r="BT49" s="412">
        <f>PAS!BU104</f>
        <v>85</v>
      </c>
      <c r="BU49" s="412" t="e">
        <f>PAS!BV104</f>
        <v>#N/A</v>
      </c>
      <c r="BV49" s="412" t="e">
        <f>PAS!BW104</f>
        <v>#N/A</v>
      </c>
      <c r="BW49" s="412" t="e">
        <f>PAS!BX104</f>
        <v>#N/A</v>
      </c>
      <c r="BX49" s="412">
        <f>PAS!BY104</f>
        <v>85</v>
      </c>
      <c r="BY49" s="412">
        <f>PAS!BZ104</f>
        <v>85</v>
      </c>
      <c r="BZ49" s="412" t="e">
        <f>PAS!CA104</f>
        <v>#N/A</v>
      </c>
      <c r="CA49" s="412" t="e">
        <f>PAS!CB104</f>
        <v>#N/A</v>
      </c>
      <c r="CB49" s="412" t="e">
        <f>PAS!CC104</f>
        <v>#N/A</v>
      </c>
      <c r="CC49" s="412" t="e">
        <f>PAS!CD104</f>
        <v>#N/A</v>
      </c>
    </row>
    <row r="50" spans="1:81" ht="20.25" customHeight="1">
      <c r="A50" s="113">
        <v>47</v>
      </c>
      <c r="B50" s="410" t="str">
        <f>SISWA!C52</f>
        <v>Anak 47</v>
      </c>
      <c r="C50" s="412">
        <f>PAS!D105</f>
        <v>100</v>
      </c>
      <c r="D50" s="412">
        <f>PAS!E105</f>
        <v>100</v>
      </c>
      <c r="E50" s="412">
        <f>PAS!F105</f>
        <v>100</v>
      </c>
      <c r="F50" s="412" t="e">
        <f>PAS!G105</f>
        <v>#N/A</v>
      </c>
      <c r="G50" s="412" t="e">
        <f>PAS!H105</f>
        <v>#N/A</v>
      </c>
      <c r="H50" s="412" t="e">
        <f>PAS!I105</f>
        <v>#N/A</v>
      </c>
      <c r="I50" s="412">
        <f>PAS!J105</f>
        <v>70</v>
      </c>
      <c r="J50" s="412">
        <f>PAS!K105</f>
        <v>70</v>
      </c>
      <c r="K50" s="412">
        <f>PAS!L105</f>
        <v>100</v>
      </c>
      <c r="L50" s="412">
        <f>PAS!M105</f>
        <v>100</v>
      </c>
      <c r="M50" s="412">
        <f>PAS!N105</f>
        <v>100</v>
      </c>
      <c r="N50" s="412" t="e">
        <f>PAS!O105</f>
        <v>#N/A</v>
      </c>
      <c r="O50" s="412" t="e">
        <f>PAS!P105</f>
        <v>#N/A</v>
      </c>
      <c r="P50" s="412" t="e">
        <f>PAS!Q105</f>
        <v>#N/A</v>
      </c>
      <c r="Q50" s="412">
        <f>PAS!R105</f>
        <v>70</v>
      </c>
      <c r="R50" s="412">
        <f>PAS!S105</f>
        <v>70</v>
      </c>
      <c r="S50" s="412" t="e">
        <f>PAS!T105</f>
        <v>#N/A</v>
      </c>
      <c r="T50" s="412" t="e">
        <f>PAS!U105</f>
        <v>#N/A</v>
      </c>
      <c r="U50" s="412" t="e">
        <f>PAS!V105</f>
        <v>#N/A</v>
      </c>
      <c r="V50" s="412" t="e">
        <f>PAS!W105</f>
        <v>#N/A</v>
      </c>
      <c r="W50" s="412" t="e">
        <f>PAS!X105</f>
        <v>#N/A</v>
      </c>
      <c r="X50" s="412" t="e">
        <f>PAS!Y105</f>
        <v>#N/A</v>
      </c>
      <c r="Y50" s="412">
        <f>PAS!Z105</f>
        <v>100</v>
      </c>
      <c r="Z50" s="412">
        <f>PAS!AA105</f>
        <v>100</v>
      </c>
      <c r="AA50" s="412">
        <f>PAS!AB105</f>
        <v>100</v>
      </c>
      <c r="AB50" s="412">
        <f>PAS!AC105</f>
        <v>100</v>
      </c>
      <c r="AC50" s="412" t="e">
        <f>PAS!AD105</f>
        <v>#N/A</v>
      </c>
      <c r="AD50" s="412" t="e">
        <f>PAS!AE105</f>
        <v>#N/A</v>
      </c>
      <c r="AE50" s="412">
        <f>PAS!AF105</f>
        <v>100</v>
      </c>
      <c r="AF50" s="412">
        <f>PAS!AG105</f>
        <v>100</v>
      </c>
      <c r="AG50" s="412">
        <f>PAS!AH105</f>
        <v>100</v>
      </c>
      <c r="AH50" s="412" t="e">
        <f>PAS!AI105</f>
        <v>#N/A</v>
      </c>
      <c r="AI50" s="412" t="e">
        <f>PAS!AJ105</f>
        <v>#N/A</v>
      </c>
      <c r="AJ50" s="412" t="e">
        <f>PAS!AK105</f>
        <v>#N/A</v>
      </c>
      <c r="AK50" s="412">
        <f>PAS!AL105</f>
        <v>100</v>
      </c>
      <c r="AL50" s="412">
        <f>PAS!AM105</f>
        <v>100</v>
      </c>
      <c r="AM50" s="412">
        <f>PAS!AN105</f>
        <v>100</v>
      </c>
      <c r="AN50" s="412" t="e">
        <f>PAS!AO105</f>
        <v>#N/A</v>
      </c>
      <c r="AO50" s="412" t="e">
        <f>PAS!AP105</f>
        <v>#N/A</v>
      </c>
      <c r="AP50" s="412" t="e">
        <f>PAS!AQ105</f>
        <v>#N/A</v>
      </c>
      <c r="AQ50" s="412">
        <f>PAS!AR105</f>
        <v>100</v>
      </c>
      <c r="AR50" s="412">
        <f>PAS!AS105</f>
        <v>100</v>
      </c>
      <c r="AS50" s="412">
        <f>PAS!AT105</f>
        <v>100</v>
      </c>
      <c r="AT50" s="412" t="e">
        <f>PAS!AU105</f>
        <v>#VALUE!</v>
      </c>
      <c r="AU50" s="412" t="e">
        <f>PAS!AV105</f>
        <v>#VALUE!</v>
      </c>
      <c r="AV50" s="412" t="e">
        <f>PAS!AW105</f>
        <v>#VALUE!</v>
      </c>
      <c r="AW50" s="412" t="e">
        <f>PAS!AX105</f>
        <v>#VALUE!</v>
      </c>
      <c r="AX50" s="412" t="e">
        <f>PAS!AY105</f>
        <v>#VALUE!</v>
      </c>
      <c r="AY50" s="412" t="e">
        <f>PAS!AZ105</f>
        <v>#N/A</v>
      </c>
      <c r="AZ50" s="412" t="e">
        <f>PAS!BA105</f>
        <v>#N/A</v>
      </c>
      <c r="BA50" s="412" t="e">
        <f>PAS!BB105</f>
        <v>#N/A</v>
      </c>
      <c r="BB50" s="412" t="e">
        <f>PAS!BC105</f>
        <v>#N/A</v>
      </c>
      <c r="BC50" s="412" t="e">
        <f>PAS!BD105</f>
        <v>#N/A</v>
      </c>
      <c r="BD50" s="412">
        <f>PAS!BE105</f>
        <v>70</v>
      </c>
      <c r="BE50" s="412">
        <f>PAS!BF105</f>
        <v>70</v>
      </c>
      <c r="BF50" s="412" t="e">
        <f>PAS!BG105</f>
        <v>#N/A</v>
      </c>
      <c r="BG50" s="412" t="e">
        <f>PAS!BH105</f>
        <v>#N/A</v>
      </c>
      <c r="BH50" s="412" t="e">
        <f>PAS!BI105</f>
        <v>#N/A</v>
      </c>
      <c r="BI50" s="412" t="e">
        <f>PAS!BJ105</f>
        <v>#N/A</v>
      </c>
      <c r="BJ50" s="412" t="e">
        <f>PAS!BK105</f>
        <v>#N/A</v>
      </c>
      <c r="BK50" s="412" t="e">
        <f>PAS!BL105</f>
        <v>#N/A</v>
      </c>
      <c r="BL50" s="412" t="e">
        <f>PAS!BM105</f>
        <v>#N/A</v>
      </c>
      <c r="BM50" s="412">
        <f>PAS!BN105</f>
        <v>70</v>
      </c>
      <c r="BN50" s="412">
        <f>PAS!BO105</f>
        <v>70</v>
      </c>
      <c r="BO50" s="412" t="e">
        <f>PAS!BP105</f>
        <v>#N/A</v>
      </c>
      <c r="BP50" s="412" t="e">
        <f>PAS!BQ105</f>
        <v>#N/A</v>
      </c>
      <c r="BQ50" s="412" t="e">
        <f>PAS!BR105</f>
        <v>#N/A</v>
      </c>
      <c r="BR50" s="412" t="e">
        <f>PAS!BS105</f>
        <v>#N/A</v>
      </c>
      <c r="BS50" s="412">
        <f>PAS!BT105</f>
        <v>70</v>
      </c>
      <c r="BT50" s="412">
        <f>PAS!BU105</f>
        <v>70</v>
      </c>
      <c r="BU50" s="412" t="e">
        <f>PAS!BV105</f>
        <v>#N/A</v>
      </c>
      <c r="BV50" s="412" t="e">
        <f>PAS!BW105</f>
        <v>#N/A</v>
      </c>
      <c r="BW50" s="412" t="e">
        <f>PAS!BX105</f>
        <v>#N/A</v>
      </c>
      <c r="BX50" s="412">
        <f>PAS!BY105</f>
        <v>70</v>
      </c>
      <c r="BY50" s="412">
        <f>PAS!BZ105</f>
        <v>70</v>
      </c>
      <c r="BZ50" s="412" t="e">
        <f>PAS!CA105</f>
        <v>#N/A</v>
      </c>
      <c r="CA50" s="412" t="e">
        <f>PAS!CB105</f>
        <v>#N/A</v>
      </c>
      <c r="CB50" s="412" t="e">
        <f>PAS!CC105</f>
        <v>#N/A</v>
      </c>
      <c r="CC50" s="412" t="e">
        <f>PAS!CD105</f>
        <v>#N/A</v>
      </c>
    </row>
    <row r="51" spans="1:81" ht="20.25" customHeight="1">
      <c r="A51" s="113">
        <v>48</v>
      </c>
      <c r="B51" s="410" t="str">
        <f>SISWA!C53</f>
        <v>Anak 48</v>
      </c>
      <c r="C51" s="412">
        <f>PAS!D106</f>
        <v>100</v>
      </c>
      <c r="D51" s="412">
        <f>PAS!E106</f>
        <v>100</v>
      </c>
      <c r="E51" s="412">
        <f>PAS!F106</f>
        <v>100</v>
      </c>
      <c r="F51" s="412" t="e">
        <f>PAS!G106</f>
        <v>#N/A</v>
      </c>
      <c r="G51" s="412" t="e">
        <f>PAS!H106</f>
        <v>#N/A</v>
      </c>
      <c r="H51" s="412" t="e">
        <f>PAS!I106</f>
        <v>#N/A</v>
      </c>
      <c r="I51" s="412">
        <f>PAS!J106</f>
        <v>70</v>
      </c>
      <c r="J51" s="412">
        <f>PAS!K106</f>
        <v>70</v>
      </c>
      <c r="K51" s="412">
        <f>PAS!L106</f>
        <v>100</v>
      </c>
      <c r="L51" s="412">
        <f>PAS!M106</f>
        <v>100</v>
      </c>
      <c r="M51" s="412">
        <f>PAS!N106</f>
        <v>100</v>
      </c>
      <c r="N51" s="412" t="e">
        <f>PAS!O106</f>
        <v>#N/A</v>
      </c>
      <c r="O51" s="412" t="e">
        <f>PAS!P106</f>
        <v>#N/A</v>
      </c>
      <c r="P51" s="412" t="e">
        <f>PAS!Q106</f>
        <v>#N/A</v>
      </c>
      <c r="Q51" s="412">
        <f>PAS!R106</f>
        <v>70</v>
      </c>
      <c r="R51" s="412">
        <f>PAS!S106</f>
        <v>70</v>
      </c>
      <c r="S51" s="412" t="e">
        <f>PAS!T106</f>
        <v>#N/A</v>
      </c>
      <c r="T51" s="412" t="e">
        <f>PAS!U106</f>
        <v>#N/A</v>
      </c>
      <c r="U51" s="412" t="e">
        <f>PAS!V106</f>
        <v>#N/A</v>
      </c>
      <c r="V51" s="412" t="e">
        <f>PAS!W106</f>
        <v>#N/A</v>
      </c>
      <c r="W51" s="412" t="e">
        <f>PAS!X106</f>
        <v>#N/A</v>
      </c>
      <c r="X51" s="412" t="e">
        <f>PAS!Y106</f>
        <v>#N/A</v>
      </c>
      <c r="Y51" s="412">
        <f>PAS!Z106</f>
        <v>100</v>
      </c>
      <c r="Z51" s="412">
        <f>PAS!AA106</f>
        <v>100</v>
      </c>
      <c r="AA51" s="412">
        <f>PAS!AB106</f>
        <v>100</v>
      </c>
      <c r="AB51" s="412">
        <f>PAS!AC106</f>
        <v>100</v>
      </c>
      <c r="AC51" s="412" t="e">
        <f>PAS!AD106</f>
        <v>#N/A</v>
      </c>
      <c r="AD51" s="412" t="e">
        <f>PAS!AE106</f>
        <v>#N/A</v>
      </c>
      <c r="AE51" s="412">
        <f>PAS!AF106</f>
        <v>100</v>
      </c>
      <c r="AF51" s="412">
        <f>PAS!AG106</f>
        <v>100</v>
      </c>
      <c r="AG51" s="412">
        <f>PAS!AH106</f>
        <v>100</v>
      </c>
      <c r="AH51" s="412" t="e">
        <f>PAS!AI106</f>
        <v>#N/A</v>
      </c>
      <c r="AI51" s="412" t="e">
        <f>PAS!AJ106</f>
        <v>#N/A</v>
      </c>
      <c r="AJ51" s="412" t="e">
        <f>PAS!AK106</f>
        <v>#N/A</v>
      </c>
      <c r="AK51" s="412">
        <f>PAS!AL106</f>
        <v>100</v>
      </c>
      <c r="AL51" s="412">
        <f>PAS!AM106</f>
        <v>100</v>
      </c>
      <c r="AM51" s="412">
        <f>PAS!AN106</f>
        <v>100</v>
      </c>
      <c r="AN51" s="412" t="e">
        <f>PAS!AO106</f>
        <v>#N/A</v>
      </c>
      <c r="AO51" s="412" t="e">
        <f>PAS!AP106</f>
        <v>#N/A</v>
      </c>
      <c r="AP51" s="412" t="e">
        <f>PAS!AQ106</f>
        <v>#N/A</v>
      </c>
      <c r="AQ51" s="412">
        <f>PAS!AR106</f>
        <v>100</v>
      </c>
      <c r="AR51" s="412">
        <f>PAS!AS106</f>
        <v>100</v>
      </c>
      <c r="AS51" s="412">
        <f>PAS!AT106</f>
        <v>100</v>
      </c>
      <c r="AT51" s="412" t="e">
        <f>PAS!AU106</f>
        <v>#VALUE!</v>
      </c>
      <c r="AU51" s="412" t="e">
        <f>PAS!AV106</f>
        <v>#VALUE!</v>
      </c>
      <c r="AV51" s="412" t="e">
        <f>PAS!AW106</f>
        <v>#VALUE!</v>
      </c>
      <c r="AW51" s="412" t="e">
        <f>PAS!AX106</f>
        <v>#VALUE!</v>
      </c>
      <c r="AX51" s="412" t="e">
        <f>PAS!AY106</f>
        <v>#VALUE!</v>
      </c>
      <c r="AY51" s="412" t="e">
        <f>PAS!AZ106</f>
        <v>#N/A</v>
      </c>
      <c r="AZ51" s="412" t="e">
        <f>PAS!BA106</f>
        <v>#N/A</v>
      </c>
      <c r="BA51" s="412" t="e">
        <f>PAS!BB106</f>
        <v>#N/A</v>
      </c>
      <c r="BB51" s="412" t="e">
        <f>PAS!BC106</f>
        <v>#N/A</v>
      </c>
      <c r="BC51" s="412" t="e">
        <f>PAS!BD106</f>
        <v>#N/A</v>
      </c>
      <c r="BD51" s="412">
        <f>PAS!BE106</f>
        <v>70</v>
      </c>
      <c r="BE51" s="412">
        <f>PAS!BF106</f>
        <v>70</v>
      </c>
      <c r="BF51" s="412" t="e">
        <f>PAS!BG106</f>
        <v>#N/A</v>
      </c>
      <c r="BG51" s="412" t="e">
        <f>PAS!BH106</f>
        <v>#N/A</v>
      </c>
      <c r="BH51" s="412" t="e">
        <f>PAS!BI106</f>
        <v>#N/A</v>
      </c>
      <c r="BI51" s="412" t="e">
        <f>PAS!BJ106</f>
        <v>#N/A</v>
      </c>
      <c r="BJ51" s="412" t="e">
        <f>PAS!BK106</f>
        <v>#N/A</v>
      </c>
      <c r="BK51" s="412" t="e">
        <f>PAS!BL106</f>
        <v>#N/A</v>
      </c>
      <c r="BL51" s="412" t="e">
        <f>PAS!BM106</f>
        <v>#N/A</v>
      </c>
      <c r="BM51" s="412">
        <f>PAS!BN106</f>
        <v>70</v>
      </c>
      <c r="BN51" s="412">
        <f>PAS!BO106</f>
        <v>70</v>
      </c>
      <c r="BO51" s="412" t="e">
        <f>PAS!BP106</f>
        <v>#N/A</v>
      </c>
      <c r="BP51" s="412" t="e">
        <f>PAS!BQ106</f>
        <v>#N/A</v>
      </c>
      <c r="BQ51" s="412" t="e">
        <f>PAS!BR106</f>
        <v>#N/A</v>
      </c>
      <c r="BR51" s="412" t="e">
        <f>PAS!BS106</f>
        <v>#N/A</v>
      </c>
      <c r="BS51" s="412">
        <f>PAS!BT106</f>
        <v>70</v>
      </c>
      <c r="BT51" s="412">
        <f>PAS!BU106</f>
        <v>70</v>
      </c>
      <c r="BU51" s="412" t="e">
        <f>PAS!BV106</f>
        <v>#N/A</v>
      </c>
      <c r="BV51" s="412" t="e">
        <f>PAS!BW106</f>
        <v>#N/A</v>
      </c>
      <c r="BW51" s="412" t="e">
        <f>PAS!BX106</f>
        <v>#N/A</v>
      </c>
      <c r="BX51" s="412">
        <f>PAS!BY106</f>
        <v>70</v>
      </c>
      <c r="BY51" s="412">
        <f>PAS!BZ106</f>
        <v>70</v>
      </c>
      <c r="BZ51" s="412" t="e">
        <f>PAS!CA106</f>
        <v>#N/A</v>
      </c>
      <c r="CA51" s="412" t="e">
        <f>PAS!CB106</f>
        <v>#N/A</v>
      </c>
      <c r="CB51" s="412" t="e">
        <f>PAS!CC106</f>
        <v>#N/A</v>
      </c>
      <c r="CC51" s="412" t="e">
        <f>PAS!CD106</f>
        <v>#N/A</v>
      </c>
    </row>
    <row r="52" spans="1:81" ht="20.25" customHeight="1">
      <c r="A52" s="113">
        <v>49</v>
      </c>
      <c r="B52" s="410" t="str">
        <f>SISWA!C54</f>
        <v>Anak 49</v>
      </c>
      <c r="C52" s="412">
        <f>PAS!D107</f>
        <v>100</v>
      </c>
      <c r="D52" s="412">
        <f>PAS!E107</f>
        <v>100</v>
      </c>
      <c r="E52" s="412">
        <f>PAS!F107</f>
        <v>100</v>
      </c>
      <c r="F52" s="412" t="e">
        <f>PAS!G107</f>
        <v>#N/A</v>
      </c>
      <c r="G52" s="412" t="e">
        <f>PAS!H107</f>
        <v>#N/A</v>
      </c>
      <c r="H52" s="412" t="e">
        <f>PAS!I107</f>
        <v>#N/A</v>
      </c>
      <c r="I52" s="412">
        <f>PAS!J107</f>
        <v>90</v>
      </c>
      <c r="J52" s="412">
        <f>PAS!K107</f>
        <v>80</v>
      </c>
      <c r="K52" s="412">
        <f>PAS!L107</f>
        <v>100</v>
      </c>
      <c r="L52" s="412">
        <f>PAS!M107</f>
        <v>100</v>
      </c>
      <c r="M52" s="412">
        <f>PAS!N107</f>
        <v>100</v>
      </c>
      <c r="N52" s="412" t="e">
        <f>PAS!O107</f>
        <v>#N/A</v>
      </c>
      <c r="O52" s="412" t="e">
        <f>PAS!P107</f>
        <v>#N/A</v>
      </c>
      <c r="P52" s="412" t="e">
        <f>PAS!Q107</f>
        <v>#N/A</v>
      </c>
      <c r="Q52" s="412">
        <f>PAS!R107</f>
        <v>90</v>
      </c>
      <c r="R52" s="412">
        <f>PAS!S107</f>
        <v>80</v>
      </c>
      <c r="S52" s="412" t="e">
        <f>PAS!T107</f>
        <v>#N/A</v>
      </c>
      <c r="T52" s="412" t="e">
        <f>PAS!U107</f>
        <v>#N/A</v>
      </c>
      <c r="U52" s="412" t="e">
        <f>PAS!V107</f>
        <v>#N/A</v>
      </c>
      <c r="V52" s="412" t="e">
        <f>PAS!W107</f>
        <v>#N/A</v>
      </c>
      <c r="W52" s="412" t="e">
        <f>PAS!X107</f>
        <v>#N/A</v>
      </c>
      <c r="X52" s="412" t="e">
        <f>PAS!Y107</f>
        <v>#N/A</v>
      </c>
      <c r="Y52" s="412">
        <f>PAS!Z107</f>
        <v>100</v>
      </c>
      <c r="Z52" s="412">
        <f>PAS!AA107</f>
        <v>100</v>
      </c>
      <c r="AA52" s="412">
        <f>PAS!AB107</f>
        <v>100</v>
      </c>
      <c r="AB52" s="412">
        <f>PAS!AC107</f>
        <v>100</v>
      </c>
      <c r="AC52" s="412" t="e">
        <f>PAS!AD107</f>
        <v>#N/A</v>
      </c>
      <c r="AD52" s="412" t="e">
        <f>PAS!AE107</f>
        <v>#N/A</v>
      </c>
      <c r="AE52" s="412">
        <f>PAS!AF107</f>
        <v>100</v>
      </c>
      <c r="AF52" s="412">
        <f>PAS!AG107</f>
        <v>100</v>
      </c>
      <c r="AG52" s="412">
        <f>PAS!AH107</f>
        <v>100</v>
      </c>
      <c r="AH52" s="412" t="e">
        <f>PAS!AI107</f>
        <v>#N/A</v>
      </c>
      <c r="AI52" s="412" t="e">
        <f>PAS!AJ107</f>
        <v>#N/A</v>
      </c>
      <c r="AJ52" s="412" t="e">
        <f>PAS!AK107</f>
        <v>#N/A</v>
      </c>
      <c r="AK52" s="412">
        <f>PAS!AL107</f>
        <v>100</v>
      </c>
      <c r="AL52" s="412">
        <f>PAS!AM107</f>
        <v>100</v>
      </c>
      <c r="AM52" s="412">
        <f>PAS!AN107</f>
        <v>100</v>
      </c>
      <c r="AN52" s="412" t="e">
        <f>PAS!AO107</f>
        <v>#N/A</v>
      </c>
      <c r="AO52" s="412" t="e">
        <f>PAS!AP107</f>
        <v>#N/A</v>
      </c>
      <c r="AP52" s="412" t="e">
        <f>PAS!AQ107</f>
        <v>#N/A</v>
      </c>
      <c r="AQ52" s="412">
        <f>PAS!AR107</f>
        <v>100</v>
      </c>
      <c r="AR52" s="412">
        <f>PAS!AS107</f>
        <v>100</v>
      </c>
      <c r="AS52" s="412">
        <f>PAS!AT107</f>
        <v>100</v>
      </c>
      <c r="AT52" s="412" t="e">
        <f>PAS!AU107</f>
        <v>#VALUE!</v>
      </c>
      <c r="AU52" s="412" t="e">
        <f>PAS!AV107</f>
        <v>#VALUE!</v>
      </c>
      <c r="AV52" s="412" t="e">
        <f>PAS!AW107</f>
        <v>#VALUE!</v>
      </c>
      <c r="AW52" s="412" t="e">
        <f>PAS!AX107</f>
        <v>#VALUE!</v>
      </c>
      <c r="AX52" s="412" t="e">
        <f>PAS!AY107</f>
        <v>#VALUE!</v>
      </c>
      <c r="AY52" s="412" t="e">
        <f>PAS!AZ107</f>
        <v>#N/A</v>
      </c>
      <c r="AZ52" s="412" t="e">
        <f>PAS!BA107</f>
        <v>#N/A</v>
      </c>
      <c r="BA52" s="412" t="e">
        <f>PAS!BB107</f>
        <v>#N/A</v>
      </c>
      <c r="BB52" s="412" t="e">
        <f>PAS!BC107</f>
        <v>#N/A</v>
      </c>
      <c r="BC52" s="412" t="e">
        <f>PAS!BD107</f>
        <v>#N/A</v>
      </c>
      <c r="BD52" s="412">
        <f>PAS!BE107</f>
        <v>90</v>
      </c>
      <c r="BE52" s="412">
        <f>PAS!BF107</f>
        <v>80</v>
      </c>
      <c r="BF52" s="412" t="e">
        <f>PAS!BG107</f>
        <v>#N/A</v>
      </c>
      <c r="BG52" s="412" t="e">
        <f>PAS!BH107</f>
        <v>#N/A</v>
      </c>
      <c r="BH52" s="412" t="e">
        <f>PAS!BI107</f>
        <v>#N/A</v>
      </c>
      <c r="BI52" s="412" t="e">
        <f>PAS!BJ107</f>
        <v>#N/A</v>
      </c>
      <c r="BJ52" s="412" t="e">
        <f>PAS!BK107</f>
        <v>#N/A</v>
      </c>
      <c r="BK52" s="412" t="e">
        <f>PAS!BL107</f>
        <v>#N/A</v>
      </c>
      <c r="BL52" s="412" t="e">
        <f>PAS!BM107</f>
        <v>#N/A</v>
      </c>
      <c r="BM52" s="412">
        <f>PAS!BN107</f>
        <v>90</v>
      </c>
      <c r="BN52" s="412">
        <f>PAS!BO107</f>
        <v>80</v>
      </c>
      <c r="BO52" s="412" t="e">
        <f>PAS!BP107</f>
        <v>#N/A</v>
      </c>
      <c r="BP52" s="412" t="e">
        <f>PAS!BQ107</f>
        <v>#N/A</v>
      </c>
      <c r="BQ52" s="412" t="e">
        <f>PAS!BR107</f>
        <v>#N/A</v>
      </c>
      <c r="BR52" s="412" t="e">
        <f>PAS!BS107</f>
        <v>#N/A</v>
      </c>
      <c r="BS52" s="412">
        <f>PAS!BT107</f>
        <v>90</v>
      </c>
      <c r="BT52" s="412">
        <f>PAS!BU107</f>
        <v>80</v>
      </c>
      <c r="BU52" s="412" t="e">
        <f>PAS!BV107</f>
        <v>#N/A</v>
      </c>
      <c r="BV52" s="412" t="e">
        <f>PAS!BW107</f>
        <v>#N/A</v>
      </c>
      <c r="BW52" s="412" t="e">
        <f>PAS!BX107</f>
        <v>#N/A</v>
      </c>
      <c r="BX52" s="412">
        <f>PAS!BY107</f>
        <v>90</v>
      </c>
      <c r="BY52" s="412">
        <f>PAS!BZ107</f>
        <v>80</v>
      </c>
      <c r="BZ52" s="412" t="e">
        <f>PAS!CA107</f>
        <v>#N/A</v>
      </c>
      <c r="CA52" s="412" t="e">
        <f>PAS!CB107</f>
        <v>#N/A</v>
      </c>
      <c r="CB52" s="412" t="e">
        <f>PAS!CC107</f>
        <v>#N/A</v>
      </c>
      <c r="CC52" s="412" t="e">
        <f>PAS!CD107</f>
        <v>#N/A</v>
      </c>
    </row>
    <row r="53" spans="1:81" ht="20.25" customHeight="1">
      <c r="A53" s="113">
        <v>50</v>
      </c>
      <c r="B53" s="410" t="str">
        <f>SISWA!C55</f>
        <v>Anak 50</v>
      </c>
      <c r="C53" s="412">
        <f>PAS!D108</f>
        <v>100</v>
      </c>
      <c r="D53" s="412">
        <f>PAS!E108</f>
        <v>100</v>
      </c>
      <c r="E53" s="412">
        <f>PAS!F108</f>
        <v>100</v>
      </c>
      <c r="F53" s="412" t="e">
        <f>PAS!G108</f>
        <v>#N/A</v>
      </c>
      <c r="G53" s="412" t="e">
        <f>PAS!H108</f>
        <v>#N/A</v>
      </c>
      <c r="H53" s="412" t="e">
        <f>PAS!I108</f>
        <v>#N/A</v>
      </c>
      <c r="I53" s="412">
        <f>PAS!J108</f>
        <v>90</v>
      </c>
      <c r="J53" s="412">
        <f>PAS!K108</f>
        <v>70</v>
      </c>
      <c r="K53" s="412">
        <f>PAS!L108</f>
        <v>100</v>
      </c>
      <c r="L53" s="412">
        <f>PAS!M108</f>
        <v>100</v>
      </c>
      <c r="M53" s="412">
        <f>PAS!N108</f>
        <v>100</v>
      </c>
      <c r="N53" s="412" t="e">
        <f>PAS!O108</f>
        <v>#N/A</v>
      </c>
      <c r="O53" s="412" t="e">
        <f>PAS!P108</f>
        <v>#N/A</v>
      </c>
      <c r="P53" s="412" t="e">
        <f>PAS!Q108</f>
        <v>#N/A</v>
      </c>
      <c r="Q53" s="412">
        <f>PAS!R108</f>
        <v>90</v>
      </c>
      <c r="R53" s="412">
        <f>PAS!S108</f>
        <v>70</v>
      </c>
      <c r="S53" s="412" t="e">
        <f>PAS!T108</f>
        <v>#N/A</v>
      </c>
      <c r="T53" s="412" t="e">
        <f>PAS!U108</f>
        <v>#N/A</v>
      </c>
      <c r="U53" s="412" t="e">
        <f>PAS!V108</f>
        <v>#N/A</v>
      </c>
      <c r="V53" s="412" t="e">
        <f>PAS!W108</f>
        <v>#N/A</v>
      </c>
      <c r="W53" s="412" t="e">
        <f>PAS!X108</f>
        <v>#N/A</v>
      </c>
      <c r="X53" s="412" t="e">
        <f>PAS!Y108</f>
        <v>#N/A</v>
      </c>
      <c r="Y53" s="412">
        <f>PAS!Z108</f>
        <v>100</v>
      </c>
      <c r="Z53" s="412">
        <f>PAS!AA108</f>
        <v>100</v>
      </c>
      <c r="AA53" s="412">
        <f>PAS!AB108</f>
        <v>100</v>
      </c>
      <c r="AB53" s="412">
        <f>PAS!AC108</f>
        <v>100</v>
      </c>
      <c r="AC53" s="412" t="e">
        <f>PAS!AD108</f>
        <v>#N/A</v>
      </c>
      <c r="AD53" s="412" t="e">
        <f>PAS!AE108</f>
        <v>#N/A</v>
      </c>
      <c r="AE53" s="412">
        <f>PAS!AF108</f>
        <v>100</v>
      </c>
      <c r="AF53" s="412">
        <f>PAS!AG108</f>
        <v>100</v>
      </c>
      <c r="AG53" s="412">
        <f>PAS!AH108</f>
        <v>100</v>
      </c>
      <c r="AH53" s="412" t="e">
        <f>PAS!AI108</f>
        <v>#N/A</v>
      </c>
      <c r="AI53" s="412" t="e">
        <f>PAS!AJ108</f>
        <v>#N/A</v>
      </c>
      <c r="AJ53" s="412" t="e">
        <f>PAS!AK108</f>
        <v>#N/A</v>
      </c>
      <c r="AK53" s="412">
        <f>PAS!AL108</f>
        <v>100</v>
      </c>
      <c r="AL53" s="412">
        <f>PAS!AM108</f>
        <v>100</v>
      </c>
      <c r="AM53" s="412">
        <f>PAS!AN108</f>
        <v>100</v>
      </c>
      <c r="AN53" s="412" t="e">
        <f>PAS!AO108</f>
        <v>#N/A</v>
      </c>
      <c r="AO53" s="412" t="e">
        <f>PAS!AP108</f>
        <v>#N/A</v>
      </c>
      <c r="AP53" s="412" t="e">
        <f>PAS!AQ108</f>
        <v>#N/A</v>
      </c>
      <c r="AQ53" s="412">
        <f>PAS!AR108</f>
        <v>100</v>
      </c>
      <c r="AR53" s="412">
        <f>PAS!AS108</f>
        <v>100</v>
      </c>
      <c r="AS53" s="412">
        <f>PAS!AT108</f>
        <v>100</v>
      </c>
      <c r="AT53" s="412" t="e">
        <f>PAS!AU108</f>
        <v>#VALUE!</v>
      </c>
      <c r="AU53" s="412" t="e">
        <f>PAS!AV108</f>
        <v>#VALUE!</v>
      </c>
      <c r="AV53" s="412" t="e">
        <f>PAS!AW108</f>
        <v>#VALUE!</v>
      </c>
      <c r="AW53" s="412" t="e">
        <f>PAS!AX108</f>
        <v>#VALUE!</v>
      </c>
      <c r="AX53" s="412" t="e">
        <f>PAS!AY108</f>
        <v>#VALUE!</v>
      </c>
      <c r="AY53" s="412" t="e">
        <f>PAS!AZ108</f>
        <v>#N/A</v>
      </c>
      <c r="AZ53" s="412" t="e">
        <f>PAS!BA108</f>
        <v>#N/A</v>
      </c>
      <c r="BA53" s="412" t="e">
        <f>PAS!BB108</f>
        <v>#N/A</v>
      </c>
      <c r="BB53" s="412" t="e">
        <f>PAS!BC108</f>
        <v>#N/A</v>
      </c>
      <c r="BC53" s="412" t="e">
        <f>PAS!BD108</f>
        <v>#N/A</v>
      </c>
      <c r="BD53" s="412">
        <f>PAS!BE108</f>
        <v>90</v>
      </c>
      <c r="BE53" s="412">
        <f>PAS!BF108</f>
        <v>70</v>
      </c>
      <c r="BF53" s="412" t="e">
        <f>PAS!BG108</f>
        <v>#N/A</v>
      </c>
      <c r="BG53" s="412" t="e">
        <f>PAS!BH108</f>
        <v>#N/A</v>
      </c>
      <c r="BH53" s="412" t="e">
        <f>PAS!BI108</f>
        <v>#N/A</v>
      </c>
      <c r="BI53" s="412" t="e">
        <f>PAS!BJ108</f>
        <v>#N/A</v>
      </c>
      <c r="BJ53" s="412" t="e">
        <f>PAS!BK108</f>
        <v>#N/A</v>
      </c>
      <c r="BK53" s="412" t="e">
        <f>PAS!BL108</f>
        <v>#N/A</v>
      </c>
      <c r="BL53" s="412" t="e">
        <f>PAS!BM108</f>
        <v>#N/A</v>
      </c>
      <c r="BM53" s="412">
        <f>PAS!BN108</f>
        <v>90</v>
      </c>
      <c r="BN53" s="412">
        <f>PAS!BO108</f>
        <v>70</v>
      </c>
      <c r="BO53" s="412" t="e">
        <f>PAS!BP108</f>
        <v>#N/A</v>
      </c>
      <c r="BP53" s="412" t="e">
        <f>PAS!BQ108</f>
        <v>#N/A</v>
      </c>
      <c r="BQ53" s="412" t="e">
        <f>PAS!BR108</f>
        <v>#N/A</v>
      </c>
      <c r="BR53" s="412" t="e">
        <f>PAS!BS108</f>
        <v>#N/A</v>
      </c>
      <c r="BS53" s="412">
        <f>PAS!BT108</f>
        <v>90</v>
      </c>
      <c r="BT53" s="412">
        <f>PAS!BU108</f>
        <v>70</v>
      </c>
      <c r="BU53" s="412" t="e">
        <f>PAS!BV108</f>
        <v>#N/A</v>
      </c>
      <c r="BV53" s="412" t="e">
        <f>PAS!BW108</f>
        <v>#N/A</v>
      </c>
      <c r="BW53" s="412" t="e">
        <f>PAS!BX108</f>
        <v>#N/A</v>
      </c>
      <c r="BX53" s="412">
        <f>PAS!BY108</f>
        <v>90</v>
      </c>
      <c r="BY53" s="412">
        <f>PAS!BZ108</f>
        <v>70</v>
      </c>
      <c r="BZ53" s="412" t="e">
        <f>PAS!CA108</f>
        <v>#N/A</v>
      </c>
      <c r="CA53" s="412" t="e">
        <f>PAS!CB108</f>
        <v>#N/A</v>
      </c>
      <c r="CB53" s="412" t="e">
        <f>PAS!CC108</f>
        <v>#N/A</v>
      </c>
      <c r="CC53" s="412" t="e">
        <f>PAS!CD108</f>
        <v>#N/A</v>
      </c>
    </row>
  </sheetData>
  <mergeCells count="14">
    <mergeCell ref="BR2:BW2"/>
    <mergeCell ref="BX2:CC2"/>
    <mergeCell ref="Y2:AD2"/>
    <mergeCell ref="AE2:AJ2"/>
    <mergeCell ref="AK2:AP2"/>
    <mergeCell ref="AQ2:BC2"/>
    <mergeCell ref="BD2:BK2"/>
    <mergeCell ref="BL2:BQ2"/>
    <mergeCell ref="Q2:X2"/>
    <mergeCell ref="B1:I1"/>
    <mergeCell ref="A2:A3"/>
    <mergeCell ref="B2:B3"/>
    <mergeCell ref="C2:H2"/>
    <mergeCell ref="I2:P2"/>
  </mergeCells>
  <pageMargins left="0.7" right="0.7" top="0.75" bottom="0.75" header="0.3" footer="0.3"/>
  <pageSetup paperSize="256" orientation="portrait" horizontalDpi="4294967293" verticalDpi="0"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131"/>
  <sheetViews>
    <sheetView view="pageBreakPreview" zoomScale="70" zoomScaleNormal="85" zoomScaleSheetLayoutView="70" workbookViewId="0"/>
  </sheetViews>
  <sheetFormatPr defaultRowHeight="15"/>
  <cols>
    <col min="1" max="1" width="5.5703125" customWidth="1"/>
    <col min="2" max="2" width="29.140625" customWidth="1"/>
    <col min="3" max="42" width="4.85546875" customWidth="1"/>
  </cols>
  <sheetData>
    <row r="1" spans="1:76" ht="18">
      <c r="A1" s="667"/>
      <c r="B1" s="667"/>
      <c r="C1" s="1516" t="s">
        <v>861</v>
      </c>
      <c r="D1" s="1516"/>
      <c r="E1" s="1516"/>
      <c r="F1" s="1516"/>
      <c r="G1" s="1516"/>
      <c r="H1" s="1516"/>
      <c r="I1" s="1516"/>
      <c r="J1" s="1516"/>
      <c r="K1" s="1516"/>
      <c r="L1" s="1516"/>
      <c r="M1" s="1516"/>
      <c r="N1" s="1516"/>
      <c r="O1" s="1516"/>
      <c r="P1" s="1516"/>
      <c r="Q1" s="1516"/>
      <c r="R1" s="1516"/>
      <c r="S1" s="1516"/>
      <c r="T1" s="1516"/>
      <c r="U1" s="1516"/>
      <c r="V1" s="1516"/>
      <c r="W1" s="1516"/>
      <c r="X1" s="1516"/>
      <c r="Y1" s="1516"/>
      <c r="Z1" s="1516"/>
      <c r="AA1" s="1516"/>
      <c r="AB1" s="1516"/>
      <c r="AC1" s="1516"/>
      <c r="AD1" s="1516"/>
      <c r="AE1" s="1516"/>
      <c r="AF1" s="1516"/>
      <c r="AG1" s="1516"/>
      <c r="AH1" s="1516"/>
      <c r="AI1" s="1516"/>
      <c r="AJ1" s="1516"/>
      <c r="AK1" s="1516"/>
      <c r="AL1" s="1516"/>
      <c r="AM1" s="1516"/>
      <c r="AN1" s="1516"/>
      <c r="AO1" s="1516"/>
      <c r="AP1" s="1516"/>
      <c r="AQ1" s="668"/>
      <c r="AR1" s="668"/>
    </row>
    <row r="2" spans="1:76" ht="18.75">
      <c r="A2" s="669"/>
      <c r="B2" s="669"/>
      <c r="C2" s="1516" t="s">
        <v>864</v>
      </c>
      <c r="D2" s="1516"/>
      <c r="E2" s="1516"/>
      <c r="F2" s="1516"/>
      <c r="G2" s="1516"/>
      <c r="H2" s="1516"/>
      <c r="I2" s="1516"/>
      <c r="J2" s="1516"/>
      <c r="K2" s="1516"/>
      <c r="L2" s="1516"/>
      <c r="M2" s="1516"/>
      <c r="N2" s="1516"/>
      <c r="O2" s="1516"/>
      <c r="P2" s="1516"/>
      <c r="Q2" s="1516"/>
      <c r="R2" s="1516"/>
      <c r="S2" s="1516"/>
      <c r="T2" s="1516"/>
      <c r="U2" s="1516"/>
      <c r="V2" s="1516"/>
      <c r="W2" s="1516"/>
      <c r="X2" s="1516"/>
      <c r="Y2" s="1516"/>
      <c r="Z2" s="1516"/>
      <c r="AA2" s="1516"/>
      <c r="AB2" s="1516"/>
      <c r="AC2" s="1516"/>
      <c r="AD2" s="1516"/>
      <c r="AE2" s="1516"/>
      <c r="AF2" s="1516"/>
      <c r="AG2" s="1516"/>
      <c r="AH2" s="1516"/>
      <c r="AI2" s="1516"/>
      <c r="AJ2" s="1516"/>
      <c r="AK2" s="1516"/>
      <c r="AL2" s="1516"/>
      <c r="AM2" s="1516"/>
      <c r="AN2" s="1516"/>
      <c r="AO2" s="1516"/>
      <c r="AP2" s="1516"/>
      <c r="AQ2" s="670"/>
      <c r="AR2" s="670"/>
    </row>
    <row r="3" spans="1:76" ht="18.75">
      <c r="A3" s="669"/>
      <c r="B3" s="669"/>
      <c r="C3" s="1516" t="str">
        <f>CONCATENATE(DEPAN!E10," Kecamatan ",DEPAN!E19," Kabupaten ",DEPAN!E20)</f>
        <v xml:space="preserve">SDN UJUNG ASPAL 01 Kecamatan Ranuyoso Kabupaten Lumajang </v>
      </c>
      <c r="D3" s="1516"/>
      <c r="E3" s="1516"/>
      <c r="F3" s="1516"/>
      <c r="G3" s="1516"/>
      <c r="H3" s="1516"/>
      <c r="I3" s="1516"/>
      <c r="J3" s="1516"/>
      <c r="K3" s="1516"/>
      <c r="L3" s="1516"/>
      <c r="M3" s="1516"/>
      <c r="N3" s="1516"/>
      <c r="O3" s="1516"/>
      <c r="P3" s="1516"/>
      <c r="Q3" s="1516"/>
      <c r="R3" s="1516"/>
      <c r="S3" s="1516"/>
      <c r="T3" s="1516"/>
      <c r="U3" s="1516"/>
      <c r="V3" s="1516"/>
      <c r="W3" s="1516"/>
      <c r="X3" s="1516"/>
      <c r="Y3" s="1516"/>
      <c r="Z3" s="1516"/>
      <c r="AA3" s="1516"/>
      <c r="AB3" s="1516"/>
      <c r="AC3" s="1516"/>
      <c r="AD3" s="1516"/>
      <c r="AE3" s="1516"/>
      <c r="AF3" s="1516"/>
      <c r="AG3" s="1516"/>
      <c r="AH3" s="1516"/>
      <c r="AI3" s="1516"/>
      <c r="AJ3" s="1516"/>
      <c r="AK3" s="1516"/>
      <c r="AL3" s="1516"/>
      <c r="AM3" s="1516"/>
      <c r="AN3" s="1516"/>
      <c r="AO3" s="1516"/>
      <c r="AP3" s="1516"/>
      <c r="AQ3" s="670"/>
      <c r="AR3" s="670"/>
    </row>
    <row r="4" spans="1:76" ht="15.75">
      <c r="A4" s="667"/>
      <c r="B4" s="667"/>
      <c r="C4" s="1517"/>
      <c r="D4" s="1517"/>
      <c r="E4" s="1517"/>
      <c r="F4" s="1517"/>
      <c r="G4" s="1517"/>
      <c r="H4" s="1517"/>
      <c r="I4" s="1517"/>
      <c r="J4" s="1517"/>
      <c r="K4" s="1517"/>
      <c r="L4" s="1517"/>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7"/>
      <c r="AK4" s="1517"/>
      <c r="AL4" s="1517"/>
      <c r="AM4" s="1517"/>
      <c r="AN4" s="1517"/>
      <c r="AO4" s="1517"/>
      <c r="AP4" s="1517"/>
      <c r="AQ4" s="668"/>
      <c r="AR4" s="668"/>
    </row>
    <row r="5" spans="1:76">
      <c r="A5" s="1510" t="str">
        <f>CONCATENATE("KELAS   :  ",DEPAN!E14)</f>
        <v>KELAS   :  4 (Empat)</v>
      </c>
      <c r="B5" s="1510"/>
      <c r="C5" s="671"/>
      <c r="D5" s="671"/>
      <c r="E5" s="671"/>
      <c r="F5" s="671"/>
      <c r="G5" s="671"/>
      <c r="H5" s="671"/>
      <c r="I5" s="671"/>
      <c r="J5" s="671"/>
      <c r="K5" s="671"/>
      <c r="L5" s="671"/>
      <c r="M5" s="671"/>
      <c r="N5" s="671"/>
      <c r="O5" s="671"/>
      <c r="P5" s="671"/>
      <c r="Q5" s="671"/>
      <c r="R5" s="671"/>
      <c r="S5" s="671"/>
      <c r="T5" s="671"/>
      <c r="U5" s="671"/>
      <c r="V5" s="671"/>
      <c r="W5" s="671"/>
      <c r="X5" s="671"/>
      <c r="Y5" s="671"/>
      <c r="Z5" s="671"/>
      <c r="AA5" s="671"/>
      <c r="AB5" s="671"/>
      <c r="AC5" s="671"/>
      <c r="AD5" s="671"/>
      <c r="AE5" s="671"/>
      <c r="AF5" s="671"/>
      <c r="AG5" s="671"/>
      <c r="AH5" s="671"/>
      <c r="AI5" s="671"/>
      <c r="AJ5" s="671"/>
      <c r="AK5" s="671"/>
      <c r="AL5" s="671"/>
      <c r="AM5" s="671"/>
      <c r="AN5" s="671"/>
      <c r="AO5" s="671"/>
      <c r="AP5" s="671"/>
      <c r="AQ5" s="667"/>
      <c r="AR5" s="667"/>
    </row>
    <row r="6" spans="1:76" ht="60" customHeight="1">
      <c r="A6" s="1511" t="s">
        <v>2</v>
      </c>
      <c r="B6" s="1512"/>
      <c r="C6" s="1381" t="s">
        <v>862</v>
      </c>
      <c r="D6" s="1381"/>
      <c r="E6" s="1381"/>
      <c r="F6" s="1381"/>
      <c r="G6" s="1381"/>
      <c r="H6" s="1381"/>
      <c r="I6" s="1513" t="s">
        <v>863</v>
      </c>
      <c r="J6" s="1514"/>
      <c r="K6" s="1514"/>
      <c r="L6" s="1514"/>
      <c r="M6" s="1514"/>
      <c r="N6" s="1514"/>
      <c r="O6" s="1514"/>
      <c r="P6" s="1514"/>
      <c r="Q6" s="1513" t="s">
        <v>729</v>
      </c>
      <c r="R6" s="1514"/>
      <c r="S6" s="1514"/>
      <c r="T6" s="1514"/>
      <c r="U6" s="1514"/>
      <c r="V6" s="1514"/>
      <c r="W6" s="1514"/>
      <c r="X6" s="1514"/>
      <c r="Y6" s="1513" t="s">
        <v>260</v>
      </c>
      <c r="Z6" s="1514"/>
      <c r="AA6" s="1514"/>
      <c r="AB6" s="1514"/>
      <c r="AC6" s="1514"/>
      <c r="AD6" s="1515"/>
      <c r="AE6" s="1513" t="s">
        <v>261</v>
      </c>
      <c r="AF6" s="1514"/>
      <c r="AG6" s="1514"/>
      <c r="AH6" s="1514"/>
      <c r="AI6" s="1514"/>
      <c r="AJ6" s="1515"/>
      <c r="AK6" s="1513" t="s">
        <v>265</v>
      </c>
      <c r="AL6" s="1514"/>
      <c r="AM6" s="1514"/>
      <c r="AN6" s="1514"/>
      <c r="AO6" s="1514"/>
      <c r="AP6" s="1515"/>
      <c r="AQ6" s="5"/>
      <c r="AR6" s="5"/>
    </row>
    <row r="7" spans="1:76">
      <c r="A7" s="1511"/>
      <c r="B7" s="1512"/>
      <c r="C7" s="673" t="str">
        <f>BLT!C3</f>
        <v>3.2</v>
      </c>
      <c r="D7" s="673" t="str">
        <f>BLT!D3</f>
        <v>3.3</v>
      </c>
      <c r="E7" s="673" t="str">
        <f>BLT!E3</f>
        <v>3.4</v>
      </c>
      <c r="F7" s="673" t="str">
        <f>BLT!F3</f>
        <v/>
      </c>
      <c r="G7" s="673" t="str">
        <f>BLT!G3</f>
        <v/>
      </c>
      <c r="H7" s="673" t="str">
        <f>BLT!H3</f>
        <v/>
      </c>
      <c r="I7" s="673" t="str">
        <f>BLT!I3</f>
        <v>3.3</v>
      </c>
      <c r="J7" s="673" t="str">
        <f>BLT!J3</f>
        <v>3.6</v>
      </c>
      <c r="K7" s="673" t="str">
        <f>BLT!K3</f>
        <v>3.7</v>
      </c>
      <c r="L7" s="673" t="str">
        <f>BLT!L3</f>
        <v>3.9</v>
      </c>
      <c r="M7" s="673" t="str">
        <f>BLT!M3</f>
        <v>3.10</v>
      </c>
      <c r="N7" s="673" t="str">
        <f>BLT!N3</f>
        <v/>
      </c>
      <c r="O7" s="673" t="str">
        <f>BLT!O3</f>
        <v/>
      </c>
      <c r="P7" s="673">
        <f>BLT!P3</f>
        <v>0</v>
      </c>
      <c r="Q7" s="673" t="str">
        <f>BLT!Q3</f>
        <v>3.1</v>
      </c>
      <c r="R7" s="673" t="str">
        <f>BLT!R3</f>
        <v>3.2</v>
      </c>
      <c r="S7" s="673" t="str">
        <f>BLT!S3</f>
        <v>3.3</v>
      </c>
      <c r="T7" s="673" t="str">
        <f>BLT!T3</f>
        <v>3.4</v>
      </c>
      <c r="U7" s="673" t="str">
        <f>BLT!U3</f>
        <v>3.5</v>
      </c>
      <c r="V7" s="673" t="str">
        <f>BLT!V3</f>
        <v>3.6</v>
      </c>
      <c r="W7" s="673" t="str">
        <f>BLT!W3</f>
        <v>3.7</v>
      </c>
      <c r="X7" s="673">
        <f>BLT!X3</f>
        <v>0</v>
      </c>
      <c r="Y7" s="673" t="str">
        <f>BLT!Y3</f>
        <v>3.2</v>
      </c>
      <c r="Z7" s="673" t="str">
        <f>BLT!Z3</f>
        <v>3.3</v>
      </c>
      <c r="AA7" s="673" t="str">
        <f>BLT!AA3</f>
        <v>3.4</v>
      </c>
      <c r="AB7" s="673" t="str">
        <f>BLT!AB3</f>
        <v>3.5</v>
      </c>
      <c r="AC7" s="673" t="str">
        <f>BLT!AC3</f>
        <v/>
      </c>
      <c r="AD7" s="673" t="str">
        <f>BLT!AD3</f>
        <v/>
      </c>
      <c r="AE7" s="673" t="str">
        <f>BLT!AE3</f>
        <v>3.1</v>
      </c>
      <c r="AF7" s="673" t="str">
        <f>BLT!AF3</f>
        <v>3.2</v>
      </c>
      <c r="AG7" s="673" t="str">
        <f>BLT!AG3</f>
        <v>3.3</v>
      </c>
      <c r="AH7" s="673" t="str">
        <f>BLT!AH3</f>
        <v/>
      </c>
      <c r="AI7" s="673" t="str">
        <f>BLT!AI3</f>
        <v/>
      </c>
      <c r="AJ7" s="673" t="str">
        <f>BLT!AJ3</f>
        <v/>
      </c>
      <c r="AK7" s="673" t="str">
        <f>BLT!AK3</f>
        <v>3.1</v>
      </c>
      <c r="AL7" s="673" t="str">
        <f>BLT!AL3</f>
        <v>3.2</v>
      </c>
      <c r="AM7" s="673" t="str">
        <f>BLT!AM3</f>
        <v>3.3</v>
      </c>
      <c r="AN7" s="673" t="str">
        <f>BLT!AN3</f>
        <v>3.4</v>
      </c>
      <c r="AO7" s="673" t="str">
        <f>BLT!AO3</f>
        <v/>
      </c>
      <c r="AP7" s="673">
        <f>BLT!AP3</f>
        <v>0</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row>
    <row r="8" spans="1:76">
      <c r="A8" s="674" t="s">
        <v>865</v>
      </c>
      <c r="B8" s="675">
        <v>100</v>
      </c>
      <c r="C8" s="691">
        <f>COUNTIF(BLT!C4:C53,"100")</f>
        <v>49</v>
      </c>
      <c r="D8" s="693">
        <f>COUNTIF(BLT!D4:D53,"100")</f>
        <v>50</v>
      </c>
      <c r="E8" s="693">
        <f>COUNTIF(BLT!E4:E53,"100")</f>
        <v>49</v>
      </c>
      <c r="F8" s="693">
        <f>COUNTIF(BLT!F4:F53,"100")</f>
        <v>0</v>
      </c>
      <c r="G8" s="693">
        <f>COUNTIF(BLT!G4:G53,"100")</f>
        <v>0</v>
      </c>
      <c r="H8" s="693">
        <f>COUNTIF(BLT!H4:H53,"100")</f>
        <v>0</v>
      </c>
      <c r="I8" s="693">
        <f>COUNTIF(BLT!I4:I53,"100")</f>
        <v>0</v>
      </c>
      <c r="J8" s="693">
        <f>COUNTIF(BLT!J4:J53,"100")</f>
        <v>0</v>
      </c>
      <c r="K8" s="693">
        <f>COUNTIF(BLT!K4:K53,"100")</f>
        <v>48</v>
      </c>
      <c r="L8" s="693">
        <f>COUNTIF(BLT!L4:L53,"100")</f>
        <v>48</v>
      </c>
      <c r="M8" s="693">
        <f>COUNTIF(BLT!M4:M53,"100")</f>
        <v>48</v>
      </c>
      <c r="N8" s="693">
        <f>COUNTIF(BLT!N4:N53,"100")</f>
        <v>0</v>
      </c>
      <c r="O8" s="693">
        <f>COUNTIF(BLT!O4:O53,"100")</f>
        <v>0</v>
      </c>
      <c r="P8" s="693">
        <f>COUNTIF(BLT!P4:P53,"100")</f>
        <v>0</v>
      </c>
      <c r="Q8" s="693">
        <f>COUNTIF(BLT!Q4:Q53,"100")</f>
        <v>0</v>
      </c>
      <c r="R8" s="693">
        <f>COUNTIF(BLT!R4:R53,"100")</f>
        <v>0</v>
      </c>
      <c r="S8" s="693">
        <f>COUNTIF(BLT!S4:S53,"100")</f>
        <v>0</v>
      </c>
      <c r="T8" s="693">
        <f>COUNTIF(BLT!T4:T53,"100")</f>
        <v>0</v>
      </c>
      <c r="U8" s="693">
        <f>COUNTIF(BLT!U4:U53,"100")</f>
        <v>0</v>
      </c>
      <c r="V8" s="693">
        <f>COUNTIF(BLT!V4:V53,"100")</f>
        <v>0</v>
      </c>
      <c r="W8" s="693">
        <f>COUNTIF(BLT!W4:W53,"100")</f>
        <v>0</v>
      </c>
      <c r="X8" s="693">
        <f>COUNTIF(BLT!X4:X53,"100")</f>
        <v>0</v>
      </c>
      <c r="Y8" s="693">
        <f>COUNTIF(BLT!Y4:Y53,"100")</f>
        <v>47</v>
      </c>
      <c r="Z8" s="693">
        <f>COUNTIF(BLT!Z4:Z53,"100")</f>
        <v>47</v>
      </c>
      <c r="AA8" s="693">
        <f>COUNTIF(BLT!AA4:AA53,"100")</f>
        <v>49</v>
      </c>
      <c r="AB8" s="693">
        <f>COUNTIF(BLT!AB4:AB53,"100")</f>
        <v>49</v>
      </c>
      <c r="AC8" s="693">
        <f>COUNTIF(BLT!AC4:AC53,"100")</f>
        <v>0</v>
      </c>
      <c r="AD8" s="693">
        <f>COUNTIF(BLT!AD4:AD53,"100")</f>
        <v>0</v>
      </c>
      <c r="AE8" s="693">
        <f>COUNTIF(BLT!AE4:AE53,"100")</f>
        <v>48</v>
      </c>
      <c r="AF8" s="693">
        <f>COUNTIF(BLT!AF4:AF53,"100")</f>
        <v>48</v>
      </c>
      <c r="AG8" s="693">
        <f>COUNTIF(BLT!AG4:AG53,"100")</f>
        <v>49</v>
      </c>
      <c r="AH8" s="693">
        <f>COUNTIF(BLT!AH4:AH53,"100")</f>
        <v>0</v>
      </c>
      <c r="AI8" s="693">
        <f>COUNTIF(BLT!AI4:AI53,"100")</f>
        <v>0</v>
      </c>
      <c r="AJ8" s="693">
        <f>COUNTIF(BLT!AJ4:AJ53,"100")</f>
        <v>0</v>
      </c>
      <c r="AK8" s="693">
        <f>COUNTIF(BLT!AK4:AK53,"100")</f>
        <v>48</v>
      </c>
      <c r="AL8" s="693">
        <f>COUNTIF(BLT!AL4:AL53,"100")</f>
        <v>47</v>
      </c>
      <c r="AM8" s="693">
        <f>COUNTIF(BLT!AM4:AM53,"100")</f>
        <v>50</v>
      </c>
      <c r="AN8" s="693">
        <f>COUNTIF(BLT!AN4:AN53,"100")</f>
        <v>0</v>
      </c>
      <c r="AO8" s="693">
        <f>COUNTIF(BLT!AO4:AO53,"100")</f>
        <v>0</v>
      </c>
      <c r="AP8" s="693">
        <f>COUNTIF(BLT!AP4:AP53,"100")</f>
        <v>0</v>
      </c>
    </row>
    <row r="9" spans="1:76">
      <c r="A9" s="7" t="s">
        <v>866</v>
      </c>
      <c r="B9" s="676">
        <v>95</v>
      </c>
      <c r="C9" s="692">
        <f>COUNTIF(BLT!C4:C53,"95")</f>
        <v>0</v>
      </c>
      <c r="D9" s="693">
        <f>COUNTIF(BLT!D4:D53,"95")</f>
        <v>0</v>
      </c>
      <c r="E9" s="693">
        <f>COUNTIF(BLT!E4:E53,"95")</f>
        <v>0</v>
      </c>
      <c r="F9" s="693">
        <f>COUNTIF(BLT!F4:F53,"95")</f>
        <v>0</v>
      </c>
      <c r="G9" s="693">
        <f>COUNTIF(BLT!G4:G53,"95")</f>
        <v>0</v>
      </c>
      <c r="H9" s="693">
        <f>COUNTIF(BLT!H4:H53,"95")</f>
        <v>0</v>
      </c>
      <c r="I9" s="693">
        <f>COUNTIF(BLT!I4:I53,"95")</f>
        <v>2</v>
      </c>
      <c r="J9" s="693">
        <f>COUNTIF(BLT!J4:J53,"95")</f>
        <v>1</v>
      </c>
      <c r="K9" s="693">
        <f>COUNTIF(BLT!K4:K53,"95")</f>
        <v>0</v>
      </c>
      <c r="L9" s="693">
        <f>COUNTIF(BLT!L4:L53,"95")</f>
        <v>0</v>
      </c>
      <c r="M9" s="693">
        <f>COUNTIF(BLT!M4:M53,"95")</f>
        <v>0</v>
      </c>
      <c r="N9" s="693">
        <f>COUNTIF(BLT!N4:N53,"95")</f>
        <v>0</v>
      </c>
      <c r="O9" s="693">
        <f>COUNTIF(BLT!O4:O53,"95")</f>
        <v>0</v>
      </c>
      <c r="P9" s="693">
        <f>COUNTIF(BLT!P4:P53,"95")</f>
        <v>0</v>
      </c>
      <c r="Q9" s="693">
        <f>COUNTIF(BLT!Q4:Q53,"95")</f>
        <v>1</v>
      </c>
      <c r="R9" s="693">
        <f>COUNTIF(BLT!R4:R53,"95")</f>
        <v>0</v>
      </c>
      <c r="S9" s="693">
        <f>COUNTIF(BLT!S4:S53,"95")</f>
        <v>0</v>
      </c>
      <c r="T9" s="693">
        <f>COUNTIF(BLT!T4:T53,"95")</f>
        <v>0</v>
      </c>
      <c r="U9" s="693">
        <f>COUNTIF(BLT!U4:U53,"95")</f>
        <v>0</v>
      </c>
      <c r="V9" s="693">
        <f>COUNTIF(BLT!V4:V53,"95")</f>
        <v>0</v>
      </c>
      <c r="W9" s="693">
        <f>COUNTIF(BLT!W4:W53,"95")</f>
        <v>0</v>
      </c>
      <c r="X9" s="693">
        <f>COUNTIF(BLT!X4:X53,"95")</f>
        <v>0</v>
      </c>
      <c r="Y9" s="693">
        <f>COUNTIF(BLT!Y4:Y53,"95")</f>
        <v>0</v>
      </c>
      <c r="Z9" s="693">
        <f>COUNTIF(BLT!Z4:Z53,"95")</f>
        <v>0</v>
      </c>
      <c r="AA9" s="693">
        <f>COUNTIF(BLT!AA4:AA53,"95")</f>
        <v>0</v>
      </c>
      <c r="AB9" s="693">
        <f>COUNTIF(BLT!AB4:AB53,"95")</f>
        <v>0</v>
      </c>
      <c r="AC9" s="693">
        <f>COUNTIF(BLT!AC4:AC53,"95")</f>
        <v>0</v>
      </c>
      <c r="AD9" s="693">
        <f>COUNTIF(BLT!AD4:AD53,"95")</f>
        <v>0</v>
      </c>
      <c r="AE9" s="693">
        <f>COUNTIF(BLT!AE4:AE53,"95")</f>
        <v>0</v>
      </c>
      <c r="AF9" s="693">
        <f>COUNTIF(BLT!AF4:AF53,"95")</f>
        <v>0</v>
      </c>
      <c r="AG9" s="693">
        <f>COUNTIF(BLT!AG4:AG53,"95")</f>
        <v>0</v>
      </c>
      <c r="AH9" s="693">
        <f>COUNTIF(BLT!AH4:AH53,"95")</f>
        <v>0</v>
      </c>
      <c r="AI9" s="693">
        <f>COUNTIF(BLT!AI4:AI53,"95")</f>
        <v>0</v>
      </c>
      <c r="AJ9" s="693">
        <f>COUNTIF(BLT!AJ4:AJ53,"95")</f>
        <v>0</v>
      </c>
      <c r="AK9" s="693">
        <f>COUNTIF(BLT!AK4:AK53,"95")</f>
        <v>0</v>
      </c>
      <c r="AL9" s="693">
        <f>COUNTIF(BLT!AL4:AL53,"95")</f>
        <v>0</v>
      </c>
      <c r="AM9" s="693">
        <f>COUNTIF(BLT!AM4:AM53,"95")</f>
        <v>0</v>
      </c>
      <c r="AN9" s="693">
        <f>COUNTIF(BLT!AN4:AN53,"95")</f>
        <v>0</v>
      </c>
      <c r="AO9" s="693">
        <f>COUNTIF(BLT!AO4:AO53,"95")</f>
        <v>0</v>
      </c>
      <c r="AP9" s="693">
        <f>COUNTIF(BLT!AP4:AP53,"95")</f>
        <v>0</v>
      </c>
    </row>
    <row r="10" spans="1:76">
      <c r="A10" s="7" t="s">
        <v>867</v>
      </c>
      <c r="B10" s="675">
        <v>90</v>
      </c>
      <c r="C10" s="693">
        <f>COUNTIF(BLT!C4:C53,"90")</f>
        <v>1</v>
      </c>
      <c r="D10" s="693">
        <f>COUNTIF(BLT!D4:D53,"90")</f>
        <v>0</v>
      </c>
      <c r="E10" s="693">
        <f>COUNTIF(BLT!E4:E53,"90")</f>
        <v>1</v>
      </c>
      <c r="F10" s="693">
        <f>COUNTIF(BLT!F4:F53,"90")</f>
        <v>0</v>
      </c>
      <c r="G10" s="693">
        <f>COUNTIF(BLT!G4:G53,"90")</f>
        <v>0</v>
      </c>
      <c r="H10" s="693">
        <f>COUNTIF(BLT!H4:H53,"90")</f>
        <v>0</v>
      </c>
      <c r="I10" s="693">
        <f>COUNTIF(BLT!I4:I53,"90")</f>
        <v>9</v>
      </c>
      <c r="J10" s="693">
        <f>COUNTIF(BLT!J4:J53,"90")</f>
        <v>6</v>
      </c>
      <c r="K10" s="693">
        <f>COUNTIF(BLT!K4:K53,"90")</f>
        <v>0</v>
      </c>
      <c r="L10" s="693">
        <f>COUNTIF(BLT!L4:L53,"90")</f>
        <v>0</v>
      </c>
      <c r="M10" s="693">
        <f>COUNTIF(BLT!M4:M53,"90")</f>
        <v>0</v>
      </c>
      <c r="N10" s="693">
        <f>COUNTIF(BLT!N4:N53,"90")</f>
        <v>0</v>
      </c>
      <c r="O10" s="693">
        <f>COUNTIF(BLT!O4:O53,"90")</f>
        <v>0</v>
      </c>
      <c r="P10" s="693">
        <f>COUNTIF(BLT!P4:P53,"90")</f>
        <v>0</v>
      </c>
      <c r="Q10" s="693">
        <f>COUNTIF(BLT!Q4:Q53,"90")</f>
        <v>9</v>
      </c>
      <c r="R10" s="693">
        <f>COUNTIF(BLT!R4:R53,"90")</f>
        <v>7</v>
      </c>
      <c r="S10" s="693">
        <f>COUNTIF(BLT!S4:S53,"90")</f>
        <v>0</v>
      </c>
      <c r="T10" s="693">
        <f>COUNTIF(BLT!T4:T53,"90")</f>
        <v>0</v>
      </c>
      <c r="U10" s="693">
        <f>COUNTIF(BLT!U4:U53,"90")</f>
        <v>0</v>
      </c>
      <c r="V10" s="693">
        <f>COUNTIF(BLT!V4:V53,"90")</f>
        <v>0</v>
      </c>
      <c r="W10" s="693">
        <f>COUNTIF(BLT!W4:W53,"90")</f>
        <v>1</v>
      </c>
      <c r="X10" s="693">
        <f>COUNTIF(BLT!X4:X53,"90")</f>
        <v>0</v>
      </c>
      <c r="Y10" s="693">
        <f>COUNTIF(BLT!Y4:Y53,"90")</f>
        <v>2</v>
      </c>
      <c r="Z10" s="693">
        <f>COUNTIF(BLT!Z4:Z53,"90")</f>
        <v>2</v>
      </c>
      <c r="AA10" s="693">
        <f>COUNTIF(BLT!AA4:AA53,"90")</f>
        <v>0</v>
      </c>
      <c r="AB10" s="693">
        <f>COUNTIF(BLT!AB4:AB53,"90")</f>
        <v>0</v>
      </c>
      <c r="AC10" s="693">
        <f>COUNTIF(BLT!AC4:AC53,"90")</f>
        <v>0</v>
      </c>
      <c r="AD10" s="693">
        <f>COUNTIF(BLT!AD4:AD53,"90")</f>
        <v>0</v>
      </c>
      <c r="AE10" s="693">
        <f>COUNTIF(BLT!AE4:AE53,"90")</f>
        <v>1</v>
      </c>
      <c r="AF10" s="693">
        <f>COUNTIF(BLT!AF4:AF53,"90")</f>
        <v>1</v>
      </c>
      <c r="AG10" s="693">
        <f>COUNTIF(BLT!AG4:AG53,"90")</f>
        <v>0</v>
      </c>
      <c r="AH10" s="693">
        <f>COUNTIF(BLT!AH4:AH53,"90")</f>
        <v>0</v>
      </c>
      <c r="AI10" s="693">
        <f>COUNTIF(BLT!AI4:AI53,"90")</f>
        <v>0</v>
      </c>
      <c r="AJ10" s="693">
        <f>COUNTIF(BLT!AJ4:AJ53,"90")</f>
        <v>0</v>
      </c>
      <c r="AK10" s="693">
        <f>COUNTIF(BLT!AK4:AK53,"90")</f>
        <v>2</v>
      </c>
      <c r="AL10" s="693">
        <f>COUNTIF(BLT!AL4:AL53,"90")</f>
        <v>3</v>
      </c>
      <c r="AM10" s="693">
        <f>COUNTIF(BLT!AM4:AM53,"90")</f>
        <v>0</v>
      </c>
      <c r="AN10" s="693">
        <f>COUNTIF(BLT!AN4:AN53,"90")</f>
        <v>0</v>
      </c>
      <c r="AO10" s="693">
        <f>COUNTIF(BLT!AO4:AO53,"90")</f>
        <v>0</v>
      </c>
      <c r="AP10" s="693">
        <f>COUNTIF(BLT!AP4:AP53,"90")</f>
        <v>0</v>
      </c>
    </row>
    <row r="11" spans="1:76">
      <c r="A11" s="7" t="s">
        <v>868</v>
      </c>
      <c r="B11" s="676">
        <v>85</v>
      </c>
      <c r="C11" s="693">
        <f>COUNTIF(BLT!C4:C53,"85")</f>
        <v>0</v>
      </c>
      <c r="D11" s="693">
        <f>COUNTIF(BLT!D4:D53,"85")</f>
        <v>0</v>
      </c>
      <c r="E11" s="693">
        <f>COUNTIF(BLT!E4:E53,"85")</f>
        <v>0</v>
      </c>
      <c r="F11" s="693">
        <f>COUNTIF(BLT!F4:F53,"85")</f>
        <v>0</v>
      </c>
      <c r="G11" s="693">
        <f>COUNTIF(BLT!G4:G53,"85")</f>
        <v>0</v>
      </c>
      <c r="H11" s="693">
        <f>COUNTIF(BLT!H4:H53,"85")</f>
        <v>0</v>
      </c>
      <c r="I11" s="693">
        <f>COUNTIF(BLT!I4:I53,"85")</f>
        <v>6</v>
      </c>
      <c r="J11" s="693">
        <f>COUNTIF(BLT!J4:J53,"85")</f>
        <v>5</v>
      </c>
      <c r="K11" s="693">
        <f>COUNTIF(BLT!K4:K53,"85")</f>
        <v>0</v>
      </c>
      <c r="L11" s="693">
        <f>COUNTIF(BLT!L4:L53,"85")</f>
        <v>0</v>
      </c>
      <c r="M11" s="693">
        <f>COUNTIF(BLT!M4:M53,"85")</f>
        <v>0</v>
      </c>
      <c r="N11" s="693">
        <f>COUNTIF(BLT!N4:N53,"85")</f>
        <v>0</v>
      </c>
      <c r="O11" s="693">
        <f>COUNTIF(BLT!O4:O53,"85")</f>
        <v>0</v>
      </c>
      <c r="P11" s="693">
        <f>COUNTIF(BLT!P4:P53,"85")</f>
        <v>0</v>
      </c>
      <c r="Q11" s="693">
        <f>COUNTIF(BLT!Q4:Q53,"85")</f>
        <v>6</v>
      </c>
      <c r="R11" s="693">
        <f>COUNTIF(BLT!R4:R53,"85")</f>
        <v>5</v>
      </c>
      <c r="S11" s="693">
        <f>COUNTIF(BLT!S4:S53,"85")</f>
        <v>0</v>
      </c>
      <c r="T11" s="693">
        <f>COUNTIF(BLT!T4:T53,"85")</f>
        <v>0</v>
      </c>
      <c r="U11" s="693">
        <f>COUNTIF(BLT!U4:U53,"85")</f>
        <v>0</v>
      </c>
      <c r="V11" s="693">
        <f>COUNTIF(BLT!V4:V53,"85")</f>
        <v>0</v>
      </c>
      <c r="W11" s="693">
        <f>COUNTIF(BLT!W4:W53,"85")</f>
        <v>0</v>
      </c>
      <c r="X11" s="693">
        <f>COUNTIF(BLT!X4:X53,"85")</f>
        <v>0</v>
      </c>
      <c r="Y11" s="693">
        <f>COUNTIF(BLT!Y4:Y53,"85")</f>
        <v>0</v>
      </c>
      <c r="Z11" s="693">
        <f>COUNTIF(BLT!Z4:Z53,"85")</f>
        <v>0</v>
      </c>
      <c r="AA11" s="693">
        <f>COUNTIF(BLT!AA4:AA53,"85")</f>
        <v>0</v>
      </c>
      <c r="AB11" s="693">
        <f>COUNTIF(BLT!AB4:AB53,"85")</f>
        <v>0</v>
      </c>
      <c r="AC11" s="693">
        <f>COUNTIF(BLT!AC4:AC53,"85")</f>
        <v>0</v>
      </c>
      <c r="AD11" s="693">
        <f>COUNTIF(BLT!AD4:AD53,"85")</f>
        <v>0</v>
      </c>
      <c r="AE11" s="693">
        <f>COUNTIF(BLT!AE4:AE53,"85")</f>
        <v>0</v>
      </c>
      <c r="AF11" s="693">
        <f>COUNTIF(BLT!AF4:AF53,"85")</f>
        <v>0</v>
      </c>
      <c r="AG11" s="693">
        <f>COUNTIF(BLT!AG4:AG53,"85")</f>
        <v>0</v>
      </c>
      <c r="AH11" s="693">
        <f>COUNTIF(BLT!AH4:AH53,"85")</f>
        <v>0</v>
      </c>
      <c r="AI11" s="693">
        <f>COUNTIF(BLT!AI4:AI53,"85")</f>
        <v>0</v>
      </c>
      <c r="AJ11" s="693">
        <f>COUNTIF(BLT!AJ4:AJ53,"85")</f>
        <v>0</v>
      </c>
      <c r="AK11" s="693">
        <f>COUNTIF(BLT!AK4:AK53,"85")</f>
        <v>0</v>
      </c>
      <c r="AL11" s="693">
        <f>COUNTIF(BLT!AL4:AL53,"85")</f>
        <v>0</v>
      </c>
      <c r="AM11" s="693">
        <f>COUNTIF(BLT!AM4:AM53,"85")</f>
        <v>0</v>
      </c>
      <c r="AN11" s="693">
        <f>COUNTIF(BLT!AN4:AN53,"85")</f>
        <v>0</v>
      </c>
      <c r="AO11" s="693">
        <f>COUNTIF(BLT!AO4:AO53,"85")</f>
        <v>0</v>
      </c>
      <c r="AP11" s="693">
        <f>COUNTIF(BLT!AP4:AP53,"85")</f>
        <v>0</v>
      </c>
    </row>
    <row r="12" spans="1:76">
      <c r="A12" s="7" t="s">
        <v>869</v>
      </c>
      <c r="B12" s="675">
        <v>80</v>
      </c>
      <c r="C12" s="693">
        <f>COUNTIF(BLT!C4:C53,"80")</f>
        <v>0</v>
      </c>
      <c r="D12" s="693">
        <f>COUNTIF(BLT!D4:D53,"80")</f>
        <v>0</v>
      </c>
      <c r="E12" s="693">
        <f>COUNTIF(BLT!E4:E53,"80")</f>
        <v>0</v>
      </c>
      <c r="F12" s="693">
        <f>COUNTIF(BLT!F4:F53,"80")</f>
        <v>0</v>
      </c>
      <c r="G12" s="693">
        <f>COUNTIF(BLT!G4:G53,"80")</f>
        <v>0</v>
      </c>
      <c r="H12" s="693">
        <f>COUNTIF(BLT!H4:H53,"80")</f>
        <v>0</v>
      </c>
      <c r="I12" s="693">
        <f>COUNTIF(BLT!I4:I53,"80")</f>
        <v>18</v>
      </c>
      <c r="J12" s="693">
        <f>COUNTIF(BLT!J4:J53,"80")</f>
        <v>18</v>
      </c>
      <c r="K12" s="693">
        <f>COUNTIF(BLT!K4:K53,"80")</f>
        <v>0</v>
      </c>
      <c r="L12" s="693">
        <f>COUNTIF(BLT!L4:L53,"80")</f>
        <v>0</v>
      </c>
      <c r="M12" s="693">
        <f>COUNTIF(BLT!M4:M53,"80")</f>
        <v>0</v>
      </c>
      <c r="N12" s="693">
        <f>COUNTIF(BLT!N4:N53,"80")</f>
        <v>0</v>
      </c>
      <c r="O12" s="693">
        <f>COUNTIF(BLT!O4:O53,"80")</f>
        <v>0</v>
      </c>
      <c r="P12" s="693">
        <f>COUNTIF(BLT!P4:P53,"80")</f>
        <v>0</v>
      </c>
      <c r="Q12" s="693">
        <f>COUNTIF(BLT!Q4:Q53,"80")</f>
        <v>18</v>
      </c>
      <c r="R12" s="693">
        <f>COUNTIF(BLT!R4:R53,"80")</f>
        <v>18</v>
      </c>
      <c r="S12" s="693">
        <f>COUNTIF(BLT!S4:S53,"80")</f>
        <v>0</v>
      </c>
      <c r="T12" s="693">
        <f>COUNTIF(BLT!T4:T53,"80")</f>
        <v>0</v>
      </c>
      <c r="U12" s="693">
        <f>COUNTIF(BLT!U4:U53,"80")</f>
        <v>0</v>
      </c>
      <c r="V12" s="693">
        <f>COUNTIF(BLT!V4:V53,"80")</f>
        <v>0</v>
      </c>
      <c r="W12" s="693">
        <f>COUNTIF(BLT!W4:W53,"80")</f>
        <v>0</v>
      </c>
      <c r="X12" s="693">
        <f>COUNTIF(BLT!X4:X53,"80")</f>
        <v>0</v>
      </c>
      <c r="Y12" s="693">
        <f>COUNTIF(BLT!Y4:Y53,"80")</f>
        <v>0</v>
      </c>
      <c r="Z12" s="693">
        <f>COUNTIF(BLT!Z4:Z53,"80")</f>
        <v>0</v>
      </c>
      <c r="AA12" s="693">
        <f>COUNTIF(BLT!AA4:AA53,"80")</f>
        <v>0</v>
      </c>
      <c r="AB12" s="693">
        <f>COUNTIF(BLT!AB4:AB53,"80")</f>
        <v>0</v>
      </c>
      <c r="AC12" s="693">
        <f>COUNTIF(BLT!AC4:AC53,"80")</f>
        <v>0</v>
      </c>
      <c r="AD12" s="693">
        <f>COUNTIF(BLT!AD4:AD53,"80")</f>
        <v>0</v>
      </c>
      <c r="AE12" s="693">
        <f>COUNTIF(BLT!AE4:AE53,"80")</f>
        <v>0</v>
      </c>
      <c r="AF12" s="693">
        <f>COUNTIF(BLT!AF4:AF53,"80")</f>
        <v>0</v>
      </c>
      <c r="AG12" s="693">
        <f>COUNTIF(BLT!AG4:AG53,"80")</f>
        <v>0</v>
      </c>
      <c r="AH12" s="693">
        <f>COUNTIF(BLT!AH4:AH53,"80")</f>
        <v>0</v>
      </c>
      <c r="AI12" s="693">
        <f>COUNTIF(BLT!AI4:AI53,"80")</f>
        <v>0</v>
      </c>
      <c r="AJ12" s="693">
        <f>COUNTIF(BLT!AJ4:AJ53,"80")</f>
        <v>0</v>
      </c>
      <c r="AK12" s="693">
        <f>COUNTIF(BLT!AK4:AK53,"80")</f>
        <v>0</v>
      </c>
      <c r="AL12" s="693">
        <f>COUNTIF(BLT!AL4:AL53,"80")</f>
        <v>0</v>
      </c>
      <c r="AM12" s="693">
        <f>COUNTIF(BLT!AM4:AM53,"80")</f>
        <v>0</v>
      </c>
      <c r="AN12" s="693">
        <f>COUNTIF(BLT!AN4:AN53,"80")</f>
        <v>0</v>
      </c>
      <c r="AO12" s="693">
        <f>COUNTIF(BLT!AO4:AO53,"80")</f>
        <v>0</v>
      </c>
      <c r="AP12" s="693">
        <f>COUNTIF(BLT!AP4:AP53,"80")</f>
        <v>0</v>
      </c>
    </row>
    <row r="13" spans="1:76">
      <c r="A13" s="7" t="s">
        <v>870</v>
      </c>
      <c r="B13" s="676">
        <v>75</v>
      </c>
      <c r="C13" s="693">
        <f>COUNTIF(BLT!C4:C53,"75")</f>
        <v>0</v>
      </c>
      <c r="D13" s="693">
        <f>COUNTIF(BLT!D4:D53,"75")</f>
        <v>0</v>
      </c>
      <c r="E13" s="693">
        <f>COUNTIF(BLT!E4:E53,"75")</f>
        <v>0</v>
      </c>
      <c r="F13" s="693">
        <f>COUNTIF(BLT!F4:F53,"75")</f>
        <v>0</v>
      </c>
      <c r="G13" s="693">
        <f>COUNTIF(BLT!G4:G53,"75")</f>
        <v>0</v>
      </c>
      <c r="H13" s="693">
        <f>COUNTIF(BLT!H4:H53,"75")</f>
        <v>0</v>
      </c>
      <c r="I13" s="693">
        <f>COUNTIF(BLT!I4:I53,"75")</f>
        <v>8</v>
      </c>
      <c r="J13" s="693">
        <f>COUNTIF(BLT!J4:J53,"75")</f>
        <v>7</v>
      </c>
      <c r="K13" s="693">
        <f>COUNTIF(BLT!K4:K53,"75")</f>
        <v>0</v>
      </c>
      <c r="L13" s="693">
        <f>COUNTIF(BLT!L4:L53,"75")</f>
        <v>0</v>
      </c>
      <c r="M13" s="693">
        <f>COUNTIF(BLT!M4:M53,"75")</f>
        <v>0</v>
      </c>
      <c r="N13" s="693">
        <f>COUNTIF(BLT!N4:N53,"75")</f>
        <v>0</v>
      </c>
      <c r="O13" s="693">
        <f>COUNTIF(BLT!O4:O53,"75")</f>
        <v>0</v>
      </c>
      <c r="P13" s="693">
        <f>COUNTIF(BLT!P4:P53,"75")</f>
        <v>0</v>
      </c>
      <c r="Q13" s="693">
        <f>COUNTIF(BLT!Q4:Q53,"75")</f>
        <v>8</v>
      </c>
      <c r="R13" s="693">
        <f>COUNTIF(BLT!R4:R53,"75")</f>
        <v>8</v>
      </c>
      <c r="S13" s="693">
        <f>COUNTIF(BLT!S4:S53,"75")</f>
        <v>0</v>
      </c>
      <c r="T13" s="693">
        <f>COUNTIF(BLT!T4:T53,"75")</f>
        <v>0</v>
      </c>
      <c r="U13" s="693">
        <f>COUNTIF(BLT!U4:U53,"75")</f>
        <v>0</v>
      </c>
      <c r="V13" s="693">
        <f>COUNTIF(BLT!V4:V53,"75")</f>
        <v>0</v>
      </c>
      <c r="W13" s="693">
        <f>COUNTIF(BLT!W4:W53,"75")</f>
        <v>0</v>
      </c>
      <c r="X13" s="693">
        <f>COUNTIF(BLT!X4:X53,"75")</f>
        <v>0</v>
      </c>
      <c r="Y13" s="693">
        <f>COUNTIF(BLT!Y4:Y53,"75")</f>
        <v>0</v>
      </c>
      <c r="Z13" s="693">
        <f>COUNTIF(BLT!Z4:Z53,"75")</f>
        <v>0</v>
      </c>
      <c r="AA13" s="693">
        <f>COUNTIF(BLT!AA4:AA53,"75")</f>
        <v>0</v>
      </c>
      <c r="AB13" s="693">
        <f>COUNTIF(BLT!AB4:AB53,"75")</f>
        <v>0</v>
      </c>
      <c r="AC13" s="693">
        <f>COUNTIF(BLT!AC4:AC53,"75")</f>
        <v>0</v>
      </c>
      <c r="AD13" s="693">
        <f>COUNTIF(BLT!AD4:AD53,"75")</f>
        <v>0</v>
      </c>
      <c r="AE13" s="693">
        <f>COUNTIF(BLT!AE4:AE53,"75")</f>
        <v>0</v>
      </c>
      <c r="AF13" s="693">
        <f>COUNTIF(BLT!AF4:AF53,"75")</f>
        <v>0</v>
      </c>
      <c r="AG13" s="693">
        <f>COUNTIF(BLT!AG4:AG53,"75")</f>
        <v>0</v>
      </c>
      <c r="AH13" s="693">
        <f>COUNTIF(BLT!AH4:AH53,"75")</f>
        <v>0</v>
      </c>
      <c r="AI13" s="693">
        <f>COUNTIF(BLT!AI4:AI53,"75")</f>
        <v>0</v>
      </c>
      <c r="AJ13" s="693">
        <f>COUNTIF(BLT!AJ4:AJ53,"75")</f>
        <v>0</v>
      </c>
      <c r="AK13" s="693">
        <f>COUNTIF(BLT!AK4:AK53,"75")</f>
        <v>0</v>
      </c>
      <c r="AL13" s="693">
        <f>COUNTIF(BLT!AL4:AL53,"75")</f>
        <v>0</v>
      </c>
      <c r="AM13" s="693">
        <f>COUNTIF(BLT!AM4:AM53,"75")</f>
        <v>0</v>
      </c>
      <c r="AN13" s="693">
        <f>COUNTIF(BLT!AN4:AN53,"75")</f>
        <v>0</v>
      </c>
      <c r="AO13" s="693">
        <f>COUNTIF(BLT!AO4:AO53,"75")</f>
        <v>0</v>
      </c>
      <c r="AP13" s="693">
        <f>COUNTIF(BLT!AP4:AP53,"75")</f>
        <v>0</v>
      </c>
    </row>
    <row r="14" spans="1:76">
      <c r="A14" s="7" t="s">
        <v>871</v>
      </c>
      <c r="B14" s="675">
        <v>70</v>
      </c>
      <c r="C14" s="693">
        <f>COUNTIF(BLT!C4:C53,"70")</f>
        <v>0</v>
      </c>
      <c r="D14" s="693">
        <f>COUNTIF(BLT!D4:D53,"70")</f>
        <v>0</v>
      </c>
      <c r="E14" s="693">
        <f>COUNTIF(BLT!E4:E53,"70")</f>
        <v>0</v>
      </c>
      <c r="F14" s="693">
        <f>COUNTIF(BLT!F4:F53,"70")</f>
        <v>0</v>
      </c>
      <c r="G14" s="693">
        <f>COUNTIF(BLT!G4:G53,"70")</f>
        <v>0</v>
      </c>
      <c r="H14" s="693">
        <f>COUNTIF(BLT!H4:H53,"70")</f>
        <v>0</v>
      </c>
      <c r="I14" s="693">
        <f>COUNTIF(BLT!I4:I53,"70")</f>
        <v>7</v>
      </c>
      <c r="J14" s="693">
        <f>COUNTIF(BLT!J4:J53,"70")</f>
        <v>12</v>
      </c>
      <c r="K14" s="693">
        <f>COUNTIF(BLT!K4:K53,"70")</f>
        <v>0</v>
      </c>
      <c r="L14" s="693">
        <f>COUNTIF(BLT!L4:L53,"70")</f>
        <v>0</v>
      </c>
      <c r="M14" s="693">
        <f>COUNTIF(BLT!M4:M53,"70")</f>
        <v>0</v>
      </c>
      <c r="N14" s="693">
        <f>COUNTIF(BLT!N4:N53,"70")</f>
        <v>0</v>
      </c>
      <c r="O14" s="693">
        <f>COUNTIF(BLT!O4:O53,"70")</f>
        <v>0</v>
      </c>
      <c r="P14" s="693">
        <f>COUNTIF(BLT!P4:P53,"70")</f>
        <v>0</v>
      </c>
      <c r="Q14" s="693">
        <f>COUNTIF(BLT!Q4:Q53,"70")</f>
        <v>7</v>
      </c>
      <c r="R14" s="693">
        <f>COUNTIF(BLT!R4:R53,"70")</f>
        <v>12</v>
      </c>
      <c r="S14" s="693">
        <f>COUNTIF(BLT!S4:S53,"70")</f>
        <v>0</v>
      </c>
      <c r="T14" s="693">
        <f>COUNTIF(BLT!T4:T53,"70")</f>
        <v>0</v>
      </c>
      <c r="U14" s="693">
        <f>COUNTIF(BLT!U4:U53,"70")</f>
        <v>0</v>
      </c>
      <c r="V14" s="693">
        <f>COUNTIF(BLT!V4:V53,"70")</f>
        <v>0</v>
      </c>
      <c r="W14" s="693">
        <f>COUNTIF(BLT!W4:W53,"70")</f>
        <v>0</v>
      </c>
      <c r="X14" s="693">
        <f>COUNTIF(BLT!X4:X53,"70")</f>
        <v>0</v>
      </c>
      <c r="Y14" s="693">
        <f>COUNTIF(BLT!Y4:Y53,"70")</f>
        <v>0</v>
      </c>
      <c r="Z14" s="693">
        <f>COUNTIF(BLT!Z4:Z53,"70")</f>
        <v>0</v>
      </c>
      <c r="AA14" s="693">
        <f>COUNTIF(BLT!AA4:AA53,"70")</f>
        <v>0</v>
      </c>
      <c r="AB14" s="693">
        <f>COUNTIF(BLT!AB4:AB53,"70")</f>
        <v>0</v>
      </c>
      <c r="AC14" s="693">
        <f>COUNTIF(BLT!AC4:AC53,"70")</f>
        <v>0</v>
      </c>
      <c r="AD14" s="693">
        <f>COUNTIF(BLT!AD4:AD53,"70")</f>
        <v>0</v>
      </c>
      <c r="AE14" s="693">
        <f>COUNTIF(BLT!AE4:AE53,"70")</f>
        <v>0</v>
      </c>
      <c r="AF14" s="693">
        <f>COUNTIF(BLT!AF4:AF53,"70")</f>
        <v>0</v>
      </c>
      <c r="AG14" s="693">
        <f>COUNTIF(BLT!AG4:AG53,"70")</f>
        <v>0</v>
      </c>
      <c r="AH14" s="693">
        <f>COUNTIF(BLT!AH4:AH53,"70")</f>
        <v>0</v>
      </c>
      <c r="AI14" s="693">
        <f>COUNTIF(BLT!AI4:AI53,"70")</f>
        <v>0</v>
      </c>
      <c r="AJ14" s="693">
        <f>COUNTIF(BLT!AJ4:AJ53,"70")</f>
        <v>0</v>
      </c>
      <c r="AK14" s="693">
        <f>COUNTIF(BLT!AK4:AK53,"70")</f>
        <v>0</v>
      </c>
      <c r="AL14" s="693">
        <f>COUNTIF(BLT!AL4:AL53,"70")</f>
        <v>0</v>
      </c>
      <c r="AM14" s="693">
        <f>COUNTIF(BLT!AM4:AM53,"70")</f>
        <v>0</v>
      </c>
      <c r="AN14" s="693">
        <f>COUNTIF(BLT!AN4:AN53,"70")</f>
        <v>0</v>
      </c>
      <c r="AO14" s="693">
        <f>COUNTIF(BLT!AO4:AO53,"70")</f>
        <v>0</v>
      </c>
      <c r="AP14" s="693">
        <f>COUNTIF(BLT!AP4:AP53,"70")</f>
        <v>0</v>
      </c>
    </row>
    <row r="15" spans="1:76">
      <c r="A15" s="7" t="s">
        <v>872</v>
      </c>
      <c r="B15" s="676">
        <v>65</v>
      </c>
      <c r="C15" s="693">
        <f>COUNTIF(BLT!C4:C53,"65")</f>
        <v>0</v>
      </c>
      <c r="D15" s="693">
        <f>COUNTIF(BLT!D4:D53,"65")</f>
        <v>0</v>
      </c>
      <c r="E15" s="693">
        <f>COUNTIF(BLT!E4:E53,"65")</f>
        <v>0</v>
      </c>
      <c r="F15" s="693">
        <f>COUNTIF(BLT!F4:F53,"65")</f>
        <v>0</v>
      </c>
      <c r="G15" s="693">
        <f>COUNTIF(BLT!G4:G53,"65")</f>
        <v>0</v>
      </c>
      <c r="H15" s="693">
        <f>COUNTIF(BLT!H4:H53,"65")</f>
        <v>0</v>
      </c>
      <c r="I15" s="693">
        <f>COUNTIF(BLT!I4:I53,"65")</f>
        <v>0</v>
      </c>
      <c r="J15" s="693">
        <f>COUNTIF(BLT!J4:J53,"65")</f>
        <v>0</v>
      </c>
      <c r="K15" s="693">
        <f>COUNTIF(BLT!K4:K53,"65")</f>
        <v>0</v>
      </c>
      <c r="L15" s="693">
        <f>COUNTIF(BLT!L4:L53,"65")</f>
        <v>0</v>
      </c>
      <c r="M15" s="693">
        <f>COUNTIF(BLT!M4:M53,"65")</f>
        <v>0</v>
      </c>
      <c r="N15" s="693">
        <f>COUNTIF(BLT!N4:N53,"65")</f>
        <v>0</v>
      </c>
      <c r="O15" s="693">
        <f>COUNTIF(BLT!O4:O53,"65")</f>
        <v>0</v>
      </c>
      <c r="P15" s="693">
        <f>COUNTIF(BLT!P4:P53,"65")</f>
        <v>0</v>
      </c>
      <c r="Q15" s="693">
        <f>COUNTIF(BLT!Q4:Q53,"65")</f>
        <v>1</v>
      </c>
      <c r="R15" s="693">
        <f>COUNTIF(BLT!R4:R53,"65")</f>
        <v>0</v>
      </c>
      <c r="S15" s="693">
        <f>COUNTIF(BLT!S4:S53,"65")</f>
        <v>0</v>
      </c>
      <c r="T15" s="693">
        <f>COUNTIF(BLT!T4:T53,"65")</f>
        <v>0</v>
      </c>
      <c r="U15" s="693">
        <f>COUNTIF(BLT!U4:U53,"65")</f>
        <v>0</v>
      </c>
      <c r="V15" s="693">
        <f>COUNTIF(BLT!V4:V53,"65")</f>
        <v>0</v>
      </c>
      <c r="W15" s="693">
        <f>COUNTIF(BLT!W4:W53,"65")</f>
        <v>0</v>
      </c>
      <c r="X15" s="693">
        <f>COUNTIF(BLT!X4:X53,"65")</f>
        <v>0</v>
      </c>
      <c r="Y15" s="693">
        <f>COUNTIF(BLT!Y4:Y53,"65")</f>
        <v>0</v>
      </c>
      <c r="Z15" s="693">
        <f>COUNTIF(BLT!Z4:Z53,"65")</f>
        <v>0</v>
      </c>
      <c r="AA15" s="693">
        <f>COUNTIF(BLT!AA4:AA53,"65")</f>
        <v>0</v>
      </c>
      <c r="AB15" s="693">
        <f>COUNTIF(BLT!AB4:AB53,"65")</f>
        <v>0</v>
      </c>
      <c r="AC15" s="693">
        <f>COUNTIF(BLT!AC4:AC53,"65")</f>
        <v>0</v>
      </c>
      <c r="AD15" s="693">
        <f>COUNTIF(BLT!AD4:AD53,"65")</f>
        <v>0</v>
      </c>
      <c r="AE15" s="693">
        <f>COUNTIF(BLT!AE4:AE53,"65")</f>
        <v>0</v>
      </c>
      <c r="AF15" s="693">
        <f>COUNTIF(BLT!AF4:AF53,"65")</f>
        <v>0</v>
      </c>
      <c r="AG15" s="693">
        <f>COUNTIF(BLT!AG4:AG53,"65")</f>
        <v>0</v>
      </c>
      <c r="AH15" s="693">
        <f>COUNTIF(BLT!AH4:AH53,"65")</f>
        <v>0</v>
      </c>
      <c r="AI15" s="693">
        <f>COUNTIF(BLT!AI4:AI53,"65")</f>
        <v>0</v>
      </c>
      <c r="AJ15" s="693">
        <f>COUNTIF(BLT!AJ4:AJ53,"65")</f>
        <v>0</v>
      </c>
      <c r="AK15" s="693">
        <f>COUNTIF(BLT!AK4:AK53,"65")</f>
        <v>0</v>
      </c>
      <c r="AL15" s="693">
        <f>COUNTIF(BLT!AL4:AL53,"65")</f>
        <v>0</v>
      </c>
      <c r="AM15" s="693">
        <f>COUNTIF(BLT!AM4:AM53,"65")</f>
        <v>0</v>
      </c>
      <c r="AN15" s="693">
        <f>COUNTIF(BLT!AN4:AN53,"65")</f>
        <v>0</v>
      </c>
      <c r="AO15" s="693">
        <f>COUNTIF(BLT!AO4:AO53,"65")</f>
        <v>0</v>
      </c>
      <c r="AP15" s="693">
        <f>COUNTIF(BLT!AP4:AP53,"65")</f>
        <v>0</v>
      </c>
    </row>
    <row r="16" spans="1:76">
      <c r="A16" s="7" t="s">
        <v>873</v>
      </c>
      <c r="B16" s="675">
        <v>60</v>
      </c>
      <c r="C16" s="693">
        <f>COUNTIF(BLT!C4:C53,"60")</f>
        <v>0</v>
      </c>
      <c r="D16" s="693">
        <f>COUNTIF(BLT!D4:D53,"60")</f>
        <v>0</v>
      </c>
      <c r="E16" s="693">
        <f>COUNTIF(BLT!E4:E53,"60")</f>
        <v>0</v>
      </c>
      <c r="F16" s="693">
        <f>COUNTIF(BLT!F4:F53,"60")</f>
        <v>0</v>
      </c>
      <c r="G16" s="693">
        <f>COUNTIF(BLT!G4:G53,"60")</f>
        <v>0</v>
      </c>
      <c r="H16" s="693">
        <f>COUNTIF(BLT!H4:H53,"60")</f>
        <v>0</v>
      </c>
      <c r="I16" s="693">
        <f>COUNTIF(BLT!I4:I53,"60")</f>
        <v>0</v>
      </c>
      <c r="J16" s="693">
        <f>COUNTIF(BLT!J4:J53,"60")</f>
        <v>0</v>
      </c>
      <c r="K16" s="693">
        <f>COUNTIF(BLT!K4:K53,"60")</f>
        <v>0</v>
      </c>
      <c r="L16" s="693">
        <f>COUNTIF(BLT!L4:L53,"60")</f>
        <v>0</v>
      </c>
      <c r="M16" s="693">
        <f>COUNTIF(BLT!M4:M53,"60")</f>
        <v>0</v>
      </c>
      <c r="N16" s="693">
        <f>COUNTIF(BLT!N4:N53,"60")</f>
        <v>0</v>
      </c>
      <c r="O16" s="693">
        <f>COUNTIF(BLT!O4:O53,"60")</f>
        <v>0</v>
      </c>
      <c r="P16" s="693">
        <f>COUNTIF(BLT!P4:P53,"60")</f>
        <v>0</v>
      </c>
      <c r="Q16" s="693">
        <f>COUNTIF(BLT!Q4:Q53,"60")</f>
        <v>0</v>
      </c>
      <c r="R16" s="693">
        <f>COUNTIF(BLT!R4:R53,"60")</f>
        <v>0</v>
      </c>
      <c r="S16" s="693">
        <f>COUNTIF(BLT!S4:S53,"60")</f>
        <v>0</v>
      </c>
      <c r="T16" s="693">
        <f>COUNTIF(BLT!T4:T53,"60")</f>
        <v>0</v>
      </c>
      <c r="U16" s="693">
        <f>COUNTIF(BLT!U4:U53,"60")</f>
        <v>0</v>
      </c>
      <c r="V16" s="693">
        <f>COUNTIF(BLT!V4:V53,"60")</f>
        <v>0</v>
      </c>
      <c r="W16" s="693">
        <f>COUNTIF(BLT!W4:W53,"60")</f>
        <v>0</v>
      </c>
      <c r="X16" s="693">
        <f>COUNTIF(BLT!X4:X53,"60")</f>
        <v>0</v>
      </c>
      <c r="Y16" s="693">
        <f>COUNTIF(BLT!Y4:Y53,"60")</f>
        <v>0</v>
      </c>
      <c r="Z16" s="693">
        <f>COUNTIF(BLT!Z4:Z53,"60")</f>
        <v>0</v>
      </c>
      <c r="AA16" s="693">
        <f>COUNTIF(BLT!AA4:AA53,"60")</f>
        <v>0</v>
      </c>
      <c r="AB16" s="693">
        <f>COUNTIF(BLT!AB4:AB53,"60")</f>
        <v>0</v>
      </c>
      <c r="AC16" s="693">
        <f>COUNTIF(BLT!AC4:AC53,"60")</f>
        <v>0</v>
      </c>
      <c r="AD16" s="693">
        <f>COUNTIF(BLT!AD4:AD53,"60")</f>
        <v>0</v>
      </c>
      <c r="AE16" s="693">
        <f>COUNTIF(BLT!AE4:AE53,"60")</f>
        <v>0</v>
      </c>
      <c r="AF16" s="693">
        <f>COUNTIF(BLT!AF4:AF53,"60")</f>
        <v>0</v>
      </c>
      <c r="AG16" s="693">
        <f>COUNTIF(BLT!AG4:AG53,"60")</f>
        <v>0</v>
      </c>
      <c r="AH16" s="693">
        <f>COUNTIF(BLT!AH4:AH53,"60")</f>
        <v>0</v>
      </c>
      <c r="AI16" s="693">
        <f>COUNTIF(BLT!AI4:AI53,"60")</f>
        <v>0</v>
      </c>
      <c r="AJ16" s="693">
        <f>COUNTIF(BLT!AJ4:AJ53,"60")</f>
        <v>0</v>
      </c>
      <c r="AK16" s="693">
        <f>COUNTIF(BLT!AK4:AK53,"60")</f>
        <v>0</v>
      </c>
      <c r="AL16" s="693">
        <f>COUNTIF(BLT!AL4:AL53,"60")</f>
        <v>0</v>
      </c>
      <c r="AM16" s="693">
        <f>COUNTIF(BLT!AM4:AM53,"60")</f>
        <v>0</v>
      </c>
      <c r="AN16" s="693">
        <f>COUNTIF(BLT!AN4:AN53,"60")</f>
        <v>0</v>
      </c>
      <c r="AO16" s="693">
        <f>COUNTIF(BLT!AO4:AO53,"60")</f>
        <v>0</v>
      </c>
      <c r="AP16" s="693">
        <f>COUNTIF(BLT!AP4:AP53,"60")</f>
        <v>0</v>
      </c>
    </row>
    <row r="17" spans="1:42">
      <c r="A17" s="7" t="s">
        <v>874</v>
      </c>
      <c r="B17" s="676">
        <v>55</v>
      </c>
      <c r="C17" s="693">
        <f>COUNTIF(BLT!C4:C53,"55")</f>
        <v>0</v>
      </c>
      <c r="D17" s="693">
        <f>COUNTIF(BLT!D4:D53,"55")</f>
        <v>0</v>
      </c>
      <c r="E17" s="693">
        <f>COUNTIF(BLT!E4:E53,"55")</f>
        <v>0</v>
      </c>
      <c r="F17" s="693">
        <f>COUNTIF(BLT!F4:F53,"55")</f>
        <v>0</v>
      </c>
      <c r="G17" s="693">
        <f>COUNTIF(BLT!G4:G53,"55")</f>
        <v>0</v>
      </c>
      <c r="H17" s="693">
        <f>COUNTIF(BLT!H4:H53,"55")</f>
        <v>0</v>
      </c>
      <c r="I17" s="693">
        <f>COUNTIF(BLT!I4:I53,"55")</f>
        <v>0</v>
      </c>
      <c r="J17" s="693">
        <f>COUNTIF(BLT!J4:J53,"55")</f>
        <v>0</v>
      </c>
      <c r="K17" s="693">
        <f>COUNTIF(BLT!K4:K53,"55")</f>
        <v>0</v>
      </c>
      <c r="L17" s="693">
        <f>COUNTIF(BLT!L4:L53,"55")</f>
        <v>0</v>
      </c>
      <c r="M17" s="693">
        <f>COUNTIF(BLT!M4:M53,"55")</f>
        <v>0</v>
      </c>
      <c r="N17" s="693">
        <f>COUNTIF(BLT!N4:N53,"55")</f>
        <v>0</v>
      </c>
      <c r="O17" s="693">
        <f>COUNTIF(BLT!O4:O53,"55")</f>
        <v>0</v>
      </c>
      <c r="P17" s="693">
        <f>COUNTIF(BLT!P4:P53,"55")</f>
        <v>0</v>
      </c>
      <c r="Q17" s="693">
        <f>COUNTIF(BLT!Q4:Q53,"55")</f>
        <v>0</v>
      </c>
      <c r="R17" s="693">
        <f>COUNTIF(BLT!R4:R53,"55")</f>
        <v>0</v>
      </c>
      <c r="S17" s="693">
        <f>COUNTIF(BLT!S4:S53,"55")</f>
        <v>0</v>
      </c>
      <c r="T17" s="693">
        <f>COUNTIF(BLT!T4:T53,"55")</f>
        <v>0</v>
      </c>
      <c r="U17" s="693">
        <f>COUNTIF(BLT!U4:U53,"55")</f>
        <v>0</v>
      </c>
      <c r="V17" s="693">
        <f>COUNTIF(BLT!V4:V53,"55")</f>
        <v>0</v>
      </c>
      <c r="W17" s="693">
        <f>COUNTIF(BLT!W4:W53,"55")</f>
        <v>0</v>
      </c>
      <c r="X17" s="693">
        <f>COUNTIF(BLT!X4:X53,"55")</f>
        <v>0</v>
      </c>
      <c r="Y17" s="693">
        <f>COUNTIF(BLT!Y4:Y53,"55")</f>
        <v>0</v>
      </c>
      <c r="Z17" s="693">
        <f>COUNTIF(BLT!Z4:Z53,"55")</f>
        <v>0</v>
      </c>
      <c r="AA17" s="693">
        <f>COUNTIF(BLT!AA4:AA53,"55")</f>
        <v>0</v>
      </c>
      <c r="AB17" s="693">
        <f>COUNTIF(BLT!AB4:AB53,"55")</f>
        <v>0</v>
      </c>
      <c r="AC17" s="693">
        <f>COUNTIF(BLT!AC4:AC53,"55")</f>
        <v>0</v>
      </c>
      <c r="AD17" s="693">
        <f>COUNTIF(BLT!AD4:AD53,"55")</f>
        <v>0</v>
      </c>
      <c r="AE17" s="693">
        <f>COUNTIF(BLT!AE4:AE53,"55")</f>
        <v>0</v>
      </c>
      <c r="AF17" s="693">
        <f>COUNTIF(BLT!AF4:AF53,"55")</f>
        <v>0</v>
      </c>
      <c r="AG17" s="693">
        <f>COUNTIF(BLT!AG4:AG53,"55")</f>
        <v>0</v>
      </c>
      <c r="AH17" s="693">
        <f>COUNTIF(BLT!AH4:AH53,"55")</f>
        <v>0</v>
      </c>
      <c r="AI17" s="693">
        <f>COUNTIF(BLT!AI4:AI53,"55")</f>
        <v>0</v>
      </c>
      <c r="AJ17" s="693">
        <f>COUNTIF(BLT!AJ4:AJ53,"55")</f>
        <v>0</v>
      </c>
      <c r="AK17" s="693">
        <f>COUNTIF(BLT!AK4:AK53,"55")</f>
        <v>0</v>
      </c>
      <c r="AL17" s="693">
        <f>COUNTIF(BLT!AL4:AL53,"55")</f>
        <v>0</v>
      </c>
      <c r="AM17" s="693">
        <f>COUNTIF(BLT!AM4:AM53,"55")</f>
        <v>0</v>
      </c>
      <c r="AN17" s="693">
        <f>COUNTIF(BLT!AN4:AN53,"55")</f>
        <v>0</v>
      </c>
      <c r="AO17" s="693">
        <f>COUNTIF(BLT!AO4:AO53,"55")</f>
        <v>0</v>
      </c>
      <c r="AP17" s="693">
        <f>COUNTIF(BLT!AP4:AP53,"55")</f>
        <v>0</v>
      </c>
    </row>
    <row r="18" spans="1:42">
      <c r="A18" s="7" t="s">
        <v>875</v>
      </c>
      <c r="B18" s="675">
        <v>50</v>
      </c>
      <c r="C18" s="693">
        <f>COUNTIF(BLT!C4:C53,"50")</f>
        <v>0</v>
      </c>
      <c r="D18" s="693">
        <f>COUNTIF(BLT!D4:D53,"50")</f>
        <v>0</v>
      </c>
      <c r="E18" s="693">
        <f>COUNTIF(BLT!E4:E53,"50")</f>
        <v>0</v>
      </c>
      <c r="F18" s="693">
        <f>COUNTIF(BLT!F4:F53,"50")</f>
        <v>0</v>
      </c>
      <c r="G18" s="693">
        <f>COUNTIF(BLT!G4:G53,"50")</f>
        <v>0</v>
      </c>
      <c r="H18" s="693">
        <f>COUNTIF(BLT!H4:H53,"50")</f>
        <v>0</v>
      </c>
      <c r="I18" s="693">
        <f>COUNTIF(BLT!I4:I53,"50")</f>
        <v>0</v>
      </c>
      <c r="J18" s="693">
        <f>COUNTIF(BLT!J4:J53,"50")</f>
        <v>1</v>
      </c>
      <c r="K18" s="693">
        <f>COUNTIF(BLT!K4:K53,"50")</f>
        <v>0</v>
      </c>
      <c r="L18" s="693">
        <f>COUNTIF(BLT!L4:L53,"50")</f>
        <v>0</v>
      </c>
      <c r="M18" s="693">
        <f>COUNTIF(BLT!M4:M53,"50")</f>
        <v>0</v>
      </c>
      <c r="N18" s="693">
        <f>COUNTIF(BLT!N4:N53,"50")</f>
        <v>0</v>
      </c>
      <c r="O18" s="693">
        <f>COUNTIF(BLT!O4:O53,"50")</f>
        <v>0</v>
      </c>
      <c r="P18" s="693">
        <f>COUNTIF(BLT!P4:P53,"50")</f>
        <v>0</v>
      </c>
      <c r="Q18" s="693">
        <f>COUNTIF(BLT!Q4:Q53,"50")</f>
        <v>0</v>
      </c>
      <c r="R18" s="693">
        <f>COUNTIF(BLT!R4:R53,"50")</f>
        <v>0</v>
      </c>
      <c r="S18" s="693">
        <f>COUNTIF(BLT!S4:S53,"50")</f>
        <v>0</v>
      </c>
      <c r="T18" s="693">
        <f>COUNTIF(BLT!T4:T53,"50")</f>
        <v>0</v>
      </c>
      <c r="U18" s="693">
        <f>COUNTIF(BLT!U4:U53,"50")</f>
        <v>0</v>
      </c>
      <c r="V18" s="693">
        <f>COUNTIF(BLT!V4:V53,"50")</f>
        <v>0</v>
      </c>
      <c r="W18" s="693">
        <f>COUNTIF(BLT!W4:W53,"50")</f>
        <v>0</v>
      </c>
      <c r="X18" s="693">
        <f>COUNTIF(BLT!X4:X53,"50")</f>
        <v>0</v>
      </c>
      <c r="Y18" s="693">
        <f>COUNTIF(BLT!Y4:Y53,"50")</f>
        <v>0</v>
      </c>
      <c r="Z18" s="693">
        <f>COUNTIF(BLT!Z4:Z53,"50")</f>
        <v>0</v>
      </c>
      <c r="AA18" s="693">
        <f>COUNTIF(BLT!AA4:AA53,"50")</f>
        <v>0</v>
      </c>
      <c r="AB18" s="693">
        <f>COUNTIF(BLT!AB4:AB53,"50")</f>
        <v>0</v>
      </c>
      <c r="AC18" s="693">
        <f>COUNTIF(BLT!AC4:AC53,"50")</f>
        <v>0</v>
      </c>
      <c r="AD18" s="693">
        <f>COUNTIF(BLT!AD4:AD53,"50")</f>
        <v>0</v>
      </c>
      <c r="AE18" s="693">
        <f>COUNTIF(BLT!AE4:AE53,"50")</f>
        <v>0</v>
      </c>
      <c r="AF18" s="693">
        <f>COUNTIF(BLT!AF4:AF53,"50")</f>
        <v>0</v>
      </c>
      <c r="AG18" s="693">
        <f>COUNTIF(BLT!AG4:AG53,"50")</f>
        <v>0</v>
      </c>
      <c r="AH18" s="693">
        <f>COUNTIF(BLT!AH4:AH53,"50")</f>
        <v>0</v>
      </c>
      <c r="AI18" s="693">
        <f>COUNTIF(BLT!AI4:AI53,"50")</f>
        <v>0</v>
      </c>
      <c r="AJ18" s="693">
        <f>COUNTIF(BLT!AJ4:AJ53,"50")</f>
        <v>0</v>
      </c>
      <c r="AK18" s="693">
        <f>COUNTIF(BLT!AK4:AK53,"50")</f>
        <v>0</v>
      </c>
      <c r="AL18" s="693">
        <f>COUNTIF(BLT!AL4:AL53,"50")</f>
        <v>0</v>
      </c>
      <c r="AM18" s="693">
        <f>COUNTIF(BLT!AM4:AM53,"50")</f>
        <v>0</v>
      </c>
      <c r="AN18" s="693">
        <f>COUNTIF(BLT!AN4:AN53,"50")</f>
        <v>0</v>
      </c>
      <c r="AO18" s="693">
        <f>COUNTIF(BLT!AO4:AO53,"50")</f>
        <v>0</v>
      </c>
      <c r="AP18" s="693">
        <f>COUNTIF(BLT!AP4:AP53,"50")</f>
        <v>0</v>
      </c>
    </row>
    <row r="19" spans="1:42">
      <c r="A19" s="7" t="s">
        <v>876</v>
      </c>
      <c r="B19" s="676">
        <v>45</v>
      </c>
      <c r="C19" s="693">
        <f>COUNTIF(BLT!C4:C53,"45")</f>
        <v>0</v>
      </c>
      <c r="D19" s="693">
        <f>COUNTIF(BLT!D4:D53,"45")</f>
        <v>0</v>
      </c>
      <c r="E19" s="693">
        <f>COUNTIF(BLT!E4:E53,"45")</f>
        <v>0</v>
      </c>
      <c r="F19" s="693">
        <f>COUNTIF(BLT!F4:F53,"45")</f>
        <v>0</v>
      </c>
      <c r="G19" s="693">
        <f>COUNTIF(BLT!G4:G53,"45")</f>
        <v>0</v>
      </c>
      <c r="H19" s="693">
        <f>COUNTIF(BLT!H4:H53,"45")</f>
        <v>0</v>
      </c>
      <c r="I19" s="693">
        <f>COUNTIF(BLT!I4:I53,"45")</f>
        <v>0</v>
      </c>
      <c r="J19" s="693">
        <f>COUNTIF(BLT!J4:J53,"45")</f>
        <v>0</v>
      </c>
      <c r="K19" s="693">
        <f>COUNTIF(BLT!K4:K53,"45")</f>
        <v>0</v>
      </c>
      <c r="L19" s="693">
        <f>COUNTIF(BLT!L4:L53,"45")</f>
        <v>0</v>
      </c>
      <c r="M19" s="693">
        <f>COUNTIF(BLT!M4:M53,"45")</f>
        <v>0</v>
      </c>
      <c r="N19" s="693">
        <f>COUNTIF(BLT!N4:N53,"45")</f>
        <v>0</v>
      </c>
      <c r="O19" s="693">
        <f>COUNTIF(BLT!O4:O53,"45")</f>
        <v>0</v>
      </c>
      <c r="P19" s="693">
        <f>COUNTIF(BLT!P4:P53,"45")</f>
        <v>0</v>
      </c>
      <c r="Q19" s="693">
        <f>COUNTIF(BLT!Q4:Q53,"45")</f>
        <v>0</v>
      </c>
      <c r="R19" s="693">
        <f>COUNTIF(BLT!R4:R53,"45")</f>
        <v>0</v>
      </c>
      <c r="S19" s="693">
        <f>COUNTIF(BLT!S4:S53,"45")</f>
        <v>0</v>
      </c>
      <c r="T19" s="693">
        <f>COUNTIF(BLT!T4:T53,"45")</f>
        <v>0</v>
      </c>
      <c r="U19" s="693">
        <f>COUNTIF(BLT!U4:U53,"45")</f>
        <v>0</v>
      </c>
      <c r="V19" s="693">
        <f>COUNTIF(BLT!V4:V53,"45")</f>
        <v>0</v>
      </c>
      <c r="W19" s="693">
        <f>COUNTIF(BLT!W4:W53,"45")</f>
        <v>0</v>
      </c>
      <c r="X19" s="693">
        <f>COUNTIF(BLT!X4:X53,"45")</f>
        <v>0</v>
      </c>
      <c r="Y19" s="693">
        <f>COUNTIF(BLT!Y4:Y53,"45")</f>
        <v>0</v>
      </c>
      <c r="Z19" s="693">
        <f>COUNTIF(BLT!Z4:Z53,"45")</f>
        <v>0</v>
      </c>
      <c r="AA19" s="693">
        <f>COUNTIF(BLT!AA4:AA53,"45")</f>
        <v>0</v>
      </c>
      <c r="AB19" s="693">
        <f>COUNTIF(BLT!AB4:AB53,"45")</f>
        <v>0</v>
      </c>
      <c r="AC19" s="693">
        <f>COUNTIF(BLT!AC4:AC53,"45")</f>
        <v>0</v>
      </c>
      <c r="AD19" s="693">
        <f>COUNTIF(BLT!AD4:AD53,"45")</f>
        <v>0</v>
      </c>
      <c r="AE19" s="693">
        <f>COUNTIF(BLT!AE4:AE53,"45")</f>
        <v>0</v>
      </c>
      <c r="AF19" s="693">
        <f>COUNTIF(BLT!AF4:AF53,"45")</f>
        <v>0</v>
      </c>
      <c r="AG19" s="693">
        <f>COUNTIF(BLT!AG4:AG53,"45")</f>
        <v>0</v>
      </c>
      <c r="AH19" s="693">
        <f>COUNTIF(BLT!AH4:AH53,"45")</f>
        <v>0</v>
      </c>
      <c r="AI19" s="693">
        <f>COUNTIF(BLT!AI4:AI53,"45")</f>
        <v>0</v>
      </c>
      <c r="AJ19" s="693">
        <f>COUNTIF(BLT!AJ4:AJ53,"45")</f>
        <v>0</v>
      </c>
      <c r="AK19" s="693">
        <f>COUNTIF(BLT!AK4:AK53,"45")</f>
        <v>0</v>
      </c>
      <c r="AL19" s="693">
        <f>COUNTIF(BLT!AL4:AL53,"45")</f>
        <v>0</v>
      </c>
      <c r="AM19" s="693">
        <f>COUNTIF(BLT!AM4:AM53,"45")</f>
        <v>0</v>
      </c>
      <c r="AN19" s="693">
        <f>COUNTIF(BLT!AN4:AN53,"45")</f>
        <v>0</v>
      </c>
      <c r="AO19" s="693">
        <f>COUNTIF(BLT!AO4:AO53,"45")</f>
        <v>0</v>
      </c>
      <c r="AP19" s="693">
        <f>COUNTIF(BLT!AP4:AP53,"45")</f>
        <v>0</v>
      </c>
    </row>
    <row r="20" spans="1:42">
      <c r="A20" s="7" t="s">
        <v>877</v>
      </c>
      <c r="B20" s="675">
        <v>40</v>
      </c>
      <c r="C20" s="693">
        <f>COUNTIF(BLT!C4:C53,"40")</f>
        <v>0</v>
      </c>
      <c r="D20" s="693">
        <f>COUNTIF(BLT!D4:D53,"40")</f>
        <v>0</v>
      </c>
      <c r="E20" s="693">
        <f>COUNTIF(BLT!E4:E53,"40")</f>
        <v>0</v>
      </c>
      <c r="F20" s="693">
        <f>COUNTIF(BLT!F4:F53,"40")</f>
        <v>0</v>
      </c>
      <c r="G20" s="693">
        <f>COUNTIF(BLT!G4:G53,"40")</f>
        <v>0</v>
      </c>
      <c r="H20" s="693">
        <f>COUNTIF(BLT!H4:H53,"40")</f>
        <v>0</v>
      </c>
      <c r="I20" s="693">
        <f>COUNTIF(BLT!I4:I53,"40")</f>
        <v>0</v>
      </c>
      <c r="J20" s="693">
        <f>COUNTIF(BLT!J4:J53,"40")</f>
        <v>0</v>
      </c>
      <c r="K20" s="693">
        <f>COUNTIF(BLT!K4:K53,"40")</f>
        <v>0</v>
      </c>
      <c r="L20" s="693">
        <f>COUNTIF(BLT!L4:L53,"40")</f>
        <v>0</v>
      </c>
      <c r="M20" s="693">
        <f>COUNTIF(BLT!M4:M53,"40")</f>
        <v>0</v>
      </c>
      <c r="N20" s="693">
        <f>COUNTIF(BLT!N4:N53,"40")</f>
        <v>0</v>
      </c>
      <c r="O20" s="693">
        <f>COUNTIF(BLT!O4:O53,"40")</f>
        <v>0</v>
      </c>
      <c r="P20" s="693">
        <f>COUNTIF(BLT!P4:P53,"40")</f>
        <v>0</v>
      </c>
      <c r="Q20" s="693">
        <f>COUNTIF(BLT!Q4:Q53,"40")</f>
        <v>0</v>
      </c>
      <c r="R20" s="693">
        <f>COUNTIF(BLT!R4:R53,"40")</f>
        <v>0</v>
      </c>
      <c r="S20" s="693">
        <f>COUNTIF(BLT!S4:S53,"40")</f>
        <v>0</v>
      </c>
      <c r="T20" s="693">
        <f>COUNTIF(BLT!T4:T53,"40")</f>
        <v>0</v>
      </c>
      <c r="U20" s="693">
        <f>COUNTIF(BLT!U4:U53,"40")</f>
        <v>0</v>
      </c>
      <c r="V20" s="693">
        <f>COUNTIF(BLT!V4:V53,"40")</f>
        <v>0</v>
      </c>
      <c r="W20" s="693">
        <f>COUNTIF(BLT!W4:W53,"40")</f>
        <v>0</v>
      </c>
      <c r="X20" s="693">
        <f>COUNTIF(BLT!X4:X53,"40")</f>
        <v>0</v>
      </c>
      <c r="Y20" s="693">
        <f>COUNTIF(BLT!Y4:Y53,"40")</f>
        <v>0</v>
      </c>
      <c r="Z20" s="693">
        <f>COUNTIF(BLT!Z4:Z53,"40")</f>
        <v>0</v>
      </c>
      <c r="AA20" s="693">
        <f>COUNTIF(BLT!AA4:AA53,"40")</f>
        <v>0</v>
      </c>
      <c r="AB20" s="693">
        <f>COUNTIF(BLT!AB4:AB53,"40")</f>
        <v>0</v>
      </c>
      <c r="AC20" s="693">
        <f>COUNTIF(BLT!AC4:AC53,"40")</f>
        <v>0</v>
      </c>
      <c r="AD20" s="693">
        <f>COUNTIF(BLT!AD4:AD53,"40")</f>
        <v>0</v>
      </c>
      <c r="AE20" s="693">
        <f>COUNTIF(BLT!AE4:AE53,"40")</f>
        <v>0</v>
      </c>
      <c r="AF20" s="693">
        <f>COUNTIF(BLT!AF4:AF53,"40")</f>
        <v>0</v>
      </c>
      <c r="AG20" s="693">
        <f>COUNTIF(BLT!AG4:AG53,"40")</f>
        <v>0</v>
      </c>
      <c r="AH20" s="693">
        <f>COUNTIF(BLT!AH4:AH53,"40")</f>
        <v>0</v>
      </c>
      <c r="AI20" s="693">
        <f>COUNTIF(BLT!AI4:AI53,"40")</f>
        <v>0</v>
      </c>
      <c r="AJ20" s="693">
        <f>COUNTIF(BLT!AJ4:AJ53,"40")</f>
        <v>0</v>
      </c>
      <c r="AK20" s="693">
        <f>COUNTIF(BLT!AK4:AK53,"40")</f>
        <v>0</v>
      </c>
      <c r="AL20" s="693">
        <f>COUNTIF(BLT!AL4:AL53,"40")</f>
        <v>0</v>
      </c>
      <c r="AM20" s="693">
        <f>COUNTIF(BLT!AM4:AM53,"40")</f>
        <v>0</v>
      </c>
      <c r="AN20" s="693">
        <f>COUNTIF(BLT!AN4:AN53,"40")</f>
        <v>0</v>
      </c>
      <c r="AO20" s="693">
        <f>COUNTIF(BLT!AO4:AO53,"40")</f>
        <v>0</v>
      </c>
      <c r="AP20" s="693">
        <f>COUNTIF(BLT!AP4:AP53,"40")</f>
        <v>0</v>
      </c>
    </row>
    <row r="21" spans="1:42">
      <c r="A21" s="7" t="s">
        <v>878</v>
      </c>
      <c r="B21" s="676">
        <v>35</v>
      </c>
      <c r="C21" s="693">
        <f>COUNTIF(BLT!C4:C53,"35")</f>
        <v>0</v>
      </c>
      <c r="D21" s="693">
        <f>COUNTIF(BLT!D4:D53,"35")</f>
        <v>0</v>
      </c>
      <c r="E21" s="693">
        <f>COUNTIF(BLT!E4:E53,"35")</f>
        <v>0</v>
      </c>
      <c r="F21" s="693">
        <f>COUNTIF(BLT!F4:F53,"35")</f>
        <v>0</v>
      </c>
      <c r="G21" s="693">
        <f>COUNTIF(BLT!G4:G53,"35")</f>
        <v>0</v>
      </c>
      <c r="H21" s="693">
        <f>COUNTIF(BLT!H4:H53,"35")</f>
        <v>0</v>
      </c>
      <c r="I21" s="693">
        <f>COUNTIF(BLT!I4:I53,"35")</f>
        <v>0</v>
      </c>
      <c r="J21" s="693">
        <f>COUNTIF(BLT!J4:J53,"35")</f>
        <v>0</v>
      </c>
      <c r="K21" s="693">
        <f>COUNTIF(BLT!K4:K53,"35")</f>
        <v>0</v>
      </c>
      <c r="L21" s="693">
        <f>COUNTIF(BLT!L4:L53,"35")</f>
        <v>0</v>
      </c>
      <c r="M21" s="693">
        <f>COUNTIF(BLT!M4:M53,"35")</f>
        <v>0</v>
      </c>
      <c r="N21" s="693">
        <f>COUNTIF(BLT!N4:N53,"35")</f>
        <v>0</v>
      </c>
      <c r="O21" s="693">
        <f>COUNTIF(BLT!O4:O53,"35")</f>
        <v>0</v>
      </c>
      <c r="P21" s="693">
        <f>COUNTIF(BLT!P4:P53,"35")</f>
        <v>0</v>
      </c>
      <c r="Q21" s="693">
        <f>COUNTIF(BLT!Q4:Q53,"35")</f>
        <v>0</v>
      </c>
      <c r="R21" s="693">
        <f>COUNTIF(BLT!R4:R53,"35")</f>
        <v>0</v>
      </c>
      <c r="S21" s="693">
        <f>COUNTIF(BLT!S4:S53,"35")</f>
        <v>0</v>
      </c>
      <c r="T21" s="693">
        <f>COUNTIF(BLT!T4:T53,"35")</f>
        <v>0</v>
      </c>
      <c r="U21" s="693">
        <f>COUNTIF(BLT!U4:U53,"35")</f>
        <v>0</v>
      </c>
      <c r="V21" s="693">
        <f>COUNTIF(BLT!V4:V53,"35")</f>
        <v>0</v>
      </c>
      <c r="W21" s="693">
        <f>COUNTIF(BLT!W4:W53,"35")</f>
        <v>0</v>
      </c>
      <c r="X21" s="693">
        <f>COUNTIF(BLT!X4:X53,"35")</f>
        <v>0</v>
      </c>
      <c r="Y21" s="693">
        <f>COUNTIF(BLT!Y4:Y53,"35")</f>
        <v>0</v>
      </c>
      <c r="Z21" s="693">
        <f>COUNTIF(BLT!Z4:Z53,"35")</f>
        <v>0</v>
      </c>
      <c r="AA21" s="693">
        <f>COUNTIF(BLT!AA4:AA53,"35")</f>
        <v>0</v>
      </c>
      <c r="AB21" s="693">
        <f>COUNTIF(BLT!AB4:AB53,"35")</f>
        <v>0</v>
      </c>
      <c r="AC21" s="693">
        <f>COUNTIF(BLT!AC4:AC53,"35")</f>
        <v>0</v>
      </c>
      <c r="AD21" s="693">
        <f>COUNTIF(BLT!AD4:AD53,"35")</f>
        <v>0</v>
      </c>
      <c r="AE21" s="693">
        <f>COUNTIF(BLT!AE4:AE53,"35")</f>
        <v>0</v>
      </c>
      <c r="AF21" s="693">
        <f>COUNTIF(BLT!AF4:AF53,"35")</f>
        <v>0</v>
      </c>
      <c r="AG21" s="693">
        <f>COUNTIF(BLT!AG4:AG53,"35")</f>
        <v>0</v>
      </c>
      <c r="AH21" s="693">
        <f>COUNTIF(BLT!AH4:AH53,"35")</f>
        <v>0</v>
      </c>
      <c r="AI21" s="693">
        <f>COUNTIF(BLT!AI4:AI53,"35")</f>
        <v>0</v>
      </c>
      <c r="AJ21" s="693">
        <f>COUNTIF(BLT!AJ4:AJ53,"35")</f>
        <v>0</v>
      </c>
      <c r="AK21" s="693">
        <f>COUNTIF(BLT!AK4:AK53,"35")</f>
        <v>0</v>
      </c>
      <c r="AL21" s="693">
        <f>COUNTIF(BLT!AL4:AL53,"35")</f>
        <v>0</v>
      </c>
      <c r="AM21" s="693">
        <f>COUNTIF(BLT!AM4:AM53,"35")</f>
        <v>0</v>
      </c>
      <c r="AN21" s="693">
        <f>COUNTIF(BLT!AN4:AN53,"35")</f>
        <v>0</v>
      </c>
      <c r="AO21" s="693">
        <f>COUNTIF(BLT!AO4:AO53,"35")</f>
        <v>0</v>
      </c>
      <c r="AP21" s="693">
        <f>COUNTIF(BLT!AP4:AP53,"35")</f>
        <v>0</v>
      </c>
    </row>
    <row r="22" spans="1:42">
      <c r="A22" s="7" t="s">
        <v>879</v>
      </c>
      <c r="B22" s="675">
        <v>30</v>
      </c>
      <c r="C22" s="693">
        <f>COUNTIF(BLT!C4:C53,"30")</f>
        <v>0</v>
      </c>
      <c r="D22" s="693">
        <f>COUNTIF(BLT!D4:D53,"30")</f>
        <v>0</v>
      </c>
      <c r="E22" s="693">
        <f>COUNTIF(BLT!E4:E53,"30")</f>
        <v>0</v>
      </c>
      <c r="F22" s="693">
        <f>COUNTIF(BLT!F4:F53,"30")</f>
        <v>0</v>
      </c>
      <c r="G22" s="693">
        <f>COUNTIF(BLT!G4:G53,"30")</f>
        <v>0</v>
      </c>
      <c r="H22" s="693">
        <f>COUNTIF(BLT!H4:H53,"30")</f>
        <v>0</v>
      </c>
      <c r="I22" s="693">
        <f>COUNTIF(BLT!I4:I53,"30")</f>
        <v>0</v>
      </c>
      <c r="J22" s="693">
        <f>COUNTIF(BLT!J4:J53,"30")</f>
        <v>0</v>
      </c>
      <c r="K22" s="693">
        <f>COUNTIF(BLT!K4:K53,"30")</f>
        <v>0</v>
      </c>
      <c r="L22" s="693">
        <f>COUNTIF(BLT!L4:L53,"30")</f>
        <v>0</v>
      </c>
      <c r="M22" s="693">
        <f>COUNTIF(BLT!M4:M53,"30")</f>
        <v>0</v>
      </c>
      <c r="N22" s="693">
        <f>COUNTIF(BLT!N4:N53,"30")</f>
        <v>0</v>
      </c>
      <c r="O22" s="693">
        <f>COUNTIF(BLT!O4:O53,"30")</f>
        <v>0</v>
      </c>
      <c r="P22" s="693">
        <f>COUNTIF(BLT!P4:P53,"30")</f>
        <v>0</v>
      </c>
      <c r="Q22" s="693">
        <f>COUNTIF(BLT!Q4:Q53,"30")</f>
        <v>0</v>
      </c>
      <c r="R22" s="693">
        <f>COUNTIF(BLT!R4:R53,"30")</f>
        <v>0</v>
      </c>
      <c r="S22" s="693">
        <f>COUNTIF(BLT!S4:S53,"30")</f>
        <v>0</v>
      </c>
      <c r="T22" s="693">
        <f>COUNTIF(BLT!T4:T53,"30")</f>
        <v>0</v>
      </c>
      <c r="U22" s="693">
        <f>COUNTIF(BLT!U4:U53,"30")</f>
        <v>0</v>
      </c>
      <c r="V22" s="693">
        <f>COUNTIF(BLT!V4:V53,"30")</f>
        <v>0</v>
      </c>
      <c r="W22" s="693">
        <f>COUNTIF(BLT!W4:W53,"30")</f>
        <v>0</v>
      </c>
      <c r="X22" s="693">
        <f>COUNTIF(BLT!X4:X53,"30")</f>
        <v>0</v>
      </c>
      <c r="Y22" s="693">
        <f>COUNTIF(BLT!Y4:Y53,"30")</f>
        <v>0</v>
      </c>
      <c r="Z22" s="693">
        <f>COUNTIF(BLT!Z4:Z53,"30")</f>
        <v>0</v>
      </c>
      <c r="AA22" s="693">
        <f>COUNTIF(BLT!AA4:AA53,"30")</f>
        <v>0</v>
      </c>
      <c r="AB22" s="693">
        <f>COUNTIF(BLT!AB4:AB53,"30")</f>
        <v>0</v>
      </c>
      <c r="AC22" s="693">
        <f>COUNTIF(BLT!AC4:AC53,"30")</f>
        <v>0</v>
      </c>
      <c r="AD22" s="693">
        <f>COUNTIF(BLT!AD4:AD53,"30")</f>
        <v>0</v>
      </c>
      <c r="AE22" s="693">
        <f>COUNTIF(BLT!AE4:AE53,"30")</f>
        <v>0</v>
      </c>
      <c r="AF22" s="693">
        <f>COUNTIF(BLT!AF4:AF53,"30")</f>
        <v>0</v>
      </c>
      <c r="AG22" s="693">
        <f>COUNTIF(BLT!AG4:AG53,"30")</f>
        <v>0</v>
      </c>
      <c r="AH22" s="693">
        <f>COUNTIF(BLT!AH4:AH53,"30")</f>
        <v>0</v>
      </c>
      <c r="AI22" s="693">
        <f>COUNTIF(BLT!AI4:AI53,"30")</f>
        <v>0</v>
      </c>
      <c r="AJ22" s="693">
        <f>COUNTIF(BLT!AJ4:AJ53,"30")</f>
        <v>0</v>
      </c>
      <c r="AK22" s="693">
        <f>COUNTIF(BLT!AK4:AK53,"30")</f>
        <v>0</v>
      </c>
      <c r="AL22" s="693">
        <f>COUNTIF(BLT!AL4:AL53,"30")</f>
        <v>0</v>
      </c>
      <c r="AM22" s="693">
        <f>COUNTIF(BLT!AM4:AM53,"30")</f>
        <v>0</v>
      </c>
      <c r="AN22" s="693">
        <f>COUNTIF(BLT!AN4:AN53,"30")</f>
        <v>0</v>
      </c>
      <c r="AO22" s="693">
        <f>COUNTIF(BLT!AO4:AO53,"30")</f>
        <v>0</v>
      </c>
      <c r="AP22" s="693">
        <f>COUNTIF(BLT!AP4:AP53,"30")</f>
        <v>0</v>
      </c>
    </row>
    <row r="23" spans="1:42">
      <c r="A23" s="7" t="s">
        <v>880</v>
      </c>
      <c r="B23" s="676">
        <v>25</v>
      </c>
      <c r="C23" s="693">
        <f>COUNTIF(BLT!C4:C53,"25")</f>
        <v>0</v>
      </c>
      <c r="D23" s="693">
        <f>COUNTIF(BLT!D4:D53,"25")</f>
        <v>0</v>
      </c>
      <c r="E23" s="693">
        <f>COUNTIF(BLT!E4:E53,"25")</f>
        <v>0</v>
      </c>
      <c r="F23" s="693">
        <f>COUNTIF(BLT!F4:F53,"25")</f>
        <v>0</v>
      </c>
      <c r="G23" s="693">
        <f>COUNTIF(BLT!G4:G53,"25")</f>
        <v>0</v>
      </c>
      <c r="H23" s="693">
        <f>COUNTIF(BLT!H4:H53,"25")</f>
        <v>0</v>
      </c>
      <c r="I23" s="693">
        <f>COUNTIF(BLT!I4:I53,"25")</f>
        <v>0</v>
      </c>
      <c r="J23" s="693">
        <f>COUNTIF(BLT!J4:J53,"25")</f>
        <v>0</v>
      </c>
      <c r="K23" s="693">
        <f>COUNTIF(BLT!K4:K53,"25")</f>
        <v>0</v>
      </c>
      <c r="L23" s="693">
        <f>COUNTIF(BLT!L4:L53,"25")</f>
        <v>0</v>
      </c>
      <c r="M23" s="693">
        <f>COUNTIF(BLT!M4:M53,"25")</f>
        <v>0</v>
      </c>
      <c r="N23" s="693">
        <f>COUNTIF(BLT!N4:N53,"25")</f>
        <v>0</v>
      </c>
      <c r="O23" s="693">
        <f>COUNTIF(BLT!O4:O53,"25")</f>
        <v>0</v>
      </c>
      <c r="P23" s="693">
        <f>COUNTIF(BLT!P4:P53,"25")</f>
        <v>0</v>
      </c>
      <c r="Q23" s="693">
        <f>COUNTIF(BLT!Q4:Q53,"25")</f>
        <v>0</v>
      </c>
      <c r="R23" s="693">
        <f>COUNTIF(BLT!R4:R53,"25")</f>
        <v>0</v>
      </c>
      <c r="S23" s="693">
        <f>COUNTIF(BLT!S4:S53,"25")</f>
        <v>0</v>
      </c>
      <c r="T23" s="693">
        <f>COUNTIF(BLT!T4:T53,"25")</f>
        <v>0</v>
      </c>
      <c r="U23" s="693">
        <f>COUNTIF(BLT!U4:U53,"25")</f>
        <v>0</v>
      </c>
      <c r="V23" s="693">
        <f>COUNTIF(BLT!V4:V53,"25")</f>
        <v>0</v>
      </c>
      <c r="W23" s="693">
        <f>COUNTIF(BLT!W4:W53,"25")</f>
        <v>0</v>
      </c>
      <c r="X23" s="693">
        <f>COUNTIF(BLT!X4:X53,"25")</f>
        <v>0</v>
      </c>
      <c r="Y23" s="693">
        <f>COUNTIF(BLT!Y4:Y53,"25")</f>
        <v>0</v>
      </c>
      <c r="Z23" s="693">
        <f>COUNTIF(BLT!Z4:Z53,"25")</f>
        <v>0</v>
      </c>
      <c r="AA23" s="693">
        <f>COUNTIF(BLT!AA4:AA53,"25")</f>
        <v>0</v>
      </c>
      <c r="AB23" s="693">
        <f>COUNTIF(BLT!AB4:AB53,"25")</f>
        <v>0</v>
      </c>
      <c r="AC23" s="693">
        <f>COUNTIF(BLT!AC4:AC53,"25")</f>
        <v>0</v>
      </c>
      <c r="AD23" s="693">
        <f>COUNTIF(BLT!AD4:AD53,"25")</f>
        <v>0</v>
      </c>
      <c r="AE23" s="693">
        <f>COUNTIF(BLT!AE4:AE53,"25")</f>
        <v>0</v>
      </c>
      <c r="AF23" s="693">
        <f>COUNTIF(BLT!AF4:AF53,"25")</f>
        <v>0</v>
      </c>
      <c r="AG23" s="693">
        <f>COUNTIF(BLT!AG4:AG53,"25")</f>
        <v>0</v>
      </c>
      <c r="AH23" s="693">
        <f>COUNTIF(BLT!AH4:AH53,"25")</f>
        <v>0</v>
      </c>
      <c r="AI23" s="693">
        <f>COUNTIF(BLT!AI4:AI53,"25")</f>
        <v>0</v>
      </c>
      <c r="AJ23" s="693">
        <f>COUNTIF(BLT!AJ4:AJ53,"25")</f>
        <v>0</v>
      </c>
      <c r="AK23" s="693">
        <f>COUNTIF(BLT!AK4:AK53,"25")</f>
        <v>0</v>
      </c>
      <c r="AL23" s="693">
        <f>COUNTIF(BLT!AL4:AL53,"25")</f>
        <v>0</v>
      </c>
      <c r="AM23" s="693">
        <f>COUNTIF(BLT!AM4:AM53,"25")</f>
        <v>0</v>
      </c>
      <c r="AN23" s="693">
        <f>COUNTIF(BLT!AN4:AN53,"25")</f>
        <v>0</v>
      </c>
      <c r="AO23" s="693">
        <f>COUNTIF(BLT!AO4:AO53,"25")</f>
        <v>0</v>
      </c>
      <c r="AP23" s="693">
        <f>COUNTIF(BLT!AP4:AP53,"25")</f>
        <v>0</v>
      </c>
    </row>
    <row r="24" spans="1:42">
      <c r="A24" s="7" t="s">
        <v>881</v>
      </c>
      <c r="B24" s="675">
        <v>20</v>
      </c>
      <c r="C24" s="693">
        <f>COUNTIF(BLT!C4:C53,"20")</f>
        <v>0</v>
      </c>
      <c r="D24" s="693">
        <f>COUNTIF(BLT!D4:D53,"20")</f>
        <v>0</v>
      </c>
      <c r="E24" s="693">
        <f>COUNTIF(BLT!E4:E53,"20")</f>
        <v>0</v>
      </c>
      <c r="F24" s="693">
        <f>COUNTIF(BLT!F4:F53,"20")</f>
        <v>0</v>
      </c>
      <c r="G24" s="693">
        <f>COUNTIF(BLT!G4:G53,"20")</f>
        <v>0</v>
      </c>
      <c r="H24" s="693">
        <f>COUNTIF(BLT!H4:H53,"20")</f>
        <v>0</v>
      </c>
      <c r="I24" s="693">
        <f>COUNTIF(BLT!I4:I53,"20")</f>
        <v>0</v>
      </c>
      <c r="J24" s="693">
        <f>COUNTIF(BLT!J4:J53,"20")</f>
        <v>0</v>
      </c>
      <c r="K24" s="693">
        <f>COUNTIF(BLT!K4:K53,"20")</f>
        <v>0</v>
      </c>
      <c r="L24" s="693">
        <f>COUNTIF(BLT!L4:L53,"20")</f>
        <v>0</v>
      </c>
      <c r="M24" s="693">
        <f>COUNTIF(BLT!M4:M53,"20")</f>
        <v>0</v>
      </c>
      <c r="N24" s="693">
        <f>COUNTIF(BLT!N4:N53,"20")</f>
        <v>0</v>
      </c>
      <c r="O24" s="693">
        <f>COUNTIF(BLT!O4:O53,"20")</f>
        <v>0</v>
      </c>
      <c r="P24" s="693">
        <f>COUNTIF(BLT!P4:P53,"20")</f>
        <v>0</v>
      </c>
      <c r="Q24" s="693">
        <f>COUNTIF(BLT!Q4:Q53,"20")</f>
        <v>0</v>
      </c>
      <c r="R24" s="693">
        <f>COUNTIF(BLT!R4:R53,"20")</f>
        <v>0</v>
      </c>
      <c r="S24" s="693">
        <f>COUNTIF(BLT!S4:S53,"20")</f>
        <v>0</v>
      </c>
      <c r="T24" s="693">
        <f>COUNTIF(BLT!T4:T53,"20")</f>
        <v>0</v>
      </c>
      <c r="U24" s="693">
        <f>COUNTIF(BLT!U4:U53,"20")</f>
        <v>0</v>
      </c>
      <c r="V24" s="693">
        <f>COUNTIF(BLT!V4:V53,"20")</f>
        <v>0</v>
      </c>
      <c r="W24" s="693">
        <f>COUNTIF(BLT!W4:W53,"20")</f>
        <v>0</v>
      </c>
      <c r="X24" s="693">
        <f>COUNTIF(BLT!X4:X53,"20")</f>
        <v>0</v>
      </c>
      <c r="Y24" s="693">
        <f>COUNTIF(BLT!Y4:Y53,"20")</f>
        <v>0</v>
      </c>
      <c r="Z24" s="693">
        <f>COUNTIF(BLT!Z4:Z53,"20")</f>
        <v>0</v>
      </c>
      <c r="AA24" s="693">
        <f>COUNTIF(BLT!AA4:AA53,"20")</f>
        <v>0</v>
      </c>
      <c r="AB24" s="693">
        <f>COUNTIF(BLT!AB4:AB53,"20")</f>
        <v>0</v>
      </c>
      <c r="AC24" s="693">
        <f>COUNTIF(BLT!AC4:AC53,"20")</f>
        <v>0</v>
      </c>
      <c r="AD24" s="693">
        <f>COUNTIF(BLT!AD4:AD53,"20")</f>
        <v>0</v>
      </c>
      <c r="AE24" s="693">
        <f>COUNTIF(BLT!AE4:AE53,"20")</f>
        <v>0</v>
      </c>
      <c r="AF24" s="693">
        <f>COUNTIF(BLT!AF4:AF53,"20")</f>
        <v>0</v>
      </c>
      <c r="AG24" s="693">
        <f>COUNTIF(BLT!AG4:AG53,"20")</f>
        <v>0</v>
      </c>
      <c r="AH24" s="693">
        <f>COUNTIF(BLT!AH4:AH53,"20")</f>
        <v>0</v>
      </c>
      <c r="AI24" s="693">
        <f>COUNTIF(BLT!AI4:AI53,"20")</f>
        <v>0</v>
      </c>
      <c r="AJ24" s="693">
        <f>COUNTIF(BLT!AJ4:AJ53,"20")</f>
        <v>0</v>
      </c>
      <c r="AK24" s="693">
        <f>COUNTIF(BLT!AK4:AK53,"20")</f>
        <v>0</v>
      </c>
      <c r="AL24" s="693">
        <f>COUNTIF(BLT!AL4:AL53,"20")</f>
        <v>0</v>
      </c>
      <c r="AM24" s="693">
        <f>COUNTIF(BLT!AM4:AM53,"20")</f>
        <v>0</v>
      </c>
      <c r="AN24" s="693">
        <f>COUNTIF(BLT!AN4:AN53,"20")</f>
        <v>0</v>
      </c>
      <c r="AO24" s="693">
        <f>COUNTIF(BLT!AO4:AO53,"20")</f>
        <v>0</v>
      </c>
      <c r="AP24" s="693">
        <f>COUNTIF(BLT!AP4:AP53,"20")</f>
        <v>0</v>
      </c>
    </row>
    <row r="25" spans="1:42">
      <c r="A25" s="7" t="s">
        <v>882</v>
      </c>
      <c r="B25" s="676">
        <v>15</v>
      </c>
      <c r="C25" s="693">
        <f>COUNTIF(BLT!C4:C53,"15")</f>
        <v>0</v>
      </c>
      <c r="D25" s="693">
        <f>COUNTIF(BLT!D4:D53,"15")</f>
        <v>0</v>
      </c>
      <c r="E25" s="693">
        <f>COUNTIF(BLT!E4:E53,"15")</f>
        <v>0</v>
      </c>
      <c r="F25" s="693">
        <f>COUNTIF(BLT!F4:F53,"15")</f>
        <v>0</v>
      </c>
      <c r="G25" s="693">
        <f>COUNTIF(BLT!G4:G53,"15")</f>
        <v>0</v>
      </c>
      <c r="H25" s="693">
        <f>COUNTIF(BLT!H4:H53,"15")</f>
        <v>0</v>
      </c>
      <c r="I25" s="693">
        <f>COUNTIF(BLT!I4:I53,"15")</f>
        <v>0</v>
      </c>
      <c r="J25" s="693">
        <f>COUNTIF(BLT!J4:J53,"15")</f>
        <v>0</v>
      </c>
      <c r="K25" s="693">
        <f>COUNTIF(BLT!K4:K53,"15")</f>
        <v>0</v>
      </c>
      <c r="L25" s="693">
        <f>COUNTIF(BLT!L4:L53,"15")</f>
        <v>0</v>
      </c>
      <c r="M25" s="693">
        <f>COUNTIF(BLT!M4:M53,"15")</f>
        <v>0</v>
      </c>
      <c r="N25" s="693">
        <f>COUNTIF(BLT!N4:N53,"15")</f>
        <v>0</v>
      </c>
      <c r="O25" s="693">
        <f>COUNTIF(BLT!O4:O53,"15")</f>
        <v>0</v>
      </c>
      <c r="P25" s="693">
        <f>COUNTIF(BLT!P4:P53,"15")</f>
        <v>0</v>
      </c>
      <c r="Q25" s="693">
        <f>COUNTIF(BLT!Q4:Q53,"15")</f>
        <v>0</v>
      </c>
      <c r="R25" s="693">
        <f>COUNTIF(BLT!R4:R53,"15")</f>
        <v>0</v>
      </c>
      <c r="S25" s="693">
        <f>COUNTIF(BLT!S4:S53,"15")</f>
        <v>0</v>
      </c>
      <c r="T25" s="693">
        <f>COUNTIF(BLT!T4:T53,"15")</f>
        <v>0</v>
      </c>
      <c r="U25" s="693">
        <f>COUNTIF(BLT!U4:U53,"15")</f>
        <v>0</v>
      </c>
      <c r="V25" s="693">
        <f>COUNTIF(BLT!V4:V53,"15")</f>
        <v>0</v>
      </c>
      <c r="W25" s="693">
        <f>COUNTIF(BLT!W4:W53,"15")</f>
        <v>0</v>
      </c>
      <c r="X25" s="693">
        <f>COUNTIF(BLT!X4:X53,"15")</f>
        <v>0</v>
      </c>
      <c r="Y25" s="693">
        <f>COUNTIF(BLT!Y4:Y53,"15")</f>
        <v>0</v>
      </c>
      <c r="Z25" s="693">
        <f>COUNTIF(BLT!Z4:Z53,"15")</f>
        <v>0</v>
      </c>
      <c r="AA25" s="693">
        <f>COUNTIF(BLT!AA4:AA53,"15")</f>
        <v>0</v>
      </c>
      <c r="AB25" s="693">
        <f>COUNTIF(BLT!AB4:AB53,"15")</f>
        <v>0</v>
      </c>
      <c r="AC25" s="693">
        <f>COUNTIF(BLT!AC4:AC53,"15")</f>
        <v>0</v>
      </c>
      <c r="AD25" s="693">
        <f>COUNTIF(BLT!AD4:AD53,"15")</f>
        <v>0</v>
      </c>
      <c r="AE25" s="693">
        <f>COUNTIF(BLT!AE4:AE53,"15")</f>
        <v>0</v>
      </c>
      <c r="AF25" s="693">
        <f>COUNTIF(BLT!AF4:AF53,"15")</f>
        <v>0</v>
      </c>
      <c r="AG25" s="693">
        <f>COUNTIF(BLT!AG4:AG53,"15")</f>
        <v>0</v>
      </c>
      <c r="AH25" s="693">
        <f>COUNTIF(BLT!AH4:AH53,"15")</f>
        <v>0</v>
      </c>
      <c r="AI25" s="693">
        <f>COUNTIF(BLT!AI4:AI53,"15")</f>
        <v>0</v>
      </c>
      <c r="AJ25" s="693">
        <f>COUNTIF(BLT!AJ4:AJ53,"15")</f>
        <v>0</v>
      </c>
      <c r="AK25" s="693">
        <f>COUNTIF(BLT!AK4:AK53,"15")</f>
        <v>0</v>
      </c>
      <c r="AL25" s="693">
        <f>COUNTIF(BLT!AL4:AL53,"15")</f>
        <v>0</v>
      </c>
      <c r="AM25" s="693">
        <f>COUNTIF(BLT!AM4:AM53,"15")</f>
        <v>0</v>
      </c>
      <c r="AN25" s="693">
        <f>COUNTIF(BLT!AN4:AN53,"15")</f>
        <v>0</v>
      </c>
      <c r="AO25" s="693">
        <f>COUNTIF(BLT!AO4:AO53,"15")</f>
        <v>0</v>
      </c>
      <c r="AP25" s="693">
        <f>COUNTIF(BLT!AP4:AP53,"15")</f>
        <v>0</v>
      </c>
    </row>
    <row r="26" spans="1:42">
      <c r="A26" s="7" t="s">
        <v>883</v>
      </c>
      <c r="B26" s="675">
        <v>10</v>
      </c>
      <c r="C26" s="693">
        <f>COUNTIF(BLT!C4:C53,"10")</f>
        <v>0</v>
      </c>
      <c r="D26" s="693">
        <f>COUNTIF(BLT!D4:D53,"10")</f>
        <v>0</v>
      </c>
      <c r="E26" s="693">
        <f>COUNTIF(BLT!E4:E53,"10")</f>
        <v>0</v>
      </c>
      <c r="F26" s="693">
        <f>COUNTIF(BLT!F4:F53,"10")</f>
        <v>0</v>
      </c>
      <c r="G26" s="693">
        <f>COUNTIF(BLT!G4:G53,"10")</f>
        <v>0</v>
      </c>
      <c r="H26" s="693">
        <f>COUNTIF(BLT!H4:H53,"10")</f>
        <v>0</v>
      </c>
      <c r="I26" s="693">
        <f>COUNTIF(BLT!I4:I53,"10")</f>
        <v>0</v>
      </c>
      <c r="J26" s="693">
        <f>COUNTIF(BLT!J4:J53,"10")</f>
        <v>0</v>
      </c>
      <c r="K26" s="693">
        <f>COUNTIF(BLT!K4:K53,"10")</f>
        <v>0</v>
      </c>
      <c r="L26" s="693">
        <f>COUNTIF(BLT!L4:L53,"10")</f>
        <v>0</v>
      </c>
      <c r="M26" s="693">
        <f>COUNTIF(BLT!M4:M53,"10")</f>
        <v>0</v>
      </c>
      <c r="N26" s="693">
        <f>COUNTIF(BLT!N4:N53,"10")</f>
        <v>0</v>
      </c>
      <c r="O26" s="693">
        <f>COUNTIF(BLT!O4:O53,"10")</f>
        <v>0</v>
      </c>
      <c r="P26" s="693">
        <f>COUNTIF(BLT!P4:P53,"10")</f>
        <v>0</v>
      </c>
      <c r="Q26" s="693">
        <f>COUNTIF(BLT!Q4:Q53,"10")</f>
        <v>0</v>
      </c>
      <c r="R26" s="693">
        <f>COUNTIF(BLT!R4:R53,"10")</f>
        <v>0</v>
      </c>
      <c r="S26" s="693">
        <f>COUNTIF(BLT!S4:S53,"10")</f>
        <v>0</v>
      </c>
      <c r="T26" s="693">
        <f>COUNTIF(BLT!T4:T53,"10")</f>
        <v>0</v>
      </c>
      <c r="U26" s="693">
        <f>COUNTIF(BLT!U4:U53,"10")</f>
        <v>0</v>
      </c>
      <c r="V26" s="693">
        <f>COUNTIF(BLT!V4:V53,"10")</f>
        <v>0</v>
      </c>
      <c r="W26" s="693">
        <f>COUNTIF(BLT!W4:W53,"10")</f>
        <v>0</v>
      </c>
      <c r="X26" s="693">
        <f>COUNTIF(BLT!X4:X53,"10")</f>
        <v>0</v>
      </c>
      <c r="Y26" s="693">
        <f>COUNTIF(BLT!Y4:Y53,"10")</f>
        <v>0</v>
      </c>
      <c r="Z26" s="693">
        <f>COUNTIF(BLT!Z4:Z53,"10")</f>
        <v>0</v>
      </c>
      <c r="AA26" s="693">
        <f>COUNTIF(BLT!AA4:AA53,"10")</f>
        <v>0</v>
      </c>
      <c r="AB26" s="693">
        <f>COUNTIF(BLT!AB4:AB53,"10")</f>
        <v>0</v>
      </c>
      <c r="AC26" s="693">
        <f>COUNTIF(BLT!AC4:AC53,"10")</f>
        <v>0</v>
      </c>
      <c r="AD26" s="693">
        <f>COUNTIF(BLT!AD4:AD53,"10")</f>
        <v>0</v>
      </c>
      <c r="AE26" s="693">
        <f>COUNTIF(BLT!AE4:AE53,"10")</f>
        <v>0</v>
      </c>
      <c r="AF26" s="693">
        <f>COUNTIF(BLT!AF4:AF53,"10")</f>
        <v>0</v>
      </c>
      <c r="AG26" s="693">
        <f>COUNTIF(BLT!AG4:AG53,"10")</f>
        <v>0</v>
      </c>
      <c r="AH26" s="693">
        <f>COUNTIF(BLT!AH4:AH53,"10")</f>
        <v>0</v>
      </c>
      <c r="AI26" s="693">
        <f>COUNTIF(BLT!AI4:AI53,"10")</f>
        <v>0</v>
      </c>
      <c r="AJ26" s="693">
        <f>COUNTIF(BLT!AJ4:AJ53,"10")</f>
        <v>0</v>
      </c>
      <c r="AK26" s="693">
        <f>COUNTIF(BLT!AK4:AK53,"10")</f>
        <v>0</v>
      </c>
      <c r="AL26" s="693">
        <f>COUNTIF(BLT!AL4:AL53,"10")</f>
        <v>0</v>
      </c>
      <c r="AM26" s="693">
        <f>COUNTIF(BLT!AM4:AM53,"10")</f>
        <v>0</v>
      </c>
      <c r="AN26" s="693">
        <f>COUNTIF(BLT!AN4:AN53,"10")</f>
        <v>0</v>
      </c>
      <c r="AO26" s="693">
        <f>COUNTIF(BLT!AO4:AO53,"10")</f>
        <v>0</v>
      </c>
      <c r="AP26" s="693">
        <f>COUNTIF(BLT!AP4:AP53,"10")</f>
        <v>0</v>
      </c>
    </row>
    <row r="27" spans="1:42" ht="24">
      <c r="A27" s="207" t="s">
        <v>884</v>
      </c>
      <c r="B27" s="677" t="s">
        <v>885</v>
      </c>
      <c r="C27" s="694">
        <f t="shared" ref="C27:AP27" si="0">SUM(C8:C26)</f>
        <v>50</v>
      </c>
      <c r="D27" s="694">
        <f t="shared" si="0"/>
        <v>50</v>
      </c>
      <c r="E27" s="694">
        <f t="shared" si="0"/>
        <v>50</v>
      </c>
      <c r="F27" s="694">
        <f t="shared" si="0"/>
        <v>0</v>
      </c>
      <c r="G27" s="694">
        <f t="shared" si="0"/>
        <v>0</v>
      </c>
      <c r="H27" s="694">
        <f t="shared" si="0"/>
        <v>0</v>
      </c>
      <c r="I27" s="694">
        <f t="shared" si="0"/>
        <v>50</v>
      </c>
      <c r="J27" s="694">
        <f t="shared" si="0"/>
        <v>50</v>
      </c>
      <c r="K27" s="694">
        <f t="shared" si="0"/>
        <v>48</v>
      </c>
      <c r="L27" s="694">
        <f t="shared" si="0"/>
        <v>48</v>
      </c>
      <c r="M27" s="694">
        <f t="shared" si="0"/>
        <v>48</v>
      </c>
      <c r="N27" s="694">
        <f t="shared" si="0"/>
        <v>0</v>
      </c>
      <c r="O27" s="694">
        <f t="shared" si="0"/>
        <v>0</v>
      </c>
      <c r="P27" s="694">
        <f t="shared" si="0"/>
        <v>0</v>
      </c>
      <c r="Q27" s="694">
        <f t="shared" si="0"/>
        <v>50</v>
      </c>
      <c r="R27" s="694">
        <f t="shared" si="0"/>
        <v>50</v>
      </c>
      <c r="S27" s="694">
        <f t="shared" si="0"/>
        <v>0</v>
      </c>
      <c r="T27" s="694">
        <f t="shared" si="0"/>
        <v>0</v>
      </c>
      <c r="U27" s="694">
        <f t="shared" si="0"/>
        <v>0</v>
      </c>
      <c r="V27" s="694">
        <f t="shared" si="0"/>
        <v>0</v>
      </c>
      <c r="W27" s="694">
        <f t="shared" si="0"/>
        <v>1</v>
      </c>
      <c r="X27" s="694">
        <f t="shared" si="0"/>
        <v>0</v>
      </c>
      <c r="Y27" s="694">
        <f t="shared" si="0"/>
        <v>49</v>
      </c>
      <c r="Z27" s="694">
        <f t="shared" si="0"/>
        <v>49</v>
      </c>
      <c r="AA27" s="694">
        <f t="shared" si="0"/>
        <v>49</v>
      </c>
      <c r="AB27" s="694">
        <f t="shared" si="0"/>
        <v>49</v>
      </c>
      <c r="AC27" s="694">
        <f t="shared" si="0"/>
        <v>0</v>
      </c>
      <c r="AD27" s="694">
        <f t="shared" si="0"/>
        <v>0</v>
      </c>
      <c r="AE27" s="694">
        <f t="shared" si="0"/>
        <v>49</v>
      </c>
      <c r="AF27" s="694">
        <f t="shared" si="0"/>
        <v>49</v>
      </c>
      <c r="AG27" s="694">
        <f t="shared" si="0"/>
        <v>49</v>
      </c>
      <c r="AH27" s="694">
        <f t="shared" si="0"/>
        <v>0</v>
      </c>
      <c r="AI27" s="694">
        <f t="shared" si="0"/>
        <v>0</v>
      </c>
      <c r="AJ27" s="694">
        <f t="shared" si="0"/>
        <v>0</v>
      </c>
      <c r="AK27" s="694">
        <f t="shared" si="0"/>
        <v>50</v>
      </c>
      <c r="AL27" s="694">
        <f t="shared" si="0"/>
        <v>50</v>
      </c>
      <c r="AM27" s="694">
        <f t="shared" si="0"/>
        <v>50</v>
      </c>
      <c r="AN27" s="694">
        <f t="shared" si="0"/>
        <v>0</v>
      </c>
      <c r="AO27" s="694">
        <f t="shared" si="0"/>
        <v>0</v>
      </c>
      <c r="AP27" s="694">
        <f t="shared" si="0"/>
        <v>0</v>
      </c>
    </row>
    <row r="28" spans="1:42" ht="24">
      <c r="A28" s="207" t="s">
        <v>886</v>
      </c>
      <c r="B28" s="677" t="s">
        <v>887</v>
      </c>
      <c r="C28" s="688">
        <f>($B$8*C8)+($B$9*C9)+($B$10*C10)+($B$11*C11)+($B$12*C12)+($B$13*C13)+($B$14*C14)+($B$15*C15)+($B$16*C16)+($B$17*C17)+($B$18*C18)+($B$19*C19)+($B$20*C20)+($B$21*C21)+($B$22*C22)+($B$23*C23)+($B$24*C24)+($B$25*C25)+($B$26*C26)</f>
        <v>4990</v>
      </c>
      <c r="D28" s="688">
        <f t="shared" ref="D28:AP28" si="1">($B$8*D8)+($B$9*D9)+($B$10*D10)+($B$11*D11)+($B$12*D12)+($B$13*D13)+($B$14*D14)+($B$15*D15)+($B$16*D16)+($B$17*D17)+($B$18*D18)+($B$19*D19)+($B$20*D20)+($B$21*D21)+($B$22*D22)+($B$23*D23)+($B$24*D24)+($B$25*D25)+($B$26*D26)</f>
        <v>5000</v>
      </c>
      <c r="E28" s="688">
        <f t="shared" si="1"/>
        <v>4990</v>
      </c>
      <c r="F28" s="688">
        <f t="shared" si="1"/>
        <v>0</v>
      </c>
      <c r="G28" s="688">
        <f t="shared" si="1"/>
        <v>0</v>
      </c>
      <c r="H28" s="688">
        <f t="shared" si="1"/>
        <v>0</v>
      </c>
      <c r="I28" s="688">
        <f t="shared" si="1"/>
        <v>4040</v>
      </c>
      <c r="J28" s="688">
        <f t="shared" si="1"/>
        <v>3915</v>
      </c>
      <c r="K28" s="688">
        <f t="shared" si="1"/>
        <v>4800</v>
      </c>
      <c r="L28" s="688">
        <f t="shared" si="1"/>
        <v>4800</v>
      </c>
      <c r="M28" s="688">
        <f t="shared" si="1"/>
        <v>4800</v>
      </c>
      <c r="N28" s="688">
        <f t="shared" si="1"/>
        <v>0</v>
      </c>
      <c r="O28" s="688">
        <f t="shared" si="1"/>
        <v>0</v>
      </c>
      <c r="P28" s="688">
        <f t="shared" si="1"/>
        <v>0</v>
      </c>
      <c r="Q28" s="688">
        <f t="shared" si="1"/>
        <v>4010</v>
      </c>
      <c r="R28" s="688">
        <f t="shared" si="1"/>
        <v>3935</v>
      </c>
      <c r="S28" s="688">
        <f t="shared" si="1"/>
        <v>0</v>
      </c>
      <c r="T28" s="688">
        <f t="shared" si="1"/>
        <v>0</v>
      </c>
      <c r="U28" s="688">
        <f t="shared" si="1"/>
        <v>0</v>
      </c>
      <c r="V28" s="688">
        <f t="shared" si="1"/>
        <v>0</v>
      </c>
      <c r="W28" s="688">
        <f t="shared" si="1"/>
        <v>90</v>
      </c>
      <c r="X28" s="688">
        <f t="shared" si="1"/>
        <v>0</v>
      </c>
      <c r="Y28" s="688">
        <f t="shared" si="1"/>
        <v>4880</v>
      </c>
      <c r="Z28" s="688">
        <f t="shared" si="1"/>
        <v>4880</v>
      </c>
      <c r="AA28" s="688">
        <f t="shared" si="1"/>
        <v>4900</v>
      </c>
      <c r="AB28" s="688">
        <f t="shared" si="1"/>
        <v>4900</v>
      </c>
      <c r="AC28" s="688">
        <f t="shared" si="1"/>
        <v>0</v>
      </c>
      <c r="AD28" s="688">
        <f t="shared" si="1"/>
        <v>0</v>
      </c>
      <c r="AE28" s="688">
        <f t="shared" si="1"/>
        <v>4890</v>
      </c>
      <c r="AF28" s="688">
        <f t="shared" si="1"/>
        <v>4890</v>
      </c>
      <c r="AG28" s="688">
        <f t="shared" si="1"/>
        <v>4900</v>
      </c>
      <c r="AH28" s="688">
        <f t="shared" si="1"/>
        <v>0</v>
      </c>
      <c r="AI28" s="688">
        <f t="shared" si="1"/>
        <v>0</v>
      </c>
      <c r="AJ28" s="688">
        <f t="shared" si="1"/>
        <v>0</v>
      </c>
      <c r="AK28" s="688">
        <f>($B$8*AK8)+($B$9*AK9)+($B$10*AK10)+($B$11*AK11)+($B$12*AK12)+($B$13*AK13)+($B$14*AK14)+($B$15*AK15)+($B$16*AK16)+($B$17*AK17)+($B$18*AK18)+($B$19*AK19)+($B$20*AK20)+($B$21*AK21)+($B$22*AK22)+($B$23*AK23)+($B$24*AK24)+($B$25*AK25)+($B$26*AK26)</f>
        <v>4980</v>
      </c>
      <c r="AL28" s="688">
        <f t="shared" si="1"/>
        <v>4970</v>
      </c>
      <c r="AM28" s="688">
        <f t="shared" si="1"/>
        <v>5000</v>
      </c>
      <c r="AN28" s="688">
        <f t="shared" si="1"/>
        <v>0</v>
      </c>
      <c r="AO28" s="688">
        <f t="shared" si="1"/>
        <v>0</v>
      </c>
      <c r="AP28" s="688">
        <f t="shared" si="1"/>
        <v>0</v>
      </c>
    </row>
    <row r="29" spans="1:42">
      <c r="A29" s="207" t="s">
        <v>888</v>
      </c>
      <c r="B29" s="677" t="s">
        <v>889</v>
      </c>
      <c r="C29" s="689">
        <f>'KI3'!$C$6</f>
        <v>64</v>
      </c>
      <c r="D29" s="689">
        <f>'KI3'!$C$6</f>
        <v>64</v>
      </c>
      <c r="E29" s="689">
        <f>'KI3'!$C$6</f>
        <v>64</v>
      </c>
      <c r="F29" s="689">
        <f>'KI3'!$C$6</f>
        <v>64</v>
      </c>
      <c r="G29" s="689">
        <f>'KI3'!$C$6</f>
        <v>64</v>
      </c>
      <c r="H29" s="689">
        <f>'KI3'!$C$6</f>
        <v>64</v>
      </c>
      <c r="I29" s="689">
        <f>'KI3'!$C$8</f>
        <v>65</v>
      </c>
      <c r="J29" s="689">
        <f>'KI3'!$C$8</f>
        <v>65</v>
      </c>
      <c r="K29" s="689">
        <f>'KI3'!$C$8</f>
        <v>65</v>
      </c>
      <c r="L29" s="689">
        <f>'KI3'!$C$8</f>
        <v>65</v>
      </c>
      <c r="M29" s="689">
        <f>'KI3'!$C$8</f>
        <v>65</v>
      </c>
      <c r="N29" s="689">
        <f>'KI3'!$C$8</f>
        <v>65</v>
      </c>
      <c r="O29" s="689">
        <f>'KI3'!$C$8</f>
        <v>65</v>
      </c>
      <c r="P29" s="689">
        <f>'KI3'!$C$8</f>
        <v>65</v>
      </c>
      <c r="Q29" s="689">
        <f>'KI3'!$C$10</f>
        <v>66</v>
      </c>
      <c r="R29" s="689">
        <f>'KI3'!$C$10</f>
        <v>66</v>
      </c>
      <c r="S29" s="689">
        <f>'KI3'!$C$10</f>
        <v>66</v>
      </c>
      <c r="T29" s="689">
        <f>'KI3'!$C$10</f>
        <v>66</v>
      </c>
      <c r="U29" s="689">
        <f>'KI3'!$C$10</f>
        <v>66</v>
      </c>
      <c r="V29" s="689">
        <f>'KI3'!$C$10</f>
        <v>66</v>
      </c>
      <c r="W29" s="689">
        <f>'KI3'!$C$10</f>
        <v>66</v>
      </c>
      <c r="X29" s="689">
        <f>'KI3'!$C$10</f>
        <v>66</v>
      </c>
      <c r="Y29" s="689">
        <f>'KI3'!$C$12</f>
        <v>67</v>
      </c>
      <c r="Z29" s="689">
        <f>'KI3'!$C$12</f>
        <v>67</v>
      </c>
      <c r="AA29" s="689">
        <f>'KI3'!$C$12</f>
        <v>67</v>
      </c>
      <c r="AB29" s="689">
        <f>'KI3'!$C$12</f>
        <v>67</v>
      </c>
      <c r="AC29" s="689">
        <f>'KI3'!$C$12</f>
        <v>67</v>
      </c>
      <c r="AD29" s="689">
        <f>'KI3'!$C$12</f>
        <v>67</v>
      </c>
      <c r="AE29" s="689">
        <f>'KI3'!$C$14</f>
        <v>68</v>
      </c>
      <c r="AF29" s="689">
        <f>'KI3'!$C$14</f>
        <v>68</v>
      </c>
      <c r="AG29" s="689">
        <f>'KI3'!$C$14</f>
        <v>68</v>
      </c>
      <c r="AH29" s="689">
        <f>'KI3'!$C$14</f>
        <v>68</v>
      </c>
      <c r="AI29" s="689">
        <f>'KI3'!$C$14</f>
        <v>68</v>
      </c>
      <c r="AJ29" s="689">
        <f>'KI3'!$C$14</f>
        <v>68</v>
      </c>
      <c r="AK29" s="689">
        <f>'KI3'!$C$16</f>
        <v>69</v>
      </c>
      <c r="AL29" s="689">
        <f>'KI3'!$C$16</f>
        <v>69</v>
      </c>
      <c r="AM29" s="689">
        <f>'KI3'!$C$16</f>
        <v>69</v>
      </c>
      <c r="AN29" s="689">
        <f>'KI3'!$C$16</f>
        <v>69</v>
      </c>
      <c r="AO29" s="689">
        <f>'KI3'!$C$16</f>
        <v>69</v>
      </c>
      <c r="AP29" s="689">
        <f>'KI3'!$C$16</f>
        <v>69</v>
      </c>
    </row>
    <row r="30" spans="1:42" hidden="1">
      <c r="A30" s="672"/>
      <c r="B30" s="678" t="s">
        <v>890</v>
      </c>
      <c r="C30" s="679"/>
      <c r="D30" s="679"/>
      <c r="E30" s="679"/>
      <c r="F30" s="679"/>
      <c r="G30" s="679"/>
      <c r="H30" s="679"/>
      <c r="I30" s="679"/>
      <c r="J30" s="679"/>
      <c r="K30" s="679"/>
      <c r="L30" s="679"/>
      <c r="M30" s="679"/>
      <c r="N30" s="679"/>
      <c r="O30" s="679"/>
      <c r="P30" s="679"/>
      <c r="Q30" s="679"/>
      <c r="R30" s="679"/>
      <c r="S30" s="679"/>
      <c r="T30" s="679"/>
      <c r="U30" s="679"/>
      <c r="V30" s="679"/>
      <c r="W30" s="679"/>
      <c r="X30" s="679"/>
      <c r="Y30" s="679"/>
      <c r="Z30" s="679"/>
      <c r="AA30" s="679"/>
      <c r="AB30" s="679"/>
      <c r="AC30" s="679"/>
      <c r="AD30" s="679"/>
      <c r="AE30" s="679"/>
      <c r="AF30" s="679"/>
      <c r="AG30" s="679"/>
      <c r="AH30" s="679"/>
      <c r="AI30" s="679"/>
      <c r="AJ30" s="679"/>
      <c r="AK30" s="679"/>
      <c r="AL30" s="679"/>
      <c r="AM30" s="679"/>
      <c r="AN30" s="679"/>
      <c r="AO30" s="679"/>
      <c r="AP30" s="679"/>
    </row>
    <row r="31" spans="1:42" hidden="1">
      <c r="A31" s="672"/>
      <c r="B31" s="675">
        <v>100</v>
      </c>
      <c r="C31" s="680">
        <f t="shared" ref="C31:R49" si="2">IF($B8&gt;C$29,1,IF($B8&lt;C$29,0,0))</f>
        <v>1</v>
      </c>
      <c r="D31" s="680">
        <f t="shared" si="2"/>
        <v>1</v>
      </c>
      <c r="E31" s="680">
        <f t="shared" si="2"/>
        <v>1</v>
      </c>
      <c r="F31" s="680">
        <f t="shared" si="2"/>
        <v>1</v>
      </c>
      <c r="G31" s="680">
        <f t="shared" si="2"/>
        <v>1</v>
      </c>
      <c r="H31" s="680">
        <f t="shared" si="2"/>
        <v>1</v>
      </c>
      <c r="I31" s="680">
        <f t="shared" si="2"/>
        <v>1</v>
      </c>
      <c r="J31" s="680">
        <f t="shared" si="2"/>
        <v>1</v>
      </c>
      <c r="K31" s="680">
        <f t="shared" si="2"/>
        <v>1</v>
      </c>
      <c r="L31" s="680">
        <f t="shared" si="2"/>
        <v>1</v>
      </c>
      <c r="M31" s="680">
        <f t="shared" si="2"/>
        <v>1</v>
      </c>
      <c r="N31" s="680">
        <f t="shared" si="2"/>
        <v>1</v>
      </c>
      <c r="O31" s="680">
        <f t="shared" si="2"/>
        <v>1</v>
      </c>
      <c r="P31" s="680">
        <f t="shared" si="2"/>
        <v>1</v>
      </c>
      <c r="Q31" s="680">
        <f t="shared" si="2"/>
        <v>1</v>
      </c>
      <c r="R31" s="680">
        <f t="shared" si="2"/>
        <v>1</v>
      </c>
      <c r="S31" s="680">
        <f t="shared" ref="D31:AP37" si="3">IF($B8&gt;S$29,1,IF($B8&lt;S$29,0,0))</f>
        <v>1</v>
      </c>
      <c r="T31" s="680">
        <f t="shared" si="3"/>
        <v>1</v>
      </c>
      <c r="U31" s="680">
        <f t="shared" si="3"/>
        <v>1</v>
      </c>
      <c r="V31" s="680">
        <f t="shared" si="3"/>
        <v>1</v>
      </c>
      <c r="W31" s="680">
        <f t="shared" si="3"/>
        <v>1</v>
      </c>
      <c r="X31" s="680">
        <f t="shared" si="3"/>
        <v>1</v>
      </c>
      <c r="Y31" s="680">
        <f t="shared" si="3"/>
        <v>1</v>
      </c>
      <c r="Z31" s="680">
        <f t="shared" si="3"/>
        <v>1</v>
      </c>
      <c r="AA31" s="680">
        <f t="shared" si="3"/>
        <v>1</v>
      </c>
      <c r="AB31" s="680">
        <f t="shared" si="3"/>
        <v>1</v>
      </c>
      <c r="AC31" s="680">
        <f t="shared" si="3"/>
        <v>1</v>
      </c>
      <c r="AD31" s="680">
        <f t="shared" si="3"/>
        <v>1</v>
      </c>
      <c r="AE31" s="680">
        <f t="shared" si="3"/>
        <v>1</v>
      </c>
      <c r="AF31" s="680">
        <f t="shared" si="3"/>
        <v>1</v>
      </c>
      <c r="AG31" s="680">
        <f t="shared" si="3"/>
        <v>1</v>
      </c>
      <c r="AH31" s="680">
        <f t="shared" si="3"/>
        <v>1</v>
      </c>
      <c r="AI31" s="680">
        <f t="shared" si="3"/>
        <v>1</v>
      </c>
      <c r="AJ31" s="680">
        <f t="shared" si="3"/>
        <v>1</v>
      </c>
      <c r="AK31" s="680">
        <f t="shared" si="3"/>
        <v>1</v>
      </c>
      <c r="AL31" s="680">
        <f t="shared" si="3"/>
        <v>1</v>
      </c>
      <c r="AM31" s="680">
        <f t="shared" si="3"/>
        <v>1</v>
      </c>
      <c r="AN31" s="680">
        <f t="shared" si="3"/>
        <v>1</v>
      </c>
      <c r="AO31" s="680">
        <f t="shared" si="3"/>
        <v>1</v>
      </c>
      <c r="AP31" s="680">
        <f t="shared" si="3"/>
        <v>1</v>
      </c>
    </row>
    <row r="32" spans="1:42" hidden="1">
      <c r="A32" s="672"/>
      <c r="B32" s="676">
        <v>95</v>
      </c>
      <c r="C32" s="680">
        <f t="shared" si="2"/>
        <v>1</v>
      </c>
      <c r="D32" s="680">
        <f t="shared" si="3"/>
        <v>1</v>
      </c>
      <c r="E32" s="680">
        <f t="shared" si="3"/>
        <v>1</v>
      </c>
      <c r="F32" s="680">
        <f t="shared" si="3"/>
        <v>1</v>
      </c>
      <c r="G32" s="680">
        <f t="shared" si="3"/>
        <v>1</v>
      </c>
      <c r="H32" s="680">
        <f t="shared" si="3"/>
        <v>1</v>
      </c>
      <c r="I32" s="680">
        <f t="shared" si="3"/>
        <v>1</v>
      </c>
      <c r="J32" s="680">
        <f t="shared" si="3"/>
        <v>1</v>
      </c>
      <c r="K32" s="680">
        <f t="shared" si="3"/>
        <v>1</v>
      </c>
      <c r="L32" s="680">
        <f t="shared" si="3"/>
        <v>1</v>
      </c>
      <c r="M32" s="680">
        <f t="shared" si="3"/>
        <v>1</v>
      </c>
      <c r="N32" s="680">
        <f t="shared" si="3"/>
        <v>1</v>
      </c>
      <c r="O32" s="680">
        <f t="shared" si="3"/>
        <v>1</v>
      </c>
      <c r="P32" s="680">
        <f t="shared" si="3"/>
        <v>1</v>
      </c>
      <c r="Q32" s="680">
        <f t="shared" si="3"/>
        <v>1</v>
      </c>
      <c r="R32" s="680">
        <f t="shared" si="3"/>
        <v>1</v>
      </c>
      <c r="S32" s="680">
        <f t="shared" si="3"/>
        <v>1</v>
      </c>
      <c r="T32" s="680">
        <f t="shared" si="3"/>
        <v>1</v>
      </c>
      <c r="U32" s="680">
        <f t="shared" si="3"/>
        <v>1</v>
      </c>
      <c r="V32" s="680">
        <f t="shared" si="3"/>
        <v>1</v>
      </c>
      <c r="W32" s="680">
        <f t="shared" si="3"/>
        <v>1</v>
      </c>
      <c r="X32" s="680">
        <f t="shared" si="3"/>
        <v>1</v>
      </c>
      <c r="Y32" s="680">
        <f t="shared" si="3"/>
        <v>1</v>
      </c>
      <c r="Z32" s="680">
        <f t="shared" si="3"/>
        <v>1</v>
      </c>
      <c r="AA32" s="680">
        <f t="shared" si="3"/>
        <v>1</v>
      </c>
      <c r="AB32" s="680">
        <f t="shared" si="3"/>
        <v>1</v>
      </c>
      <c r="AC32" s="680">
        <f t="shared" si="3"/>
        <v>1</v>
      </c>
      <c r="AD32" s="680">
        <f t="shared" si="3"/>
        <v>1</v>
      </c>
      <c r="AE32" s="680">
        <f t="shared" si="3"/>
        <v>1</v>
      </c>
      <c r="AF32" s="680">
        <f t="shared" si="3"/>
        <v>1</v>
      </c>
      <c r="AG32" s="680">
        <f t="shared" si="3"/>
        <v>1</v>
      </c>
      <c r="AH32" s="680">
        <f t="shared" si="3"/>
        <v>1</v>
      </c>
      <c r="AI32" s="680">
        <f t="shared" si="3"/>
        <v>1</v>
      </c>
      <c r="AJ32" s="680">
        <f t="shared" si="3"/>
        <v>1</v>
      </c>
      <c r="AK32" s="680">
        <f t="shared" si="3"/>
        <v>1</v>
      </c>
      <c r="AL32" s="680">
        <f t="shared" si="3"/>
        <v>1</v>
      </c>
      <c r="AM32" s="680">
        <f t="shared" si="3"/>
        <v>1</v>
      </c>
      <c r="AN32" s="680">
        <f t="shared" si="3"/>
        <v>1</v>
      </c>
      <c r="AO32" s="680">
        <f t="shared" si="3"/>
        <v>1</v>
      </c>
      <c r="AP32" s="680">
        <f t="shared" si="3"/>
        <v>1</v>
      </c>
    </row>
    <row r="33" spans="1:42" hidden="1">
      <c r="A33" s="672"/>
      <c r="B33" s="675">
        <v>90</v>
      </c>
      <c r="C33" s="680">
        <f t="shared" si="2"/>
        <v>1</v>
      </c>
      <c r="D33" s="680">
        <f t="shared" si="3"/>
        <v>1</v>
      </c>
      <c r="E33" s="680">
        <f t="shared" si="3"/>
        <v>1</v>
      </c>
      <c r="F33" s="680">
        <f t="shared" si="3"/>
        <v>1</v>
      </c>
      <c r="G33" s="680">
        <f t="shared" si="3"/>
        <v>1</v>
      </c>
      <c r="H33" s="680">
        <f t="shared" si="3"/>
        <v>1</v>
      </c>
      <c r="I33" s="680">
        <f t="shared" si="3"/>
        <v>1</v>
      </c>
      <c r="J33" s="680">
        <f t="shared" si="3"/>
        <v>1</v>
      </c>
      <c r="K33" s="680">
        <f t="shared" si="3"/>
        <v>1</v>
      </c>
      <c r="L33" s="680">
        <f t="shared" si="3"/>
        <v>1</v>
      </c>
      <c r="M33" s="680">
        <f t="shared" si="3"/>
        <v>1</v>
      </c>
      <c r="N33" s="680">
        <f t="shared" si="3"/>
        <v>1</v>
      </c>
      <c r="O33" s="680">
        <f t="shared" si="3"/>
        <v>1</v>
      </c>
      <c r="P33" s="680">
        <f t="shared" si="3"/>
        <v>1</v>
      </c>
      <c r="Q33" s="680">
        <f t="shared" si="3"/>
        <v>1</v>
      </c>
      <c r="R33" s="680">
        <f t="shared" si="3"/>
        <v>1</v>
      </c>
      <c r="S33" s="680">
        <f t="shared" si="3"/>
        <v>1</v>
      </c>
      <c r="T33" s="680">
        <f t="shared" si="3"/>
        <v>1</v>
      </c>
      <c r="U33" s="680">
        <f t="shared" si="3"/>
        <v>1</v>
      </c>
      <c r="V33" s="680">
        <f t="shared" si="3"/>
        <v>1</v>
      </c>
      <c r="W33" s="680">
        <f t="shared" si="3"/>
        <v>1</v>
      </c>
      <c r="X33" s="680">
        <f t="shared" si="3"/>
        <v>1</v>
      </c>
      <c r="Y33" s="680">
        <f t="shared" si="3"/>
        <v>1</v>
      </c>
      <c r="Z33" s="680">
        <f t="shared" si="3"/>
        <v>1</v>
      </c>
      <c r="AA33" s="680">
        <f t="shared" si="3"/>
        <v>1</v>
      </c>
      <c r="AB33" s="680">
        <f t="shared" si="3"/>
        <v>1</v>
      </c>
      <c r="AC33" s="680">
        <f t="shared" si="3"/>
        <v>1</v>
      </c>
      <c r="AD33" s="680">
        <f t="shared" si="3"/>
        <v>1</v>
      </c>
      <c r="AE33" s="680">
        <f t="shared" si="3"/>
        <v>1</v>
      </c>
      <c r="AF33" s="680">
        <f t="shared" si="3"/>
        <v>1</v>
      </c>
      <c r="AG33" s="680">
        <f t="shared" si="3"/>
        <v>1</v>
      </c>
      <c r="AH33" s="680">
        <f t="shared" si="3"/>
        <v>1</v>
      </c>
      <c r="AI33" s="680">
        <f t="shared" si="3"/>
        <v>1</v>
      </c>
      <c r="AJ33" s="680">
        <f t="shared" si="3"/>
        <v>1</v>
      </c>
      <c r="AK33" s="680">
        <f t="shared" si="3"/>
        <v>1</v>
      </c>
      <c r="AL33" s="680">
        <f t="shared" si="3"/>
        <v>1</v>
      </c>
      <c r="AM33" s="680">
        <f t="shared" si="3"/>
        <v>1</v>
      </c>
      <c r="AN33" s="680">
        <f t="shared" si="3"/>
        <v>1</v>
      </c>
      <c r="AO33" s="680">
        <f t="shared" si="3"/>
        <v>1</v>
      </c>
      <c r="AP33" s="680">
        <f t="shared" si="3"/>
        <v>1</v>
      </c>
    </row>
    <row r="34" spans="1:42" hidden="1">
      <c r="A34" s="672"/>
      <c r="B34" s="676">
        <v>85</v>
      </c>
      <c r="C34" s="680">
        <f t="shared" si="2"/>
        <v>1</v>
      </c>
      <c r="D34" s="680">
        <f t="shared" si="3"/>
        <v>1</v>
      </c>
      <c r="E34" s="680">
        <f t="shared" si="3"/>
        <v>1</v>
      </c>
      <c r="F34" s="680">
        <f t="shared" si="3"/>
        <v>1</v>
      </c>
      <c r="G34" s="680">
        <f t="shared" si="3"/>
        <v>1</v>
      </c>
      <c r="H34" s="680">
        <f t="shared" si="3"/>
        <v>1</v>
      </c>
      <c r="I34" s="680">
        <f t="shared" si="3"/>
        <v>1</v>
      </c>
      <c r="J34" s="680">
        <f t="shared" si="3"/>
        <v>1</v>
      </c>
      <c r="K34" s="680">
        <f t="shared" si="3"/>
        <v>1</v>
      </c>
      <c r="L34" s="680">
        <f t="shared" si="3"/>
        <v>1</v>
      </c>
      <c r="M34" s="680">
        <f t="shared" si="3"/>
        <v>1</v>
      </c>
      <c r="N34" s="680">
        <f t="shared" si="3"/>
        <v>1</v>
      </c>
      <c r="O34" s="680">
        <f t="shared" si="3"/>
        <v>1</v>
      </c>
      <c r="P34" s="680">
        <f t="shared" si="3"/>
        <v>1</v>
      </c>
      <c r="Q34" s="680">
        <f t="shared" si="3"/>
        <v>1</v>
      </c>
      <c r="R34" s="680">
        <f t="shared" si="3"/>
        <v>1</v>
      </c>
      <c r="S34" s="680">
        <f t="shared" si="3"/>
        <v>1</v>
      </c>
      <c r="T34" s="680">
        <f t="shared" si="3"/>
        <v>1</v>
      </c>
      <c r="U34" s="680">
        <f t="shared" si="3"/>
        <v>1</v>
      </c>
      <c r="V34" s="680">
        <f t="shared" si="3"/>
        <v>1</v>
      </c>
      <c r="W34" s="680">
        <f t="shared" si="3"/>
        <v>1</v>
      </c>
      <c r="X34" s="680">
        <f t="shared" si="3"/>
        <v>1</v>
      </c>
      <c r="Y34" s="680">
        <f t="shared" si="3"/>
        <v>1</v>
      </c>
      <c r="Z34" s="680">
        <f t="shared" si="3"/>
        <v>1</v>
      </c>
      <c r="AA34" s="680">
        <f t="shared" si="3"/>
        <v>1</v>
      </c>
      <c r="AB34" s="680">
        <f t="shared" si="3"/>
        <v>1</v>
      </c>
      <c r="AC34" s="680">
        <f t="shared" si="3"/>
        <v>1</v>
      </c>
      <c r="AD34" s="680">
        <f t="shared" si="3"/>
        <v>1</v>
      </c>
      <c r="AE34" s="680">
        <f t="shared" si="3"/>
        <v>1</v>
      </c>
      <c r="AF34" s="680">
        <f t="shared" si="3"/>
        <v>1</v>
      </c>
      <c r="AG34" s="680">
        <f t="shared" si="3"/>
        <v>1</v>
      </c>
      <c r="AH34" s="680">
        <f t="shared" si="3"/>
        <v>1</v>
      </c>
      <c r="AI34" s="680">
        <f t="shared" si="3"/>
        <v>1</v>
      </c>
      <c r="AJ34" s="680">
        <f t="shared" si="3"/>
        <v>1</v>
      </c>
      <c r="AK34" s="680">
        <f t="shared" si="3"/>
        <v>1</v>
      </c>
      <c r="AL34" s="680">
        <f t="shared" si="3"/>
        <v>1</v>
      </c>
      <c r="AM34" s="680">
        <f t="shared" si="3"/>
        <v>1</v>
      </c>
      <c r="AN34" s="680">
        <f t="shared" si="3"/>
        <v>1</v>
      </c>
      <c r="AO34" s="680">
        <f t="shared" si="3"/>
        <v>1</v>
      </c>
      <c r="AP34" s="680">
        <f t="shared" si="3"/>
        <v>1</v>
      </c>
    </row>
    <row r="35" spans="1:42" hidden="1">
      <c r="A35" s="672"/>
      <c r="B35" s="675">
        <v>80</v>
      </c>
      <c r="C35" s="680">
        <f t="shared" si="2"/>
        <v>1</v>
      </c>
      <c r="D35" s="680">
        <f t="shared" si="3"/>
        <v>1</v>
      </c>
      <c r="E35" s="680">
        <f t="shared" si="3"/>
        <v>1</v>
      </c>
      <c r="F35" s="680">
        <f t="shared" si="3"/>
        <v>1</v>
      </c>
      <c r="G35" s="680">
        <f t="shared" si="3"/>
        <v>1</v>
      </c>
      <c r="H35" s="680">
        <f t="shared" si="3"/>
        <v>1</v>
      </c>
      <c r="I35" s="680">
        <f t="shared" si="3"/>
        <v>1</v>
      </c>
      <c r="J35" s="680">
        <f t="shared" si="3"/>
        <v>1</v>
      </c>
      <c r="K35" s="680">
        <f t="shared" si="3"/>
        <v>1</v>
      </c>
      <c r="L35" s="680">
        <f t="shared" si="3"/>
        <v>1</v>
      </c>
      <c r="M35" s="680">
        <f t="shared" si="3"/>
        <v>1</v>
      </c>
      <c r="N35" s="680">
        <f t="shared" si="3"/>
        <v>1</v>
      </c>
      <c r="O35" s="680">
        <f t="shared" si="3"/>
        <v>1</v>
      </c>
      <c r="P35" s="680">
        <f t="shared" si="3"/>
        <v>1</v>
      </c>
      <c r="Q35" s="680">
        <f t="shared" si="3"/>
        <v>1</v>
      </c>
      <c r="R35" s="680">
        <f t="shared" si="3"/>
        <v>1</v>
      </c>
      <c r="S35" s="680">
        <f t="shared" si="3"/>
        <v>1</v>
      </c>
      <c r="T35" s="680">
        <f t="shared" si="3"/>
        <v>1</v>
      </c>
      <c r="U35" s="680">
        <f t="shared" si="3"/>
        <v>1</v>
      </c>
      <c r="V35" s="680">
        <f t="shared" si="3"/>
        <v>1</v>
      </c>
      <c r="W35" s="680">
        <f t="shared" si="3"/>
        <v>1</v>
      </c>
      <c r="X35" s="680">
        <f t="shared" si="3"/>
        <v>1</v>
      </c>
      <c r="Y35" s="680">
        <f t="shared" si="3"/>
        <v>1</v>
      </c>
      <c r="Z35" s="680">
        <f t="shared" si="3"/>
        <v>1</v>
      </c>
      <c r="AA35" s="680">
        <f t="shared" si="3"/>
        <v>1</v>
      </c>
      <c r="AB35" s="680">
        <f t="shared" si="3"/>
        <v>1</v>
      </c>
      <c r="AC35" s="680">
        <f t="shared" si="3"/>
        <v>1</v>
      </c>
      <c r="AD35" s="680">
        <f t="shared" si="3"/>
        <v>1</v>
      </c>
      <c r="AE35" s="680">
        <f t="shared" si="3"/>
        <v>1</v>
      </c>
      <c r="AF35" s="680">
        <f t="shared" si="3"/>
        <v>1</v>
      </c>
      <c r="AG35" s="680">
        <f t="shared" si="3"/>
        <v>1</v>
      </c>
      <c r="AH35" s="680">
        <f t="shared" si="3"/>
        <v>1</v>
      </c>
      <c r="AI35" s="680">
        <f t="shared" si="3"/>
        <v>1</v>
      </c>
      <c r="AJ35" s="680">
        <f t="shared" si="3"/>
        <v>1</v>
      </c>
      <c r="AK35" s="680">
        <f t="shared" si="3"/>
        <v>1</v>
      </c>
      <c r="AL35" s="680">
        <f t="shared" si="3"/>
        <v>1</v>
      </c>
      <c r="AM35" s="680">
        <f t="shared" si="3"/>
        <v>1</v>
      </c>
      <c r="AN35" s="680">
        <f t="shared" si="3"/>
        <v>1</v>
      </c>
      <c r="AO35" s="680">
        <f t="shared" si="3"/>
        <v>1</v>
      </c>
      <c r="AP35" s="680">
        <f t="shared" si="3"/>
        <v>1</v>
      </c>
    </row>
    <row r="36" spans="1:42" hidden="1">
      <c r="A36" s="672"/>
      <c r="B36" s="676">
        <v>75</v>
      </c>
      <c r="C36" s="680">
        <f t="shared" si="2"/>
        <v>1</v>
      </c>
      <c r="D36" s="680">
        <f t="shared" si="3"/>
        <v>1</v>
      </c>
      <c r="E36" s="680">
        <f t="shared" si="3"/>
        <v>1</v>
      </c>
      <c r="F36" s="680">
        <f t="shared" si="3"/>
        <v>1</v>
      </c>
      <c r="G36" s="680">
        <f t="shared" si="3"/>
        <v>1</v>
      </c>
      <c r="H36" s="680">
        <f t="shared" si="3"/>
        <v>1</v>
      </c>
      <c r="I36" s="680">
        <f t="shared" si="3"/>
        <v>1</v>
      </c>
      <c r="J36" s="680">
        <f t="shared" si="3"/>
        <v>1</v>
      </c>
      <c r="K36" s="680">
        <f t="shared" si="3"/>
        <v>1</v>
      </c>
      <c r="L36" s="680">
        <f t="shared" si="3"/>
        <v>1</v>
      </c>
      <c r="M36" s="680">
        <f t="shared" si="3"/>
        <v>1</v>
      </c>
      <c r="N36" s="680">
        <f t="shared" si="3"/>
        <v>1</v>
      </c>
      <c r="O36" s="680">
        <f t="shared" si="3"/>
        <v>1</v>
      </c>
      <c r="P36" s="680">
        <f t="shared" si="3"/>
        <v>1</v>
      </c>
      <c r="Q36" s="680">
        <f t="shared" si="3"/>
        <v>1</v>
      </c>
      <c r="R36" s="680">
        <f t="shared" si="3"/>
        <v>1</v>
      </c>
      <c r="S36" s="680">
        <f t="shared" si="3"/>
        <v>1</v>
      </c>
      <c r="T36" s="680">
        <f t="shared" si="3"/>
        <v>1</v>
      </c>
      <c r="U36" s="680">
        <f t="shared" si="3"/>
        <v>1</v>
      </c>
      <c r="V36" s="680">
        <f t="shared" si="3"/>
        <v>1</v>
      </c>
      <c r="W36" s="680">
        <f t="shared" si="3"/>
        <v>1</v>
      </c>
      <c r="X36" s="680">
        <f t="shared" si="3"/>
        <v>1</v>
      </c>
      <c r="Y36" s="680">
        <f t="shared" si="3"/>
        <v>1</v>
      </c>
      <c r="Z36" s="680">
        <f t="shared" si="3"/>
        <v>1</v>
      </c>
      <c r="AA36" s="680">
        <f t="shared" si="3"/>
        <v>1</v>
      </c>
      <c r="AB36" s="680">
        <f t="shared" si="3"/>
        <v>1</v>
      </c>
      <c r="AC36" s="680">
        <f t="shared" si="3"/>
        <v>1</v>
      </c>
      <c r="AD36" s="680">
        <f t="shared" si="3"/>
        <v>1</v>
      </c>
      <c r="AE36" s="680">
        <f t="shared" si="3"/>
        <v>1</v>
      </c>
      <c r="AF36" s="680">
        <f t="shared" si="3"/>
        <v>1</v>
      </c>
      <c r="AG36" s="680">
        <f t="shared" si="3"/>
        <v>1</v>
      </c>
      <c r="AH36" s="680">
        <f t="shared" si="3"/>
        <v>1</v>
      </c>
      <c r="AI36" s="680">
        <f t="shared" si="3"/>
        <v>1</v>
      </c>
      <c r="AJ36" s="680">
        <f t="shared" si="3"/>
        <v>1</v>
      </c>
      <c r="AK36" s="680">
        <f t="shared" si="3"/>
        <v>1</v>
      </c>
      <c r="AL36" s="680">
        <f t="shared" si="3"/>
        <v>1</v>
      </c>
      <c r="AM36" s="680">
        <f t="shared" si="3"/>
        <v>1</v>
      </c>
      <c r="AN36" s="680">
        <f t="shared" si="3"/>
        <v>1</v>
      </c>
      <c r="AO36" s="680">
        <f t="shared" si="3"/>
        <v>1</v>
      </c>
      <c r="AP36" s="680">
        <f t="shared" si="3"/>
        <v>1</v>
      </c>
    </row>
    <row r="37" spans="1:42" hidden="1">
      <c r="A37" s="672"/>
      <c r="B37" s="675">
        <v>70</v>
      </c>
      <c r="C37" s="680">
        <f t="shared" si="2"/>
        <v>1</v>
      </c>
      <c r="D37" s="680">
        <f t="shared" si="3"/>
        <v>1</v>
      </c>
      <c r="E37" s="680">
        <f t="shared" si="3"/>
        <v>1</v>
      </c>
      <c r="F37" s="680">
        <f t="shared" si="3"/>
        <v>1</v>
      </c>
      <c r="G37" s="680">
        <f t="shared" si="3"/>
        <v>1</v>
      </c>
      <c r="H37" s="680">
        <f t="shared" si="3"/>
        <v>1</v>
      </c>
      <c r="I37" s="680">
        <f t="shared" si="3"/>
        <v>1</v>
      </c>
      <c r="J37" s="680">
        <f t="shared" si="3"/>
        <v>1</v>
      </c>
      <c r="K37" s="680">
        <f t="shared" si="3"/>
        <v>1</v>
      </c>
      <c r="L37" s="680">
        <f t="shared" si="3"/>
        <v>1</v>
      </c>
      <c r="M37" s="680">
        <f t="shared" si="3"/>
        <v>1</v>
      </c>
      <c r="N37" s="680">
        <f t="shared" si="3"/>
        <v>1</v>
      </c>
      <c r="O37" s="680">
        <f t="shared" si="3"/>
        <v>1</v>
      </c>
      <c r="P37" s="680">
        <f t="shared" si="3"/>
        <v>1</v>
      </c>
      <c r="Q37" s="680">
        <f t="shared" si="3"/>
        <v>1</v>
      </c>
      <c r="R37" s="680">
        <f t="shared" si="3"/>
        <v>1</v>
      </c>
      <c r="S37" s="680">
        <f t="shared" si="3"/>
        <v>1</v>
      </c>
      <c r="T37" s="680">
        <f t="shared" si="3"/>
        <v>1</v>
      </c>
      <c r="U37" s="680">
        <f t="shared" si="3"/>
        <v>1</v>
      </c>
      <c r="V37" s="680">
        <f t="shared" si="3"/>
        <v>1</v>
      </c>
      <c r="W37" s="680">
        <f t="shared" si="3"/>
        <v>1</v>
      </c>
      <c r="X37" s="680">
        <f t="shared" si="3"/>
        <v>1</v>
      </c>
      <c r="Y37" s="680">
        <f t="shared" si="3"/>
        <v>1</v>
      </c>
      <c r="Z37" s="680">
        <f t="shared" si="3"/>
        <v>1</v>
      </c>
      <c r="AA37" s="680">
        <f t="shared" si="3"/>
        <v>1</v>
      </c>
      <c r="AB37" s="680">
        <f t="shared" si="3"/>
        <v>1</v>
      </c>
      <c r="AC37" s="680">
        <f t="shared" si="3"/>
        <v>1</v>
      </c>
      <c r="AD37" s="680">
        <f t="shared" si="3"/>
        <v>1</v>
      </c>
      <c r="AE37" s="680">
        <f t="shared" si="3"/>
        <v>1</v>
      </c>
      <c r="AF37" s="680">
        <f t="shared" si="3"/>
        <v>1</v>
      </c>
      <c r="AG37" s="680">
        <f t="shared" si="3"/>
        <v>1</v>
      </c>
      <c r="AH37" s="680">
        <f t="shared" si="3"/>
        <v>1</v>
      </c>
      <c r="AI37" s="680">
        <f t="shared" si="3"/>
        <v>1</v>
      </c>
      <c r="AJ37" s="680">
        <f t="shared" si="3"/>
        <v>1</v>
      </c>
      <c r="AK37" s="680">
        <f t="shared" si="3"/>
        <v>1</v>
      </c>
      <c r="AL37" s="680">
        <f t="shared" si="3"/>
        <v>1</v>
      </c>
      <c r="AM37" s="680">
        <f t="shared" si="3"/>
        <v>1</v>
      </c>
      <c r="AN37" s="680">
        <f t="shared" ref="D37:AP44" si="4">IF($B14&gt;AN$29,1,IF($B14&lt;AN$29,0,0))</f>
        <v>1</v>
      </c>
      <c r="AO37" s="680">
        <f t="shared" si="4"/>
        <v>1</v>
      </c>
      <c r="AP37" s="680">
        <f t="shared" si="4"/>
        <v>1</v>
      </c>
    </row>
    <row r="38" spans="1:42" hidden="1">
      <c r="A38" s="672"/>
      <c r="B38" s="676">
        <v>65</v>
      </c>
      <c r="C38" s="680">
        <f t="shared" si="2"/>
        <v>1</v>
      </c>
      <c r="D38" s="680">
        <f t="shared" si="4"/>
        <v>1</v>
      </c>
      <c r="E38" s="680">
        <f t="shared" si="4"/>
        <v>1</v>
      </c>
      <c r="F38" s="680">
        <f t="shared" si="4"/>
        <v>1</v>
      </c>
      <c r="G38" s="680">
        <f t="shared" si="4"/>
        <v>1</v>
      </c>
      <c r="H38" s="680">
        <f t="shared" si="4"/>
        <v>1</v>
      </c>
      <c r="I38" s="680">
        <f t="shared" si="4"/>
        <v>0</v>
      </c>
      <c r="J38" s="680">
        <f t="shared" si="4"/>
        <v>0</v>
      </c>
      <c r="K38" s="680">
        <f t="shared" si="4"/>
        <v>0</v>
      </c>
      <c r="L38" s="680">
        <f t="shared" si="4"/>
        <v>0</v>
      </c>
      <c r="M38" s="680">
        <f t="shared" si="4"/>
        <v>0</v>
      </c>
      <c r="N38" s="680">
        <f t="shared" si="4"/>
        <v>0</v>
      </c>
      <c r="O38" s="680">
        <f t="shared" si="4"/>
        <v>0</v>
      </c>
      <c r="P38" s="680">
        <f t="shared" si="4"/>
        <v>0</v>
      </c>
      <c r="Q38" s="680">
        <f t="shared" si="4"/>
        <v>0</v>
      </c>
      <c r="R38" s="680">
        <f t="shared" si="4"/>
        <v>0</v>
      </c>
      <c r="S38" s="680">
        <f t="shared" si="4"/>
        <v>0</v>
      </c>
      <c r="T38" s="680">
        <f t="shared" si="4"/>
        <v>0</v>
      </c>
      <c r="U38" s="680">
        <f t="shared" si="4"/>
        <v>0</v>
      </c>
      <c r="V38" s="680">
        <f t="shared" si="4"/>
        <v>0</v>
      </c>
      <c r="W38" s="680">
        <f t="shared" si="4"/>
        <v>0</v>
      </c>
      <c r="X38" s="680">
        <f t="shared" si="4"/>
        <v>0</v>
      </c>
      <c r="Y38" s="680">
        <f t="shared" si="4"/>
        <v>0</v>
      </c>
      <c r="Z38" s="680">
        <f t="shared" si="4"/>
        <v>0</v>
      </c>
      <c r="AA38" s="680">
        <f t="shared" si="4"/>
        <v>0</v>
      </c>
      <c r="AB38" s="680">
        <f t="shared" si="4"/>
        <v>0</v>
      </c>
      <c r="AC38" s="680">
        <f t="shared" si="4"/>
        <v>0</v>
      </c>
      <c r="AD38" s="680">
        <f t="shared" si="4"/>
        <v>0</v>
      </c>
      <c r="AE38" s="680">
        <f t="shared" si="4"/>
        <v>0</v>
      </c>
      <c r="AF38" s="680">
        <f t="shared" si="4"/>
        <v>0</v>
      </c>
      <c r="AG38" s="680">
        <f t="shared" si="4"/>
        <v>0</v>
      </c>
      <c r="AH38" s="680">
        <f t="shared" si="4"/>
        <v>0</v>
      </c>
      <c r="AI38" s="680">
        <f t="shared" si="4"/>
        <v>0</v>
      </c>
      <c r="AJ38" s="680">
        <f t="shared" si="4"/>
        <v>0</v>
      </c>
      <c r="AK38" s="680">
        <f t="shared" si="4"/>
        <v>0</v>
      </c>
      <c r="AL38" s="680">
        <f t="shared" si="4"/>
        <v>0</v>
      </c>
      <c r="AM38" s="680">
        <f t="shared" si="4"/>
        <v>0</v>
      </c>
      <c r="AN38" s="680">
        <f t="shared" si="4"/>
        <v>0</v>
      </c>
      <c r="AO38" s="680">
        <f t="shared" si="4"/>
        <v>0</v>
      </c>
      <c r="AP38" s="680">
        <f t="shared" si="4"/>
        <v>0</v>
      </c>
    </row>
    <row r="39" spans="1:42" hidden="1">
      <c r="A39" s="672"/>
      <c r="B39" s="675">
        <v>60</v>
      </c>
      <c r="C39" s="680">
        <f t="shared" si="2"/>
        <v>0</v>
      </c>
      <c r="D39" s="680">
        <f t="shared" si="4"/>
        <v>0</v>
      </c>
      <c r="E39" s="680">
        <f t="shared" si="4"/>
        <v>0</v>
      </c>
      <c r="F39" s="680">
        <f t="shared" si="4"/>
        <v>0</v>
      </c>
      <c r="G39" s="680">
        <f t="shared" si="4"/>
        <v>0</v>
      </c>
      <c r="H39" s="680">
        <f t="shared" si="4"/>
        <v>0</v>
      </c>
      <c r="I39" s="680">
        <f t="shared" si="4"/>
        <v>0</v>
      </c>
      <c r="J39" s="680">
        <f t="shared" si="4"/>
        <v>0</v>
      </c>
      <c r="K39" s="680">
        <f t="shared" si="4"/>
        <v>0</v>
      </c>
      <c r="L39" s="680">
        <f t="shared" si="4"/>
        <v>0</v>
      </c>
      <c r="M39" s="680">
        <f t="shared" si="4"/>
        <v>0</v>
      </c>
      <c r="N39" s="680">
        <f t="shared" si="4"/>
        <v>0</v>
      </c>
      <c r="O39" s="680">
        <f t="shared" si="4"/>
        <v>0</v>
      </c>
      <c r="P39" s="680">
        <f t="shared" si="4"/>
        <v>0</v>
      </c>
      <c r="Q39" s="680">
        <f t="shared" si="4"/>
        <v>0</v>
      </c>
      <c r="R39" s="680">
        <f t="shared" si="4"/>
        <v>0</v>
      </c>
      <c r="S39" s="680">
        <f t="shared" si="4"/>
        <v>0</v>
      </c>
      <c r="T39" s="680">
        <f t="shared" si="4"/>
        <v>0</v>
      </c>
      <c r="U39" s="680">
        <f t="shared" si="4"/>
        <v>0</v>
      </c>
      <c r="V39" s="680">
        <f t="shared" si="4"/>
        <v>0</v>
      </c>
      <c r="W39" s="680">
        <f t="shared" si="4"/>
        <v>0</v>
      </c>
      <c r="X39" s="680">
        <f t="shared" si="4"/>
        <v>0</v>
      </c>
      <c r="Y39" s="680">
        <f t="shared" si="4"/>
        <v>0</v>
      </c>
      <c r="Z39" s="680">
        <f t="shared" si="4"/>
        <v>0</v>
      </c>
      <c r="AA39" s="680">
        <f t="shared" si="4"/>
        <v>0</v>
      </c>
      <c r="AB39" s="680">
        <f t="shared" si="4"/>
        <v>0</v>
      </c>
      <c r="AC39" s="680">
        <f t="shared" si="4"/>
        <v>0</v>
      </c>
      <c r="AD39" s="680">
        <f t="shared" si="4"/>
        <v>0</v>
      </c>
      <c r="AE39" s="680">
        <f t="shared" si="4"/>
        <v>0</v>
      </c>
      <c r="AF39" s="680">
        <f t="shared" si="4"/>
        <v>0</v>
      </c>
      <c r="AG39" s="680">
        <f t="shared" si="4"/>
        <v>0</v>
      </c>
      <c r="AH39" s="680">
        <f t="shared" si="4"/>
        <v>0</v>
      </c>
      <c r="AI39" s="680">
        <f t="shared" si="4"/>
        <v>0</v>
      </c>
      <c r="AJ39" s="680">
        <f t="shared" si="4"/>
        <v>0</v>
      </c>
      <c r="AK39" s="680">
        <f t="shared" si="4"/>
        <v>0</v>
      </c>
      <c r="AL39" s="680">
        <f t="shared" si="4"/>
        <v>0</v>
      </c>
      <c r="AM39" s="680">
        <f t="shared" si="4"/>
        <v>0</v>
      </c>
      <c r="AN39" s="680">
        <f t="shared" si="4"/>
        <v>0</v>
      </c>
      <c r="AO39" s="680">
        <f t="shared" si="4"/>
        <v>0</v>
      </c>
      <c r="AP39" s="680">
        <f t="shared" si="4"/>
        <v>0</v>
      </c>
    </row>
    <row r="40" spans="1:42" hidden="1">
      <c r="A40" s="672"/>
      <c r="B40" s="676">
        <v>55</v>
      </c>
      <c r="C40" s="680">
        <f t="shared" si="2"/>
        <v>0</v>
      </c>
      <c r="D40" s="680">
        <f t="shared" si="4"/>
        <v>0</v>
      </c>
      <c r="E40" s="680">
        <f t="shared" si="4"/>
        <v>0</v>
      </c>
      <c r="F40" s="680">
        <f t="shared" si="4"/>
        <v>0</v>
      </c>
      <c r="G40" s="680">
        <f t="shared" si="4"/>
        <v>0</v>
      </c>
      <c r="H40" s="680">
        <f t="shared" si="4"/>
        <v>0</v>
      </c>
      <c r="I40" s="680">
        <f t="shared" si="4"/>
        <v>0</v>
      </c>
      <c r="J40" s="680">
        <f t="shared" si="4"/>
        <v>0</v>
      </c>
      <c r="K40" s="680">
        <f t="shared" si="4"/>
        <v>0</v>
      </c>
      <c r="L40" s="680">
        <f t="shared" si="4"/>
        <v>0</v>
      </c>
      <c r="M40" s="680">
        <f t="shared" si="4"/>
        <v>0</v>
      </c>
      <c r="N40" s="680">
        <f t="shared" si="4"/>
        <v>0</v>
      </c>
      <c r="O40" s="680">
        <f t="shared" si="4"/>
        <v>0</v>
      </c>
      <c r="P40" s="680">
        <f t="shared" si="4"/>
        <v>0</v>
      </c>
      <c r="Q40" s="680">
        <f t="shared" si="4"/>
        <v>0</v>
      </c>
      <c r="R40" s="680">
        <f t="shared" si="4"/>
        <v>0</v>
      </c>
      <c r="S40" s="680">
        <f t="shared" si="4"/>
        <v>0</v>
      </c>
      <c r="T40" s="680">
        <f t="shared" si="4"/>
        <v>0</v>
      </c>
      <c r="U40" s="680">
        <f t="shared" si="4"/>
        <v>0</v>
      </c>
      <c r="V40" s="680">
        <f t="shared" si="4"/>
        <v>0</v>
      </c>
      <c r="W40" s="680">
        <f t="shared" si="4"/>
        <v>0</v>
      </c>
      <c r="X40" s="680">
        <f t="shared" si="4"/>
        <v>0</v>
      </c>
      <c r="Y40" s="680">
        <f t="shared" si="4"/>
        <v>0</v>
      </c>
      <c r="Z40" s="680">
        <f t="shared" si="4"/>
        <v>0</v>
      </c>
      <c r="AA40" s="680">
        <f t="shared" si="4"/>
        <v>0</v>
      </c>
      <c r="AB40" s="680">
        <f t="shared" si="4"/>
        <v>0</v>
      </c>
      <c r="AC40" s="680">
        <f t="shared" si="4"/>
        <v>0</v>
      </c>
      <c r="AD40" s="680">
        <f t="shared" si="4"/>
        <v>0</v>
      </c>
      <c r="AE40" s="680">
        <f t="shared" si="4"/>
        <v>0</v>
      </c>
      <c r="AF40" s="680">
        <f t="shared" si="4"/>
        <v>0</v>
      </c>
      <c r="AG40" s="680">
        <f t="shared" si="4"/>
        <v>0</v>
      </c>
      <c r="AH40" s="680">
        <f t="shared" si="4"/>
        <v>0</v>
      </c>
      <c r="AI40" s="680">
        <f t="shared" si="4"/>
        <v>0</v>
      </c>
      <c r="AJ40" s="680">
        <f t="shared" si="4"/>
        <v>0</v>
      </c>
      <c r="AK40" s="680">
        <f t="shared" si="4"/>
        <v>0</v>
      </c>
      <c r="AL40" s="680">
        <f t="shared" si="4"/>
        <v>0</v>
      </c>
      <c r="AM40" s="680">
        <f t="shared" si="4"/>
        <v>0</v>
      </c>
      <c r="AN40" s="680">
        <f t="shared" si="4"/>
        <v>0</v>
      </c>
      <c r="AO40" s="680">
        <f t="shared" si="4"/>
        <v>0</v>
      </c>
      <c r="AP40" s="680">
        <f t="shared" si="4"/>
        <v>0</v>
      </c>
    </row>
    <row r="41" spans="1:42" hidden="1">
      <c r="A41" s="672"/>
      <c r="B41" s="675">
        <v>50</v>
      </c>
      <c r="C41" s="680">
        <f t="shared" si="2"/>
        <v>0</v>
      </c>
      <c r="D41" s="680">
        <f t="shared" si="4"/>
        <v>0</v>
      </c>
      <c r="E41" s="680">
        <f t="shared" si="4"/>
        <v>0</v>
      </c>
      <c r="F41" s="680">
        <f t="shared" si="4"/>
        <v>0</v>
      </c>
      <c r="G41" s="680">
        <f t="shared" si="4"/>
        <v>0</v>
      </c>
      <c r="H41" s="680">
        <f t="shared" si="4"/>
        <v>0</v>
      </c>
      <c r="I41" s="680">
        <f t="shared" si="4"/>
        <v>0</v>
      </c>
      <c r="J41" s="680">
        <f t="shared" si="4"/>
        <v>0</v>
      </c>
      <c r="K41" s="680">
        <f t="shared" si="4"/>
        <v>0</v>
      </c>
      <c r="L41" s="680">
        <f t="shared" si="4"/>
        <v>0</v>
      </c>
      <c r="M41" s="680">
        <f t="shared" si="4"/>
        <v>0</v>
      </c>
      <c r="N41" s="680">
        <f t="shared" si="4"/>
        <v>0</v>
      </c>
      <c r="O41" s="680">
        <f t="shared" si="4"/>
        <v>0</v>
      </c>
      <c r="P41" s="680">
        <f t="shared" si="4"/>
        <v>0</v>
      </c>
      <c r="Q41" s="680">
        <f t="shared" si="4"/>
        <v>0</v>
      </c>
      <c r="R41" s="680">
        <f t="shared" si="4"/>
        <v>0</v>
      </c>
      <c r="S41" s="680">
        <f t="shared" si="4"/>
        <v>0</v>
      </c>
      <c r="T41" s="680">
        <f t="shared" si="4"/>
        <v>0</v>
      </c>
      <c r="U41" s="680">
        <f t="shared" si="4"/>
        <v>0</v>
      </c>
      <c r="V41" s="680">
        <f t="shared" si="4"/>
        <v>0</v>
      </c>
      <c r="W41" s="680">
        <f t="shared" si="4"/>
        <v>0</v>
      </c>
      <c r="X41" s="680">
        <f t="shared" si="4"/>
        <v>0</v>
      </c>
      <c r="Y41" s="680">
        <f t="shared" si="4"/>
        <v>0</v>
      </c>
      <c r="Z41" s="680">
        <f t="shared" si="4"/>
        <v>0</v>
      </c>
      <c r="AA41" s="680">
        <f t="shared" si="4"/>
        <v>0</v>
      </c>
      <c r="AB41" s="680">
        <f t="shared" si="4"/>
        <v>0</v>
      </c>
      <c r="AC41" s="680">
        <f t="shared" si="4"/>
        <v>0</v>
      </c>
      <c r="AD41" s="680">
        <f t="shared" si="4"/>
        <v>0</v>
      </c>
      <c r="AE41" s="680">
        <f t="shared" si="4"/>
        <v>0</v>
      </c>
      <c r="AF41" s="680">
        <f t="shared" si="4"/>
        <v>0</v>
      </c>
      <c r="AG41" s="680">
        <f t="shared" si="4"/>
        <v>0</v>
      </c>
      <c r="AH41" s="680">
        <f t="shared" si="4"/>
        <v>0</v>
      </c>
      <c r="AI41" s="680">
        <f t="shared" si="4"/>
        <v>0</v>
      </c>
      <c r="AJ41" s="680">
        <f t="shared" si="4"/>
        <v>0</v>
      </c>
      <c r="AK41" s="680">
        <f t="shared" si="4"/>
        <v>0</v>
      </c>
      <c r="AL41" s="680">
        <f t="shared" si="4"/>
        <v>0</v>
      </c>
      <c r="AM41" s="680">
        <f t="shared" si="4"/>
        <v>0</v>
      </c>
      <c r="AN41" s="680">
        <f t="shared" si="4"/>
        <v>0</v>
      </c>
      <c r="AO41" s="680">
        <f t="shared" si="4"/>
        <v>0</v>
      </c>
      <c r="AP41" s="680">
        <f t="shared" si="4"/>
        <v>0</v>
      </c>
    </row>
    <row r="42" spans="1:42" hidden="1">
      <c r="A42" s="672"/>
      <c r="B42" s="676">
        <v>45</v>
      </c>
      <c r="C42" s="680">
        <f t="shared" si="2"/>
        <v>0</v>
      </c>
      <c r="D42" s="680">
        <f t="shared" si="4"/>
        <v>0</v>
      </c>
      <c r="E42" s="680">
        <f t="shared" si="4"/>
        <v>0</v>
      </c>
      <c r="F42" s="680">
        <f t="shared" si="4"/>
        <v>0</v>
      </c>
      <c r="G42" s="680">
        <f t="shared" si="4"/>
        <v>0</v>
      </c>
      <c r="H42" s="680">
        <f t="shared" si="4"/>
        <v>0</v>
      </c>
      <c r="I42" s="680">
        <f t="shared" si="4"/>
        <v>0</v>
      </c>
      <c r="J42" s="680">
        <f t="shared" si="4"/>
        <v>0</v>
      </c>
      <c r="K42" s="680">
        <f t="shared" si="4"/>
        <v>0</v>
      </c>
      <c r="L42" s="680">
        <f t="shared" si="4"/>
        <v>0</v>
      </c>
      <c r="M42" s="680">
        <f t="shared" si="4"/>
        <v>0</v>
      </c>
      <c r="N42" s="680">
        <f t="shared" si="4"/>
        <v>0</v>
      </c>
      <c r="O42" s="680">
        <f t="shared" si="4"/>
        <v>0</v>
      </c>
      <c r="P42" s="680">
        <f t="shared" si="4"/>
        <v>0</v>
      </c>
      <c r="Q42" s="680">
        <f t="shared" si="4"/>
        <v>0</v>
      </c>
      <c r="R42" s="680">
        <f t="shared" si="4"/>
        <v>0</v>
      </c>
      <c r="S42" s="680">
        <f t="shared" si="4"/>
        <v>0</v>
      </c>
      <c r="T42" s="680">
        <f t="shared" si="4"/>
        <v>0</v>
      </c>
      <c r="U42" s="680">
        <f t="shared" si="4"/>
        <v>0</v>
      </c>
      <c r="V42" s="680">
        <f t="shared" si="4"/>
        <v>0</v>
      </c>
      <c r="W42" s="680">
        <f t="shared" si="4"/>
        <v>0</v>
      </c>
      <c r="X42" s="680">
        <f t="shared" si="4"/>
        <v>0</v>
      </c>
      <c r="Y42" s="680">
        <f t="shared" si="4"/>
        <v>0</v>
      </c>
      <c r="Z42" s="680">
        <f t="shared" si="4"/>
        <v>0</v>
      </c>
      <c r="AA42" s="680">
        <f t="shared" si="4"/>
        <v>0</v>
      </c>
      <c r="AB42" s="680">
        <f t="shared" si="4"/>
        <v>0</v>
      </c>
      <c r="AC42" s="680">
        <f t="shared" si="4"/>
        <v>0</v>
      </c>
      <c r="AD42" s="680">
        <f t="shared" si="4"/>
        <v>0</v>
      </c>
      <c r="AE42" s="680">
        <f t="shared" si="4"/>
        <v>0</v>
      </c>
      <c r="AF42" s="680">
        <f t="shared" si="4"/>
        <v>0</v>
      </c>
      <c r="AG42" s="680">
        <f t="shared" si="4"/>
        <v>0</v>
      </c>
      <c r="AH42" s="680">
        <f t="shared" si="4"/>
        <v>0</v>
      </c>
      <c r="AI42" s="680">
        <f t="shared" si="4"/>
        <v>0</v>
      </c>
      <c r="AJ42" s="680">
        <f t="shared" si="4"/>
        <v>0</v>
      </c>
      <c r="AK42" s="680">
        <f t="shared" si="4"/>
        <v>0</v>
      </c>
      <c r="AL42" s="680">
        <f t="shared" si="4"/>
        <v>0</v>
      </c>
      <c r="AM42" s="680">
        <f t="shared" si="4"/>
        <v>0</v>
      </c>
      <c r="AN42" s="680">
        <f t="shared" si="4"/>
        <v>0</v>
      </c>
      <c r="AO42" s="680">
        <f t="shared" si="4"/>
        <v>0</v>
      </c>
      <c r="AP42" s="680">
        <f t="shared" si="4"/>
        <v>0</v>
      </c>
    </row>
    <row r="43" spans="1:42" hidden="1">
      <c r="A43" s="672"/>
      <c r="B43" s="675">
        <v>40</v>
      </c>
      <c r="C43" s="680">
        <f t="shared" si="2"/>
        <v>0</v>
      </c>
      <c r="D43" s="680">
        <f t="shared" si="4"/>
        <v>0</v>
      </c>
      <c r="E43" s="680">
        <f t="shared" si="4"/>
        <v>0</v>
      </c>
      <c r="F43" s="680">
        <f t="shared" si="4"/>
        <v>0</v>
      </c>
      <c r="G43" s="680">
        <f t="shared" si="4"/>
        <v>0</v>
      </c>
      <c r="H43" s="680">
        <f t="shared" si="4"/>
        <v>0</v>
      </c>
      <c r="I43" s="680">
        <f t="shared" si="4"/>
        <v>0</v>
      </c>
      <c r="J43" s="680">
        <f t="shared" si="4"/>
        <v>0</v>
      </c>
      <c r="K43" s="680">
        <f t="shared" si="4"/>
        <v>0</v>
      </c>
      <c r="L43" s="680">
        <f t="shared" si="4"/>
        <v>0</v>
      </c>
      <c r="M43" s="680">
        <f t="shared" si="4"/>
        <v>0</v>
      </c>
      <c r="N43" s="680">
        <f t="shared" si="4"/>
        <v>0</v>
      </c>
      <c r="O43" s="680">
        <f t="shared" si="4"/>
        <v>0</v>
      </c>
      <c r="P43" s="680">
        <f t="shared" si="4"/>
        <v>0</v>
      </c>
      <c r="Q43" s="680">
        <f t="shared" si="4"/>
        <v>0</v>
      </c>
      <c r="R43" s="680">
        <f t="shared" si="4"/>
        <v>0</v>
      </c>
      <c r="S43" s="680">
        <f t="shared" si="4"/>
        <v>0</v>
      </c>
      <c r="T43" s="680">
        <f t="shared" si="4"/>
        <v>0</v>
      </c>
      <c r="U43" s="680">
        <f t="shared" si="4"/>
        <v>0</v>
      </c>
      <c r="V43" s="680">
        <f t="shared" si="4"/>
        <v>0</v>
      </c>
      <c r="W43" s="680">
        <f t="shared" si="4"/>
        <v>0</v>
      </c>
      <c r="X43" s="680">
        <f t="shared" si="4"/>
        <v>0</v>
      </c>
      <c r="Y43" s="680">
        <f t="shared" si="4"/>
        <v>0</v>
      </c>
      <c r="Z43" s="680">
        <f t="shared" si="4"/>
        <v>0</v>
      </c>
      <c r="AA43" s="680">
        <f t="shared" si="4"/>
        <v>0</v>
      </c>
      <c r="AB43" s="680">
        <f t="shared" si="4"/>
        <v>0</v>
      </c>
      <c r="AC43" s="680">
        <f t="shared" si="4"/>
        <v>0</v>
      </c>
      <c r="AD43" s="680">
        <f t="shared" si="4"/>
        <v>0</v>
      </c>
      <c r="AE43" s="680">
        <f t="shared" si="4"/>
        <v>0</v>
      </c>
      <c r="AF43" s="680">
        <f t="shared" si="4"/>
        <v>0</v>
      </c>
      <c r="AG43" s="680">
        <f t="shared" si="4"/>
        <v>0</v>
      </c>
      <c r="AH43" s="680">
        <f t="shared" si="4"/>
        <v>0</v>
      </c>
      <c r="AI43" s="680">
        <f t="shared" si="4"/>
        <v>0</v>
      </c>
      <c r="AJ43" s="680">
        <f t="shared" si="4"/>
        <v>0</v>
      </c>
      <c r="AK43" s="680">
        <f t="shared" si="4"/>
        <v>0</v>
      </c>
      <c r="AL43" s="680">
        <f t="shared" si="4"/>
        <v>0</v>
      </c>
      <c r="AM43" s="680">
        <f t="shared" si="4"/>
        <v>0</v>
      </c>
      <c r="AN43" s="680">
        <f t="shared" si="4"/>
        <v>0</v>
      </c>
      <c r="AO43" s="680">
        <f t="shared" si="4"/>
        <v>0</v>
      </c>
      <c r="AP43" s="680">
        <f t="shared" si="4"/>
        <v>0</v>
      </c>
    </row>
    <row r="44" spans="1:42" hidden="1">
      <c r="A44" s="672"/>
      <c r="B44" s="676">
        <v>35</v>
      </c>
      <c r="C44" s="680">
        <f t="shared" si="2"/>
        <v>0</v>
      </c>
      <c r="D44" s="680">
        <f t="shared" si="4"/>
        <v>0</v>
      </c>
      <c r="E44" s="680">
        <f t="shared" si="4"/>
        <v>0</v>
      </c>
      <c r="F44" s="680">
        <f t="shared" si="4"/>
        <v>0</v>
      </c>
      <c r="G44" s="680">
        <f t="shared" si="4"/>
        <v>0</v>
      </c>
      <c r="H44" s="680">
        <f t="shared" si="4"/>
        <v>0</v>
      </c>
      <c r="I44" s="680">
        <f t="shared" si="4"/>
        <v>0</v>
      </c>
      <c r="J44" s="680">
        <f t="shared" si="4"/>
        <v>0</v>
      </c>
      <c r="K44" s="680">
        <f t="shared" si="4"/>
        <v>0</v>
      </c>
      <c r="L44" s="680">
        <f t="shared" si="4"/>
        <v>0</v>
      </c>
      <c r="M44" s="680">
        <f t="shared" si="4"/>
        <v>0</v>
      </c>
      <c r="N44" s="680">
        <f t="shared" si="4"/>
        <v>0</v>
      </c>
      <c r="O44" s="680">
        <f t="shared" si="4"/>
        <v>0</v>
      </c>
      <c r="P44" s="680">
        <f t="shared" si="4"/>
        <v>0</v>
      </c>
      <c r="Q44" s="680">
        <f t="shared" si="4"/>
        <v>0</v>
      </c>
      <c r="R44" s="680">
        <f t="shared" si="4"/>
        <v>0</v>
      </c>
      <c r="S44" s="680">
        <f t="shared" si="4"/>
        <v>0</v>
      </c>
      <c r="T44" s="680">
        <f t="shared" si="4"/>
        <v>0</v>
      </c>
      <c r="U44" s="680">
        <f t="shared" si="4"/>
        <v>0</v>
      </c>
      <c r="V44" s="680">
        <f t="shared" ref="D44:AP49" si="5">IF($B21&gt;V$29,1,IF($B21&lt;V$29,0,0))</f>
        <v>0</v>
      </c>
      <c r="W44" s="680">
        <f t="shared" si="5"/>
        <v>0</v>
      </c>
      <c r="X44" s="680">
        <f t="shared" si="5"/>
        <v>0</v>
      </c>
      <c r="Y44" s="680">
        <f t="shared" si="5"/>
        <v>0</v>
      </c>
      <c r="Z44" s="680">
        <f t="shared" si="5"/>
        <v>0</v>
      </c>
      <c r="AA44" s="680">
        <f t="shared" si="5"/>
        <v>0</v>
      </c>
      <c r="AB44" s="680">
        <f t="shared" si="5"/>
        <v>0</v>
      </c>
      <c r="AC44" s="680">
        <f t="shared" si="5"/>
        <v>0</v>
      </c>
      <c r="AD44" s="680">
        <f t="shared" si="5"/>
        <v>0</v>
      </c>
      <c r="AE44" s="680">
        <f t="shared" si="5"/>
        <v>0</v>
      </c>
      <c r="AF44" s="680">
        <f t="shared" si="5"/>
        <v>0</v>
      </c>
      <c r="AG44" s="680">
        <f t="shared" si="5"/>
        <v>0</v>
      </c>
      <c r="AH44" s="680">
        <f t="shared" si="5"/>
        <v>0</v>
      </c>
      <c r="AI44" s="680">
        <f t="shared" si="5"/>
        <v>0</v>
      </c>
      <c r="AJ44" s="680">
        <f t="shared" si="5"/>
        <v>0</v>
      </c>
      <c r="AK44" s="680">
        <f t="shared" si="5"/>
        <v>0</v>
      </c>
      <c r="AL44" s="680">
        <f t="shared" si="5"/>
        <v>0</v>
      </c>
      <c r="AM44" s="680">
        <f t="shared" si="5"/>
        <v>0</v>
      </c>
      <c r="AN44" s="680">
        <f t="shared" si="5"/>
        <v>0</v>
      </c>
      <c r="AO44" s="680">
        <f t="shared" si="5"/>
        <v>0</v>
      </c>
      <c r="AP44" s="680">
        <f t="shared" si="5"/>
        <v>0</v>
      </c>
    </row>
    <row r="45" spans="1:42" hidden="1">
      <c r="A45" s="672"/>
      <c r="B45" s="675">
        <v>30</v>
      </c>
      <c r="C45" s="680">
        <f t="shared" si="2"/>
        <v>0</v>
      </c>
      <c r="D45" s="680">
        <f t="shared" si="5"/>
        <v>0</v>
      </c>
      <c r="E45" s="680">
        <f t="shared" si="5"/>
        <v>0</v>
      </c>
      <c r="F45" s="680">
        <f t="shared" si="5"/>
        <v>0</v>
      </c>
      <c r="G45" s="680">
        <f t="shared" si="5"/>
        <v>0</v>
      </c>
      <c r="H45" s="680">
        <f t="shared" si="5"/>
        <v>0</v>
      </c>
      <c r="I45" s="680">
        <f t="shared" si="5"/>
        <v>0</v>
      </c>
      <c r="J45" s="680">
        <f t="shared" si="5"/>
        <v>0</v>
      </c>
      <c r="K45" s="680">
        <f t="shared" si="5"/>
        <v>0</v>
      </c>
      <c r="L45" s="680">
        <f t="shared" si="5"/>
        <v>0</v>
      </c>
      <c r="M45" s="680">
        <f t="shared" si="5"/>
        <v>0</v>
      </c>
      <c r="N45" s="680">
        <f t="shared" si="5"/>
        <v>0</v>
      </c>
      <c r="O45" s="680">
        <f t="shared" si="5"/>
        <v>0</v>
      </c>
      <c r="P45" s="680">
        <f t="shared" si="5"/>
        <v>0</v>
      </c>
      <c r="Q45" s="680">
        <f t="shared" si="5"/>
        <v>0</v>
      </c>
      <c r="R45" s="680">
        <f t="shared" si="5"/>
        <v>0</v>
      </c>
      <c r="S45" s="680">
        <f t="shared" si="5"/>
        <v>0</v>
      </c>
      <c r="T45" s="680">
        <f t="shared" si="5"/>
        <v>0</v>
      </c>
      <c r="U45" s="680">
        <f t="shared" si="5"/>
        <v>0</v>
      </c>
      <c r="V45" s="680">
        <f t="shared" si="5"/>
        <v>0</v>
      </c>
      <c r="W45" s="680">
        <f t="shared" si="5"/>
        <v>0</v>
      </c>
      <c r="X45" s="680">
        <f t="shared" si="5"/>
        <v>0</v>
      </c>
      <c r="Y45" s="680">
        <f t="shared" si="5"/>
        <v>0</v>
      </c>
      <c r="Z45" s="680">
        <f t="shared" si="5"/>
        <v>0</v>
      </c>
      <c r="AA45" s="680">
        <f t="shared" si="5"/>
        <v>0</v>
      </c>
      <c r="AB45" s="680">
        <f t="shared" si="5"/>
        <v>0</v>
      </c>
      <c r="AC45" s="680">
        <f t="shared" si="5"/>
        <v>0</v>
      </c>
      <c r="AD45" s="680">
        <f t="shared" si="5"/>
        <v>0</v>
      </c>
      <c r="AE45" s="680">
        <f t="shared" si="5"/>
        <v>0</v>
      </c>
      <c r="AF45" s="680">
        <f t="shared" si="5"/>
        <v>0</v>
      </c>
      <c r="AG45" s="680">
        <f t="shared" si="5"/>
        <v>0</v>
      </c>
      <c r="AH45" s="680">
        <f t="shared" si="5"/>
        <v>0</v>
      </c>
      <c r="AI45" s="680">
        <f t="shared" si="5"/>
        <v>0</v>
      </c>
      <c r="AJ45" s="680">
        <f t="shared" si="5"/>
        <v>0</v>
      </c>
      <c r="AK45" s="680">
        <f t="shared" si="5"/>
        <v>0</v>
      </c>
      <c r="AL45" s="680">
        <f t="shared" si="5"/>
        <v>0</v>
      </c>
      <c r="AM45" s="680">
        <f t="shared" si="5"/>
        <v>0</v>
      </c>
      <c r="AN45" s="680">
        <f t="shared" si="5"/>
        <v>0</v>
      </c>
      <c r="AO45" s="680">
        <f t="shared" si="5"/>
        <v>0</v>
      </c>
      <c r="AP45" s="680">
        <f t="shared" si="5"/>
        <v>0</v>
      </c>
    </row>
    <row r="46" spans="1:42" hidden="1">
      <c r="A46" s="672"/>
      <c r="B46" s="676">
        <v>25</v>
      </c>
      <c r="C46" s="680">
        <f t="shared" si="2"/>
        <v>0</v>
      </c>
      <c r="D46" s="680">
        <f t="shared" si="5"/>
        <v>0</v>
      </c>
      <c r="E46" s="680">
        <f t="shared" si="5"/>
        <v>0</v>
      </c>
      <c r="F46" s="680">
        <f t="shared" si="5"/>
        <v>0</v>
      </c>
      <c r="G46" s="680">
        <f t="shared" si="5"/>
        <v>0</v>
      </c>
      <c r="H46" s="680">
        <f t="shared" si="5"/>
        <v>0</v>
      </c>
      <c r="I46" s="680">
        <f t="shared" si="5"/>
        <v>0</v>
      </c>
      <c r="J46" s="680">
        <f t="shared" si="5"/>
        <v>0</v>
      </c>
      <c r="K46" s="680">
        <f t="shared" si="5"/>
        <v>0</v>
      </c>
      <c r="L46" s="680">
        <f t="shared" si="5"/>
        <v>0</v>
      </c>
      <c r="M46" s="680">
        <f t="shared" si="5"/>
        <v>0</v>
      </c>
      <c r="N46" s="680">
        <f t="shared" si="5"/>
        <v>0</v>
      </c>
      <c r="O46" s="680">
        <f t="shared" si="5"/>
        <v>0</v>
      </c>
      <c r="P46" s="680">
        <f t="shared" si="5"/>
        <v>0</v>
      </c>
      <c r="Q46" s="680">
        <f t="shared" si="5"/>
        <v>0</v>
      </c>
      <c r="R46" s="680">
        <f t="shared" si="5"/>
        <v>0</v>
      </c>
      <c r="S46" s="680">
        <f t="shared" si="5"/>
        <v>0</v>
      </c>
      <c r="T46" s="680">
        <f t="shared" si="5"/>
        <v>0</v>
      </c>
      <c r="U46" s="680">
        <f t="shared" si="5"/>
        <v>0</v>
      </c>
      <c r="V46" s="680">
        <f t="shared" si="5"/>
        <v>0</v>
      </c>
      <c r="W46" s="680">
        <f t="shared" si="5"/>
        <v>0</v>
      </c>
      <c r="X46" s="680">
        <f t="shared" si="5"/>
        <v>0</v>
      </c>
      <c r="Y46" s="680">
        <f t="shared" si="5"/>
        <v>0</v>
      </c>
      <c r="Z46" s="680">
        <f t="shared" si="5"/>
        <v>0</v>
      </c>
      <c r="AA46" s="680">
        <f t="shared" si="5"/>
        <v>0</v>
      </c>
      <c r="AB46" s="680">
        <f t="shared" si="5"/>
        <v>0</v>
      </c>
      <c r="AC46" s="680">
        <f t="shared" si="5"/>
        <v>0</v>
      </c>
      <c r="AD46" s="680">
        <f t="shared" si="5"/>
        <v>0</v>
      </c>
      <c r="AE46" s="680">
        <f t="shared" si="5"/>
        <v>0</v>
      </c>
      <c r="AF46" s="680">
        <f t="shared" si="5"/>
        <v>0</v>
      </c>
      <c r="AG46" s="680">
        <f t="shared" si="5"/>
        <v>0</v>
      </c>
      <c r="AH46" s="680">
        <f t="shared" si="5"/>
        <v>0</v>
      </c>
      <c r="AI46" s="680">
        <f t="shared" si="5"/>
        <v>0</v>
      </c>
      <c r="AJ46" s="680">
        <f t="shared" si="5"/>
        <v>0</v>
      </c>
      <c r="AK46" s="680">
        <f t="shared" si="5"/>
        <v>0</v>
      </c>
      <c r="AL46" s="680">
        <f t="shared" si="5"/>
        <v>0</v>
      </c>
      <c r="AM46" s="680">
        <f t="shared" si="5"/>
        <v>0</v>
      </c>
      <c r="AN46" s="680">
        <f t="shared" si="5"/>
        <v>0</v>
      </c>
      <c r="AO46" s="680">
        <f t="shared" si="5"/>
        <v>0</v>
      </c>
      <c r="AP46" s="680">
        <f t="shared" si="5"/>
        <v>0</v>
      </c>
    </row>
    <row r="47" spans="1:42" hidden="1">
      <c r="A47" s="672"/>
      <c r="B47" s="675">
        <v>20</v>
      </c>
      <c r="C47" s="680">
        <f t="shared" si="2"/>
        <v>0</v>
      </c>
      <c r="D47" s="680">
        <f t="shared" si="5"/>
        <v>0</v>
      </c>
      <c r="E47" s="680">
        <f t="shared" si="5"/>
        <v>0</v>
      </c>
      <c r="F47" s="680">
        <f t="shared" si="5"/>
        <v>0</v>
      </c>
      <c r="G47" s="680">
        <f t="shared" si="5"/>
        <v>0</v>
      </c>
      <c r="H47" s="680">
        <f t="shared" si="5"/>
        <v>0</v>
      </c>
      <c r="I47" s="680">
        <f t="shared" si="5"/>
        <v>0</v>
      </c>
      <c r="J47" s="680">
        <f t="shared" si="5"/>
        <v>0</v>
      </c>
      <c r="K47" s="680">
        <f t="shared" si="5"/>
        <v>0</v>
      </c>
      <c r="L47" s="680">
        <f t="shared" si="5"/>
        <v>0</v>
      </c>
      <c r="M47" s="680">
        <f t="shared" si="5"/>
        <v>0</v>
      </c>
      <c r="N47" s="680">
        <f t="shared" si="5"/>
        <v>0</v>
      </c>
      <c r="O47" s="680">
        <f t="shared" si="5"/>
        <v>0</v>
      </c>
      <c r="P47" s="680">
        <f t="shared" si="5"/>
        <v>0</v>
      </c>
      <c r="Q47" s="680">
        <f t="shared" si="5"/>
        <v>0</v>
      </c>
      <c r="R47" s="680">
        <f t="shared" si="5"/>
        <v>0</v>
      </c>
      <c r="S47" s="680">
        <f t="shared" si="5"/>
        <v>0</v>
      </c>
      <c r="T47" s="680">
        <f t="shared" si="5"/>
        <v>0</v>
      </c>
      <c r="U47" s="680">
        <f t="shared" si="5"/>
        <v>0</v>
      </c>
      <c r="V47" s="680">
        <f t="shared" si="5"/>
        <v>0</v>
      </c>
      <c r="W47" s="680">
        <f t="shared" si="5"/>
        <v>0</v>
      </c>
      <c r="X47" s="680">
        <f t="shared" si="5"/>
        <v>0</v>
      </c>
      <c r="Y47" s="680">
        <f t="shared" si="5"/>
        <v>0</v>
      </c>
      <c r="Z47" s="680">
        <f t="shared" si="5"/>
        <v>0</v>
      </c>
      <c r="AA47" s="680">
        <f t="shared" si="5"/>
        <v>0</v>
      </c>
      <c r="AB47" s="680">
        <f t="shared" si="5"/>
        <v>0</v>
      </c>
      <c r="AC47" s="680">
        <f t="shared" si="5"/>
        <v>0</v>
      </c>
      <c r="AD47" s="680">
        <f t="shared" si="5"/>
        <v>0</v>
      </c>
      <c r="AE47" s="680">
        <f t="shared" si="5"/>
        <v>0</v>
      </c>
      <c r="AF47" s="680">
        <f t="shared" si="5"/>
        <v>0</v>
      </c>
      <c r="AG47" s="680">
        <f t="shared" si="5"/>
        <v>0</v>
      </c>
      <c r="AH47" s="680">
        <f t="shared" si="5"/>
        <v>0</v>
      </c>
      <c r="AI47" s="680">
        <f t="shared" si="5"/>
        <v>0</v>
      </c>
      <c r="AJ47" s="680">
        <f t="shared" si="5"/>
        <v>0</v>
      </c>
      <c r="AK47" s="680">
        <f t="shared" si="5"/>
        <v>0</v>
      </c>
      <c r="AL47" s="680">
        <f t="shared" si="5"/>
        <v>0</v>
      </c>
      <c r="AM47" s="680">
        <f t="shared" si="5"/>
        <v>0</v>
      </c>
      <c r="AN47" s="680">
        <f t="shared" si="5"/>
        <v>0</v>
      </c>
      <c r="AO47" s="680">
        <f t="shared" si="5"/>
        <v>0</v>
      </c>
      <c r="AP47" s="680">
        <f t="shared" si="5"/>
        <v>0</v>
      </c>
    </row>
    <row r="48" spans="1:42" hidden="1">
      <c r="A48" s="672"/>
      <c r="B48" s="676">
        <v>15</v>
      </c>
      <c r="C48" s="680">
        <f t="shared" si="2"/>
        <v>0</v>
      </c>
      <c r="D48" s="680">
        <f t="shared" si="5"/>
        <v>0</v>
      </c>
      <c r="E48" s="680">
        <f t="shared" si="5"/>
        <v>0</v>
      </c>
      <c r="F48" s="680">
        <f t="shared" si="5"/>
        <v>0</v>
      </c>
      <c r="G48" s="680">
        <f t="shared" si="5"/>
        <v>0</v>
      </c>
      <c r="H48" s="680">
        <f t="shared" si="5"/>
        <v>0</v>
      </c>
      <c r="I48" s="680">
        <f t="shared" si="5"/>
        <v>0</v>
      </c>
      <c r="J48" s="680">
        <f t="shared" si="5"/>
        <v>0</v>
      </c>
      <c r="K48" s="680">
        <f t="shared" si="5"/>
        <v>0</v>
      </c>
      <c r="L48" s="680">
        <f t="shared" si="5"/>
        <v>0</v>
      </c>
      <c r="M48" s="680">
        <f t="shared" si="5"/>
        <v>0</v>
      </c>
      <c r="N48" s="680">
        <f t="shared" si="5"/>
        <v>0</v>
      </c>
      <c r="O48" s="680">
        <f t="shared" si="5"/>
        <v>0</v>
      </c>
      <c r="P48" s="680">
        <f t="shared" si="5"/>
        <v>0</v>
      </c>
      <c r="Q48" s="680">
        <f t="shared" si="5"/>
        <v>0</v>
      </c>
      <c r="R48" s="680">
        <f t="shared" si="5"/>
        <v>0</v>
      </c>
      <c r="S48" s="680">
        <f t="shared" si="5"/>
        <v>0</v>
      </c>
      <c r="T48" s="680">
        <f t="shared" si="5"/>
        <v>0</v>
      </c>
      <c r="U48" s="680">
        <f t="shared" si="5"/>
        <v>0</v>
      </c>
      <c r="V48" s="680">
        <f t="shared" si="5"/>
        <v>0</v>
      </c>
      <c r="W48" s="680">
        <f t="shared" si="5"/>
        <v>0</v>
      </c>
      <c r="X48" s="680">
        <f t="shared" si="5"/>
        <v>0</v>
      </c>
      <c r="Y48" s="680">
        <f t="shared" si="5"/>
        <v>0</v>
      </c>
      <c r="Z48" s="680">
        <f t="shared" si="5"/>
        <v>0</v>
      </c>
      <c r="AA48" s="680">
        <f t="shared" si="5"/>
        <v>0</v>
      </c>
      <c r="AB48" s="680">
        <f t="shared" si="5"/>
        <v>0</v>
      </c>
      <c r="AC48" s="680">
        <f t="shared" si="5"/>
        <v>0</v>
      </c>
      <c r="AD48" s="680">
        <f t="shared" si="5"/>
        <v>0</v>
      </c>
      <c r="AE48" s="680">
        <f t="shared" si="5"/>
        <v>0</v>
      </c>
      <c r="AF48" s="680">
        <f t="shared" si="5"/>
        <v>0</v>
      </c>
      <c r="AG48" s="680">
        <f t="shared" si="5"/>
        <v>0</v>
      </c>
      <c r="AH48" s="680">
        <f t="shared" si="5"/>
        <v>0</v>
      </c>
      <c r="AI48" s="680">
        <f t="shared" si="5"/>
        <v>0</v>
      </c>
      <c r="AJ48" s="680">
        <f t="shared" si="5"/>
        <v>0</v>
      </c>
      <c r="AK48" s="680">
        <f t="shared" si="5"/>
        <v>0</v>
      </c>
      <c r="AL48" s="680">
        <f t="shared" si="5"/>
        <v>0</v>
      </c>
      <c r="AM48" s="680">
        <f t="shared" si="5"/>
        <v>0</v>
      </c>
      <c r="AN48" s="680">
        <f t="shared" si="5"/>
        <v>0</v>
      </c>
      <c r="AO48" s="680">
        <f t="shared" si="5"/>
        <v>0</v>
      </c>
      <c r="AP48" s="680">
        <f t="shared" si="5"/>
        <v>0</v>
      </c>
    </row>
    <row r="49" spans="1:42" hidden="1">
      <c r="A49" s="672"/>
      <c r="B49" s="675">
        <v>10</v>
      </c>
      <c r="C49" s="680">
        <f t="shared" si="2"/>
        <v>0</v>
      </c>
      <c r="D49" s="680">
        <f t="shared" si="5"/>
        <v>0</v>
      </c>
      <c r="E49" s="680">
        <f t="shared" si="5"/>
        <v>0</v>
      </c>
      <c r="F49" s="680">
        <f t="shared" si="5"/>
        <v>0</v>
      </c>
      <c r="G49" s="680">
        <f t="shared" si="5"/>
        <v>0</v>
      </c>
      <c r="H49" s="680">
        <f t="shared" si="5"/>
        <v>0</v>
      </c>
      <c r="I49" s="680">
        <f t="shared" si="5"/>
        <v>0</v>
      </c>
      <c r="J49" s="680">
        <f t="shared" si="5"/>
        <v>0</v>
      </c>
      <c r="K49" s="680">
        <f t="shared" si="5"/>
        <v>0</v>
      </c>
      <c r="L49" s="680">
        <f t="shared" si="5"/>
        <v>0</v>
      </c>
      <c r="M49" s="680">
        <f t="shared" si="5"/>
        <v>0</v>
      </c>
      <c r="N49" s="680">
        <f t="shared" si="5"/>
        <v>0</v>
      </c>
      <c r="O49" s="680">
        <f t="shared" si="5"/>
        <v>0</v>
      </c>
      <c r="P49" s="680">
        <f t="shared" si="5"/>
        <v>0</v>
      </c>
      <c r="Q49" s="680">
        <f t="shared" si="5"/>
        <v>0</v>
      </c>
      <c r="R49" s="680">
        <f t="shared" si="5"/>
        <v>0</v>
      </c>
      <c r="S49" s="680">
        <f t="shared" si="5"/>
        <v>0</v>
      </c>
      <c r="T49" s="680">
        <f t="shared" si="5"/>
        <v>0</v>
      </c>
      <c r="U49" s="680">
        <f t="shared" si="5"/>
        <v>0</v>
      </c>
      <c r="V49" s="680">
        <f t="shared" si="5"/>
        <v>0</v>
      </c>
      <c r="W49" s="680">
        <f t="shared" si="5"/>
        <v>0</v>
      </c>
      <c r="X49" s="680">
        <f t="shared" si="5"/>
        <v>0</v>
      </c>
      <c r="Y49" s="680">
        <f t="shared" si="5"/>
        <v>0</v>
      </c>
      <c r="Z49" s="680">
        <f t="shared" si="5"/>
        <v>0</v>
      </c>
      <c r="AA49" s="680">
        <f t="shared" si="5"/>
        <v>0</v>
      </c>
      <c r="AB49" s="680">
        <f t="shared" si="5"/>
        <v>0</v>
      </c>
      <c r="AC49" s="680">
        <f t="shared" si="5"/>
        <v>0</v>
      </c>
      <c r="AD49" s="680">
        <f t="shared" si="5"/>
        <v>0</v>
      </c>
      <c r="AE49" s="680">
        <f t="shared" si="5"/>
        <v>0</v>
      </c>
      <c r="AF49" s="680">
        <f t="shared" si="5"/>
        <v>0</v>
      </c>
      <c r="AG49" s="680">
        <f t="shared" si="5"/>
        <v>0</v>
      </c>
      <c r="AH49" s="680">
        <f t="shared" si="5"/>
        <v>0</v>
      </c>
      <c r="AI49" s="680">
        <f t="shared" si="5"/>
        <v>0</v>
      </c>
      <c r="AJ49" s="680">
        <f t="shared" si="5"/>
        <v>0</v>
      </c>
      <c r="AK49" s="680">
        <f t="shared" si="5"/>
        <v>0</v>
      </c>
      <c r="AL49" s="680">
        <f t="shared" si="5"/>
        <v>0</v>
      </c>
      <c r="AM49" s="680">
        <f t="shared" si="5"/>
        <v>0</v>
      </c>
      <c r="AN49" s="680">
        <f t="shared" si="5"/>
        <v>0</v>
      </c>
      <c r="AO49" s="680">
        <f t="shared" si="5"/>
        <v>0</v>
      </c>
      <c r="AP49" s="680">
        <f t="shared" si="5"/>
        <v>0</v>
      </c>
    </row>
    <row r="50" spans="1:42" hidden="1">
      <c r="A50" s="672"/>
      <c r="B50" s="677"/>
      <c r="C50" s="681">
        <f>SUM(C31:C49)</f>
        <v>8</v>
      </c>
      <c r="D50" s="681">
        <f t="shared" ref="D50:AP50" si="6">SUM(D31:D49)</f>
        <v>8</v>
      </c>
      <c r="E50" s="681">
        <f t="shared" si="6"/>
        <v>8</v>
      </c>
      <c r="F50" s="681">
        <f t="shared" si="6"/>
        <v>8</v>
      </c>
      <c r="G50" s="681">
        <f t="shared" si="6"/>
        <v>8</v>
      </c>
      <c r="H50" s="681">
        <f t="shared" si="6"/>
        <v>8</v>
      </c>
      <c r="I50" s="681">
        <f t="shared" si="6"/>
        <v>7</v>
      </c>
      <c r="J50" s="681">
        <f t="shared" si="6"/>
        <v>7</v>
      </c>
      <c r="K50" s="681">
        <f t="shared" si="6"/>
        <v>7</v>
      </c>
      <c r="L50" s="681">
        <f t="shared" si="6"/>
        <v>7</v>
      </c>
      <c r="M50" s="681">
        <f t="shared" si="6"/>
        <v>7</v>
      </c>
      <c r="N50" s="681">
        <f t="shared" si="6"/>
        <v>7</v>
      </c>
      <c r="O50" s="681">
        <f t="shared" si="6"/>
        <v>7</v>
      </c>
      <c r="P50" s="681">
        <f t="shared" si="6"/>
        <v>7</v>
      </c>
      <c r="Q50" s="681">
        <f t="shared" si="6"/>
        <v>7</v>
      </c>
      <c r="R50" s="681">
        <f t="shared" si="6"/>
        <v>7</v>
      </c>
      <c r="S50" s="681">
        <f t="shared" si="6"/>
        <v>7</v>
      </c>
      <c r="T50" s="681">
        <f t="shared" si="6"/>
        <v>7</v>
      </c>
      <c r="U50" s="681">
        <f t="shared" si="6"/>
        <v>7</v>
      </c>
      <c r="V50" s="681">
        <f t="shared" si="6"/>
        <v>7</v>
      </c>
      <c r="W50" s="681">
        <f t="shared" si="6"/>
        <v>7</v>
      </c>
      <c r="X50" s="681">
        <f t="shared" si="6"/>
        <v>7</v>
      </c>
      <c r="Y50" s="681">
        <f t="shared" si="6"/>
        <v>7</v>
      </c>
      <c r="Z50" s="681">
        <f t="shared" si="6"/>
        <v>7</v>
      </c>
      <c r="AA50" s="681">
        <f t="shared" si="6"/>
        <v>7</v>
      </c>
      <c r="AB50" s="681">
        <f t="shared" si="6"/>
        <v>7</v>
      </c>
      <c r="AC50" s="681">
        <f t="shared" si="6"/>
        <v>7</v>
      </c>
      <c r="AD50" s="681">
        <f t="shared" si="6"/>
        <v>7</v>
      </c>
      <c r="AE50" s="681">
        <f t="shared" si="6"/>
        <v>7</v>
      </c>
      <c r="AF50" s="681">
        <f t="shared" si="6"/>
        <v>7</v>
      </c>
      <c r="AG50" s="681">
        <f t="shared" si="6"/>
        <v>7</v>
      </c>
      <c r="AH50" s="681">
        <f t="shared" si="6"/>
        <v>7</v>
      </c>
      <c r="AI50" s="681">
        <f t="shared" si="6"/>
        <v>7</v>
      </c>
      <c r="AJ50" s="681">
        <f t="shared" si="6"/>
        <v>7</v>
      </c>
      <c r="AK50" s="681">
        <f t="shared" si="6"/>
        <v>7</v>
      </c>
      <c r="AL50" s="681">
        <f t="shared" si="6"/>
        <v>7</v>
      </c>
      <c r="AM50" s="681">
        <f t="shared" si="6"/>
        <v>7</v>
      </c>
      <c r="AN50" s="681">
        <f t="shared" si="6"/>
        <v>7</v>
      </c>
      <c r="AO50" s="681">
        <f t="shared" si="6"/>
        <v>7</v>
      </c>
      <c r="AP50" s="681">
        <f t="shared" si="6"/>
        <v>7</v>
      </c>
    </row>
    <row r="51" spans="1:42" hidden="1">
      <c r="A51" s="682"/>
      <c r="B51" s="683" t="s">
        <v>891</v>
      </c>
      <c r="C51" s="684"/>
      <c r="D51" s="684"/>
      <c r="E51" s="684"/>
      <c r="F51" s="684"/>
      <c r="G51" s="684"/>
      <c r="H51" s="684"/>
      <c r="I51" s="684"/>
      <c r="J51" s="684"/>
      <c r="K51" s="684"/>
      <c r="L51" s="684"/>
      <c r="M51" s="684"/>
      <c r="N51" s="684"/>
      <c r="O51" s="684"/>
      <c r="P51" s="684"/>
      <c r="Q51" s="684"/>
      <c r="R51" s="684"/>
      <c r="S51" s="684"/>
      <c r="T51" s="684"/>
      <c r="U51" s="684"/>
      <c r="V51" s="684"/>
      <c r="W51" s="684"/>
      <c r="X51" s="684"/>
      <c r="Y51" s="684"/>
      <c r="Z51" s="684"/>
      <c r="AA51" s="684"/>
      <c r="AB51" s="684"/>
      <c r="AC51" s="684"/>
      <c r="AD51" s="684"/>
      <c r="AE51" s="684"/>
      <c r="AF51" s="684"/>
      <c r="AG51" s="684"/>
      <c r="AH51" s="684"/>
      <c r="AI51" s="684"/>
      <c r="AJ51" s="684"/>
      <c r="AK51" s="684"/>
      <c r="AL51" s="684"/>
      <c r="AM51" s="684"/>
      <c r="AN51" s="684"/>
      <c r="AO51" s="684"/>
      <c r="AP51" s="684"/>
    </row>
    <row r="52" spans="1:42" hidden="1">
      <c r="A52" s="672"/>
      <c r="B52" s="675">
        <v>100</v>
      </c>
      <c r="C52" s="680">
        <f t="shared" ref="C52:R70" si="7">IF($B8=C$29,1,0)</f>
        <v>0</v>
      </c>
      <c r="D52" s="680">
        <f t="shared" si="7"/>
        <v>0</v>
      </c>
      <c r="E52" s="680">
        <f t="shared" si="7"/>
        <v>0</v>
      </c>
      <c r="F52" s="680">
        <f t="shared" si="7"/>
        <v>0</v>
      </c>
      <c r="G52" s="680">
        <f t="shared" si="7"/>
        <v>0</v>
      </c>
      <c r="H52" s="680">
        <f t="shared" si="7"/>
        <v>0</v>
      </c>
      <c r="I52" s="680">
        <f t="shared" si="7"/>
        <v>0</v>
      </c>
      <c r="J52" s="680">
        <f t="shared" si="7"/>
        <v>0</v>
      </c>
      <c r="K52" s="680">
        <f t="shared" si="7"/>
        <v>0</v>
      </c>
      <c r="L52" s="680">
        <f t="shared" si="7"/>
        <v>0</v>
      </c>
      <c r="M52" s="680">
        <f t="shared" si="7"/>
        <v>0</v>
      </c>
      <c r="N52" s="680">
        <f t="shared" si="7"/>
        <v>0</v>
      </c>
      <c r="O52" s="680">
        <f t="shared" si="7"/>
        <v>0</v>
      </c>
      <c r="P52" s="680">
        <f t="shared" si="7"/>
        <v>0</v>
      </c>
      <c r="Q52" s="680">
        <f t="shared" si="7"/>
        <v>0</v>
      </c>
      <c r="R52" s="680">
        <f t="shared" si="7"/>
        <v>0</v>
      </c>
      <c r="S52" s="680">
        <f t="shared" ref="D52:AP58" si="8">IF($B8=S$29,1,0)</f>
        <v>0</v>
      </c>
      <c r="T52" s="680">
        <f t="shared" si="8"/>
        <v>0</v>
      </c>
      <c r="U52" s="680">
        <f t="shared" si="8"/>
        <v>0</v>
      </c>
      <c r="V52" s="680">
        <f t="shared" si="8"/>
        <v>0</v>
      </c>
      <c r="W52" s="680">
        <f t="shared" si="8"/>
        <v>0</v>
      </c>
      <c r="X52" s="680">
        <f t="shared" si="8"/>
        <v>0</v>
      </c>
      <c r="Y52" s="680">
        <f t="shared" si="8"/>
        <v>0</v>
      </c>
      <c r="Z52" s="680">
        <f t="shared" si="8"/>
        <v>0</v>
      </c>
      <c r="AA52" s="680">
        <f t="shared" si="8"/>
        <v>0</v>
      </c>
      <c r="AB52" s="680">
        <f t="shared" si="8"/>
        <v>0</v>
      </c>
      <c r="AC52" s="680">
        <f t="shared" si="8"/>
        <v>0</v>
      </c>
      <c r="AD52" s="680">
        <f t="shared" si="8"/>
        <v>0</v>
      </c>
      <c r="AE52" s="680">
        <f t="shared" si="8"/>
        <v>0</v>
      </c>
      <c r="AF52" s="680">
        <f t="shared" si="8"/>
        <v>0</v>
      </c>
      <c r="AG52" s="680">
        <f t="shared" si="8"/>
        <v>0</v>
      </c>
      <c r="AH52" s="680">
        <f t="shared" si="8"/>
        <v>0</v>
      </c>
      <c r="AI52" s="680">
        <f t="shared" si="8"/>
        <v>0</v>
      </c>
      <c r="AJ52" s="680">
        <f t="shared" si="8"/>
        <v>0</v>
      </c>
      <c r="AK52" s="680">
        <f t="shared" si="8"/>
        <v>0</v>
      </c>
      <c r="AL52" s="680">
        <f t="shared" si="8"/>
        <v>0</v>
      </c>
      <c r="AM52" s="680">
        <f t="shared" si="8"/>
        <v>0</v>
      </c>
      <c r="AN52" s="680">
        <f t="shared" si="8"/>
        <v>0</v>
      </c>
      <c r="AO52" s="680">
        <f t="shared" si="8"/>
        <v>0</v>
      </c>
      <c r="AP52" s="680">
        <f t="shared" si="8"/>
        <v>0</v>
      </c>
    </row>
    <row r="53" spans="1:42" hidden="1">
      <c r="A53" s="672"/>
      <c r="B53" s="676">
        <v>95</v>
      </c>
      <c r="C53" s="680">
        <f t="shared" si="7"/>
        <v>0</v>
      </c>
      <c r="D53" s="680">
        <f t="shared" si="8"/>
        <v>0</v>
      </c>
      <c r="E53" s="680">
        <f t="shared" si="8"/>
        <v>0</v>
      </c>
      <c r="F53" s="680">
        <f t="shared" si="8"/>
        <v>0</v>
      </c>
      <c r="G53" s="680">
        <f t="shared" si="8"/>
        <v>0</v>
      </c>
      <c r="H53" s="680">
        <f t="shared" si="8"/>
        <v>0</v>
      </c>
      <c r="I53" s="680">
        <f t="shared" si="8"/>
        <v>0</v>
      </c>
      <c r="J53" s="680">
        <f t="shared" si="8"/>
        <v>0</v>
      </c>
      <c r="K53" s="680">
        <f t="shared" si="8"/>
        <v>0</v>
      </c>
      <c r="L53" s="680">
        <f t="shared" si="8"/>
        <v>0</v>
      </c>
      <c r="M53" s="680">
        <f t="shared" si="8"/>
        <v>0</v>
      </c>
      <c r="N53" s="680">
        <f t="shared" si="8"/>
        <v>0</v>
      </c>
      <c r="O53" s="680">
        <f t="shared" si="8"/>
        <v>0</v>
      </c>
      <c r="P53" s="680">
        <f t="shared" si="8"/>
        <v>0</v>
      </c>
      <c r="Q53" s="680">
        <f t="shared" si="8"/>
        <v>0</v>
      </c>
      <c r="R53" s="680">
        <f t="shared" si="8"/>
        <v>0</v>
      </c>
      <c r="S53" s="680">
        <f t="shared" si="8"/>
        <v>0</v>
      </c>
      <c r="T53" s="680">
        <f t="shared" si="8"/>
        <v>0</v>
      </c>
      <c r="U53" s="680">
        <f t="shared" si="8"/>
        <v>0</v>
      </c>
      <c r="V53" s="680">
        <f t="shared" si="8"/>
        <v>0</v>
      </c>
      <c r="W53" s="680">
        <f t="shared" si="8"/>
        <v>0</v>
      </c>
      <c r="X53" s="680">
        <f t="shared" si="8"/>
        <v>0</v>
      </c>
      <c r="Y53" s="680">
        <f t="shared" si="8"/>
        <v>0</v>
      </c>
      <c r="Z53" s="680">
        <f t="shared" si="8"/>
        <v>0</v>
      </c>
      <c r="AA53" s="680">
        <f t="shared" si="8"/>
        <v>0</v>
      </c>
      <c r="AB53" s="680">
        <f t="shared" si="8"/>
        <v>0</v>
      </c>
      <c r="AC53" s="680">
        <f t="shared" si="8"/>
        <v>0</v>
      </c>
      <c r="AD53" s="680">
        <f t="shared" si="8"/>
        <v>0</v>
      </c>
      <c r="AE53" s="680">
        <f t="shared" si="8"/>
        <v>0</v>
      </c>
      <c r="AF53" s="680">
        <f t="shared" si="8"/>
        <v>0</v>
      </c>
      <c r="AG53" s="680">
        <f t="shared" si="8"/>
        <v>0</v>
      </c>
      <c r="AH53" s="680">
        <f t="shared" si="8"/>
        <v>0</v>
      </c>
      <c r="AI53" s="680">
        <f t="shared" si="8"/>
        <v>0</v>
      </c>
      <c r="AJ53" s="680">
        <f t="shared" si="8"/>
        <v>0</v>
      </c>
      <c r="AK53" s="680">
        <f t="shared" si="8"/>
        <v>0</v>
      </c>
      <c r="AL53" s="680">
        <f t="shared" si="8"/>
        <v>0</v>
      </c>
      <c r="AM53" s="680">
        <f t="shared" si="8"/>
        <v>0</v>
      </c>
      <c r="AN53" s="680">
        <f t="shared" si="8"/>
        <v>0</v>
      </c>
      <c r="AO53" s="680">
        <f t="shared" si="8"/>
        <v>0</v>
      </c>
      <c r="AP53" s="680">
        <f t="shared" si="8"/>
        <v>0</v>
      </c>
    </row>
    <row r="54" spans="1:42" hidden="1">
      <c r="A54" s="672"/>
      <c r="B54" s="675">
        <v>90</v>
      </c>
      <c r="C54" s="680">
        <f t="shared" si="7"/>
        <v>0</v>
      </c>
      <c r="D54" s="680">
        <f t="shared" si="8"/>
        <v>0</v>
      </c>
      <c r="E54" s="680">
        <f t="shared" si="8"/>
        <v>0</v>
      </c>
      <c r="F54" s="680">
        <f t="shared" si="8"/>
        <v>0</v>
      </c>
      <c r="G54" s="680">
        <f t="shared" si="8"/>
        <v>0</v>
      </c>
      <c r="H54" s="680">
        <f t="shared" si="8"/>
        <v>0</v>
      </c>
      <c r="I54" s="680">
        <f t="shared" si="8"/>
        <v>0</v>
      </c>
      <c r="J54" s="680">
        <f t="shared" si="8"/>
        <v>0</v>
      </c>
      <c r="K54" s="680">
        <f t="shared" si="8"/>
        <v>0</v>
      </c>
      <c r="L54" s="680">
        <f t="shared" si="8"/>
        <v>0</v>
      </c>
      <c r="M54" s="680">
        <f t="shared" si="8"/>
        <v>0</v>
      </c>
      <c r="N54" s="680">
        <f t="shared" si="8"/>
        <v>0</v>
      </c>
      <c r="O54" s="680">
        <f t="shared" si="8"/>
        <v>0</v>
      </c>
      <c r="P54" s="680">
        <f t="shared" si="8"/>
        <v>0</v>
      </c>
      <c r="Q54" s="680">
        <f t="shared" si="8"/>
        <v>0</v>
      </c>
      <c r="R54" s="680">
        <f t="shared" si="8"/>
        <v>0</v>
      </c>
      <c r="S54" s="680">
        <f t="shared" si="8"/>
        <v>0</v>
      </c>
      <c r="T54" s="680">
        <f t="shared" si="8"/>
        <v>0</v>
      </c>
      <c r="U54" s="680">
        <f t="shared" si="8"/>
        <v>0</v>
      </c>
      <c r="V54" s="680">
        <f t="shared" si="8"/>
        <v>0</v>
      </c>
      <c r="W54" s="680">
        <f t="shared" si="8"/>
        <v>0</v>
      </c>
      <c r="X54" s="680">
        <f t="shared" si="8"/>
        <v>0</v>
      </c>
      <c r="Y54" s="680">
        <f t="shared" si="8"/>
        <v>0</v>
      </c>
      <c r="Z54" s="680">
        <f t="shared" si="8"/>
        <v>0</v>
      </c>
      <c r="AA54" s="680">
        <f t="shared" si="8"/>
        <v>0</v>
      </c>
      <c r="AB54" s="680">
        <f t="shared" si="8"/>
        <v>0</v>
      </c>
      <c r="AC54" s="680">
        <f t="shared" si="8"/>
        <v>0</v>
      </c>
      <c r="AD54" s="680">
        <f t="shared" si="8"/>
        <v>0</v>
      </c>
      <c r="AE54" s="680">
        <f t="shared" si="8"/>
        <v>0</v>
      </c>
      <c r="AF54" s="680">
        <f t="shared" si="8"/>
        <v>0</v>
      </c>
      <c r="AG54" s="680">
        <f t="shared" si="8"/>
        <v>0</v>
      </c>
      <c r="AH54" s="680">
        <f t="shared" si="8"/>
        <v>0</v>
      </c>
      <c r="AI54" s="680">
        <f t="shared" si="8"/>
        <v>0</v>
      </c>
      <c r="AJ54" s="680">
        <f t="shared" si="8"/>
        <v>0</v>
      </c>
      <c r="AK54" s="680">
        <f t="shared" si="8"/>
        <v>0</v>
      </c>
      <c r="AL54" s="680">
        <f t="shared" si="8"/>
        <v>0</v>
      </c>
      <c r="AM54" s="680">
        <f t="shared" si="8"/>
        <v>0</v>
      </c>
      <c r="AN54" s="680">
        <f t="shared" si="8"/>
        <v>0</v>
      </c>
      <c r="AO54" s="680">
        <f t="shared" si="8"/>
        <v>0</v>
      </c>
      <c r="AP54" s="680">
        <f t="shared" si="8"/>
        <v>0</v>
      </c>
    </row>
    <row r="55" spans="1:42" hidden="1">
      <c r="A55" s="672"/>
      <c r="B55" s="676">
        <v>85</v>
      </c>
      <c r="C55" s="680">
        <f t="shared" si="7"/>
        <v>0</v>
      </c>
      <c r="D55" s="680">
        <f t="shared" si="8"/>
        <v>0</v>
      </c>
      <c r="E55" s="680">
        <f t="shared" si="8"/>
        <v>0</v>
      </c>
      <c r="F55" s="680">
        <f t="shared" si="8"/>
        <v>0</v>
      </c>
      <c r="G55" s="680">
        <f t="shared" si="8"/>
        <v>0</v>
      </c>
      <c r="H55" s="680">
        <f t="shared" si="8"/>
        <v>0</v>
      </c>
      <c r="I55" s="680">
        <f t="shared" si="8"/>
        <v>0</v>
      </c>
      <c r="J55" s="680">
        <f t="shared" si="8"/>
        <v>0</v>
      </c>
      <c r="K55" s="680">
        <f t="shared" si="8"/>
        <v>0</v>
      </c>
      <c r="L55" s="680">
        <f t="shared" si="8"/>
        <v>0</v>
      </c>
      <c r="M55" s="680">
        <f t="shared" si="8"/>
        <v>0</v>
      </c>
      <c r="N55" s="680">
        <f t="shared" si="8"/>
        <v>0</v>
      </c>
      <c r="O55" s="680">
        <f t="shared" si="8"/>
        <v>0</v>
      </c>
      <c r="P55" s="680">
        <f t="shared" si="8"/>
        <v>0</v>
      </c>
      <c r="Q55" s="680">
        <f t="shared" si="8"/>
        <v>0</v>
      </c>
      <c r="R55" s="680">
        <f t="shared" si="8"/>
        <v>0</v>
      </c>
      <c r="S55" s="680">
        <f t="shared" si="8"/>
        <v>0</v>
      </c>
      <c r="T55" s="680">
        <f t="shared" si="8"/>
        <v>0</v>
      </c>
      <c r="U55" s="680">
        <f t="shared" si="8"/>
        <v>0</v>
      </c>
      <c r="V55" s="680">
        <f t="shared" si="8"/>
        <v>0</v>
      </c>
      <c r="W55" s="680">
        <f t="shared" si="8"/>
        <v>0</v>
      </c>
      <c r="X55" s="680">
        <f t="shared" si="8"/>
        <v>0</v>
      </c>
      <c r="Y55" s="680">
        <f t="shared" si="8"/>
        <v>0</v>
      </c>
      <c r="Z55" s="680">
        <f t="shared" si="8"/>
        <v>0</v>
      </c>
      <c r="AA55" s="680">
        <f t="shared" si="8"/>
        <v>0</v>
      </c>
      <c r="AB55" s="680">
        <f t="shared" si="8"/>
        <v>0</v>
      </c>
      <c r="AC55" s="680">
        <f t="shared" si="8"/>
        <v>0</v>
      </c>
      <c r="AD55" s="680">
        <f t="shared" si="8"/>
        <v>0</v>
      </c>
      <c r="AE55" s="680">
        <f t="shared" si="8"/>
        <v>0</v>
      </c>
      <c r="AF55" s="680">
        <f t="shared" si="8"/>
        <v>0</v>
      </c>
      <c r="AG55" s="680">
        <f t="shared" si="8"/>
        <v>0</v>
      </c>
      <c r="AH55" s="680">
        <f t="shared" si="8"/>
        <v>0</v>
      </c>
      <c r="AI55" s="680">
        <f t="shared" si="8"/>
        <v>0</v>
      </c>
      <c r="AJ55" s="680">
        <f t="shared" si="8"/>
        <v>0</v>
      </c>
      <c r="AK55" s="680">
        <f t="shared" si="8"/>
        <v>0</v>
      </c>
      <c r="AL55" s="680">
        <f t="shared" si="8"/>
        <v>0</v>
      </c>
      <c r="AM55" s="680">
        <f t="shared" si="8"/>
        <v>0</v>
      </c>
      <c r="AN55" s="680">
        <f t="shared" si="8"/>
        <v>0</v>
      </c>
      <c r="AO55" s="680">
        <f t="shared" si="8"/>
        <v>0</v>
      </c>
      <c r="AP55" s="680">
        <f t="shared" si="8"/>
        <v>0</v>
      </c>
    </row>
    <row r="56" spans="1:42" hidden="1">
      <c r="A56" s="672"/>
      <c r="B56" s="675">
        <v>80</v>
      </c>
      <c r="C56" s="680">
        <f t="shared" si="7"/>
        <v>0</v>
      </c>
      <c r="D56" s="680">
        <f t="shared" si="8"/>
        <v>0</v>
      </c>
      <c r="E56" s="680">
        <f t="shared" si="8"/>
        <v>0</v>
      </c>
      <c r="F56" s="680">
        <f t="shared" si="8"/>
        <v>0</v>
      </c>
      <c r="G56" s="680">
        <f t="shared" si="8"/>
        <v>0</v>
      </c>
      <c r="H56" s="680">
        <f t="shared" si="8"/>
        <v>0</v>
      </c>
      <c r="I56" s="680">
        <f t="shared" si="8"/>
        <v>0</v>
      </c>
      <c r="J56" s="680">
        <f t="shared" si="8"/>
        <v>0</v>
      </c>
      <c r="K56" s="680">
        <f t="shared" si="8"/>
        <v>0</v>
      </c>
      <c r="L56" s="680">
        <f t="shared" si="8"/>
        <v>0</v>
      </c>
      <c r="M56" s="680">
        <f t="shared" si="8"/>
        <v>0</v>
      </c>
      <c r="N56" s="680">
        <f t="shared" si="8"/>
        <v>0</v>
      </c>
      <c r="O56" s="680">
        <f t="shared" si="8"/>
        <v>0</v>
      </c>
      <c r="P56" s="680">
        <f t="shared" si="8"/>
        <v>0</v>
      </c>
      <c r="Q56" s="680">
        <f t="shared" si="8"/>
        <v>0</v>
      </c>
      <c r="R56" s="680">
        <f t="shared" si="8"/>
        <v>0</v>
      </c>
      <c r="S56" s="680">
        <f t="shared" si="8"/>
        <v>0</v>
      </c>
      <c r="T56" s="680">
        <f t="shared" si="8"/>
        <v>0</v>
      </c>
      <c r="U56" s="680">
        <f t="shared" si="8"/>
        <v>0</v>
      </c>
      <c r="V56" s="680">
        <f t="shared" si="8"/>
        <v>0</v>
      </c>
      <c r="W56" s="680">
        <f t="shared" si="8"/>
        <v>0</v>
      </c>
      <c r="X56" s="680">
        <f t="shared" si="8"/>
        <v>0</v>
      </c>
      <c r="Y56" s="680">
        <f t="shared" si="8"/>
        <v>0</v>
      </c>
      <c r="Z56" s="680">
        <f t="shared" si="8"/>
        <v>0</v>
      </c>
      <c r="AA56" s="680">
        <f t="shared" si="8"/>
        <v>0</v>
      </c>
      <c r="AB56" s="680">
        <f t="shared" si="8"/>
        <v>0</v>
      </c>
      <c r="AC56" s="680">
        <f t="shared" si="8"/>
        <v>0</v>
      </c>
      <c r="AD56" s="680">
        <f t="shared" si="8"/>
        <v>0</v>
      </c>
      <c r="AE56" s="680">
        <f t="shared" si="8"/>
        <v>0</v>
      </c>
      <c r="AF56" s="680">
        <f t="shared" si="8"/>
        <v>0</v>
      </c>
      <c r="AG56" s="680">
        <f t="shared" si="8"/>
        <v>0</v>
      </c>
      <c r="AH56" s="680">
        <f t="shared" si="8"/>
        <v>0</v>
      </c>
      <c r="AI56" s="680">
        <f t="shared" si="8"/>
        <v>0</v>
      </c>
      <c r="AJ56" s="680">
        <f t="shared" si="8"/>
        <v>0</v>
      </c>
      <c r="AK56" s="680">
        <f t="shared" si="8"/>
        <v>0</v>
      </c>
      <c r="AL56" s="680">
        <f t="shared" si="8"/>
        <v>0</v>
      </c>
      <c r="AM56" s="680">
        <f t="shared" si="8"/>
        <v>0</v>
      </c>
      <c r="AN56" s="680">
        <f t="shared" si="8"/>
        <v>0</v>
      </c>
      <c r="AO56" s="680">
        <f t="shared" si="8"/>
        <v>0</v>
      </c>
      <c r="AP56" s="680">
        <f t="shared" si="8"/>
        <v>0</v>
      </c>
    </row>
    <row r="57" spans="1:42" hidden="1">
      <c r="A57" s="672"/>
      <c r="B57" s="676">
        <v>75</v>
      </c>
      <c r="C57" s="680">
        <f t="shared" si="7"/>
        <v>0</v>
      </c>
      <c r="D57" s="680">
        <f t="shared" si="8"/>
        <v>0</v>
      </c>
      <c r="E57" s="680">
        <f t="shared" si="8"/>
        <v>0</v>
      </c>
      <c r="F57" s="680">
        <f t="shared" si="8"/>
        <v>0</v>
      </c>
      <c r="G57" s="680">
        <f t="shared" si="8"/>
        <v>0</v>
      </c>
      <c r="H57" s="680">
        <f t="shared" si="8"/>
        <v>0</v>
      </c>
      <c r="I57" s="680">
        <f t="shared" si="8"/>
        <v>0</v>
      </c>
      <c r="J57" s="680">
        <f t="shared" si="8"/>
        <v>0</v>
      </c>
      <c r="K57" s="680">
        <f t="shared" si="8"/>
        <v>0</v>
      </c>
      <c r="L57" s="680">
        <f t="shared" si="8"/>
        <v>0</v>
      </c>
      <c r="M57" s="680">
        <f t="shared" si="8"/>
        <v>0</v>
      </c>
      <c r="N57" s="680">
        <f t="shared" si="8"/>
        <v>0</v>
      </c>
      <c r="O57" s="680">
        <f t="shared" si="8"/>
        <v>0</v>
      </c>
      <c r="P57" s="680">
        <f t="shared" si="8"/>
        <v>0</v>
      </c>
      <c r="Q57" s="680">
        <f t="shared" si="8"/>
        <v>0</v>
      </c>
      <c r="R57" s="680">
        <f t="shared" si="8"/>
        <v>0</v>
      </c>
      <c r="S57" s="680">
        <f t="shared" si="8"/>
        <v>0</v>
      </c>
      <c r="T57" s="680">
        <f t="shared" si="8"/>
        <v>0</v>
      </c>
      <c r="U57" s="680">
        <f t="shared" si="8"/>
        <v>0</v>
      </c>
      <c r="V57" s="680">
        <f t="shared" si="8"/>
        <v>0</v>
      </c>
      <c r="W57" s="680">
        <f t="shared" si="8"/>
        <v>0</v>
      </c>
      <c r="X57" s="680">
        <f t="shared" si="8"/>
        <v>0</v>
      </c>
      <c r="Y57" s="680">
        <f t="shared" si="8"/>
        <v>0</v>
      </c>
      <c r="Z57" s="680">
        <f t="shared" si="8"/>
        <v>0</v>
      </c>
      <c r="AA57" s="680">
        <f t="shared" si="8"/>
        <v>0</v>
      </c>
      <c r="AB57" s="680">
        <f t="shared" si="8"/>
        <v>0</v>
      </c>
      <c r="AC57" s="680">
        <f t="shared" si="8"/>
        <v>0</v>
      </c>
      <c r="AD57" s="680">
        <f t="shared" si="8"/>
        <v>0</v>
      </c>
      <c r="AE57" s="680">
        <f t="shared" si="8"/>
        <v>0</v>
      </c>
      <c r="AF57" s="680">
        <f t="shared" si="8"/>
        <v>0</v>
      </c>
      <c r="AG57" s="680">
        <f t="shared" si="8"/>
        <v>0</v>
      </c>
      <c r="AH57" s="680">
        <f t="shared" si="8"/>
        <v>0</v>
      </c>
      <c r="AI57" s="680">
        <f t="shared" si="8"/>
        <v>0</v>
      </c>
      <c r="AJ57" s="680">
        <f t="shared" si="8"/>
        <v>0</v>
      </c>
      <c r="AK57" s="680">
        <f t="shared" si="8"/>
        <v>0</v>
      </c>
      <c r="AL57" s="680">
        <f t="shared" si="8"/>
        <v>0</v>
      </c>
      <c r="AM57" s="680">
        <f t="shared" si="8"/>
        <v>0</v>
      </c>
      <c r="AN57" s="680">
        <f t="shared" si="8"/>
        <v>0</v>
      </c>
      <c r="AO57" s="680">
        <f t="shared" si="8"/>
        <v>0</v>
      </c>
      <c r="AP57" s="680">
        <f t="shared" si="8"/>
        <v>0</v>
      </c>
    </row>
    <row r="58" spans="1:42" hidden="1">
      <c r="A58" s="672"/>
      <c r="B58" s="675">
        <v>70</v>
      </c>
      <c r="C58" s="680">
        <f t="shared" si="7"/>
        <v>0</v>
      </c>
      <c r="D58" s="680">
        <f t="shared" si="8"/>
        <v>0</v>
      </c>
      <c r="E58" s="680">
        <f t="shared" si="8"/>
        <v>0</v>
      </c>
      <c r="F58" s="680">
        <f t="shared" si="8"/>
        <v>0</v>
      </c>
      <c r="G58" s="680">
        <f t="shared" si="8"/>
        <v>0</v>
      </c>
      <c r="H58" s="680">
        <f t="shared" si="8"/>
        <v>0</v>
      </c>
      <c r="I58" s="680">
        <f t="shared" si="8"/>
        <v>0</v>
      </c>
      <c r="J58" s="680">
        <f t="shared" si="8"/>
        <v>0</v>
      </c>
      <c r="K58" s="680">
        <f t="shared" si="8"/>
        <v>0</v>
      </c>
      <c r="L58" s="680">
        <f t="shared" si="8"/>
        <v>0</v>
      </c>
      <c r="M58" s="680">
        <f t="shared" si="8"/>
        <v>0</v>
      </c>
      <c r="N58" s="680">
        <f t="shared" si="8"/>
        <v>0</v>
      </c>
      <c r="O58" s="680">
        <f t="shared" si="8"/>
        <v>0</v>
      </c>
      <c r="P58" s="680">
        <f t="shared" si="8"/>
        <v>0</v>
      </c>
      <c r="Q58" s="680">
        <f t="shared" si="8"/>
        <v>0</v>
      </c>
      <c r="R58" s="680">
        <f t="shared" si="8"/>
        <v>0</v>
      </c>
      <c r="S58" s="680">
        <f t="shared" si="8"/>
        <v>0</v>
      </c>
      <c r="T58" s="680">
        <f t="shared" si="8"/>
        <v>0</v>
      </c>
      <c r="U58" s="680">
        <f t="shared" si="8"/>
        <v>0</v>
      </c>
      <c r="V58" s="680">
        <f t="shared" si="8"/>
        <v>0</v>
      </c>
      <c r="W58" s="680">
        <f t="shared" si="8"/>
        <v>0</v>
      </c>
      <c r="X58" s="680">
        <f t="shared" si="8"/>
        <v>0</v>
      </c>
      <c r="Y58" s="680">
        <f t="shared" si="8"/>
        <v>0</v>
      </c>
      <c r="Z58" s="680">
        <f t="shared" si="8"/>
        <v>0</v>
      </c>
      <c r="AA58" s="680">
        <f t="shared" si="8"/>
        <v>0</v>
      </c>
      <c r="AB58" s="680">
        <f t="shared" si="8"/>
        <v>0</v>
      </c>
      <c r="AC58" s="680">
        <f t="shared" si="8"/>
        <v>0</v>
      </c>
      <c r="AD58" s="680">
        <f t="shared" si="8"/>
        <v>0</v>
      </c>
      <c r="AE58" s="680">
        <f t="shared" si="8"/>
        <v>0</v>
      </c>
      <c r="AF58" s="680">
        <f t="shared" si="8"/>
        <v>0</v>
      </c>
      <c r="AG58" s="680">
        <f t="shared" si="8"/>
        <v>0</v>
      </c>
      <c r="AH58" s="680">
        <f t="shared" si="8"/>
        <v>0</v>
      </c>
      <c r="AI58" s="680">
        <f t="shared" si="8"/>
        <v>0</v>
      </c>
      <c r="AJ58" s="680">
        <f t="shared" si="8"/>
        <v>0</v>
      </c>
      <c r="AK58" s="680">
        <f t="shared" si="8"/>
        <v>0</v>
      </c>
      <c r="AL58" s="680">
        <f t="shared" si="8"/>
        <v>0</v>
      </c>
      <c r="AM58" s="680">
        <f t="shared" si="8"/>
        <v>0</v>
      </c>
      <c r="AN58" s="680">
        <f t="shared" ref="D58:AP65" si="9">IF($B14=AN$29,1,0)</f>
        <v>0</v>
      </c>
      <c r="AO58" s="680">
        <f t="shared" si="9"/>
        <v>0</v>
      </c>
      <c r="AP58" s="680">
        <f t="shared" si="9"/>
        <v>0</v>
      </c>
    </row>
    <row r="59" spans="1:42" hidden="1">
      <c r="A59" s="672"/>
      <c r="B59" s="676">
        <v>65</v>
      </c>
      <c r="C59" s="680">
        <f t="shared" si="7"/>
        <v>0</v>
      </c>
      <c r="D59" s="680">
        <f t="shared" si="9"/>
        <v>0</v>
      </c>
      <c r="E59" s="680">
        <f t="shared" si="9"/>
        <v>0</v>
      </c>
      <c r="F59" s="680">
        <f t="shared" si="9"/>
        <v>0</v>
      </c>
      <c r="G59" s="680">
        <f t="shared" si="9"/>
        <v>0</v>
      </c>
      <c r="H59" s="680">
        <f t="shared" si="9"/>
        <v>0</v>
      </c>
      <c r="I59" s="680">
        <f t="shared" si="9"/>
        <v>1</v>
      </c>
      <c r="J59" s="680">
        <f t="shared" si="9"/>
        <v>1</v>
      </c>
      <c r="K59" s="680">
        <f t="shared" si="9"/>
        <v>1</v>
      </c>
      <c r="L59" s="680">
        <f t="shared" si="9"/>
        <v>1</v>
      </c>
      <c r="M59" s="680">
        <f t="shared" si="9"/>
        <v>1</v>
      </c>
      <c r="N59" s="680">
        <f t="shared" si="9"/>
        <v>1</v>
      </c>
      <c r="O59" s="680">
        <f t="shared" si="9"/>
        <v>1</v>
      </c>
      <c r="P59" s="680">
        <f t="shared" si="9"/>
        <v>1</v>
      </c>
      <c r="Q59" s="680">
        <f t="shared" si="9"/>
        <v>0</v>
      </c>
      <c r="R59" s="680">
        <f t="shared" si="9"/>
        <v>0</v>
      </c>
      <c r="S59" s="680">
        <f t="shared" si="9"/>
        <v>0</v>
      </c>
      <c r="T59" s="680">
        <f t="shared" si="9"/>
        <v>0</v>
      </c>
      <c r="U59" s="680">
        <f t="shared" si="9"/>
        <v>0</v>
      </c>
      <c r="V59" s="680">
        <f t="shared" si="9"/>
        <v>0</v>
      </c>
      <c r="W59" s="680">
        <f t="shared" si="9"/>
        <v>0</v>
      </c>
      <c r="X59" s="680">
        <f t="shared" si="9"/>
        <v>0</v>
      </c>
      <c r="Y59" s="680">
        <f t="shared" si="9"/>
        <v>0</v>
      </c>
      <c r="Z59" s="680">
        <f t="shared" si="9"/>
        <v>0</v>
      </c>
      <c r="AA59" s="680">
        <f t="shared" si="9"/>
        <v>0</v>
      </c>
      <c r="AB59" s="680">
        <f t="shared" si="9"/>
        <v>0</v>
      </c>
      <c r="AC59" s="680">
        <f t="shared" si="9"/>
        <v>0</v>
      </c>
      <c r="AD59" s="680">
        <f t="shared" si="9"/>
        <v>0</v>
      </c>
      <c r="AE59" s="680">
        <f t="shared" si="9"/>
        <v>0</v>
      </c>
      <c r="AF59" s="680">
        <f t="shared" si="9"/>
        <v>0</v>
      </c>
      <c r="AG59" s="680">
        <f t="shared" si="9"/>
        <v>0</v>
      </c>
      <c r="AH59" s="680">
        <f t="shared" si="9"/>
        <v>0</v>
      </c>
      <c r="AI59" s="680">
        <f t="shared" si="9"/>
        <v>0</v>
      </c>
      <c r="AJ59" s="680">
        <f t="shared" si="9"/>
        <v>0</v>
      </c>
      <c r="AK59" s="680">
        <f t="shared" si="9"/>
        <v>0</v>
      </c>
      <c r="AL59" s="680">
        <f t="shared" si="9"/>
        <v>0</v>
      </c>
      <c r="AM59" s="680">
        <f t="shared" si="9"/>
        <v>0</v>
      </c>
      <c r="AN59" s="680">
        <f t="shared" si="9"/>
        <v>0</v>
      </c>
      <c r="AO59" s="680">
        <f t="shared" si="9"/>
        <v>0</v>
      </c>
      <c r="AP59" s="680">
        <f t="shared" si="9"/>
        <v>0</v>
      </c>
    </row>
    <row r="60" spans="1:42" hidden="1">
      <c r="A60" s="672"/>
      <c r="B60" s="675">
        <v>60</v>
      </c>
      <c r="C60" s="680">
        <f t="shared" si="7"/>
        <v>0</v>
      </c>
      <c r="D60" s="680">
        <f t="shared" si="9"/>
        <v>0</v>
      </c>
      <c r="E60" s="680">
        <f t="shared" si="9"/>
        <v>0</v>
      </c>
      <c r="F60" s="680">
        <f t="shared" si="9"/>
        <v>0</v>
      </c>
      <c r="G60" s="680">
        <f t="shared" si="9"/>
        <v>0</v>
      </c>
      <c r="H60" s="680">
        <f t="shared" si="9"/>
        <v>0</v>
      </c>
      <c r="I60" s="680">
        <f t="shared" si="9"/>
        <v>0</v>
      </c>
      <c r="J60" s="680">
        <f t="shared" si="9"/>
        <v>0</v>
      </c>
      <c r="K60" s="680">
        <f t="shared" si="9"/>
        <v>0</v>
      </c>
      <c r="L60" s="680">
        <f t="shared" si="9"/>
        <v>0</v>
      </c>
      <c r="M60" s="680">
        <f t="shared" si="9"/>
        <v>0</v>
      </c>
      <c r="N60" s="680">
        <f t="shared" si="9"/>
        <v>0</v>
      </c>
      <c r="O60" s="680">
        <f t="shared" si="9"/>
        <v>0</v>
      </c>
      <c r="P60" s="680">
        <f t="shared" si="9"/>
        <v>0</v>
      </c>
      <c r="Q60" s="680">
        <f t="shared" si="9"/>
        <v>0</v>
      </c>
      <c r="R60" s="680">
        <f t="shared" si="9"/>
        <v>0</v>
      </c>
      <c r="S60" s="680">
        <f t="shared" si="9"/>
        <v>0</v>
      </c>
      <c r="T60" s="680">
        <f t="shared" si="9"/>
        <v>0</v>
      </c>
      <c r="U60" s="680">
        <f t="shared" si="9"/>
        <v>0</v>
      </c>
      <c r="V60" s="680">
        <f t="shared" si="9"/>
        <v>0</v>
      </c>
      <c r="W60" s="680">
        <f t="shared" si="9"/>
        <v>0</v>
      </c>
      <c r="X60" s="680">
        <f t="shared" si="9"/>
        <v>0</v>
      </c>
      <c r="Y60" s="680">
        <f t="shared" si="9"/>
        <v>0</v>
      </c>
      <c r="Z60" s="680">
        <f t="shared" si="9"/>
        <v>0</v>
      </c>
      <c r="AA60" s="680">
        <f t="shared" si="9"/>
        <v>0</v>
      </c>
      <c r="AB60" s="680">
        <f t="shared" si="9"/>
        <v>0</v>
      </c>
      <c r="AC60" s="680">
        <f t="shared" si="9"/>
        <v>0</v>
      </c>
      <c r="AD60" s="680">
        <f t="shared" si="9"/>
        <v>0</v>
      </c>
      <c r="AE60" s="680">
        <f t="shared" si="9"/>
        <v>0</v>
      </c>
      <c r="AF60" s="680">
        <f t="shared" si="9"/>
        <v>0</v>
      </c>
      <c r="AG60" s="680">
        <f t="shared" si="9"/>
        <v>0</v>
      </c>
      <c r="AH60" s="680">
        <f t="shared" si="9"/>
        <v>0</v>
      </c>
      <c r="AI60" s="680">
        <f t="shared" si="9"/>
        <v>0</v>
      </c>
      <c r="AJ60" s="680">
        <f t="shared" si="9"/>
        <v>0</v>
      </c>
      <c r="AK60" s="680">
        <f t="shared" si="9"/>
        <v>0</v>
      </c>
      <c r="AL60" s="680">
        <f t="shared" si="9"/>
        <v>0</v>
      </c>
      <c r="AM60" s="680">
        <f t="shared" si="9"/>
        <v>0</v>
      </c>
      <c r="AN60" s="680">
        <f t="shared" si="9"/>
        <v>0</v>
      </c>
      <c r="AO60" s="680">
        <f t="shared" si="9"/>
        <v>0</v>
      </c>
      <c r="AP60" s="680">
        <f t="shared" si="9"/>
        <v>0</v>
      </c>
    </row>
    <row r="61" spans="1:42" hidden="1">
      <c r="A61" s="672"/>
      <c r="B61" s="676">
        <v>55</v>
      </c>
      <c r="C61" s="680">
        <f t="shared" si="7"/>
        <v>0</v>
      </c>
      <c r="D61" s="680">
        <f t="shared" si="9"/>
        <v>0</v>
      </c>
      <c r="E61" s="680">
        <f t="shared" si="9"/>
        <v>0</v>
      </c>
      <c r="F61" s="680">
        <f t="shared" si="9"/>
        <v>0</v>
      </c>
      <c r="G61" s="680">
        <f t="shared" si="9"/>
        <v>0</v>
      </c>
      <c r="H61" s="680">
        <f t="shared" si="9"/>
        <v>0</v>
      </c>
      <c r="I61" s="680">
        <f t="shared" si="9"/>
        <v>0</v>
      </c>
      <c r="J61" s="680">
        <f t="shared" si="9"/>
        <v>0</v>
      </c>
      <c r="K61" s="680">
        <f t="shared" si="9"/>
        <v>0</v>
      </c>
      <c r="L61" s="680">
        <f t="shared" si="9"/>
        <v>0</v>
      </c>
      <c r="M61" s="680">
        <f t="shared" si="9"/>
        <v>0</v>
      </c>
      <c r="N61" s="680">
        <f t="shared" si="9"/>
        <v>0</v>
      </c>
      <c r="O61" s="680">
        <f t="shared" si="9"/>
        <v>0</v>
      </c>
      <c r="P61" s="680">
        <f t="shared" si="9"/>
        <v>0</v>
      </c>
      <c r="Q61" s="680">
        <f t="shared" si="9"/>
        <v>0</v>
      </c>
      <c r="R61" s="680">
        <f t="shared" si="9"/>
        <v>0</v>
      </c>
      <c r="S61" s="680">
        <f t="shared" si="9"/>
        <v>0</v>
      </c>
      <c r="T61" s="680">
        <f t="shared" si="9"/>
        <v>0</v>
      </c>
      <c r="U61" s="680">
        <f t="shared" si="9"/>
        <v>0</v>
      </c>
      <c r="V61" s="680">
        <f t="shared" si="9"/>
        <v>0</v>
      </c>
      <c r="W61" s="680">
        <f t="shared" si="9"/>
        <v>0</v>
      </c>
      <c r="X61" s="680">
        <f t="shared" si="9"/>
        <v>0</v>
      </c>
      <c r="Y61" s="680">
        <f t="shared" si="9"/>
        <v>0</v>
      </c>
      <c r="Z61" s="680">
        <f t="shared" si="9"/>
        <v>0</v>
      </c>
      <c r="AA61" s="680">
        <f t="shared" si="9"/>
        <v>0</v>
      </c>
      <c r="AB61" s="680">
        <f t="shared" si="9"/>
        <v>0</v>
      </c>
      <c r="AC61" s="680">
        <f t="shared" si="9"/>
        <v>0</v>
      </c>
      <c r="AD61" s="680">
        <f t="shared" si="9"/>
        <v>0</v>
      </c>
      <c r="AE61" s="680">
        <f t="shared" si="9"/>
        <v>0</v>
      </c>
      <c r="AF61" s="680">
        <f t="shared" si="9"/>
        <v>0</v>
      </c>
      <c r="AG61" s="680">
        <f t="shared" si="9"/>
        <v>0</v>
      </c>
      <c r="AH61" s="680">
        <f t="shared" si="9"/>
        <v>0</v>
      </c>
      <c r="AI61" s="680">
        <f t="shared" si="9"/>
        <v>0</v>
      </c>
      <c r="AJ61" s="680">
        <f t="shared" si="9"/>
        <v>0</v>
      </c>
      <c r="AK61" s="680">
        <f t="shared" si="9"/>
        <v>0</v>
      </c>
      <c r="AL61" s="680">
        <f t="shared" si="9"/>
        <v>0</v>
      </c>
      <c r="AM61" s="680">
        <f t="shared" si="9"/>
        <v>0</v>
      </c>
      <c r="AN61" s="680">
        <f t="shared" si="9"/>
        <v>0</v>
      </c>
      <c r="AO61" s="680">
        <f t="shared" si="9"/>
        <v>0</v>
      </c>
      <c r="AP61" s="680">
        <f t="shared" si="9"/>
        <v>0</v>
      </c>
    </row>
    <row r="62" spans="1:42" hidden="1">
      <c r="A62" s="672"/>
      <c r="B62" s="675">
        <v>50</v>
      </c>
      <c r="C62" s="680">
        <f t="shared" si="7"/>
        <v>0</v>
      </c>
      <c r="D62" s="680">
        <f t="shared" si="9"/>
        <v>0</v>
      </c>
      <c r="E62" s="680">
        <f t="shared" si="9"/>
        <v>0</v>
      </c>
      <c r="F62" s="680">
        <f t="shared" si="9"/>
        <v>0</v>
      </c>
      <c r="G62" s="680">
        <f t="shared" si="9"/>
        <v>0</v>
      </c>
      <c r="H62" s="680">
        <f t="shared" si="9"/>
        <v>0</v>
      </c>
      <c r="I62" s="680">
        <f t="shared" si="9"/>
        <v>0</v>
      </c>
      <c r="J62" s="680">
        <f t="shared" si="9"/>
        <v>0</v>
      </c>
      <c r="K62" s="680">
        <f t="shared" si="9"/>
        <v>0</v>
      </c>
      <c r="L62" s="680">
        <f t="shared" si="9"/>
        <v>0</v>
      </c>
      <c r="M62" s="680">
        <f t="shared" si="9"/>
        <v>0</v>
      </c>
      <c r="N62" s="680">
        <f t="shared" si="9"/>
        <v>0</v>
      </c>
      <c r="O62" s="680">
        <f t="shared" si="9"/>
        <v>0</v>
      </c>
      <c r="P62" s="680">
        <f t="shared" si="9"/>
        <v>0</v>
      </c>
      <c r="Q62" s="680">
        <f t="shared" si="9"/>
        <v>0</v>
      </c>
      <c r="R62" s="680">
        <f t="shared" si="9"/>
        <v>0</v>
      </c>
      <c r="S62" s="680">
        <f t="shared" si="9"/>
        <v>0</v>
      </c>
      <c r="T62" s="680">
        <f t="shared" si="9"/>
        <v>0</v>
      </c>
      <c r="U62" s="680">
        <f t="shared" si="9"/>
        <v>0</v>
      </c>
      <c r="V62" s="680">
        <f t="shared" si="9"/>
        <v>0</v>
      </c>
      <c r="W62" s="680">
        <f t="shared" si="9"/>
        <v>0</v>
      </c>
      <c r="X62" s="680">
        <f t="shared" si="9"/>
        <v>0</v>
      </c>
      <c r="Y62" s="680">
        <f t="shared" si="9"/>
        <v>0</v>
      </c>
      <c r="Z62" s="680">
        <f t="shared" si="9"/>
        <v>0</v>
      </c>
      <c r="AA62" s="680">
        <f t="shared" si="9"/>
        <v>0</v>
      </c>
      <c r="AB62" s="680">
        <f t="shared" si="9"/>
        <v>0</v>
      </c>
      <c r="AC62" s="680">
        <f t="shared" si="9"/>
        <v>0</v>
      </c>
      <c r="AD62" s="680">
        <f t="shared" si="9"/>
        <v>0</v>
      </c>
      <c r="AE62" s="680">
        <f t="shared" si="9"/>
        <v>0</v>
      </c>
      <c r="AF62" s="680">
        <f t="shared" si="9"/>
        <v>0</v>
      </c>
      <c r="AG62" s="680">
        <f t="shared" si="9"/>
        <v>0</v>
      </c>
      <c r="AH62" s="680">
        <f t="shared" si="9"/>
        <v>0</v>
      </c>
      <c r="AI62" s="680">
        <f t="shared" si="9"/>
        <v>0</v>
      </c>
      <c r="AJ62" s="680">
        <f t="shared" si="9"/>
        <v>0</v>
      </c>
      <c r="AK62" s="680">
        <f t="shared" si="9"/>
        <v>0</v>
      </c>
      <c r="AL62" s="680">
        <f t="shared" si="9"/>
        <v>0</v>
      </c>
      <c r="AM62" s="680">
        <f t="shared" si="9"/>
        <v>0</v>
      </c>
      <c r="AN62" s="680">
        <f t="shared" si="9"/>
        <v>0</v>
      </c>
      <c r="AO62" s="680">
        <f t="shared" si="9"/>
        <v>0</v>
      </c>
      <c r="AP62" s="680">
        <f t="shared" si="9"/>
        <v>0</v>
      </c>
    </row>
    <row r="63" spans="1:42" hidden="1">
      <c r="A63" s="672"/>
      <c r="B63" s="676">
        <v>45</v>
      </c>
      <c r="C63" s="680">
        <f t="shared" si="7"/>
        <v>0</v>
      </c>
      <c r="D63" s="680">
        <f t="shared" si="9"/>
        <v>0</v>
      </c>
      <c r="E63" s="680">
        <f t="shared" si="9"/>
        <v>0</v>
      </c>
      <c r="F63" s="680">
        <f t="shared" si="9"/>
        <v>0</v>
      </c>
      <c r="G63" s="680">
        <f t="shared" si="9"/>
        <v>0</v>
      </c>
      <c r="H63" s="680">
        <f t="shared" si="9"/>
        <v>0</v>
      </c>
      <c r="I63" s="680">
        <f t="shared" si="9"/>
        <v>0</v>
      </c>
      <c r="J63" s="680">
        <f t="shared" si="9"/>
        <v>0</v>
      </c>
      <c r="K63" s="680">
        <f t="shared" si="9"/>
        <v>0</v>
      </c>
      <c r="L63" s="680">
        <f t="shared" si="9"/>
        <v>0</v>
      </c>
      <c r="M63" s="680">
        <f t="shared" si="9"/>
        <v>0</v>
      </c>
      <c r="N63" s="680">
        <f t="shared" si="9"/>
        <v>0</v>
      </c>
      <c r="O63" s="680">
        <f t="shared" si="9"/>
        <v>0</v>
      </c>
      <c r="P63" s="680">
        <f t="shared" si="9"/>
        <v>0</v>
      </c>
      <c r="Q63" s="680">
        <f t="shared" si="9"/>
        <v>0</v>
      </c>
      <c r="R63" s="680">
        <f t="shared" si="9"/>
        <v>0</v>
      </c>
      <c r="S63" s="680">
        <f t="shared" si="9"/>
        <v>0</v>
      </c>
      <c r="T63" s="680">
        <f t="shared" si="9"/>
        <v>0</v>
      </c>
      <c r="U63" s="680">
        <f t="shared" si="9"/>
        <v>0</v>
      </c>
      <c r="V63" s="680">
        <f t="shared" si="9"/>
        <v>0</v>
      </c>
      <c r="W63" s="680">
        <f t="shared" si="9"/>
        <v>0</v>
      </c>
      <c r="X63" s="680">
        <f t="shared" si="9"/>
        <v>0</v>
      </c>
      <c r="Y63" s="680">
        <f t="shared" si="9"/>
        <v>0</v>
      </c>
      <c r="Z63" s="680">
        <f t="shared" si="9"/>
        <v>0</v>
      </c>
      <c r="AA63" s="680">
        <f t="shared" si="9"/>
        <v>0</v>
      </c>
      <c r="AB63" s="680">
        <f t="shared" si="9"/>
        <v>0</v>
      </c>
      <c r="AC63" s="680">
        <f t="shared" si="9"/>
        <v>0</v>
      </c>
      <c r="AD63" s="680">
        <f t="shared" si="9"/>
        <v>0</v>
      </c>
      <c r="AE63" s="680">
        <f t="shared" si="9"/>
        <v>0</v>
      </c>
      <c r="AF63" s="680">
        <f t="shared" si="9"/>
        <v>0</v>
      </c>
      <c r="AG63" s="680">
        <f t="shared" si="9"/>
        <v>0</v>
      </c>
      <c r="AH63" s="680">
        <f t="shared" si="9"/>
        <v>0</v>
      </c>
      <c r="AI63" s="680">
        <f t="shared" si="9"/>
        <v>0</v>
      </c>
      <c r="AJ63" s="680">
        <f t="shared" si="9"/>
        <v>0</v>
      </c>
      <c r="AK63" s="680">
        <f t="shared" si="9"/>
        <v>0</v>
      </c>
      <c r="AL63" s="680">
        <f t="shared" si="9"/>
        <v>0</v>
      </c>
      <c r="AM63" s="680">
        <f t="shared" si="9"/>
        <v>0</v>
      </c>
      <c r="AN63" s="680">
        <f t="shared" si="9"/>
        <v>0</v>
      </c>
      <c r="AO63" s="680">
        <f t="shared" si="9"/>
        <v>0</v>
      </c>
      <c r="AP63" s="680">
        <f t="shared" si="9"/>
        <v>0</v>
      </c>
    </row>
    <row r="64" spans="1:42" hidden="1">
      <c r="A64" s="672"/>
      <c r="B64" s="675">
        <v>40</v>
      </c>
      <c r="C64" s="680">
        <f t="shared" si="7"/>
        <v>0</v>
      </c>
      <c r="D64" s="680">
        <f t="shared" si="9"/>
        <v>0</v>
      </c>
      <c r="E64" s="680">
        <f t="shared" si="9"/>
        <v>0</v>
      </c>
      <c r="F64" s="680">
        <f t="shared" si="9"/>
        <v>0</v>
      </c>
      <c r="G64" s="680">
        <f t="shared" si="9"/>
        <v>0</v>
      </c>
      <c r="H64" s="680">
        <f t="shared" si="9"/>
        <v>0</v>
      </c>
      <c r="I64" s="680">
        <f t="shared" si="9"/>
        <v>0</v>
      </c>
      <c r="J64" s="680">
        <f t="shared" si="9"/>
        <v>0</v>
      </c>
      <c r="K64" s="680">
        <f t="shared" si="9"/>
        <v>0</v>
      </c>
      <c r="L64" s="680">
        <f t="shared" si="9"/>
        <v>0</v>
      </c>
      <c r="M64" s="680">
        <f t="shared" si="9"/>
        <v>0</v>
      </c>
      <c r="N64" s="680">
        <f t="shared" si="9"/>
        <v>0</v>
      </c>
      <c r="O64" s="680">
        <f t="shared" si="9"/>
        <v>0</v>
      </c>
      <c r="P64" s="680">
        <f t="shared" si="9"/>
        <v>0</v>
      </c>
      <c r="Q64" s="680">
        <f t="shared" si="9"/>
        <v>0</v>
      </c>
      <c r="R64" s="680">
        <f t="shared" si="9"/>
        <v>0</v>
      </c>
      <c r="S64" s="680">
        <f t="shared" si="9"/>
        <v>0</v>
      </c>
      <c r="T64" s="680">
        <f t="shared" si="9"/>
        <v>0</v>
      </c>
      <c r="U64" s="680">
        <f t="shared" si="9"/>
        <v>0</v>
      </c>
      <c r="V64" s="680">
        <f t="shared" si="9"/>
        <v>0</v>
      </c>
      <c r="W64" s="680">
        <f t="shared" si="9"/>
        <v>0</v>
      </c>
      <c r="X64" s="680">
        <f t="shared" si="9"/>
        <v>0</v>
      </c>
      <c r="Y64" s="680">
        <f t="shared" si="9"/>
        <v>0</v>
      </c>
      <c r="Z64" s="680">
        <f t="shared" si="9"/>
        <v>0</v>
      </c>
      <c r="AA64" s="680">
        <f t="shared" si="9"/>
        <v>0</v>
      </c>
      <c r="AB64" s="680">
        <f t="shared" si="9"/>
        <v>0</v>
      </c>
      <c r="AC64" s="680">
        <f t="shared" si="9"/>
        <v>0</v>
      </c>
      <c r="AD64" s="680">
        <f t="shared" si="9"/>
        <v>0</v>
      </c>
      <c r="AE64" s="680">
        <f t="shared" si="9"/>
        <v>0</v>
      </c>
      <c r="AF64" s="680">
        <f t="shared" si="9"/>
        <v>0</v>
      </c>
      <c r="AG64" s="680">
        <f t="shared" si="9"/>
        <v>0</v>
      </c>
      <c r="AH64" s="680">
        <f t="shared" si="9"/>
        <v>0</v>
      </c>
      <c r="AI64" s="680">
        <f t="shared" si="9"/>
        <v>0</v>
      </c>
      <c r="AJ64" s="680">
        <f t="shared" si="9"/>
        <v>0</v>
      </c>
      <c r="AK64" s="680">
        <f t="shared" si="9"/>
        <v>0</v>
      </c>
      <c r="AL64" s="680">
        <f t="shared" si="9"/>
        <v>0</v>
      </c>
      <c r="AM64" s="680">
        <f t="shared" si="9"/>
        <v>0</v>
      </c>
      <c r="AN64" s="680">
        <f t="shared" si="9"/>
        <v>0</v>
      </c>
      <c r="AO64" s="680">
        <f t="shared" si="9"/>
        <v>0</v>
      </c>
      <c r="AP64" s="680">
        <f t="shared" si="9"/>
        <v>0</v>
      </c>
    </row>
    <row r="65" spans="1:42" hidden="1">
      <c r="A65" s="672"/>
      <c r="B65" s="676">
        <v>35</v>
      </c>
      <c r="C65" s="680">
        <f t="shared" si="7"/>
        <v>0</v>
      </c>
      <c r="D65" s="680">
        <f t="shared" si="9"/>
        <v>0</v>
      </c>
      <c r="E65" s="680">
        <f t="shared" si="9"/>
        <v>0</v>
      </c>
      <c r="F65" s="680">
        <f t="shared" si="9"/>
        <v>0</v>
      </c>
      <c r="G65" s="680">
        <f t="shared" si="9"/>
        <v>0</v>
      </c>
      <c r="H65" s="680">
        <f t="shared" si="9"/>
        <v>0</v>
      </c>
      <c r="I65" s="680">
        <f t="shared" si="9"/>
        <v>0</v>
      </c>
      <c r="J65" s="680">
        <f t="shared" si="9"/>
        <v>0</v>
      </c>
      <c r="K65" s="680">
        <f t="shared" si="9"/>
        <v>0</v>
      </c>
      <c r="L65" s="680">
        <f t="shared" si="9"/>
        <v>0</v>
      </c>
      <c r="M65" s="680">
        <f t="shared" si="9"/>
        <v>0</v>
      </c>
      <c r="N65" s="680">
        <f t="shared" si="9"/>
        <v>0</v>
      </c>
      <c r="O65" s="680">
        <f t="shared" si="9"/>
        <v>0</v>
      </c>
      <c r="P65" s="680">
        <f t="shared" si="9"/>
        <v>0</v>
      </c>
      <c r="Q65" s="680">
        <f t="shared" si="9"/>
        <v>0</v>
      </c>
      <c r="R65" s="680">
        <f t="shared" si="9"/>
        <v>0</v>
      </c>
      <c r="S65" s="680">
        <f t="shared" si="9"/>
        <v>0</v>
      </c>
      <c r="T65" s="680">
        <f t="shared" si="9"/>
        <v>0</v>
      </c>
      <c r="U65" s="680">
        <f t="shared" si="9"/>
        <v>0</v>
      </c>
      <c r="V65" s="680">
        <f t="shared" ref="D65:AP70" si="10">IF($B21=V$29,1,0)</f>
        <v>0</v>
      </c>
      <c r="W65" s="680">
        <f t="shared" si="10"/>
        <v>0</v>
      </c>
      <c r="X65" s="680">
        <f t="shared" si="10"/>
        <v>0</v>
      </c>
      <c r="Y65" s="680">
        <f t="shared" si="10"/>
        <v>0</v>
      </c>
      <c r="Z65" s="680">
        <f t="shared" si="10"/>
        <v>0</v>
      </c>
      <c r="AA65" s="680">
        <f t="shared" si="10"/>
        <v>0</v>
      </c>
      <c r="AB65" s="680">
        <f t="shared" si="10"/>
        <v>0</v>
      </c>
      <c r="AC65" s="680">
        <f t="shared" si="10"/>
        <v>0</v>
      </c>
      <c r="AD65" s="680">
        <f t="shared" si="10"/>
        <v>0</v>
      </c>
      <c r="AE65" s="680">
        <f t="shared" si="10"/>
        <v>0</v>
      </c>
      <c r="AF65" s="680">
        <f t="shared" si="10"/>
        <v>0</v>
      </c>
      <c r="AG65" s="680">
        <f t="shared" si="10"/>
        <v>0</v>
      </c>
      <c r="AH65" s="680">
        <f t="shared" si="10"/>
        <v>0</v>
      </c>
      <c r="AI65" s="680">
        <f t="shared" si="10"/>
        <v>0</v>
      </c>
      <c r="AJ65" s="680">
        <f t="shared" si="10"/>
        <v>0</v>
      </c>
      <c r="AK65" s="680">
        <f t="shared" si="10"/>
        <v>0</v>
      </c>
      <c r="AL65" s="680">
        <f t="shared" si="10"/>
        <v>0</v>
      </c>
      <c r="AM65" s="680">
        <f t="shared" si="10"/>
        <v>0</v>
      </c>
      <c r="AN65" s="680">
        <f t="shared" si="10"/>
        <v>0</v>
      </c>
      <c r="AO65" s="680">
        <f t="shared" si="10"/>
        <v>0</v>
      </c>
      <c r="AP65" s="680">
        <f t="shared" si="10"/>
        <v>0</v>
      </c>
    </row>
    <row r="66" spans="1:42" hidden="1">
      <c r="A66" s="672"/>
      <c r="B66" s="675">
        <v>30</v>
      </c>
      <c r="C66" s="680">
        <f t="shared" si="7"/>
        <v>0</v>
      </c>
      <c r="D66" s="680">
        <f t="shared" si="10"/>
        <v>0</v>
      </c>
      <c r="E66" s="680">
        <f t="shared" si="10"/>
        <v>0</v>
      </c>
      <c r="F66" s="680">
        <f t="shared" si="10"/>
        <v>0</v>
      </c>
      <c r="G66" s="680">
        <f t="shared" si="10"/>
        <v>0</v>
      </c>
      <c r="H66" s="680">
        <f t="shared" si="10"/>
        <v>0</v>
      </c>
      <c r="I66" s="680">
        <f t="shared" si="10"/>
        <v>0</v>
      </c>
      <c r="J66" s="680">
        <f t="shared" si="10"/>
        <v>0</v>
      </c>
      <c r="K66" s="680">
        <f t="shared" si="10"/>
        <v>0</v>
      </c>
      <c r="L66" s="680">
        <f t="shared" si="10"/>
        <v>0</v>
      </c>
      <c r="M66" s="680">
        <f t="shared" si="10"/>
        <v>0</v>
      </c>
      <c r="N66" s="680">
        <f t="shared" si="10"/>
        <v>0</v>
      </c>
      <c r="O66" s="680">
        <f t="shared" si="10"/>
        <v>0</v>
      </c>
      <c r="P66" s="680">
        <f t="shared" si="10"/>
        <v>0</v>
      </c>
      <c r="Q66" s="680">
        <f t="shared" si="10"/>
        <v>0</v>
      </c>
      <c r="R66" s="680">
        <f t="shared" si="10"/>
        <v>0</v>
      </c>
      <c r="S66" s="680">
        <f t="shared" si="10"/>
        <v>0</v>
      </c>
      <c r="T66" s="680">
        <f t="shared" si="10"/>
        <v>0</v>
      </c>
      <c r="U66" s="680">
        <f t="shared" si="10"/>
        <v>0</v>
      </c>
      <c r="V66" s="680">
        <f t="shared" si="10"/>
        <v>0</v>
      </c>
      <c r="W66" s="680">
        <f t="shared" si="10"/>
        <v>0</v>
      </c>
      <c r="X66" s="680">
        <f t="shared" si="10"/>
        <v>0</v>
      </c>
      <c r="Y66" s="680">
        <f t="shared" si="10"/>
        <v>0</v>
      </c>
      <c r="Z66" s="680">
        <f t="shared" si="10"/>
        <v>0</v>
      </c>
      <c r="AA66" s="680">
        <f t="shared" si="10"/>
        <v>0</v>
      </c>
      <c r="AB66" s="680">
        <f t="shared" si="10"/>
        <v>0</v>
      </c>
      <c r="AC66" s="680">
        <f t="shared" si="10"/>
        <v>0</v>
      </c>
      <c r="AD66" s="680">
        <f t="shared" si="10"/>
        <v>0</v>
      </c>
      <c r="AE66" s="680">
        <f t="shared" si="10"/>
        <v>0</v>
      </c>
      <c r="AF66" s="680">
        <f t="shared" si="10"/>
        <v>0</v>
      </c>
      <c r="AG66" s="680">
        <f t="shared" si="10"/>
        <v>0</v>
      </c>
      <c r="AH66" s="680">
        <f t="shared" si="10"/>
        <v>0</v>
      </c>
      <c r="AI66" s="680">
        <f t="shared" si="10"/>
        <v>0</v>
      </c>
      <c r="AJ66" s="680">
        <f t="shared" si="10"/>
        <v>0</v>
      </c>
      <c r="AK66" s="680">
        <f t="shared" si="10"/>
        <v>0</v>
      </c>
      <c r="AL66" s="680">
        <f t="shared" si="10"/>
        <v>0</v>
      </c>
      <c r="AM66" s="680">
        <f t="shared" si="10"/>
        <v>0</v>
      </c>
      <c r="AN66" s="680">
        <f t="shared" si="10"/>
        <v>0</v>
      </c>
      <c r="AO66" s="680">
        <f t="shared" si="10"/>
        <v>0</v>
      </c>
      <c r="AP66" s="680">
        <f t="shared" si="10"/>
        <v>0</v>
      </c>
    </row>
    <row r="67" spans="1:42" hidden="1">
      <c r="A67" s="672"/>
      <c r="B67" s="676">
        <v>25</v>
      </c>
      <c r="C67" s="680">
        <f t="shared" si="7"/>
        <v>0</v>
      </c>
      <c r="D67" s="680">
        <f t="shared" si="10"/>
        <v>0</v>
      </c>
      <c r="E67" s="680">
        <f t="shared" si="10"/>
        <v>0</v>
      </c>
      <c r="F67" s="680">
        <f t="shared" si="10"/>
        <v>0</v>
      </c>
      <c r="G67" s="680">
        <f t="shared" si="10"/>
        <v>0</v>
      </c>
      <c r="H67" s="680">
        <f t="shared" si="10"/>
        <v>0</v>
      </c>
      <c r="I67" s="680">
        <f t="shared" si="10"/>
        <v>0</v>
      </c>
      <c r="J67" s="680">
        <f t="shared" si="10"/>
        <v>0</v>
      </c>
      <c r="K67" s="680">
        <f t="shared" si="10"/>
        <v>0</v>
      </c>
      <c r="L67" s="680">
        <f t="shared" si="10"/>
        <v>0</v>
      </c>
      <c r="M67" s="680">
        <f t="shared" si="10"/>
        <v>0</v>
      </c>
      <c r="N67" s="680">
        <f t="shared" si="10"/>
        <v>0</v>
      </c>
      <c r="O67" s="680">
        <f t="shared" si="10"/>
        <v>0</v>
      </c>
      <c r="P67" s="680">
        <f t="shared" si="10"/>
        <v>0</v>
      </c>
      <c r="Q67" s="680">
        <f t="shared" si="10"/>
        <v>0</v>
      </c>
      <c r="R67" s="680">
        <f t="shared" si="10"/>
        <v>0</v>
      </c>
      <c r="S67" s="680">
        <f t="shared" si="10"/>
        <v>0</v>
      </c>
      <c r="T67" s="680">
        <f t="shared" si="10"/>
        <v>0</v>
      </c>
      <c r="U67" s="680">
        <f t="shared" si="10"/>
        <v>0</v>
      </c>
      <c r="V67" s="680">
        <f t="shared" si="10"/>
        <v>0</v>
      </c>
      <c r="W67" s="680">
        <f t="shared" si="10"/>
        <v>0</v>
      </c>
      <c r="X67" s="680">
        <f t="shared" si="10"/>
        <v>0</v>
      </c>
      <c r="Y67" s="680">
        <f t="shared" si="10"/>
        <v>0</v>
      </c>
      <c r="Z67" s="680">
        <f t="shared" si="10"/>
        <v>0</v>
      </c>
      <c r="AA67" s="680">
        <f t="shared" si="10"/>
        <v>0</v>
      </c>
      <c r="AB67" s="680">
        <f t="shared" si="10"/>
        <v>0</v>
      </c>
      <c r="AC67" s="680">
        <f t="shared" si="10"/>
        <v>0</v>
      </c>
      <c r="AD67" s="680">
        <f t="shared" si="10"/>
        <v>0</v>
      </c>
      <c r="AE67" s="680">
        <f t="shared" si="10"/>
        <v>0</v>
      </c>
      <c r="AF67" s="680">
        <f t="shared" si="10"/>
        <v>0</v>
      </c>
      <c r="AG67" s="680">
        <f t="shared" si="10"/>
        <v>0</v>
      </c>
      <c r="AH67" s="680">
        <f t="shared" si="10"/>
        <v>0</v>
      </c>
      <c r="AI67" s="680">
        <f t="shared" si="10"/>
        <v>0</v>
      </c>
      <c r="AJ67" s="680">
        <f t="shared" si="10"/>
        <v>0</v>
      </c>
      <c r="AK67" s="680">
        <f t="shared" si="10"/>
        <v>0</v>
      </c>
      <c r="AL67" s="680">
        <f t="shared" si="10"/>
        <v>0</v>
      </c>
      <c r="AM67" s="680">
        <f t="shared" si="10"/>
        <v>0</v>
      </c>
      <c r="AN67" s="680">
        <f t="shared" si="10"/>
        <v>0</v>
      </c>
      <c r="AO67" s="680">
        <f t="shared" si="10"/>
        <v>0</v>
      </c>
      <c r="AP67" s="680">
        <f t="shared" si="10"/>
        <v>0</v>
      </c>
    </row>
    <row r="68" spans="1:42" hidden="1">
      <c r="A68" s="672"/>
      <c r="B68" s="675">
        <v>20</v>
      </c>
      <c r="C68" s="680">
        <f t="shared" si="7"/>
        <v>0</v>
      </c>
      <c r="D68" s="680">
        <f t="shared" si="10"/>
        <v>0</v>
      </c>
      <c r="E68" s="680">
        <f t="shared" si="10"/>
        <v>0</v>
      </c>
      <c r="F68" s="680">
        <f t="shared" si="10"/>
        <v>0</v>
      </c>
      <c r="G68" s="680">
        <f t="shared" si="10"/>
        <v>0</v>
      </c>
      <c r="H68" s="680">
        <f t="shared" si="10"/>
        <v>0</v>
      </c>
      <c r="I68" s="680">
        <f t="shared" si="10"/>
        <v>0</v>
      </c>
      <c r="J68" s="680">
        <f t="shared" si="10"/>
        <v>0</v>
      </c>
      <c r="K68" s="680">
        <f t="shared" si="10"/>
        <v>0</v>
      </c>
      <c r="L68" s="680">
        <f t="shared" si="10"/>
        <v>0</v>
      </c>
      <c r="M68" s="680">
        <f t="shared" si="10"/>
        <v>0</v>
      </c>
      <c r="N68" s="680">
        <f t="shared" si="10"/>
        <v>0</v>
      </c>
      <c r="O68" s="680">
        <f t="shared" si="10"/>
        <v>0</v>
      </c>
      <c r="P68" s="680">
        <f t="shared" si="10"/>
        <v>0</v>
      </c>
      <c r="Q68" s="680">
        <f t="shared" si="10"/>
        <v>0</v>
      </c>
      <c r="R68" s="680">
        <f t="shared" si="10"/>
        <v>0</v>
      </c>
      <c r="S68" s="680">
        <f t="shared" si="10"/>
        <v>0</v>
      </c>
      <c r="T68" s="680">
        <f t="shared" si="10"/>
        <v>0</v>
      </c>
      <c r="U68" s="680">
        <f t="shared" si="10"/>
        <v>0</v>
      </c>
      <c r="V68" s="680">
        <f t="shared" si="10"/>
        <v>0</v>
      </c>
      <c r="W68" s="680">
        <f t="shared" si="10"/>
        <v>0</v>
      </c>
      <c r="X68" s="680">
        <f t="shared" si="10"/>
        <v>0</v>
      </c>
      <c r="Y68" s="680">
        <f t="shared" si="10"/>
        <v>0</v>
      </c>
      <c r="Z68" s="680">
        <f t="shared" si="10"/>
        <v>0</v>
      </c>
      <c r="AA68" s="680">
        <f t="shared" si="10"/>
        <v>0</v>
      </c>
      <c r="AB68" s="680">
        <f t="shared" si="10"/>
        <v>0</v>
      </c>
      <c r="AC68" s="680">
        <f t="shared" si="10"/>
        <v>0</v>
      </c>
      <c r="AD68" s="680">
        <f t="shared" si="10"/>
        <v>0</v>
      </c>
      <c r="AE68" s="680">
        <f t="shared" si="10"/>
        <v>0</v>
      </c>
      <c r="AF68" s="680">
        <f t="shared" si="10"/>
        <v>0</v>
      </c>
      <c r="AG68" s="680">
        <f t="shared" si="10"/>
        <v>0</v>
      </c>
      <c r="AH68" s="680">
        <f t="shared" si="10"/>
        <v>0</v>
      </c>
      <c r="AI68" s="680">
        <f t="shared" si="10"/>
        <v>0</v>
      </c>
      <c r="AJ68" s="680">
        <f t="shared" si="10"/>
        <v>0</v>
      </c>
      <c r="AK68" s="680">
        <f t="shared" si="10"/>
        <v>0</v>
      </c>
      <c r="AL68" s="680">
        <f t="shared" si="10"/>
        <v>0</v>
      </c>
      <c r="AM68" s="680">
        <f t="shared" si="10"/>
        <v>0</v>
      </c>
      <c r="AN68" s="680">
        <f t="shared" si="10"/>
        <v>0</v>
      </c>
      <c r="AO68" s="680">
        <f t="shared" si="10"/>
        <v>0</v>
      </c>
      <c r="AP68" s="680">
        <f t="shared" si="10"/>
        <v>0</v>
      </c>
    </row>
    <row r="69" spans="1:42" hidden="1">
      <c r="A69" s="672"/>
      <c r="B69" s="676">
        <v>15</v>
      </c>
      <c r="C69" s="680">
        <f t="shared" si="7"/>
        <v>0</v>
      </c>
      <c r="D69" s="680">
        <f t="shared" si="10"/>
        <v>0</v>
      </c>
      <c r="E69" s="680">
        <f t="shared" si="10"/>
        <v>0</v>
      </c>
      <c r="F69" s="680">
        <f t="shared" si="10"/>
        <v>0</v>
      </c>
      <c r="G69" s="680">
        <f t="shared" si="10"/>
        <v>0</v>
      </c>
      <c r="H69" s="680">
        <f t="shared" si="10"/>
        <v>0</v>
      </c>
      <c r="I69" s="680">
        <f t="shared" si="10"/>
        <v>0</v>
      </c>
      <c r="J69" s="680">
        <f t="shared" si="10"/>
        <v>0</v>
      </c>
      <c r="K69" s="680">
        <f t="shared" si="10"/>
        <v>0</v>
      </c>
      <c r="L69" s="680">
        <f t="shared" si="10"/>
        <v>0</v>
      </c>
      <c r="M69" s="680">
        <f t="shared" si="10"/>
        <v>0</v>
      </c>
      <c r="N69" s="680">
        <f t="shared" si="10"/>
        <v>0</v>
      </c>
      <c r="O69" s="680">
        <f t="shared" si="10"/>
        <v>0</v>
      </c>
      <c r="P69" s="680">
        <f t="shared" si="10"/>
        <v>0</v>
      </c>
      <c r="Q69" s="680">
        <f t="shared" si="10"/>
        <v>0</v>
      </c>
      <c r="R69" s="680">
        <f t="shared" si="10"/>
        <v>0</v>
      </c>
      <c r="S69" s="680">
        <f t="shared" si="10"/>
        <v>0</v>
      </c>
      <c r="T69" s="680">
        <f t="shared" si="10"/>
        <v>0</v>
      </c>
      <c r="U69" s="680">
        <f t="shared" si="10"/>
        <v>0</v>
      </c>
      <c r="V69" s="680">
        <f t="shared" si="10"/>
        <v>0</v>
      </c>
      <c r="W69" s="680">
        <f t="shared" si="10"/>
        <v>0</v>
      </c>
      <c r="X69" s="680">
        <f t="shared" si="10"/>
        <v>0</v>
      </c>
      <c r="Y69" s="680">
        <f t="shared" si="10"/>
        <v>0</v>
      </c>
      <c r="Z69" s="680">
        <f t="shared" si="10"/>
        <v>0</v>
      </c>
      <c r="AA69" s="680">
        <f t="shared" si="10"/>
        <v>0</v>
      </c>
      <c r="AB69" s="680">
        <f t="shared" si="10"/>
        <v>0</v>
      </c>
      <c r="AC69" s="680">
        <f t="shared" si="10"/>
        <v>0</v>
      </c>
      <c r="AD69" s="680">
        <f t="shared" si="10"/>
        <v>0</v>
      </c>
      <c r="AE69" s="680">
        <f t="shared" si="10"/>
        <v>0</v>
      </c>
      <c r="AF69" s="680">
        <f t="shared" si="10"/>
        <v>0</v>
      </c>
      <c r="AG69" s="680">
        <f t="shared" si="10"/>
        <v>0</v>
      </c>
      <c r="AH69" s="680">
        <f t="shared" si="10"/>
        <v>0</v>
      </c>
      <c r="AI69" s="680">
        <f t="shared" si="10"/>
        <v>0</v>
      </c>
      <c r="AJ69" s="680">
        <f t="shared" si="10"/>
        <v>0</v>
      </c>
      <c r="AK69" s="680">
        <f t="shared" si="10"/>
        <v>0</v>
      </c>
      <c r="AL69" s="680">
        <f t="shared" si="10"/>
        <v>0</v>
      </c>
      <c r="AM69" s="680">
        <f t="shared" si="10"/>
        <v>0</v>
      </c>
      <c r="AN69" s="680">
        <f t="shared" si="10"/>
        <v>0</v>
      </c>
      <c r="AO69" s="680">
        <f t="shared" si="10"/>
        <v>0</v>
      </c>
      <c r="AP69" s="680">
        <f t="shared" si="10"/>
        <v>0</v>
      </c>
    </row>
    <row r="70" spans="1:42" hidden="1">
      <c r="A70" s="672"/>
      <c r="B70" s="675">
        <v>10</v>
      </c>
      <c r="C70" s="680">
        <f t="shared" si="7"/>
        <v>0</v>
      </c>
      <c r="D70" s="680">
        <f t="shared" si="10"/>
        <v>0</v>
      </c>
      <c r="E70" s="680">
        <f t="shared" si="10"/>
        <v>0</v>
      </c>
      <c r="F70" s="680">
        <f t="shared" si="10"/>
        <v>0</v>
      </c>
      <c r="G70" s="680">
        <f t="shared" si="10"/>
        <v>0</v>
      </c>
      <c r="H70" s="680">
        <f t="shared" si="10"/>
        <v>0</v>
      </c>
      <c r="I70" s="680">
        <f t="shared" si="10"/>
        <v>0</v>
      </c>
      <c r="J70" s="680">
        <f t="shared" si="10"/>
        <v>0</v>
      </c>
      <c r="K70" s="680">
        <f t="shared" si="10"/>
        <v>0</v>
      </c>
      <c r="L70" s="680">
        <f t="shared" si="10"/>
        <v>0</v>
      </c>
      <c r="M70" s="680">
        <f t="shared" si="10"/>
        <v>0</v>
      </c>
      <c r="N70" s="680">
        <f t="shared" si="10"/>
        <v>0</v>
      </c>
      <c r="O70" s="680">
        <f t="shared" si="10"/>
        <v>0</v>
      </c>
      <c r="P70" s="680">
        <f t="shared" si="10"/>
        <v>0</v>
      </c>
      <c r="Q70" s="680">
        <f t="shared" si="10"/>
        <v>0</v>
      </c>
      <c r="R70" s="680">
        <f t="shared" si="10"/>
        <v>0</v>
      </c>
      <c r="S70" s="680">
        <f t="shared" si="10"/>
        <v>0</v>
      </c>
      <c r="T70" s="680">
        <f t="shared" si="10"/>
        <v>0</v>
      </c>
      <c r="U70" s="680">
        <f t="shared" si="10"/>
        <v>0</v>
      </c>
      <c r="V70" s="680">
        <f t="shared" si="10"/>
        <v>0</v>
      </c>
      <c r="W70" s="680">
        <f t="shared" si="10"/>
        <v>0</v>
      </c>
      <c r="X70" s="680">
        <f t="shared" si="10"/>
        <v>0</v>
      </c>
      <c r="Y70" s="680">
        <f t="shared" si="10"/>
        <v>0</v>
      </c>
      <c r="Z70" s="680">
        <f t="shared" si="10"/>
        <v>0</v>
      </c>
      <c r="AA70" s="680">
        <f t="shared" si="10"/>
        <v>0</v>
      </c>
      <c r="AB70" s="680">
        <f t="shared" si="10"/>
        <v>0</v>
      </c>
      <c r="AC70" s="680">
        <f t="shared" si="10"/>
        <v>0</v>
      </c>
      <c r="AD70" s="680">
        <f t="shared" si="10"/>
        <v>0</v>
      </c>
      <c r="AE70" s="680">
        <f t="shared" si="10"/>
        <v>0</v>
      </c>
      <c r="AF70" s="680">
        <f t="shared" si="10"/>
        <v>0</v>
      </c>
      <c r="AG70" s="680">
        <f t="shared" si="10"/>
        <v>0</v>
      </c>
      <c r="AH70" s="680">
        <f t="shared" si="10"/>
        <v>0</v>
      </c>
      <c r="AI70" s="680">
        <f t="shared" si="10"/>
        <v>0</v>
      </c>
      <c r="AJ70" s="680">
        <f t="shared" si="10"/>
        <v>0</v>
      </c>
      <c r="AK70" s="680">
        <f t="shared" si="10"/>
        <v>0</v>
      </c>
      <c r="AL70" s="680">
        <f t="shared" si="10"/>
        <v>0</v>
      </c>
      <c r="AM70" s="680">
        <f t="shared" si="10"/>
        <v>0</v>
      </c>
      <c r="AN70" s="680">
        <f t="shared" si="10"/>
        <v>0</v>
      </c>
      <c r="AO70" s="680">
        <f t="shared" si="10"/>
        <v>0</v>
      </c>
      <c r="AP70" s="680">
        <f t="shared" si="10"/>
        <v>0</v>
      </c>
    </row>
    <row r="71" spans="1:42" hidden="1">
      <c r="A71" s="672"/>
      <c r="B71" s="677"/>
      <c r="C71" s="681">
        <f>SUM(C52:C70)</f>
        <v>0</v>
      </c>
      <c r="D71" s="681">
        <f t="shared" ref="D71:AP71" si="11">SUM(D52:D70)</f>
        <v>0</v>
      </c>
      <c r="E71" s="681">
        <f t="shared" si="11"/>
        <v>0</v>
      </c>
      <c r="F71" s="681">
        <f t="shared" si="11"/>
        <v>0</v>
      </c>
      <c r="G71" s="681">
        <f t="shared" si="11"/>
        <v>0</v>
      </c>
      <c r="H71" s="681">
        <f t="shared" si="11"/>
        <v>0</v>
      </c>
      <c r="I71" s="681">
        <f t="shared" si="11"/>
        <v>1</v>
      </c>
      <c r="J71" s="681">
        <f t="shared" si="11"/>
        <v>1</v>
      </c>
      <c r="K71" s="681">
        <f t="shared" si="11"/>
        <v>1</v>
      </c>
      <c r="L71" s="681">
        <f t="shared" si="11"/>
        <v>1</v>
      </c>
      <c r="M71" s="681">
        <f t="shared" si="11"/>
        <v>1</v>
      </c>
      <c r="N71" s="681">
        <f t="shared" si="11"/>
        <v>1</v>
      </c>
      <c r="O71" s="681">
        <f t="shared" si="11"/>
        <v>1</v>
      </c>
      <c r="P71" s="681">
        <f t="shared" si="11"/>
        <v>1</v>
      </c>
      <c r="Q71" s="681">
        <f t="shared" si="11"/>
        <v>0</v>
      </c>
      <c r="R71" s="681">
        <f t="shared" si="11"/>
        <v>0</v>
      </c>
      <c r="S71" s="681">
        <f t="shared" si="11"/>
        <v>0</v>
      </c>
      <c r="T71" s="681">
        <f t="shared" si="11"/>
        <v>0</v>
      </c>
      <c r="U71" s="681">
        <f t="shared" si="11"/>
        <v>0</v>
      </c>
      <c r="V71" s="681">
        <f t="shared" si="11"/>
        <v>0</v>
      </c>
      <c r="W71" s="681">
        <f t="shared" si="11"/>
        <v>0</v>
      </c>
      <c r="X71" s="681">
        <f t="shared" si="11"/>
        <v>0</v>
      </c>
      <c r="Y71" s="681">
        <f t="shared" si="11"/>
        <v>0</v>
      </c>
      <c r="Z71" s="681">
        <f t="shared" si="11"/>
        <v>0</v>
      </c>
      <c r="AA71" s="681">
        <f t="shared" si="11"/>
        <v>0</v>
      </c>
      <c r="AB71" s="681">
        <f t="shared" si="11"/>
        <v>0</v>
      </c>
      <c r="AC71" s="681">
        <f t="shared" si="11"/>
        <v>0</v>
      </c>
      <c r="AD71" s="681">
        <f t="shared" si="11"/>
        <v>0</v>
      </c>
      <c r="AE71" s="681">
        <f t="shared" si="11"/>
        <v>0</v>
      </c>
      <c r="AF71" s="681">
        <f t="shared" si="11"/>
        <v>0</v>
      </c>
      <c r="AG71" s="681">
        <f t="shared" si="11"/>
        <v>0</v>
      </c>
      <c r="AH71" s="681">
        <f t="shared" si="11"/>
        <v>0</v>
      </c>
      <c r="AI71" s="681">
        <f t="shared" si="11"/>
        <v>0</v>
      </c>
      <c r="AJ71" s="681">
        <f t="shared" si="11"/>
        <v>0</v>
      </c>
      <c r="AK71" s="681">
        <f t="shared" si="11"/>
        <v>0</v>
      </c>
      <c r="AL71" s="681">
        <f t="shared" si="11"/>
        <v>0</v>
      </c>
      <c r="AM71" s="681">
        <f t="shared" si="11"/>
        <v>0</v>
      </c>
      <c r="AN71" s="681">
        <f t="shared" si="11"/>
        <v>0</v>
      </c>
      <c r="AO71" s="681">
        <f t="shared" si="11"/>
        <v>0</v>
      </c>
      <c r="AP71" s="681">
        <f t="shared" si="11"/>
        <v>0</v>
      </c>
    </row>
    <row r="72" spans="1:42" hidden="1">
      <c r="A72" s="682"/>
      <c r="B72" s="678" t="s">
        <v>892</v>
      </c>
      <c r="C72" s="684"/>
      <c r="D72" s="684"/>
      <c r="E72" s="684"/>
      <c r="F72" s="684"/>
      <c r="G72" s="684"/>
      <c r="H72" s="684"/>
      <c r="I72" s="684"/>
      <c r="J72" s="684"/>
      <c r="K72" s="684"/>
      <c r="L72" s="684"/>
      <c r="M72" s="684"/>
      <c r="N72" s="684"/>
      <c r="O72" s="684"/>
      <c r="P72" s="684"/>
      <c r="Q72" s="684"/>
      <c r="R72" s="684"/>
      <c r="S72" s="684"/>
      <c r="T72" s="684"/>
      <c r="U72" s="684"/>
      <c r="V72" s="684"/>
      <c r="W72" s="684"/>
      <c r="X72" s="684"/>
      <c r="Y72" s="684"/>
      <c r="Z72" s="684"/>
      <c r="AA72" s="684"/>
      <c r="AB72" s="684"/>
      <c r="AC72" s="684"/>
      <c r="AD72" s="684"/>
      <c r="AE72" s="684"/>
      <c r="AF72" s="684"/>
      <c r="AG72" s="684"/>
      <c r="AH72" s="684"/>
      <c r="AI72" s="684"/>
      <c r="AJ72" s="684"/>
      <c r="AK72" s="684"/>
      <c r="AL72" s="684"/>
      <c r="AM72" s="684"/>
      <c r="AN72" s="684"/>
      <c r="AO72" s="684"/>
      <c r="AP72" s="684"/>
    </row>
    <row r="73" spans="1:42" hidden="1">
      <c r="A73" s="3"/>
      <c r="B73" s="685">
        <v>100</v>
      </c>
      <c r="C73" s="686">
        <f t="shared" ref="C73:R90" si="12">IF(C31=1,C8,0)</f>
        <v>49</v>
      </c>
      <c r="D73" s="686">
        <f t="shared" si="12"/>
        <v>50</v>
      </c>
      <c r="E73" s="686">
        <f t="shared" si="12"/>
        <v>49</v>
      </c>
      <c r="F73" s="686">
        <f t="shared" si="12"/>
        <v>0</v>
      </c>
      <c r="G73" s="686">
        <f t="shared" si="12"/>
        <v>0</v>
      </c>
      <c r="H73" s="686">
        <f t="shared" si="12"/>
        <v>0</v>
      </c>
      <c r="I73" s="686">
        <f t="shared" si="12"/>
        <v>0</v>
      </c>
      <c r="J73" s="686">
        <f t="shared" si="12"/>
        <v>0</v>
      </c>
      <c r="K73" s="686">
        <f t="shared" si="12"/>
        <v>48</v>
      </c>
      <c r="L73" s="686">
        <f t="shared" si="12"/>
        <v>48</v>
      </c>
      <c r="M73" s="686">
        <f t="shared" si="12"/>
        <v>48</v>
      </c>
      <c r="N73" s="686">
        <f t="shared" si="12"/>
        <v>0</v>
      </c>
      <c r="O73" s="686">
        <f t="shared" si="12"/>
        <v>0</v>
      </c>
      <c r="P73" s="686">
        <f t="shared" si="12"/>
        <v>0</v>
      </c>
      <c r="Q73" s="686">
        <f t="shared" si="12"/>
        <v>0</v>
      </c>
      <c r="R73" s="686">
        <f t="shared" si="12"/>
        <v>0</v>
      </c>
      <c r="S73" s="686">
        <f t="shared" ref="D73:AP79" si="13">IF(S31=1,S8,0)</f>
        <v>0</v>
      </c>
      <c r="T73" s="686">
        <f t="shared" si="13"/>
        <v>0</v>
      </c>
      <c r="U73" s="686">
        <f t="shared" si="13"/>
        <v>0</v>
      </c>
      <c r="V73" s="686">
        <f t="shared" si="13"/>
        <v>0</v>
      </c>
      <c r="W73" s="686">
        <f t="shared" si="13"/>
        <v>0</v>
      </c>
      <c r="X73" s="686">
        <f t="shared" si="13"/>
        <v>0</v>
      </c>
      <c r="Y73" s="686">
        <f t="shared" si="13"/>
        <v>47</v>
      </c>
      <c r="Z73" s="686">
        <f t="shared" si="13"/>
        <v>47</v>
      </c>
      <c r="AA73" s="686">
        <f t="shared" si="13"/>
        <v>49</v>
      </c>
      <c r="AB73" s="686">
        <f t="shared" si="13"/>
        <v>49</v>
      </c>
      <c r="AC73" s="686">
        <f t="shared" si="13"/>
        <v>0</v>
      </c>
      <c r="AD73" s="686">
        <f t="shared" si="13"/>
        <v>0</v>
      </c>
      <c r="AE73" s="686">
        <f t="shared" si="13"/>
        <v>48</v>
      </c>
      <c r="AF73" s="686">
        <f t="shared" si="13"/>
        <v>48</v>
      </c>
      <c r="AG73" s="686">
        <f t="shared" si="13"/>
        <v>49</v>
      </c>
      <c r="AH73" s="686">
        <f t="shared" si="13"/>
        <v>0</v>
      </c>
      <c r="AI73" s="686">
        <f t="shared" si="13"/>
        <v>0</v>
      </c>
      <c r="AJ73" s="686">
        <f t="shared" si="13"/>
        <v>0</v>
      </c>
      <c r="AK73" s="686">
        <f t="shared" si="13"/>
        <v>48</v>
      </c>
      <c r="AL73" s="686">
        <f t="shared" si="13"/>
        <v>47</v>
      </c>
      <c r="AM73" s="686">
        <f t="shared" si="13"/>
        <v>50</v>
      </c>
      <c r="AN73" s="686">
        <f t="shared" si="13"/>
        <v>0</v>
      </c>
      <c r="AO73" s="686">
        <f t="shared" si="13"/>
        <v>0</v>
      </c>
      <c r="AP73" s="686">
        <f t="shared" si="13"/>
        <v>0</v>
      </c>
    </row>
    <row r="74" spans="1:42" hidden="1">
      <c r="A74" s="672"/>
      <c r="B74" s="676">
        <v>95</v>
      </c>
      <c r="C74" s="686">
        <f t="shared" si="12"/>
        <v>0</v>
      </c>
      <c r="D74" s="686">
        <f t="shared" si="13"/>
        <v>0</v>
      </c>
      <c r="E74" s="686">
        <f t="shared" si="13"/>
        <v>0</v>
      </c>
      <c r="F74" s="686">
        <f t="shared" si="13"/>
        <v>0</v>
      </c>
      <c r="G74" s="686">
        <f t="shared" si="13"/>
        <v>0</v>
      </c>
      <c r="H74" s="686">
        <f t="shared" si="13"/>
        <v>0</v>
      </c>
      <c r="I74" s="686">
        <f t="shared" si="13"/>
        <v>2</v>
      </c>
      <c r="J74" s="686">
        <f t="shared" si="13"/>
        <v>1</v>
      </c>
      <c r="K74" s="686">
        <f t="shared" si="13"/>
        <v>0</v>
      </c>
      <c r="L74" s="686">
        <f t="shared" si="13"/>
        <v>0</v>
      </c>
      <c r="M74" s="686">
        <f t="shared" si="13"/>
        <v>0</v>
      </c>
      <c r="N74" s="686">
        <f t="shared" si="13"/>
        <v>0</v>
      </c>
      <c r="O74" s="686">
        <f t="shared" si="13"/>
        <v>0</v>
      </c>
      <c r="P74" s="686">
        <f t="shared" si="13"/>
        <v>0</v>
      </c>
      <c r="Q74" s="686">
        <f t="shared" si="13"/>
        <v>1</v>
      </c>
      <c r="R74" s="686">
        <f t="shared" si="13"/>
        <v>0</v>
      </c>
      <c r="S74" s="686">
        <f t="shared" si="13"/>
        <v>0</v>
      </c>
      <c r="T74" s="686">
        <f t="shared" si="13"/>
        <v>0</v>
      </c>
      <c r="U74" s="686">
        <f t="shared" si="13"/>
        <v>0</v>
      </c>
      <c r="V74" s="686">
        <f t="shared" si="13"/>
        <v>0</v>
      </c>
      <c r="W74" s="686">
        <f t="shared" si="13"/>
        <v>0</v>
      </c>
      <c r="X74" s="686">
        <f t="shared" si="13"/>
        <v>0</v>
      </c>
      <c r="Y74" s="686">
        <f t="shared" si="13"/>
        <v>0</v>
      </c>
      <c r="Z74" s="686">
        <f t="shared" si="13"/>
        <v>0</v>
      </c>
      <c r="AA74" s="686">
        <f t="shared" si="13"/>
        <v>0</v>
      </c>
      <c r="AB74" s="686">
        <f t="shared" si="13"/>
        <v>0</v>
      </c>
      <c r="AC74" s="686">
        <f t="shared" si="13"/>
        <v>0</v>
      </c>
      <c r="AD74" s="686">
        <f t="shared" si="13"/>
        <v>0</v>
      </c>
      <c r="AE74" s="686">
        <f t="shared" si="13"/>
        <v>0</v>
      </c>
      <c r="AF74" s="686">
        <f t="shared" si="13"/>
        <v>0</v>
      </c>
      <c r="AG74" s="686">
        <f t="shared" si="13"/>
        <v>0</v>
      </c>
      <c r="AH74" s="686">
        <f t="shared" si="13"/>
        <v>0</v>
      </c>
      <c r="AI74" s="686">
        <f t="shared" si="13"/>
        <v>0</v>
      </c>
      <c r="AJ74" s="686">
        <f t="shared" si="13"/>
        <v>0</v>
      </c>
      <c r="AK74" s="686">
        <f t="shared" si="13"/>
        <v>0</v>
      </c>
      <c r="AL74" s="686">
        <f t="shared" si="13"/>
        <v>0</v>
      </c>
      <c r="AM74" s="686">
        <f t="shared" si="13"/>
        <v>0</v>
      </c>
      <c r="AN74" s="686">
        <f t="shared" si="13"/>
        <v>0</v>
      </c>
      <c r="AO74" s="686">
        <f t="shared" si="13"/>
        <v>0</v>
      </c>
      <c r="AP74" s="686">
        <f t="shared" si="13"/>
        <v>0</v>
      </c>
    </row>
    <row r="75" spans="1:42" hidden="1">
      <c r="A75" s="672"/>
      <c r="B75" s="675">
        <v>90</v>
      </c>
      <c r="C75" s="686">
        <f t="shared" si="12"/>
        <v>1</v>
      </c>
      <c r="D75" s="686">
        <f t="shared" si="13"/>
        <v>0</v>
      </c>
      <c r="E75" s="686">
        <f t="shared" si="13"/>
        <v>1</v>
      </c>
      <c r="F75" s="686">
        <f t="shared" si="13"/>
        <v>0</v>
      </c>
      <c r="G75" s="686">
        <f t="shared" si="13"/>
        <v>0</v>
      </c>
      <c r="H75" s="686">
        <f t="shared" si="13"/>
        <v>0</v>
      </c>
      <c r="I75" s="686">
        <f t="shared" si="13"/>
        <v>9</v>
      </c>
      <c r="J75" s="686">
        <f t="shared" si="13"/>
        <v>6</v>
      </c>
      <c r="K75" s="686">
        <f t="shared" si="13"/>
        <v>0</v>
      </c>
      <c r="L75" s="686">
        <f t="shared" si="13"/>
        <v>0</v>
      </c>
      <c r="M75" s="686">
        <f t="shared" si="13"/>
        <v>0</v>
      </c>
      <c r="N75" s="686">
        <f t="shared" si="13"/>
        <v>0</v>
      </c>
      <c r="O75" s="686">
        <f t="shared" si="13"/>
        <v>0</v>
      </c>
      <c r="P75" s="686">
        <f t="shared" si="13"/>
        <v>0</v>
      </c>
      <c r="Q75" s="686">
        <f t="shared" si="13"/>
        <v>9</v>
      </c>
      <c r="R75" s="686">
        <f t="shared" si="13"/>
        <v>7</v>
      </c>
      <c r="S75" s="686">
        <f t="shared" si="13"/>
        <v>0</v>
      </c>
      <c r="T75" s="686">
        <f t="shared" si="13"/>
        <v>0</v>
      </c>
      <c r="U75" s="686">
        <f t="shared" si="13"/>
        <v>0</v>
      </c>
      <c r="V75" s="686">
        <f t="shared" si="13"/>
        <v>0</v>
      </c>
      <c r="W75" s="686">
        <f t="shared" si="13"/>
        <v>1</v>
      </c>
      <c r="X75" s="686">
        <f t="shared" si="13"/>
        <v>0</v>
      </c>
      <c r="Y75" s="686">
        <f t="shared" si="13"/>
        <v>2</v>
      </c>
      <c r="Z75" s="686">
        <f t="shared" si="13"/>
        <v>2</v>
      </c>
      <c r="AA75" s="686">
        <f t="shared" si="13"/>
        <v>0</v>
      </c>
      <c r="AB75" s="686">
        <f t="shared" si="13"/>
        <v>0</v>
      </c>
      <c r="AC75" s="686">
        <f t="shared" si="13"/>
        <v>0</v>
      </c>
      <c r="AD75" s="686">
        <f t="shared" si="13"/>
        <v>0</v>
      </c>
      <c r="AE75" s="686">
        <f t="shared" si="13"/>
        <v>1</v>
      </c>
      <c r="AF75" s="686">
        <f t="shared" si="13"/>
        <v>1</v>
      </c>
      <c r="AG75" s="686">
        <f t="shared" si="13"/>
        <v>0</v>
      </c>
      <c r="AH75" s="686">
        <f t="shared" si="13"/>
        <v>0</v>
      </c>
      <c r="AI75" s="686">
        <f t="shared" si="13"/>
        <v>0</v>
      </c>
      <c r="AJ75" s="686">
        <f t="shared" si="13"/>
        <v>0</v>
      </c>
      <c r="AK75" s="686">
        <f t="shared" si="13"/>
        <v>2</v>
      </c>
      <c r="AL75" s="686">
        <f t="shared" si="13"/>
        <v>3</v>
      </c>
      <c r="AM75" s="686">
        <f t="shared" si="13"/>
        <v>0</v>
      </c>
      <c r="AN75" s="686">
        <f t="shared" si="13"/>
        <v>0</v>
      </c>
      <c r="AO75" s="686">
        <f t="shared" si="13"/>
        <v>0</v>
      </c>
      <c r="AP75" s="686">
        <f t="shared" si="13"/>
        <v>0</v>
      </c>
    </row>
    <row r="76" spans="1:42" hidden="1">
      <c r="A76" s="672"/>
      <c r="B76" s="676">
        <v>85</v>
      </c>
      <c r="C76" s="686">
        <f t="shared" si="12"/>
        <v>0</v>
      </c>
      <c r="D76" s="686">
        <f t="shared" si="13"/>
        <v>0</v>
      </c>
      <c r="E76" s="686">
        <f t="shared" si="13"/>
        <v>0</v>
      </c>
      <c r="F76" s="686">
        <f t="shared" si="13"/>
        <v>0</v>
      </c>
      <c r="G76" s="686">
        <f t="shared" si="13"/>
        <v>0</v>
      </c>
      <c r="H76" s="686">
        <f t="shared" si="13"/>
        <v>0</v>
      </c>
      <c r="I76" s="686">
        <f t="shared" si="13"/>
        <v>6</v>
      </c>
      <c r="J76" s="686">
        <f t="shared" si="13"/>
        <v>5</v>
      </c>
      <c r="K76" s="686">
        <f t="shared" si="13"/>
        <v>0</v>
      </c>
      <c r="L76" s="686">
        <f t="shared" si="13"/>
        <v>0</v>
      </c>
      <c r="M76" s="686">
        <f t="shared" si="13"/>
        <v>0</v>
      </c>
      <c r="N76" s="686">
        <f t="shared" si="13"/>
        <v>0</v>
      </c>
      <c r="O76" s="686">
        <f t="shared" si="13"/>
        <v>0</v>
      </c>
      <c r="P76" s="686">
        <f t="shared" si="13"/>
        <v>0</v>
      </c>
      <c r="Q76" s="686">
        <f t="shared" si="13"/>
        <v>6</v>
      </c>
      <c r="R76" s="686">
        <f t="shared" si="13"/>
        <v>5</v>
      </c>
      <c r="S76" s="686">
        <f t="shared" si="13"/>
        <v>0</v>
      </c>
      <c r="T76" s="686">
        <f t="shared" si="13"/>
        <v>0</v>
      </c>
      <c r="U76" s="686">
        <f t="shared" si="13"/>
        <v>0</v>
      </c>
      <c r="V76" s="686">
        <f t="shared" si="13"/>
        <v>0</v>
      </c>
      <c r="W76" s="686">
        <f t="shared" si="13"/>
        <v>0</v>
      </c>
      <c r="X76" s="686">
        <f t="shared" si="13"/>
        <v>0</v>
      </c>
      <c r="Y76" s="686">
        <f t="shared" si="13"/>
        <v>0</v>
      </c>
      <c r="Z76" s="686">
        <f t="shared" si="13"/>
        <v>0</v>
      </c>
      <c r="AA76" s="686">
        <f t="shared" si="13"/>
        <v>0</v>
      </c>
      <c r="AB76" s="686">
        <f t="shared" si="13"/>
        <v>0</v>
      </c>
      <c r="AC76" s="686">
        <f t="shared" si="13"/>
        <v>0</v>
      </c>
      <c r="AD76" s="686">
        <f t="shared" si="13"/>
        <v>0</v>
      </c>
      <c r="AE76" s="686">
        <f t="shared" si="13"/>
        <v>0</v>
      </c>
      <c r="AF76" s="686">
        <f t="shared" si="13"/>
        <v>0</v>
      </c>
      <c r="AG76" s="686">
        <f t="shared" si="13"/>
        <v>0</v>
      </c>
      <c r="AH76" s="686">
        <f t="shared" si="13"/>
        <v>0</v>
      </c>
      <c r="AI76" s="686">
        <f t="shared" si="13"/>
        <v>0</v>
      </c>
      <c r="AJ76" s="686">
        <f t="shared" si="13"/>
        <v>0</v>
      </c>
      <c r="AK76" s="686">
        <f t="shared" si="13"/>
        <v>0</v>
      </c>
      <c r="AL76" s="686">
        <f t="shared" si="13"/>
        <v>0</v>
      </c>
      <c r="AM76" s="686">
        <f t="shared" si="13"/>
        <v>0</v>
      </c>
      <c r="AN76" s="686">
        <f t="shared" si="13"/>
        <v>0</v>
      </c>
      <c r="AO76" s="686">
        <f t="shared" si="13"/>
        <v>0</v>
      </c>
      <c r="AP76" s="686">
        <f t="shared" si="13"/>
        <v>0</v>
      </c>
    </row>
    <row r="77" spans="1:42" hidden="1">
      <c r="A77" s="672"/>
      <c r="B77" s="675">
        <v>80</v>
      </c>
      <c r="C77" s="686">
        <f t="shared" si="12"/>
        <v>0</v>
      </c>
      <c r="D77" s="686">
        <f t="shared" si="13"/>
        <v>0</v>
      </c>
      <c r="E77" s="686">
        <f t="shared" si="13"/>
        <v>0</v>
      </c>
      <c r="F77" s="686">
        <f t="shared" si="13"/>
        <v>0</v>
      </c>
      <c r="G77" s="686">
        <f t="shared" si="13"/>
        <v>0</v>
      </c>
      <c r="H77" s="686">
        <f t="shared" si="13"/>
        <v>0</v>
      </c>
      <c r="I77" s="686">
        <f t="shared" si="13"/>
        <v>18</v>
      </c>
      <c r="J77" s="686">
        <f t="shared" si="13"/>
        <v>18</v>
      </c>
      <c r="K77" s="686">
        <f t="shared" si="13"/>
        <v>0</v>
      </c>
      <c r="L77" s="686">
        <f t="shared" si="13"/>
        <v>0</v>
      </c>
      <c r="M77" s="686">
        <f t="shared" si="13"/>
        <v>0</v>
      </c>
      <c r="N77" s="686">
        <f t="shared" si="13"/>
        <v>0</v>
      </c>
      <c r="O77" s="686">
        <f t="shared" si="13"/>
        <v>0</v>
      </c>
      <c r="P77" s="686">
        <f t="shared" si="13"/>
        <v>0</v>
      </c>
      <c r="Q77" s="686">
        <f t="shared" si="13"/>
        <v>18</v>
      </c>
      <c r="R77" s="686">
        <f t="shared" si="13"/>
        <v>18</v>
      </c>
      <c r="S77" s="686">
        <f t="shared" si="13"/>
        <v>0</v>
      </c>
      <c r="T77" s="686">
        <f t="shared" si="13"/>
        <v>0</v>
      </c>
      <c r="U77" s="686">
        <f t="shared" si="13"/>
        <v>0</v>
      </c>
      <c r="V77" s="686">
        <f t="shared" si="13"/>
        <v>0</v>
      </c>
      <c r="W77" s="686">
        <f t="shared" si="13"/>
        <v>0</v>
      </c>
      <c r="X77" s="686">
        <f t="shared" si="13"/>
        <v>0</v>
      </c>
      <c r="Y77" s="686">
        <f t="shared" si="13"/>
        <v>0</v>
      </c>
      <c r="Z77" s="686">
        <f t="shared" si="13"/>
        <v>0</v>
      </c>
      <c r="AA77" s="686">
        <f t="shared" si="13"/>
        <v>0</v>
      </c>
      <c r="AB77" s="686">
        <f t="shared" si="13"/>
        <v>0</v>
      </c>
      <c r="AC77" s="686">
        <f t="shared" si="13"/>
        <v>0</v>
      </c>
      <c r="AD77" s="686">
        <f t="shared" si="13"/>
        <v>0</v>
      </c>
      <c r="AE77" s="686">
        <f t="shared" si="13"/>
        <v>0</v>
      </c>
      <c r="AF77" s="686">
        <f t="shared" si="13"/>
        <v>0</v>
      </c>
      <c r="AG77" s="686">
        <f t="shared" si="13"/>
        <v>0</v>
      </c>
      <c r="AH77" s="686">
        <f t="shared" si="13"/>
        <v>0</v>
      </c>
      <c r="AI77" s="686">
        <f t="shared" si="13"/>
        <v>0</v>
      </c>
      <c r="AJ77" s="686">
        <f t="shared" si="13"/>
        <v>0</v>
      </c>
      <c r="AK77" s="686">
        <f t="shared" si="13"/>
        <v>0</v>
      </c>
      <c r="AL77" s="686">
        <f t="shared" si="13"/>
        <v>0</v>
      </c>
      <c r="AM77" s="686">
        <f t="shared" si="13"/>
        <v>0</v>
      </c>
      <c r="AN77" s="686">
        <f t="shared" si="13"/>
        <v>0</v>
      </c>
      <c r="AO77" s="686">
        <f t="shared" si="13"/>
        <v>0</v>
      </c>
      <c r="AP77" s="686">
        <f t="shared" si="13"/>
        <v>0</v>
      </c>
    </row>
    <row r="78" spans="1:42" hidden="1">
      <c r="A78" s="672"/>
      <c r="B78" s="676">
        <v>75</v>
      </c>
      <c r="C78" s="686">
        <f t="shared" si="12"/>
        <v>0</v>
      </c>
      <c r="D78" s="686">
        <f t="shared" si="13"/>
        <v>0</v>
      </c>
      <c r="E78" s="686">
        <f t="shared" si="13"/>
        <v>0</v>
      </c>
      <c r="F78" s="686">
        <f t="shared" si="13"/>
        <v>0</v>
      </c>
      <c r="G78" s="686">
        <f t="shared" si="13"/>
        <v>0</v>
      </c>
      <c r="H78" s="686">
        <f t="shared" si="13"/>
        <v>0</v>
      </c>
      <c r="I78" s="686">
        <f t="shared" si="13"/>
        <v>8</v>
      </c>
      <c r="J78" s="686">
        <f t="shared" si="13"/>
        <v>7</v>
      </c>
      <c r="K78" s="686">
        <f t="shared" si="13"/>
        <v>0</v>
      </c>
      <c r="L78" s="686">
        <f t="shared" si="13"/>
        <v>0</v>
      </c>
      <c r="M78" s="686">
        <f t="shared" si="13"/>
        <v>0</v>
      </c>
      <c r="N78" s="686">
        <f t="shared" si="13"/>
        <v>0</v>
      </c>
      <c r="O78" s="686">
        <f t="shared" si="13"/>
        <v>0</v>
      </c>
      <c r="P78" s="686">
        <f t="shared" si="13"/>
        <v>0</v>
      </c>
      <c r="Q78" s="686">
        <f t="shared" si="13"/>
        <v>8</v>
      </c>
      <c r="R78" s="686">
        <f t="shared" si="13"/>
        <v>8</v>
      </c>
      <c r="S78" s="686">
        <f t="shared" si="13"/>
        <v>0</v>
      </c>
      <c r="T78" s="686">
        <f t="shared" si="13"/>
        <v>0</v>
      </c>
      <c r="U78" s="686">
        <f t="shared" si="13"/>
        <v>0</v>
      </c>
      <c r="V78" s="686">
        <f t="shared" si="13"/>
        <v>0</v>
      </c>
      <c r="W78" s="686">
        <f t="shared" si="13"/>
        <v>0</v>
      </c>
      <c r="X78" s="686">
        <f t="shared" si="13"/>
        <v>0</v>
      </c>
      <c r="Y78" s="686">
        <f t="shared" si="13"/>
        <v>0</v>
      </c>
      <c r="Z78" s="686">
        <f t="shared" si="13"/>
        <v>0</v>
      </c>
      <c r="AA78" s="686">
        <f t="shared" si="13"/>
        <v>0</v>
      </c>
      <c r="AB78" s="686">
        <f t="shared" si="13"/>
        <v>0</v>
      </c>
      <c r="AC78" s="686">
        <f t="shared" si="13"/>
        <v>0</v>
      </c>
      <c r="AD78" s="686">
        <f t="shared" si="13"/>
        <v>0</v>
      </c>
      <c r="AE78" s="686">
        <f t="shared" si="13"/>
        <v>0</v>
      </c>
      <c r="AF78" s="686">
        <f t="shared" si="13"/>
        <v>0</v>
      </c>
      <c r="AG78" s="686">
        <f t="shared" si="13"/>
        <v>0</v>
      </c>
      <c r="AH78" s="686">
        <f t="shared" si="13"/>
        <v>0</v>
      </c>
      <c r="AI78" s="686">
        <f t="shared" si="13"/>
        <v>0</v>
      </c>
      <c r="AJ78" s="686">
        <f t="shared" si="13"/>
        <v>0</v>
      </c>
      <c r="AK78" s="686">
        <f t="shared" si="13"/>
        <v>0</v>
      </c>
      <c r="AL78" s="686">
        <f t="shared" si="13"/>
        <v>0</v>
      </c>
      <c r="AM78" s="686">
        <f t="shared" si="13"/>
        <v>0</v>
      </c>
      <c r="AN78" s="686">
        <f t="shared" si="13"/>
        <v>0</v>
      </c>
      <c r="AO78" s="686">
        <f t="shared" si="13"/>
        <v>0</v>
      </c>
      <c r="AP78" s="686">
        <f t="shared" si="13"/>
        <v>0</v>
      </c>
    </row>
    <row r="79" spans="1:42" hidden="1">
      <c r="A79" s="672"/>
      <c r="B79" s="675">
        <v>70</v>
      </c>
      <c r="C79" s="686">
        <f t="shared" si="12"/>
        <v>0</v>
      </c>
      <c r="D79" s="686">
        <f t="shared" si="13"/>
        <v>0</v>
      </c>
      <c r="E79" s="686">
        <f t="shared" si="13"/>
        <v>0</v>
      </c>
      <c r="F79" s="686">
        <f t="shared" si="13"/>
        <v>0</v>
      </c>
      <c r="G79" s="686">
        <f t="shared" si="13"/>
        <v>0</v>
      </c>
      <c r="H79" s="686">
        <f t="shared" si="13"/>
        <v>0</v>
      </c>
      <c r="I79" s="686">
        <f t="shared" si="13"/>
        <v>7</v>
      </c>
      <c r="J79" s="686">
        <f t="shared" si="13"/>
        <v>12</v>
      </c>
      <c r="K79" s="686">
        <f t="shared" si="13"/>
        <v>0</v>
      </c>
      <c r="L79" s="686">
        <f t="shared" si="13"/>
        <v>0</v>
      </c>
      <c r="M79" s="686">
        <f t="shared" si="13"/>
        <v>0</v>
      </c>
      <c r="N79" s="686">
        <f t="shared" si="13"/>
        <v>0</v>
      </c>
      <c r="O79" s="686">
        <f t="shared" si="13"/>
        <v>0</v>
      </c>
      <c r="P79" s="686">
        <f t="shared" si="13"/>
        <v>0</v>
      </c>
      <c r="Q79" s="686">
        <f t="shared" si="13"/>
        <v>7</v>
      </c>
      <c r="R79" s="686">
        <f t="shared" si="13"/>
        <v>12</v>
      </c>
      <c r="S79" s="686">
        <f t="shared" si="13"/>
        <v>0</v>
      </c>
      <c r="T79" s="686">
        <f t="shared" si="13"/>
        <v>0</v>
      </c>
      <c r="U79" s="686">
        <f t="shared" si="13"/>
        <v>0</v>
      </c>
      <c r="V79" s="686">
        <f t="shared" si="13"/>
        <v>0</v>
      </c>
      <c r="W79" s="686">
        <f t="shared" si="13"/>
        <v>0</v>
      </c>
      <c r="X79" s="686">
        <f t="shared" si="13"/>
        <v>0</v>
      </c>
      <c r="Y79" s="686">
        <f t="shared" si="13"/>
        <v>0</v>
      </c>
      <c r="Z79" s="686">
        <f t="shared" si="13"/>
        <v>0</v>
      </c>
      <c r="AA79" s="686">
        <f t="shared" si="13"/>
        <v>0</v>
      </c>
      <c r="AB79" s="686">
        <f t="shared" si="13"/>
        <v>0</v>
      </c>
      <c r="AC79" s="686">
        <f t="shared" si="13"/>
        <v>0</v>
      </c>
      <c r="AD79" s="686">
        <f t="shared" si="13"/>
        <v>0</v>
      </c>
      <c r="AE79" s="686">
        <f t="shared" si="13"/>
        <v>0</v>
      </c>
      <c r="AF79" s="686">
        <f t="shared" si="13"/>
        <v>0</v>
      </c>
      <c r="AG79" s="686">
        <f t="shared" si="13"/>
        <v>0</v>
      </c>
      <c r="AH79" s="686">
        <f t="shared" si="13"/>
        <v>0</v>
      </c>
      <c r="AI79" s="686">
        <f t="shared" si="13"/>
        <v>0</v>
      </c>
      <c r="AJ79" s="686">
        <f t="shared" si="13"/>
        <v>0</v>
      </c>
      <c r="AK79" s="686">
        <f t="shared" si="13"/>
        <v>0</v>
      </c>
      <c r="AL79" s="686">
        <f t="shared" si="13"/>
        <v>0</v>
      </c>
      <c r="AM79" s="686">
        <f t="shared" si="13"/>
        <v>0</v>
      </c>
      <c r="AN79" s="686">
        <f t="shared" ref="D79:AP86" si="14">IF(AN37=1,AN14,0)</f>
        <v>0</v>
      </c>
      <c r="AO79" s="686">
        <f t="shared" si="14"/>
        <v>0</v>
      </c>
      <c r="AP79" s="686">
        <f t="shared" si="14"/>
        <v>0</v>
      </c>
    </row>
    <row r="80" spans="1:42" hidden="1">
      <c r="A80" s="672"/>
      <c r="B80" s="676">
        <v>65</v>
      </c>
      <c r="C80" s="686">
        <f t="shared" si="12"/>
        <v>0</v>
      </c>
      <c r="D80" s="686">
        <f t="shared" si="14"/>
        <v>0</v>
      </c>
      <c r="E80" s="686">
        <f t="shared" si="14"/>
        <v>0</v>
      </c>
      <c r="F80" s="686">
        <f t="shared" si="14"/>
        <v>0</v>
      </c>
      <c r="G80" s="686">
        <f t="shared" si="14"/>
        <v>0</v>
      </c>
      <c r="H80" s="686">
        <f t="shared" si="14"/>
        <v>0</v>
      </c>
      <c r="I80" s="686">
        <f t="shared" si="14"/>
        <v>0</v>
      </c>
      <c r="J80" s="686">
        <f t="shared" si="14"/>
        <v>0</v>
      </c>
      <c r="K80" s="686">
        <f t="shared" si="14"/>
        <v>0</v>
      </c>
      <c r="L80" s="686">
        <f t="shared" si="14"/>
        <v>0</v>
      </c>
      <c r="M80" s="686">
        <f t="shared" si="14"/>
        <v>0</v>
      </c>
      <c r="N80" s="686">
        <f t="shared" si="14"/>
        <v>0</v>
      </c>
      <c r="O80" s="686">
        <f t="shared" si="14"/>
        <v>0</v>
      </c>
      <c r="P80" s="686">
        <f t="shared" si="14"/>
        <v>0</v>
      </c>
      <c r="Q80" s="686">
        <f t="shared" si="14"/>
        <v>0</v>
      </c>
      <c r="R80" s="686">
        <f t="shared" si="14"/>
        <v>0</v>
      </c>
      <c r="S80" s="686">
        <f t="shared" si="14"/>
        <v>0</v>
      </c>
      <c r="T80" s="686">
        <f t="shared" si="14"/>
        <v>0</v>
      </c>
      <c r="U80" s="686">
        <f t="shared" si="14"/>
        <v>0</v>
      </c>
      <c r="V80" s="686">
        <f t="shared" si="14"/>
        <v>0</v>
      </c>
      <c r="W80" s="686">
        <f t="shared" si="14"/>
        <v>0</v>
      </c>
      <c r="X80" s="686">
        <f t="shared" si="14"/>
        <v>0</v>
      </c>
      <c r="Y80" s="686">
        <f t="shared" si="14"/>
        <v>0</v>
      </c>
      <c r="Z80" s="686">
        <f t="shared" si="14"/>
        <v>0</v>
      </c>
      <c r="AA80" s="686">
        <f t="shared" si="14"/>
        <v>0</v>
      </c>
      <c r="AB80" s="686">
        <f t="shared" si="14"/>
        <v>0</v>
      </c>
      <c r="AC80" s="686">
        <f t="shared" si="14"/>
        <v>0</v>
      </c>
      <c r="AD80" s="686">
        <f t="shared" si="14"/>
        <v>0</v>
      </c>
      <c r="AE80" s="686">
        <f t="shared" si="14"/>
        <v>0</v>
      </c>
      <c r="AF80" s="686">
        <f t="shared" si="14"/>
        <v>0</v>
      </c>
      <c r="AG80" s="686">
        <f t="shared" si="14"/>
        <v>0</v>
      </c>
      <c r="AH80" s="686">
        <f t="shared" si="14"/>
        <v>0</v>
      </c>
      <c r="AI80" s="686">
        <f t="shared" si="14"/>
        <v>0</v>
      </c>
      <c r="AJ80" s="686">
        <f t="shared" si="14"/>
        <v>0</v>
      </c>
      <c r="AK80" s="686">
        <f t="shared" si="14"/>
        <v>0</v>
      </c>
      <c r="AL80" s="686">
        <f t="shared" si="14"/>
        <v>0</v>
      </c>
      <c r="AM80" s="686">
        <f t="shared" si="14"/>
        <v>0</v>
      </c>
      <c r="AN80" s="686">
        <f t="shared" si="14"/>
        <v>0</v>
      </c>
      <c r="AO80" s="686">
        <f t="shared" si="14"/>
        <v>0</v>
      </c>
      <c r="AP80" s="686">
        <f t="shared" si="14"/>
        <v>0</v>
      </c>
    </row>
    <row r="81" spans="1:42" hidden="1">
      <c r="A81" s="672"/>
      <c r="B81" s="675">
        <v>60</v>
      </c>
      <c r="C81" s="686">
        <f t="shared" si="12"/>
        <v>0</v>
      </c>
      <c r="D81" s="686">
        <f t="shared" si="14"/>
        <v>0</v>
      </c>
      <c r="E81" s="686">
        <f t="shared" si="14"/>
        <v>0</v>
      </c>
      <c r="F81" s="686">
        <f t="shared" si="14"/>
        <v>0</v>
      </c>
      <c r="G81" s="686">
        <f t="shared" si="14"/>
        <v>0</v>
      </c>
      <c r="H81" s="686">
        <f t="shared" si="14"/>
        <v>0</v>
      </c>
      <c r="I81" s="686">
        <f t="shared" si="14"/>
        <v>0</v>
      </c>
      <c r="J81" s="686">
        <f t="shared" si="14"/>
        <v>0</v>
      </c>
      <c r="K81" s="686">
        <f t="shared" si="14"/>
        <v>0</v>
      </c>
      <c r="L81" s="686">
        <f t="shared" si="14"/>
        <v>0</v>
      </c>
      <c r="M81" s="686">
        <f t="shared" si="14"/>
        <v>0</v>
      </c>
      <c r="N81" s="686">
        <f t="shared" si="14"/>
        <v>0</v>
      </c>
      <c r="O81" s="686">
        <f t="shared" si="14"/>
        <v>0</v>
      </c>
      <c r="P81" s="686">
        <f t="shared" si="14"/>
        <v>0</v>
      </c>
      <c r="Q81" s="686">
        <f t="shared" si="14"/>
        <v>0</v>
      </c>
      <c r="R81" s="686">
        <f t="shared" si="14"/>
        <v>0</v>
      </c>
      <c r="S81" s="686">
        <f t="shared" si="14"/>
        <v>0</v>
      </c>
      <c r="T81" s="686">
        <f t="shared" si="14"/>
        <v>0</v>
      </c>
      <c r="U81" s="686">
        <f t="shared" si="14"/>
        <v>0</v>
      </c>
      <c r="V81" s="686">
        <f t="shared" si="14"/>
        <v>0</v>
      </c>
      <c r="W81" s="686">
        <f t="shared" si="14"/>
        <v>0</v>
      </c>
      <c r="X81" s="686">
        <f t="shared" si="14"/>
        <v>0</v>
      </c>
      <c r="Y81" s="686">
        <f t="shared" si="14"/>
        <v>0</v>
      </c>
      <c r="Z81" s="686">
        <f t="shared" si="14"/>
        <v>0</v>
      </c>
      <c r="AA81" s="686">
        <f t="shared" si="14"/>
        <v>0</v>
      </c>
      <c r="AB81" s="686">
        <f t="shared" si="14"/>
        <v>0</v>
      </c>
      <c r="AC81" s="686">
        <f t="shared" si="14"/>
        <v>0</v>
      </c>
      <c r="AD81" s="686">
        <f t="shared" si="14"/>
        <v>0</v>
      </c>
      <c r="AE81" s="686">
        <f t="shared" si="14"/>
        <v>0</v>
      </c>
      <c r="AF81" s="686">
        <f t="shared" si="14"/>
        <v>0</v>
      </c>
      <c r="AG81" s="686">
        <f t="shared" si="14"/>
        <v>0</v>
      </c>
      <c r="AH81" s="686">
        <f t="shared" si="14"/>
        <v>0</v>
      </c>
      <c r="AI81" s="686">
        <f t="shared" si="14"/>
        <v>0</v>
      </c>
      <c r="AJ81" s="686">
        <f t="shared" si="14"/>
        <v>0</v>
      </c>
      <c r="AK81" s="686">
        <f t="shared" si="14"/>
        <v>0</v>
      </c>
      <c r="AL81" s="686">
        <f t="shared" si="14"/>
        <v>0</v>
      </c>
      <c r="AM81" s="686">
        <f t="shared" si="14"/>
        <v>0</v>
      </c>
      <c r="AN81" s="686">
        <f t="shared" si="14"/>
        <v>0</v>
      </c>
      <c r="AO81" s="686">
        <f t="shared" si="14"/>
        <v>0</v>
      </c>
      <c r="AP81" s="686">
        <f t="shared" si="14"/>
        <v>0</v>
      </c>
    </row>
    <row r="82" spans="1:42" hidden="1">
      <c r="A82" s="672"/>
      <c r="B82" s="676">
        <v>55</v>
      </c>
      <c r="C82" s="686">
        <f t="shared" si="12"/>
        <v>0</v>
      </c>
      <c r="D82" s="686">
        <f t="shared" si="14"/>
        <v>0</v>
      </c>
      <c r="E82" s="686">
        <f t="shared" si="14"/>
        <v>0</v>
      </c>
      <c r="F82" s="686">
        <f t="shared" si="14"/>
        <v>0</v>
      </c>
      <c r="G82" s="686">
        <f t="shared" si="14"/>
        <v>0</v>
      </c>
      <c r="H82" s="686">
        <f t="shared" si="14"/>
        <v>0</v>
      </c>
      <c r="I82" s="686">
        <f t="shared" si="14"/>
        <v>0</v>
      </c>
      <c r="J82" s="686">
        <f t="shared" si="14"/>
        <v>0</v>
      </c>
      <c r="K82" s="686">
        <f t="shared" si="14"/>
        <v>0</v>
      </c>
      <c r="L82" s="686">
        <f t="shared" si="14"/>
        <v>0</v>
      </c>
      <c r="M82" s="686">
        <f t="shared" si="14"/>
        <v>0</v>
      </c>
      <c r="N82" s="686">
        <f t="shared" si="14"/>
        <v>0</v>
      </c>
      <c r="O82" s="686">
        <f t="shared" si="14"/>
        <v>0</v>
      </c>
      <c r="P82" s="686">
        <f t="shared" si="14"/>
        <v>0</v>
      </c>
      <c r="Q82" s="686">
        <f t="shared" si="14"/>
        <v>0</v>
      </c>
      <c r="R82" s="686">
        <f t="shared" si="14"/>
        <v>0</v>
      </c>
      <c r="S82" s="686">
        <f t="shared" si="14"/>
        <v>0</v>
      </c>
      <c r="T82" s="686">
        <f t="shared" si="14"/>
        <v>0</v>
      </c>
      <c r="U82" s="686">
        <f t="shared" si="14"/>
        <v>0</v>
      </c>
      <c r="V82" s="686">
        <f t="shared" si="14"/>
        <v>0</v>
      </c>
      <c r="W82" s="686">
        <f t="shared" si="14"/>
        <v>0</v>
      </c>
      <c r="X82" s="686">
        <f t="shared" si="14"/>
        <v>0</v>
      </c>
      <c r="Y82" s="686">
        <f t="shared" si="14"/>
        <v>0</v>
      </c>
      <c r="Z82" s="686">
        <f t="shared" si="14"/>
        <v>0</v>
      </c>
      <c r="AA82" s="686">
        <f t="shared" si="14"/>
        <v>0</v>
      </c>
      <c r="AB82" s="686">
        <f t="shared" si="14"/>
        <v>0</v>
      </c>
      <c r="AC82" s="686">
        <f t="shared" si="14"/>
        <v>0</v>
      </c>
      <c r="AD82" s="686">
        <f t="shared" si="14"/>
        <v>0</v>
      </c>
      <c r="AE82" s="686">
        <f t="shared" si="14"/>
        <v>0</v>
      </c>
      <c r="AF82" s="686">
        <f t="shared" si="14"/>
        <v>0</v>
      </c>
      <c r="AG82" s="686">
        <f t="shared" si="14"/>
        <v>0</v>
      </c>
      <c r="AH82" s="686">
        <f t="shared" si="14"/>
        <v>0</v>
      </c>
      <c r="AI82" s="686">
        <f t="shared" si="14"/>
        <v>0</v>
      </c>
      <c r="AJ82" s="686">
        <f t="shared" si="14"/>
        <v>0</v>
      </c>
      <c r="AK82" s="686">
        <f t="shared" si="14"/>
        <v>0</v>
      </c>
      <c r="AL82" s="686">
        <f t="shared" si="14"/>
        <v>0</v>
      </c>
      <c r="AM82" s="686">
        <f t="shared" si="14"/>
        <v>0</v>
      </c>
      <c r="AN82" s="686">
        <f t="shared" si="14"/>
        <v>0</v>
      </c>
      <c r="AO82" s="686">
        <f t="shared" si="14"/>
        <v>0</v>
      </c>
      <c r="AP82" s="686">
        <f t="shared" si="14"/>
        <v>0</v>
      </c>
    </row>
    <row r="83" spans="1:42" hidden="1">
      <c r="A83" s="672"/>
      <c r="B83" s="675">
        <v>50</v>
      </c>
      <c r="C83" s="686">
        <f t="shared" si="12"/>
        <v>0</v>
      </c>
      <c r="D83" s="686">
        <f t="shared" si="14"/>
        <v>0</v>
      </c>
      <c r="E83" s="686">
        <f t="shared" si="14"/>
        <v>0</v>
      </c>
      <c r="F83" s="686">
        <f t="shared" si="14"/>
        <v>0</v>
      </c>
      <c r="G83" s="686">
        <f t="shared" si="14"/>
        <v>0</v>
      </c>
      <c r="H83" s="686">
        <f t="shared" si="14"/>
        <v>0</v>
      </c>
      <c r="I83" s="686">
        <f t="shared" si="14"/>
        <v>0</v>
      </c>
      <c r="J83" s="686">
        <f t="shared" si="14"/>
        <v>0</v>
      </c>
      <c r="K83" s="686">
        <f t="shared" si="14"/>
        <v>0</v>
      </c>
      <c r="L83" s="686">
        <f t="shared" si="14"/>
        <v>0</v>
      </c>
      <c r="M83" s="686">
        <f t="shared" si="14"/>
        <v>0</v>
      </c>
      <c r="N83" s="686">
        <f t="shared" si="14"/>
        <v>0</v>
      </c>
      <c r="O83" s="686">
        <f t="shared" si="14"/>
        <v>0</v>
      </c>
      <c r="P83" s="686">
        <f t="shared" si="14"/>
        <v>0</v>
      </c>
      <c r="Q83" s="686">
        <f t="shared" si="14"/>
        <v>0</v>
      </c>
      <c r="R83" s="686">
        <f t="shared" si="14"/>
        <v>0</v>
      </c>
      <c r="S83" s="686">
        <f t="shared" si="14"/>
        <v>0</v>
      </c>
      <c r="T83" s="686">
        <f t="shared" si="14"/>
        <v>0</v>
      </c>
      <c r="U83" s="686">
        <f t="shared" si="14"/>
        <v>0</v>
      </c>
      <c r="V83" s="686">
        <f t="shared" si="14"/>
        <v>0</v>
      </c>
      <c r="W83" s="686">
        <f t="shared" si="14"/>
        <v>0</v>
      </c>
      <c r="X83" s="686">
        <f t="shared" si="14"/>
        <v>0</v>
      </c>
      <c r="Y83" s="686">
        <f t="shared" si="14"/>
        <v>0</v>
      </c>
      <c r="Z83" s="686">
        <f t="shared" si="14"/>
        <v>0</v>
      </c>
      <c r="AA83" s="686">
        <f t="shared" si="14"/>
        <v>0</v>
      </c>
      <c r="AB83" s="686">
        <f t="shared" si="14"/>
        <v>0</v>
      </c>
      <c r="AC83" s="686">
        <f t="shared" si="14"/>
        <v>0</v>
      </c>
      <c r="AD83" s="686">
        <f t="shared" si="14"/>
        <v>0</v>
      </c>
      <c r="AE83" s="686">
        <f t="shared" si="14"/>
        <v>0</v>
      </c>
      <c r="AF83" s="686">
        <f t="shared" si="14"/>
        <v>0</v>
      </c>
      <c r="AG83" s="686">
        <f t="shared" si="14"/>
        <v>0</v>
      </c>
      <c r="AH83" s="686">
        <f t="shared" si="14"/>
        <v>0</v>
      </c>
      <c r="AI83" s="686">
        <f t="shared" si="14"/>
        <v>0</v>
      </c>
      <c r="AJ83" s="686">
        <f t="shared" si="14"/>
        <v>0</v>
      </c>
      <c r="AK83" s="686">
        <f t="shared" si="14"/>
        <v>0</v>
      </c>
      <c r="AL83" s="686">
        <f t="shared" si="14"/>
        <v>0</v>
      </c>
      <c r="AM83" s="686">
        <f t="shared" si="14"/>
        <v>0</v>
      </c>
      <c r="AN83" s="686">
        <f t="shared" si="14"/>
        <v>0</v>
      </c>
      <c r="AO83" s="686">
        <f t="shared" si="14"/>
        <v>0</v>
      </c>
      <c r="AP83" s="686">
        <f t="shared" si="14"/>
        <v>0</v>
      </c>
    </row>
    <row r="84" spans="1:42" hidden="1">
      <c r="A84" s="672"/>
      <c r="B84" s="676">
        <v>45</v>
      </c>
      <c r="C84" s="686">
        <f t="shared" si="12"/>
        <v>0</v>
      </c>
      <c r="D84" s="686">
        <f t="shared" si="14"/>
        <v>0</v>
      </c>
      <c r="E84" s="686">
        <f t="shared" si="14"/>
        <v>0</v>
      </c>
      <c r="F84" s="686">
        <f t="shared" si="14"/>
        <v>0</v>
      </c>
      <c r="G84" s="686">
        <f t="shared" si="14"/>
        <v>0</v>
      </c>
      <c r="H84" s="686">
        <f t="shared" si="14"/>
        <v>0</v>
      </c>
      <c r="I84" s="686">
        <f t="shared" si="14"/>
        <v>0</v>
      </c>
      <c r="J84" s="686">
        <f t="shared" si="14"/>
        <v>0</v>
      </c>
      <c r="K84" s="686">
        <f t="shared" si="14"/>
        <v>0</v>
      </c>
      <c r="L84" s="686">
        <f t="shared" si="14"/>
        <v>0</v>
      </c>
      <c r="M84" s="686">
        <f t="shared" si="14"/>
        <v>0</v>
      </c>
      <c r="N84" s="686">
        <f t="shared" si="14"/>
        <v>0</v>
      </c>
      <c r="O84" s="686">
        <f t="shared" si="14"/>
        <v>0</v>
      </c>
      <c r="P84" s="686">
        <f t="shared" si="14"/>
        <v>0</v>
      </c>
      <c r="Q84" s="686">
        <f t="shared" si="14"/>
        <v>0</v>
      </c>
      <c r="R84" s="686">
        <f t="shared" si="14"/>
        <v>0</v>
      </c>
      <c r="S84" s="686">
        <f t="shared" si="14"/>
        <v>0</v>
      </c>
      <c r="T84" s="686">
        <f t="shared" si="14"/>
        <v>0</v>
      </c>
      <c r="U84" s="686">
        <f t="shared" si="14"/>
        <v>0</v>
      </c>
      <c r="V84" s="686">
        <f t="shared" si="14"/>
        <v>0</v>
      </c>
      <c r="W84" s="686">
        <f t="shared" si="14"/>
        <v>0</v>
      </c>
      <c r="X84" s="686">
        <f t="shared" si="14"/>
        <v>0</v>
      </c>
      <c r="Y84" s="686">
        <f t="shared" si="14"/>
        <v>0</v>
      </c>
      <c r="Z84" s="686">
        <f t="shared" si="14"/>
        <v>0</v>
      </c>
      <c r="AA84" s="686">
        <f t="shared" si="14"/>
        <v>0</v>
      </c>
      <c r="AB84" s="686">
        <f t="shared" si="14"/>
        <v>0</v>
      </c>
      <c r="AC84" s="686">
        <f t="shared" si="14"/>
        <v>0</v>
      </c>
      <c r="AD84" s="686">
        <f t="shared" si="14"/>
        <v>0</v>
      </c>
      <c r="AE84" s="686">
        <f t="shared" si="14"/>
        <v>0</v>
      </c>
      <c r="AF84" s="686">
        <f t="shared" si="14"/>
        <v>0</v>
      </c>
      <c r="AG84" s="686">
        <f t="shared" si="14"/>
        <v>0</v>
      </c>
      <c r="AH84" s="686">
        <f t="shared" si="14"/>
        <v>0</v>
      </c>
      <c r="AI84" s="686">
        <f t="shared" si="14"/>
        <v>0</v>
      </c>
      <c r="AJ84" s="686">
        <f t="shared" si="14"/>
        <v>0</v>
      </c>
      <c r="AK84" s="686">
        <f t="shared" si="14"/>
        <v>0</v>
      </c>
      <c r="AL84" s="686">
        <f t="shared" si="14"/>
        <v>0</v>
      </c>
      <c r="AM84" s="686">
        <f t="shared" si="14"/>
        <v>0</v>
      </c>
      <c r="AN84" s="686">
        <f t="shared" si="14"/>
        <v>0</v>
      </c>
      <c r="AO84" s="686">
        <f t="shared" si="14"/>
        <v>0</v>
      </c>
      <c r="AP84" s="686">
        <f t="shared" si="14"/>
        <v>0</v>
      </c>
    </row>
    <row r="85" spans="1:42" hidden="1">
      <c r="A85" s="672"/>
      <c r="B85" s="675">
        <v>40</v>
      </c>
      <c r="C85" s="686">
        <f t="shared" si="12"/>
        <v>0</v>
      </c>
      <c r="D85" s="686">
        <f t="shared" si="14"/>
        <v>0</v>
      </c>
      <c r="E85" s="686">
        <f t="shared" si="14"/>
        <v>0</v>
      </c>
      <c r="F85" s="686">
        <f t="shared" si="14"/>
        <v>0</v>
      </c>
      <c r="G85" s="686">
        <f t="shared" si="14"/>
        <v>0</v>
      </c>
      <c r="H85" s="686">
        <f t="shared" si="14"/>
        <v>0</v>
      </c>
      <c r="I85" s="686">
        <f t="shared" si="14"/>
        <v>0</v>
      </c>
      <c r="J85" s="686">
        <f t="shared" si="14"/>
        <v>0</v>
      </c>
      <c r="K85" s="686">
        <f t="shared" si="14"/>
        <v>0</v>
      </c>
      <c r="L85" s="686">
        <f t="shared" si="14"/>
        <v>0</v>
      </c>
      <c r="M85" s="686">
        <f t="shared" si="14"/>
        <v>0</v>
      </c>
      <c r="N85" s="686">
        <f t="shared" si="14"/>
        <v>0</v>
      </c>
      <c r="O85" s="686">
        <f t="shared" si="14"/>
        <v>0</v>
      </c>
      <c r="P85" s="686">
        <f t="shared" si="14"/>
        <v>0</v>
      </c>
      <c r="Q85" s="686">
        <f t="shared" si="14"/>
        <v>0</v>
      </c>
      <c r="R85" s="686">
        <f t="shared" si="14"/>
        <v>0</v>
      </c>
      <c r="S85" s="686">
        <f t="shared" si="14"/>
        <v>0</v>
      </c>
      <c r="T85" s="686">
        <f t="shared" si="14"/>
        <v>0</v>
      </c>
      <c r="U85" s="686">
        <f t="shared" si="14"/>
        <v>0</v>
      </c>
      <c r="V85" s="686">
        <f t="shared" si="14"/>
        <v>0</v>
      </c>
      <c r="W85" s="686">
        <f t="shared" si="14"/>
        <v>0</v>
      </c>
      <c r="X85" s="686">
        <f t="shared" si="14"/>
        <v>0</v>
      </c>
      <c r="Y85" s="686">
        <f t="shared" si="14"/>
        <v>0</v>
      </c>
      <c r="Z85" s="686">
        <f t="shared" si="14"/>
        <v>0</v>
      </c>
      <c r="AA85" s="686">
        <f t="shared" si="14"/>
        <v>0</v>
      </c>
      <c r="AB85" s="686">
        <f t="shared" si="14"/>
        <v>0</v>
      </c>
      <c r="AC85" s="686">
        <f t="shared" si="14"/>
        <v>0</v>
      </c>
      <c r="AD85" s="686">
        <f t="shared" si="14"/>
        <v>0</v>
      </c>
      <c r="AE85" s="686">
        <f t="shared" si="14"/>
        <v>0</v>
      </c>
      <c r="AF85" s="686">
        <f t="shared" si="14"/>
        <v>0</v>
      </c>
      <c r="AG85" s="686">
        <f t="shared" si="14"/>
        <v>0</v>
      </c>
      <c r="AH85" s="686">
        <f t="shared" si="14"/>
        <v>0</v>
      </c>
      <c r="AI85" s="686">
        <f t="shared" si="14"/>
        <v>0</v>
      </c>
      <c r="AJ85" s="686">
        <f t="shared" si="14"/>
        <v>0</v>
      </c>
      <c r="AK85" s="686">
        <f t="shared" si="14"/>
        <v>0</v>
      </c>
      <c r="AL85" s="686">
        <f t="shared" si="14"/>
        <v>0</v>
      </c>
      <c r="AM85" s="686">
        <f t="shared" si="14"/>
        <v>0</v>
      </c>
      <c r="AN85" s="686">
        <f t="shared" si="14"/>
        <v>0</v>
      </c>
      <c r="AO85" s="686">
        <f t="shared" si="14"/>
        <v>0</v>
      </c>
      <c r="AP85" s="686">
        <f t="shared" si="14"/>
        <v>0</v>
      </c>
    </row>
    <row r="86" spans="1:42" hidden="1">
      <c r="A86" s="672"/>
      <c r="B86" s="676">
        <v>35</v>
      </c>
      <c r="C86" s="686">
        <f t="shared" si="12"/>
        <v>0</v>
      </c>
      <c r="D86" s="686">
        <f t="shared" si="14"/>
        <v>0</v>
      </c>
      <c r="E86" s="686">
        <f t="shared" si="14"/>
        <v>0</v>
      </c>
      <c r="F86" s="686">
        <f t="shared" si="14"/>
        <v>0</v>
      </c>
      <c r="G86" s="686">
        <f t="shared" si="14"/>
        <v>0</v>
      </c>
      <c r="H86" s="686">
        <f t="shared" si="14"/>
        <v>0</v>
      </c>
      <c r="I86" s="686">
        <f t="shared" si="14"/>
        <v>0</v>
      </c>
      <c r="J86" s="686">
        <f t="shared" si="14"/>
        <v>0</v>
      </c>
      <c r="K86" s="686">
        <f t="shared" si="14"/>
        <v>0</v>
      </c>
      <c r="L86" s="686">
        <f t="shared" si="14"/>
        <v>0</v>
      </c>
      <c r="M86" s="686">
        <f t="shared" si="14"/>
        <v>0</v>
      </c>
      <c r="N86" s="686">
        <f t="shared" si="14"/>
        <v>0</v>
      </c>
      <c r="O86" s="686">
        <f t="shared" si="14"/>
        <v>0</v>
      </c>
      <c r="P86" s="686">
        <f t="shared" si="14"/>
        <v>0</v>
      </c>
      <c r="Q86" s="686">
        <f t="shared" si="14"/>
        <v>0</v>
      </c>
      <c r="R86" s="686">
        <f t="shared" si="14"/>
        <v>0</v>
      </c>
      <c r="S86" s="686">
        <f t="shared" si="14"/>
        <v>0</v>
      </c>
      <c r="T86" s="686">
        <f t="shared" si="14"/>
        <v>0</v>
      </c>
      <c r="U86" s="686">
        <f t="shared" si="14"/>
        <v>0</v>
      </c>
      <c r="V86" s="686">
        <f t="shared" ref="D86:AP90" si="15">IF(V44=1,V21,0)</f>
        <v>0</v>
      </c>
      <c r="W86" s="686">
        <f t="shared" si="15"/>
        <v>0</v>
      </c>
      <c r="X86" s="686">
        <f t="shared" si="15"/>
        <v>0</v>
      </c>
      <c r="Y86" s="686">
        <f t="shared" si="15"/>
        <v>0</v>
      </c>
      <c r="Z86" s="686">
        <f t="shared" si="15"/>
        <v>0</v>
      </c>
      <c r="AA86" s="686">
        <f t="shared" si="15"/>
        <v>0</v>
      </c>
      <c r="AB86" s="686">
        <f t="shared" si="15"/>
        <v>0</v>
      </c>
      <c r="AC86" s="686">
        <f t="shared" si="15"/>
        <v>0</v>
      </c>
      <c r="AD86" s="686">
        <f t="shared" si="15"/>
        <v>0</v>
      </c>
      <c r="AE86" s="686">
        <f t="shared" si="15"/>
        <v>0</v>
      </c>
      <c r="AF86" s="686">
        <f t="shared" si="15"/>
        <v>0</v>
      </c>
      <c r="AG86" s="686">
        <f t="shared" si="15"/>
        <v>0</v>
      </c>
      <c r="AH86" s="686">
        <f t="shared" si="15"/>
        <v>0</v>
      </c>
      <c r="AI86" s="686">
        <f t="shared" si="15"/>
        <v>0</v>
      </c>
      <c r="AJ86" s="686">
        <f t="shared" si="15"/>
        <v>0</v>
      </c>
      <c r="AK86" s="686">
        <f t="shared" si="15"/>
        <v>0</v>
      </c>
      <c r="AL86" s="686">
        <f t="shared" si="15"/>
        <v>0</v>
      </c>
      <c r="AM86" s="686">
        <f t="shared" si="15"/>
        <v>0</v>
      </c>
      <c r="AN86" s="686">
        <f t="shared" si="15"/>
        <v>0</v>
      </c>
      <c r="AO86" s="686">
        <f t="shared" si="15"/>
        <v>0</v>
      </c>
      <c r="AP86" s="686">
        <f t="shared" si="15"/>
        <v>0</v>
      </c>
    </row>
    <row r="87" spans="1:42" hidden="1">
      <c r="A87" s="672"/>
      <c r="B87" s="675">
        <v>30</v>
      </c>
      <c r="C87" s="686">
        <f t="shared" si="12"/>
        <v>0</v>
      </c>
      <c r="D87" s="686">
        <f t="shared" si="15"/>
        <v>0</v>
      </c>
      <c r="E87" s="686">
        <f t="shared" si="15"/>
        <v>0</v>
      </c>
      <c r="F87" s="686">
        <f t="shared" si="15"/>
        <v>0</v>
      </c>
      <c r="G87" s="686">
        <f t="shared" si="15"/>
        <v>0</v>
      </c>
      <c r="H87" s="686">
        <f t="shared" si="15"/>
        <v>0</v>
      </c>
      <c r="I87" s="686">
        <f t="shared" si="15"/>
        <v>0</v>
      </c>
      <c r="J87" s="686">
        <f t="shared" si="15"/>
        <v>0</v>
      </c>
      <c r="K87" s="686">
        <f t="shared" si="15"/>
        <v>0</v>
      </c>
      <c r="L87" s="686">
        <f t="shared" si="15"/>
        <v>0</v>
      </c>
      <c r="M87" s="686">
        <f t="shared" si="15"/>
        <v>0</v>
      </c>
      <c r="N87" s="686">
        <f t="shared" si="15"/>
        <v>0</v>
      </c>
      <c r="O87" s="686">
        <f t="shared" si="15"/>
        <v>0</v>
      </c>
      <c r="P87" s="686">
        <f t="shared" si="15"/>
        <v>0</v>
      </c>
      <c r="Q87" s="686">
        <f t="shared" si="15"/>
        <v>0</v>
      </c>
      <c r="R87" s="686">
        <f t="shared" si="15"/>
        <v>0</v>
      </c>
      <c r="S87" s="686">
        <f t="shared" si="15"/>
        <v>0</v>
      </c>
      <c r="T87" s="686">
        <f t="shared" si="15"/>
        <v>0</v>
      </c>
      <c r="U87" s="686">
        <f t="shared" si="15"/>
        <v>0</v>
      </c>
      <c r="V87" s="686">
        <f t="shared" si="15"/>
        <v>0</v>
      </c>
      <c r="W87" s="686">
        <f t="shared" si="15"/>
        <v>0</v>
      </c>
      <c r="X87" s="686">
        <f t="shared" si="15"/>
        <v>0</v>
      </c>
      <c r="Y87" s="686">
        <f t="shared" si="15"/>
        <v>0</v>
      </c>
      <c r="Z87" s="686">
        <f t="shared" si="15"/>
        <v>0</v>
      </c>
      <c r="AA87" s="686">
        <f t="shared" si="15"/>
        <v>0</v>
      </c>
      <c r="AB87" s="686">
        <f t="shared" si="15"/>
        <v>0</v>
      </c>
      <c r="AC87" s="686">
        <f t="shared" si="15"/>
        <v>0</v>
      </c>
      <c r="AD87" s="686">
        <f t="shared" si="15"/>
        <v>0</v>
      </c>
      <c r="AE87" s="686">
        <f t="shared" si="15"/>
        <v>0</v>
      </c>
      <c r="AF87" s="686">
        <f t="shared" si="15"/>
        <v>0</v>
      </c>
      <c r="AG87" s="686">
        <f t="shared" si="15"/>
        <v>0</v>
      </c>
      <c r="AH87" s="686">
        <f t="shared" si="15"/>
        <v>0</v>
      </c>
      <c r="AI87" s="686">
        <f t="shared" si="15"/>
        <v>0</v>
      </c>
      <c r="AJ87" s="686">
        <f t="shared" si="15"/>
        <v>0</v>
      </c>
      <c r="AK87" s="686">
        <f t="shared" si="15"/>
        <v>0</v>
      </c>
      <c r="AL87" s="686">
        <f t="shared" si="15"/>
        <v>0</v>
      </c>
      <c r="AM87" s="686">
        <f t="shared" si="15"/>
        <v>0</v>
      </c>
      <c r="AN87" s="686">
        <f t="shared" si="15"/>
        <v>0</v>
      </c>
      <c r="AO87" s="686">
        <f t="shared" si="15"/>
        <v>0</v>
      </c>
      <c r="AP87" s="686">
        <f t="shared" si="15"/>
        <v>0</v>
      </c>
    </row>
    <row r="88" spans="1:42" hidden="1">
      <c r="A88" s="672"/>
      <c r="B88" s="676">
        <v>25</v>
      </c>
      <c r="C88" s="686">
        <f t="shared" si="12"/>
        <v>0</v>
      </c>
      <c r="D88" s="686">
        <f t="shared" si="15"/>
        <v>0</v>
      </c>
      <c r="E88" s="686">
        <f t="shared" si="15"/>
        <v>0</v>
      </c>
      <c r="F88" s="686">
        <f t="shared" si="15"/>
        <v>0</v>
      </c>
      <c r="G88" s="686">
        <f t="shared" si="15"/>
        <v>0</v>
      </c>
      <c r="H88" s="686">
        <f t="shared" si="15"/>
        <v>0</v>
      </c>
      <c r="I88" s="686">
        <f t="shared" si="15"/>
        <v>0</v>
      </c>
      <c r="J88" s="686">
        <f t="shared" si="15"/>
        <v>0</v>
      </c>
      <c r="K88" s="686">
        <f t="shared" si="15"/>
        <v>0</v>
      </c>
      <c r="L88" s="686">
        <f t="shared" si="15"/>
        <v>0</v>
      </c>
      <c r="M88" s="686">
        <f t="shared" si="15"/>
        <v>0</v>
      </c>
      <c r="N88" s="686">
        <f t="shared" si="15"/>
        <v>0</v>
      </c>
      <c r="O88" s="686">
        <f t="shared" si="15"/>
        <v>0</v>
      </c>
      <c r="P88" s="686">
        <f t="shared" si="15"/>
        <v>0</v>
      </c>
      <c r="Q88" s="686">
        <f t="shared" si="15"/>
        <v>0</v>
      </c>
      <c r="R88" s="686">
        <f t="shared" si="15"/>
        <v>0</v>
      </c>
      <c r="S88" s="686">
        <f t="shared" si="15"/>
        <v>0</v>
      </c>
      <c r="T88" s="686">
        <f t="shared" si="15"/>
        <v>0</v>
      </c>
      <c r="U88" s="686">
        <f t="shared" si="15"/>
        <v>0</v>
      </c>
      <c r="V88" s="686">
        <f t="shared" si="15"/>
        <v>0</v>
      </c>
      <c r="W88" s="686">
        <f t="shared" si="15"/>
        <v>0</v>
      </c>
      <c r="X88" s="686">
        <f t="shared" si="15"/>
        <v>0</v>
      </c>
      <c r="Y88" s="686">
        <f t="shared" si="15"/>
        <v>0</v>
      </c>
      <c r="Z88" s="686">
        <f t="shared" si="15"/>
        <v>0</v>
      </c>
      <c r="AA88" s="686">
        <f t="shared" si="15"/>
        <v>0</v>
      </c>
      <c r="AB88" s="686">
        <f t="shared" si="15"/>
        <v>0</v>
      </c>
      <c r="AC88" s="686">
        <f t="shared" si="15"/>
        <v>0</v>
      </c>
      <c r="AD88" s="686">
        <f t="shared" si="15"/>
        <v>0</v>
      </c>
      <c r="AE88" s="686">
        <f t="shared" si="15"/>
        <v>0</v>
      </c>
      <c r="AF88" s="686">
        <f t="shared" si="15"/>
        <v>0</v>
      </c>
      <c r="AG88" s="686">
        <f t="shared" si="15"/>
        <v>0</v>
      </c>
      <c r="AH88" s="686">
        <f t="shared" si="15"/>
        <v>0</v>
      </c>
      <c r="AI88" s="686">
        <f t="shared" si="15"/>
        <v>0</v>
      </c>
      <c r="AJ88" s="686">
        <f t="shared" si="15"/>
        <v>0</v>
      </c>
      <c r="AK88" s="686">
        <f t="shared" si="15"/>
        <v>0</v>
      </c>
      <c r="AL88" s="686">
        <f t="shared" si="15"/>
        <v>0</v>
      </c>
      <c r="AM88" s="686">
        <f t="shared" si="15"/>
        <v>0</v>
      </c>
      <c r="AN88" s="686">
        <f t="shared" si="15"/>
        <v>0</v>
      </c>
      <c r="AO88" s="686">
        <f t="shared" si="15"/>
        <v>0</v>
      </c>
      <c r="AP88" s="686">
        <f t="shared" si="15"/>
        <v>0</v>
      </c>
    </row>
    <row r="89" spans="1:42" hidden="1">
      <c r="A89" s="672"/>
      <c r="B89" s="675">
        <v>20</v>
      </c>
      <c r="C89" s="686">
        <f t="shared" si="12"/>
        <v>0</v>
      </c>
      <c r="D89" s="686">
        <f t="shared" si="15"/>
        <v>0</v>
      </c>
      <c r="E89" s="686">
        <f t="shared" si="15"/>
        <v>0</v>
      </c>
      <c r="F89" s="686">
        <f t="shared" si="15"/>
        <v>0</v>
      </c>
      <c r="G89" s="686">
        <f t="shared" si="15"/>
        <v>0</v>
      </c>
      <c r="H89" s="686">
        <f t="shared" si="15"/>
        <v>0</v>
      </c>
      <c r="I89" s="686">
        <f t="shared" si="15"/>
        <v>0</v>
      </c>
      <c r="J89" s="686">
        <f t="shared" si="15"/>
        <v>0</v>
      </c>
      <c r="K89" s="686">
        <f t="shared" si="15"/>
        <v>0</v>
      </c>
      <c r="L89" s="686">
        <f t="shared" si="15"/>
        <v>0</v>
      </c>
      <c r="M89" s="686">
        <f t="shared" si="15"/>
        <v>0</v>
      </c>
      <c r="N89" s="686">
        <f t="shared" si="15"/>
        <v>0</v>
      </c>
      <c r="O89" s="686">
        <f t="shared" si="15"/>
        <v>0</v>
      </c>
      <c r="P89" s="686">
        <f t="shared" si="15"/>
        <v>0</v>
      </c>
      <c r="Q89" s="686">
        <f t="shared" si="15"/>
        <v>0</v>
      </c>
      <c r="R89" s="686">
        <f t="shared" si="15"/>
        <v>0</v>
      </c>
      <c r="S89" s="686">
        <f t="shared" si="15"/>
        <v>0</v>
      </c>
      <c r="T89" s="686">
        <f t="shared" si="15"/>
        <v>0</v>
      </c>
      <c r="U89" s="686">
        <f t="shared" si="15"/>
        <v>0</v>
      </c>
      <c r="V89" s="686">
        <f t="shared" si="15"/>
        <v>0</v>
      </c>
      <c r="W89" s="686">
        <f t="shared" si="15"/>
        <v>0</v>
      </c>
      <c r="X89" s="686">
        <f t="shared" si="15"/>
        <v>0</v>
      </c>
      <c r="Y89" s="686">
        <f t="shared" si="15"/>
        <v>0</v>
      </c>
      <c r="Z89" s="686">
        <f t="shared" si="15"/>
        <v>0</v>
      </c>
      <c r="AA89" s="686">
        <f t="shared" si="15"/>
        <v>0</v>
      </c>
      <c r="AB89" s="686">
        <f t="shared" si="15"/>
        <v>0</v>
      </c>
      <c r="AC89" s="686">
        <f t="shared" si="15"/>
        <v>0</v>
      </c>
      <c r="AD89" s="686">
        <f t="shared" si="15"/>
        <v>0</v>
      </c>
      <c r="AE89" s="686">
        <f t="shared" si="15"/>
        <v>0</v>
      </c>
      <c r="AF89" s="686">
        <f t="shared" si="15"/>
        <v>0</v>
      </c>
      <c r="AG89" s="686">
        <f t="shared" si="15"/>
        <v>0</v>
      </c>
      <c r="AH89" s="686">
        <f t="shared" si="15"/>
        <v>0</v>
      </c>
      <c r="AI89" s="686">
        <f t="shared" si="15"/>
        <v>0</v>
      </c>
      <c r="AJ89" s="686">
        <f t="shared" si="15"/>
        <v>0</v>
      </c>
      <c r="AK89" s="686">
        <f t="shared" si="15"/>
        <v>0</v>
      </c>
      <c r="AL89" s="686">
        <f t="shared" si="15"/>
        <v>0</v>
      </c>
      <c r="AM89" s="686">
        <f t="shared" si="15"/>
        <v>0</v>
      </c>
      <c r="AN89" s="686">
        <f t="shared" si="15"/>
        <v>0</v>
      </c>
      <c r="AO89" s="686">
        <f t="shared" si="15"/>
        <v>0</v>
      </c>
      <c r="AP89" s="686">
        <f t="shared" si="15"/>
        <v>0</v>
      </c>
    </row>
    <row r="90" spans="1:42" hidden="1">
      <c r="A90" s="672"/>
      <c r="B90" s="676">
        <v>15</v>
      </c>
      <c r="C90" s="686">
        <f t="shared" si="12"/>
        <v>0</v>
      </c>
      <c r="D90" s="686">
        <f t="shared" si="15"/>
        <v>0</v>
      </c>
      <c r="E90" s="686">
        <f t="shared" si="15"/>
        <v>0</v>
      </c>
      <c r="F90" s="686">
        <f t="shared" si="15"/>
        <v>0</v>
      </c>
      <c r="G90" s="686">
        <f t="shared" si="15"/>
        <v>0</v>
      </c>
      <c r="H90" s="686">
        <f t="shared" si="15"/>
        <v>0</v>
      </c>
      <c r="I90" s="686">
        <f t="shared" si="15"/>
        <v>0</v>
      </c>
      <c r="J90" s="686">
        <f t="shared" si="15"/>
        <v>0</v>
      </c>
      <c r="K90" s="686">
        <f t="shared" si="15"/>
        <v>0</v>
      </c>
      <c r="L90" s="686">
        <f t="shared" si="15"/>
        <v>0</v>
      </c>
      <c r="M90" s="686">
        <f t="shared" si="15"/>
        <v>0</v>
      </c>
      <c r="N90" s="686">
        <f t="shared" si="15"/>
        <v>0</v>
      </c>
      <c r="O90" s="686">
        <f t="shared" si="15"/>
        <v>0</v>
      </c>
      <c r="P90" s="686">
        <f t="shared" si="15"/>
        <v>0</v>
      </c>
      <c r="Q90" s="686">
        <f t="shared" si="15"/>
        <v>0</v>
      </c>
      <c r="R90" s="686">
        <f t="shared" si="15"/>
        <v>0</v>
      </c>
      <c r="S90" s="686">
        <f t="shared" si="15"/>
        <v>0</v>
      </c>
      <c r="T90" s="686">
        <f t="shared" si="15"/>
        <v>0</v>
      </c>
      <c r="U90" s="686">
        <f t="shared" si="15"/>
        <v>0</v>
      </c>
      <c r="V90" s="686">
        <f t="shared" si="15"/>
        <v>0</v>
      </c>
      <c r="W90" s="686">
        <f t="shared" si="15"/>
        <v>0</v>
      </c>
      <c r="X90" s="686">
        <f t="shared" si="15"/>
        <v>0</v>
      </c>
      <c r="Y90" s="686">
        <f t="shared" si="15"/>
        <v>0</v>
      </c>
      <c r="Z90" s="686">
        <f t="shared" si="15"/>
        <v>0</v>
      </c>
      <c r="AA90" s="686">
        <f t="shared" si="15"/>
        <v>0</v>
      </c>
      <c r="AB90" s="686">
        <f t="shared" si="15"/>
        <v>0</v>
      </c>
      <c r="AC90" s="686">
        <f t="shared" si="15"/>
        <v>0</v>
      </c>
      <c r="AD90" s="686">
        <f t="shared" si="15"/>
        <v>0</v>
      </c>
      <c r="AE90" s="686">
        <f t="shared" si="15"/>
        <v>0</v>
      </c>
      <c r="AF90" s="686">
        <f t="shared" si="15"/>
        <v>0</v>
      </c>
      <c r="AG90" s="686">
        <f t="shared" si="15"/>
        <v>0</v>
      </c>
      <c r="AH90" s="686">
        <f t="shared" si="15"/>
        <v>0</v>
      </c>
      <c r="AI90" s="686">
        <f t="shared" si="15"/>
        <v>0</v>
      </c>
      <c r="AJ90" s="686">
        <f t="shared" si="15"/>
        <v>0</v>
      </c>
      <c r="AK90" s="686">
        <f t="shared" si="15"/>
        <v>0</v>
      </c>
      <c r="AL90" s="686">
        <f t="shared" si="15"/>
        <v>0</v>
      </c>
      <c r="AM90" s="686">
        <f t="shared" si="15"/>
        <v>0</v>
      </c>
      <c r="AN90" s="686">
        <f t="shared" si="15"/>
        <v>0</v>
      </c>
      <c r="AO90" s="686">
        <f t="shared" si="15"/>
        <v>0</v>
      </c>
      <c r="AP90" s="686">
        <f t="shared" si="15"/>
        <v>0</v>
      </c>
    </row>
    <row r="91" spans="1:42" hidden="1">
      <c r="A91" s="672"/>
      <c r="B91" s="675">
        <v>10</v>
      </c>
      <c r="C91" s="686">
        <f>IF(C49=1,C26,0)</f>
        <v>0</v>
      </c>
      <c r="D91" s="686">
        <f t="shared" ref="D91:AP91" si="16">IF(D49=1,D26,0)</f>
        <v>0</v>
      </c>
      <c r="E91" s="686">
        <f t="shared" si="16"/>
        <v>0</v>
      </c>
      <c r="F91" s="686">
        <f t="shared" si="16"/>
        <v>0</v>
      </c>
      <c r="G91" s="686">
        <f t="shared" si="16"/>
        <v>0</v>
      </c>
      <c r="H91" s="686">
        <f t="shared" si="16"/>
        <v>0</v>
      </c>
      <c r="I91" s="686">
        <f t="shared" si="16"/>
        <v>0</v>
      </c>
      <c r="J91" s="686">
        <f t="shared" si="16"/>
        <v>0</v>
      </c>
      <c r="K91" s="686">
        <f t="shared" si="16"/>
        <v>0</v>
      </c>
      <c r="L91" s="686">
        <f t="shared" si="16"/>
        <v>0</v>
      </c>
      <c r="M91" s="686">
        <f t="shared" si="16"/>
        <v>0</v>
      </c>
      <c r="N91" s="686">
        <f t="shared" si="16"/>
        <v>0</v>
      </c>
      <c r="O91" s="686">
        <f t="shared" si="16"/>
        <v>0</v>
      </c>
      <c r="P91" s="686">
        <f t="shared" si="16"/>
        <v>0</v>
      </c>
      <c r="Q91" s="686">
        <f t="shared" si="16"/>
        <v>0</v>
      </c>
      <c r="R91" s="686">
        <f t="shared" si="16"/>
        <v>0</v>
      </c>
      <c r="S91" s="686">
        <f t="shared" si="16"/>
        <v>0</v>
      </c>
      <c r="T91" s="686">
        <f t="shared" si="16"/>
        <v>0</v>
      </c>
      <c r="U91" s="686">
        <f t="shared" si="16"/>
        <v>0</v>
      </c>
      <c r="V91" s="686">
        <f t="shared" si="16"/>
        <v>0</v>
      </c>
      <c r="W91" s="686">
        <f t="shared" si="16"/>
        <v>0</v>
      </c>
      <c r="X91" s="686">
        <f t="shared" si="16"/>
        <v>0</v>
      </c>
      <c r="Y91" s="686">
        <f t="shared" si="16"/>
        <v>0</v>
      </c>
      <c r="Z91" s="686">
        <f t="shared" si="16"/>
        <v>0</v>
      </c>
      <c r="AA91" s="686">
        <f t="shared" si="16"/>
        <v>0</v>
      </c>
      <c r="AB91" s="686">
        <f t="shared" si="16"/>
        <v>0</v>
      </c>
      <c r="AC91" s="686">
        <f t="shared" si="16"/>
        <v>0</v>
      </c>
      <c r="AD91" s="686">
        <f t="shared" si="16"/>
        <v>0</v>
      </c>
      <c r="AE91" s="686">
        <f t="shared" si="16"/>
        <v>0</v>
      </c>
      <c r="AF91" s="686">
        <f t="shared" si="16"/>
        <v>0</v>
      </c>
      <c r="AG91" s="686">
        <f t="shared" si="16"/>
        <v>0</v>
      </c>
      <c r="AH91" s="686">
        <f t="shared" si="16"/>
        <v>0</v>
      </c>
      <c r="AI91" s="686">
        <f t="shared" si="16"/>
        <v>0</v>
      </c>
      <c r="AJ91" s="686">
        <f t="shared" si="16"/>
        <v>0</v>
      </c>
      <c r="AK91" s="686">
        <f t="shared" si="16"/>
        <v>0</v>
      </c>
      <c r="AL91" s="686">
        <f t="shared" si="16"/>
        <v>0</v>
      </c>
      <c r="AM91" s="686">
        <f t="shared" si="16"/>
        <v>0</v>
      </c>
      <c r="AN91" s="686">
        <f t="shared" si="16"/>
        <v>0</v>
      </c>
      <c r="AO91" s="686">
        <f t="shared" si="16"/>
        <v>0</v>
      </c>
      <c r="AP91" s="686">
        <f t="shared" si="16"/>
        <v>0</v>
      </c>
    </row>
    <row r="92" spans="1:42" hidden="1">
      <c r="A92" s="672"/>
      <c r="B92" s="677"/>
      <c r="C92" s="681">
        <f>SUM(C73:C91)</f>
        <v>50</v>
      </c>
      <c r="D92" s="681">
        <f t="shared" ref="D92:AP92" si="17">SUM(D73:D91)</f>
        <v>50</v>
      </c>
      <c r="E92" s="681">
        <f t="shared" si="17"/>
        <v>50</v>
      </c>
      <c r="F92" s="681">
        <f t="shared" si="17"/>
        <v>0</v>
      </c>
      <c r="G92" s="681">
        <f t="shared" si="17"/>
        <v>0</v>
      </c>
      <c r="H92" s="681">
        <f t="shared" si="17"/>
        <v>0</v>
      </c>
      <c r="I92" s="681">
        <f t="shared" si="17"/>
        <v>50</v>
      </c>
      <c r="J92" s="681">
        <f t="shared" si="17"/>
        <v>49</v>
      </c>
      <c r="K92" s="681">
        <f t="shared" si="17"/>
        <v>48</v>
      </c>
      <c r="L92" s="681">
        <f t="shared" si="17"/>
        <v>48</v>
      </c>
      <c r="M92" s="681">
        <f t="shared" si="17"/>
        <v>48</v>
      </c>
      <c r="N92" s="681">
        <f t="shared" si="17"/>
        <v>0</v>
      </c>
      <c r="O92" s="681">
        <f t="shared" si="17"/>
        <v>0</v>
      </c>
      <c r="P92" s="681">
        <f t="shared" si="17"/>
        <v>0</v>
      </c>
      <c r="Q92" s="681">
        <f t="shared" si="17"/>
        <v>49</v>
      </c>
      <c r="R92" s="681">
        <f t="shared" si="17"/>
        <v>50</v>
      </c>
      <c r="S92" s="681">
        <f t="shared" si="17"/>
        <v>0</v>
      </c>
      <c r="T92" s="681">
        <f t="shared" si="17"/>
        <v>0</v>
      </c>
      <c r="U92" s="681">
        <f t="shared" si="17"/>
        <v>0</v>
      </c>
      <c r="V92" s="681">
        <f t="shared" si="17"/>
        <v>0</v>
      </c>
      <c r="W92" s="681">
        <f t="shared" si="17"/>
        <v>1</v>
      </c>
      <c r="X92" s="681">
        <f t="shared" si="17"/>
        <v>0</v>
      </c>
      <c r="Y92" s="681">
        <f t="shared" si="17"/>
        <v>49</v>
      </c>
      <c r="Z92" s="681">
        <f t="shared" si="17"/>
        <v>49</v>
      </c>
      <c r="AA92" s="681">
        <f t="shared" si="17"/>
        <v>49</v>
      </c>
      <c r="AB92" s="681">
        <f t="shared" si="17"/>
        <v>49</v>
      </c>
      <c r="AC92" s="681">
        <f t="shared" si="17"/>
        <v>0</v>
      </c>
      <c r="AD92" s="681">
        <f t="shared" si="17"/>
        <v>0</v>
      </c>
      <c r="AE92" s="681">
        <f t="shared" si="17"/>
        <v>49</v>
      </c>
      <c r="AF92" s="681">
        <f t="shared" si="17"/>
        <v>49</v>
      </c>
      <c r="AG92" s="681">
        <f t="shared" si="17"/>
        <v>49</v>
      </c>
      <c r="AH92" s="681">
        <f t="shared" si="17"/>
        <v>0</v>
      </c>
      <c r="AI92" s="681">
        <f t="shared" si="17"/>
        <v>0</v>
      </c>
      <c r="AJ92" s="681">
        <f t="shared" si="17"/>
        <v>0</v>
      </c>
      <c r="AK92" s="681">
        <f t="shared" si="17"/>
        <v>50</v>
      </c>
      <c r="AL92" s="681">
        <f t="shared" si="17"/>
        <v>50</v>
      </c>
      <c r="AM92" s="681">
        <f t="shared" si="17"/>
        <v>50</v>
      </c>
      <c r="AN92" s="681">
        <f t="shared" si="17"/>
        <v>0</v>
      </c>
      <c r="AO92" s="681">
        <f t="shared" si="17"/>
        <v>0</v>
      </c>
      <c r="AP92" s="681">
        <f t="shared" si="17"/>
        <v>0</v>
      </c>
    </row>
    <row r="93" spans="1:42" hidden="1">
      <c r="A93" s="682"/>
      <c r="B93" s="683" t="s">
        <v>893</v>
      </c>
      <c r="C93" s="684"/>
      <c r="D93" s="684"/>
      <c r="E93" s="684"/>
      <c r="F93" s="684"/>
      <c r="G93" s="684"/>
      <c r="H93" s="684"/>
      <c r="I93" s="684"/>
      <c r="J93" s="684"/>
      <c r="K93" s="684"/>
      <c r="L93" s="684"/>
      <c r="M93" s="684"/>
      <c r="N93" s="684"/>
      <c r="O93" s="684"/>
      <c r="P93" s="684"/>
      <c r="Q93" s="684"/>
      <c r="R93" s="684"/>
      <c r="S93" s="684"/>
      <c r="T93" s="684"/>
      <c r="U93" s="684"/>
      <c r="V93" s="684"/>
      <c r="W93" s="684"/>
      <c r="X93" s="684"/>
      <c r="Y93" s="684"/>
      <c r="Z93" s="684"/>
      <c r="AA93" s="684"/>
      <c r="AB93" s="684"/>
      <c r="AC93" s="684"/>
      <c r="AD93" s="684"/>
      <c r="AE93" s="684"/>
      <c r="AF93" s="684"/>
      <c r="AG93" s="684"/>
      <c r="AH93" s="684"/>
      <c r="AI93" s="684"/>
      <c r="AJ93" s="684"/>
      <c r="AK93" s="684"/>
      <c r="AL93" s="684"/>
      <c r="AM93" s="684"/>
      <c r="AN93" s="684"/>
      <c r="AO93" s="684"/>
      <c r="AP93" s="684"/>
    </row>
    <row r="94" spans="1:42" hidden="1">
      <c r="A94" s="3"/>
      <c r="B94" s="685">
        <v>100</v>
      </c>
      <c r="C94" s="686">
        <f t="shared" ref="C94:R111" si="18">IF(C52=1,C8,0)</f>
        <v>0</v>
      </c>
      <c r="D94" s="686">
        <f t="shared" si="18"/>
        <v>0</v>
      </c>
      <c r="E94" s="686">
        <f t="shared" si="18"/>
        <v>0</v>
      </c>
      <c r="F94" s="686">
        <f t="shared" si="18"/>
        <v>0</v>
      </c>
      <c r="G94" s="686">
        <f t="shared" si="18"/>
        <v>0</v>
      </c>
      <c r="H94" s="686">
        <f t="shared" si="18"/>
        <v>0</v>
      </c>
      <c r="I94" s="686">
        <f t="shared" si="18"/>
        <v>0</v>
      </c>
      <c r="J94" s="686">
        <f t="shared" si="18"/>
        <v>0</v>
      </c>
      <c r="K94" s="686">
        <f t="shared" si="18"/>
        <v>0</v>
      </c>
      <c r="L94" s="686">
        <f t="shared" si="18"/>
        <v>0</v>
      </c>
      <c r="M94" s="686">
        <f t="shared" si="18"/>
        <v>0</v>
      </c>
      <c r="N94" s="686">
        <f t="shared" si="18"/>
        <v>0</v>
      </c>
      <c r="O94" s="686">
        <f t="shared" si="18"/>
        <v>0</v>
      </c>
      <c r="P94" s="686">
        <f t="shared" si="18"/>
        <v>0</v>
      </c>
      <c r="Q94" s="686">
        <f t="shared" si="18"/>
        <v>0</v>
      </c>
      <c r="R94" s="686">
        <f t="shared" si="18"/>
        <v>0</v>
      </c>
      <c r="S94" s="686">
        <f t="shared" ref="D94:AP100" si="19">IF(S52=1,S8,0)</f>
        <v>0</v>
      </c>
      <c r="T94" s="686">
        <f t="shared" si="19"/>
        <v>0</v>
      </c>
      <c r="U94" s="686">
        <f t="shared" si="19"/>
        <v>0</v>
      </c>
      <c r="V94" s="686">
        <f t="shared" si="19"/>
        <v>0</v>
      </c>
      <c r="W94" s="686">
        <f t="shared" si="19"/>
        <v>0</v>
      </c>
      <c r="X94" s="686">
        <f t="shared" si="19"/>
        <v>0</v>
      </c>
      <c r="Y94" s="686">
        <f t="shared" si="19"/>
        <v>0</v>
      </c>
      <c r="Z94" s="686">
        <f t="shared" si="19"/>
        <v>0</v>
      </c>
      <c r="AA94" s="686">
        <f t="shared" si="19"/>
        <v>0</v>
      </c>
      <c r="AB94" s="686">
        <f t="shared" si="19"/>
        <v>0</v>
      </c>
      <c r="AC94" s="686">
        <f t="shared" si="19"/>
        <v>0</v>
      </c>
      <c r="AD94" s="686">
        <f t="shared" si="19"/>
        <v>0</v>
      </c>
      <c r="AE94" s="686">
        <f t="shared" si="19"/>
        <v>0</v>
      </c>
      <c r="AF94" s="686">
        <f t="shared" si="19"/>
        <v>0</v>
      </c>
      <c r="AG94" s="686">
        <f t="shared" si="19"/>
        <v>0</v>
      </c>
      <c r="AH94" s="686">
        <f t="shared" si="19"/>
        <v>0</v>
      </c>
      <c r="AI94" s="686">
        <f t="shared" si="19"/>
        <v>0</v>
      </c>
      <c r="AJ94" s="686">
        <f t="shared" si="19"/>
        <v>0</v>
      </c>
      <c r="AK94" s="686">
        <f t="shared" si="19"/>
        <v>0</v>
      </c>
      <c r="AL94" s="686">
        <f t="shared" si="19"/>
        <v>0</v>
      </c>
      <c r="AM94" s="686">
        <f t="shared" si="19"/>
        <v>0</v>
      </c>
      <c r="AN94" s="686">
        <f t="shared" si="19"/>
        <v>0</v>
      </c>
      <c r="AO94" s="686">
        <f t="shared" si="19"/>
        <v>0</v>
      </c>
      <c r="AP94" s="686">
        <f t="shared" si="19"/>
        <v>0</v>
      </c>
    </row>
    <row r="95" spans="1:42" hidden="1">
      <c r="A95" s="672"/>
      <c r="B95" s="676">
        <v>95</v>
      </c>
      <c r="C95" s="686">
        <f t="shared" si="18"/>
        <v>0</v>
      </c>
      <c r="D95" s="686">
        <f t="shared" si="19"/>
        <v>0</v>
      </c>
      <c r="E95" s="686">
        <f t="shared" si="19"/>
        <v>0</v>
      </c>
      <c r="F95" s="686">
        <f t="shared" si="19"/>
        <v>0</v>
      </c>
      <c r="G95" s="686">
        <f t="shared" si="19"/>
        <v>0</v>
      </c>
      <c r="H95" s="686">
        <f t="shared" si="19"/>
        <v>0</v>
      </c>
      <c r="I95" s="686">
        <f t="shared" si="19"/>
        <v>0</v>
      </c>
      <c r="J95" s="686">
        <f t="shared" si="19"/>
        <v>0</v>
      </c>
      <c r="K95" s="686">
        <f t="shared" si="19"/>
        <v>0</v>
      </c>
      <c r="L95" s="686">
        <f t="shared" si="19"/>
        <v>0</v>
      </c>
      <c r="M95" s="686">
        <f t="shared" si="19"/>
        <v>0</v>
      </c>
      <c r="N95" s="686">
        <f t="shared" si="19"/>
        <v>0</v>
      </c>
      <c r="O95" s="686">
        <f t="shared" si="19"/>
        <v>0</v>
      </c>
      <c r="P95" s="686">
        <f t="shared" si="19"/>
        <v>0</v>
      </c>
      <c r="Q95" s="686">
        <f t="shared" si="19"/>
        <v>0</v>
      </c>
      <c r="R95" s="686">
        <f t="shared" si="19"/>
        <v>0</v>
      </c>
      <c r="S95" s="686">
        <f t="shared" si="19"/>
        <v>0</v>
      </c>
      <c r="T95" s="686">
        <f t="shared" si="19"/>
        <v>0</v>
      </c>
      <c r="U95" s="686">
        <f t="shared" si="19"/>
        <v>0</v>
      </c>
      <c r="V95" s="686">
        <f t="shared" si="19"/>
        <v>0</v>
      </c>
      <c r="W95" s="686">
        <f t="shared" si="19"/>
        <v>0</v>
      </c>
      <c r="X95" s="686">
        <f t="shared" si="19"/>
        <v>0</v>
      </c>
      <c r="Y95" s="686">
        <f t="shared" si="19"/>
        <v>0</v>
      </c>
      <c r="Z95" s="686">
        <f t="shared" si="19"/>
        <v>0</v>
      </c>
      <c r="AA95" s="686">
        <f t="shared" si="19"/>
        <v>0</v>
      </c>
      <c r="AB95" s="686">
        <f t="shared" si="19"/>
        <v>0</v>
      </c>
      <c r="AC95" s="686">
        <f t="shared" si="19"/>
        <v>0</v>
      </c>
      <c r="AD95" s="686">
        <f t="shared" si="19"/>
        <v>0</v>
      </c>
      <c r="AE95" s="686">
        <f t="shared" si="19"/>
        <v>0</v>
      </c>
      <c r="AF95" s="686">
        <f t="shared" si="19"/>
        <v>0</v>
      </c>
      <c r="AG95" s="686">
        <f t="shared" si="19"/>
        <v>0</v>
      </c>
      <c r="AH95" s="686">
        <f t="shared" si="19"/>
        <v>0</v>
      </c>
      <c r="AI95" s="686">
        <f t="shared" si="19"/>
        <v>0</v>
      </c>
      <c r="AJ95" s="686">
        <f t="shared" si="19"/>
        <v>0</v>
      </c>
      <c r="AK95" s="686">
        <f t="shared" si="19"/>
        <v>0</v>
      </c>
      <c r="AL95" s="686">
        <f t="shared" si="19"/>
        <v>0</v>
      </c>
      <c r="AM95" s="686">
        <f t="shared" si="19"/>
        <v>0</v>
      </c>
      <c r="AN95" s="686">
        <f t="shared" si="19"/>
        <v>0</v>
      </c>
      <c r="AO95" s="686">
        <f t="shared" si="19"/>
        <v>0</v>
      </c>
      <c r="AP95" s="686">
        <f t="shared" si="19"/>
        <v>0</v>
      </c>
    </row>
    <row r="96" spans="1:42" hidden="1">
      <c r="A96" s="672"/>
      <c r="B96" s="675">
        <v>90</v>
      </c>
      <c r="C96" s="686">
        <f t="shared" si="18"/>
        <v>0</v>
      </c>
      <c r="D96" s="686">
        <f t="shared" si="19"/>
        <v>0</v>
      </c>
      <c r="E96" s="686">
        <f t="shared" si="19"/>
        <v>0</v>
      </c>
      <c r="F96" s="686">
        <f t="shared" si="19"/>
        <v>0</v>
      </c>
      <c r="G96" s="686">
        <f t="shared" si="19"/>
        <v>0</v>
      </c>
      <c r="H96" s="686">
        <f t="shared" si="19"/>
        <v>0</v>
      </c>
      <c r="I96" s="686">
        <f t="shared" si="19"/>
        <v>0</v>
      </c>
      <c r="J96" s="686">
        <f t="shared" si="19"/>
        <v>0</v>
      </c>
      <c r="K96" s="686">
        <f t="shared" si="19"/>
        <v>0</v>
      </c>
      <c r="L96" s="686">
        <f t="shared" si="19"/>
        <v>0</v>
      </c>
      <c r="M96" s="686">
        <f t="shared" si="19"/>
        <v>0</v>
      </c>
      <c r="N96" s="686">
        <f t="shared" si="19"/>
        <v>0</v>
      </c>
      <c r="O96" s="686">
        <f t="shared" si="19"/>
        <v>0</v>
      </c>
      <c r="P96" s="686">
        <f t="shared" si="19"/>
        <v>0</v>
      </c>
      <c r="Q96" s="686">
        <f t="shared" si="19"/>
        <v>0</v>
      </c>
      <c r="R96" s="686">
        <f t="shared" si="19"/>
        <v>0</v>
      </c>
      <c r="S96" s="686">
        <f t="shared" si="19"/>
        <v>0</v>
      </c>
      <c r="T96" s="686">
        <f t="shared" si="19"/>
        <v>0</v>
      </c>
      <c r="U96" s="686">
        <f t="shared" si="19"/>
        <v>0</v>
      </c>
      <c r="V96" s="686">
        <f t="shared" si="19"/>
        <v>0</v>
      </c>
      <c r="W96" s="686">
        <f t="shared" si="19"/>
        <v>0</v>
      </c>
      <c r="X96" s="686">
        <f t="shared" si="19"/>
        <v>0</v>
      </c>
      <c r="Y96" s="686">
        <f t="shared" si="19"/>
        <v>0</v>
      </c>
      <c r="Z96" s="686">
        <f t="shared" si="19"/>
        <v>0</v>
      </c>
      <c r="AA96" s="686">
        <f t="shared" si="19"/>
        <v>0</v>
      </c>
      <c r="AB96" s="686">
        <f t="shared" si="19"/>
        <v>0</v>
      </c>
      <c r="AC96" s="686">
        <f t="shared" si="19"/>
        <v>0</v>
      </c>
      <c r="AD96" s="686">
        <f t="shared" si="19"/>
        <v>0</v>
      </c>
      <c r="AE96" s="686">
        <f t="shared" si="19"/>
        <v>0</v>
      </c>
      <c r="AF96" s="686">
        <f t="shared" si="19"/>
        <v>0</v>
      </c>
      <c r="AG96" s="686">
        <f t="shared" si="19"/>
        <v>0</v>
      </c>
      <c r="AH96" s="686">
        <f t="shared" si="19"/>
        <v>0</v>
      </c>
      <c r="AI96" s="686">
        <f t="shared" si="19"/>
        <v>0</v>
      </c>
      <c r="AJ96" s="686">
        <f t="shared" si="19"/>
        <v>0</v>
      </c>
      <c r="AK96" s="686">
        <f t="shared" si="19"/>
        <v>0</v>
      </c>
      <c r="AL96" s="686">
        <f t="shared" si="19"/>
        <v>0</v>
      </c>
      <c r="AM96" s="686">
        <f t="shared" si="19"/>
        <v>0</v>
      </c>
      <c r="AN96" s="686">
        <f t="shared" si="19"/>
        <v>0</v>
      </c>
      <c r="AO96" s="686">
        <f t="shared" si="19"/>
        <v>0</v>
      </c>
      <c r="AP96" s="686">
        <f t="shared" si="19"/>
        <v>0</v>
      </c>
    </row>
    <row r="97" spans="1:42" hidden="1">
      <c r="A97" s="672"/>
      <c r="B97" s="676">
        <v>85</v>
      </c>
      <c r="C97" s="686">
        <f t="shared" si="18"/>
        <v>0</v>
      </c>
      <c r="D97" s="686">
        <f t="shared" si="19"/>
        <v>0</v>
      </c>
      <c r="E97" s="686">
        <f t="shared" si="19"/>
        <v>0</v>
      </c>
      <c r="F97" s="686">
        <f t="shared" si="19"/>
        <v>0</v>
      </c>
      <c r="G97" s="686">
        <f t="shared" si="19"/>
        <v>0</v>
      </c>
      <c r="H97" s="686">
        <f t="shared" si="19"/>
        <v>0</v>
      </c>
      <c r="I97" s="686">
        <f t="shared" si="19"/>
        <v>0</v>
      </c>
      <c r="J97" s="686">
        <f t="shared" si="19"/>
        <v>0</v>
      </c>
      <c r="K97" s="686">
        <f t="shared" si="19"/>
        <v>0</v>
      </c>
      <c r="L97" s="686">
        <f t="shared" si="19"/>
        <v>0</v>
      </c>
      <c r="M97" s="686">
        <f t="shared" si="19"/>
        <v>0</v>
      </c>
      <c r="N97" s="686">
        <f t="shared" si="19"/>
        <v>0</v>
      </c>
      <c r="O97" s="686">
        <f t="shared" si="19"/>
        <v>0</v>
      </c>
      <c r="P97" s="686">
        <f t="shared" si="19"/>
        <v>0</v>
      </c>
      <c r="Q97" s="686">
        <f t="shared" si="19"/>
        <v>0</v>
      </c>
      <c r="R97" s="686">
        <f t="shared" si="19"/>
        <v>0</v>
      </c>
      <c r="S97" s="686">
        <f t="shared" si="19"/>
        <v>0</v>
      </c>
      <c r="T97" s="686">
        <f t="shared" si="19"/>
        <v>0</v>
      </c>
      <c r="U97" s="686">
        <f t="shared" si="19"/>
        <v>0</v>
      </c>
      <c r="V97" s="686">
        <f t="shared" si="19"/>
        <v>0</v>
      </c>
      <c r="W97" s="686">
        <f t="shared" si="19"/>
        <v>0</v>
      </c>
      <c r="X97" s="686">
        <f t="shared" si="19"/>
        <v>0</v>
      </c>
      <c r="Y97" s="686">
        <f t="shared" si="19"/>
        <v>0</v>
      </c>
      <c r="Z97" s="686">
        <f t="shared" si="19"/>
        <v>0</v>
      </c>
      <c r="AA97" s="686">
        <f t="shared" si="19"/>
        <v>0</v>
      </c>
      <c r="AB97" s="686">
        <f t="shared" si="19"/>
        <v>0</v>
      </c>
      <c r="AC97" s="686">
        <f t="shared" si="19"/>
        <v>0</v>
      </c>
      <c r="AD97" s="686">
        <f t="shared" si="19"/>
        <v>0</v>
      </c>
      <c r="AE97" s="686">
        <f t="shared" si="19"/>
        <v>0</v>
      </c>
      <c r="AF97" s="686">
        <f t="shared" si="19"/>
        <v>0</v>
      </c>
      <c r="AG97" s="686">
        <f t="shared" si="19"/>
        <v>0</v>
      </c>
      <c r="AH97" s="686">
        <f t="shared" si="19"/>
        <v>0</v>
      </c>
      <c r="AI97" s="686">
        <f t="shared" si="19"/>
        <v>0</v>
      </c>
      <c r="AJ97" s="686">
        <f t="shared" si="19"/>
        <v>0</v>
      </c>
      <c r="AK97" s="686">
        <f t="shared" si="19"/>
        <v>0</v>
      </c>
      <c r="AL97" s="686">
        <f t="shared" si="19"/>
        <v>0</v>
      </c>
      <c r="AM97" s="686">
        <f t="shared" si="19"/>
        <v>0</v>
      </c>
      <c r="AN97" s="686">
        <f t="shared" si="19"/>
        <v>0</v>
      </c>
      <c r="AO97" s="686">
        <f t="shared" si="19"/>
        <v>0</v>
      </c>
      <c r="AP97" s="686">
        <f t="shared" si="19"/>
        <v>0</v>
      </c>
    </row>
    <row r="98" spans="1:42" hidden="1">
      <c r="A98" s="672"/>
      <c r="B98" s="675">
        <v>80</v>
      </c>
      <c r="C98" s="686">
        <f t="shared" si="18"/>
        <v>0</v>
      </c>
      <c r="D98" s="686">
        <f t="shared" si="19"/>
        <v>0</v>
      </c>
      <c r="E98" s="686">
        <f t="shared" si="19"/>
        <v>0</v>
      </c>
      <c r="F98" s="686">
        <f t="shared" si="19"/>
        <v>0</v>
      </c>
      <c r="G98" s="686">
        <f t="shared" si="19"/>
        <v>0</v>
      </c>
      <c r="H98" s="686">
        <f t="shared" si="19"/>
        <v>0</v>
      </c>
      <c r="I98" s="686">
        <f t="shared" si="19"/>
        <v>0</v>
      </c>
      <c r="J98" s="686">
        <f t="shared" si="19"/>
        <v>0</v>
      </c>
      <c r="K98" s="686">
        <f t="shared" si="19"/>
        <v>0</v>
      </c>
      <c r="L98" s="686">
        <f t="shared" si="19"/>
        <v>0</v>
      </c>
      <c r="M98" s="686">
        <f t="shared" si="19"/>
        <v>0</v>
      </c>
      <c r="N98" s="686">
        <f t="shared" si="19"/>
        <v>0</v>
      </c>
      <c r="O98" s="686">
        <f t="shared" si="19"/>
        <v>0</v>
      </c>
      <c r="P98" s="686">
        <f t="shared" si="19"/>
        <v>0</v>
      </c>
      <c r="Q98" s="686">
        <f t="shared" si="19"/>
        <v>0</v>
      </c>
      <c r="R98" s="686">
        <f t="shared" si="19"/>
        <v>0</v>
      </c>
      <c r="S98" s="686">
        <f t="shared" si="19"/>
        <v>0</v>
      </c>
      <c r="T98" s="686">
        <f t="shared" si="19"/>
        <v>0</v>
      </c>
      <c r="U98" s="686">
        <f t="shared" si="19"/>
        <v>0</v>
      </c>
      <c r="V98" s="686">
        <f t="shared" si="19"/>
        <v>0</v>
      </c>
      <c r="W98" s="686">
        <f t="shared" si="19"/>
        <v>0</v>
      </c>
      <c r="X98" s="686">
        <f t="shared" si="19"/>
        <v>0</v>
      </c>
      <c r="Y98" s="686">
        <f t="shared" si="19"/>
        <v>0</v>
      </c>
      <c r="Z98" s="686">
        <f t="shared" si="19"/>
        <v>0</v>
      </c>
      <c r="AA98" s="686">
        <f t="shared" si="19"/>
        <v>0</v>
      </c>
      <c r="AB98" s="686">
        <f t="shared" si="19"/>
        <v>0</v>
      </c>
      <c r="AC98" s="686">
        <f t="shared" si="19"/>
        <v>0</v>
      </c>
      <c r="AD98" s="686">
        <f t="shared" si="19"/>
        <v>0</v>
      </c>
      <c r="AE98" s="686">
        <f t="shared" si="19"/>
        <v>0</v>
      </c>
      <c r="AF98" s="686">
        <f t="shared" si="19"/>
        <v>0</v>
      </c>
      <c r="AG98" s="686">
        <f t="shared" si="19"/>
        <v>0</v>
      </c>
      <c r="AH98" s="686">
        <f t="shared" si="19"/>
        <v>0</v>
      </c>
      <c r="AI98" s="686">
        <f t="shared" si="19"/>
        <v>0</v>
      </c>
      <c r="AJ98" s="686">
        <f t="shared" si="19"/>
        <v>0</v>
      </c>
      <c r="AK98" s="686">
        <f t="shared" si="19"/>
        <v>0</v>
      </c>
      <c r="AL98" s="686">
        <f t="shared" si="19"/>
        <v>0</v>
      </c>
      <c r="AM98" s="686">
        <f t="shared" si="19"/>
        <v>0</v>
      </c>
      <c r="AN98" s="686">
        <f t="shared" si="19"/>
        <v>0</v>
      </c>
      <c r="AO98" s="686">
        <f t="shared" si="19"/>
        <v>0</v>
      </c>
      <c r="AP98" s="686">
        <f t="shared" si="19"/>
        <v>0</v>
      </c>
    </row>
    <row r="99" spans="1:42" hidden="1">
      <c r="A99" s="672"/>
      <c r="B99" s="676">
        <v>75</v>
      </c>
      <c r="C99" s="686">
        <f t="shared" si="18"/>
        <v>0</v>
      </c>
      <c r="D99" s="686">
        <f t="shared" si="19"/>
        <v>0</v>
      </c>
      <c r="E99" s="686">
        <f t="shared" si="19"/>
        <v>0</v>
      </c>
      <c r="F99" s="686">
        <f t="shared" si="19"/>
        <v>0</v>
      </c>
      <c r="G99" s="686">
        <f t="shared" si="19"/>
        <v>0</v>
      </c>
      <c r="H99" s="686">
        <f t="shared" si="19"/>
        <v>0</v>
      </c>
      <c r="I99" s="686">
        <f t="shared" si="19"/>
        <v>0</v>
      </c>
      <c r="J99" s="686">
        <f t="shared" si="19"/>
        <v>0</v>
      </c>
      <c r="K99" s="686">
        <f t="shared" si="19"/>
        <v>0</v>
      </c>
      <c r="L99" s="686">
        <f t="shared" si="19"/>
        <v>0</v>
      </c>
      <c r="M99" s="686">
        <f t="shared" si="19"/>
        <v>0</v>
      </c>
      <c r="N99" s="686">
        <f t="shared" si="19"/>
        <v>0</v>
      </c>
      <c r="O99" s="686">
        <f t="shared" si="19"/>
        <v>0</v>
      </c>
      <c r="P99" s="686">
        <f t="shared" si="19"/>
        <v>0</v>
      </c>
      <c r="Q99" s="686">
        <f t="shared" si="19"/>
        <v>0</v>
      </c>
      <c r="R99" s="686">
        <f t="shared" si="19"/>
        <v>0</v>
      </c>
      <c r="S99" s="686">
        <f t="shared" si="19"/>
        <v>0</v>
      </c>
      <c r="T99" s="686">
        <f t="shared" si="19"/>
        <v>0</v>
      </c>
      <c r="U99" s="686">
        <f t="shared" si="19"/>
        <v>0</v>
      </c>
      <c r="V99" s="686">
        <f t="shared" si="19"/>
        <v>0</v>
      </c>
      <c r="W99" s="686">
        <f t="shared" si="19"/>
        <v>0</v>
      </c>
      <c r="X99" s="686">
        <f t="shared" si="19"/>
        <v>0</v>
      </c>
      <c r="Y99" s="686">
        <f t="shared" si="19"/>
        <v>0</v>
      </c>
      <c r="Z99" s="686">
        <f t="shared" si="19"/>
        <v>0</v>
      </c>
      <c r="AA99" s="686">
        <f t="shared" si="19"/>
        <v>0</v>
      </c>
      <c r="AB99" s="686">
        <f t="shared" si="19"/>
        <v>0</v>
      </c>
      <c r="AC99" s="686">
        <f t="shared" si="19"/>
        <v>0</v>
      </c>
      <c r="AD99" s="686">
        <f t="shared" si="19"/>
        <v>0</v>
      </c>
      <c r="AE99" s="686">
        <f t="shared" si="19"/>
        <v>0</v>
      </c>
      <c r="AF99" s="686">
        <f t="shared" si="19"/>
        <v>0</v>
      </c>
      <c r="AG99" s="686">
        <f t="shared" si="19"/>
        <v>0</v>
      </c>
      <c r="AH99" s="686">
        <f t="shared" si="19"/>
        <v>0</v>
      </c>
      <c r="AI99" s="686">
        <f t="shared" si="19"/>
        <v>0</v>
      </c>
      <c r="AJ99" s="686">
        <f t="shared" si="19"/>
        <v>0</v>
      </c>
      <c r="AK99" s="686">
        <f t="shared" si="19"/>
        <v>0</v>
      </c>
      <c r="AL99" s="686">
        <f t="shared" si="19"/>
        <v>0</v>
      </c>
      <c r="AM99" s="686">
        <f t="shared" si="19"/>
        <v>0</v>
      </c>
      <c r="AN99" s="686">
        <f t="shared" si="19"/>
        <v>0</v>
      </c>
      <c r="AO99" s="686">
        <f t="shared" si="19"/>
        <v>0</v>
      </c>
      <c r="AP99" s="686">
        <f t="shared" si="19"/>
        <v>0</v>
      </c>
    </row>
    <row r="100" spans="1:42" hidden="1">
      <c r="A100" s="672"/>
      <c r="B100" s="675">
        <v>70</v>
      </c>
      <c r="C100" s="686">
        <f t="shared" si="18"/>
        <v>0</v>
      </c>
      <c r="D100" s="686">
        <f t="shared" si="19"/>
        <v>0</v>
      </c>
      <c r="E100" s="686">
        <f t="shared" si="19"/>
        <v>0</v>
      </c>
      <c r="F100" s="686">
        <f t="shared" si="19"/>
        <v>0</v>
      </c>
      <c r="G100" s="686">
        <f t="shared" si="19"/>
        <v>0</v>
      </c>
      <c r="H100" s="686">
        <f t="shared" si="19"/>
        <v>0</v>
      </c>
      <c r="I100" s="686">
        <f t="shared" si="19"/>
        <v>0</v>
      </c>
      <c r="J100" s="686">
        <f t="shared" si="19"/>
        <v>0</v>
      </c>
      <c r="K100" s="686">
        <f t="shared" si="19"/>
        <v>0</v>
      </c>
      <c r="L100" s="686">
        <f t="shared" si="19"/>
        <v>0</v>
      </c>
      <c r="M100" s="686">
        <f t="shared" si="19"/>
        <v>0</v>
      </c>
      <c r="N100" s="686">
        <f t="shared" si="19"/>
        <v>0</v>
      </c>
      <c r="O100" s="686">
        <f t="shared" si="19"/>
        <v>0</v>
      </c>
      <c r="P100" s="686">
        <f t="shared" si="19"/>
        <v>0</v>
      </c>
      <c r="Q100" s="686">
        <f t="shared" si="19"/>
        <v>0</v>
      </c>
      <c r="R100" s="686">
        <f t="shared" si="19"/>
        <v>0</v>
      </c>
      <c r="S100" s="686">
        <f t="shared" si="19"/>
        <v>0</v>
      </c>
      <c r="T100" s="686">
        <f t="shared" si="19"/>
        <v>0</v>
      </c>
      <c r="U100" s="686">
        <f t="shared" si="19"/>
        <v>0</v>
      </c>
      <c r="V100" s="686">
        <f t="shared" si="19"/>
        <v>0</v>
      </c>
      <c r="W100" s="686">
        <f t="shared" si="19"/>
        <v>0</v>
      </c>
      <c r="X100" s="686">
        <f t="shared" si="19"/>
        <v>0</v>
      </c>
      <c r="Y100" s="686">
        <f t="shared" si="19"/>
        <v>0</v>
      </c>
      <c r="Z100" s="686">
        <f t="shared" si="19"/>
        <v>0</v>
      </c>
      <c r="AA100" s="686">
        <f t="shared" si="19"/>
        <v>0</v>
      </c>
      <c r="AB100" s="686">
        <f t="shared" si="19"/>
        <v>0</v>
      </c>
      <c r="AC100" s="686">
        <f t="shared" si="19"/>
        <v>0</v>
      </c>
      <c r="AD100" s="686">
        <f t="shared" si="19"/>
        <v>0</v>
      </c>
      <c r="AE100" s="686">
        <f t="shared" si="19"/>
        <v>0</v>
      </c>
      <c r="AF100" s="686">
        <f t="shared" si="19"/>
        <v>0</v>
      </c>
      <c r="AG100" s="686">
        <f t="shared" si="19"/>
        <v>0</v>
      </c>
      <c r="AH100" s="686">
        <f t="shared" si="19"/>
        <v>0</v>
      </c>
      <c r="AI100" s="686">
        <f t="shared" si="19"/>
        <v>0</v>
      </c>
      <c r="AJ100" s="686">
        <f t="shared" si="19"/>
        <v>0</v>
      </c>
      <c r="AK100" s="686">
        <f t="shared" si="19"/>
        <v>0</v>
      </c>
      <c r="AL100" s="686">
        <f t="shared" si="19"/>
        <v>0</v>
      </c>
      <c r="AM100" s="686">
        <f t="shared" si="19"/>
        <v>0</v>
      </c>
      <c r="AN100" s="686">
        <f t="shared" ref="D100:AP107" si="20">IF(AN58=1,AN14,0)</f>
        <v>0</v>
      </c>
      <c r="AO100" s="686">
        <f t="shared" si="20"/>
        <v>0</v>
      </c>
      <c r="AP100" s="686">
        <f t="shared" si="20"/>
        <v>0</v>
      </c>
    </row>
    <row r="101" spans="1:42" hidden="1">
      <c r="A101" s="672"/>
      <c r="B101" s="676">
        <v>65</v>
      </c>
      <c r="C101" s="686">
        <f t="shared" si="18"/>
        <v>0</v>
      </c>
      <c r="D101" s="686">
        <f t="shared" si="20"/>
        <v>0</v>
      </c>
      <c r="E101" s="686">
        <f t="shared" si="20"/>
        <v>0</v>
      </c>
      <c r="F101" s="686">
        <f t="shared" si="20"/>
        <v>0</v>
      </c>
      <c r="G101" s="686">
        <f t="shared" si="20"/>
        <v>0</v>
      </c>
      <c r="H101" s="686">
        <f t="shared" si="20"/>
        <v>0</v>
      </c>
      <c r="I101" s="686">
        <f t="shared" si="20"/>
        <v>0</v>
      </c>
      <c r="J101" s="686">
        <f t="shared" si="20"/>
        <v>0</v>
      </c>
      <c r="K101" s="686">
        <f t="shared" si="20"/>
        <v>0</v>
      </c>
      <c r="L101" s="686">
        <f t="shared" si="20"/>
        <v>0</v>
      </c>
      <c r="M101" s="686">
        <f t="shared" si="20"/>
        <v>0</v>
      </c>
      <c r="N101" s="686">
        <f t="shared" si="20"/>
        <v>0</v>
      </c>
      <c r="O101" s="686">
        <f t="shared" si="20"/>
        <v>0</v>
      </c>
      <c r="P101" s="686">
        <f t="shared" si="20"/>
        <v>0</v>
      </c>
      <c r="Q101" s="686">
        <f t="shared" si="20"/>
        <v>0</v>
      </c>
      <c r="R101" s="686">
        <f t="shared" si="20"/>
        <v>0</v>
      </c>
      <c r="S101" s="686">
        <f t="shared" si="20"/>
        <v>0</v>
      </c>
      <c r="T101" s="686">
        <f t="shared" si="20"/>
        <v>0</v>
      </c>
      <c r="U101" s="686">
        <f t="shared" si="20"/>
        <v>0</v>
      </c>
      <c r="V101" s="686">
        <f t="shared" si="20"/>
        <v>0</v>
      </c>
      <c r="W101" s="686">
        <f t="shared" si="20"/>
        <v>0</v>
      </c>
      <c r="X101" s="686">
        <f t="shared" si="20"/>
        <v>0</v>
      </c>
      <c r="Y101" s="686">
        <f t="shared" si="20"/>
        <v>0</v>
      </c>
      <c r="Z101" s="686">
        <f t="shared" si="20"/>
        <v>0</v>
      </c>
      <c r="AA101" s="686">
        <f t="shared" si="20"/>
        <v>0</v>
      </c>
      <c r="AB101" s="686">
        <f t="shared" si="20"/>
        <v>0</v>
      </c>
      <c r="AC101" s="686">
        <f t="shared" si="20"/>
        <v>0</v>
      </c>
      <c r="AD101" s="686">
        <f t="shared" si="20"/>
        <v>0</v>
      </c>
      <c r="AE101" s="686">
        <f t="shared" si="20"/>
        <v>0</v>
      </c>
      <c r="AF101" s="686">
        <f t="shared" si="20"/>
        <v>0</v>
      </c>
      <c r="AG101" s="686">
        <f t="shared" si="20"/>
        <v>0</v>
      </c>
      <c r="AH101" s="686">
        <f t="shared" si="20"/>
        <v>0</v>
      </c>
      <c r="AI101" s="686">
        <f t="shared" si="20"/>
        <v>0</v>
      </c>
      <c r="AJ101" s="686">
        <f t="shared" si="20"/>
        <v>0</v>
      </c>
      <c r="AK101" s="686">
        <f t="shared" si="20"/>
        <v>0</v>
      </c>
      <c r="AL101" s="686">
        <f t="shared" si="20"/>
        <v>0</v>
      </c>
      <c r="AM101" s="686">
        <f t="shared" si="20"/>
        <v>0</v>
      </c>
      <c r="AN101" s="686">
        <f t="shared" si="20"/>
        <v>0</v>
      </c>
      <c r="AO101" s="686">
        <f t="shared" si="20"/>
        <v>0</v>
      </c>
      <c r="AP101" s="686">
        <f t="shared" si="20"/>
        <v>0</v>
      </c>
    </row>
    <row r="102" spans="1:42" hidden="1">
      <c r="A102" s="672"/>
      <c r="B102" s="675">
        <v>60</v>
      </c>
      <c r="C102" s="686">
        <f t="shared" si="18"/>
        <v>0</v>
      </c>
      <c r="D102" s="686">
        <f t="shared" si="20"/>
        <v>0</v>
      </c>
      <c r="E102" s="686">
        <f t="shared" si="20"/>
        <v>0</v>
      </c>
      <c r="F102" s="686">
        <f t="shared" si="20"/>
        <v>0</v>
      </c>
      <c r="G102" s="686">
        <f t="shared" si="20"/>
        <v>0</v>
      </c>
      <c r="H102" s="686">
        <f t="shared" si="20"/>
        <v>0</v>
      </c>
      <c r="I102" s="686">
        <f t="shared" si="20"/>
        <v>0</v>
      </c>
      <c r="J102" s="686">
        <f t="shared" si="20"/>
        <v>0</v>
      </c>
      <c r="K102" s="686">
        <f t="shared" si="20"/>
        <v>0</v>
      </c>
      <c r="L102" s="686">
        <f t="shared" si="20"/>
        <v>0</v>
      </c>
      <c r="M102" s="686">
        <f t="shared" si="20"/>
        <v>0</v>
      </c>
      <c r="N102" s="686">
        <f t="shared" si="20"/>
        <v>0</v>
      </c>
      <c r="O102" s="686">
        <f t="shared" si="20"/>
        <v>0</v>
      </c>
      <c r="P102" s="686">
        <f t="shared" si="20"/>
        <v>0</v>
      </c>
      <c r="Q102" s="686">
        <f t="shared" si="20"/>
        <v>0</v>
      </c>
      <c r="R102" s="686">
        <f t="shared" si="20"/>
        <v>0</v>
      </c>
      <c r="S102" s="686">
        <f t="shared" si="20"/>
        <v>0</v>
      </c>
      <c r="T102" s="686">
        <f t="shared" si="20"/>
        <v>0</v>
      </c>
      <c r="U102" s="686">
        <f t="shared" si="20"/>
        <v>0</v>
      </c>
      <c r="V102" s="686">
        <f t="shared" si="20"/>
        <v>0</v>
      </c>
      <c r="W102" s="686">
        <f t="shared" si="20"/>
        <v>0</v>
      </c>
      <c r="X102" s="686">
        <f t="shared" si="20"/>
        <v>0</v>
      </c>
      <c r="Y102" s="686">
        <f t="shared" si="20"/>
        <v>0</v>
      </c>
      <c r="Z102" s="686">
        <f t="shared" si="20"/>
        <v>0</v>
      </c>
      <c r="AA102" s="686">
        <f t="shared" si="20"/>
        <v>0</v>
      </c>
      <c r="AB102" s="686">
        <f t="shared" si="20"/>
        <v>0</v>
      </c>
      <c r="AC102" s="686">
        <f t="shared" si="20"/>
        <v>0</v>
      </c>
      <c r="AD102" s="686">
        <f t="shared" si="20"/>
        <v>0</v>
      </c>
      <c r="AE102" s="686">
        <f t="shared" si="20"/>
        <v>0</v>
      </c>
      <c r="AF102" s="686">
        <f t="shared" si="20"/>
        <v>0</v>
      </c>
      <c r="AG102" s="686">
        <f t="shared" si="20"/>
        <v>0</v>
      </c>
      <c r="AH102" s="686">
        <f t="shared" si="20"/>
        <v>0</v>
      </c>
      <c r="AI102" s="686">
        <f t="shared" si="20"/>
        <v>0</v>
      </c>
      <c r="AJ102" s="686">
        <f t="shared" si="20"/>
        <v>0</v>
      </c>
      <c r="AK102" s="686">
        <f t="shared" si="20"/>
        <v>0</v>
      </c>
      <c r="AL102" s="686">
        <f t="shared" si="20"/>
        <v>0</v>
      </c>
      <c r="AM102" s="686">
        <f t="shared" si="20"/>
        <v>0</v>
      </c>
      <c r="AN102" s="686">
        <f t="shared" si="20"/>
        <v>0</v>
      </c>
      <c r="AO102" s="686">
        <f t="shared" si="20"/>
        <v>0</v>
      </c>
      <c r="AP102" s="686">
        <f t="shared" si="20"/>
        <v>0</v>
      </c>
    </row>
    <row r="103" spans="1:42" hidden="1">
      <c r="A103" s="672"/>
      <c r="B103" s="676">
        <v>55</v>
      </c>
      <c r="C103" s="686">
        <f t="shared" si="18"/>
        <v>0</v>
      </c>
      <c r="D103" s="686">
        <f t="shared" si="20"/>
        <v>0</v>
      </c>
      <c r="E103" s="686">
        <f t="shared" si="20"/>
        <v>0</v>
      </c>
      <c r="F103" s="686">
        <f t="shared" si="20"/>
        <v>0</v>
      </c>
      <c r="G103" s="686">
        <f t="shared" si="20"/>
        <v>0</v>
      </c>
      <c r="H103" s="686">
        <f t="shared" si="20"/>
        <v>0</v>
      </c>
      <c r="I103" s="686">
        <f t="shared" si="20"/>
        <v>0</v>
      </c>
      <c r="J103" s="686">
        <f t="shared" si="20"/>
        <v>0</v>
      </c>
      <c r="K103" s="686">
        <f t="shared" si="20"/>
        <v>0</v>
      </c>
      <c r="L103" s="686">
        <f t="shared" si="20"/>
        <v>0</v>
      </c>
      <c r="M103" s="686">
        <f t="shared" si="20"/>
        <v>0</v>
      </c>
      <c r="N103" s="686">
        <f t="shared" si="20"/>
        <v>0</v>
      </c>
      <c r="O103" s="686">
        <f t="shared" si="20"/>
        <v>0</v>
      </c>
      <c r="P103" s="686">
        <f t="shared" si="20"/>
        <v>0</v>
      </c>
      <c r="Q103" s="686">
        <f t="shared" si="20"/>
        <v>0</v>
      </c>
      <c r="R103" s="686">
        <f t="shared" si="20"/>
        <v>0</v>
      </c>
      <c r="S103" s="686">
        <f t="shared" si="20"/>
        <v>0</v>
      </c>
      <c r="T103" s="686">
        <f t="shared" si="20"/>
        <v>0</v>
      </c>
      <c r="U103" s="686">
        <f t="shared" si="20"/>
        <v>0</v>
      </c>
      <c r="V103" s="686">
        <f t="shared" si="20"/>
        <v>0</v>
      </c>
      <c r="W103" s="686">
        <f t="shared" si="20"/>
        <v>0</v>
      </c>
      <c r="X103" s="686">
        <f t="shared" si="20"/>
        <v>0</v>
      </c>
      <c r="Y103" s="686">
        <f t="shared" si="20"/>
        <v>0</v>
      </c>
      <c r="Z103" s="686">
        <f t="shared" si="20"/>
        <v>0</v>
      </c>
      <c r="AA103" s="686">
        <f t="shared" si="20"/>
        <v>0</v>
      </c>
      <c r="AB103" s="686">
        <f t="shared" si="20"/>
        <v>0</v>
      </c>
      <c r="AC103" s="686">
        <f t="shared" si="20"/>
        <v>0</v>
      </c>
      <c r="AD103" s="686">
        <f t="shared" si="20"/>
        <v>0</v>
      </c>
      <c r="AE103" s="686">
        <f t="shared" si="20"/>
        <v>0</v>
      </c>
      <c r="AF103" s="686">
        <f t="shared" si="20"/>
        <v>0</v>
      </c>
      <c r="AG103" s="686">
        <f t="shared" si="20"/>
        <v>0</v>
      </c>
      <c r="AH103" s="686">
        <f t="shared" si="20"/>
        <v>0</v>
      </c>
      <c r="AI103" s="686">
        <f t="shared" si="20"/>
        <v>0</v>
      </c>
      <c r="AJ103" s="686">
        <f t="shared" si="20"/>
        <v>0</v>
      </c>
      <c r="AK103" s="686">
        <f t="shared" si="20"/>
        <v>0</v>
      </c>
      <c r="AL103" s="686">
        <f t="shared" si="20"/>
        <v>0</v>
      </c>
      <c r="AM103" s="686">
        <f t="shared" si="20"/>
        <v>0</v>
      </c>
      <c r="AN103" s="686">
        <f t="shared" si="20"/>
        <v>0</v>
      </c>
      <c r="AO103" s="686">
        <f t="shared" si="20"/>
        <v>0</v>
      </c>
      <c r="AP103" s="686">
        <f t="shared" si="20"/>
        <v>0</v>
      </c>
    </row>
    <row r="104" spans="1:42" hidden="1">
      <c r="A104" s="672"/>
      <c r="B104" s="675">
        <v>50</v>
      </c>
      <c r="C104" s="686">
        <f t="shared" si="18"/>
        <v>0</v>
      </c>
      <c r="D104" s="686">
        <f t="shared" si="20"/>
        <v>0</v>
      </c>
      <c r="E104" s="686">
        <f t="shared" si="20"/>
        <v>0</v>
      </c>
      <c r="F104" s="686">
        <f t="shared" si="20"/>
        <v>0</v>
      </c>
      <c r="G104" s="686">
        <f t="shared" si="20"/>
        <v>0</v>
      </c>
      <c r="H104" s="686">
        <f t="shared" si="20"/>
        <v>0</v>
      </c>
      <c r="I104" s="686">
        <f t="shared" si="20"/>
        <v>0</v>
      </c>
      <c r="J104" s="686">
        <f t="shared" si="20"/>
        <v>0</v>
      </c>
      <c r="K104" s="686">
        <f t="shared" si="20"/>
        <v>0</v>
      </c>
      <c r="L104" s="686">
        <f t="shared" si="20"/>
        <v>0</v>
      </c>
      <c r="M104" s="686">
        <f t="shared" si="20"/>
        <v>0</v>
      </c>
      <c r="N104" s="686">
        <f t="shared" si="20"/>
        <v>0</v>
      </c>
      <c r="O104" s="686">
        <f t="shared" si="20"/>
        <v>0</v>
      </c>
      <c r="P104" s="686">
        <f t="shared" si="20"/>
        <v>0</v>
      </c>
      <c r="Q104" s="686">
        <f t="shared" si="20"/>
        <v>0</v>
      </c>
      <c r="R104" s="686">
        <f t="shared" si="20"/>
        <v>0</v>
      </c>
      <c r="S104" s="686">
        <f t="shared" si="20"/>
        <v>0</v>
      </c>
      <c r="T104" s="686">
        <f t="shared" si="20"/>
        <v>0</v>
      </c>
      <c r="U104" s="686">
        <f t="shared" si="20"/>
        <v>0</v>
      </c>
      <c r="V104" s="686">
        <f t="shared" si="20"/>
        <v>0</v>
      </c>
      <c r="W104" s="686">
        <f t="shared" si="20"/>
        <v>0</v>
      </c>
      <c r="X104" s="686">
        <f t="shared" si="20"/>
        <v>0</v>
      </c>
      <c r="Y104" s="686">
        <f t="shared" si="20"/>
        <v>0</v>
      </c>
      <c r="Z104" s="686">
        <f t="shared" si="20"/>
        <v>0</v>
      </c>
      <c r="AA104" s="686">
        <f t="shared" si="20"/>
        <v>0</v>
      </c>
      <c r="AB104" s="686">
        <f t="shared" si="20"/>
        <v>0</v>
      </c>
      <c r="AC104" s="686">
        <f t="shared" si="20"/>
        <v>0</v>
      </c>
      <c r="AD104" s="686">
        <f t="shared" si="20"/>
        <v>0</v>
      </c>
      <c r="AE104" s="686">
        <f t="shared" si="20"/>
        <v>0</v>
      </c>
      <c r="AF104" s="686">
        <f t="shared" si="20"/>
        <v>0</v>
      </c>
      <c r="AG104" s="686">
        <f t="shared" si="20"/>
        <v>0</v>
      </c>
      <c r="AH104" s="686">
        <f t="shared" si="20"/>
        <v>0</v>
      </c>
      <c r="AI104" s="686">
        <f t="shared" si="20"/>
        <v>0</v>
      </c>
      <c r="AJ104" s="686">
        <f t="shared" si="20"/>
        <v>0</v>
      </c>
      <c r="AK104" s="686">
        <f t="shared" si="20"/>
        <v>0</v>
      </c>
      <c r="AL104" s="686">
        <f t="shared" si="20"/>
        <v>0</v>
      </c>
      <c r="AM104" s="686">
        <f t="shared" si="20"/>
        <v>0</v>
      </c>
      <c r="AN104" s="686">
        <f t="shared" si="20"/>
        <v>0</v>
      </c>
      <c r="AO104" s="686">
        <f t="shared" si="20"/>
        <v>0</v>
      </c>
      <c r="AP104" s="686">
        <f t="shared" si="20"/>
        <v>0</v>
      </c>
    </row>
    <row r="105" spans="1:42" hidden="1">
      <c r="A105" s="672"/>
      <c r="B105" s="676">
        <v>45</v>
      </c>
      <c r="C105" s="686">
        <f t="shared" si="18"/>
        <v>0</v>
      </c>
      <c r="D105" s="686">
        <f t="shared" si="20"/>
        <v>0</v>
      </c>
      <c r="E105" s="686">
        <f t="shared" si="20"/>
        <v>0</v>
      </c>
      <c r="F105" s="686">
        <f t="shared" si="20"/>
        <v>0</v>
      </c>
      <c r="G105" s="686">
        <f t="shared" si="20"/>
        <v>0</v>
      </c>
      <c r="H105" s="686">
        <f t="shared" si="20"/>
        <v>0</v>
      </c>
      <c r="I105" s="686">
        <f t="shared" si="20"/>
        <v>0</v>
      </c>
      <c r="J105" s="686">
        <f t="shared" si="20"/>
        <v>0</v>
      </c>
      <c r="K105" s="686">
        <f t="shared" si="20"/>
        <v>0</v>
      </c>
      <c r="L105" s="686">
        <f t="shared" si="20"/>
        <v>0</v>
      </c>
      <c r="M105" s="686">
        <f t="shared" si="20"/>
        <v>0</v>
      </c>
      <c r="N105" s="686">
        <f t="shared" si="20"/>
        <v>0</v>
      </c>
      <c r="O105" s="686">
        <f t="shared" si="20"/>
        <v>0</v>
      </c>
      <c r="P105" s="686">
        <f t="shared" si="20"/>
        <v>0</v>
      </c>
      <c r="Q105" s="686">
        <f t="shared" si="20"/>
        <v>0</v>
      </c>
      <c r="R105" s="686">
        <f t="shared" si="20"/>
        <v>0</v>
      </c>
      <c r="S105" s="686">
        <f t="shared" si="20"/>
        <v>0</v>
      </c>
      <c r="T105" s="686">
        <f t="shared" si="20"/>
        <v>0</v>
      </c>
      <c r="U105" s="686">
        <f t="shared" si="20"/>
        <v>0</v>
      </c>
      <c r="V105" s="686">
        <f t="shared" si="20"/>
        <v>0</v>
      </c>
      <c r="W105" s="686">
        <f t="shared" si="20"/>
        <v>0</v>
      </c>
      <c r="X105" s="686">
        <f t="shared" si="20"/>
        <v>0</v>
      </c>
      <c r="Y105" s="686">
        <f t="shared" si="20"/>
        <v>0</v>
      </c>
      <c r="Z105" s="686">
        <f t="shared" si="20"/>
        <v>0</v>
      </c>
      <c r="AA105" s="686">
        <f t="shared" si="20"/>
        <v>0</v>
      </c>
      <c r="AB105" s="686">
        <f t="shared" si="20"/>
        <v>0</v>
      </c>
      <c r="AC105" s="686">
        <f t="shared" si="20"/>
        <v>0</v>
      </c>
      <c r="AD105" s="686">
        <f t="shared" si="20"/>
        <v>0</v>
      </c>
      <c r="AE105" s="686">
        <f t="shared" si="20"/>
        <v>0</v>
      </c>
      <c r="AF105" s="686">
        <f t="shared" si="20"/>
        <v>0</v>
      </c>
      <c r="AG105" s="686">
        <f t="shared" si="20"/>
        <v>0</v>
      </c>
      <c r="AH105" s="686">
        <f t="shared" si="20"/>
        <v>0</v>
      </c>
      <c r="AI105" s="686">
        <f t="shared" si="20"/>
        <v>0</v>
      </c>
      <c r="AJ105" s="686">
        <f t="shared" si="20"/>
        <v>0</v>
      </c>
      <c r="AK105" s="686">
        <f t="shared" si="20"/>
        <v>0</v>
      </c>
      <c r="AL105" s="686">
        <f t="shared" si="20"/>
        <v>0</v>
      </c>
      <c r="AM105" s="686">
        <f t="shared" si="20"/>
        <v>0</v>
      </c>
      <c r="AN105" s="686">
        <f t="shared" si="20"/>
        <v>0</v>
      </c>
      <c r="AO105" s="686">
        <f t="shared" si="20"/>
        <v>0</v>
      </c>
      <c r="AP105" s="686">
        <f t="shared" si="20"/>
        <v>0</v>
      </c>
    </row>
    <row r="106" spans="1:42" hidden="1">
      <c r="A106" s="672"/>
      <c r="B106" s="675">
        <v>40</v>
      </c>
      <c r="C106" s="686">
        <f t="shared" si="18"/>
        <v>0</v>
      </c>
      <c r="D106" s="686">
        <f t="shared" si="20"/>
        <v>0</v>
      </c>
      <c r="E106" s="686">
        <f t="shared" si="20"/>
        <v>0</v>
      </c>
      <c r="F106" s="686">
        <f t="shared" si="20"/>
        <v>0</v>
      </c>
      <c r="G106" s="686">
        <f t="shared" si="20"/>
        <v>0</v>
      </c>
      <c r="H106" s="686">
        <f t="shared" si="20"/>
        <v>0</v>
      </c>
      <c r="I106" s="686">
        <f t="shared" si="20"/>
        <v>0</v>
      </c>
      <c r="J106" s="686">
        <f t="shared" si="20"/>
        <v>0</v>
      </c>
      <c r="K106" s="686">
        <f t="shared" si="20"/>
        <v>0</v>
      </c>
      <c r="L106" s="686">
        <f t="shared" si="20"/>
        <v>0</v>
      </c>
      <c r="M106" s="686">
        <f t="shared" si="20"/>
        <v>0</v>
      </c>
      <c r="N106" s="686">
        <f t="shared" si="20"/>
        <v>0</v>
      </c>
      <c r="O106" s="686">
        <f t="shared" si="20"/>
        <v>0</v>
      </c>
      <c r="P106" s="686">
        <f t="shared" si="20"/>
        <v>0</v>
      </c>
      <c r="Q106" s="686">
        <f t="shared" si="20"/>
        <v>0</v>
      </c>
      <c r="R106" s="686">
        <f t="shared" si="20"/>
        <v>0</v>
      </c>
      <c r="S106" s="686">
        <f t="shared" si="20"/>
        <v>0</v>
      </c>
      <c r="T106" s="686">
        <f t="shared" si="20"/>
        <v>0</v>
      </c>
      <c r="U106" s="686">
        <f t="shared" si="20"/>
        <v>0</v>
      </c>
      <c r="V106" s="686">
        <f t="shared" si="20"/>
        <v>0</v>
      </c>
      <c r="W106" s="686">
        <f t="shared" si="20"/>
        <v>0</v>
      </c>
      <c r="X106" s="686">
        <f t="shared" si="20"/>
        <v>0</v>
      </c>
      <c r="Y106" s="686">
        <f t="shared" si="20"/>
        <v>0</v>
      </c>
      <c r="Z106" s="686">
        <f t="shared" si="20"/>
        <v>0</v>
      </c>
      <c r="AA106" s="686">
        <f t="shared" si="20"/>
        <v>0</v>
      </c>
      <c r="AB106" s="686">
        <f t="shared" si="20"/>
        <v>0</v>
      </c>
      <c r="AC106" s="686">
        <f t="shared" si="20"/>
        <v>0</v>
      </c>
      <c r="AD106" s="686">
        <f t="shared" si="20"/>
        <v>0</v>
      </c>
      <c r="AE106" s="686">
        <f t="shared" si="20"/>
        <v>0</v>
      </c>
      <c r="AF106" s="686">
        <f t="shared" si="20"/>
        <v>0</v>
      </c>
      <c r="AG106" s="686">
        <f t="shared" si="20"/>
        <v>0</v>
      </c>
      <c r="AH106" s="686">
        <f t="shared" si="20"/>
        <v>0</v>
      </c>
      <c r="AI106" s="686">
        <f t="shared" si="20"/>
        <v>0</v>
      </c>
      <c r="AJ106" s="686">
        <f t="shared" si="20"/>
        <v>0</v>
      </c>
      <c r="AK106" s="686">
        <f t="shared" si="20"/>
        <v>0</v>
      </c>
      <c r="AL106" s="686">
        <f t="shared" si="20"/>
        <v>0</v>
      </c>
      <c r="AM106" s="686">
        <f t="shared" si="20"/>
        <v>0</v>
      </c>
      <c r="AN106" s="686">
        <f t="shared" si="20"/>
        <v>0</v>
      </c>
      <c r="AO106" s="686">
        <f t="shared" si="20"/>
        <v>0</v>
      </c>
      <c r="AP106" s="686">
        <f t="shared" si="20"/>
        <v>0</v>
      </c>
    </row>
    <row r="107" spans="1:42" hidden="1">
      <c r="A107" s="672"/>
      <c r="B107" s="676">
        <v>35</v>
      </c>
      <c r="C107" s="686">
        <f t="shared" si="18"/>
        <v>0</v>
      </c>
      <c r="D107" s="686">
        <f t="shared" si="20"/>
        <v>0</v>
      </c>
      <c r="E107" s="686">
        <f t="shared" si="20"/>
        <v>0</v>
      </c>
      <c r="F107" s="686">
        <f t="shared" si="20"/>
        <v>0</v>
      </c>
      <c r="G107" s="686">
        <f t="shared" si="20"/>
        <v>0</v>
      </c>
      <c r="H107" s="686">
        <f t="shared" si="20"/>
        <v>0</v>
      </c>
      <c r="I107" s="686">
        <f t="shared" si="20"/>
        <v>0</v>
      </c>
      <c r="J107" s="686">
        <f t="shared" si="20"/>
        <v>0</v>
      </c>
      <c r="K107" s="686">
        <f t="shared" si="20"/>
        <v>0</v>
      </c>
      <c r="L107" s="686">
        <f t="shared" si="20"/>
        <v>0</v>
      </c>
      <c r="M107" s="686">
        <f t="shared" si="20"/>
        <v>0</v>
      </c>
      <c r="N107" s="686">
        <f t="shared" si="20"/>
        <v>0</v>
      </c>
      <c r="O107" s="686">
        <f t="shared" si="20"/>
        <v>0</v>
      </c>
      <c r="P107" s="686">
        <f t="shared" si="20"/>
        <v>0</v>
      </c>
      <c r="Q107" s="686">
        <f t="shared" si="20"/>
        <v>0</v>
      </c>
      <c r="R107" s="686">
        <f t="shared" si="20"/>
        <v>0</v>
      </c>
      <c r="S107" s="686">
        <f t="shared" si="20"/>
        <v>0</v>
      </c>
      <c r="T107" s="686">
        <f t="shared" si="20"/>
        <v>0</v>
      </c>
      <c r="U107" s="686">
        <f t="shared" si="20"/>
        <v>0</v>
      </c>
      <c r="V107" s="686">
        <f t="shared" ref="D107:AP111" si="21">IF(V65=1,V21,0)</f>
        <v>0</v>
      </c>
      <c r="W107" s="686">
        <f t="shared" si="21"/>
        <v>0</v>
      </c>
      <c r="X107" s="686">
        <f t="shared" si="21"/>
        <v>0</v>
      </c>
      <c r="Y107" s="686">
        <f t="shared" si="21"/>
        <v>0</v>
      </c>
      <c r="Z107" s="686">
        <f t="shared" si="21"/>
        <v>0</v>
      </c>
      <c r="AA107" s="686">
        <f t="shared" si="21"/>
        <v>0</v>
      </c>
      <c r="AB107" s="686">
        <f t="shared" si="21"/>
        <v>0</v>
      </c>
      <c r="AC107" s="686">
        <f t="shared" si="21"/>
        <v>0</v>
      </c>
      <c r="AD107" s="686">
        <f t="shared" si="21"/>
        <v>0</v>
      </c>
      <c r="AE107" s="686">
        <f t="shared" si="21"/>
        <v>0</v>
      </c>
      <c r="AF107" s="686">
        <f t="shared" si="21"/>
        <v>0</v>
      </c>
      <c r="AG107" s="686">
        <f t="shared" si="21"/>
        <v>0</v>
      </c>
      <c r="AH107" s="686">
        <f t="shared" si="21"/>
        <v>0</v>
      </c>
      <c r="AI107" s="686">
        <f t="shared" si="21"/>
        <v>0</v>
      </c>
      <c r="AJ107" s="686">
        <f t="shared" si="21"/>
        <v>0</v>
      </c>
      <c r="AK107" s="686">
        <f t="shared" si="21"/>
        <v>0</v>
      </c>
      <c r="AL107" s="686">
        <f t="shared" si="21"/>
        <v>0</v>
      </c>
      <c r="AM107" s="686">
        <f t="shared" si="21"/>
        <v>0</v>
      </c>
      <c r="AN107" s="686">
        <f t="shared" si="21"/>
        <v>0</v>
      </c>
      <c r="AO107" s="686">
        <f t="shared" si="21"/>
        <v>0</v>
      </c>
      <c r="AP107" s="686">
        <f t="shared" si="21"/>
        <v>0</v>
      </c>
    </row>
    <row r="108" spans="1:42" hidden="1">
      <c r="A108" s="672"/>
      <c r="B108" s="675">
        <v>30</v>
      </c>
      <c r="C108" s="686">
        <f t="shared" si="18"/>
        <v>0</v>
      </c>
      <c r="D108" s="686">
        <f t="shared" si="21"/>
        <v>0</v>
      </c>
      <c r="E108" s="686">
        <f t="shared" si="21"/>
        <v>0</v>
      </c>
      <c r="F108" s="686">
        <f t="shared" si="21"/>
        <v>0</v>
      </c>
      <c r="G108" s="686">
        <f t="shared" si="21"/>
        <v>0</v>
      </c>
      <c r="H108" s="686">
        <f t="shared" si="21"/>
        <v>0</v>
      </c>
      <c r="I108" s="686">
        <f t="shared" si="21"/>
        <v>0</v>
      </c>
      <c r="J108" s="686">
        <f t="shared" si="21"/>
        <v>0</v>
      </c>
      <c r="K108" s="686">
        <f t="shared" si="21"/>
        <v>0</v>
      </c>
      <c r="L108" s="686">
        <f t="shared" si="21"/>
        <v>0</v>
      </c>
      <c r="M108" s="686">
        <f t="shared" si="21"/>
        <v>0</v>
      </c>
      <c r="N108" s="686">
        <f t="shared" si="21"/>
        <v>0</v>
      </c>
      <c r="O108" s="686">
        <f t="shared" si="21"/>
        <v>0</v>
      </c>
      <c r="P108" s="686">
        <f t="shared" si="21"/>
        <v>0</v>
      </c>
      <c r="Q108" s="686">
        <f t="shared" si="21"/>
        <v>0</v>
      </c>
      <c r="R108" s="686">
        <f t="shared" si="21"/>
        <v>0</v>
      </c>
      <c r="S108" s="686">
        <f t="shared" si="21"/>
        <v>0</v>
      </c>
      <c r="T108" s="686">
        <f t="shared" si="21"/>
        <v>0</v>
      </c>
      <c r="U108" s="686">
        <f t="shared" si="21"/>
        <v>0</v>
      </c>
      <c r="V108" s="686">
        <f t="shared" si="21"/>
        <v>0</v>
      </c>
      <c r="W108" s="686">
        <f t="shared" si="21"/>
        <v>0</v>
      </c>
      <c r="X108" s="686">
        <f t="shared" si="21"/>
        <v>0</v>
      </c>
      <c r="Y108" s="686">
        <f t="shared" si="21"/>
        <v>0</v>
      </c>
      <c r="Z108" s="686">
        <f t="shared" si="21"/>
        <v>0</v>
      </c>
      <c r="AA108" s="686">
        <f t="shared" si="21"/>
        <v>0</v>
      </c>
      <c r="AB108" s="686">
        <f t="shared" si="21"/>
        <v>0</v>
      </c>
      <c r="AC108" s="686">
        <f t="shared" si="21"/>
        <v>0</v>
      </c>
      <c r="AD108" s="686">
        <f t="shared" si="21"/>
        <v>0</v>
      </c>
      <c r="AE108" s="686">
        <f t="shared" si="21"/>
        <v>0</v>
      </c>
      <c r="AF108" s="686">
        <f t="shared" si="21"/>
        <v>0</v>
      </c>
      <c r="AG108" s="686">
        <f t="shared" si="21"/>
        <v>0</v>
      </c>
      <c r="AH108" s="686">
        <f t="shared" si="21"/>
        <v>0</v>
      </c>
      <c r="AI108" s="686">
        <f t="shared" si="21"/>
        <v>0</v>
      </c>
      <c r="AJ108" s="686">
        <f t="shared" si="21"/>
        <v>0</v>
      </c>
      <c r="AK108" s="686">
        <f t="shared" si="21"/>
        <v>0</v>
      </c>
      <c r="AL108" s="686">
        <f t="shared" si="21"/>
        <v>0</v>
      </c>
      <c r="AM108" s="686">
        <f t="shared" si="21"/>
        <v>0</v>
      </c>
      <c r="AN108" s="686">
        <f t="shared" si="21"/>
        <v>0</v>
      </c>
      <c r="AO108" s="686">
        <f t="shared" si="21"/>
        <v>0</v>
      </c>
      <c r="AP108" s="686">
        <f t="shared" si="21"/>
        <v>0</v>
      </c>
    </row>
    <row r="109" spans="1:42" hidden="1">
      <c r="A109" s="672"/>
      <c r="B109" s="676">
        <v>25</v>
      </c>
      <c r="C109" s="686">
        <f t="shared" si="18"/>
        <v>0</v>
      </c>
      <c r="D109" s="686">
        <f t="shared" si="21"/>
        <v>0</v>
      </c>
      <c r="E109" s="686">
        <f t="shared" si="21"/>
        <v>0</v>
      </c>
      <c r="F109" s="686">
        <f t="shared" si="21"/>
        <v>0</v>
      </c>
      <c r="G109" s="686">
        <f t="shared" si="21"/>
        <v>0</v>
      </c>
      <c r="H109" s="686">
        <f t="shared" si="21"/>
        <v>0</v>
      </c>
      <c r="I109" s="686">
        <f t="shared" si="21"/>
        <v>0</v>
      </c>
      <c r="J109" s="686">
        <f t="shared" si="21"/>
        <v>0</v>
      </c>
      <c r="K109" s="686">
        <f t="shared" si="21"/>
        <v>0</v>
      </c>
      <c r="L109" s="686">
        <f t="shared" si="21"/>
        <v>0</v>
      </c>
      <c r="M109" s="686">
        <f t="shared" si="21"/>
        <v>0</v>
      </c>
      <c r="N109" s="686">
        <f t="shared" si="21"/>
        <v>0</v>
      </c>
      <c r="O109" s="686">
        <f t="shared" si="21"/>
        <v>0</v>
      </c>
      <c r="P109" s="686">
        <f t="shared" si="21"/>
        <v>0</v>
      </c>
      <c r="Q109" s="686">
        <f t="shared" si="21"/>
        <v>0</v>
      </c>
      <c r="R109" s="686">
        <f t="shared" si="21"/>
        <v>0</v>
      </c>
      <c r="S109" s="686">
        <f t="shared" si="21"/>
        <v>0</v>
      </c>
      <c r="T109" s="686">
        <f t="shared" si="21"/>
        <v>0</v>
      </c>
      <c r="U109" s="686">
        <f t="shared" si="21"/>
        <v>0</v>
      </c>
      <c r="V109" s="686">
        <f t="shared" si="21"/>
        <v>0</v>
      </c>
      <c r="W109" s="686">
        <f t="shared" si="21"/>
        <v>0</v>
      </c>
      <c r="X109" s="686">
        <f t="shared" si="21"/>
        <v>0</v>
      </c>
      <c r="Y109" s="686">
        <f t="shared" si="21"/>
        <v>0</v>
      </c>
      <c r="Z109" s="686">
        <f t="shared" si="21"/>
        <v>0</v>
      </c>
      <c r="AA109" s="686">
        <f t="shared" si="21"/>
        <v>0</v>
      </c>
      <c r="AB109" s="686">
        <f t="shared" si="21"/>
        <v>0</v>
      </c>
      <c r="AC109" s="686">
        <f t="shared" si="21"/>
        <v>0</v>
      </c>
      <c r="AD109" s="686">
        <f t="shared" si="21"/>
        <v>0</v>
      </c>
      <c r="AE109" s="686">
        <f t="shared" si="21"/>
        <v>0</v>
      </c>
      <c r="AF109" s="686">
        <f t="shared" si="21"/>
        <v>0</v>
      </c>
      <c r="AG109" s="686">
        <f t="shared" si="21"/>
        <v>0</v>
      </c>
      <c r="AH109" s="686">
        <f t="shared" si="21"/>
        <v>0</v>
      </c>
      <c r="AI109" s="686">
        <f t="shared" si="21"/>
        <v>0</v>
      </c>
      <c r="AJ109" s="686">
        <f t="shared" si="21"/>
        <v>0</v>
      </c>
      <c r="AK109" s="686">
        <f t="shared" si="21"/>
        <v>0</v>
      </c>
      <c r="AL109" s="686">
        <f t="shared" si="21"/>
        <v>0</v>
      </c>
      <c r="AM109" s="686">
        <f t="shared" si="21"/>
        <v>0</v>
      </c>
      <c r="AN109" s="686">
        <f t="shared" si="21"/>
        <v>0</v>
      </c>
      <c r="AO109" s="686">
        <f t="shared" si="21"/>
        <v>0</v>
      </c>
      <c r="AP109" s="686">
        <f t="shared" si="21"/>
        <v>0</v>
      </c>
    </row>
    <row r="110" spans="1:42" hidden="1">
      <c r="A110" s="672"/>
      <c r="B110" s="675">
        <v>20</v>
      </c>
      <c r="C110" s="686">
        <f t="shared" si="18"/>
        <v>0</v>
      </c>
      <c r="D110" s="686">
        <f t="shared" si="21"/>
        <v>0</v>
      </c>
      <c r="E110" s="686">
        <f t="shared" si="21"/>
        <v>0</v>
      </c>
      <c r="F110" s="686">
        <f t="shared" si="21"/>
        <v>0</v>
      </c>
      <c r="G110" s="686">
        <f t="shared" si="21"/>
        <v>0</v>
      </c>
      <c r="H110" s="686">
        <f t="shared" si="21"/>
        <v>0</v>
      </c>
      <c r="I110" s="686">
        <f t="shared" si="21"/>
        <v>0</v>
      </c>
      <c r="J110" s="686">
        <f t="shared" si="21"/>
        <v>0</v>
      </c>
      <c r="K110" s="686">
        <f t="shared" si="21"/>
        <v>0</v>
      </c>
      <c r="L110" s="686">
        <f t="shared" si="21"/>
        <v>0</v>
      </c>
      <c r="M110" s="686">
        <f t="shared" si="21"/>
        <v>0</v>
      </c>
      <c r="N110" s="686">
        <f t="shared" si="21"/>
        <v>0</v>
      </c>
      <c r="O110" s="686">
        <f t="shared" si="21"/>
        <v>0</v>
      </c>
      <c r="P110" s="686">
        <f t="shared" si="21"/>
        <v>0</v>
      </c>
      <c r="Q110" s="686">
        <f t="shared" si="21"/>
        <v>0</v>
      </c>
      <c r="R110" s="686">
        <f t="shared" si="21"/>
        <v>0</v>
      </c>
      <c r="S110" s="686">
        <f t="shared" si="21"/>
        <v>0</v>
      </c>
      <c r="T110" s="686">
        <f t="shared" si="21"/>
        <v>0</v>
      </c>
      <c r="U110" s="686">
        <f t="shared" si="21"/>
        <v>0</v>
      </c>
      <c r="V110" s="686">
        <f t="shared" si="21"/>
        <v>0</v>
      </c>
      <c r="W110" s="686">
        <f t="shared" si="21"/>
        <v>0</v>
      </c>
      <c r="X110" s="686">
        <f t="shared" si="21"/>
        <v>0</v>
      </c>
      <c r="Y110" s="686">
        <f t="shared" si="21"/>
        <v>0</v>
      </c>
      <c r="Z110" s="686">
        <f t="shared" si="21"/>
        <v>0</v>
      </c>
      <c r="AA110" s="686">
        <f t="shared" si="21"/>
        <v>0</v>
      </c>
      <c r="AB110" s="686">
        <f t="shared" si="21"/>
        <v>0</v>
      </c>
      <c r="AC110" s="686">
        <f t="shared" si="21"/>
        <v>0</v>
      </c>
      <c r="AD110" s="686">
        <f t="shared" si="21"/>
        <v>0</v>
      </c>
      <c r="AE110" s="686">
        <f t="shared" si="21"/>
        <v>0</v>
      </c>
      <c r="AF110" s="686">
        <f t="shared" si="21"/>
        <v>0</v>
      </c>
      <c r="AG110" s="686">
        <f t="shared" si="21"/>
        <v>0</v>
      </c>
      <c r="AH110" s="686">
        <f t="shared" si="21"/>
        <v>0</v>
      </c>
      <c r="AI110" s="686">
        <f t="shared" si="21"/>
        <v>0</v>
      </c>
      <c r="AJ110" s="686">
        <f t="shared" si="21"/>
        <v>0</v>
      </c>
      <c r="AK110" s="686">
        <f t="shared" si="21"/>
        <v>0</v>
      </c>
      <c r="AL110" s="686">
        <f t="shared" si="21"/>
        <v>0</v>
      </c>
      <c r="AM110" s="686">
        <f t="shared" si="21"/>
        <v>0</v>
      </c>
      <c r="AN110" s="686">
        <f t="shared" si="21"/>
        <v>0</v>
      </c>
      <c r="AO110" s="686">
        <f t="shared" si="21"/>
        <v>0</v>
      </c>
      <c r="AP110" s="686">
        <f t="shared" si="21"/>
        <v>0</v>
      </c>
    </row>
    <row r="111" spans="1:42" hidden="1">
      <c r="A111" s="672"/>
      <c r="B111" s="676">
        <v>15</v>
      </c>
      <c r="C111" s="686">
        <f t="shared" si="18"/>
        <v>0</v>
      </c>
      <c r="D111" s="686">
        <f t="shared" si="21"/>
        <v>0</v>
      </c>
      <c r="E111" s="686">
        <f t="shared" si="21"/>
        <v>0</v>
      </c>
      <c r="F111" s="686">
        <f t="shared" si="21"/>
        <v>0</v>
      </c>
      <c r="G111" s="686">
        <f t="shared" si="21"/>
        <v>0</v>
      </c>
      <c r="H111" s="686">
        <f t="shared" si="21"/>
        <v>0</v>
      </c>
      <c r="I111" s="686">
        <f t="shared" si="21"/>
        <v>0</v>
      </c>
      <c r="J111" s="686">
        <f t="shared" si="21"/>
        <v>0</v>
      </c>
      <c r="K111" s="686">
        <f t="shared" si="21"/>
        <v>0</v>
      </c>
      <c r="L111" s="686">
        <f t="shared" si="21"/>
        <v>0</v>
      </c>
      <c r="M111" s="686">
        <f t="shared" si="21"/>
        <v>0</v>
      </c>
      <c r="N111" s="686">
        <f t="shared" si="21"/>
        <v>0</v>
      </c>
      <c r="O111" s="686">
        <f t="shared" si="21"/>
        <v>0</v>
      </c>
      <c r="P111" s="686">
        <f t="shared" si="21"/>
        <v>0</v>
      </c>
      <c r="Q111" s="686">
        <f t="shared" si="21"/>
        <v>0</v>
      </c>
      <c r="R111" s="686">
        <f t="shared" si="21"/>
        <v>0</v>
      </c>
      <c r="S111" s="686">
        <f t="shared" si="21"/>
        <v>0</v>
      </c>
      <c r="T111" s="686">
        <f t="shared" si="21"/>
        <v>0</v>
      </c>
      <c r="U111" s="686">
        <f t="shared" si="21"/>
        <v>0</v>
      </c>
      <c r="V111" s="686">
        <f t="shared" si="21"/>
        <v>0</v>
      </c>
      <c r="W111" s="686">
        <f t="shared" si="21"/>
        <v>0</v>
      </c>
      <c r="X111" s="686">
        <f t="shared" si="21"/>
        <v>0</v>
      </c>
      <c r="Y111" s="686">
        <f t="shared" si="21"/>
        <v>0</v>
      </c>
      <c r="Z111" s="686">
        <f t="shared" si="21"/>
        <v>0</v>
      </c>
      <c r="AA111" s="686">
        <f t="shared" si="21"/>
        <v>0</v>
      </c>
      <c r="AB111" s="686">
        <f t="shared" si="21"/>
        <v>0</v>
      </c>
      <c r="AC111" s="686">
        <f t="shared" si="21"/>
        <v>0</v>
      </c>
      <c r="AD111" s="686">
        <f t="shared" si="21"/>
        <v>0</v>
      </c>
      <c r="AE111" s="686">
        <f t="shared" si="21"/>
        <v>0</v>
      </c>
      <c r="AF111" s="686">
        <f t="shared" si="21"/>
        <v>0</v>
      </c>
      <c r="AG111" s="686">
        <f t="shared" si="21"/>
        <v>0</v>
      </c>
      <c r="AH111" s="686">
        <f t="shared" si="21"/>
        <v>0</v>
      </c>
      <c r="AI111" s="686">
        <f t="shared" si="21"/>
        <v>0</v>
      </c>
      <c r="AJ111" s="686">
        <f t="shared" si="21"/>
        <v>0</v>
      </c>
      <c r="AK111" s="686">
        <f t="shared" si="21"/>
        <v>0</v>
      </c>
      <c r="AL111" s="686">
        <f t="shared" si="21"/>
        <v>0</v>
      </c>
      <c r="AM111" s="686">
        <f t="shared" si="21"/>
        <v>0</v>
      </c>
      <c r="AN111" s="686">
        <f t="shared" si="21"/>
        <v>0</v>
      </c>
      <c r="AO111" s="686">
        <f t="shared" si="21"/>
        <v>0</v>
      </c>
      <c r="AP111" s="686">
        <f t="shared" si="21"/>
        <v>0</v>
      </c>
    </row>
    <row r="112" spans="1:42" hidden="1">
      <c r="A112" s="672"/>
      <c r="B112" s="675">
        <v>10</v>
      </c>
      <c r="C112" s="686">
        <f>IF(C70=1,C26,0)</f>
        <v>0</v>
      </c>
      <c r="D112" s="686">
        <f t="shared" ref="D112:AP112" si="22">IF(D70=1,D26,0)</f>
        <v>0</v>
      </c>
      <c r="E112" s="686">
        <f t="shared" si="22"/>
        <v>0</v>
      </c>
      <c r="F112" s="686">
        <f t="shared" si="22"/>
        <v>0</v>
      </c>
      <c r="G112" s="686">
        <f t="shared" si="22"/>
        <v>0</v>
      </c>
      <c r="H112" s="686">
        <f t="shared" si="22"/>
        <v>0</v>
      </c>
      <c r="I112" s="686">
        <f t="shared" si="22"/>
        <v>0</v>
      </c>
      <c r="J112" s="686">
        <f t="shared" si="22"/>
        <v>0</v>
      </c>
      <c r="K112" s="686">
        <f t="shared" si="22"/>
        <v>0</v>
      </c>
      <c r="L112" s="686">
        <f t="shared" si="22"/>
        <v>0</v>
      </c>
      <c r="M112" s="686">
        <f t="shared" si="22"/>
        <v>0</v>
      </c>
      <c r="N112" s="686">
        <f t="shared" si="22"/>
        <v>0</v>
      </c>
      <c r="O112" s="686">
        <f t="shared" si="22"/>
        <v>0</v>
      </c>
      <c r="P112" s="686">
        <f t="shared" si="22"/>
        <v>0</v>
      </c>
      <c r="Q112" s="686">
        <f t="shared" si="22"/>
        <v>0</v>
      </c>
      <c r="R112" s="686">
        <f t="shared" si="22"/>
        <v>0</v>
      </c>
      <c r="S112" s="686">
        <f t="shared" si="22"/>
        <v>0</v>
      </c>
      <c r="T112" s="686">
        <f t="shared" si="22"/>
        <v>0</v>
      </c>
      <c r="U112" s="686">
        <f t="shared" si="22"/>
        <v>0</v>
      </c>
      <c r="V112" s="686">
        <f t="shared" si="22"/>
        <v>0</v>
      </c>
      <c r="W112" s="686">
        <f t="shared" si="22"/>
        <v>0</v>
      </c>
      <c r="X112" s="686">
        <f t="shared" si="22"/>
        <v>0</v>
      </c>
      <c r="Y112" s="686">
        <f t="shared" si="22"/>
        <v>0</v>
      </c>
      <c r="Z112" s="686">
        <f t="shared" si="22"/>
        <v>0</v>
      </c>
      <c r="AA112" s="686">
        <f t="shared" si="22"/>
        <v>0</v>
      </c>
      <c r="AB112" s="686">
        <f t="shared" si="22"/>
        <v>0</v>
      </c>
      <c r="AC112" s="686">
        <f t="shared" si="22"/>
        <v>0</v>
      </c>
      <c r="AD112" s="686">
        <f t="shared" si="22"/>
        <v>0</v>
      </c>
      <c r="AE112" s="686">
        <f t="shared" si="22"/>
        <v>0</v>
      </c>
      <c r="AF112" s="686">
        <f t="shared" si="22"/>
        <v>0</v>
      </c>
      <c r="AG112" s="686">
        <f t="shared" si="22"/>
        <v>0</v>
      </c>
      <c r="AH112" s="686">
        <f t="shared" si="22"/>
        <v>0</v>
      </c>
      <c r="AI112" s="686">
        <f t="shared" si="22"/>
        <v>0</v>
      </c>
      <c r="AJ112" s="686">
        <f t="shared" si="22"/>
        <v>0</v>
      </c>
      <c r="AK112" s="686">
        <f t="shared" si="22"/>
        <v>0</v>
      </c>
      <c r="AL112" s="686">
        <f t="shared" si="22"/>
        <v>0</v>
      </c>
      <c r="AM112" s="686">
        <f t="shared" si="22"/>
        <v>0</v>
      </c>
      <c r="AN112" s="686">
        <f t="shared" si="22"/>
        <v>0</v>
      </c>
      <c r="AO112" s="686">
        <f t="shared" si="22"/>
        <v>0</v>
      </c>
      <c r="AP112" s="686">
        <f t="shared" si="22"/>
        <v>0</v>
      </c>
    </row>
    <row r="113" spans="1:42" hidden="1">
      <c r="A113" s="672"/>
      <c r="B113" s="677"/>
      <c r="C113" s="681">
        <f>SUM(C94:C112)</f>
        <v>0</v>
      </c>
      <c r="D113" s="681">
        <f t="shared" ref="D113:AP113" si="23">SUM(D94:D112)</f>
        <v>0</v>
      </c>
      <c r="E113" s="681">
        <f t="shared" si="23"/>
        <v>0</v>
      </c>
      <c r="F113" s="681">
        <f t="shared" si="23"/>
        <v>0</v>
      </c>
      <c r="G113" s="681">
        <f t="shared" si="23"/>
        <v>0</v>
      </c>
      <c r="H113" s="681">
        <f t="shared" si="23"/>
        <v>0</v>
      </c>
      <c r="I113" s="681">
        <f t="shared" si="23"/>
        <v>0</v>
      </c>
      <c r="J113" s="681">
        <f t="shared" si="23"/>
        <v>0</v>
      </c>
      <c r="K113" s="681">
        <f t="shared" si="23"/>
        <v>0</v>
      </c>
      <c r="L113" s="681">
        <f t="shared" si="23"/>
        <v>0</v>
      </c>
      <c r="M113" s="681">
        <f t="shared" si="23"/>
        <v>0</v>
      </c>
      <c r="N113" s="681">
        <f t="shared" si="23"/>
        <v>0</v>
      </c>
      <c r="O113" s="681">
        <f t="shared" si="23"/>
        <v>0</v>
      </c>
      <c r="P113" s="681">
        <f t="shared" si="23"/>
        <v>0</v>
      </c>
      <c r="Q113" s="681">
        <f t="shared" si="23"/>
        <v>0</v>
      </c>
      <c r="R113" s="681">
        <f t="shared" si="23"/>
        <v>0</v>
      </c>
      <c r="S113" s="681">
        <f t="shared" si="23"/>
        <v>0</v>
      </c>
      <c r="T113" s="681">
        <f t="shared" si="23"/>
        <v>0</v>
      </c>
      <c r="U113" s="681">
        <f t="shared" si="23"/>
        <v>0</v>
      </c>
      <c r="V113" s="681">
        <f t="shared" si="23"/>
        <v>0</v>
      </c>
      <c r="W113" s="681">
        <f t="shared" si="23"/>
        <v>0</v>
      </c>
      <c r="X113" s="681">
        <f t="shared" si="23"/>
        <v>0</v>
      </c>
      <c r="Y113" s="681">
        <f t="shared" si="23"/>
        <v>0</v>
      </c>
      <c r="Z113" s="681">
        <f t="shared" si="23"/>
        <v>0</v>
      </c>
      <c r="AA113" s="681">
        <f t="shared" si="23"/>
        <v>0</v>
      </c>
      <c r="AB113" s="681">
        <f t="shared" si="23"/>
        <v>0</v>
      </c>
      <c r="AC113" s="681">
        <f t="shared" si="23"/>
        <v>0</v>
      </c>
      <c r="AD113" s="681">
        <f t="shared" si="23"/>
        <v>0</v>
      </c>
      <c r="AE113" s="681">
        <f t="shared" si="23"/>
        <v>0</v>
      </c>
      <c r="AF113" s="681">
        <f t="shared" si="23"/>
        <v>0</v>
      </c>
      <c r="AG113" s="681">
        <f t="shared" si="23"/>
        <v>0</v>
      </c>
      <c r="AH113" s="681">
        <f t="shared" si="23"/>
        <v>0</v>
      </c>
      <c r="AI113" s="681">
        <f t="shared" si="23"/>
        <v>0</v>
      </c>
      <c r="AJ113" s="681">
        <f t="shared" si="23"/>
        <v>0</v>
      </c>
      <c r="AK113" s="681">
        <f t="shared" si="23"/>
        <v>0</v>
      </c>
      <c r="AL113" s="681">
        <f t="shared" si="23"/>
        <v>0</v>
      </c>
      <c r="AM113" s="681">
        <f t="shared" si="23"/>
        <v>0</v>
      </c>
      <c r="AN113" s="681">
        <f t="shared" si="23"/>
        <v>0</v>
      </c>
      <c r="AO113" s="681">
        <f t="shared" si="23"/>
        <v>0</v>
      </c>
      <c r="AP113" s="681">
        <f t="shared" si="23"/>
        <v>0</v>
      </c>
    </row>
    <row r="114" spans="1:42" hidden="1">
      <c r="A114" s="672"/>
      <c r="B114" s="677"/>
      <c r="C114" s="680"/>
      <c r="D114" s="680"/>
      <c r="E114" s="680"/>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c r="AI114" s="680"/>
      <c r="AJ114" s="680"/>
      <c r="AK114" s="680"/>
      <c r="AL114" s="680"/>
      <c r="AM114" s="680"/>
      <c r="AN114" s="680"/>
      <c r="AO114" s="680"/>
      <c r="AP114" s="680"/>
    </row>
    <row r="115" spans="1:42" ht="24">
      <c r="A115" s="672" t="s">
        <v>894</v>
      </c>
      <c r="B115" s="677" t="s">
        <v>895</v>
      </c>
      <c r="C115" s="681">
        <f>C92</f>
        <v>50</v>
      </c>
      <c r="D115" s="681">
        <f t="shared" ref="D115:AP115" si="24">D92</f>
        <v>50</v>
      </c>
      <c r="E115" s="681">
        <f t="shared" si="24"/>
        <v>50</v>
      </c>
      <c r="F115" s="681">
        <f t="shared" si="24"/>
        <v>0</v>
      </c>
      <c r="G115" s="681">
        <f t="shared" si="24"/>
        <v>0</v>
      </c>
      <c r="H115" s="681">
        <f t="shared" si="24"/>
        <v>0</v>
      </c>
      <c r="I115" s="681">
        <f t="shared" si="24"/>
        <v>50</v>
      </c>
      <c r="J115" s="681">
        <f t="shared" si="24"/>
        <v>49</v>
      </c>
      <c r="K115" s="681">
        <f t="shared" si="24"/>
        <v>48</v>
      </c>
      <c r="L115" s="681">
        <f t="shared" si="24"/>
        <v>48</v>
      </c>
      <c r="M115" s="681">
        <f t="shared" si="24"/>
        <v>48</v>
      </c>
      <c r="N115" s="681">
        <f t="shared" si="24"/>
        <v>0</v>
      </c>
      <c r="O115" s="681">
        <f t="shared" si="24"/>
        <v>0</v>
      </c>
      <c r="P115" s="681">
        <f t="shared" si="24"/>
        <v>0</v>
      </c>
      <c r="Q115" s="681">
        <f t="shared" si="24"/>
        <v>49</v>
      </c>
      <c r="R115" s="681">
        <f t="shared" si="24"/>
        <v>50</v>
      </c>
      <c r="S115" s="681">
        <f t="shared" si="24"/>
        <v>0</v>
      </c>
      <c r="T115" s="681">
        <f t="shared" si="24"/>
        <v>0</v>
      </c>
      <c r="U115" s="681">
        <f t="shared" si="24"/>
        <v>0</v>
      </c>
      <c r="V115" s="681">
        <f t="shared" si="24"/>
        <v>0</v>
      </c>
      <c r="W115" s="681">
        <f t="shared" si="24"/>
        <v>1</v>
      </c>
      <c r="X115" s="681">
        <f t="shared" si="24"/>
        <v>0</v>
      </c>
      <c r="Y115" s="681">
        <f t="shared" si="24"/>
        <v>49</v>
      </c>
      <c r="Z115" s="681">
        <f t="shared" si="24"/>
        <v>49</v>
      </c>
      <c r="AA115" s="681">
        <f t="shared" si="24"/>
        <v>49</v>
      </c>
      <c r="AB115" s="681">
        <f t="shared" si="24"/>
        <v>49</v>
      </c>
      <c r="AC115" s="681">
        <f t="shared" si="24"/>
        <v>0</v>
      </c>
      <c r="AD115" s="681">
        <f t="shared" si="24"/>
        <v>0</v>
      </c>
      <c r="AE115" s="681">
        <f t="shared" si="24"/>
        <v>49</v>
      </c>
      <c r="AF115" s="681">
        <f t="shared" si="24"/>
        <v>49</v>
      </c>
      <c r="AG115" s="681">
        <f t="shared" si="24"/>
        <v>49</v>
      </c>
      <c r="AH115" s="681">
        <f t="shared" si="24"/>
        <v>0</v>
      </c>
      <c r="AI115" s="681">
        <f t="shared" si="24"/>
        <v>0</v>
      </c>
      <c r="AJ115" s="681">
        <f t="shared" si="24"/>
        <v>0</v>
      </c>
      <c r="AK115" s="681">
        <f t="shared" si="24"/>
        <v>50</v>
      </c>
      <c r="AL115" s="681">
        <f t="shared" si="24"/>
        <v>50</v>
      </c>
      <c r="AM115" s="681">
        <f t="shared" si="24"/>
        <v>50</v>
      </c>
      <c r="AN115" s="681">
        <f t="shared" si="24"/>
        <v>0</v>
      </c>
      <c r="AO115" s="681">
        <f t="shared" si="24"/>
        <v>0</v>
      </c>
      <c r="AP115" s="681">
        <f t="shared" si="24"/>
        <v>0</v>
      </c>
    </row>
    <row r="116" spans="1:42" ht="24">
      <c r="A116" s="672" t="s">
        <v>896</v>
      </c>
      <c r="B116" s="677" t="s">
        <v>897</v>
      </c>
      <c r="C116" s="690">
        <f>C27-C115-C117</f>
        <v>0</v>
      </c>
      <c r="D116" s="690">
        <f t="shared" ref="D116:AP116" si="25">D27-D115-D117</f>
        <v>0</v>
      </c>
      <c r="E116" s="690">
        <f t="shared" si="25"/>
        <v>0</v>
      </c>
      <c r="F116" s="690">
        <f t="shared" si="25"/>
        <v>0</v>
      </c>
      <c r="G116" s="690">
        <f t="shared" si="25"/>
        <v>0</v>
      </c>
      <c r="H116" s="690">
        <f t="shared" si="25"/>
        <v>0</v>
      </c>
      <c r="I116" s="690">
        <f t="shared" si="25"/>
        <v>0</v>
      </c>
      <c r="J116" s="690">
        <f t="shared" si="25"/>
        <v>1</v>
      </c>
      <c r="K116" s="690">
        <f t="shared" si="25"/>
        <v>0</v>
      </c>
      <c r="L116" s="690">
        <f t="shared" si="25"/>
        <v>0</v>
      </c>
      <c r="M116" s="690">
        <f t="shared" si="25"/>
        <v>0</v>
      </c>
      <c r="N116" s="690">
        <f t="shared" si="25"/>
        <v>0</v>
      </c>
      <c r="O116" s="690">
        <f t="shared" si="25"/>
        <v>0</v>
      </c>
      <c r="P116" s="690">
        <f t="shared" si="25"/>
        <v>0</v>
      </c>
      <c r="Q116" s="690">
        <f t="shared" si="25"/>
        <v>1</v>
      </c>
      <c r="R116" s="690">
        <f t="shared" si="25"/>
        <v>0</v>
      </c>
      <c r="S116" s="690">
        <f t="shared" si="25"/>
        <v>0</v>
      </c>
      <c r="T116" s="690">
        <f t="shared" si="25"/>
        <v>0</v>
      </c>
      <c r="U116" s="690">
        <f t="shared" si="25"/>
        <v>0</v>
      </c>
      <c r="V116" s="690">
        <f t="shared" si="25"/>
        <v>0</v>
      </c>
      <c r="W116" s="690">
        <f t="shared" si="25"/>
        <v>0</v>
      </c>
      <c r="X116" s="690">
        <f t="shared" si="25"/>
        <v>0</v>
      </c>
      <c r="Y116" s="690">
        <f t="shared" si="25"/>
        <v>0</v>
      </c>
      <c r="Z116" s="690">
        <f t="shared" si="25"/>
        <v>0</v>
      </c>
      <c r="AA116" s="690">
        <f t="shared" si="25"/>
        <v>0</v>
      </c>
      <c r="AB116" s="690">
        <f t="shared" si="25"/>
        <v>0</v>
      </c>
      <c r="AC116" s="690">
        <f t="shared" si="25"/>
        <v>0</v>
      </c>
      <c r="AD116" s="690">
        <f t="shared" si="25"/>
        <v>0</v>
      </c>
      <c r="AE116" s="690">
        <f t="shared" si="25"/>
        <v>0</v>
      </c>
      <c r="AF116" s="690">
        <f t="shared" si="25"/>
        <v>0</v>
      </c>
      <c r="AG116" s="690">
        <f t="shared" si="25"/>
        <v>0</v>
      </c>
      <c r="AH116" s="690">
        <f t="shared" si="25"/>
        <v>0</v>
      </c>
      <c r="AI116" s="690">
        <f t="shared" si="25"/>
        <v>0</v>
      </c>
      <c r="AJ116" s="690">
        <f t="shared" si="25"/>
        <v>0</v>
      </c>
      <c r="AK116" s="690">
        <f t="shared" si="25"/>
        <v>0</v>
      </c>
      <c r="AL116" s="690">
        <f t="shared" si="25"/>
        <v>0</v>
      </c>
      <c r="AM116" s="690">
        <f t="shared" si="25"/>
        <v>0</v>
      </c>
      <c r="AN116" s="690">
        <f t="shared" si="25"/>
        <v>0</v>
      </c>
      <c r="AO116" s="690">
        <f t="shared" si="25"/>
        <v>0</v>
      </c>
      <c r="AP116" s="690">
        <f t="shared" si="25"/>
        <v>0</v>
      </c>
    </row>
    <row r="117" spans="1:42" ht="24">
      <c r="A117" s="672" t="s">
        <v>898</v>
      </c>
      <c r="B117" s="677" t="s">
        <v>899</v>
      </c>
      <c r="C117" s="690">
        <f>C113</f>
        <v>0</v>
      </c>
      <c r="D117" s="690">
        <f t="shared" ref="D117:AP117" si="26">D113</f>
        <v>0</v>
      </c>
      <c r="E117" s="690">
        <f t="shared" si="26"/>
        <v>0</v>
      </c>
      <c r="F117" s="690">
        <f t="shared" si="26"/>
        <v>0</v>
      </c>
      <c r="G117" s="690">
        <f t="shared" si="26"/>
        <v>0</v>
      </c>
      <c r="H117" s="690">
        <f t="shared" si="26"/>
        <v>0</v>
      </c>
      <c r="I117" s="690">
        <f t="shared" si="26"/>
        <v>0</v>
      </c>
      <c r="J117" s="690">
        <f t="shared" si="26"/>
        <v>0</v>
      </c>
      <c r="K117" s="690">
        <f t="shared" si="26"/>
        <v>0</v>
      </c>
      <c r="L117" s="690">
        <f t="shared" si="26"/>
        <v>0</v>
      </c>
      <c r="M117" s="690">
        <f t="shared" si="26"/>
        <v>0</v>
      </c>
      <c r="N117" s="690">
        <f t="shared" si="26"/>
        <v>0</v>
      </c>
      <c r="O117" s="690">
        <f t="shared" si="26"/>
        <v>0</v>
      </c>
      <c r="P117" s="690">
        <f t="shared" si="26"/>
        <v>0</v>
      </c>
      <c r="Q117" s="690">
        <f t="shared" si="26"/>
        <v>0</v>
      </c>
      <c r="R117" s="690">
        <f t="shared" si="26"/>
        <v>0</v>
      </c>
      <c r="S117" s="690">
        <f t="shared" si="26"/>
        <v>0</v>
      </c>
      <c r="T117" s="690">
        <f t="shared" si="26"/>
        <v>0</v>
      </c>
      <c r="U117" s="690">
        <f t="shared" si="26"/>
        <v>0</v>
      </c>
      <c r="V117" s="690">
        <f t="shared" si="26"/>
        <v>0</v>
      </c>
      <c r="W117" s="690">
        <f t="shared" si="26"/>
        <v>0</v>
      </c>
      <c r="X117" s="690">
        <f t="shared" si="26"/>
        <v>0</v>
      </c>
      <c r="Y117" s="690">
        <f t="shared" si="26"/>
        <v>0</v>
      </c>
      <c r="Z117" s="690">
        <f t="shared" si="26"/>
        <v>0</v>
      </c>
      <c r="AA117" s="690">
        <f t="shared" si="26"/>
        <v>0</v>
      </c>
      <c r="AB117" s="690">
        <f t="shared" si="26"/>
        <v>0</v>
      </c>
      <c r="AC117" s="690">
        <f t="shared" si="26"/>
        <v>0</v>
      </c>
      <c r="AD117" s="690">
        <f t="shared" si="26"/>
        <v>0</v>
      </c>
      <c r="AE117" s="690">
        <f t="shared" si="26"/>
        <v>0</v>
      </c>
      <c r="AF117" s="690">
        <f t="shared" si="26"/>
        <v>0</v>
      </c>
      <c r="AG117" s="690">
        <f t="shared" si="26"/>
        <v>0</v>
      </c>
      <c r="AH117" s="690">
        <f t="shared" si="26"/>
        <v>0</v>
      </c>
      <c r="AI117" s="690">
        <f t="shared" si="26"/>
        <v>0</v>
      </c>
      <c r="AJ117" s="690">
        <f t="shared" si="26"/>
        <v>0</v>
      </c>
      <c r="AK117" s="690">
        <f t="shared" si="26"/>
        <v>0</v>
      </c>
      <c r="AL117" s="690">
        <f t="shared" si="26"/>
        <v>0</v>
      </c>
      <c r="AM117" s="690">
        <f t="shared" si="26"/>
        <v>0</v>
      </c>
      <c r="AN117" s="690">
        <f t="shared" si="26"/>
        <v>0</v>
      </c>
      <c r="AO117" s="690">
        <f t="shared" si="26"/>
        <v>0</v>
      </c>
      <c r="AP117" s="690">
        <f t="shared" si="26"/>
        <v>0</v>
      </c>
    </row>
    <row r="118" spans="1:42" ht="24">
      <c r="A118" s="672" t="s">
        <v>900</v>
      </c>
      <c r="B118" s="677" t="s">
        <v>901</v>
      </c>
      <c r="C118" s="687" t="s">
        <v>902</v>
      </c>
      <c r="D118" s="687" t="s">
        <v>902</v>
      </c>
      <c r="E118" s="687" t="s">
        <v>902</v>
      </c>
      <c r="F118" s="687" t="s">
        <v>902</v>
      </c>
      <c r="G118" s="687" t="s">
        <v>902</v>
      </c>
      <c r="H118" s="687" t="s">
        <v>902</v>
      </c>
      <c r="I118" s="687" t="s">
        <v>902</v>
      </c>
      <c r="J118" s="687" t="s">
        <v>902</v>
      </c>
      <c r="K118" s="687" t="s">
        <v>902</v>
      </c>
      <c r="L118" s="687" t="s">
        <v>902</v>
      </c>
      <c r="M118" s="687" t="s">
        <v>902</v>
      </c>
      <c r="N118" s="687" t="s">
        <v>902</v>
      </c>
      <c r="O118" s="687" t="s">
        <v>902</v>
      </c>
      <c r="P118" s="687" t="s">
        <v>902</v>
      </c>
      <c r="Q118" s="687" t="s">
        <v>902</v>
      </c>
      <c r="R118" s="687" t="s">
        <v>902</v>
      </c>
      <c r="S118" s="687" t="s">
        <v>902</v>
      </c>
      <c r="T118" s="687" t="s">
        <v>902</v>
      </c>
      <c r="U118" s="687" t="s">
        <v>902</v>
      </c>
      <c r="V118" s="687" t="s">
        <v>902</v>
      </c>
      <c r="W118" s="687" t="s">
        <v>902</v>
      </c>
      <c r="X118" s="687" t="s">
        <v>902</v>
      </c>
      <c r="Y118" s="687" t="s">
        <v>902</v>
      </c>
      <c r="Z118" s="687" t="s">
        <v>902</v>
      </c>
      <c r="AA118" s="687" t="s">
        <v>902</v>
      </c>
      <c r="AB118" s="687" t="s">
        <v>902</v>
      </c>
      <c r="AC118" s="687" t="s">
        <v>902</v>
      </c>
      <c r="AD118" s="687" t="s">
        <v>902</v>
      </c>
      <c r="AE118" s="687" t="s">
        <v>902</v>
      </c>
      <c r="AF118" s="687" t="s">
        <v>902</v>
      </c>
      <c r="AG118" s="687" t="s">
        <v>902</v>
      </c>
      <c r="AH118" s="687" t="s">
        <v>902</v>
      </c>
      <c r="AI118" s="687" t="s">
        <v>902</v>
      </c>
      <c r="AJ118" s="687" t="s">
        <v>902</v>
      </c>
      <c r="AK118" s="687" t="s">
        <v>902</v>
      </c>
      <c r="AL118" s="687" t="s">
        <v>902</v>
      </c>
      <c r="AM118" s="687" t="s">
        <v>902</v>
      </c>
      <c r="AN118" s="687" t="s">
        <v>902</v>
      </c>
      <c r="AO118" s="687" t="s">
        <v>902</v>
      </c>
      <c r="AP118" s="687" t="s">
        <v>902</v>
      </c>
    </row>
    <row r="120" spans="1:42">
      <c r="C120" s="1013" t="s">
        <v>244</v>
      </c>
      <c r="D120" s="1013"/>
      <c r="E120" s="1013"/>
      <c r="F120" s="1013"/>
      <c r="G120" s="1013"/>
      <c r="H120" s="1013"/>
      <c r="I120" s="1013"/>
      <c r="J120" s="1013"/>
      <c r="K120" s="1013"/>
      <c r="AC120" s="1013" t="str">
        <f>DEPAN!E22</f>
        <v>Lumajang, 15 Juni 2019</v>
      </c>
      <c r="AD120" s="1013"/>
      <c r="AE120" s="1013"/>
      <c r="AF120" s="1013"/>
      <c r="AG120" s="1013"/>
      <c r="AH120" s="1013"/>
      <c r="AI120" s="1013"/>
      <c r="AJ120" s="1013"/>
      <c r="AK120" s="1013"/>
    </row>
    <row r="121" spans="1:42">
      <c r="C121" s="1013" t="str">
        <f>CONCATENATE("Kepala ",DEPAN!E10)</f>
        <v>Kepala SDN UJUNG ASPAL 01</v>
      </c>
      <c r="D121" s="1013"/>
      <c r="E121" s="1013"/>
      <c r="F121" s="1013"/>
      <c r="G121" s="1013"/>
      <c r="H121" s="1013"/>
      <c r="I121" s="1013"/>
      <c r="J121" s="1013"/>
      <c r="K121" s="1013"/>
      <c r="AC121" s="1013" t="str">
        <f>CONCATENATE("Guru Kelas ",DEPAN!E14)</f>
        <v>Guru Kelas 4 (Empat)</v>
      </c>
      <c r="AD121" s="1013"/>
      <c r="AE121" s="1013"/>
      <c r="AF121" s="1013"/>
      <c r="AG121" s="1013"/>
      <c r="AH121" s="1013"/>
      <c r="AI121" s="1013"/>
      <c r="AJ121" s="1013"/>
      <c r="AK121" s="1013"/>
    </row>
    <row r="130" spans="3:37">
      <c r="C130" s="1015" t="str">
        <f>DEPAN!E12</f>
        <v>H. SAMSUDIN,M.Pd</v>
      </c>
      <c r="D130" s="1015"/>
      <c r="E130" s="1015"/>
      <c r="F130" s="1015"/>
      <c r="G130" s="1015"/>
      <c r="H130" s="1015"/>
      <c r="I130" s="1015"/>
      <c r="J130" s="1015"/>
      <c r="K130" s="1015"/>
      <c r="AC130" s="1015" t="str">
        <f>DEPAN!E16</f>
        <v>SITI PONIMAH,M.Pd</v>
      </c>
      <c r="AD130" s="1015"/>
      <c r="AE130" s="1015"/>
      <c r="AF130" s="1015"/>
      <c r="AG130" s="1015"/>
      <c r="AH130" s="1015"/>
      <c r="AI130" s="1015"/>
      <c r="AJ130" s="1015"/>
      <c r="AK130" s="1015"/>
    </row>
    <row r="131" spans="3:37">
      <c r="C131" s="1016" t="str">
        <f>CONCATENATE("NIP. ",DEPAN!E13)</f>
        <v>NIP. 19921233 198777 1 336</v>
      </c>
      <c r="D131" s="1016"/>
      <c r="E131" s="1016"/>
      <c r="F131" s="1016"/>
      <c r="G131" s="1016"/>
      <c r="H131" s="1016"/>
      <c r="I131" s="1016"/>
      <c r="J131" s="1016"/>
      <c r="K131" s="1016"/>
      <c r="AC131" s="1016" t="str">
        <f>CONCATENATE("NIP. ",DEPAN!E17)</f>
        <v>NIP. 19616566 201808 2 033</v>
      </c>
      <c r="AD131" s="1016"/>
      <c r="AE131" s="1016"/>
      <c r="AF131" s="1016"/>
      <c r="AG131" s="1016"/>
      <c r="AH131" s="1016"/>
      <c r="AI131" s="1016"/>
      <c r="AJ131" s="1016"/>
      <c r="AK131" s="1016"/>
    </row>
  </sheetData>
  <mergeCells count="21">
    <mergeCell ref="Y6:AD6"/>
    <mergeCell ref="AE6:AJ6"/>
    <mergeCell ref="AK6:AP6"/>
    <mergeCell ref="C1:AP1"/>
    <mergeCell ref="C2:AP2"/>
    <mergeCell ref="C3:AP3"/>
    <mergeCell ref="C4:AP4"/>
    <mergeCell ref="Q6:X6"/>
    <mergeCell ref="A5:B5"/>
    <mergeCell ref="A6:A7"/>
    <mergeCell ref="B6:B7"/>
    <mergeCell ref="C6:H6"/>
    <mergeCell ref="I6:P6"/>
    <mergeCell ref="C120:K120"/>
    <mergeCell ref="C121:K121"/>
    <mergeCell ref="C130:K130"/>
    <mergeCell ref="C131:K131"/>
    <mergeCell ref="AC120:AK120"/>
    <mergeCell ref="AC121:AK121"/>
    <mergeCell ref="AC130:AK130"/>
    <mergeCell ref="AC131:AK131"/>
  </mergeCells>
  <pageMargins left="0.37" right="0.44" top="0.35" bottom="0.28000000000000003" header="0.3" footer="0.3"/>
  <pageSetup paperSize="5" scale="70" orientation="landscape" horizontalDpi="4294967293" verticalDpi="0" r:id="rId1"/>
  <colBreaks count="1" manualBreakCount="1">
    <brk id="42" max="1048575" man="1"/>
  </colBreak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W131"/>
  <sheetViews>
    <sheetView view="pageBreakPreview" zoomScale="80" zoomScaleNormal="70" zoomScaleSheetLayoutView="80" workbookViewId="0"/>
  </sheetViews>
  <sheetFormatPr defaultRowHeight="15"/>
  <cols>
    <col min="1" max="1" width="5.5703125" customWidth="1"/>
    <col min="2" max="2" width="29.140625" customWidth="1"/>
    <col min="3" max="41" width="4.85546875" customWidth="1"/>
    <col min="42" max="42" width="4.7109375" customWidth="1"/>
  </cols>
  <sheetData>
    <row r="1" spans="1:75" ht="18">
      <c r="A1" s="667"/>
      <c r="B1" s="667"/>
      <c r="C1" s="1516" t="s">
        <v>861</v>
      </c>
      <c r="D1" s="1516"/>
      <c r="E1" s="1516"/>
      <c r="F1" s="1516"/>
      <c r="G1" s="1516"/>
      <c r="H1" s="1516"/>
      <c r="I1" s="1516"/>
      <c r="J1" s="1516"/>
      <c r="K1" s="1516"/>
      <c r="L1" s="1516"/>
      <c r="M1" s="1516"/>
      <c r="N1" s="1516"/>
      <c r="O1" s="1516"/>
      <c r="P1" s="1516"/>
      <c r="Q1" s="1516"/>
      <c r="R1" s="1516"/>
      <c r="S1" s="1516"/>
      <c r="T1" s="1516"/>
      <c r="U1" s="1516"/>
      <c r="V1" s="1516"/>
      <c r="W1" s="1516"/>
      <c r="X1" s="1516"/>
      <c r="Y1" s="1516"/>
      <c r="Z1" s="1516"/>
      <c r="AA1" s="1516"/>
      <c r="AB1" s="1516"/>
      <c r="AC1" s="1516"/>
      <c r="AD1" s="1516"/>
      <c r="AE1" s="1516"/>
      <c r="AF1" s="1516"/>
      <c r="AG1" s="1516"/>
      <c r="AH1" s="1516"/>
      <c r="AI1" s="1516"/>
      <c r="AJ1" s="1516"/>
      <c r="AK1" s="1516"/>
      <c r="AL1" s="1516"/>
      <c r="AM1" s="1516"/>
      <c r="AN1" s="1516"/>
      <c r="AO1" s="1516"/>
      <c r="AP1" s="668"/>
      <c r="AQ1" s="668"/>
    </row>
    <row r="2" spans="1:75" ht="18.75">
      <c r="A2" s="669"/>
      <c r="B2" s="669"/>
      <c r="C2" s="1516" t="s">
        <v>864</v>
      </c>
      <c r="D2" s="1516"/>
      <c r="E2" s="1516"/>
      <c r="F2" s="1516"/>
      <c r="G2" s="1516"/>
      <c r="H2" s="1516"/>
      <c r="I2" s="1516"/>
      <c r="J2" s="1516"/>
      <c r="K2" s="1516"/>
      <c r="L2" s="1516"/>
      <c r="M2" s="1516"/>
      <c r="N2" s="1516"/>
      <c r="O2" s="1516"/>
      <c r="P2" s="1516"/>
      <c r="Q2" s="1516"/>
      <c r="R2" s="1516"/>
      <c r="S2" s="1516"/>
      <c r="T2" s="1516"/>
      <c r="U2" s="1516"/>
      <c r="V2" s="1516"/>
      <c r="W2" s="1516"/>
      <c r="X2" s="1516"/>
      <c r="Y2" s="1516"/>
      <c r="Z2" s="1516"/>
      <c r="AA2" s="1516"/>
      <c r="AB2" s="1516"/>
      <c r="AC2" s="1516"/>
      <c r="AD2" s="1516"/>
      <c r="AE2" s="1516"/>
      <c r="AF2" s="1516"/>
      <c r="AG2" s="1516"/>
      <c r="AH2" s="1516"/>
      <c r="AI2" s="1516"/>
      <c r="AJ2" s="1516"/>
      <c r="AK2" s="1516"/>
      <c r="AL2" s="1516"/>
      <c r="AM2" s="1516"/>
      <c r="AN2" s="1516"/>
      <c r="AO2" s="1516"/>
      <c r="AP2" s="670"/>
      <c r="AQ2" s="670"/>
    </row>
    <row r="3" spans="1:75" ht="18.75">
      <c r="A3" s="669"/>
      <c r="B3" s="669"/>
      <c r="C3" s="1516" t="str">
        <f>CONCATENATE(DEPAN!E10," Kecamatan ",DEPAN!E19," Kabupaten ",DEPAN!E20)</f>
        <v xml:space="preserve">SDN UJUNG ASPAL 01 Kecamatan Ranuyoso Kabupaten Lumajang </v>
      </c>
      <c r="D3" s="1516"/>
      <c r="E3" s="1516"/>
      <c r="F3" s="1516"/>
      <c r="G3" s="1516"/>
      <c r="H3" s="1516"/>
      <c r="I3" s="1516"/>
      <c r="J3" s="1516"/>
      <c r="K3" s="1516"/>
      <c r="L3" s="1516"/>
      <c r="M3" s="1516"/>
      <c r="N3" s="1516"/>
      <c r="O3" s="1516"/>
      <c r="P3" s="1516"/>
      <c r="Q3" s="1516"/>
      <c r="R3" s="1516"/>
      <c r="S3" s="1516"/>
      <c r="T3" s="1516"/>
      <c r="U3" s="1516"/>
      <c r="V3" s="1516"/>
      <c r="W3" s="1516"/>
      <c r="X3" s="1516"/>
      <c r="Y3" s="1516"/>
      <c r="Z3" s="1516"/>
      <c r="AA3" s="1516"/>
      <c r="AB3" s="1516"/>
      <c r="AC3" s="1516"/>
      <c r="AD3" s="1516"/>
      <c r="AE3" s="1516"/>
      <c r="AF3" s="1516"/>
      <c r="AG3" s="1516"/>
      <c r="AH3" s="1516"/>
      <c r="AI3" s="1516"/>
      <c r="AJ3" s="1516"/>
      <c r="AK3" s="1516"/>
      <c r="AL3" s="1516"/>
      <c r="AM3" s="1516"/>
      <c r="AN3" s="1516"/>
      <c r="AO3" s="1516"/>
      <c r="AP3" s="670"/>
      <c r="AQ3" s="670"/>
    </row>
    <row r="4" spans="1:75" ht="15.75">
      <c r="A4" s="667"/>
      <c r="B4" s="667"/>
      <c r="C4" s="1517"/>
      <c r="D4" s="1517"/>
      <c r="E4" s="1517"/>
      <c r="F4" s="1517"/>
      <c r="G4" s="1517"/>
      <c r="H4" s="1517"/>
      <c r="I4" s="1517"/>
      <c r="J4" s="1517"/>
      <c r="K4" s="1517"/>
      <c r="L4" s="1517"/>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7"/>
      <c r="AK4" s="1517"/>
      <c r="AL4" s="1517"/>
      <c r="AM4" s="1517"/>
      <c r="AN4" s="1517"/>
      <c r="AO4" s="1517"/>
      <c r="AP4" s="668"/>
      <c r="AQ4" s="668"/>
    </row>
    <row r="5" spans="1:75">
      <c r="A5" s="1510" t="str">
        <f>CONCATENATE("KELAS   :  ",DEPAN!E14)</f>
        <v>KELAS   :  4 (Empat)</v>
      </c>
      <c r="B5" s="1510"/>
      <c r="C5" s="671"/>
      <c r="D5" s="671"/>
      <c r="E5" s="671"/>
      <c r="F5" s="671"/>
      <c r="G5" s="671"/>
      <c r="H5" s="671"/>
      <c r="I5" s="671"/>
      <c r="J5" s="671"/>
      <c r="K5" s="671"/>
      <c r="L5" s="671"/>
      <c r="M5" s="671"/>
      <c r="N5" s="671"/>
      <c r="O5" s="671"/>
      <c r="P5" s="671"/>
      <c r="Q5" s="671"/>
      <c r="R5" s="671"/>
      <c r="S5" s="671"/>
      <c r="T5" s="671"/>
      <c r="U5" s="671"/>
      <c r="V5" s="671"/>
      <c r="W5" s="671"/>
      <c r="X5" s="671"/>
      <c r="Y5" s="671"/>
      <c r="Z5" s="671"/>
      <c r="AA5" s="671"/>
      <c r="AB5" s="671"/>
      <c r="AC5" s="671"/>
      <c r="AD5" s="671"/>
      <c r="AE5" s="671"/>
      <c r="AF5" s="671"/>
      <c r="AG5" s="671"/>
      <c r="AH5" s="671"/>
      <c r="AI5" s="671"/>
      <c r="AJ5" s="671"/>
      <c r="AK5" s="671"/>
      <c r="AL5" s="671"/>
      <c r="AM5" s="671"/>
      <c r="AN5" s="671"/>
      <c r="AO5" s="671"/>
      <c r="AP5" s="667"/>
      <c r="AQ5" s="667"/>
    </row>
    <row r="6" spans="1:75" ht="60" customHeight="1">
      <c r="A6" s="1511" t="s">
        <v>2</v>
      </c>
      <c r="B6" s="1512"/>
      <c r="C6" s="1381" t="str">
        <f>BLT!AQ2</f>
        <v>AGAMA</v>
      </c>
      <c r="D6" s="1381"/>
      <c r="E6" s="1381"/>
      <c r="F6" s="1381"/>
      <c r="G6" s="1381"/>
      <c r="H6" s="1381"/>
      <c r="I6" s="1381"/>
      <c r="J6" s="1381"/>
      <c r="K6" s="1381"/>
      <c r="L6" s="1381"/>
      <c r="M6" s="1381"/>
      <c r="N6" s="1381"/>
      <c r="O6" s="1381"/>
      <c r="P6" s="1513" t="str">
        <f>BLT!BD2</f>
        <v>PJOK</v>
      </c>
      <c r="Q6" s="1514"/>
      <c r="R6" s="1514"/>
      <c r="S6" s="1514"/>
      <c r="T6" s="1514"/>
      <c r="U6" s="1514"/>
      <c r="V6" s="1514"/>
      <c r="W6" s="1514"/>
      <c r="X6" s="1513" t="str">
        <f>BLT!BL2</f>
        <v>Bahasa Jawa</v>
      </c>
      <c r="Y6" s="1514"/>
      <c r="Z6" s="1514"/>
      <c r="AA6" s="1514"/>
      <c r="AB6" s="1514"/>
      <c r="AC6" s="1514"/>
      <c r="AD6" s="1513" t="str">
        <f>BLT!BR2</f>
        <v>Bahasa Inggris</v>
      </c>
      <c r="AE6" s="1514"/>
      <c r="AF6" s="1514"/>
      <c r="AG6" s="1514"/>
      <c r="AH6" s="1514"/>
      <c r="AI6" s="1515"/>
      <c r="AJ6" s="1513" t="str">
        <f>BLT!BX2</f>
        <v>TIK</v>
      </c>
      <c r="AK6" s="1514"/>
      <c r="AL6" s="1514"/>
      <c r="AM6" s="1514"/>
      <c r="AN6" s="1514"/>
      <c r="AO6" s="1515"/>
      <c r="AP6" s="5"/>
      <c r="AQ6" s="5"/>
    </row>
    <row r="7" spans="1:75">
      <c r="A7" s="1511"/>
      <c r="B7" s="1512"/>
      <c r="C7" s="673">
        <f>BLT!AQ3</f>
        <v>3.1</v>
      </c>
      <c r="D7" s="673">
        <f>BLT!AR3</f>
        <v>3.4</v>
      </c>
      <c r="E7" s="673">
        <f>BLT!AS3</f>
        <v>3.12</v>
      </c>
      <c r="F7" s="673">
        <f>BLT!AT3</f>
        <v>3.13</v>
      </c>
      <c r="G7" s="673">
        <f>BLT!AU3</f>
        <v>3.7</v>
      </c>
      <c r="H7" s="673">
        <f>BLT!AV3</f>
        <v>3.8</v>
      </c>
      <c r="I7" s="673">
        <f>BLT!AW3</f>
        <v>3.15</v>
      </c>
      <c r="J7" s="673" t="str">
        <f>BLT!AX3</f>
        <v>3.21</v>
      </c>
      <c r="K7" s="673">
        <f>BLT!AY3</f>
        <v>0</v>
      </c>
      <c r="L7" s="673">
        <f>BLT!AZ3</f>
        <v>0</v>
      </c>
      <c r="M7" s="673">
        <f>BLT!BA3</f>
        <v>0</v>
      </c>
      <c r="N7" s="673">
        <f>BLT!BB3</f>
        <v>0</v>
      </c>
      <c r="O7" s="673">
        <f>BLT!BC3</f>
        <v>0</v>
      </c>
      <c r="P7" s="673" t="str">
        <f>BLT!BD3</f>
        <v>3.3</v>
      </c>
      <c r="Q7" s="673" t="str">
        <f>BLT!BE3</f>
        <v>3.2</v>
      </c>
      <c r="R7" s="673" t="str">
        <f>BLT!BF3</f>
        <v>3.5</v>
      </c>
      <c r="S7" s="673" t="str">
        <f>BLT!BG3</f>
        <v>3.4</v>
      </c>
      <c r="T7" s="673" t="str">
        <f>BLT!BH3</f>
        <v>3.6</v>
      </c>
      <c r="U7" s="673" t="str">
        <f>BLT!BI3</f>
        <v/>
      </c>
      <c r="V7" s="673">
        <f>BLT!BJ3</f>
        <v>0</v>
      </c>
      <c r="W7" s="673">
        <f>BLT!BK3</f>
        <v>0</v>
      </c>
      <c r="X7" s="673" t="str">
        <f>BLT!BL3</f>
        <v>3.5</v>
      </c>
      <c r="Y7" s="673" t="str">
        <f>BLT!BM3</f>
        <v>3.6</v>
      </c>
      <c r="Z7" s="673" t="str">
        <f>BLT!BN3</f>
        <v>3.7</v>
      </c>
      <c r="AA7" s="673">
        <f>BLT!BO3</f>
        <v>0</v>
      </c>
      <c r="AB7" s="673">
        <f>BLT!BP3</f>
        <v>0</v>
      </c>
      <c r="AC7" s="673">
        <f>BLT!BQ3</f>
        <v>0</v>
      </c>
      <c r="AD7" s="673" t="str">
        <f>BLT!Y3</f>
        <v>3.2</v>
      </c>
      <c r="AE7" s="673" t="str">
        <f>BLT!Z3</f>
        <v>3.3</v>
      </c>
      <c r="AF7" s="673" t="str">
        <f>BLT!AA3</f>
        <v>3.4</v>
      </c>
      <c r="AG7" s="673" t="str">
        <f>BLT!AB3</f>
        <v>3.5</v>
      </c>
      <c r="AH7" s="673" t="str">
        <f>BLT!AC3</f>
        <v/>
      </c>
      <c r="AI7" s="673" t="str">
        <f>BLT!AD3</f>
        <v/>
      </c>
      <c r="AJ7" s="673" t="str">
        <f>BLT!AE3</f>
        <v>3.1</v>
      </c>
      <c r="AK7" s="673" t="str">
        <f>BLT!AF3</f>
        <v>3.2</v>
      </c>
      <c r="AL7" s="673" t="str">
        <f>BLT!AG3</f>
        <v>3.3</v>
      </c>
      <c r="AM7" s="673" t="str">
        <f>BLT!AH3</f>
        <v/>
      </c>
      <c r="AN7" s="673" t="str">
        <f>BLT!AI3</f>
        <v/>
      </c>
      <c r="AO7" s="673" t="str">
        <f>BLT!AJ3</f>
        <v/>
      </c>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row>
    <row r="8" spans="1:75">
      <c r="A8" s="674" t="s">
        <v>865</v>
      </c>
      <c r="B8" s="675">
        <v>100</v>
      </c>
      <c r="C8" s="693">
        <f>COUNTIF(BLT!AQ4:AQ53,"100")</f>
        <v>49</v>
      </c>
      <c r="D8" s="693">
        <f>COUNTIF(BLT!AR4:AR53,"100")</f>
        <v>49</v>
      </c>
      <c r="E8" s="693">
        <f>COUNTIF(BLT!AS4:AS53,"100")</f>
        <v>49</v>
      </c>
      <c r="F8" s="693">
        <f>COUNTIF(BLT!AT4:AT53,"100")</f>
        <v>0</v>
      </c>
      <c r="G8" s="693">
        <f>COUNTIF(BLT!AU4:AU53,"100")</f>
        <v>0</v>
      </c>
      <c r="H8" s="693">
        <f>COUNTIF(BLT!AV4:AV53,"100")</f>
        <v>0</v>
      </c>
      <c r="I8" s="693">
        <f>COUNTIF(BLT!AW4:AW53,"100")</f>
        <v>0</v>
      </c>
      <c r="J8" s="693">
        <f>COUNTIF(BLT!AX4:AX53,"100")</f>
        <v>0</v>
      </c>
      <c r="K8" s="693">
        <f>COUNTIF(BLT!AY4:AY53,"100")</f>
        <v>0</v>
      </c>
      <c r="L8" s="693">
        <f>COUNTIF(BLT!AZ4:AZ53,"100")</f>
        <v>0</v>
      </c>
      <c r="M8" s="693">
        <f>COUNTIF(BLT!BA4:BA53,"100")</f>
        <v>0</v>
      </c>
      <c r="N8" s="693">
        <f>COUNTIF(BLT!BB4:BB53,"100")</f>
        <v>0</v>
      </c>
      <c r="O8" s="693">
        <f>COUNTIF(BLT!BC4:BC53,"100")</f>
        <v>0</v>
      </c>
      <c r="P8" s="693">
        <f>COUNTIF(BLT!BD4:BD53,"100")</f>
        <v>0</v>
      </c>
      <c r="Q8" s="693">
        <f>COUNTIF(BLT!BE4:BE53,"100")</f>
        <v>0</v>
      </c>
      <c r="R8" s="693">
        <f>COUNTIF(BLT!BF4:BF53,"100")</f>
        <v>0</v>
      </c>
      <c r="S8" s="693">
        <f>COUNTIF(BLT!BG4:BG53,"100")</f>
        <v>0</v>
      </c>
      <c r="T8" s="693">
        <f>COUNTIF(BLT!BH4:BH53,"100")</f>
        <v>0</v>
      </c>
      <c r="U8" s="693">
        <f>COUNTIF(BLT!BI4:BI53,"100")</f>
        <v>0</v>
      </c>
      <c r="V8" s="693">
        <f>COUNTIF(BLT!BJ4:BJ53,"100")</f>
        <v>0</v>
      </c>
      <c r="W8" s="693">
        <f>COUNTIF(BLT!BK4:BK53,"100")</f>
        <v>0</v>
      </c>
      <c r="X8" s="693">
        <f>COUNTIF(BLT!BL4:BL53,"100")</f>
        <v>0</v>
      </c>
      <c r="Y8" s="693">
        <f>COUNTIF(BLT!BM4:BM53,"100")</f>
        <v>0</v>
      </c>
      <c r="Z8" s="693">
        <f>COUNTIF(BLT!BN4:BN53,"100")</f>
        <v>0</v>
      </c>
      <c r="AA8" s="693">
        <f>COUNTIF(BLT!BO4:BO53,"100")</f>
        <v>0</v>
      </c>
      <c r="AB8" s="693">
        <f>COUNTIF(BLT!BP4:BP53,"100")</f>
        <v>0</v>
      </c>
      <c r="AC8" s="693">
        <f>COUNTIF(BLT!BQ4:BQ53,"100")</f>
        <v>0</v>
      </c>
      <c r="AD8" s="693">
        <f>COUNTIF(BLT!BR4:BR53,"100")</f>
        <v>0</v>
      </c>
      <c r="AE8" s="693">
        <f>COUNTIF(BLT!BS4:BS53,"100")</f>
        <v>0</v>
      </c>
      <c r="AF8" s="693">
        <f>COUNTIF(BLT!BT4:BT53,"100")</f>
        <v>0</v>
      </c>
      <c r="AG8" s="693">
        <f>COUNTIF(BLT!BU4:BU53,"100")</f>
        <v>0</v>
      </c>
      <c r="AH8" s="693">
        <f>COUNTIF(BLT!BV4:BV53,"100")</f>
        <v>0</v>
      </c>
      <c r="AI8" s="693">
        <f>COUNTIF(BLT!BW4:BW53,"100")</f>
        <v>0</v>
      </c>
      <c r="AJ8" s="693">
        <f>COUNTIF(BLT!BX4:BX53,"100")</f>
        <v>0</v>
      </c>
      <c r="AK8" s="693">
        <f>COUNTIF(BLT!BY4:BY53,"100")</f>
        <v>0</v>
      </c>
      <c r="AL8" s="693">
        <f>COUNTIF(BLT!BZ4:BZ53,"100")</f>
        <v>0</v>
      </c>
      <c r="AM8" s="693">
        <f>COUNTIF(BLT!CA4:CA53,"100")</f>
        <v>0</v>
      </c>
      <c r="AN8" s="693">
        <f>COUNTIF(BLT!CB4:CB53,"100")</f>
        <v>0</v>
      </c>
      <c r="AO8" s="693">
        <f>COUNTIF(BLT!CC4:CC53,"100")</f>
        <v>0</v>
      </c>
    </row>
    <row r="9" spans="1:75">
      <c r="A9" s="7" t="s">
        <v>866</v>
      </c>
      <c r="B9" s="676">
        <v>95</v>
      </c>
      <c r="C9" s="692">
        <f>COUNTIF(BLT!AQ4:AQ53,"95")</f>
        <v>0</v>
      </c>
      <c r="D9" s="692">
        <f>COUNTIF(BLT!AR4:AR53,"95")</f>
        <v>1</v>
      </c>
      <c r="E9" s="692">
        <f>COUNTIF(BLT!AS4:AS53,"95")</f>
        <v>1</v>
      </c>
      <c r="F9" s="692">
        <f>COUNTIF(BLT!AT4:AT53,"95")</f>
        <v>0</v>
      </c>
      <c r="G9" s="692">
        <f>COUNTIF(BLT!AU4:AU53,"95")</f>
        <v>0</v>
      </c>
      <c r="H9" s="692">
        <f>COUNTIF(BLT!AV4:AV53,"95")</f>
        <v>0</v>
      </c>
      <c r="I9" s="692">
        <f>COUNTIF(BLT!AW4:AW53,"95")</f>
        <v>0</v>
      </c>
      <c r="J9" s="692">
        <f>COUNTIF(BLT!AX4:AX53,"95")</f>
        <v>0</v>
      </c>
      <c r="K9" s="692">
        <f>COUNTIF(BLT!AY4:AY53,"95")</f>
        <v>0</v>
      </c>
      <c r="L9" s="692">
        <f>COUNTIF(BLT!AZ4:AZ53,"95")</f>
        <v>0</v>
      </c>
      <c r="M9" s="692">
        <f>COUNTIF(BLT!BA4:BA53,"95")</f>
        <v>0</v>
      </c>
      <c r="N9" s="692">
        <f>COUNTIF(BLT!BB4:BB53,"95")</f>
        <v>0</v>
      </c>
      <c r="O9" s="692">
        <f>COUNTIF(BLT!BC4:BC53,"95")</f>
        <v>0</v>
      </c>
      <c r="P9" s="692">
        <f>COUNTIF(BLT!BD4:BD53,"95")</f>
        <v>2</v>
      </c>
      <c r="Q9" s="692">
        <f>COUNTIF(BLT!BE4:BE53,"95")</f>
        <v>1</v>
      </c>
      <c r="R9" s="692">
        <f>COUNTIF(BLT!BF4:BF53,"95")</f>
        <v>0</v>
      </c>
      <c r="S9" s="692">
        <f>COUNTIF(BLT!BG4:BG53,"95")</f>
        <v>0</v>
      </c>
      <c r="T9" s="692">
        <f>COUNTIF(BLT!BH4:BH53,"95")</f>
        <v>0</v>
      </c>
      <c r="U9" s="692">
        <f>COUNTIF(BLT!BI4:BI53,"95")</f>
        <v>0</v>
      </c>
      <c r="V9" s="692">
        <f>COUNTIF(BLT!BJ4:BJ53,"95")</f>
        <v>0</v>
      </c>
      <c r="W9" s="692">
        <f>COUNTIF(BLT!BK4:BK53,"95")</f>
        <v>0</v>
      </c>
      <c r="X9" s="692">
        <f>COUNTIF(BLT!BL4:BL53,"95")</f>
        <v>0</v>
      </c>
      <c r="Y9" s="692">
        <f>COUNTIF(BLT!BM4:BM53,"95")</f>
        <v>2</v>
      </c>
      <c r="Z9" s="692">
        <f>COUNTIF(BLT!BN4:BN53,"95")</f>
        <v>1</v>
      </c>
      <c r="AA9" s="692">
        <f>COUNTIF(BLT!BO4:BO53,"95")</f>
        <v>0</v>
      </c>
      <c r="AB9" s="692">
        <f>COUNTIF(BLT!BP4:BP53,"95")</f>
        <v>0</v>
      </c>
      <c r="AC9" s="692">
        <f>COUNTIF(BLT!BQ4:BQ53,"95")</f>
        <v>0</v>
      </c>
      <c r="AD9" s="692">
        <f>COUNTIF(BLT!BR4:BR53,"95")</f>
        <v>0</v>
      </c>
      <c r="AE9" s="692">
        <f>COUNTIF(BLT!BS4:BS53,"95")</f>
        <v>2</v>
      </c>
      <c r="AF9" s="692">
        <f>COUNTIF(BLT!BT4:BT53,"95")</f>
        <v>1</v>
      </c>
      <c r="AG9" s="692">
        <f>COUNTIF(BLT!BU4:BU53,"95")</f>
        <v>0</v>
      </c>
      <c r="AH9" s="692">
        <f>COUNTIF(BLT!BV4:BV53,"95")</f>
        <v>0</v>
      </c>
      <c r="AI9" s="692">
        <f>COUNTIF(BLT!BW4:BW53,"95")</f>
        <v>0</v>
      </c>
      <c r="AJ9" s="692">
        <f>COUNTIF(BLT!BX4:BX53,"95")</f>
        <v>2</v>
      </c>
      <c r="AK9" s="692">
        <f>COUNTIF(BLT!BY4:BY53,"95")</f>
        <v>1</v>
      </c>
      <c r="AL9" s="692">
        <f>COUNTIF(BLT!BZ4:BZ53,"95")</f>
        <v>0</v>
      </c>
      <c r="AM9" s="692">
        <f>COUNTIF(BLT!CA4:CA53,"95")</f>
        <v>0</v>
      </c>
      <c r="AN9" s="692">
        <f>COUNTIF(BLT!CB4:CB53,"95")</f>
        <v>0</v>
      </c>
      <c r="AO9" s="692">
        <f>COUNTIF(BLT!CC4:CC53,"95")</f>
        <v>0</v>
      </c>
    </row>
    <row r="10" spans="1:75">
      <c r="A10" s="7" t="s">
        <v>867</v>
      </c>
      <c r="B10" s="675">
        <v>90</v>
      </c>
      <c r="C10" s="693">
        <f>COUNTIF(BLT!AQ4:AQ53,"90")</f>
        <v>1</v>
      </c>
      <c r="D10" s="693">
        <f>COUNTIF(BLT!AR4:AR53,"90")</f>
        <v>0</v>
      </c>
      <c r="E10" s="693">
        <f>COUNTIF(BLT!AS4:AS53,"90")</f>
        <v>0</v>
      </c>
      <c r="F10" s="693">
        <f>COUNTIF(BLT!AT4:AT53,"90")</f>
        <v>0</v>
      </c>
      <c r="G10" s="693">
        <f>COUNTIF(BLT!AU4:AU53,"90")</f>
        <v>0</v>
      </c>
      <c r="H10" s="693">
        <f>COUNTIF(BLT!AV4:AV53,"90")</f>
        <v>0</v>
      </c>
      <c r="I10" s="693">
        <f>COUNTIF(BLT!AW4:AW53,"90")</f>
        <v>1</v>
      </c>
      <c r="J10" s="693">
        <f>COUNTIF(BLT!AX4:AX53,"90")</f>
        <v>0</v>
      </c>
      <c r="K10" s="693">
        <f>COUNTIF(BLT!AY4:AY53,"90")</f>
        <v>0</v>
      </c>
      <c r="L10" s="693">
        <f>COUNTIF(BLT!AZ4:AZ53,"90")</f>
        <v>0</v>
      </c>
      <c r="M10" s="693">
        <f>COUNTIF(BLT!BA4:BA53,"90")</f>
        <v>0</v>
      </c>
      <c r="N10" s="693">
        <f>COUNTIF(BLT!BB4:BB53,"90")</f>
        <v>0</v>
      </c>
      <c r="O10" s="693">
        <f>COUNTIF(BLT!BC4:BC53,"90")</f>
        <v>0</v>
      </c>
      <c r="P10" s="693">
        <f>COUNTIF(BLT!BD4:BD53,"90")</f>
        <v>8</v>
      </c>
      <c r="Q10" s="693">
        <f>COUNTIF(BLT!BE4:BE53,"90")</f>
        <v>6</v>
      </c>
      <c r="R10" s="693">
        <f>COUNTIF(BLT!BF4:BF53,"90")</f>
        <v>1</v>
      </c>
      <c r="S10" s="693">
        <f>COUNTIF(BLT!BG4:BG53,"90")</f>
        <v>1</v>
      </c>
      <c r="T10" s="693">
        <f>COUNTIF(BLT!BH4:BH53,"90")</f>
        <v>1</v>
      </c>
      <c r="U10" s="693">
        <f>COUNTIF(BLT!BI4:BI53,"90")</f>
        <v>0</v>
      </c>
      <c r="V10" s="693">
        <f>COUNTIF(BLT!BJ4:BJ53,"90")</f>
        <v>0</v>
      </c>
      <c r="W10" s="693">
        <f>COUNTIF(BLT!BK4:BK53,"90")</f>
        <v>0</v>
      </c>
      <c r="X10" s="693">
        <f>COUNTIF(BLT!BL4:BL53,"90")</f>
        <v>1</v>
      </c>
      <c r="Y10" s="693">
        <f>COUNTIF(BLT!BM4:BM53,"90")</f>
        <v>8</v>
      </c>
      <c r="Z10" s="693">
        <f>COUNTIF(BLT!BN4:BN53,"90")</f>
        <v>6</v>
      </c>
      <c r="AA10" s="693">
        <f>COUNTIF(BLT!BO4:BO53,"90")</f>
        <v>0</v>
      </c>
      <c r="AB10" s="693">
        <f>COUNTIF(BLT!BP4:BP53,"90")</f>
        <v>0</v>
      </c>
      <c r="AC10" s="693">
        <f>COUNTIF(BLT!BQ4:BQ53,"90")</f>
        <v>0</v>
      </c>
      <c r="AD10" s="693">
        <f>COUNTIF(BLT!BR4:BR53,"90")</f>
        <v>1</v>
      </c>
      <c r="AE10" s="693">
        <f>COUNTIF(BLT!BS4:BS53,"90")</f>
        <v>8</v>
      </c>
      <c r="AF10" s="693">
        <f>COUNTIF(BLT!BT4:BT53,"90")</f>
        <v>6</v>
      </c>
      <c r="AG10" s="693">
        <f>COUNTIF(BLT!BU4:BU53,"90")</f>
        <v>1</v>
      </c>
      <c r="AH10" s="693">
        <f>COUNTIF(BLT!BV4:BV53,"90")</f>
        <v>0</v>
      </c>
      <c r="AI10" s="693">
        <f>COUNTIF(BLT!BW4:BW53,"90")</f>
        <v>0</v>
      </c>
      <c r="AJ10" s="693">
        <f>COUNTIF(BLT!BX4:BX53,"90")</f>
        <v>8</v>
      </c>
      <c r="AK10" s="693">
        <f>COUNTIF(BLT!BY4:BY53,"90")</f>
        <v>6</v>
      </c>
      <c r="AL10" s="693">
        <f>COUNTIF(BLT!BZ4:BZ53,"90")</f>
        <v>0</v>
      </c>
      <c r="AM10" s="693">
        <f>COUNTIF(BLT!CA4:CA53,"90")</f>
        <v>0</v>
      </c>
      <c r="AN10" s="693">
        <f>COUNTIF(BLT!CB4:CB53,"90")</f>
        <v>0</v>
      </c>
      <c r="AO10" s="693">
        <f>COUNTIF(BLT!CC4:CC53,"90")</f>
        <v>0</v>
      </c>
    </row>
    <row r="11" spans="1:75">
      <c r="A11" s="7" t="s">
        <v>868</v>
      </c>
      <c r="B11" s="676">
        <v>85</v>
      </c>
      <c r="C11" s="693">
        <f>COUNTIF(BLT!AQ4:AQ53,"85")</f>
        <v>0</v>
      </c>
      <c r="D11" s="693">
        <f>COUNTIF(BLT!AR4:AR53,"85")</f>
        <v>0</v>
      </c>
      <c r="E11" s="693">
        <f>COUNTIF(BLT!AS4:AS53,"85")</f>
        <v>0</v>
      </c>
      <c r="F11" s="693">
        <f>COUNTIF(BLT!AT4:AT53,"85")</f>
        <v>0</v>
      </c>
      <c r="G11" s="693">
        <f>COUNTIF(BLT!AU4:AU53,"85")</f>
        <v>0</v>
      </c>
      <c r="H11" s="693">
        <f>COUNTIF(BLT!AV4:AV53,"85")</f>
        <v>0</v>
      </c>
      <c r="I11" s="693">
        <f>COUNTIF(BLT!AW4:AW53,"85")</f>
        <v>0</v>
      </c>
      <c r="J11" s="693">
        <f>COUNTIF(BLT!AX4:AX53,"85")</f>
        <v>0</v>
      </c>
      <c r="K11" s="693">
        <f>COUNTIF(BLT!AY4:AY53,"85")</f>
        <v>0</v>
      </c>
      <c r="L11" s="693">
        <f>COUNTIF(BLT!AZ4:AZ53,"85")</f>
        <v>0</v>
      </c>
      <c r="M11" s="693">
        <f>COUNTIF(BLT!BA4:BA53,"85")</f>
        <v>0</v>
      </c>
      <c r="N11" s="693">
        <f>COUNTIF(BLT!BB4:BB53,"85")</f>
        <v>0</v>
      </c>
      <c r="O11" s="693">
        <f>COUNTIF(BLT!BC4:BC53,"85")</f>
        <v>0</v>
      </c>
      <c r="P11" s="693">
        <f>COUNTIF(BLT!BD4:BD53,"85")</f>
        <v>6</v>
      </c>
      <c r="Q11" s="693">
        <f>COUNTIF(BLT!BE4:BE53,"85")</f>
        <v>5</v>
      </c>
      <c r="R11" s="693">
        <f>COUNTIF(BLT!BF4:BF53,"85")</f>
        <v>0</v>
      </c>
      <c r="S11" s="693">
        <f>COUNTIF(BLT!BG4:BG53,"85")</f>
        <v>1</v>
      </c>
      <c r="T11" s="693">
        <f>COUNTIF(BLT!BH4:BH53,"85")</f>
        <v>0</v>
      </c>
      <c r="U11" s="693">
        <f>COUNTIF(BLT!BI4:BI53,"85")</f>
        <v>0</v>
      </c>
      <c r="V11" s="693">
        <f>COUNTIF(BLT!BJ4:BJ53,"85")</f>
        <v>0</v>
      </c>
      <c r="W11" s="693">
        <f>COUNTIF(BLT!BK4:BK53,"85")</f>
        <v>0</v>
      </c>
      <c r="X11" s="693">
        <f>COUNTIF(BLT!BL4:BL53,"85")</f>
        <v>0</v>
      </c>
      <c r="Y11" s="693">
        <f>COUNTIF(BLT!BM4:BM53,"85")</f>
        <v>6</v>
      </c>
      <c r="Z11" s="693">
        <f>COUNTIF(BLT!BN4:BN53,"85")</f>
        <v>5</v>
      </c>
      <c r="AA11" s="693">
        <f>COUNTIF(BLT!BO4:BO53,"85")</f>
        <v>0</v>
      </c>
      <c r="AB11" s="693">
        <f>COUNTIF(BLT!BP4:BP53,"85")</f>
        <v>0</v>
      </c>
      <c r="AC11" s="693">
        <f>COUNTIF(BLT!BQ4:BQ53,"85")</f>
        <v>0</v>
      </c>
      <c r="AD11" s="693">
        <f>COUNTIF(BLT!BR4:BR53,"85")</f>
        <v>0</v>
      </c>
      <c r="AE11" s="693">
        <f>COUNTIF(BLT!BS4:BS53,"85")</f>
        <v>6</v>
      </c>
      <c r="AF11" s="693">
        <f>COUNTIF(BLT!BT4:BT53,"85")</f>
        <v>5</v>
      </c>
      <c r="AG11" s="693">
        <f>COUNTIF(BLT!BU4:BU53,"85")</f>
        <v>1</v>
      </c>
      <c r="AH11" s="693">
        <f>COUNTIF(BLT!BV4:BV53,"85")</f>
        <v>0</v>
      </c>
      <c r="AI11" s="693">
        <f>COUNTIF(BLT!BW4:BW53,"85")</f>
        <v>0</v>
      </c>
      <c r="AJ11" s="693">
        <f>COUNTIF(BLT!BX4:BX53,"85")</f>
        <v>6</v>
      </c>
      <c r="AK11" s="693">
        <f>COUNTIF(BLT!BY4:BY53,"85")</f>
        <v>5</v>
      </c>
      <c r="AL11" s="693">
        <f>COUNTIF(BLT!BZ4:BZ53,"85")</f>
        <v>0</v>
      </c>
      <c r="AM11" s="693">
        <f>COUNTIF(BLT!CA4:CA53,"85")</f>
        <v>0</v>
      </c>
      <c r="AN11" s="693">
        <f>COUNTIF(BLT!CB4:CB53,"85")</f>
        <v>0</v>
      </c>
      <c r="AO11" s="693">
        <f>COUNTIF(BLT!CC4:CC53,"85")</f>
        <v>0</v>
      </c>
    </row>
    <row r="12" spans="1:75">
      <c r="A12" s="7" t="s">
        <v>869</v>
      </c>
      <c r="B12" s="675">
        <v>80</v>
      </c>
      <c r="C12" s="693">
        <f>COUNTIF(BLT!AQ4:AQ53,"80")</f>
        <v>0</v>
      </c>
      <c r="D12" s="693">
        <f>COUNTIF(BLT!AR4:AR53,"80")</f>
        <v>0</v>
      </c>
      <c r="E12" s="693">
        <f>COUNTIF(BLT!AS4:AS53,"80")</f>
        <v>0</v>
      </c>
      <c r="F12" s="693">
        <f>COUNTIF(BLT!AT4:AT53,"80")</f>
        <v>0</v>
      </c>
      <c r="G12" s="693">
        <f>COUNTIF(BLT!AU4:AU53,"80")</f>
        <v>0</v>
      </c>
      <c r="H12" s="693">
        <f>COUNTIF(BLT!AV4:AV53,"80")</f>
        <v>1</v>
      </c>
      <c r="I12" s="693">
        <f>COUNTIF(BLT!AW4:AW53,"80")</f>
        <v>1</v>
      </c>
      <c r="J12" s="693">
        <f>COUNTIF(BLT!AX4:AX53,"80")</f>
        <v>0</v>
      </c>
      <c r="K12" s="693">
        <f>COUNTIF(BLT!AY4:AY53,"80")</f>
        <v>0</v>
      </c>
      <c r="L12" s="693">
        <f>COUNTIF(BLT!AZ4:AZ53,"80")</f>
        <v>0</v>
      </c>
      <c r="M12" s="693">
        <f>COUNTIF(BLT!BA4:BA53,"80")</f>
        <v>0</v>
      </c>
      <c r="N12" s="693">
        <f>COUNTIF(BLT!BB4:BB53,"80")</f>
        <v>0</v>
      </c>
      <c r="O12" s="693">
        <f>COUNTIF(BLT!BC4:BC53,"80")</f>
        <v>0</v>
      </c>
      <c r="P12" s="693">
        <f>COUNTIF(BLT!BD4:BD53,"80")</f>
        <v>18</v>
      </c>
      <c r="Q12" s="693">
        <f>COUNTIF(BLT!BE4:BE53,"80")</f>
        <v>18</v>
      </c>
      <c r="R12" s="693">
        <f>COUNTIF(BLT!BF4:BF53,"80")</f>
        <v>0</v>
      </c>
      <c r="S12" s="693">
        <f>COUNTIF(BLT!BG4:BG53,"80")</f>
        <v>0</v>
      </c>
      <c r="T12" s="693">
        <f>COUNTIF(BLT!BH4:BH53,"80")</f>
        <v>0</v>
      </c>
      <c r="U12" s="693">
        <f>COUNTIF(BLT!BI4:BI53,"80")</f>
        <v>0</v>
      </c>
      <c r="V12" s="693">
        <f>COUNTIF(BLT!BJ4:BJ53,"80")</f>
        <v>0</v>
      </c>
      <c r="W12" s="693">
        <f>COUNTIF(BLT!BK4:BK53,"80")</f>
        <v>0</v>
      </c>
      <c r="X12" s="693">
        <f>COUNTIF(BLT!BL4:BL53,"80")</f>
        <v>0</v>
      </c>
      <c r="Y12" s="693">
        <f>COUNTIF(BLT!BM4:BM53,"80")</f>
        <v>18</v>
      </c>
      <c r="Z12" s="693">
        <f>COUNTIF(BLT!BN4:BN53,"80")</f>
        <v>18</v>
      </c>
      <c r="AA12" s="693">
        <f>COUNTIF(BLT!BO4:BO53,"80")</f>
        <v>0</v>
      </c>
      <c r="AB12" s="693">
        <f>COUNTIF(BLT!BP4:BP53,"80")</f>
        <v>0</v>
      </c>
      <c r="AC12" s="693">
        <f>COUNTIF(BLT!BQ4:BQ53,"80")</f>
        <v>0</v>
      </c>
      <c r="AD12" s="693">
        <f>COUNTIF(BLT!BR4:BR53,"80")</f>
        <v>0</v>
      </c>
      <c r="AE12" s="693">
        <f>COUNTIF(BLT!BS4:BS53,"80")</f>
        <v>18</v>
      </c>
      <c r="AF12" s="693">
        <f>COUNTIF(BLT!BT4:BT53,"80")</f>
        <v>18</v>
      </c>
      <c r="AG12" s="693">
        <f>COUNTIF(BLT!BU4:BU53,"80")</f>
        <v>0</v>
      </c>
      <c r="AH12" s="693">
        <f>COUNTIF(BLT!BV4:BV53,"80")</f>
        <v>0</v>
      </c>
      <c r="AI12" s="693">
        <f>COUNTIF(BLT!BW4:BW53,"80")</f>
        <v>0</v>
      </c>
      <c r="AJ12" s="693">
        <f>COUNTIF(BLT!BX4:BX53,"80")</f>
        <v>18</v>
      </c>
      <c r="AK12" s="693">
        <f>COUNTIF(BLT!BY4:BY53,"80")</f>
        <v>18</v>
      </c>
      <c r="AL12" s="693">
        <f>COUNTIF(BLT!BZ4:BZ53,"80")</f>
        <v>0</v>
      </c>
      <c r="AM12" s="693">
        <f>COUNTIF(BLT!CA4:CA53,"80")</f>
        <v>0</v>
      </c>
      <c r="AN12" s="693">
        <f>COUNTIF(BLT!CB4:CB53,"80")</f>
        <v>0</v>
      </c>
      <c r="AO12" s="693">
        <f>COUNTIF(BLT!CC4:CC53,"80")</f>
        <v>0</v>
      </c>
    </row>
    <row r="13" spans="1:75">
      <c r="A13" s="7" t="s">
        <v>870</v>
      </c>
      <c r="B13" s="676">
        <v>75</v>
      </c>
      <c r="C13" s="693">
        <f>COUNTIF(BLT!AQ4:AQ53,"75")</f>
        <v>0</v>
      </c>
      <c r="D13" s="693">
        <f>COUNTIF(BLT!AR4:AR53,"75")</f>
        <v>0</v>
      </c>
      <c r="E13" s="693">
        <f>COUNTIF(BLT!AS4:AS53,"75")</f>
        <v>0</v>
      </c>
      <c r="F13" s="693">
        <f>COUNTIF(BLT!AT4:AT53,"75")</f>
        <v>0</v>
      </c>
      <c r="G13" s="693">
        <f>COUNTIF(BLT!AU4:AU53,"75")</f>
        <v>0</v>
      </c>
      <c r="H13" s="693">
        <f>COUNTIF(BLT!AV4:AV53,"75")</f>
        <v>0</v>
      </c>
      <c r="I13" s="693">
        <f>COUNTIF(BLT!AW4:AW53,"75")</f>
        <v>0</v>
      </c>
      <c r="J13" s="693">
        <f>COUNTIF(BLT!AX4:AX53,"75")</f>
        <v>0</v>
      </c>
      <c r="K13" s="693">
        <f>COUNTIF(BLT!AY4:AY53,"75")</f>
        <v>0</v>
      </c>
      <c r="L13" s="693">
        <f>COUNTIF(BLT!AZ4:AZ53,"75")</f>
        <v>0</v>
      </c>
      <c r="M13" s="693">
        <f>COUNTIF(BLT!BA4:BA53,"75")</f>
        <v>0</v>
      </c>
      <c r="N13" s="693">
        <f>COUNTIF(BLT!BB4:BB53,"75")</f>
        <v>0</v>
      </c>
      <c r="O13" s="693">
        <f>COUNTIF(BLT!BC4:BC53,"75")</f>
        <v>0</v>
      </c>
      <c r="P13" s="693">
        <f>COUNTIF(BLT!BD4:BD53,"75")</f>
        <v>8</v>
      </c>
      <c r="Q13" s="693">
        <f>COUNTIF(BLT!BE4:BE53,"75")</f>
        <v>7</v>
      </c>
      <c r="R13" s="693">
        <f>COUNTIF(BLT!BF4:BF53,"75")</f>
        <v>0</v>
      </c>
      <c r="S13" s="693">
        <f>COUNTIF(BLT!BG4:BG53,"75")</f>
        <v>0</v>
      </c>
      <c r="T13" s="693">
        <f>COUNTIF(BLT!BH4:BH53,"75")</f>
        <v>0</v>
      </c>
      <c r="U13" s="693">
        <f>COUNTIF(BLT!BI4:BI53,"75")</f>
        <v>0</v>
      </c>
      <c r="V13" s="693">
        <f>COUNTIF(BLT!BJ4:BJ53,"75")</f>
        <v>0</v>
      </c>
      <c r="W13" s="693">
        <f>COUNTIF(BLT!BK4:BK53,"75")</f>
        <v>0</v>
      </c>
      <c r="X13" s="693">
        <f>COUNTIF(BLT!BL4:BL53,"75")</f>
        <v>0</v>
      </c>
      <c r="Y13" s="693">
        <f>COUNTIF(BLT!BM4:BM53,"75")</f>
        <v>8</v>
      </c>
      <c r="Z13" s="693">
        <f>COUNTIF(BLT!BN4:BN53,"75")</f>
        <v>7</v>
      </c>
      <c r="AA13" s="693">
        <f>COUNTIF(BLT!BO4:BO53,"75")</f>
        <v>0</v>
      </c>
      <c r="AB13" s="693">
        <f>COUNTIF(BLT!BP4:BP53,"75")</f>
        <v>0</v>
      </c>
      <c r="AC13" s="693">
        <f>COUNTIF(BLT!BQ4:BQ53,"75")</f>
        <v>0</v>
      </c>
      <c r="AD13" s="693">
        <f>COUNTIF(BLT!BR4:BR53,"75")</f>
        <v>0</v>
      </c>
      <c r="AE13" s="693">
        <f>COUNTIF(BLT!BS4:BS53,"75")</f>
        <v>8</v>
      </c>
      <c r="AF13" s="693">
        <f>COUNTIF(BLT!BT4:BT53,"75")</f>
        <v>7</v>
      </c>
      <c r="AG13" s="693">
        <f>COUNTIF(BLT!BU4:BU53,"75")</f>
        <v>0</v>
      </c>
      <c r="AH13" s="693">
        <f>COUNTIF(BLT!BV4:BV53,"75")</f>
        <v>0</v>
      </c>
      <c r="AI13" s="693">
        <f>COUNTIF(BLT!BW4:BW53,"75")</f>
        <v>0</v>
      </c>
      <c r="AJ13" s="693">
        <f>COUNTIF(BLT!BX4:BX53,"75")</f>
        <v>8</v>
      </c>
      <c r="AK13" s="693">
        <f>COUNTIF(BLT!BY4:BY53,"75")</f>
        <v>7</v>
      </c>
      <c r="AL13" s="693">
        <f>COUNTIF(BLT!BZ4:BZ53,"75")</f>
        <v>0</v>
      </c>
      <c r="AM13" s="693">
        <f>COUNTIF(BLT!CA4:CA53,"75")</f>
        <v>0</v>
      </c>
      <c r="AN13" s="693">
        <f>COUNTIF(BLT!CB4:CB53,"75")</f>
        <v>0</v>
      </c>
      <c r="AO13" s="693">
        <f>COUNTIF(BLT!CC4:CC53,"75")</f>
        <v>0</v>
      </c>
    </row>
    <row r="14" spans="1:75">
      <c r="A14" s="7" t="s">
        <v>871</v>
      </c>
      <c r="B14" s="675">
        <v>70</v>
      </c>
      <c r="C14" s="693">
        <f>COUNTIF(BLT!AQ4:AQ53,"70")</f>
        <v>0</v>
      </c>
      <c r="D14" s="693">
        <f>COUNTIF(BLT!AR4:AR53,"70")</f>
        <v>0</v>
      </c>
      <c r="E14" s="693">
        <f>COUNTIF(BLT!AS4:AS53,"70")</f>
        <v>0</v>
      </c>
      <c r="F14" s="693">
        <f>COUNTIF(BLT!AT4:AT53,"70")</f>
        <v>0</v>
      </c>
      <c r="G14" s="693">
        <f>COUNTIF(BLT!AU4:AU53,"70")</f>
        <v>0</v>
      </c>
      <c r="H14" s="693">
        <f>COUNTIF(BLT!AV4:AV53,"70")</f>
        <v>0</v>
      </c>
      <c r="I14" s="693">
        <f>COUNTIF(BLT!AW4:AW53,"70")</f>
        <v>0</v>
      </c>
      <c r="J14" s="693">
        <f>COUNTIF(BLT!AX4:AX53,"70")</f>
        <v>0</v>
      </c>
      <c r="K14" s="693">
        <f>COUNTIF(BLT!AY4:AY53,"70")</f>
        <v>0</v>
      </c>
      <c r="L14" s="693">
        <f>COUNTIF(BLT!AZ4:AZ53,"70")</f>
        <v>0</v>
      </c>
      <c r="M14" s="693">
        <f>COUNTIF(BLT!BA4:BA53,"70")</f>
        <v>0</v>
      </c>
      <c r="N14" s="693">
        <f>COUNTIF(BLT!BB4:BB53,"70")</f>
        <v>0</v>
      </c>
      <c r="O14" s="693">
        <f>COUNTIF(BLT!BC4:BC53,"70")</f>
        <v>0</v>
      </c>
      <c r="P14" s="693">
        <f>COUNTIF(BLT!BD4:BD53,"70")</f>
        <v>7</v>
      </c>
      <c r="Q14" s="693">
        <f>COUNTIF(BLT!BE4:BE53,"70")</f>
        <v>12</v>
      </c>
      <c r="R14" s="693">
        <f>COUNTIF(BLT!BF4:BF53,"70")</f>
        <v>1</v>
      </c>
      <c r="S14" s="693">
        <f>COUNTIF(BLT!BG4:BG53,"70")</f>
        <v>0</v>
      </c>
      <c r="T14" s="693">
        <f>COUNTIF(BLT!BH4:BH53,"70")</f>
        <v>0</v>
      </c>
      <c r="U14" s="693">
        <f>COUNTIF(BLT!BI4:BI53,"70")</f>
        <v>0</v>
      </c>
      <c r="V14" s="693">
        <f>COUNTIF(BLT!BJ4:BJ53,"70")</f>
        <v>0</v>
      </c>
      <c r="W14" s="693">
        <f>COUNTIF(BLT!BK4:BK53,"70")</f>
        <v>0</v>
      </c>
      <c r="X14" s="693">
        <f>COUNTIF(BLT!BL4:BL53,"70")</f>
        <v>1</v>
      </c>
      <c r="Y14" s="693">
        <f>COUNTIF(BLT!BM4:BM53,"70")</f>
        <v>7</v>
      </c>
      <c r="Z14" s="693">
        <f>COUNTIF(BLT!BN4:BN53,"70")</f>
        <v>12</v>
      </c>
      <c r="AA14" s="693">
        <f>COUNTIF(BLT!BO4:BO53,"70")</f>
        <v>0</v>
      </c>
      <c r="AB14" s="693">
        <f>COUNTIF(BLT!BP4:BP53,"70")</f>
        <v>0</v>
      </c>
      <c r="AC14" s="693">
        <f>COUNTIF(BLT!BQ4:BQ53,"70")</f>
        <v>0</v>
      </c>
      <c r="AD14" s="693">
        <f>COUNTIF(BLT!BR4:BR53,"70")</f>
        <v>0</v>
      </c>
      <c r="AE14" s="693">
        <f>COUNTIF(BLT!BS4:BS53,"70")</f>
        <v>7</v>
      </c>
      <c r="AF14" s="693">
        <f>COUNTIF(BLT!BT4:BT53,"70")</f>
        <v>12</v>
      </c>
      <c r="AG14" s="693">
        <f>COUNTIF(BLT!BU4:BU53,"70")</f>
        <v>0</v>
      </c>
      <c r="AH14" s="693">
        <f>COUNTIF(BLT!BV4:BV53,"70")</f>
        <v>0</v>
      </c>
      <c r="AI14" s="693">
        <f>COUNTIF(BLT!BW4:BW53,"70")</f>
        <v>0</v>
      </c>
      <c r="AJ14" s="693">
        <f>COUNTIF(BLT!BX4:BX53,"70")</f>
        <v>7</v>
      </c>
      <c r="AK14" s="693">
        <f>COUNTIF(BLT!BY4:BY53,"70")</f>
        <v>12</v>
      </c>
      <c r="AL14" s="693">
        <f>COUNTIF(BLT!BZ4:BZ53,"70")</f>
        <v>0</v>
      </c>
      <c r="AM14" s="693">
        <f>COUNTIF(BLT!CA4:CA53,"70")</f>
        <v>0</v>
      </c>
      <c r="AN14" s="693">
        <f>COUNTIF(BLT!CB4:CB53,"70")</f>
        <v>0</v>
      </c>
      <c r="AO14" s="693">
        <f>COUNTIF(BLT!CC4:CC53,"70")</f>
        <v>0</v>
      </c>
    </row>
    <row r="15" spans="1:75">
      <c r="A15" s="7" t="s">
        <v>872</v>
      </c>
      <c r="B15" s="676">
        <v>65</v>
      </c>
      <c r="C15" s="693">
        <f>COUNTIF(BLT!AQ4:AQ53,"65")</f>
        <v>0</v>
      </c>
      <c r="D15" s="693">
        <f>COUNTIF(BLT!AR4:AR53,"65")</f>
        <v>0</v>
      </c>
      <c r="E15" s="693">
        <f>COUNTIF(BLT!AS4:AS53,"65")</f>
        <v>0</v>
      </c>
      <c r="F15" s="693">
        <f>COUNTIF(BLT!AT4:AT53,"65")</f>
        <v>0</v>
      </c>
      <c r="G15" s="693">
        <f>COUNTIF(BLT!AU4:AU53,"65")</f>
        <v>0</v>
      </c>
      <c r="H15" s="693">
        <f>COUNTIF(BLT!AV4:AV53,"65")</f>
        <v>0</v>
      </c>
      <c r="I15" s="693">
        <f>COUNTIF(BLT!AW4:AW53,"65")</f>
        <v>0</v>
      </c>
      <c r="J15" s="693">
        <f>COUNTIF(BLT!AX4:AX53,"65")</f>
        <v>0</v>
      </c>
      <c r="K15" s="693">
        <f>COUNTIF(BLT!AY4:AY53,"65")</f>
        <v>0</v>
      </c>
      <c r="L15" s="693">
        <f>COUNTIF(BLT!AZ4:AZ53,"65")</f>
        <v>0</v>
      </c>
      <c r="M15" s="693">
        <f>COUNTIF(BLT!BA4:BA53,"65")</f>
        <v>0</v>
      </c>
      <c r="N15" s="693">
        <f>COUNTIF(BLT!BB4:BB53,"65")</f>
        <v>0</v>
      </c>
      <c r="O15" s="693">
        <f>COUNTIF(BLT!BC4:BC53,"65")</f>
        <v>0</v>
      </c>
      <c r="P15" s="693">
        <f>COUNTIF(BLT!BD4:BD53,"65")</f>
        <v>0</v>
      </c>
      <c r="Q15" s="693">
        <f>COUNTIF(BLT!BE4:BE53,"65")</f>
        <v>0</v>
      </c>
      <c r="R15" s="693">
        <f>COUNTIF(BLT!BF4:BF53,"65")</f>
        <v>0</v>
      </c>
      <c r="S15" s="693">
        <f>COUNTIF(BLT!BG4:BG53,"65")</f>
        <v>0</v>
      </c>
      <c r="T15" s="693">
        <f>COUNTIF(BLT!BH4:BH53,"65")</f>
        <v>1</v>
      </c>
      <c r="U15" s="693">
        <f>COUNTIF(BLT!BI4:BI53,"65")</f>
        <v>0</v>
      </c>
      <c r="V15" s="693">
        <f>COUNTIF(BLT!BJ4:BJ53,"65")</f>
        <v>0</v>
      </c>
      <c r="W15" s="693">
        <f>COUNTIF(BLT!BK4:BK53,"65")</f>
        <v>0</v>
      </c>
      <c r="X15" s="693">
        <f>COUNTIF(BLT!BL4:BL53,"65")</f>
        <v>0</v>
      </c>
      <c r="Y15" s="693">
        <f>COUNTIF(BLT!BM4:BM53,"65")</f>
        <v>0</v>
      </c>
      <c r="Z15" s="693">
        <f>COUNTIF(BLT!BN4:BN53,"65")</f>
        <v>0</v>
      </c>
      <c r="AA15" s="693">
        <f>COUNTIF(BLT!BO4:BO53,"65")</f>
        <v>0</v>
      </c>
      <c r="AB15" s="693">
        <f>COUNTIF(BLT!BP4:BP53,"65")</f>
        <v>0</v>
      </c>
      <c r="AC15" s="693">
        <f>COUNTIF(BLT!BQ4:BQ53,"65")</f>
        <v>0</v>
      </c>
      <c r="AD15" s="693">
        <f>COUNTIF(BLT!BR4:BR53,"65")</f>
        <v>1</v>
      </c>
      <c r="AE15" s="693">
        <f>COUNTIF(BLT!BS4:BS53,"65")</f>
        <v>0</v>
      </c>
      <c r="AF15" s="693">
        <f>COUNTIF(BLT!BT4:BT53,"65")</f>
        <v>0</v>
      </c>
      <c r="AG15" s="693">
        <f>COUNTIF(BLT!BU4:BU53,"65")</f>
        <v>0</v>
      </c>
      <c r="AH15" s="693">
        <f>COUNTIF(BLT!BV4:BV53,"65")</f>
        <v>0</v>
      </c>
      <c r="AI15" s="693">
        <f>COUNTIF(BLT!BW4:BW53,"65")</f>
        <v>0</v>
      </c>
      <c r="AJ15" s="693">
        <f>COUNTIF(BLT!BX4:BX53,"65")</f>
        <v>0</v>
      </c>
      <c r="AK15" s="693">
        <f>COUNTIF(BLT!BY4:BY53,"65")</f>
        <v>0</v>
      </c>
      <c r="AL15" s="693">
        <f>COUNTIF(BLT!BZ4:BZ53,"65")</f>
        <v>0</v>
      </c>
      <c r="AM15" s="693">
        <f>COUNTIF(BLT!CA4:CA53,"65")</f>
        <v>0</v>
      </c>
      <c r="AN15" s="693">
        <f>COUNTIF(BLT!CB4:CB53,"65")</f>
        <v>0</v>
      </c>
      <c r="AO15" s="693">
        <f>COUNTIF(BLT!CC4:CC53,"65")</f>
        <v>0</v>
      </c>
    </row>
    <row r="16" spans="1:75">
      <c r="A16" s="7" t="s">
        <v>873</v>
      </c>
      <c r="B16" s="675">
        <v>60</v>
      </c>
      <c r="C16" s="693">
        <f>COUNTIF(BLT!AQ4:AQ53,"60")</f>
        <v>0</v>
      </c>
      <c r="D16" s="693">
        <f>COUNTIF(BLT!AR4:AR53,"60")</f>
        <v>0</v>
      </c>
      <c r="E16" s="693">
        <f>COUNTIF(BLT!AS4:AS53,"60")</f>
        <v>0</v>
      </c>
      <c r="F16" s="693">
        <f>COUNTIF(BLT!AT4:AT53,"60")</f>
        <v>0</v>
      </c>
      <c r="G16" s="693">
        <f>COUNTIF(BLT!AU4:AU53,"60")</f>
        <v>0</v>
      </c>
      <c r="H16" s="693">
        <f>COUNTIF(BLT!AV4:AV53,"60")</f>
        <v>0</v>
      </c>
      <c r="I16" s="693">
        <f>COUNTIF(BLT!AW4:AW53,"60")</f>
        <v>0</v>
      </c>
      <c r="J16" s="693">
        <f>COUNTIF(BLT!AX4:AX53,"60")</f>
        <v>0</v>
      </c>
      <c r="K16" s="693">
        <f>COUNTIF(BLT!AY4:AY53,"60")</f>
        <v>0</v>
      </c>
      <c r="L16" s="693">
        <f>COUNTIF(BLT!AZ4:AZ53,"60")</f>
        <v>0</v>
      </c>
      <c r="M16" s="693">
        <f>COUNTIF(BLT!BA4:BA53,"60")</f>
        <v>0</v>
      </c>
      <c r="N16" s="693">
        <f>COUNTIF(BLT!BB4:BB53,"60")</f>
        <v>0</v>
      </c>
      <c r="O16" s="693">
        <f>COUNTIF(BLT!BC4:BC53,"60")</f>
        <v>0</v>
      </c>
      <c r="P16" s="693">
        <f>COUNTIF(BLT!BD4:BD53,"60")</f>
        <v>1</v>
      </c>
      <c r="Q16" s="693">
        <f>COUNTIF(BLT!BE4:BE53,"60")</f>
        <v>0</v>
      </c>
      <c r="R16" s="693">
        <f>COUNTIF(BLT!BF4:BF53,"60")</f>
        <v>0</v>
      </c>
      <c r="S16" s="693">
        <f>COUNTIF(BLT!BG4:BG53,"60")</f>
        <v>0</v>
      </c>
      <c r="T16" s="693">
        <f>COUNTIF(BLT!BH4:BH53,"60")</f>
        <v>0</v>
      </c>
      <c r="U16" s="693">
        <f>COUNTIF(BLT!BI4:BI53,"60")</f>
        <v>0</v>
      </c>
      <c r="V16" s="693">
        <f>COUNTIF(BLT!BJ4:BJ53,"60")</f>
        <v>0</v>
      </c>
      <c r="W16" s="693">
        <f>COUNTIF(BLT!BK4:BK53,"60")</f>
        <v>0</v>
      </c>
      <c r="X16" s="693">
        <f>COUNTIF(BLT!BL4:BL53,"60")</f>
        <v>0</v>
      </c>
      <c r="Y16" s="693">
        <f>COUNTIF(BLT!BM4:BM53,"60")</f>
        <v>1</v>
      </c>
      <c r="Z16" s="693">
        <f>COUNTIF(BLT!BN4:BN53,"60")</f>
        <v>0</v>
      </c>
      <c r="AA16" s="693">
        <f>COUNTIF(BLT!BO4:BO53,"60")</f>
        <v>0</v>
      </c>
      <c r="AB16" s="693">
        <f>COUNTIF(BLT!BP4:BP53,"60")</f>
        <v>0</v>
      </c>
      <c r="AC16" s="693">
        <f>COUNTIF(BLT!BQ4:BQ53,"60")</f>
        <v>0</v>
      </c>
      <c r="AD16" s="693">
        <f>COUNTIF(BLT!BR4:BR53,"60")</f>
        <v>0</v>
      </c>
      <c r="AE16" s="693">
        <f>COUNTIF(BLT!BS4:BS53,"60")</f>
        <v>1</v>
      </c>
      <c r="AF16" s="693">
        <f>COUNTIF(BLT!BT4:BT53,"60")</f>
        <v>0</v>
      </c>
      <c r="AG16" s="693">
        <f>COUNTIF(BLT!BU4:BU53,"60")</f>
        <v>0</v>
      </c>
      <c r="AH16" s="693">
        <f>COUNTIF(BLT!BV4:BV53,"60")</f>
        <v>0</v>
      </c>
      <c r="AI16" s="693">
        <f>COUNTIF(BLT!BW4:BW53,"60")</f>
        <v>0</v>
      </c>
      <c r="AJ16" s="693">
        <f>COUNTIF(BLT!BX4:BX53,"60")</f>
        <v>1</v>
      </c>
      <c r="AK16" s="693">
        <f>COUNTIF(BLT!BY4:BY53,"60")</f>
        <v>0</v>
      </c>
      <c r="AL16" s="693">
        <f>COUNTIF(BLT!BZ4:BZ53,"60")</f>
        <v>0</v>
      </c>
      <c r="AM16" s="693">
        <f>COUNTIF(BLT!CA4:CA53,"60")</f>
        <v>0</v>
      </c>
      <c r="AN16" s="693">
        <f>COUNTIF(BLT!CB4:CB53,"60")</f>
        <v>0</v>
      </c>
      <c r="AO16" s="693">
        <f>COUNTIF(BLT!CC4:CC53,"60")</f>
        <v>0</v>
      </c>
    </row>
    <row r="17" spans="1:41">
      <c r="A17" s="7" t="s">
        <v>874</v>
      </c>
      <c r="B17" s="676">
        <v>55</v>
      </c>
      <c r="C17" s="693">
        <f>COUNTIF(BLT!AQ4:AQ53,"55")</f>
        <v>0</v>
      </c>
      <c r="D17" s="693">
        <f>COUNTIF(BLT!AR4:AR53,"55")</f>
        <v>0</v>
      </c>
      <c r="E17" s="693">
        <f>COUNTIF(BLT!AS4:AS53,"55")</f>
        <v>0</v>
      </c>
      <c r="F17" s="693">
        <f>COUNTIF(BLT!AT4:AT53,"55")</f>
        <v>0</v>
      </c>
      <c r="G17" s="693">
        <f>COUNTIF(BLT!AU4:AU53,"55")</f>
        <v>0</v>
      </c>
      <c r="H17" s="693">
        <f>COUNTIF(BLT!AV4:AV53,"55")</f>
        <v>0</v>
      </c>
      <c r="I17" s="693">
        <f>COUNTIF(BLT!AW4:AW53,"55")</f>
        <v>0</v>
      </c>
      <c r="J17" s="693">
        <f>COUNTIF(BLT!AX4:AX53,"55")</f>
        <v>0</v>
      </c>
      <c r="K17" s="693">
        <f>COUNTIF(BLT!AY4:AY53,"55")</f>
        <v>0</v>
      </c>
      <c r="L17" s="693">
        <f>COUNTIF(BLT!AZ4:AZ53,"55")</f>
        <v>0</v>
      </c>
      <c r="M17" s="693">
        <f>COUNTIF(BLT!BA4:BA53,"55")</f>
        <v>0</v>
      </c>
      <c r="N17" s="693">
        <f>COUNTIF(BLT!BB4:BB53,"55")</f>
        <v>0</v>
      </c>
      <c r="O17" s="693">
        <f>COUNTIF(BLT!BC4:BC53,"55")</f>
        <v>0</v>
      </c>
      <c r="P17" s="693">
        <f>COUNTIF(BLT!BD4:BD53,"55")</f>
        <v>0</v>
      </c>
      <c r="Q17" s="693">
        <f>COUNTIF(BLT!BE4:BE53,"55")</f>
        <v>0</v>
      </c>
      <c r="R17" s="693">
        <f>COUNTIF(BLT!BF4:BF53,"55")</f>
        <v>0</v>
      </c>
      <c r="S17" s="693">
        <f>COUNTIF(BLT!BG4:BG53,"55")</f>
        <v>0</v>
      </c>
      <c r="T17" s="693">
        <f>COUNTIF(BLT!BH4:BH53,"55")</f>
        <v>0</v>
      </c>
      <c r="U17" s="693">
        <f>COUNTIF(BLT!BI4:BI53,"55")</f>
        <v>0</v>
      </c>
      <c r="V17" s="693">
        <f>COUNTIF(BLT!BJ4:BJ53,"55")</f>
        <v>0</v>
      </c>
      <c r="W17" s="693">
        <f>COUNTIF(BLT!BK4:BK53,"55")</f>
        <v>0</v>
      </c>
      <c r="X17" s="693">
        <f>COUNTIF(BLT!BL4:BL53,"55")</f>
        <v>0</v>
      </c>
      <c r="Y17" s="693">
        <f>COUNTIF(BLT!BM4:BM53,"55")</f>
        <v>0</v>
      </c>
      <c r="Z17" s="693">
        <f>COUNTIF(BLT!BN4:BN53,"55")</f>
        <v>0</v>
      </c>
      <c r="AA17" s="693">
        <f>COUNTIF(BLT!BO4:BO53,"55")</f>
        <v>0</v>
      </c>
      <c r="AB17" s="693">
        <f>COUNTIF(BLT!BP4:BP53,"55")</f>
        <v>0</v>
      </c>
      <c r="AC17" s="693">
        <f>COUNTIF(BLT!BQ4:BQ53,"55")</f>
        <v>0</v>
      </c>
      <c r="AD17" s="693">
        <f>COUNTIF(BLT!BR4:BR53,"55")</f>
        <v>0</v>
      </c>
      <c r="AE17" s="693">
        <f>COUNTIF(BLT!BS4:BS53,"55")</f>
        <v>0</v>
      </c>
      <c r="AF17" s="693">
        <f>COUNTIF(BLT!BT4:BT53,"55")</f>
        <v>0</v>
      </c>
      <c r="AG17" s="693">
        <f>COUNTIF(BLT!BU4:BU53,"55")</f>
        <v>0</v>
      </c>
      <c r="AH17" s="693">
        <f>COUNTIF(BLT!BV4:BV53,"55")</f>
        <v>0</v>
      </c>
      <c r="AI17" s="693">
        <f>COUNTIF(BLT!BW4:BW53,"55")</f>
        <v>0</v>
      </c>
      <c r="AJ17" s="693">
        <f>COUNTIF(BLT!BX4:BX53,"55")</f>
        <v>0</v>
      </c>
      <c r="AK17" s="693">
        <f>COUNTIF(BLT!BY4:BY53,"55")</f>
        <v>0</v>
      </c>
      <c r="AL17" s="693">
        <f>COUNTIF(BLT!BZ4:BZ53,"55")</f>
        <v>0</v>
      </c>
      <c r="AM17" s="693">
        <f>COUNTIF(BLT!CA4:CA53,"55")</f>
        <v>0</v>
      </c>
      <c r="AN17" s="693">
        <f>COUNTIF(BLT!CB4:CB53,"55")</f>
        <v>0</v>
      </c>
      <c r="AO17" s="693">
        <f>COUNTIF(BLT!CC4:CC53,"55")</f>
        <v>0</v>
      </c>
    </row>
    <row r="18" spans="1:41">
      <c r="A18" s="7" t="s">
        <v>875</v>
      </c>
      <c r="B18" s="675">
        <v>50</v>
      </c>
      <c r="C18" s="693">
        <f>COUNTIF(BLT!AQ4:AQ53,"50")</f>
        <v>0</v>
      </c>
      <c r="D18" s="693">
        <f>COUNTIF(BLT!AR4:AR53,"50")</f>
        <v>0</v>
      </c>
      <c r="E18" s="693">
        <f>COUNTIF(BLT!AS4:AS53,"50")</f>
        <v>0</v>
      </c>
      <c r="F18" s="693">
        <f>COUNTIF(BLT!AT4:AT53,"50")</f>
        <v>0</v>
      </c>
      <c r="G18" s="693">
        <f>COUNTIF(BLT!AU4:AU53,"50")</f>
        <v>0</v>
      </c>
      <c r="H18" s="693">
        <f>COUNTIF(BLT!AV4:AV53,"50")</f>
        <v>0</v>
      </c>
      <c r="I18" s="693">
        <f>COUNTIF(BLT!AW4:AW53,"50")</f>
        <v>0</v>
      </c>
      <c r="J18" s="693">
        <f>COUNTIF(BLT!AX4:AX53,"50")</f>
        <v>0</v>
      </c>
      <c r="K18" s="693">
        <f>COUNTIF(BLT!AY4:AY53,"50")</f>
        <v>0</v>
      </c>
      <c r="L18" s="693">
        <f>COUNTIF(BLT!AZ4:AZ53,"50")</f>
        <v>0</v>
      </c>
      <c r="M18" s="693">
        <f>COUNTIF(BLT!BA4:BA53,"50")</f>
        <v>0</v>
      </c>
      <c r="N18" s="693">
        <f>COUNTIF(BLT!BB4:BB53,"50")</f>
        <v>0</v>
      </c>
      <c r="O18" s="693">
        <f>COUNTIF(BLT!BC4:BC53,"50")</f>
        <v>0</v>
      </c>
      <c r="P18" s="693">
        <f>COUNTIF(BLT!BD4:BD53,"50")</f>
        <v>0</v>
      </c>
      <c r="Q18" s="693">
        <f>COUNTIF(BLT!BE4:BE53,"50")</f>
        <v>1</v>
      </c>
      <c r="R18" s="693">
        <f>COUNTIF(BLT!BF4:BF53,"50")</f>
        <v>0</v>
      </c>
      <c r="S18" s="693">
        <f>COUNTIF(BLT!BG4:BG53,"50")</f>
        <v>0</v>
      </c>
      <c r="T18" s="693">
        <f>COUNTIF(BLT!BH4:BH53,"50")</f>
        <v>0</v>
      </c>
      <c r="U18" s="693">
        <f>COUNTIF(BLT!BI4:BI53,"50")</f>
        <v>0</v>
      </c>
      <c r="V18" s="693">
        <f>COUNTIF(BLT!BJ4:BJ53,"50")</f>
        <v>0</v>
      </c>
      <c r="W18" s="693">
        <f>COUNTIF(BLT!BK4:BK53,"50")</f>
        <v>0</v>
      </c>
      <c r="X18" s="693">
        <f>COUNTIF(BLT!BL4:BL53,"50")</f>
        <v>0</v>
      </c>
      <c r="Y18" s="693">
        <f>COUNTIF(BLT!BM4:BM53,"50")</f>
        <v>0</v>
      </c>
      <c r="Z18" s="693">
        <f>COUNTIF(BLT!BN4:BN53,"50")</f>
        <v>1</v>
      </c>
      <c r="AA18" s="693">
        <f>COUNTIF(BLT!BO4:BO53,"50")</f>
        <v>0</v>
      </c>
      <c r="AB18" s="693">
        <f>COUNTIF(BLT!BP4:BP53,"50")</f>
        <v>0</v>
      </c>
      <c r="AC18" s="693">
        <f>COUNTIF(BLT!BQ4:BQ53,"50")</f>
        <v>0</v>
      </c>
      <c r="AD18" s="693">
        <f>COUNTIF(BLT!BR4:BR53,"50")</f>
        <v>0</v>
      </c>
      <c r="AE18" s="693">
        <f>COUNTIF(BLT!BS4:BS53,"50")</f>
        <v>0</v>
      </c>
      <c r="AF18" s="693">
        <f>COUNTIF(BLT!BT4:BT53,"50")</f>
        <v>1</v>
      </c>
      <c r="AG18" s="693">
        <f>COUNTIF(BLT!BU4:BU53,"50")</f>
        <v>0</v>
      </c>
      <c r="AH18" s="693">
        <f>COUNTIF(BLT!BV4:BV53,"50")</f>
        <v>0</v>
      </c>
      <c r="AI18" s="693">
        <f>COUNTIF(BLT!BW4:BW53,"50")</f>
        <v>0</v>
      </c>
      <c r="AJ18" s="693">
        <f>COUNTIF(BLT!BX4:BX53,"50")</f>
        <v>0</v>
      </c>
      <c r="AK18" s="693">
        <f>COUNTIF(BLT!BY4:BY53,"50")</f>
        <v>1</v>
      </c>
      <c r="AL18" s="693">
        <f>COUNTIF(BLT!BZ4:BZ53,"50")</f>
        <v>0</v>
      </c>
      <c r="AM18" s="693">
        <f>COUNTIF(BLT!CA4:CA53,"50")</f>
        <v>0</v>
      </c>
      <c r="AN18" s="693">
        <f>COUNTIF(BLT!CB4:CB53,"50")</f>
        <v>0</v>
      </c>
      <c r="AO18" s="693">
        <f>COUNTIF(BLT!CC4:CC53,"50")</f>
        <v>0</v>
      </c>
    </row>
    <row r="19" spans="1:41">
      <c r="A19" s="7" t="s">
        <v>876</v>
      </c>
      <c r="B19" s="676">
        <v>45</v>
      </c>
      <c r="C19" s="693">
        <f>COUNTIF(BLT!AQ4:AQ53,"45")</f>
        <v>0</v>
      </c>
      <c r="D19" s="693">
        <f>COUNTIF(BLT!AR4:AR53,"45")</f>
        <v>0</v>
      </c>
      <c r="E19" s="693">
        <f>COUNTIF(BLT!AS4:AS53,"45")</f>
        <v>0</v>
      </c>
      <c r="F19" s="693">
        <f>COUNTIF(BLT!AT4:AT53,"45")</f>
        <v>0</v>
      </c>
      <c r="G19" s="693">
        <f>COUNTIF(BLT!AU4:AU53,"45")</f>
        <v>0</v>
      </c>
      <c r="H19" s="693">
        <f>COUNTIF(BLT!AV4:AV53,"45")</f>
        <v>0</v>
      </c>
      <c r="I19" s="693">
        <f>COUNTIF(BLT!AW4:AW53,"45")</f>
        <v>0</v>
      </c>
      <c r="J19" s="693">
        <f>COUNTIF(BLT!AX4:AX53,"45")</f>
        <v>0</v>
      </c>
      <c r="K19" s="693">
        <f>COUNTIF(BLT!AY4:AY53,"45")</f>
        <v>0</v>
      </c>
      <c r="L19" s="693">
        <f>COUNTIF(BLT!AZ4:AZ53,"45")</f>
        <v>0</v>
      </c>
      <c r="M19" s="693">
        <f>COUNTIF(BLT!BA4:BA53,"45")</f>
        <v>0</v>
      </c>
      <c r="N19" s="693">
        <f>COUNTIF(BLT!BB4:BB53,"45")</f>
        <v>0</v>
      </c>
      <c r="O19" s="693">
        <f>COUNTIF(BLT!BC4:BC53,"45")</f>
        <v>0</v>
      </c>
      <c r="P19" s="693">
        <f>COUNTIF(BLT!BD4:BD53,"45")</f>
        <v>0</v>
      </c>
      <c r="Q19" s="693">
        <f>COUNTIF(BLT!BE4:BE53,"45")</f>
        <v>0</v>
      </c>
      <c r="R19" s="693">
        <f>COUNTIF(BLT!BF4:BF53,"45")</f>
        <v>0</v>
      </c>
      <c r="S19" s="693">
        <f>COUNTIF(BLT!BG4:BG53,"45")</f>
        <v>0</v>
      </c>
      <c r="T19" s="693">
        <f>COUNTIF(BLT!BH4:BH53,"45")</f>
        <v>0</v>
      </c>
      <c r="U19" s="693">
        <f>COUNTIF(BLT!BI4:BI53,"45")</f>
        <v>0</v>
      </c>
      <c r="V19" s="693">
        <f>COUNTIF(BLT!BJ4:BJ53,"45")</f>
        <v>0</v>
      </c>
      <c r="W19" s="693">
        <f>COUNTIF(BLT!BK4:BK53,"45")</f>
        <v>0</v>
      </c>
      <c r="X19" s="693">
        <f>COUNTIF(BLT!BL4:BL53,"45")</f>
        <v>0</v>
      </c>
      <c r="Y19" s="693">
        <f>COUNTIF(BLT!BM4:BM53,"45")</f>
        <v>0</v>
      </c>
      <c r="Z19" s="693">
        <f>COUNTIF(BLT!BN4:BN53,"45")</f>
        <v>0</v>
      </c>
      <c r="AA19" s="693">
        <f>COUNTIF(BLT!BO4:BO53,"45")</f>
        <v>0</v>
      </c>
      <c r="AB19" s="693">
        <f>COUNTIF(BLT!BP4:BP53,"45")</f>
        <v>0</v>
      </c>
      <c r="AC19" s="693">
        <f>COUNTIF(BLT!BQ4:BQ53,"45")</f>
        <v>0</v>
      </c>
      <c r="AD19" s="693">
        <f>COUNTIF(BLT!BR4:BR53,"45")</f>
        <v>0</v>
      </c>
      <c r="AE19" s="693">
        <f>COUNTIF(BLT!BS4:BS53,"45")</f>
        <v>0</v>
      </c>
      <c r="AF19" s="693">
        <f>COUNTIF(BLT!BT4:BT53,"45")</f>
        <v>0</v>
      </c>
      <c r="AG19" s="693">
        <f>COUNTIF(BLT!BU4:BU53,"45")</f>
        <v>0</v>
      </c>
      <c r="AH19" s="693">
        <f>COUNTIF(BLT!BV4:BV53,"45")</f>
        <v>0</v>
      </c>
      <c r="AI19" s="693">
        <f>COUNTIF(BLT!BW4:BW53,"45")</f>
        <v>0</v>
      </c>
      <c r="AJ19" s="693">
        <f>COUNTIF(BLT!BX4:BX53,"45")</f>
        <v>0</v>
      </c>
      <c r="AK19" s="693">
        <f>COUNTIF(BLT!BY4:BY53,"45")</f>
        <v>0</v>
      </c>
      <c r="AL19" s="693">
        <f>COUNTIF(BLT!BZ4:BZ53,"45")</f>
        <v>0</v>
      </c>
      <c r="AM19" s="693">
        <f>COUNTIF(BLT!CA4:CA53,"45")</f>
        <v>0</v>
      </c>
      <c r="AN19" s="693">
        <f>COUNTIF(BLT!CB4:CB53,"45")</f>
        <v>0</v>
      </c>
      <c r="AO19" s="693">
        <f>COUNTIF(BLT!CC4:CC53,"45")</f>
        <v>0</v>
      </c>
    </row>
    <row r="20" spans="1:41">
      <c r="A20" s="7" t="s">
        <v>877</v>
      </c>
      <c r="B20" s="675">
        <v>40</v>
      </c>
      <c r="C20" s="693">
        <f>COUNTIF(BLT!AQ4:AQ53,"40")</f>
        <v>0</v>
      </c>
      <c r="D20" s="693">
        <f>COUNTIF(BLT!AR4:AR53,"40")</f>
        <v>0</v>
      </c>
      <c r="E20" s="693">
        <f>COUNTIF(BLT!AS4:AS53,"40")</f>
        <v>0</v>
      </c>
      <c r="F20" s="693">
        <f>COUNTIF(BLT!AT4:AT53,"40")</f>
        <v>0</v>
      </c>
      <c r="G20" s="693">
        <f>COUNTIF(BLT!AU4:AU53,"40")</f>
        <v>0</v>
      </c>
      <c r="H20" s="693">
        <f>COUNTIF(BLT!AV4:AV53,"40")</f>
        <v>0</v>
      </c>
      <c r="I20" s="693">
        <f>COUNTIF(BLT!AW4:AW53,"40")</f>
        <v>0</v>
      </c>
      <c r="J20" s="693">
        <f>COUNTIF(BLT!AX4:AX53,"40")</f>
        <v>0</v>
      </c>
      <c r="K20" s="693">
        <f>COUNTIF(BLT!AY4:AY53,"40")</f>
        <v>0</v>
      </c>
      <c r="L20" s="693">
        <f>COUNTIF(BLT!AZ4:AZ53,"40")</f>
        <v>0</v>
      </c>
      <c r="M20" s="693">
        <f>COUNTIF(BLT!BA4:BA53,"40")</f>
        <v>0</v>
      </c>
      <c r="N20" s="693">
        <f>COUNTIF(BLT!BB4:BB53,"40")</f>
        <v>0</v>
      </c>
      <c r="O20" s="693">
        <f>COUNTIF(BLT!BC4:BC53,"40")</f>
        <v>0</v>
      </c>
      <c r="P20" s="693">
        <f>COUNTIF(BLT!BD4:BD53,"40")</f>
        <v>0</v>
      </c>
      <c r="Q20" s="693">
        <f>COUNTIF(BLT!BE4:BE53,"40")</f>
        <v>0</v>
      </c>
      <c r="R20" s="693">
        <f>COUNTIF(BLT!BF4:BF53,"40")</f>
        <v>0</v>
      </c>
      <c r="S20" s="693">
        <f>COUNTIF(BLT!BG4:BG53,"40")</f>
        <v>0</v>
      </c>
      <c r="T20" s="693">
        <f>COUNTIF(BLT!BH4:BH53,"40")</f>
        <v>0</v>
      </c>
      <c r="U20" s="693">
        <f>COUNTIF(BLT!BI4:BI53,"40")</f>
        <v>0</v>
      </c>
      <c r="V20" s="693">
        <f>COUNTIF(BLT!BJ4:BJ53,"40")</f>
        <v>0</v>
      </c>
      <c r="W20" s="693">
        <f>COUNTIF(BLT!BK4:BK53,"40")</f>
        <v>0</v>
      </c>
      <c r="X20" s="693">
        <f>COUNTIF(BLT!BL4:BL53,"40")</f>
        <v>0</v>
      </c>
      <c r="Y20" s="693">
        <f>COUNTIF(BLT!BM4:BM53,"40")</f>
        <v>0</v>
      </c>
      <c r="Z20" s="693">
        <f>COUNTIF(BLT!BN4:BN53,"40")</f>
        <v>0</v>
      </c>
      <c r="AA20" s="693">
        <f>COUNTIF(BLT!BO4:BO53,"40")</f>
        <v>0</v>
      </c>
      <c r="AB20" s="693">
        <f>COUNTIF(BLT!BP4:BP53,"40")</f>
        <v>0</v>
      </c>
      <c r="AC20" s="693">
        <f>COUNTIF(BLT!BQ4:BQ53,"40")</f>
        <v>0</v>
      </c>
      <c r="AD20" s="693">
        <f>COUNTIF(BLT!BR4:BR53,"40")</f>
        <v>0</v>
      </c>
      <c r="AE20" s="693">
        <f>COUNTIF(BLT!BS4:BS53,"40")</f>
        <v>0</v>
      </c>
      <c r="AF20" s="693">
        <f>COUNTIF(BLT!BT4:BT53,"40")</f>
        <v>0</v>
      </c>
      <c r="AG20" s="693">
        <f>COUNTIF(BLT!BU4:BU53,"40")</f>
        <v>0</v>
      </c>
      <c r="AH20" s="693">
        <f>COUNTIF(BLT!BV4:BV53,"40")</f>
        <v>0</v>
      </c>
      <c r="AI20" s="693">
        <f>COUNTIF(BLT!BW4:BW53,"40")</f>
        <v>0</v>
      </c>
      <c r="AJ20" s="693">
        <f>COUNTIF(BLT!BX4:BX53,"40")</f>
        <v>0</v>
      </c>
      <c r="AK20" s="693">
        <f>COUNTIF(BLT!BY4:BY53,"40")</f>
        <v>0</v>
      </c>
      <c r="AL20" s="693">
        <f>COUNTIF(BLT!BZ4:BZ53,"40")</f>
        <v>0</v>
      </c>
      <c r="AM20" s="693">
        <f>COUNTIF(BLT!CA4:CA53,"40")</f>
        <v>0</v>
      </c>
      <c r="AN20" s="693">
        <f>COUNTIF(BLT!CB4:CB53,"40")</f>
        <v>0</v>
      </c>
      <c r="AO20" s="693">
        <f>COUNTIF(BLT!CC4:CC53,"40")</f>
        <v>0</v>
      </c>
    </row>
    <row r="21" spans="1:41">
      <c r="A21" s="7" t="s">
        <v>878</v>
      </c>
      <c r="B21" s="676">
        <v>35</v>
      </c>
      <c r="C21" s="693">
        <f>COUNTIF(BLT!AQ4:AQ53,"35")</f>
        <v>0</v>
      </c>
      <c r="D21" s="693">
        <f>COUNTIF(BLT!AR4:AR53,"35")</f>
        <v>0</v>
      </c>
      <c r="E21" s="693">
        <f>COUNTIF(BLT!AS4:AS53,"35")</f>
        <v>0</v>
      </c>
      <c r="F21" s="693">
        <f>COUNTIF(BLT!AT4:AT53,"35")</f>
        <v>0</v>
      </c>
      <c r="G21" s="693">
        <f>COUNTIF(BLT!AU4:AU53,"35")</f>
        <v>0</v>
      </c>
      <c r="H21" s="693">
        <f>COUNTIF(BLT!AV4:AV53,"35")</f>
        <v>0</v>
      </c>
      <c r="I21" s="693">
        <f>COUNTIF(BLT!AW4:AW53,"35")</f>
        <v>0</v>
      </c>
      <c r="J21" s="693">
        <f>COUNTIF(BLT!AX4:AX53,"35")</f>
        <v>0</v>
      </c>
      <c r="K21" s="693">
        <f>COUNTIF(BLT!AY4:AY53,"35")</f>
        <v>0</v>
      </c>
      <c r="L21" s="693">
        <f>COUNTIF(BLT!AZ4:AZ53,"35")</f>
        <v>0</v>
      </c>
      <c r="M21" s="693">
        <f>COUNTIF(BLT!BA4:BA53,"35")</f>
        <v>0</v>
      </c>
      <c r="N21" s="693">
        <f>COUNTIF(BLT!BB4:BB53,"35")</f>
        <v>0</v>
      </c>
      <c r="O21" s="693">
        <f>COUNTIF(BLT!BC4:BC53,"35")</f>
        <v>0</v>
      </c>
      <c r="P21" s="693">
        <f>COUNTIF(BLT!BD4:BD53,"35")</f>
        <v>0</v>
      </c>
      <c r="Q21" s="693">
        <f>COUNTIF(BLT!BE4:BE53,"35")</f>
        <v>0</v>
      </c>
      <c r="R21" s="693">
        <f>COUNTIF(BLT!BF4:BF53,"35")</f>
        <v>0</v>
      </c>
      <c r="S21" s="693">
        <f>COUNTIF(BLT!BG4:BG53,"35")</f>
        <v>0</v>
      </c>
      <c r="T21" s="693">
        <f>COUNTIF(BLT!BH4:BH53,"35")</f>
        <v>0</v>
      </c>
      <c r="U21" s="693">
        <f>COUNTIF(BLT!BI4:BI53,"35")</f>
        <v>0</v>
      </c>
      <c r="V21" s="693">
        <f>COUNTIF(BLT!BJ4:BJ53,"35")</f>
        <v>0</v>
      </c>
      <c r="W21" s="693">
        <f>COUNTIF(BLT!BK4:BK53,"35")</f>
        <v>0</v>
      </c>
      <c r="X21" s="693">
        <f>COUNTIF(BLT!BL4:BL53,"35")</f>
        <v>0</v>
      </c>
      <c r="Y21" s="693">
        <f>COUNTIF(BLT!BM4:BM53,"35")</f>
        <v>0</v>
      </c>
      <c r="Z21" s="693">
        <f>COUNTIF(BLT!BN4:BN53,"35")</f>
        <v>0</v>
      </c>
      <c r="AA21" s="693">
        <f>COUNTIF(BLT!BO4:BO53,"35")</f>
        <v>0</v>
      </c>
      <c r="AB21" s="693">
        <f>COUNTIF(BLT!BP4:BP53,"35")</f>
        <v>0</v>
      </c>
      <c r="AC21" s="693">
        <f>COUNTIF(BLT!BQ4:BQ53,"35")</f>
        <v>0</v>
      </c>
      <c r="AD21" s="693">
        <f>COUNTIF(BLT!BR4:BR53,"35")</f>
        <v>0</v>
      </c>
      <c r="AE21" s="693">
        <f>COUNTIF(BLT!BS4:BS53,"35")</f>
        <v>0</v>
      </c>
      <c r="AF21" s="693">
        <f>COUNTIF(BLT!BT4:BT53,"35")</f>
        <v>0</v>
      </c>
      <c r="AG21" s="693">
        <f>COUNTIF(BLT!BU4:BU53,"35")</f>
        <v>0</v>
      </c>
      <c r="AH21" s="693">
        <f>COUNTIF(BLT!BV4:BV53,"35")</f>
        <v>0</v>
      </c>
      <c r="AI21" s="693">
        <f>COUNTIF(BLT!BW4:BW53,"35")</f>
        <v>0</v>
      </c>
      <c r="AJ21" s="693">
        <f>COUNTIF(BLT!BX4:BX53,"35")</f>
        <v>0</v>
      </c>
      <c r="AK21" s="693">
        <f>COUNTIF(BLT!BY4:BY53,"35")</f>
        <v>0</v>
      </c>
      <c r="AL21" s="693">
        <f>COUNTIF(BLT!BZ4:BZ53,"35")</f>
        <v>0</v>
      </c>
      <c r="AM21" s="693">
        <f>COUNTIF(BLT!CA4:CA53,"35")</f>
        <v>0</v>
      </c>
      <c r="AN21" s="693">
        <f>COUNTIF(BLT!CB4:CB53,"35")</f>
        <v>0</v>
      </c>
      <c r="AO21" s="693">
        <f>COUNTIF(BLT!CC4:CC53,"35")</f>
        <v>0</v>
      </c>
    </row>
    <row r="22" spans="1:41">
      <c r="A22" s="7" t="s">
        <v>879</v>
      </c>
      <c r="B22" s="675">
        <v>30</v>
      </c>
      <c r="C22" s="693">
        <f>COUNTIF(BLT!AQ4:AQ53,"30")</f>
        <v>0</v>
      </c>
      <c r="D22" s="693">
        <f>COUNTIF(BLT!AR4:AR53,"30")</f>
        <v>0</v>
      </c>
      <c r="E22" s="693">
        <f>COUNTIF(BLT!AS4:AS53,"30")</f>
        <v>0</v>
      </c>
      <c r="F22" s="693">
        <f>COUNTIF(BLT!AT4:AT53,"30")</f>
        <v>0</v>
      </c>
      <c r="G22" s="693">
        <f>COUNTIF(BLT!AU4:AU53,"30")</f>
        <v>0</v>
      </c>
      <c r="H22" s="693">
        <f>COUNTIF(BLT!AV4:AV53,"30")</f>
        <v>0</v>
      </c>
      <c r="I22" s="693">
        <f>COUNTIF(BLT!AW4:AW53,"30")</f>
        <v>0</v>
      </c>
      <c r="J22" s="693">
        <f>COUNTIF(BLT!AX4:AX53,"30")</f>
        <v>0</v>
      </c>
      <c r="K22" s="693">
        <f>COUNTIF(BLT!AY4:AY53,"30")</f>
        <v>0</v>
      </c>
      <c r="L22" s="693">
        <f>COUNTIF(BLT!AZ4:AZ53,"30")</f>
        <v>0</v>
      </c>
      <c r="M22" s="693">
        <f>COUNTIF(BLT!BA4:BA53,"30")</f>
        <v>0</v>
      </c>
      <c r="N22" s="693">
        <f>COUNTIF(BLT!BB4:BB53,"30")</f>
        <v>0</v>
      </c>
      <c r="O22" s="693">
        <f>COUNTIF(BLT!BC4:BC53,"30")</f>
        <v>0</v>
      </c>
      <c r="P22" s="693">
        <f>COUNTIF(BLT!BD4:BD53,"30")</f>
        <v>0</v>
      </c>
      <c r="Q22" s="693">
        <f>COUNTIF(BLT!BE4:BE53,"30")</f>
        <v>0</v>
      </c>
      <c r="R22" s="693">
        <f>COUNTIF(BLT!BF4:BF53,"30")</f>
        <v>0</v>
      </c>
      <c r="S22" s="693">
        <f>COUNTIF(BLT!BG4:BG53,"30")</f>
        <v>0</v>
      </c>
      <c r="T22" s="693">
        <f>COUNTIF(BLT!BH4:BH53,"30")</f>
        <v>0</v>
      </c>
      <c r="U22" s="693">
        <f>COUNTIF(BLT!BI4:BI53,"30")</f>
        <v>0</v>
      </c>
      <c r="V22" s="693">
        <f>COUNTIF(BLT!BJ4:BJ53,"30")</f>
        <v>0</v>
      </c>
      <c r="W22" s="693">
        <f>COUNTIF(BLT!BK4:BK53,"30")</f>
        <v>0</v>
      </c>
      <c r="X22" s="693">
        <f>COUNTIF(BLT!BL4:BL53,"30")</f>
        <v>0</v>
      </c>
      <c r="Y22" s="693">
        <f>COUNTIF(BLT!BM4:BM53,"30")</f>
        <v>0</v>
      </c>
      <c r="Z22" s="693">
        <f>COUNTIF(BLT!BN4:BN53,"30")</f>
        <v>0</v>
      </c>
      <c r="AA22" s="693">
        <f>COUNTIF(BLT!BO4:BO53,"30")</f>
        <v>0</v>
      </c>
      <c r="AB22" s="693">
        <f>COUNTIF(BLT!BP4:BP53,"30")</f>
        <v>0</v>
      </c>
      <c r="AC22" s="693">
        <f>COUNTIF(BLT!BQ4:BQ53,"30")</f>
        <v>0</v>
      </c>
      <c r="AD22" s="693">
        <f>COUNTIF(BLT!BR4:BR53,"30")</f>
        <v>0</v>
      </c>
      <c r="AE22" s="693">
        <f>COUNTIF(BLT!BS4:BS53,"30")</f>
        <v>0</v>
      </c>
      <c r="AF22" s="693">
        <f>COUNTIF(BLT!BT4:BT53,"30")</f>
        <v>0</v>
      </c>
      <c r="AG22" s="693">
        <f>COUNTIF(BLT!BU4:BU53,"30")</f>
        <v>0</v>
      </c>
      <c r="AH22" s="693">
        <f>COUNTIF(BLT!BV4:BV53,"30")</f>
        <v>0</v>
      </c>
      <c r="AI22" s="693">
        <f>COUNTIF(BLT!BW4:BW53,"30")</f>
        <v>0</v>
      </c>
      <c r="AJ22" s="693">
        <f>COUNTIF(BLT!BX4:BX53,"30")</f>
        <v>0</v>
      </c>
      <c r="AK22" s="693">
        <f>COUNTIF(BLT!BY4:BY53,"30")</f>
        <v>0</v>
      </c>
      <c r="AL22" s="693">
        <f>COUNTIF(BLT!BZ4:BZ53,"30")</f>
        <v>0</v>
      </c>
      <c r="AM22" s="693">
        <f>COUNTIF(BLT!CA4:CA53,"30")</f>
        <v>0</v>
      </c>
      <c r="AN22" s="693">
        <f>COUNTIF(BLT!CB4:CB53,"30")</f>
        <v>0</v>
      </c>
      <c r="AO22" s="693">
        <f>COUNTIF(BLT!CC4:CC53,"30")</f>
        <v>0</v>
      </c>
    </row>
    <row r="23" spans="1:41">
      <c r="A23" s="7" t="s">
        <v>880</v>
      </c>
      <c r="B23" s="676">
        <v>25</v>
      </c>
      <c r="C23" s="693">
        <f>COUNTIF(BLT!AQ4:AQ53,"25")</f>
        <v>0</v>
      </c>
      <c r="D23" s="693">
        <f>COUNTIF(BLT!AR4:AR53,"25")</f>
        <v>0</v>
      </c>
      <c r="E23" s="693">
        <f>COUNTIF(BLT!AS4:AS53,"25")</f>
        <v>0</v>
      </c>
      <c r="F23" s="693">
        <f>COUNTIF(BLT!AT4:AT53,"25")</f>
        <v>0</v>
      </c>
      <c r="G23" s="693">
        <f>COUNTIF(BLT!AU4:AU53,"25")</f>
        <v>0</v>
      </c>
      <c r="H23" s="693">
        <f>COUNTIF(BLT!AV4:AV53,"25")</f>
        <v>0</v>
      </c>
      <c r="I23" s="693">
        <f>COUNTIF(BLT!AW4:AW53,"25")</f>
        <v>0</v>
      </c>
      <c r="J23" s="693">
        <f>COUNTIF(BLT!AX4:AX53,"25")</f>
        <v>0</v>
      </c>
      <c r="K23" s="693">
        <f>COUNTIF(BLT!AY4:AY53,"25")</f>
        <v>0</v>
      </c>
      <c r="L23" s="693">
        <f>COUNTIF(BLT!AZ4:AZ53,"25")</f>
        <v>0</v>
      </c>
      <c r="M23" s="693">
        <f>COUNTIF(BLT!BA4:BA53,"25")</f>
        <v>0</v>
      </c>
      <c r="N23" s="693">
        <f>COUNTIF(BLT!BB4:BB53,"25")</f>
        <v>0</v>
      </c>
      <c r="O23" s="693">
        <f>COUNTIF(BLT!BC4:BC53,"25")</f>
        <v>0</v>
      </c>
      <c r="P23" s="693">
        <f>COUNTIF(BLT!BD4:BD53,"25")</f>
        <v>0</v>
      </c>
      <c r="Q23" s="693">
        <f>COUNTIF(BLT!BE4:BE53,"25")</f>
        <v>0</v>
      </c>
      <c r="R23" s="693">
        <f>COUNTIF(BLT!BF4:BF53,"25")</f>
        <v>0</v>
      </c>
      <c r="S23" s="693">
        <f>COUNTIF(BLT!BG4:BG53,"25")</f>
        <v>0</v>
      </c>
      <c r="T23" s="693">
        <f>COUNTIF(BLT!BH4:BH53,"25")</f>
        <v>0</v>
      </c>
      <c r="U23" s="693">
        <f>COUNTIF(BLT!BI4:BI53,"25")</f>
        <v>0</v>
      </c>
      <c r="V23" s="693">
        <f>COUNTIF(BLT!BJ4:BJ53,"25")</f>
        <v>0</v>
      </c>
      <c r="W23" s="693">
        <f>COUNTIF(BLT!BK4:BK53,"25")</f>
        <v>0</v>
      </c>
      <c r="X23" s="693">
        <f>COUNTIF(BLT!BL4:BL53,"25")</f>
        <v>0</v>
      </c>
      <c r="Y23" s="693">
        <f>COUNTIF(BLT!BM4:BM53,"25")</f>
        <v>0</v>
      </c>
      <c r="Z23" s="693">
        <f>COUNTIF(BLT!BN4:BN53,"25")</f>
        <v>0</v>
      </c>
      <c r="AA23" s="693">
        <f>COUNTIF(BLT!BO4:BO53,"25")</f>
        <v>0</v>
      </c>
      <c r="AB23" s="693">
        <f>COUNTIF(BLT!BP4:BP53,"25")</f>
        <v>0</v>
      </c>
      <c r="AC23" s="693">
        <f>COUNTIF(BLT!BQ4:BQ53,"25")</f>
        <v>0</v>
      </c>
      <c r="AD23" s="693">
        <f>COUNTIF(BLT!BR4:BR53,"25")</f>
        <v>0</v>
      </c>
      <c r="AE23" s="693">
        <f>COUNTIF(BLT!BS4:BS53,"25")</f>
        <v>0</v>
      </c>
      <c r="AF23" s="693">
        <f>COUNTIF(BLT!BT4:BT53,"25")</f>
        <v>0</v>
      </c>
      <c r="AG23" s="693">
        <f>COUNTIF(BLT!BU4:BU53,"25")</f>
        <v>0</v>
      </c>
      <c r="AH23" s="693">
        <f>COUNTIF(BLT!BV4:BV53,"25")</f>
        <v>0</v>
      </c>
      <c r="AI23" s="693">
        <f>COUNTIF(BLT!BW4:BW53,"25")</f>
        <v>0</v>
      </c>
      <c r="AJ23" s="693">
        <f>COUNTIF(BLT!BX4:BX53,"25")</f>
        <v>0</v>
      </c>
      <c r="AK23" s="693">
        <f>COUNTIF(BLT!BY4:BY53,"25")</f>
        <v>0</v>
      </c>
      <c r="AL23" s="693">
        <f>COUNTIF(BLT!BZ4:BZ53,"25")</f>
        <v>0</v>
      </c>
      <c r="AM23" s="693">
        <f>COUNTIF(BLT!CA4:CA53,"25")</f>
        <v>0</v>
      </c>
      <c r="AN23" s="693">
        <f>COUNTIF(BLT!CB4:CB53,"25")</f>
        <v>0</v>
      </c>
      <c r="AO23" s="693">
        <f>COUNTIF(BLT!CC4:CC53,"25")</f>
        <v>0</v>
      </c>
    </row>
    <row r="24" spans="1:41">
      <c r="A24" s="7" t="s">
        <v>881</v>
      </c>
      <c r="B24" s="675">
        <v>20</v>
      </c>
      <c r="C24" s="693">
        <f>COUNTIF(BLT!AQ4:AQ53,"20")</f>
        <v>0</v>
      </c>
      <c r="D24" s="693">
        <f>COUNTIF(BLT!AR4:AR53,"20")</f>
        <v>0</v>
      </c>
      <c r="E24" s="693">
        <f>COUNTIF(BLT!AS4:AS53,"20")</f>
        <v>0</v>
      </c>
      <c r="F24" s="693">
        <f>COUNTIF(BLT!AT4:AT53,"20")</f>
        <v>0</v>
      </c>
      <c r="G24" s="693">
        <f>COUNTIF(BLT!AU4:AU53,"20")</f>
        <v>0</v>
      </c>
      <c r="H24" s="693">
        <f>COUNTIF(BLT!AV4:AV53,"20")</f>
        <v>0</v>
      </c>
      <c r="I24" s="693">
        <f>COUNTIF(BLT!AW4:AW53,"20")</f>
        <v>0</v>
      </c>
      <c r="J24" s="693">
        <f>COUNTIF(BLT!AX4:AX53,"20")</f>
        <v>0</v>
      </c>
      <c r="K24" s="693">
        <f>COUNTIF(BLT!AY4:AY53,"20")</f>
        <v>0</v>
      </c>
      <c r="L24" s="693">
        <f>COUNTIF(BLT!AZ4:AZ53,"20")</f>
        <v>0</v>
      </c>
      <c r="M24" s="693">
        <f>COUNTIF(BLT!BA4:BA53,"20")</f>
        <v>0</v>
      </c>
      <c r="N24" s="693">
        <f>COUNTIF(BLT!BB4:BB53,"20")</f>
        <v>0</v>
      </c>
      <c r="O24" s="693">
        <f>COUNTIF(BLT!BC4:BC53,"20")</f>
        <v>0</v>
      </c>
      <c r="P24" s="693">
        <f>COUNTIF(BLT!BD4:BD53,"20")</f>
        <v>0</v>
      </c>
      <c r="Q24" s="693">
        <f>COUNTIF(BLT!BE4:BE53,"20")</f>
        <v>0</v>
      </c>
      <c r="R24" s="693">
        <f>COUNTIF(BLT!BF4:BF53,"20")</f>
        <v>0</v>
      </c>
      <c r="S24" s="693">
        <f>COUNTIF(BLT!BG4:BG53,"20")</f>
        <v>0</v>
      </c>
      <c r="T24" s="693">
        <f>COUNTIF(BLT!BH4:BH53,"20")</f>
        <v>0</v>
      </c>
      <c r="U24" s="693">
        <f>COUNTIF(BLT!BI4:BI53,"20")</f>
        <v>0</v>
      </c>
      <c r="V24" s="693">
        <f>COUNTIF(BLT!BJ4:BJ53,"20")</f>
        <v>0</v>
      </c>
      <c r="W24" s="693">
        <f>COUNTIF(BLT!BK4:BK53,"20")</f>
        <v>0</v>
      </c>
      <c r="X24" s="693">
        <f>COUNTIF(BLT!BL4:BL53,"20")</f>
        <v>0</v>
      </c>
      <c r="Y24" s="693">
        <f>COUNTIF(BLT!BM4:BM53,"20")</f>
        <v>0</v>
      </c>
      <c r="Z24" s="693">
        <f>COUNTIF(BLT!BN4:BN53,"20")</f>
        <v>0</v>
      </c>
      <c r="AA24" s="693">
        <f>COUNTIF(BLT!BO4:BO53,"20")</f>
        <v>0</v>
      </c>
      <c r="AB24" s="693">
        <f>COUNTIF(BLT!BP4:BP53,"20")</f>
        <v>0</v>
      </c>
      <c r="AC24" s="693">
        <f>COUNTIF(BLT!BQ4:BQ53,"20")</f>
        <v>0</v>
      </c>
      <c r="AD24" s="693">
        <f>COUNTIF(BLT!BR4:BR53,"20")</f>
        <v>0</v>
      </c>
      <c r="AE24" s="693">
        <f>COUNTIF(BLT!BS4:BS53,"20")</f>
        <v>0</v>
      </c>
      <c r="AF24" s="693">
        <f>COUNTIF(BLT!BT4:BT53,"20")</f>
        <v>0</v>
      </c>
      <c r="AG24" s="693">
        <f>COUNTIF(BLT!BU4:BU53,"20")</f>
        <v>0</v>
      </c>
      <c r="AH24" s="693">
        <f>COUNTIF(BLT!BV4:BV53,"20")</f>
        <v>0</v>
      </c>
      <c r="AI24" s="693">
        <f>COUNTIF(BLT!BW4:BW53,"20")</f>
        <v>0</v>
      </c>
      <c r="AJ24" s="693">
        <f>COUNTIF(BLT!BX4:BX53,"20")</f>
        <v>0</v>
      </c>
      <c r="AK24" s="693">
        <f>COUNTIF(BLT!BY4:BY53,"20")</f>
        <v>0</v>
      </c>
      <c r="AL24" s="693">
        <f>COUNTIF(BLT!BZ4:BZ53,"20")</f>
        <v>0</v>
      </c>
      <c r="AM24" s="693">
        <f>COUNTIF(BLT!CA4:CA53,"20")</f>
        <v>0</v>
      </c>
      <c r="AN24" s="693">
        <f>COUNTIF(BLT!CB4:CB53,"20")</f>
        <v>0</v>
      </c>
      <c r="AO24" s="693">
        <f>COUNTIF(BLT!CC4:CC53,"20")</f>
        <v>0</v>
      </c>
    </row>
    <row r="25" spans="1:41">
      <c r="A25" s="7" t="s">
        <v>882</v>
      </c>
      <c r="B25" s="676">
        <v>15</v>
      </c>
      <c r="C25" s="693">
        <f>COUNTIF(BLT!AQ4:AQ53,"15")</f>
        <v>0</v>
      </c>
      <c r="D25" s="693">
        <f>COUNTIF(BLT!AR4:AR53,"15")</f>
        <v>0</v>
      </c>
      <c r="E25" s="693">
        <f>COUNTIF(BLT!AS4:AS53,"15")</f>
        <v>0</v>
      </c>
      <c r="F25" s="693">
        <f>COUNTIF(BLT!AT4:AT53,"15")</f>
        <v>0</v>
      </c>
      <c r="G25" s="693">
        <f>COUNTIF(BLT!AU4:AU53,"15")</f>
        <v>0</v>
      </c>
      <c r="H25" s="693">
        <f>COUNTIF(BLT!AV4:AV53,"15")</f>
        <v>0</v>
      </c>
      <c r="I25" s="693">
        <f>COUNTIF(BLT!AW4:AW53,"15")</f>
        <v>0</v>
      </c>
      <c r="J25" s="693">
        <f>COUNTIF(BLT!AX4:AX53,"15")</f>
        <v>0</v>
      </c>
      <c r="K25" s="693">
        <f>COUNTIF(BLT!AY4:AY53,"15")</f>
        <v>0</v>
      </c>
      <c r="L25" s="693">
        <f>COUNTIF(BLT!AZ4:AZ53,"15")</f>
        <v>0</v>
      </c>
      <c r="M25" s="693">
        <f>COUNTIF(BLT!BA4:BA53,"15")</f>
        <v>0</v>
      </c>
      <c r="N25" s="693">
        <f>COUNTIF(BLT!BB4:BB53,"15")</f>
        <v>0</v>
      </c>
      <c r="O25" s="693">
        <f>COUNTIF(BLT!BC4:BC53,"15")</f>
        <v>0</v>
      </c>
      <c r="P25" s="693">
        <f>COUNTIF(BLT!BD4:BD53,"15")</f>
        <v>0</v>
      </c>
      <c r="Q25" s="693">
        <f>COUNTIF(BLT!BE4:BE53,"15")</f>
        <v>0</v>
      </c>
      <c r="R25" s="693">
        <f>COUNTIF(BLT!BF4:BF53,"15")</f>
        <v>0</v>
      </c>
      <c r="S25" s="693">
        <f>COUNTIF(BLT!BG4:BG53,"15")</f>
        <v>0</v>
      </c>
      <c r="T25" s="693">
        <f>COUNTIF(BLT!BH4:BH53,"15")</f>
        <v>0</v>
      </c>
      <c r="U25" s="693">
        <f>COUNTIF(BLT!BI4:BI53,"15")</f>
        <v>0</v>
      </c>
      <c r="V25" s="693">
        <f>COUNTIF(BLT!BJ4:BJ53,"15")</f>
        <v>0</v>
      </c>
      <c r="W25" s="693">
        <f>COUNTIF(BLT!BK4:BK53,"15")</f>
        <v>0</v>
      </c>
      <c r="X25" s="693">
        <f>COUNTIF(BLT!BL4:BL53,"15")</f>
        <v>0</v>
      </c>
      <c r="Y25" s="693">
        <f>COUNTIF(BLT!BM4:BM53,"15")</f>
        <v>0</v>
      </c>
      <c r="Z25" s="693">
        <f>COUNTIF(BLT!BN4:BN53,"15")</f>
        <v>0</v>
      </c>
      <c r="AA25" s="693">
        <f>COUNTIF(BLT!BO4:BO53,"15")</f>
        <v>0</v>
      </c>
      <c r="AB25" s="693">
        <f>COUNTIF(BLT!BP4:BP53,"15")</f>
        <v>0</v>
      </c>
      <c r="AC25" s="693">
        <f>COUNTIF(BLT!BQ4:BQ53,"15")</f>
        <v>0</v>
      </c>
      <c r="AD25" s="693">
        <f>COUNTIF(BLT!BR4:BR53,"15")</f>
        <v>0</v>
      </c>
      <c r="AE25" s="693">
        <f>COUNTIF(BLT!BS4:BS53,"15")</f>
        <v>0</v>
      </c>
      <c r="AF25" s="693">
        <f>COUNTIF(BLT!BT4:BT53,"15")</f>
        <v>0</v>
      </c>
      <c r="AG25" s="693">
        <f>COUNTIF(BLT!BU4:BU53,"15")</f>
        <v>0</v>
      </c>
      <c r="AH25" s="693">
        <f>COUNTIF(BLT!BV4:BV53,"15")</f>
        <v>0</v>
      </c>
      <c r="AI25" s="693">
        <f>COUNTIF(BLT!BW4:BW53,"15")</f>
        <v>0</v>
      </c>
      <c r="AJ25" s="693">
        <f>COUNTIF(BLT!BX4:BX53,"15")</f>
        <v>0</v>
      </c>
      <c r="AK25" s="693">
        <f>COUNTIF(BLT!BY4:BY53,"15")</f>
        <v>0</v>
      </c>
      <c r="AL25" s="693">
        <f>COUNTIF(BLT!BZ4:BZ53,"15")</f>
        <v>0</v>
      </c>
      <c r="AM25" s="693">
        <f>COUNTIF(BLT!CA4:CA53,"15")</f>
        <v>0</v>
      </c>
      <c r="AN25" s="693">
        <f>COUNTIF(BLT!CB4:CB53,"15")</f>
        <v>0</v>
      </c>
      <c r="AO25" s="693">
        <f>COUNTIF(BLT!CC4:CC53,"15")</f>
        <v>0</v>
      </c>
    </row>
    <row r="26" spans="1:41">
      <c r="A26" s="7" t="s">
        <v>883</v>
      </c>
      <c r="B26" s="675">
        <v>10</v>
      </c>
      <c r="C26" s="693">
        <f>COUNTIF(BLT!AQ4:AQ53,"10")</f>
        <v>0</v>
      </c>
      <c r="D26" s="693">
        <f>COUNTIF(BLT!AR4:AR53,"10")</f>
        <v>0</v>
      </c>
      <c r="E26" s="693">
        <f>COUNTIF(BLT!AS4:AS53,"10")</f>
        <v>0</v>
      </c>
      <c r="F26" s="693">
        <f>COUNTIF(BLT!AT4:AT53,"10")</f>
        <v>0</v>
      </c>
      <c r="G26" s="693">
        <f>COUNTIF(BLT!AU4:AU53,"10")</f>
        <v>0</v>
      </c>
      <c r="H26" s="693">
        <f>COUNTIF(BLT!AV4:AV53,"10")</f>
        <v>0</v>
      </c>
      <c r="I26" s="693">
        <f>COUNTIF(BLT!AW4:AW53,"10")</f>
        <v>0</v>
      </c>
      <c r="J26" s="693">
        <f>COUNTIF(BLT!AX4:AX53,"10")</f>
        <v>0</v>
      </c>
      <c r="K26" s="693">
        <f>COUNTIF(BLT!AY4:AY53,"10")</f>
        <v>0</v>
      </c>
      <c r="L26" s="693">
        <f>COUNTIF(BLT!AZ4:AZ53,"10")</f>
        <v>0</v>
      </c>
      <c r="M26" s="693">
        <f>COUNTIF(BLT!BA4:BA53,"10")</f>
        <v>0</v>
      </c>
      <c r="N26" s="693">
        <f>COUNTIF(BLT!BB4:BB53,"10")</f>
        <v>0</v>
      </c>
      <c r="O26" s="693">
        <f>COUNTIF(BLT!BC4:BC53,"10")</f>
        <v>0</v>
      </c>
      <c r="P26" s="693">
        <f>COUNTIF(BLT!BD4:BD53,"10")</f>
        <v>0</v>
      </c>
      <c r="Q26" s="693">
        <f>COUNTIF(BLT!BE4:BE53,"10")</f>
        <v>0</v>
      </c>
      <c r="R26" s="693">
        <f>COUNTIF(BLT!BF4:BF53,"10")</f>
        <v>0</v>
      </c>
      <c r="S26" s="693">
        <f>COUNTIF(BLT!BG4:BG53,"10")</f>
        <v>0</v>
      </c>
      <c r="T26" s="693">
        <f>COUNTIF(BLT!BH4:BH53,"10")</f>
        <v>0</v>
      </c>
      <c r="U26" s="693">
        <f>COUNTIF(BLT!BI4:BI53,"10")</f>
        <v>0</v>
      </c>
      <c r="V26" s="693">
        <f>COUNTIF(BLT!BJ4:BJ53,"10")</f>
        <v>0</v>
      </c>
      <c r="W26" s="693">
        <f>COUNTIF(BLT!BK4:BK53,"10")</f>
        <v>0</v>
      </c>
      <c r="X26" s="693">
        <f>COUNTIF(BLT!BL4:BL53,"10")</f>
        <v>0</v>
      </c>
      <c r="Y26" s="693">
        <f>COUNTIF(BLT!BM4:BM53,"10")</f>
        <v>0</v>
      </c>
      <c r="Z26" s="693">
        <f>COUNTIF(BLT!BN4:BN53,"10")</f>
        <v>0</v>
      </c>
      <c r="AA26" s="693">
        <f>COUNTIF(BLT!BO4:BO53,"10")</f>
        <v>0</v>
      </c>
      <c r="AB26" s="693">
        <f>COUNTIF(BLT!BP4:BP53,"10")</f>
        <v>0</v>
      </c>
      <c r="AC26" s="693">
        <f>COUNTIF(BLT!BQ4:BQ53,"10")</f>
        <v>0</v>
      </c>
      <c r="AD26" s="693">
        <f>COUNTIF(BLT!BR4:BR53,"10")</f>
        <v>0</v>
      </c>
      <c r="AE26" s="693">
        <f>COUNTIF(BLT!BS4:BS53,"10")</f>
        <v>0</v>
      </c>
      <c r="AF26" s="693">
        <f>COUNTIF(BLT!BT4:BT53,"10")</f>
        <v>0</v>
      </c>
      <c r="AG26" s="693">
        <f>COUNTIF(BLT!BU4:BU53,"10")</f>
        <v>0</v>
      </c>
      <c r="AH26" s="693">
        <f>COUNTIF(BLT!BV4:BV53,"10")</f>
        <v>0</v>
      </c>
      <c r="AI26" s="693">
        <f>COUNTIF(BLT!BW4:BW53,"10")</f>
        <v>0</v>
      </c>
      <c r="AJ26" s="693">
        <f>COUNTIF(BLT!BX4:BX53,"10")</f>
        <v>0</v>
      </c>
      <c r="AK26" s="693">
        <f>COUNTIF(BLT!BY4:BY53,"10")</f>
        <v>0</v>
      </c>
      <c r="AL26" s="693">
        <f>COUNTIF(BLT!BZ4:BZ53,"10")</f>
        <v>0</v>
      </c>
      <c r="AM26" s="693">
        <f>COUNTIF(BLT!CA4:CA53,"10")</f>
        <v>0</v>
      </c>
      <c r="AN26" s="693">
        <f>COUNTIF(BLT!CB4:CB53,"10")</f>
        <v>0</v>
      </c>
      <c r="AO26" s="693">
        <f>COUNTIF(BLT!CC4:CC53,"10")</f>
        <v>0</v>
      </c>
    </row>
    <row r="27" spans="1:41" ht="24">
      <c r="A27" s="672" t="s">
        <v>884</v>
      </c>
      <c r="B27" s="677" t="s">
        <v>885</v>
      </c>
      <c r="C27" s="694">
        <f t="shared" ref="C27" si="0">SUM(C8:C26)</f>
        <v>50</v>
      </c>
      <c r="D27" s="694">
        <f t="shared" ref="D27:AO27" si="1">SUM(D8:D26)</f>
        <v>50</v>
      </c>
      <c r="E27" s="694">
        <f t="shared" si="1"/>
        <v>50</v>
      </c>
      <c r="F27" s="694">
        <f t="shared" si="1"/>
        <v>0</v>
      </c>
      <c r="G27" s="694">
        <f t="shared" si="1"/>
        <v>0</v>
      </c>
      <c r="H27" s="694">
        <f t="shared" si="1"/>
        <v>1</v>
      </c>
      <c r="I27" s="694">
        <f t="shared" si="1"/>
        <v>2</v>
      </c>
      <c r="J27" s="694">
        <f t="shared" si="1"/>
        <v>0</v>
      </c>
      <c r="K27" s="694">
        <f t="shared" si="1"/>
        <v>0</v>
      </c>
      <c r="L27" s="694">
        <f t="shared" si="1"/>
        <v>0</v>
      </c>
      <c r="M27" s="694">
        <f t="shared" si="1"/>
        <v>0</v>
      </c>
      <c r="N27" s="694">
        <f t="shared" si="1"/>
        <v>0</v>
      </c>
      <c r="O27" s="694">
        <f t="shared" si="1"/>
        <v>0</v>
      </c>
      <c r="P27" s="694">
        <f t="shared" si="1"/>
        <v>50</v>
      </c>
      <c r="Q27" s="694">
        <f t="shared" si="1"/>
        <v>50</v>
      </c>
      <c r="R27" s="694">
        <f t="shared" si="1"/>
        <v>2</v>
      </c>
      <c r="S27" s="694">
        <f t="shared" si="1"/>
        <v>2</v>
      </c>
      <c r="T27" s="694">
        <f t="shared" si="1"/>
        <v>2</v>
      </c>
      <c r="U27" s="694">
        <f t="shared" si="1"/>
        <v>0</v>
      </c>
      <c r="V27" s="694">
        <f t="shared" si="1"/>
        <v>0</v>
      </c>
      <c r="W27" s="694">
        <f t="shared" si="1"/>
        <v>0</v>
      </c>
      <c r="X27" s="694">
        <f t="shared" si="1"/>
        <v>2</v>
      </c>
      <c r="Y27" s="694">
        <f t="shared" si="1"/>
        <v>50</v>
      </c>
      <c r="Z27" s="694">
        <f t="shared" si="1"/>
        <v>50</v>
      </c>
      <c r="AA27" s="694">
        <f t="shared" si="1"/>
        <v>0</v>
      </c>
      <c r="AB27" s="694">
        <f t="shared" si="1"/>
        <v>0</v>
      </c>
      <c r="AC27" s="694">
        <f t="shared" si="1"/>
        <v>0</v>
      </c>
      <c r="AD27" s="694">
        <f t="shared" si="1"/>
        <v>2</v>
      </c>
      <c r="AE27" s="694">
        <f t="shared" si="1"/>
        <v>50</v>
      </c>
      <c r="AF27" s="694">
        <f t="shared" si="1"/>
        <v>50</v>
      </c>
      <c r="AG27" s="694">
        <f t="shared" si="1"/>
        <v>2</v>
      </c>
      <c r="AH27" s="694">
        <f t="shared" si="1"/>
        <v>0</v>
      </c>
      <c r="AI27" s="694">
        <f t="shared" si="1"/>
        <v>0</v>
      </c>
      <c r="AJ27" s="694">
        <f t="shared" si="1"/>
        <v>50</v>
      </c>
      <c r="AK27" s="694">
        <f t="shared" si="1"/>
        <v>50</v>
      </c>
      <c r="AL27" s="694">
        <f t="shared" si="1"/>
        <v>0</v>
      </c>
      <c r="AM27" s="694">
        <f t="shared" si="1"/>
        <v>0</v>
      </c>
      <c r="AN27" s="694">
        <f t="shared" si="1"/>
        <v>0</v>
      </c>
      <c r="AO27" s="694">
        <f t="shared" si="1"/>
        <v>0</v>
      </c>
    </row>
    <row r="28" spans="1:41" ht="24">
      <c r="A28" s="672" t="s">
        <v>886</v>
      </c>
      <c r="B28" s="677" t="s">
        <v>887</v>
      </c>
      <c r="C28" s="688">
        <f>($B$8*C8)+($B$9*C9)+($B$10*C10)+($B$11*C11)+($B$12*C12)+($B$13*C13)+($B$14*C14)+($B$15*C15)+($B$16*C16)+($B$17*C17)+($B$18*C18)+($B$19*C19)+($B$20*C20)+($B$21*C21)+($B$22*C22)+($B$23*C23)+($B$24*C24)+($B$25*C25)+($B$26*C26)</f>
        <v>4990</v>
      </c>
      <c r="D28" s="688">
        <f t="shared" ref="D28:AO28" si="2">($B$8*D8)+($B$9*D9)+($B$10*D10)+($B$11*D11)+($B$12*D12)+($B$13*D13)+($B$14*D14)+($B$15*D15)+($B$16*D16)+($B$17*D17)+($B$18*D18)+($B$19*D19)+($B$20*D20)+($B$21*D21)+($B$22*D22)+($B$23*D23)+($B$24*D24)+($B$25*D25)+($B$26*D26)</f>
        <v>4995</v>
      </c>
      <c r="E28" s="688">
        <f t="shared" si="2"/>
        <v>4995</v>
      </c>
      <c r="F28" s="688">
        <f t="shared" si="2"/>
        <v>0</v>
      </c>
      <c r="G28" s="688">
        <f t="shared" si="2"/>
        <v>0</v>
      </c>
      <c r="H28" s="688">
        <f t="shared" si="2"/>
        <v>80</v>
      </c>
      <c r="I28" s="688">
        <f t="shared" si="2"/>
        <v>170</v>
      </c>
      <c r="J28" s="688">
        <f t="shared" si="2"/>
        <v>0</v>
      </c>
      <c r="K28" s="688">
        <f t="shared" si="2"/>
        <v>0</v>
      </c>
      <c r="L28" s="688">
        <f t="shared" si="2"/>
        <v>0</v>
      </c>
      <c r="M28" s="688">
        <f t="shared" si="2"/>
        <v>0</v>
      </c>
      <c r="N28" s="688">
        <f t="shared" si="2"/>
        <v>0</v>
      </c>
      <c r="O28" s="688">
        <f t="shared" si="2"/>
        <v>0</v>
      </c>
      <c r="P28" s="688">
        <f t="shared" si="2"/>
        <v>4010</v>
      </c>
      <c r="Q28" s="688">
        <f t="shared" si="2"/>
        <v>3915</v>
      </c>
      <c r="R28" s="688">
        <f t="shared" si="2"/>
        <v>160</v>
      </c>
      <c r="S28" s="688">
        <f t="shared" si="2"/>
        <v>175</v>
      </c>
      <c r="T28" s="688">
        <f t="shared" si="2"/>
        <v>155</v>
      </c>
      <c r="U28" s="688">
        <f t="shared" si="2"/>
        <v>0</v>
      </c>
      <c r="V28" s="688">
        <f t="shared" si="2"/>
        <v>0</v>
      </c>
      <c r="W28" s="688">
        <f t="shared" si="2"/>
        <v>0</v>
      </c>
      <c r="X28" s="688">
        <f t="shared" si="2"/>
        <v>160</v>
      </c>
      <c r="Y28" s="688">
        <f t="shared" si="2"/>
        <v>4010</v>
      </c>
      <c r="Z28" s="688">
        <f t="shared" si="2"/>
        <v>3915</v>
      </c>
      <c r="AA28" s="688">
        <f t="shared" si="2"/>
        <v>0</v>
      </c>
      <c r="AB28" s="688">
        <f t="shared" si="2"/>
        <v>0</v>
      </c>
      <c r="AC28" s="688">
        <f t="shared" si="2"/>
        <v>0</v>
      </c>
      <c r="AD28" s="688">
        <f t="shared" si="2"/>
        <v>155</v>
      </c>
      <c r="AE28" s="688">
        <f t="shared" si="2"/>
        <v>4010</v>
      </c>
      <c r="AF28" s="688">
        <f t="shared" si="2"/>
        <v>3915</v>
      </c>
      <c r="AG28" s="688">
        <f t="shared" si="2"/>
        <v>175</v>
      </c>
      <c r="AH28" s="688">
        <f t="shared" si="2"/>
        <v>0</v>
      </c>
      <c r="AI28" s="688">
        <f t="shared" si="2"/>
        <v>0</v>
      </c>
      <c r="AJ28" s="688">
        <f t="shared" si="2"/>
        <v>4010</v>
      </c>
      <c r="AK28" s="688">
        <f t="shared" si="2"/>
        <v>3915</v>
      </c>
      <c r="AL28" s="688">
        <f t="shared" si="2"/>
        <v>0</v>
      </c>
      <c r="AM28" s="688">
        <f t="shared" si="2"/>
        <v>0</v>
      </c>
      <c r="AN28" s="688">
        <f t="shared" si="2"/>
        <v>0</v>
      </c>
      <c r="AO28" s="688">
        <f t="shared" si="2"/>
        <v>0</v>
      </c>
    </row>
    <row r="29" spans="1:41">
      <c r="A29" s="672" t="s">
        <v>888</v>
      </c>
      <c r="B29" s="677" t="s">
        <v>889</v>
      </c>
      <c r="C29" s="689">
        <f>'KI3'!$C$4</f>
        <v>63</v>
      </c>
      <c r="D29" s="689">
        <f>'KI3'!$C$4</f>
        <v>63</v>
      </c>
      <c r="E29" s="689">
        <f>'KI3'!$C$4</f>
        <v>63</v>
      </c>
      <c r="F29" s="689">
        <f>'KI3'!$C$4</f>
        <v>63</v>
      </c>
      <c r="G29" s="689">
        <f>'KI3'!$C$4</f>
        <v>63</v>
      </c>
      <c r="H29" s="689">
        <f>'KI3'!$C$4</f>
        <v>63</v>
      </c>
      <c r="I29" s="689">
        <f>'KI3'!$C$4</f>
        <v>63</v>
      </c>
      <c r="J29" s="689">
        <f>'KI3'!$C$4</f>
        <v>63</v>
      </c>
      <c r="K29" s="689">
        <f>'KI3'!$C$4</f>
        <v>63</v>
      </c>
      <c r="L29" s="689">
        <f>'KI3'!$C$4</f>
        <v>63</v>
      </c>
      <c r="M29" s="689">
        <f>'KI3'!$C$4</f>
        <v>63</v>
      </c>
      <c r="N29" s="689">
        <f>'KI3'!$C$4</f>
        <v>63</v>
      </c>
      <c r="O29" s="689">
        <f>'KI3'!$C$4</f>
        <v>63</v>
      </c>
      <c r="P29" s="689">
        <f>'KI3'!$C$18</f>
        <v>70</v>
      </c>
      <c r="Q29" s="689">
        <f>'KI3'!$C$18</f>
        <v>70</v>
      </c>
      <c r="R29" s="689">
        <f>'KI3'!$C$18</f>
        <v>70</v>
      </c>
      <c r="S29" s="689">
        <f>'KI3'!$C$18</f>
        <v>70</v>
      </c>
      <c r="T29" s="689">
        <f>'KI3'!$C$18</f>
        <v>70</v>
      </c>
      <c r="U29" s="689">
        <f>'KI3'!$C$18</f>
        <v>70</v>
      </c>
      <c r="V29" s="689">
        <f>'KI3'!$C$18</f>
        <v>70</v>
      </c>
      <c r="W29" s="689">
        <f>'KI3'!$C$18</f>
        <v>70</v>
      </c>
      <c r="X29" s="689">
        <f>'KI3'!$C$21</f>
        <v>61</v>
      </c>
      <c r="Y29" s="689">
        <f>'KI3'!$C$21</f>
        <v>61</v>
      </c>
      <c r="Z29" s="689">
        <f>'KI3'!$C$21</f>
        <v>61</v>
      </c>
      <c r="AA29" s="689">
        <f>'KI3'!$C$21</f>
        <v>61</v>
      </c>
      <c r="AB29" s="689">
        <f>'KI3'!$C$21</f>
        <v>61</v>
      </c>
      <c r="AC29" s="689">
        <f>'KI3'!$C$21</f>
        <v>61</v>
      </c>
      <c r="AD29" s="689">
        <f>'KI3'!$C$23</f>
        <v>62</v>
      </c>
      <c r="AE29" s="689">
        <f>'KI3'!$C$23</f>
        <v>62</v>
      </c>
      <c r="AF29" s="689">
        <f>'KI3'!$C$23</f>
        <v>62</v>
      </c>
      <c r="AG29" s="689">
        <f>'KI3'!$C$23</f>
        <v>62</v>
      </c>
      <c r="AH29" s="689">
        <f>'KI3'!$C$23</f>
        <v>62</v>
      </c>
      <c r="AI29" s="689">
        <f>'KI3'!$C$23</f>
        <v>62</v>
      </c>
      <c r="AJ29" s="689">
        <f>'KI3'!$C$25</f>
        <v>60</v>
      </c>
      <c r="AK29" s="689">
        <f>'KI3'!$C$25</f>
        <v>60</v>
      </c>
      <c r="AL29" s="689">
        <f>'KI3'!$C$25</f>
        <v>60</v>
      </c>
      <c r="AM29" s="689">
        <f>'KI3'!$C$25</f>
        <v>60</v>
      </c>
      <c r="AN29" s="689">
        <f>'KI3'!$C$25</f>
        <v>60</v>
      </c>
      <c r="AO29" s="689">
        <f>'KI3'!$C$25</f>
        <v>60</v>
      </c>
    </row>
    <row r="30" spans="1:41" hidden="1">
      <c r="A30" s="672"/>
      <c r="B30" s="678" t="s">
        <v>890</v>
      </c>
      <c r="C30" s="679"/>
      <c r="D30" s="679"/>
      <c r="E30" s="679"/>
      <c r="F30" s="679"/>
      <c r="G30" s="679"/>
      <c r="H30" s="679"/>
      <c r="I30" s="679"/>
      <c r="J30" s="679"/>
      <c r="K30" s="679"/>
      <c r="L30" s="679"/>
      <c r="M30" s="679"/>
      <c r="N30" s="679"/>
      <c r="O30" s="679"/>
      <c r="P30" s="679"/>
      <c r="Q30" s="679"/>
      <c r="R30" s="679"/>
      <c r="S30" s="679"/>
      <c r="T30" s="679"/>
      <c r="U30" s="679"/>
      <c r="V30" s="679"/>
      <c r="W30" s="679"/>
      <c r="X30" s="679"/>
      <c r="Y30" s="679"/>
      <c r="Z30" s="679"/>
      <c r="AA30" s="679"/>
      <c r="AB30" s="679"/>
      <c r="AC30" s="679"/>
      <c r="AD30" s="679"/>
      <c r="AE30" s="679"/>
      <c r="AF30" s="679"/>
      <c r="AG30" s="679"/>
      <c r="AH30" s="679"/>
      <c r="AI30" s="679"/>
      <c r="AJ30" s="679"/>
      <c r="AK30" s="679"/>
      <c r="AL30" s="679"/>
      <c r="AM30" s="679"/>
      <c r="AN30" s="679"/>
      <c r="AO30" s="679"/>
    </row>
    <row r="31" spans="1:41" hidden="1">
      <c r="A31" s="672"/>
      <c r="B31" s="675">
        <v>100</v>
      </c>
      <c r="C31" s="680">
        <f t="shared" ref="C31:C37" si="3">IF($B8&gt;C$29,1,IF($B8&lt;C$29,0,0))</f>
        <v>1</v>
      </c>
      <c r="D31" s="680">
        <f t="shared" ref="D31:AO37" si="4">IF($B8&gt;D$29,1,IF($B8&lt;D$29,0,0))</f>
        <v>1</v>
      </c>
      <c r="E31" s="680">
        <f t="shared" si="4"/>
        <v>1</v>
      </c>
      <c r="F31" s="680">
        <f t="shared" si="4"/>
        <v>1</v>
      </c>
      <c r="G31" s="680">
        <f t="shared" si="4"/>
        <v>1</v>
      </c>
      <c r="H31" s="680">
        <f t="shared" si="4"/>
        <v>1</v>
      </c>
      <c r="I31" s="680">
        <f t="shared" si="4"/>
        <v>1</v>
      </c>
      <c r="J31" s="680">
        <f t="shared" si="4"/>
        <v>1</v>
      </c>
      <c r="K31" s="680">
        <f t="shared" si="4"/>
        <v>1</v>
      </c>
      <c r="L31" s="680">
        <f t="shared" si="4"/>
        <v>1</v>
      </c>
      <c r="M31" s="680">
        <f t="shared" si="4"/>
        <v>1</v>
      </c>
      <c r="N31" s="680">
        <f t="shared" si="4"/>
        <v>1</v>
      </c>
      <c r="O31" s="680">
        <f t="shared" si="4"/>
        <v>1</v>
      </c>
      <c r="P31" s="680">
        <f t="shared" si="4"/>
        <v>1</v>
      </c>
      <c r="Q31" s="680">
        <f t="shared" si="4"/>
        <v>1</v>
      </c>
      <c r="R31" s="680">
        <f t="shared" si="4"/>
        <v>1</v>
      </c>
      <c r="S31" s="680">
        <f t="shared" si="4"/>
        <v>1</v>
      </c>
      <c r="T31" s="680">
        <f t="shared" si="4"/>
        <v>1</v>
      </c>
      <c r="U31" s="680">
        <f t="shared" si="4"/>
        <v>1</v>
      </c>
      <c r="V31" s="680">
        <f t="shared" si="4"/>
        <v>1</v>
      </c>
      <c r="W31" s="680">
        <f t="shared" si="4"/>
        <v>1</v>
      </c>
      <c r="X31" s="680">
        <f t="shared" si="4"/>
        <v>1</v>
      </c>
      <c r="Y31" s="680">
        <f t="shared" si="4"/>
        <v>1</v>
      </c>
      <c r="Z31" s="680">
        <f t="shared" si="4"/>
        <v>1</v>
      </c>
      <c r="AA31" s="680">
        <f t="shared" si="4"/>
        <v>1</v>
      </c>
      <c r="AB31" s="680">
        <f t="shared" si="4"/>
        <v>1</v>
      </c>
      <c r="AC31" s="680">
        <f t="shared" si="4"/>
        <v>1</v>
      </c>
      <c r="AD31" s="680">
        <f t="shared" si="4"/>
        <v>1</v>
      </c>
      <c r="AE31" s="680">
        <f t="shared" si="4"/>
        <v>1</v>
      </c>
      <c r="AF31" s="680">
        <f t="shared" si="4"/>
        <v>1</v>
      </c>
      <c r="AG31" s="680">
        <f t="shared" si="4"/>
        <v>1</v>
      </c>
      <c r="AH31" s="680">
        <f t="shared" si="4"/>
        <v>1</v>
      </c>
      <c r="AI31" s="680">
        <f t="shared" si="4"/>
        <v>1</v>
      </c>
      <c r="AJ31" s="680">
        <f t="shared" si="4"/>
        <v>1</v>
      </c>
      <c r="AK31" s="680">
        <f t="shared" si="4"/>
        <v>1</v>
      </c>
      <c r="AL31" s="680">
        <f t="shared" si="4"/>
        <v>1</v>
      </c>
      <c r="AM31" s="680">
        <f t="shared" si="4"/>
        <v>1</v>
      </c>
      <c r="AN31" s="680">
        <f t="shared" si="4"/>
        <v>1</v>
      </c>
      <c r="AO31" s="680">
        <f t="shared" si="4"/>
        <v>1</v>
      </c>
    </row>
    <row r="32" spans="1:41" hidden="1">
      <c r="A32" s="672"/>
      <c r="B32" s="676">
        <v>95</v>
      </c>
      <c r="C32" s="680">
        <f t="shared" si="3"/>
        <v>1</v>
      </c>
      <c r="D32" s="680">
        <f t="shared" si="4"/>
        <v>1</v>
      </c>
      <c r="E32" s="680">
        <f t="shared" si="4"/>
        <v>1</v>
      </c>
      <c r="F32" s="680">
        <f t="shared" si="4"/>
        <v>1</v>
      </c>
      <c r="G32" s="680">
        <f t="shared" si="4"/>
        <v>1</v>
      </c>
      <c r="H32" s="680">
        <f t="shared" si="4"/>
        <v>1</v>
      </c>
      <c r="I32" s="680">
        <f t="shared" si="4"/>
        <v>1</v>
      </c>
      <c r="J32" s="680">
        <f t="shared" si="4"/>
        <v>1</v>
      </c>
      <c r="K32" s="680">
        <f t="shared" si="4"/>
        <v>1</v>
      </c>
      <c r="L32" s="680">
        <f t="shared" si="4"/>
        <v>1</v>
      </c>
      <c r="M32" s="680">
        <f t="shared" si="4"/>
        <v>1</v>
      </c>
      <c r="N32" s="680">
        <f t="shared" si="4"/>
        <v>1</v>
      </c>
      <c r="O32" s="680">
        <f t="shared" si="4"/>
        <v>1</v>
      </c>
      <c r="P32" s="680">
        <f t="shared" si="4"/>
        <v>1</v>
      </c>
      <c r="Q32" s="680">
        <f t="shared" si="4"/>
        <v>1</v>
      </c>
      <c r="R32" s="680">
        <f t="shared" si="4"/>
        <v>1</v>
      </c>
      <c r="S32" s="680">
        <f t="shared" si="4"/>
        <v>1</v>
      </c>
      <c r="T32" s="680">
        <f t="shared" si="4"/>
        <v>1</v>
      </c>
      <c r="U32" s="680">
        <f t="shared" si="4"/>
        <v>1</v>
      </c>
      <c r="V32" s="680">
        <f t="shared" si="4"/>
        <v>1</v>
      </c>
      <c r="W32" s="680">
        <f t="shared" si="4"/>
        <v>1</v>
      </c>
      <c r="X32" s="680">
        <f t="shared" si="4"/>
        <v>1</v>
      </c>
      <c r="Y32" s="680">
        <f t="shared" si="4"/>
        <v>1</v>
      </c>
      <c r="Z32" s="680">
        <f t="shared" si="4"/>
        <v>1</v>
      </c>
      <c r="AA32" s="680">
        <f t="shared" si="4"/>
        <v>1</v>
      </c>
      <c r="AB32" s="680">
        <f t="shared" si="4"/>
        <v>1</v>
      </c>
      <c r="AC32" s="680">
        <f t="shared" si="4"/>
        <v>1</v>
      </c>
      <c r="AD32" s="680">
        <f t="shared" si="4"/>
        <v>1</v>
      </c>
      <c r="AE32" s="680">
        <f t="shared" si="4"/>
        <v>1</v>
      </c>
      <c r="AF32" s="680">
        <f t="shared" si="4"/>
        <v>1</v>
      </c>
      <c r="AG32" s="680">
        <f t="shared" si="4"/>
        <v>1</v>
      </c>
      <c r="AH32" s="680">
        <f t="shared" si="4"/>
        <v>1</v>
      </c>
      <c r="AI32" s="680">
        <f t="shared" si="4"/>
        <v>1</v>
      </c>
      <c r="AJ32" s="680">
        <f t="shared" si="4"/>
        <v>1</v>
      </c>
      <c r="AK32" s="680">
        <f t="shared" si="4"/>
        <v>1</v>
      </c>
      <c r="AL32" s="680">
        <f t="shared" si="4"/>
        <v>1</v>
      </c>
      <c r="AM32" s="680">
        <f t="shared" si="4"/>
        <v>1</v>
      </c>
      <c r="AN32" s="680">
        <f t="shared" si="4"/>
        <v>1</v>
      </c>
      <c r="AO32" s="680">
        <f t="shared" si="4"/>
        <v>1</v>
      </c>
    </row>
    <row r="33" spans="1:41" hidden="1">
      <c r="A33" s="672"/>
      <c r="B33" s="675">
        <v>90</v>
      </c>
      <c r="C33" s="680">
        <f t="shared" si="3"/>
        <v>1</v>
      </c>
      <c r="D33" s="680">
        <f t="shared" si="4"/>
        <v>1</v>
      </c>
      <c r="E33" s="680">
        <f t="shared" si="4"/>
        <v>1</v>
      </c>
      <c r="F33" s="680">
        <f t="shared" si="4"/>
        <v>1</v>
      </c>
      <c r="G33" s="680">
        <f t="shared" si="4"/>
        <v>1</v>
      </c>
      <c r="H33" s="680">
        <f t="shared" si="4"/>
        <v>1</v>
      </c>
      <c r="I33" s="680">
        <f t="shared" si="4"/>
        <v>1</v>
      </c>
      <c r="J33" s="680">
        <f t="shared" si="4"/>
        <v>1</v>
      </c>
      <c r="K33" s="680">
        <f t="shared" si="4"/>
        <v>1</v>
      </c>
      <c r="L33" s="680">
        <f t="shared" si="4"/>
        <v>1</v>
      </c>
      <c r="M33" s="680">
        <f t="shared" si="4"/>
        <v>1</v>
      </c>
      <c r="N33" s="680">
        <f t="shared" si="4"/>
        <v>1</v>
      </c>
      <c r="O33" s="680">
        <f t="shared" si="4"/>
        <v>1</v>
      </c>
      <c r="P33" s="680">
        <f t="shared" si="4"/>
        <v>1</v>
      </c>
      <c r="Q33" s="680">
        <f t="shared" si="4"/>
        <v>1</v>
      </c>
      <c r="R33" s="680">
        <f t="shared" si="4"/>
        <v>1</v>
      </c>
      <c r="S33" s="680">
        <f t="shared" si="4"/>
        <v>1</v>
      </c>
      <c r="T33" s="680">
        <f t="shared" si="4"/>
        <v>1</v>
      </c>
      <c r="U33" s="680">
        <f t="shared" si="4"/>
        <v>1</v>
      </c>
      <c r="V33" s="680">
        <f t="shared" si="4"/>
        <v>1</v>
      </c>
      <c r="W33" s="680">
        <f t="shared" si="4"/>
        <v>1</v>
      </c>
      <c r="X33" s="680">
        <f t="shared" si="4"/>
        <v>1</v>
      </c>
      <c r="Y33" s="680">
        <f t="shared" si="4"/>
        <v>1</v>
      </c>
      <c r="Z33" s="680">
        <f t="shared" si="4"/>
        <v>1</v>
      </c>
      <c r="AA33" s="680">
        <f t="shared" si="4"/>
        <v>1</v>
      </c>
      <c r="AB33" s="680">
        <f t="shared" si="4"/>
        <v>1</v>
      </c>
      <c r="AC33" s="680">
        <f t="shared" si="4"/>
        <v>1</v>
      </c>
      <c r="AD33" s="680">
        <f t="shared" si="4"/>
        <v>1</v>
      </c>
      <c r="AE33" s="680">
        <f t="shared" si="4"/>
        <v>1</v>
      </c>
      <c r="AF33" s="680">
        <f t="shared" si="4"/>
        <v>1</v>
      </c>
      <c r="AG33" s="680">
        <f t="shared" si="4"/>
        <v>1</v>
      </c>
      <c r="AH33" s="680">
        <f t="shared" si="4"/>
        <v>1</v>
      </c>
      <c r="AI33" s="680">
        <f t="shared" si="4"/>
        <v>1</v>
      </c>
      <c r="AJ33" s="680">
        <f t="shared" si="4"/>
        <v>1</v>
      </c>
      <c r="AK33" s="680">
        <f t="shared" si="4"/>
        <v>1</v>
      </c>
      <c r="AL33" s="680">
        <f t="shared" si="4"/>
        <v>1</v>
      </c>
      <c r="AM33" s="680">
        <f t="shared" si="4"/>
        <v>1</v>
      </c>
      <c r="AN33" s="680">
        <f t="shared" si="4"/>
        <v>1</v>
      </c>
      <c r="AO33" s="680">
        <f t="shared" si="4"/>
        <v>1</v>
      </c>
    </row>
    <row r="34" spans="1:41" hidden="1">
      <c r="A34" s="672"/>
      <c r="B34" s="676">
        <v>85</v>
      </c>
      <c r="C34" s="680">
        <f t="shared" si="3"/>
        <v>1</v>
      </c>
      <c r="D34" s="680">
        <f t="shared" si="4"/>
        <v>1</v>
      </c>
      <c r="E34" s="680">
        <f t="shared" si="4"/>
        <v>1</v>
      </c>
      <c r="F34" s="680">
        <f t="shared" si="4"/>
        <v>1</v>
      </c>
      <c r="G34" s="680">
        <f t="shared" si="4"/>
        <v>1</v>
      </c>
      <c r="H34" s="680">
        <f t="shared" si="4"/>
        <v>1</v>
      </c>
      <c r="I34" s="680">
        <f t="shared" si="4"/>
        <v>1</v>
      </c>
      <c r="J34" s="680">
        <f t="shared" si="4"/>
        <v>1</v>
      </c>
      <c r="K34" s="680">
        <f t="shared" si="4"/>
        <v>1</v>
      </c>
      <c r="L34" s="680">
        <f t="shared" si="4"/>
        <v>1</v>
      </c>
      <c r="M34" s="680">
        <f t="shared" si="4"/>
        <v>1</v>
      </c>
      <c r="N34" s="680">
        <f t="shared" si="4"/>
        <v>1</v>
      </c>
      <c r="O34" s="680">
        <f t="shared" si="4"/>
        <v>1</v>
      </c>
      <c r="P34" s="680">
        <f t="shared" si="4"/>
        <v>1</v>
      </c>
      <c r="Q34" s="680">
        <f t="shared" si="4"/>
        <v>1</v>
      </c>
      <c r="R34" s="680">
        <f t="shared" si="4"/>
        <v>1</v>
      </c>
      <c r="S34" s="680">
        <f t="shared" si="4"/>
        <v>1</v>
      </c>
      <c r="T34" s="680">
        <f t="shared" si="4"/>
        <v>1</v>
      </c>
      <c r="U34" s="680">
        <f t="shared" si="4"/>
        <v>1</v>
      </c>
      <c r="V34" s="680">
        <f t="shared" si="4"/>
        <v>1</v>
      </c>
      <c r="W34" s="680">
        <f t="shared" si="4"/>
        <v>1</v>
      </c>
      <c r="X34" s="680">
        <f t="shared" si="4"/>
        <v>1</v>
      </c>
      <c r="Y34" s="680">
        <f t="shared" si="4"/>
        <v>1</v>
      </c>
      <c r="Z34" s="680">
        <f t="shared" si="4"/>
        <v>1</v>
      </c>
      <c r="AA34" s="680">
        <f t="shared" si="4"/>
        <v>1</v>
      </c>
      <c r="AB34" s="680">
        <f t="shared" si="4"/>
        <v>1</v>
      </c>
      <c r="AC34" s="680">
        <f t="shared" si="4"/>
        <v>1</v>
      </c>
      <c r="AD34" s="680">
        <f t="shared" si="4"/>
        <v>1</v>
      </c>
      <c r="AE34" s="680">
        <f t="shared" si="4"/>
        <v>1</v>
      </c>
      <c r="AF34" s="680">
        <f t="shared" si="4"/>
        <v>1</v>
      </c>
      <c r="AG34" s="680">
        <f t="shared" si="4"/>
        <v>1</v>
      </c>
      <c r="AH34" s="680">
        <f t="shared" si="4"/>
        <v>1</v>
      </c>
      <c r="AI34" s="680">
        <f t="shared" si="4"/>
        <v>1</v>
      </c>
      <c r="AJ34" s="680">
        <f t="shared" si="4"/>
        <v>1</v>
      </c>
      <c r="AK34" s="680">
        <f t="shared" si="4"/>
        <v>1</v>
      </c>
      <c r="AL34" s="680">
        <f t="shared" si="4"/>
        <v>1</v>
      </c>
      <c r="AM34" s="680">
        <f t="shared" si="4"/>
        <v>1</v>
      </c>
      <c r="AN34" s="680">
        <f t="shared" si="4"/>
        <v>1</v>
      </c>
      <c r="AO34" s="680">
        <f t="shared" si="4"/>
        <v>1</v>
      </c>
    </row>
    <row r="35" spans="1:41" hidden="1">
      <c r="A35" s="672"/>
      <c r="B35" s="675">
        <v>80</v>
      </c>
      <c r="C35" s="680">
        <f t="shared" si="3"/>
        <v>1</v>
      </c>
      <c r="D35" s="680">
        <f t="shared" si="4"/>
        <v>1</v>
      </c>
      <c r="E35" s="680">
        <f t="shared" si="4"/>
        <v>1</v>
      </c>
      <c r="F35" s="680">
        <f t="shared" si="4"/>
        <v>1</v>
      </c>
      <c r="G35" s="680">
        <f t="shared" si="4"/>
        <v>1</v>
      </c>
      <c r="H35" s="680">
        <f t="shared" si="4"/>
        <v>1</v>
      </c>
      <c r="I35" s="680">
        <f t="shared" si="4"/>
        <v>1</v>
      </c>
      <c r="J35" s="680">
        <f t="shared" si="4"/>
        <v>1</v>
      </c>
      <c r="K35" s="680">
        <f t="shared" si="4"/>
        <v>1</v>
      </c>
      <c r="L35" s="680">
        <f t="shared" si="4"/>
        <v>1</v>
      </c>
      <c r="M35" s="680">
        <f t="shared" si="4"/>
        <v>1</v>
      </c>
      <c r="N35" s="680">
        <f t="shared" si="4"/>
        <v>1</v>
      </c>
      <c r="O35" s="680">
        <f t="shared" si="4"/>
        <v>1</v>
      </c>
      <c r="P35" s="680">
        <f t="shared" si="4"/>
        <v>1</v>
      </c>
      <c r="Q35" s="680">
        <f t="shared" si="4"/>
        <v>1</v>
      </c>
      <c r="R35" s="680">
        <f t="shared" si="4"/>
        <v>1</v>
      </c>
      <c r="S35" s="680">
        <f t="shared" si="4"/>
        <v>1</v>
      </c>
      <c r="T35" s="680">
        <f t="shared" si="4"/>
        <v>1</v>
      </c>
      <c r="U35" s="680">
        <f t="shared" si="4"/>
        <v>1</v>
      </c>
      <c r="V35" s="680">
        <f t="shared" si="4"/>
        <v>1</v>
      </c>
      <c r="W35" s="680">
        <f t="shared" si="4"/>
        <v>1</v>
      </c>
      <c r="X35" s="680">
        <f t="shared" si="4"/>
        <v>1</v>
      </c>
      <c r="Y35" s="680">
        <f t="shared" si="4"/>
        <v>1</v>
      </c>
      <c r="Z35" s="680">
        <f t="shared" si="4"/>
        <v>1</v>
      </c>
      <c r="AA35" s="680">
        <f t="shared" si="4"/>
        <v>1</v>
      </c>
      <c r="AB35" s="680">
        <f t="shared" si="4"/>
        <v>1</v>
      </c>
      <c r="AC35" s="680">
        <f t="shared" si="4"/>
        <v>1</v>
      </c>
      <c r="AD35" s="680">
        <f t="shared" si="4"/>
        <v>1</v>
      </c>
      <c r="AE35" s="680">
        <f t="shared" si="4"/>
        <v>1</v>
      </c>
      <c r="AF35" s="680">
        <f t="shared" si="4"/>
        <v>1</v>
      </c>
      <c r="AG35" s="680">
        <f t="shared" si="4"/>
        <v>1</v>
      </c>
      <c r="AH35" s="680">
        <f t="shared" si="4"/>
        <v>1</v>
      </c>
      <c r="AI35" s="680">
        <f t="shared" si="4"/>
        <v>1</v>
      </c>
      <c r="AJ35" s="680">
        <f t="shared" si="4"/>
        <v>1</v>
      </c>
      <c r="AK35" s="680">
        <f t="shared" si="4"/>
        <v>1</v>
      </c>
      <c r="AL35" s="680">
        <f t="shared" si="4"/>
        <v>1</v>
      </c>
      <c r="AM35" s="680">
        <f t="shared" si="4"/>
        <v>1</v>
      </c>
      <c r="AN35" s="680">
        <f t="shared" si="4"/>
        <v>1</v>
      </c>
      <c r="AO35" s="680">
        <f t="shared" si="4"/>
        <v>1</v>
      </c>
    </row>
    <row r="36" spans="1:41" hidden="1">
      <c r="A36" s="672"/>
      <c r="B36" s="676">
        <v>75</v>
      </c>
      <c r="C36" s="680">
        <f t="shared" si="3"/>
        <v>1</v>
      </c>
      <c r="D36" s="680">
        <f t="shared" si="4"/>
        <v>1</v>
      </c>
      <c r="E36" s="680">
        <f t="shared" si="4"/>
        <v>1</v>
      </c>
      <c r="F36" s="680">
        <f t="shared" si="4"/>
        <v>1</v>
      </c>
      <c r="G36" s="680">
        <f t="shared" si="4"/>
        <v>1</v>
      </c>
      <c r="H36" s="680">
        <f t="shared" si="4"/>
        <v>1</v>
      </c>
      <c r="I36" s="680">
        <f t="shared" si="4"/>
        <v>1</v>
      </c>
      <c r="J36" s="680">
        <f t="shared" si="4"/>
        <v>1</v>
      </c>
      <c r="K36" s="680">
        <f t="shared" si="4"/>
        <v>1</v>
      </c>
      <c r="L36" s="680">
        <f t="shared" si="4"/>
        <v>1</v>
      </c>
      <c r="M36" s="680">
        <f t="shared" si="4"/>
        <v>1</v>
      </c>
      <c r="N36" s="680">
        <f t="shared" si="4"/>
        <v>1</v>
      </c>
      <c r="O36" s="680">
        <f t="shared" si="4"/>
        <v>1</v>
      </c>
      <c r="P36" s="680">
        <f t="shared" si="4"/>
        <v>1</v>
      </c>
      <c r="Q36" s="680">
        <f t="shared" si="4"/>
        <v>1</v>
      </c>
      <c r="R36" s="680">
        <f t="shared" si="4"/>
        <v>1</v>
      </c>
      <c r="S36" s="680">
        <f t="shared" si="4"/>
        <v>1</v>
      </c>
      <c r="T36" s="680">
        <f t="shared" si="4"/>
        <v>1</v>
      </c>
      <c r="U36" s="680">
        <f t="shared" si="4"/>
        <v>1</v>
      </c>
      <c r="V36" s="680">
        <f t="shared" si="4"/>
        <v>1</v>
      </c>
      <c r="W36" s="680">
        <f t="shared" si="4"/>
        <v>1</v>
      </c>
      <c r="X36" s="680">
        <f t="shared" si="4"/>
        <v>1</v>
      </c>
      <c r="Y36" s="680">
        <f t="shared" si="4"/>
        <v>1</v>
      </c>
      <c r="Z36" s="680">
        <f t="shared" si="4"/>
        <v>1</v>
      </c>
      <c r="AA36" s="680">
        <f t="shared" si="4"/>
        <v>1</v>
      </c>
      <c r="AB36" s="680">
        <f t="shared" si="4"/>
        <v>1</v>
      </c>
      <c r="AC36" s="680">
        <f t="shared" si="4"/>
        <v>1</v>
      </c>
      <c r="AD36" s="680">
        <f t="shared" si="4"/>
        <v>1</v>
      </c>
      <c r="AE36" s="680">
        <f t="shared" si="4"/>
        <v>1</v>
      </c>
      <c r="AF36" s="680">
        <f t="shared" si="4"/>
        <v>1</v>
      </c>
      <c r="AG36" s="680">
        <f t="shared" si="4"/>
        <v>1</v>
      </c>
      <c r="AH36" s="680">
        <f t="shared" si="4"/>
        <v>1</v>
      </c>
      <c r="AI36" s="680">
        <f t="shared" si="4"/>
        <v>1</v>
      </c>
      <c r="AJ36" s="680">
        <f t="shared" si="4"/>
        <v>1</v>
      </c>
      <c r="AK36" s="680">
        <f t="shared" si="4"/>
        <v>1</v>
      </c>
      <c r="AL36" s="680">
        <f t="shared" si="4"/>
        <v>1</v>
      </c>
      <c r="AM36" s="680">
        <f t="shared" si="4"/>
        <v>1</v>
      </c>
      <c r="AN36" s="680">
        <f t="shared" si="4"/>
        <v>1</v>
      </c>
      <c r="AO36" s="680">
        <f t="shared" si="4"/>
        <v>1</v>
      </c>
    </row>
    <row r="37" spans="1:41" hidden="1">
      <c r="A37" s="672"/>
      <c r="B37" s="675">
        <v>70</v>
      </c>
      <c r="C37" s="680">
        <f t="shared" si="3"/>
        <v>1</v>
      </c>
      <c r="D37" s="680">
        <f t="shared" si="4"/>
        <v>1</v>
      </c>
      <c r="E37" s="680">
        <f t="shared" si="4"/>
        <v>1</v>
      </c>
      <c r="F37" s="680">
        <f t="shared" si="4"/>
        <v>1</v>
      </c>
      <c r="G37" s="680">
        <f t="shared" si="4"/>
        <v>1</v>
      </c>
      <c r="H37" s="680">
        <f t="shared" si="4"/>
        <v>1</v>
      </c>
      <c r="I37" s="680">
        <f t="shared" si="4"/>
        <v>1</v>
      </c>
      <c r="J37" s="680">
        <f t="shared" si="4"/>
        <v>1</v>
      </c>
      <c r="K37" s="680">
        <f t="shared" si="4"/>
        <v>1</v>
      </c>
      <c r="L37" s="680">
        <f t="shared" si="4"/>
        <v>1</v>
      </c>
      <c r="M37" s="680">
        <f t="shared" si="4"/>
        <v>1</v>
      </c>
      <c r="N37" s="680">
        <f t="shared" si="4"/>
        <v>1</v>
      </c>
      <c r="O37" s="680">
        <f t="shared" si="4"/>
        <v>1</v>
      </c>
      <c r="P37" s="680">
        <f t="shared" si="4"/>
        <v>0</v>
      </c>
      <c r="Q37" s="680">
        <f t="shared" si="4"/>
        <v>0</v>
      </c>
      <c r="R37" s="680">
        <f t="shared" si="4"/>
        <v>0</v>
      </c>
      <c r="S37" s="680">
        <f t="shared" si="4"/>
        <v>0</v>
      </c>
      <c r="T37" s="680">
        <f t="shared" si="4"/>
        <v>0</v>
      </c>
      <c r="U37" s="680">
        <f t="shared" si="4"/>
        <v>0</v>
      </c>
      <c r="V37" s="680">
        <f t="shared" si="4"/>
        <v>0</v>
      </c>
      <c r="W37" s="680">
        <f t="shared" si="4"/>
        <v>0</v>
      </c>
      <c r="X37" s="680">
        <f t="shared" si="4"/>
        <v>1</v>
      </c>
      <c r="Y37" s="680">
        <f t="shared" si="4"/>
        <v>1</v>
      </c>
      <c r="Z37" s="680">
        <f t="shared" si="4"/>
        <v>1</v>
      </c>
      <c r="AA37" s="680">
        <f t="shared" si="4"/>
        <v>1</v>
      </c>
      <c r="AB37" s="680">
        <f t="shared" si="4"/>
        <v>1</v>
      </c>
      <c r="AC37" s="680">
        <f t="shared" si="4"/>
        <v>1</v>
      </c>
      <c r="AD37" s="680">
        <f t="shared" si="4"/>
        <v>1</v>
      </c>
      <c r="AE37" s="680">
        <f t="shared" ref="AE37:AO37" si="5">IF($B14&gt;AE$29,1,IF($B14&lt;AE$29,0,0))</f>
        <v>1</v>
      </c>
      <c r="AF37" s="680">
        <f t="shared" si="5"/>
        <v>1</v>
      </c>
      <c r="AG37" s="680">
        <f t="shared" si="5"/>
        <v>1</v>
      </c>
      <c r="AH37" s="680">
        <f t="shared" si="5"/>
        <v>1</v>
      </c>
      <c r="AI37" s="680">
        <f t="shared" si="5"/>
        <v>1</v>
      </c>
      <c r="AJ37" s="680">
        <f t="shared" si="5"/>
        <v>1</v>
      </c>
      <c r="AK37" s="680">
        <f t="shared" si="5"/>
        <v>1</v>
      </c>
      <c r="AL37" s="680">
        <f t="shared" si="5"/>
        <v>1</v>
      </c>
      <c r="AM37" s="680">
        <f t="shared" si="5"/>
        <v>1</v>
      </c>
      <c r="AN37" s="680">
        <f t="shared" si="5"/>
        <v>1</v>
      </c>
      <c r="AO37" s="680">
        <f t="shared" si="5"/>
        <v>1</v>
      </c>
    </row>
    <row r="38" spans="1:41" hidden="1">
      <c r="A38" s="672"/>
      <c r="B38" s="676">
        <v>65</v>
      </c>
      <c r="C38" s="680">
        <f t="shared" ref="C38:C49" si="6">IF($B15&gt;C$29,1,IF($B15&lt;C$29,0,0))</f>
        <v>1</v>
      </c>
      <c r="D38" s="680">
        <f t="shared" ref="D38:AO38" si="7">IF($B15&gt;D$29,1,IF($B15&lt;D$29,0,0))</f>
        <v>1</v>
      </c>
      <c r="E38" s="680">
        <f t="shared" si="7"/>
        <v>1</v>
      </c>
      <c r="F38" s="680">
        <f t="shared" si="7"/>
        <v>1</v>
      </c>
      <c r="G38" s="680">
        <f t="shared" si="7"/>
        <v>1</v>
      </c>
      <c r="H38" s="680">
        <f t="shared" si="7"/>
        <v>1</v>
      </c>
      <c r="I38" s="680">
        <f t="shared" si="7"/>
        <v>1</v>
      </c>
      <c r="J38" s="680">
        <f t="shared" si="7"/>
        <v>1</v>
      </c>
      <c r="K38" s="680">
        <f t="shared" si="7"/>
        <v>1</v>
      </c>
      <c r="L38" s="680">
        <f t="shared" si="7"/>
        <v>1</v>
      </c>
      <c r="M38" s="680">
        <f t="shared" si="7"/>
        <v>1</v>
      </c>
      <c r="N38" s="680">
        <f t="shared" si="7"/>
        <v>1</v>
      </c>
      <c r="O38" s="680">
        <f t="shared" si="7"/>
        <v>1</v>
      </c>
      <c r="P38" s="680">
        <f t="shared" si="7"/>
        <v>0</v>
      </c>
      <c r="Q38" s="680">
        <f t="shared" si="7"/>
        <v>0</v>
      </c>
      <c r="R38" s="680">
        <f t="shared" si="7"/>
        <v>0</v>
      </c>
      <c r="S38" s="680">
        <f t="shared" si="7"/>
        <v>0</v>
      </c>
      <c r="T38" s="680">
        <f t="shared" si="7"/>
        <v>0</v>
      </c>
      <c r="U38" s="680">
        <f t="shared" si="7"/>
        <v>0</v>
      </c>
      <c r="V38" s="680">
        <f t="shared" si="7"/>
        <v>0</v>
      </c>
      <c r="W38" s="680">
        <f t="shared" si="7"/>
        <v>0</v>
      </c>
      <c r="X38" s="680">
        <f t="shared" si="7"/>
        <v>1</v>
      </c>
      <c r="Y38" s="680">
        <f t="shared" si="7"/>
        <v>1</v>
      </c>
      <c r="Z38" s="680">
        <f t="shared" si="7"/>
        <v>1</v>
      </c>
      <c r="AA38" s="680">
        <f t="shared" si="7"/>
        <v>1</v>
      </c>
      <c r="AB38" s="680">
        <f t="shared" si="7"/>
        <v>1</v>
      </c>
      <c r="AC38" s="680">
        <f t="shared" si="7"/>
        <v>1</v>
      </c>
      <c r="AD38" s="680">
        <f t="shared" si="7"/>
        <v>1</v>
      </c>
      <c r="AE38" s="680">
        <f t="shared" si="7"/>
        <v>1</v>
      </c>
      <c r="AF38" s="680">
        <f t="shared" si="7"/>
        <v>1</v>
      </c>
      <c r="AG38" s="680">
        <f t="shared" si="7"/>
        <v>1</v>
      </c>
      <c r="AH38" s="680">
        <f t="shared" si="7"/>
        <v>1</v>
      </c>
      <c r="AI38" s="680">
        <f t="shared" si="7"/>
        <v>1</v>
      </c>
      <c r="AJ38" s="680">
        <f t="shared" si="7"/>
        <v>1</v>
      </c>
      <c r="AK38" s="680">
        <f t="shared" si="7"/>
        <v>1</v>
      </c>
      <c r="AL38" s="680">
        <f t="shared" si="7"/>
        <v>1</v>
      </c>
      <c r="AM38" s="680">
        <f t="shared" si="7"/>
        <v>1</v>
      </c>
      <c r="AN38" s="680">
        <f t="shared" si="7"/>
        <v>1</v>
      </c>
      <c r="AO38" s="680">
        <f t="shared" si="7"/>
        <v>1</v>
      </c>
    </row>
    <row r="39" spans="1:41" hidden="1">
      <c r="A39" s="672"/>
      <c r="B39" s="675">
        <v>60</v>
      </c>
      <c r="C39" s="680">
        <f t="shared" si="6"/>
        <v>0</v>
      </c>
      <c r="D39" s="680">
        <f t="shared" ref="D39:AO39" si="8">IF($B16&gt;D$29,1,IF($B16&lt;D$29,0,0))</f>
        <v>0</v>
      </c>
      <c r="E39" s="680">
        <f t="shared" si="8"/>
        <v>0</v>
      </c>
      <c r="F39" s="680">
        <f t="shared" si="8"/>
        <v>0</v>
      </c>
      <c r="G39" s="680">
        <f t="shared" si="8"/>
        <v>0</v>
      </c>
      <c r="H39" s="680">
        <f t="shared" si="8"/>
        <v>0</v>
      </c>
      <c r="I39" s="680">
        <f t="shared" si="8"/>
        <v>0</v>
      </c>
      <c r="J39" s="680">
        <f t="shared" si="8"/>
        <v>0</v>
      </c>
      <c r="K39" s="680">
        <f t="shared" si="8"/>
        <v>0</v>
      </c>
      <c r="L39" s="680">
        <f t="shared" si="8"/>
        <v>0</v>
      </c>
      <c r="M39" s="680">
        <f t="shared" si="8"/>
        <v>0</v>
      </c>
      <c r="N39" s="680">
        <f t="shared" si="8"/>
        <v>0</v>
      </c>
      <c r="O39" s="680">
        <f t="shared" si="8"/>
        <v>0</v>
      </c>
      <c r="P39" s="680">
        <f t="shared" si="8"/>
        <v>0</v>
      </c>
      <c r="Q39" s="680">
        <f t="shared" si="8"/>
        <v>0</v>
      </c>
      <c r="R39" s="680">
        <f t="shared" si="8"/>
        <v>0</v>
      </c>
      <c r="S39" s="680">
        <f t="shared" si="8"/>
        <v>0</v>
      </c>
      <c r="T39" s="680">
        <f t="shared" si="8"/>
        <v>0</v>
      </c>
      <c r="U39" s="680">
        <f t="shared" si="8"/>
        <v>0</v>
      </c>
      <c r="V39" s="680">
        <f t="shared" si="8"/>
        <v>0</v>
      </c>
      <c r="W39" s="680">
        <f t="shared" si="8"/>
        <v>0</v>
      </c>
      <c r="X39" s="680">
        <f t="shared" si="8"/>
        <v>0</v>
      </c>
      <c r="Y39" s="680">
        <f t="shared" si="8"/>
        <v>0</v>
      </c>
      <c r="Z39" s="680">
        <f t="shared" si="8"/>
        <v>0</v>
      </c>
      <c r="AA39" s="680">
        <f t="shared" si="8"/>
        <v>0</v>
      </c>
      <c r="AB39" s="680">
        <f t="shared" si="8"/>
        <v>0</v>
      </c>
      <c r="AC39" s="680">
        <f t="shared" si="8"/>
        <v>0</v>
      </c>
      <c r="AD39" s="680">
        <f t="shared" si="8"/>
        <v>0</v>
      </c>
      <c r="AE39" s="680">
        <f t="shared" si="8"/>
        <v>0</v>
      </c>
      <c r="AF39" s="680">
        <f t="shared" si="8"/>
        <v>0</v>
      </c>
      <c r="AG39" s="680">
        <f t="shared" si="8"/>
        <v>0</v>
      </c>
      <c r="AH39" s="680">
        <f t="shared" si="8"/>
        <v>0</v>
      </c>
      <c r="AI39" s="680">
        <f t="shared" si="8"/>
        <v>0</v>
      </c>
      <c r="AJ39" s="680">
        <f t="shared" si="8"/>
        <v>0</v>
      </c>
      <c r="AK39" s="680">
        <f t="shared" si="8"/>
        <v>0</v>
      </c>
      <c r="AL39" s="680">
        <f t="shared" si="8"/>
        <v>0</v>
      </c>
      <c r="AM39" s="680">
        <f t="shared" si="8"/>
        <v>0</v>
      </c>
      <c r="AN39" s="680">
        <f t="shared" si="8"/>
        <v>0</v>
      </c>
      <c r="AO39" s="680">
        <f t="shared" si="8"/>
        <v>0</v>
      </c>
    </row>
    <row r="40" spans="1:41" hidden="1">
      <c r="A40" s="672"/>
      <c r="B40" s="676">
        <v>55</v>
      </c>
      <c r="C40" s="680">
        <f t="shared" si="6"/>
        <v>0</v>
      </c>
      <c r="D40" s="680">
        <f t="shared" ref="D40:AO40" si="9">IF($B17&gt;D$29,1,IF($B17&lt;D$29,0,0))</f>
        <v>0</v>
      </c>
      <c r="E40" s="680">
        <f t="shared" si="9"/>
        <v>0</v>
      </c>
      <c r="F40" s="680">
        <f t="shared" si="9"/>
        <v>0</v>
      </c>
      <c r="G40" s="680">
        <f t="shared" si="9"/>
        <v>0</v>
      </c>
      <c r="H40" s="680">
        <f t="shared" si="9"/>
        <v>0</v>
      </c>
      <c r="I40" s="680">
        <f t="shared" si="9"/>
        <v>0</v>
      </c>
      <c r="J40" s="680">
        <f t="shared" si="9"/>
        <v>0</v>
      </c>
      <c r="K40" s="680">
        <f t="shared" si="9"/>
        <v>0</v>
      </c>
      <c r="L40" s="680">
        <f t="shared" si="9"/>
        <v>0</v>
      </c>
      <c r="M40" s="680">
        <f t="shared" si="9"/>
        <v>0</v>
      </c>
      <c r="N40" s="680">
        <f t="shared" si="9"/>
        <v>0</v>
      </c>
      <c r="O40" s="680">
        <f t="shared" si="9"/>
        <v>0</v>
      </c>
      <c r="P40" s="680">
        <f t="shared" si="9"/>
        <v>0</v>
      </c>
      <c r="Q40" s="680">
        <f t="shared" si="9"/>
        <v>0</v>
      </c>
      <c r="R40" s="680">
        <f t="shared" si="9"/>
        <v>0</v>
      </c>
      <c r="S40" s="680">
        <f t="shared" si="9"/>
        <v>0</v>
      </c>
      <c r="T40" s="680">
        <f t="shared" si="9"/>
        <v>0</v>
      </c>
      <c r="U40" s="680">
        <f t="shared" si="9"/>
        <v>0</v>
      </c>
      <c r="V40" s="680">
        <f t="shared" si="9"/>
        <v>0</v>
      </c>
      <c r="W40" s="680">
        <f t="shared" si="9"/>
        <v>0</v>
      </c>
      <c r="X40" s="680">
        <f t="shared" si="9"/>
        <v>0</v>
      </c>
      <c r="Y40" s="680">
        <f t="shared" si="9"/>
        <v>0</v>
      </c>
      <c r="Z40" s="680">
        <f t="shared" si="9"/>
        <v>0</v>
      </c>
      <c r="AA40" s="680">
        <f t="shared" si="9"/>
        <v>0</v>
      </c>
      <c r="AB40" s="680">
        <f t="shared" si="9"/>
        <v>0</v>
      </c>
      <c r="AC40" s="680">
        <f t="shared" si="9"/>
        <v>0</v>
      </c>
      <c r="AD40" s="680">
        <f t="shared" si="9"/>
        <v>0</v>
      </c>
      <c r="AE40" s="680">
        <f t="shared" si="9"/>
        <v>0</v>
      </c>
      <c r="AF40" s="680">
        <f t="shared" si="9"/>
        <v>0</v>
      </c>
      <c r="AG40" s="680">
        <f t="shared" si="9"/>
        <v>0</v>
      </c>
      <c r="AH40" s="680">
        <f t="shared" si="9"/>
        <v>0</v>
      </c>
      <c r="AI40" s="680">
        <f t="shared" si="9"/>
        <v>0</v>
      </c>
      <c r="AJ40" s="680">
        <f t="shared" si="9"/>
        <v>0</v>
      </c>
      <c r="AK40" s="680">
        <f t="shared" si="9"/>
        <v>0</v>
      </c>
      <c r="AL40" s="680">
        <f t="shared" si="9"/>
        <v>0</v>
      </c>
      <c r="AM40" s="680">
        <f t="shared" si="9"/>
        <v>0</v>
      </c>
      <c r="AN40" s="680">
        <f t="shared" si="9"/>
        <v>0</v>
      </c>
      <c r="AO40" s="680">
        <f t="shared" si="9"/>
        <v>0</v>
      </c>
    </row>
    <row r="41" spans="1:41" hidden="1">
      <c r="A41" s="672"/>
      <c r="B41" s="675">
        <v>50</v>
      </c>
      <c r="C41" s="680">
        <f t="shared" si="6"/>
        <v>0</v>
      </c>
      <c r="D41" s="680">
        <f t="shared" ref="D41:AO41" si="10">IF($B18&gt;D$29,1,IF($B18&lt;D$29,0,0))</f>
        <v>0</v>
      </c>
      <c r="E41" s="680">
        <f t="shared" si="10"/>
        <v>0</v>
      </c>
      <c r="F41" s="680">
        <f t="shared" si="10"/>
        <v>0</v>
      </c>
      <c r="G41" s="680">
        <f t="shared" si="10"/>
        <v>0</v>
      </c>
      <c r="H41" s="680">
        <f t="shared" si="10"/>
        <v>0</v>
      </c>
      <c r="I41" s="680">
        <f t="shared" si="10"/>
        <v>0</v>
      </c>
      <c r="J41" s="680">
        <f t="shared" si="10"/>
        <v>0</v>
      </c>
      <c r="K41" s="680">
        <f t="shared" si="10"/>
        <v>0</v>
      </c>
      <c r="L41" s="680">
        <f t="shared" si="10"/>
        <v>0</v>
      </c>
      <c r="M41" s="680">
        <f t="shared" si="10"/>
        <v>0</v>
      </c>
      <c r="N41" s="680">
        <f t="shared" si="10"/>
        <v>0</v>
      </c>
      <c r="O41" s="680">
        <f t="shared" si="10"/>
        <v>0</v>
      </c>
      <c r="P41" s="680">
        <f t="shared" si="10"/>
        <v>0</v>
      </c>
      <c r="Q41" s="680">
        <f t="shared" si="10"/>
        <v>0</v>
      </c>
      <c r="R41" s="680">
        <f t="shared" si="10"/>
        <v>0</v>
      </c>
      <c r="S41" s="680">
        <f t="shared" si="10"/>
        <v>0</v>
      </c>
      <c r="T41" s="680">
        <f t="shared" si="10"/>
        <v>0</v>
      </c>
      <c r="U41" s="680">
        <f t="shared" si="10"/>
        <v>0</v>
      </c>
      <c r="V41" s="680">
        <f t="shared" si="10"/>
        <v>0</v>
      </c>
      <c r="W41" s="680">
        <f t="shared" si="10"/>
        <v>0</v>
      </c>
      <c r="X41" s="680">
        <f t="shared" si="10"/>
        <v>0</v>
      </c>
      <c r="Y41" s="680">
        <f t="shared" si="10"/>
        <v>0</v>
      </c>
      <c r="Z41" s="680">
        <f t="shared" si="10"/>
        <v>0</v>
      </c>
      <c r="AA41" s="680">
        <f t="shared" si="10"/>
        <v>0</v>
      </c>
      <c r="AB41" s="680">
        <f t="shared" si="10"/>
        <v>0</v>
      </c>
      <c r="AC41" s="680">
        <f t="shared" si="10"/>
        <v>0</v>
      </c>
      <c r="AD41" s="680">
        <f t="shared" si="10"/>
        <v>0</v>
      </c>
      <c r="AE41" s="680">
        <f t="shared" si="10"/>
        <v>0</v>
      </c>
      <c r="AF41" s="680">
        <f t="shared" si="10"/>
        <v>0</v>
      </c>
      <c r="AG41" s="680">
        <f t="shared" si="10"/>
        <v>0</v>
      </c>
      <c r="AH41" s="680">
        <f t="shared" si="10"/>
        <v>0</v>
      </c>
      <c r="AI41" s="680">
        <f t="shared" si="10"/>
        <v>0</v>
      </c>
      <c r="AJ41" s="680">
        <f t="shared" si="10"/>
        <v>0</v>
      </c>
      <c r="AK41" s="680">
        <f t="shared" si="10"/>
        <v>0</v>
      </c>
      <c r="AL41" s="680">
        <f t="shared" si="10"/>
        <v>0</v>
      </c>
      <c r="AM41" s="680">
        <f t="shared" si="10"/>
        <v>0</v>
      </c>
      <c r="AN41" s="680">
        <f t="shared" si="10"/>
        <v>0</v>
      </c>
      <c r="AO41" s="680">
        <f t="shared" si="10"/>
        <v>0</v>
      </c>
    </row>
    <row r="42" spans="1:41" hidden="1">
      <c r="A42" s="672"/>
      <c r="B42" s="676">
        <v>45</v>
      </c>
      <c r="C42" s="680">
        <f t="shared" si="6"/>
        <v>0</v>
      </c>
      <c r="D42" s="680">
        <f t="shared" ref="D42:AO42" si="11">IF($B19&gt;D$29,1,IF($B19&lt;D$29,0,0))</f>
        <v>0</v>
      </c>
      <c r="E42" s="680">
        <f t="shared" si="11"/>
        <v>0</v>
      </c>
      <c r="F42" s="680">
        <f t="shared" si="11"/>
        <v>0</v>
      </c>
      <c r="G42" s="680">
        <f t="shared" si="11"/>
        <v>0</v>
      </c>
      <c r="H42" s="680">
        <f t="shared" si="11"/>
        <v>0</v>
      </c>
      <c r="I42" s="680">
        <f t="shared" si="11"/>
        <v>0</v>
      </c>
      <c r="J42" s="680">
        <f t="shared" si="11"/>
        <v>0</v>
      </c>
      <c r="K42" s="680">
        <f t="shared" si="11"/>
        <v>0</v>
      </c>
      <c r="L42" s="680">
        <f t="shared" si="11"/>
        <v>0</v>
      </c>
      <c r="M42" s="680">
        <f t="shared" si="11"/>
        <v>0</v>
      </c>
      <c r="N42" s="680">
        <f t="shared" si="11"/>
        <v>0</v>
      </c>
      <c r="O42" s="680">
        <f t="shared" si="11"/>
        <v>0</v>
      </c>
      <c r="P42" s="680">
        <f t="shared" si="11"/>
        <v>0</v>
      </c>
      <c r="Q42" s="680">
        <f t="shared" si="11"/>
        <v>0</v>
      </c>
      <c r="R42" s="680">
        <f t="shared" si="11"/>
        <v>0</v>
      </c>
      <c r="S42" s="680">
        <f t="shared" si="11"/>
        <v>0</v>
      </c>
      <c r="T42" s="680">
        <f t="shared" si="11"/>
        <v>0</v>
      </c>
      <c r="U42" s="680">
        <f t="shared" si="11"/>
        <v>0</v>
      </c>
      <c r="V42" s="680">
        <f t="shared" si="11"/>
        <v>0</v>
      </c>
      <c r="W42" s="680">
        <f t="shared" si="11"/>
        <v>0</v>
      </c>
      <c r="X42" s="680">
        <f t="shared" si="11"/>
        <v>0</v>
      </c>
      <c r="Y42" s="680">
        <f t="shared" si="11"/>
        <v>0</v>
      </c>
      <c r="Z42" s="680">
        <f t="shared" si="11"/>
        <v>0</v>
      </c>
      <c r="AA42" s="680">
        <f t="shared" si="11"/>
        <v>0</v>
      </c>
      <c r="AB42" s="680">
        <f t="shared" si="11"/>
        <v>0</v>
      </c>
      <c r="AC42" s="680">
        <f t="shared" si="11"/>
        <v>0</v>
      </c>
      <c r="AD42" s="680">
        <f t="shared" si="11"/>
        <v>0</v>
      </c>
      <c r="AE42" s="680">
        <f t="shared" si="11"/>
        <v>0</v>
      </c>
      <c r="AF42" s="680">
        <f t="shared" si="11"/>
        <v>0</v>
      </c>
      <c r="AG42" s="680">
        <f t="shared" si="11"/>
        <v>0</v>
      </c>
      <c r="AH42" s="680">
        <f t="shared" si="11"/>
        <v>0</v>
      </c>
      <c r="AI42" s="680">
        <f t="shared" si="11"/>
        <v>0</v>
      </c>
      <c r="AJ42" s="680">
        <f t="shared" si="11"/>
        <v>0</v>
      </c>
      <c r="AK42" s="680">
        <f t="shared" si="11"/>
        <v>0</v>
      </c>
      <c r="AL42" s="680">
        <f t="shared" si="11"/>
        <v>0</v>
      </c>
      <c r="AM42" s="680">
        <f t="shared" si="11"/>
        <v>0</v>
      </c>
      <c r="AN42" s="680">
        <f t="shared" si="11"/>
        <v>0</v>
      </c>
      <c r="AO42" s="680">
        <f t="shared" si="11"/>
        <v>0</v>
      </c>
    </row>
    <row r="43" spans="1:41" hidden="1">
      <c r="A43" s="672"/>
      <c r="B43" s="675">
        <v>40</v>
      </c>
      <c r="C43" s="680">
        <f t="shared" si="6"/>
        <v>0</v>
      </c>
      <c r="D43" s="680">
        <f t="shared" ref="D43:AO43" si="12">IF($B20&gt;D$29,1,IF($B20&lt;D$29,0,0))</f>
        <v>0</v>
      </c>
      <c r="E43" s="680">
        <f t="shared" si="12"/>
        <v>0</v>
      </c>
      <c r="F43" s="680">
        <f t="shared" si="12"/>
        <v>0</v>
      </c>
      <c r="G43" s="680">
        <f t="shared" si="12"/>
        <v>0</v>
      </c>
      <c r="H43" s="680">
        <f t="shared" si="12"/>
        <v>0</v>
      </c>
      <c r="I43" s="680">
        <f t="shared" si="12"/>
        <v>0</v>
      </c>
      <c r="J43" s="680">
        <f t="shared" si="12"/>
        <v>0</v>
      </c>
      <c r="K43" s="680">
        <f t="shared" si="12"/>
        <v>0</v>
      </c>
      <c r="L43" s="680">
        <f t="shared" si="12"/>
        <v>0</v>
      </c>
      <c r="M43" s="680">
        <f t="shared" si="12"/>
        <v>0</v>
      </c>
      <c r="N43" s="680">
        <f t="shared" si="12"/>
        <v>0</v>
      </c>
      <c r="O43" s="680">
        <f t="shared" si="12"/>
        <v>0</v>
      </c>
      <c r="P43" s="680">
        <f t="shared" si="12"/>
        <v>0</v>
      </c>
      <c r="Q43" s="680">
        <f t="shared" si="12"/>
        <v>0</v>
      </c>
      <c r="R43" s="680">
        <f t="shared" si="12"/>
        <v>0</v>
      </c>
      <c r="S43" s="680">
        <f t="shared" si="12"/>
        <v>0</v>
      </c>
      <c r="T43" s="680">
        <f t="shared" si="12"/>
        <v>0</v>
      </c>
      <c r="U43" s="680">
        <f t="shared" si="12"/>
        <v>0</v>
      </c>
      <c r="V43" s="680">
        <f t="shared" si="12"/>
        <v>0</v>
      </c>
      <c r="W43" s="680">
        <f t="shared" si="12"/>
        <v>0</v>
      </c>
      <c r="X43" s="680">
        <f t="shared" si="12"/>
        <v>0</v>
      </c>
      <c r="Y43" s="680">
        <f t="shared" si="12"/>
        <v>0</v>
      </c>
      <c r="Z43" s="680">
        <f t="shared" si="12"/>
        <v>0</v>
      </c>
      <c r="AA43" s="680">
        <f t="shared" si="12"/>
        <v>0</v>
      </c>
      <c r="AB43" s="680">
        <f t="shared" si="12"/>
        <v>0</v>
      </c>
      <c r="AC43" s="680">
        <f t="shared" si="12"/>
        <v>0</v>
      </c>
      <c r="AD43" s="680">
        <f t="shared" si="12"/>
        <v>0</v>
      </c>
      <c r="AE43" s="680">
        <f t="shared" si="12"/>
        <v>0</v>
      </c>
      <c r="AF43" s="680">
        <f t="shared" si="12"/>
        <v>0</v>
      </c>
      <c r="AG43" s="680">
        <f t="shared" si="12"/>
        <v>0</v>
      </c>
      <c r="AH43" s="680">
        <f t="shared" si="12"/>
        <v>0</v>
      </c>
      <c r="AI43" s="680">
        <f t="shared" si="12"/>
        <v>0</v>
      </c>
      <c r="AJ43" s="680">
        <f t="shared" si="12"/>
        <v>0</v>
      </c>
      <c r="AK43" s="680">
        <f t="shared" si="12"/>
        <v>0</v>
      </c>
      <c r="AL43" s="680">
        <f t="shared" si="12"/>
        <v>0</v>
      </c>
      <c r="AM43" s="680">
        <f t="shared" si="12"/>
        <v>0</v>
      </c>
      <c r="AN43" s="680">
        <f t="shared" si="12"/>
        <v>0</v>
      </c>
      <c r="AO43" s="680">
        <f t="shared" si="12"/>
        <v>0</v>
      </c>
    </row>
    <row r="44" spans="1:41" hidden="1">
      <c r="A44" s="672"/>
      <c r="B44" s="676">
        <v>35</v>
      </c>
      <c r="C44" s="680">
        <f t="shared" si="6"/>
        <v>0</v>
      </c>
      <c r="D44" s="680">
        <f t="shared" ref="D44:AO44" si="13">IF($B21&gt;D$29,1,IF($B21&lt;D$29,0,0))</f>
        <v>0</v>
      </c>
      <c r="E44" s="680">
        <f t="shared" si="13"/>
        <v>0</v>
      </c>
      <c r="F44" s="680">
        <f t="shared" si="13"/>
        <v>0</v>
      </c>
      <c r="G44" s="680">
        <f t="shared" si="13"/>
        <v>0</v>
      </c>
      <c r="H44" s="680">
        <f t="shared" si="13"/>
        <v>0</v>
      </c>
      <c r="I44" s="680">
        <f t="shared" si="13"/>
        <v>0</v>
      </c>
      <c r="J44" s="680">
        <f t="shared" si="13"/>
        <v>0</v>
      </c>
      <c r="K44" s="680">
        <f t="shared" si="13"/>
        <v>0</v>
      </c>
      <c r="L44" s="680">
        <f t="shared" si="13"/>
        <v>0</v>
      </c>
      <c r="M44" s="680">
        <f t="shared" si="13"/>
        <v>0</v>
      </c>
      <c r="N44" s="680">
        <f t="shared" si="13"/>
        <v>0</v>
      </c>
      <c r="O44" s="680">
        <f t="shared" si="13"/>
        <v>0</v>
      </c>
      <c r="P44" s="680">
        <f t="shared" si="13"/>
        <v>0</v>
      </c>
      <c r="Q44" s="680">
        <f t="shared" si="13"/>
        <v>0</v>
      </c>
      <c r="R44" s="680">
        <f t="shared" si="13"/>
        <v>0</v>
      </c>
      <c r="S44" s="680">
        <f t="shared" si="13"/>
        <v>0</v>
      </c>
      <c r="T44" s="680">
        <f t="shared" si="13"/>
        <v>0</v>
      </c>
      <c r="U44" s="680">
        <f t="shared" si="13"/>
        <v>0</v>
      </c>
      <c r="V44" s="680">
        <f t="shared" si="13"/>
        <v>0</v>
      </c>
      <c r="W44" s="680">
        <f t="shared" si="13"/>
        <v>0</v>
      </c>
      <c r="X44" s="680">
        <f t="shared" si="13"/>
        <v>0</v>
      </c>
      <c r="Y44" s="680">
        <f t="shared" si="13"/>
        <v>0</v>
      </c>
      <c r="Z44" s="680">
        <f t="shared" si="13"/>
        <v>0</v>
      </c>
      <c r="AA44" s="680">
        <f t="shared" si="13"/>
        <v>0</v>
      </c>
      <c r="AB44" s="680">
        <f t="shared" si="13"/>
        <v>0</v>
      </c>
      <c r="AC44" s="680">
        <f t="shared" si="13"/>
        <v>0</v>
      </c>
      <c r="AD44" s="680">
        <f t="shared" si="13"/>
        <v>0</v>
      </c>
      <c r="AE44" s="680">
        <f t="shared" si="13"/>
        <v>0</v>
      </c>
      <c r="AF44" s="680">
        <f t="shared" si="13"/>
        <v>0</v>
      </c>
      <c r="AG44" s="680">
        <f t="shared" si="13"/>
        <v>0</v>
      </c>
      <c r="AH44" s="680">
        <f t="shared" si="13"/>
        <v>0</v>
      </c>
      <c r="AI44" s="680">
        <f t="shared" si="13"/>
        <v>0</v>
      </c>
      <c r="AJ44" s="680">
        <f t="shared" si="13"/>
        <v>0</v>
      </c>
      <c r="AK44" s="680">
        <f t="shared" si="13"/>
        <v>0</v>
      </c>
      <c r="AL44" s="680">
        <f t="shared" si="13"/>
        <v>0</v>
      </c>
      <c r="AM44" s="680">
        <f t="shared" si="13"/>
        <v>0</v>
      </c>
      <c r="AN44" s="680">
        <f t="shared" si="13"/>
        <v>0</v>
      </c>
      <c r="AO44" s="680">
        <f t="shared" si="13"/>
        <v>0</v>
      </c>
    </row>
    <row r="45" spans="1:41" hidden="1">
      <c r="A45" s="672"/>
      <c r="B45" s="675">
        <v>30</v>
      </c>
      <c r="C45" s="680">
        <f t="shared" si="6"/>
        <v>0</v>
      </c>
      <c r="D45" s="680">
        <f t="shared" ref="D45:AO45" si="14">IF($B22&gt;D$29,1,IF($B22&lt;D$29,0,0))</f>
        <v>0</v>
      </c>
      <c r="E45" s="680">
        <f t="shared" si="14"/>
        <v>0</v>
      </c>
      <c r="F45" s="680">
        <f t="shared" si="14"/>
        <v>0</v>
      </c>
      <c r="G45" s="680">
        <f t="shared" si="14"/>
        <v>0</v>
      </c>
      <c r="H45" s="680">
        <f t="shared" si="14"/>
        <v>0</v>
      </c>
      <c r="I45" s="680">
        <f t="shared" si="14"/>
        <v>0</v>
      </c>
      <c r="J45" s="680">
        <f t="shared" si="14"/>
        <v>0</v>
      </c>
      <c r="K45" s="680">
        <f t="shared" si="14"/>
        <v>0</v>
      </c>
      <c r="L45" s="680">
        <f t="shared" si="14"/>
        <v>0</v>
      </c>
      <c r="M45" s="680">
        <f t="shared" si="14"/>
        <v>0</v>
      </c>
      <c r="N45" s="680">
        <f t="shared" si="14"/>
        <v>0</v>
      </c>
      <c r="O45" s="680">
        <f t="shared" si="14"/>
        <v>0</v>
      </c>
      <c r="P45" s="680">
        <f t="shared" si="14"/>
        <v>0</v>
      </c>
      <c r="Q45" s="680">
        <f t="shared" si="14"/>
        <v>0</v>
      </c>
      <c r="R45" s="680">
        <f t="shared" si="14"/>
        <v>0</v>
      </c>
      <c r="S45" s="680">
        <f t="shared" si="14"/>
        <v>0</v>
      </c>
      <c r="T45" s="680">
        <f t="shared" si="14"/>
        <v>0</v>
      </c>
      <c r="U45" s="680">
        <f t="shared" si="14"/>
        <v>0</v>
      </c>
      <c r="V45" s="680">
        <f t="shared" si="14"/>
        <v>0</v>
      </c>
      <c r="W45" s="680">
        <f t="shared" si="14"/>
        <v>0</v>
      </c>
      <c r="X45" s="680">
        <f t="shared" si="14"/>
        <v>0</v>
      </c>
      <c r="Y45" s="680">
        <f t="shared" si="14"/>
        <v>0</v>
      </c>
      <c r="Z45" s="680">
        <f t="shared" si="14"/>
        <v>0</v>
      </c>
      <c r="AA45" s="680">
        <f t="shared" si="14"/>
        <v>0</v>
      </c>
      <c r="AB45" s="680">
        <f t="shared" si="14"/>
        <v>0</v>
      </c>
      <c r="AC45" s="680">
        <f t="shared" si="14"/>
        <v>0</v>
      </c>
      <c r="AD45" s="680">
        <f t="shared" si="14"/>
        <v>0</v>
      </c>
      <c r="AE45" s="680">
        <f t="shared" si="14"/>
        <v>0</v>
      </c>
      <c r="AF45" s="680">
        <f t="shared" si="14"/>
        <v>0</v>
      </c>
      <c r="AG45" s="680">
        <f t="shared" si="14"/>
        <v>0</v>
      </c>
      <c r="AH45" s="680">
        <f t="shared" si="14"/>
        <v>0</v>
      </c>
      <c r="AI45" s="680">
        <f t="shared" si="14"/>
        <v>0</v>
      </c>
      <c r="AJ45" s="680">
        <f t="shared" si="14"/>
        <v>0</v>
      </c>
      <c r="AK45" s="680">
        <f t="shared" si="14"/>
        <v>0</v>
      </c>
      <c r="AL45" s="680">
        <f t="shared" si="14"/>
        <v>0</v>
      </c>
      <c r="AM45" s="680">
        <f t="shared" si="14"/>
        <v>0</v>
      </c>
      <c r="AN45" s="680">
        <f t="shared" si="14"/>
        <v>0</v>
      </c>
      <c r="AO45" s="680">
        <f t="shared" si="14"/>
        <v>0</v>
      </c>
    </row>
    <row r="46" spans="1:41" hidden="1">
      <c r="A46" s="672"/>
      <c r="B46" s="676">
        <v>25</v>
      </c>
      <c r="C46" s="680">
        <f t="shared" si="6"/>
        <v>0</v>
      </c>
      <c r="D46" s="680">
        <f t="shared" ref="D46:AO46" si="15">IF($B23&gt;D$29,1,IF($B23&lt;D$29,0,0))</f>
        <v>0</v>
      </c>
      <c r="E46" s="680">
        <f t="shared" si="15"/>
        <v>0</v>
      </c>
      <c r="F46" s="680">
        <f t="shared" si="15"/>
        <v>0</v>
      </c>
      <c r="G46" s="680">
        <f t="shared" si="15"/>
        <v>0</v>
      </c>
      <c r="H46" s="680">
        <f t="shared" si="15"/>
        <v>0</v>
      </c>
      <c r="I46" s="680">
        <f t="shared" si="15"/>
        <v>0</v>
      </c>
      <c r="J46" s="680">
        <f t="shared" si="15"/>
        <v>0</v>
      </c>
      <c r="K46" s="680">
        <f t="shared" si="15"/>
        <v>0</v>
      </c>
      <c r="L46" s="680">
        <f t="shared" si="15"/>
        <v>0</v>
      </c>
      <c r="M46" s="680">
        <f t="shared" si="15"/>
        <v>0</v>
      </c>
      <c r="N46" s="680">
        <f t="shared" si="15"/>
        <v>0</v>
      </c>
      <c r="O46" s="680">
        <f t="shared" si="15"/>
        <v>0</v>
      </c>
      <c r="P46" s="680">
        <f t="shared" si="15"/>
        <v>0</v>
      </c>
      <c r="Q46" s="680">
        <f t="shared" si="15"/>
        <v>0</v>
      </c>
      <c r="R46" s="680">
        <f t="shared" si="15"/>
        <v>0</v>
      </c>
      <c r="S46" s="680">
        <f t="shared" si="15"/>
        <v>0</v>
      </c>
      <c r="T46" s="680">
        <f t="shared" si="15"/>
        <v>0</v>
      </c>
      <c r="U46" s="680">
        <f t="shared" si="15"/>
        <v>0</v>
      </c>
      <c r="V46" s="680">
        <f t="shared" si="15"/>
        <v>0</v>
      </c>
      <c r="W46" s="680">
        <f t="shared" si="15"/>
        <v>0</v>
      </c>
      <c r="X46" s="680">
        <f t="shared" si="15"/>
        <v>0</v>
      </c>
      <c r="Y46" s="680">
        <f t="shared" si="15"/>
        <v>0</v>
      </c>
      <c r="Z46" s="680">
        <f t="shared" si="15"/>
        <v>0</v>
      </c>
      <c r="AA46" s="680">
        <f t="shared" si="15"/>
        <v>0</v>
      </c>
      <c r="AB46" s="680">
        <f t="shared" si="15"/>
        <v>0</v>
      </c>
      <c r="AC46" s="680">
        <f t="shared" si="15"/>
        <v>0</v>
      </c>
      <c r="AD46" s="680">
        <f t="shared" si="15"/>
        <v>0</v>
      </c>
      <c r="AE46" s="680">
        <f t="shared" si="15"/>
        <v>0</v>
      </c>
      <c r="AF46" s="680">
        <f t="shared" si="15"/>
        <v>0</v>
      </c>
      <c r="AG46" s="680">
        <f t="shared" si="15"/>
        <v>0</v>
      </c>
      <c r="AH46" s="680">
        <f t="shared" si="15"/>
        <v>0</v>
      </c>
      <c r="AI46" s="680">
        <f t="shared" si="15"/>
        <v>0</v>
      </c>
      <c r="AJ46" s="680">
        <f t="shared" si="15"/>
        <v>0</v>
      </c>
      <c r="AK46" s="680">
        <f t="shared" si="15"/>
        <v>0</v>
      </c>
      <c r="AL46" s="680">
        <f t="shared" si="15"/>
        <v>0</v>
      </c>
      <c r="AM46" s="680">
        <f t="shared" si="15"/>
        <v>0</v>
      </c>
      <c r="AN46" s="680">
        <f t="shared" si="15"/>
        <v>0</v>
      </c>
      <c r="AO46" s="680">
        <f t="shared" si="15"/>
        <v>0</v>
      </c>
    </row>
    <row r="47" spans="1:41" hidden="1">
      <c r="A47" s="672"/>
      <c r="B47" s="675">
        <v>20</v>
      </c>
      <c r="C47" s="680">
        <f t="shared" si="6"/>
        <v>0</v>
      </c>
      <c r="D47" s="680">
        <f t="shared" ref="D47:AO47" si="16">IF($B24&gt;D$29,1,IF($B24&lt;D$29,0,0))</f>
        <v>0</v>
      </c>
      <c r="E47" s="680">
        <f t="shared" si="16"/>
        <v>0</v>
      </c>
      <c r="F47" s="680">
        <f t="shared" si="16"/>
        <v>0</v>
      </c>
      <c r="G47" s="680">
        <f t="shared" si="16"/>
        <v>0</v>
      </c>
      <c r="H47" s="680">
        <f t="shared" si="16"/>
        <v>0</v>
      </c>
      <c r="I47" s="680">
        <f t="shared" si="16"/>
        <v>0</v>
      </c>
      <c r="J47" s="680">
        <f t="shared" si="16"/>
        <v>0</v>
      </c>
      <c r="K47" s="680">
        <f t="shared" si="16"/>
        <v>0</v>
      </c>
      <c r="L47" s="680">
        <f t="shared" si="16"/>
        <v>0</v>
      </c>
      <c r="M47" s="680">
        <f t="shared" si="16"/>
        <v>0</v>
      </c>
      <c r="N47" s="680">
        <f t="shared" si="16"/>
        <v>0</v>
      </c>
      <c r="O47" s="680">
        <f t="shared" si="16"/>
        <v>0</v>
      </c>
      <c r="P47" s="680">
        <f t="shared" si="16"/>
        <v>0</v>
      </c>
      <c r="Q47" s="680">
        <f t="shared" si="16"/>
        <v>0</v>
      </c>
      <c r="R47" s="680">
        <f t="shared" si="16"/>
        <v>0</v>
      </c>
      <c r="S47" s="680">
        <f t="shared" si="16"/>
        <v>0</v>
      </c>
      <c r="T47" s="680">
        <f t="shared" si="16"/>
        <v>0</v>
      </c>
      <c r="U47" s="680">
        <f t="shared" si="16"/>
        <v>0</v>
      </c>
      <c r="V47" s="680">
        <f t="shared" si="16"/>
        <v>0</v>
      </c>
      <c r="W47" s="680">
        <f t="shared" si="16"/>
        <v>0</v>
      </c>
      <c r="X47" s="680">
        <f t="shared" si="16"/>
        <v>0</v>
      </c>
      <c r="Y47" s="680">
        <f t="shared" si="16"/>
        <v>0</v>
      </c>
      <c r="Z47" s="680">
        <f t="shared" si="16"/>
        <v>0</v>
      </c>
      <c r="AA47" s="680">
        <f t="shared" si="16"/>
        <v>0</v>
      </c>
      <c r="AB47" s="680">
        <f t="shared" si="16"/>
        <v>0</v>
      </c>
      <c r="AC47" s="680">
        <f t="shared" si="16"/>
        <v>0</v>
      </c>
      <c r="AD47" s="680">
        <f t="shared" si="16"/>
        <v>0</v>
      </c>
      <c r="AE47" s="680">
        <f t="shared" si="16"/>
        <v>0</v>
      </c>
      <c r="AF47" s="680">
        <f t="shared" si="16"/>
        <v>0</v>
      </c>
      <c r="AG47" s="680">
        <f t="shared" si="16"/>
        <v>0</v>
      </c>
      <c r="AH47" s="680">
        <f t="shared" si="16"/>
        <v>0</v>
      </c>
      <c r="AI47" s="680">
        <f t="shared" si="16"/>
        <v>0</v>
      </c>
      <c r="AJ47" s="680">
        <f t="shared" si="16"/>
        <v>0</v>
      </c>
      <c r="AK47" s="680">
        <f t="shared" si="16"/>
        <v>0</v>
      </c>
      <c r="AL47" s="680">
        <f t="shared" si="16"/>
        <v>0</v>
      </c>
      <c r="AM47" s="680">
        <f t="shared" si="16"/>
        <v>0</v>
      </c>
      <c r="AN47" s="680">
        <f t="shared" si="16"/>
        <v>0</v>
      </c>
      <c r="AO47" s="680">
        <f t="shared" si="16"/>
        <v>0</v>
      </c>
    </row>
    <row r="48" spans="1:41" hidden="1">
      <c r="A48" s="672"/>
      <c r="B48" s="676">
        <v>15</v>
      </c>
      <c r="C48" s="680">
        <f t="shared" si="6"/>
        <v>0</v>
      </c>
      <c r="D48" s="680">
        <f t="shared" ref="D48:AO48" si="17">IF($B25&gt;D$29,1,IF($B25&lt;D$29,0,0))</f>
        <v>0</v>
      </c>
      <c r="E48" s="680">
        <f t="shared" si="17"/>
        <v>0</v>
      </c>
      <c r="F48" s="680">
        <f t="shared" si="17"/>
        <v>0</v>
      </c>
      <c r="G48" s="680">
        <f t="shared" si="17"/>
        <v>0</v>
      </c>
      <c r="H48" s="680">
        <f t="shared" si="17"/>
        <v>0</v>
      </c>
      <c r="I48" s="680">
        <f t="shared" si="17"/>
        <v>0</v>
      </c>
      <c r="J48" s="680">
        <f t="shared" si="17"/>
        <v>0</v>
      </c>
      <c r="K48" s="680">
        <f t="shared" si="17"/>
        <v>0</v>
      </c>
      <c r="L48" s="680">
        <f t="shared" si="17"/>
        <v>0</v>
      </c>
      <c r="M48" s="680">
        <f t="shared" si="17"/>
        <v>0</v>
      </c>
      <c r="N48" s="680">
        <f t="shared" si="17"/>
        <v>0</v>
      </c>
      <c r="O48" s="680">
        <f t="shared" si="17"/>
        <v>0</v>
      </c>
      <c r="P48" s="680">
        <f t="shared" si="17"/>
        <v>0</v>
      </c>
      <c r="Q48" s="680">
        <f t="shared" si="17"/>
        <v>0</v>
      </c>
      <c r="R48" s="680">
        <f t="shared" si="17"/>
        <v>0</v>
      </c>
      <c r="S48" s="680">
        <f t="shared" si="17"/>
        <v>0</v>
      </c>
      <c r="T48" s="680">
        <f t="shared" si="17"/>
        <v>0</v>
      </c>
      <c r="U48" s="680">
        <f t="shared" si="17"/>
        <v>0</v>
      </c>
      <c r="V48" s="680">
        <f t="shared" si="17"/>
        <v>0</v>
      </c>
      <c r="W48" s="680">
        <f t="shared" si="17"/>
        <v>0</v>
      </c>
      <c r="X48" s="680">
        <f t="shared" si="17"/>
        <v>0</v>
      </c>
      <c r="Y48" s="680">
        <f t="shared" si="17"/>
        <v>0</v>
      </c>
      <c r="Z48" s="680">
        <f t="shared" si="17"/>
        <v>0</v>
      </c>
      <c r="AA48" s="680">
        <f t="shared" si="17"/>
        <v>0</v>
      </c>
      <c r="AB48" s="680">
        <f t="shared" si="17"/>
        <v>0</v>
      </c>
      <c r="AC48" s="680">
        <f t="shared" si="17"/>
        <v>0</v>
      </c>
      <c r="AD48" s="680">
        <f t="shared" si="17"/>
        <v>0</v>
      </c>
      <c r="AE48" s="680">
        <f t="shared" si="17"/>
        <v>0</v>
      </c>
      <c r="AF48" s="680">
        <f t="shared" si="17"/>
        <v>0</v>
      </c>
      <c r="AG48" s="680">
        <f t="shared" si="17"/>
        <v>0</v>
      </c>
      <c r="AH48" s="680">
        <f t="shared" si="17"/>
        <v>0</v>
      </c>
      <c r="AI48" s="680">
        <f t="shared" si="17"/>
        <v>0</v>
      </c>
      <c r="AJ48" s="680">
        <f t="shared" si="17"/>
        <v>0</v>
      </c>
      <c r="AK48" s="680">
        <f t="shared" si="17"/>
        <v>0</v>
      </c>
      <c r="AL48" s="680">
        <f t="shared" si="17"/>
        <v>0</v>
      </c>
      <c r="AM48" s="680">
        <f t="shared" si="17"/>
        <v>0</v>
      </c>
      <c r="AN48" s="680">
        <f t="shared" si="17"/>
        <v>0</v>
      </c>
      <c r="AO48" s="680">
        <f t="shared" si="17"/>
        <v>0</v>
      </c>
    </row>
    <row r="49" spans="1:41" hidden="1">
      <c r="A49" s="672"/>
      <c r="B49" s="675">
        <v>10</v>
      </c>
      <c r="C49" s="680">
        <f t="shared" si="6"/>
        <v>0</v>
      </c>
      <c r="D49" s="680">
        <f t="shared" ref="D49:AO49" si="18">IF($B26&gt;D$29,1,IF($B26&lt;D$29,0,0))</f>
        <v>0</v>
      </c>
      <c r="E49" s="680">
        <f t="shared" si="18"/>
        <v>0</v>
      </c>
      <c r="F49" s="680">
        <f t="shared" si="18"/>
        <v>0</v>
      </c>
      <c r="G49" s="680">
        <f t="shared" si="18"/>
        <v>0</v>
      </c>
      <c r="H49" s="680">
        <f t="shared" si="18"/>
        <v>0</v>
      </c>
      <c r="I49" s="680">
        <f t="shared" si="18"/>
        <v>0</v>
      </c>
      <c r="J49" s="680">
        <f t="shared" si="18"/>
        <v>0</v>
      </c>
      <c r="K49" s="680">
        <f t="shared" si="18"/>
        <v>0</v>
      </c>
      <c r="L49" s="680">
        <f t="shared" si="18"/>
        <v>0</v>
      </c>
      <c r="M49" s="680">
        <f t="shared" si="18"/>
        <v>0</v>
      </c>
      <c r="N49" s="680">
        <f t="shared" si="18"/>
        <v>0</v>
      </c>
      <c r="O49" s="680">
        <f t="shared" si="18"/>
        <v>0</v>
      </c>
      <c r="P49" s="680">
        <f t="shared" si="18"/>
        <v>0</v>
      </c>
      <c r="Q49" s="680">
        <f t="shared" si="18"/>
        <v>0</v>
      </c>
      <c r="R49" s="680">
        <f t="shared" si="18"/>
        <v>0</v>
      </c>
      <c r="S49" s="680">
        <f t="shared" si="18"/>
        <v>0</v>
      </c>
      <c r="T49" s="680">
        <f t="shared" si="18"/>
        <v>0</v>
      </c>
      <c r="U49" s="680">
        <f t="shared" si="18"/>
        <v>0</v>
      </c>
      <c r="V49" s="680">
        <f t="shared" si="18"/>
        <v>0</v>
      </c>
      <c r="W49" s="680">
        <f t="shared" si="18"/>
        <v>0</v>
      </c>
      <c r="X49" s="680">
        <f t="shared" si="18"/>
        <v>0</v>
      </c>
      <c r="Y49" s="680">
        <f t="shared" si="18"/>
        <v>0</v>
      </c>
      <c r="Z49" s="680">
        <f t="shared" si="18"/>
        <v>0</v>
      </c>
      <c r="AA49" s="680">
        <f t="shared" si="18"/>
        <v>0</v>
      </c>
      <c r="AB49" s="680">
        <f t="shared" si="18"/>
        <v>0</v>
      </c>
      <c r="AC49" s="680">
        <f t="shared" si="18"/>
        <v>0</v>
      </c>
      <c r="AD49" s="680">
        <f t="shared" si="18"/>
        <v>0</v>
      </c>
      <c r="AE49" s="680">
        <f t="shared" si="18"/>
        <v>0</v>
      </c>
      <c r="AF49" s="680">
        <f t="shared" si="18"/>
        <v>0</v>
      </c>
      <c r="AG49" s="680">
        <f t="shared" si="18"/>
        <v>0</v>
      </c>
      <c r="AH49" s="680">
        <f t="shared" si="18"/>
        <v>0</v>
      </c>
      <c r="AI49" s="680">
        <f t="shared" si="18"/>
        <v>0</v>
      </c>
      <c r="AJ49" s="680">
        <f t="shared" si="18"/>
        <v>0</v>
      </c>
      <c r="AK49" s="680">
        <f t="shared" si="18"/>
        <v>0</v>
      </c>
      <c r="AL49" s="680">
        <f t="shared" si="18"/>
        <v>0</v>
      </c>
      <c r="AM49" s="680">
        <f t="shared" si="18"/>
        <v>0</v>
      </c>
      <c r="AN49" s="680">
        <f t="shared" si="18"/>
        <v>0</v>
      </c>
      <c r="AO49" s="680">
        <f t="shared" si="18"/>
        <v>0</v>
      </c>
    </row>
    <row r="50" spans="1:41" hidden="1">
      <c r="A50" s="672"/>
      <c r="B50" s="677"/>
      <c r="C50" s="681">
        <f>SUM(C31:C49)</f>
        <v>8</v>
      </c>
      <c r="D50" s="681">
        <f t="shared" ref="D50:AO50" si="19">SUM(D31:D49)</f>
        <v>8</v>
      </c>
      <c r="E50" s="681">
        <f t="shared" si="19"/>
        <v>8</v>
      </c>
      <c r="F50" s="681">
        <f t="shared" si="19"/>
        <v>8</v>
      </c>
      <c r="G50" s="681">
        <f t="shared" si="19"/>
        <v>8</v>
      </c>
      <c r="H50" s="681">
        <f t="shared" si="19"/>
        <v>8</v>
      </c>
      <c r="I50" s="681">
        <f t="shared" si="19"/>
        <v>8</v>
      </c>
      <c r="J50" s="681">
        <f t="shared" si="19"/>
        <v>8</v>
      </c>
      <c r="K50" s="681">
        <f t="shared" si="19"/>
        <v>8</v>
      </c>
      <c r="L50" s="681">
        <f t="shared" si="19"/>
        <v>8</v>
      </c>
      <c r="M50" s="681">
        <f t="shared" si="19"/>
        <v>8</v>
      </c>
      <c r="N50" s="681">
        <f t="shared" si="19"/>
        <v>8</v>
      </c>
      <c r="O50" s="681">
        <f t="shared" si="19"/>
        <v>8</v>
      </c>
      <c r="P50" s="681">
        <f t="shared" si="19"/>
        <v>6</v>
      </c>
      <c r="Q50" s="681">
        <f t="shared" si="19"/>
        <v>6</v>
      </c>
      <c r="R50" s="681">
        <f t="shared" si="19"/>
        <v>6</v>
      </c>
      <c r="S50" s="681">
        <f t="shared" si="19"/>
        <v>6</v>
      </c>
      <c r="T50" s="681">
        <f t="shared" si="19"/>
        <v>6</v>
      </c>
      <c r="U50" s="681">
        <f t="shared" si="19"/>
        <v>6</v>
      </c>
      <c r="V50" s="681">
        <f t="shared" si="19"/>
        <v>6</v>
      </c>
      <c r="W50" s="681">
        <f t="shared" si="19"/>
        <v>6</v>
      </c>
      <c r="X50" s="681">
        <f t="shared" si="19"/>
        <v>8</v>
      </c>
      <c r="Y50" s="681">
        <f t="shared" si="19"/>
        <v>8</v>
      </c>
      <c r="Z50" s="681">
        <f t="shared" si="19"/>
        <v>8</v>
      </c>
      <c r="AA50" s="681">
        <f t="shared" si="19"/>
        <v>8</v>
      </c>
      <c r="AB50" s="681">
        <f t="shared" si="19"/>
        <v>8</v>
      </c>
      <c r="AC50" s="681">
        <f t="shared" si="19"/>
        <v>8</v>
      </c>
      <c r="AD50" s="681">
        <f t="shared" si="19"/>
        <v>8</v>
      </c>
      <c r="AE50" s="681">
        <f t="shared" si="19"/>
        <v>8</v>
      </c>
      <c r="AF50" s="681">
        <f t="shared" si="19"/>
        <v>8</v>
      </c>
      <c r="AG50" s="681">
        <f t="shared" si="19"/>
        <v>8</v>
      </c>
      <c r="AH50" s="681">
        <f t="shared" si="19"/>
        <v>8</v>
      </c>
      <c r="AI50" s="681">
        <f t="shared" si="19"/>
        <v>8</v>
      </c>
      <c r="AJ50" s="681">
        <f t="shared" si="19"/>
        <v>8</v>
      </c>
      <c r="AK50" s="681">
        <f t="shared" si="19"/>
        <v>8</v>
      </c>
      <c r="AL50" s="681">
        <f t="shared" si="19"/>
        <v>8</v>
      </c>
      <c r="AM50" s="681">
        <f t="shared" si="19"/>
        <v>8</v>
      </c>
      <c r="AN50" s="681">
        <f t="shared" si="19"/>
        <v>8</v>
      </c>
      <c r="AO50" s="681">
        <f t="shared" si="19"/>
        <v>8</v>
      </c>
    </row>
    <row r="51" spans="1:41" hidden="1">
      <c r="A51" s="682"/>
      <c r="B51" s="683" t="s">
        <v>891</v>
      </c>
      <c r="C51" s="684"/>
      <c r="D51" s="684"/>
      <c r="E51" s="684"/>
      <c r="F51" s="684"/>
      <c r="G51" s="684"/>
      <c r="H51" s="684"/>
      <c r="I51" s="684"/>
      <c r="J51" s="684"/>
      <c r="K51" s="684"/>
      <c r="L51" s="684"/>
      <c r="M51" s="684"/>
      <c r="N51" s="684"/>
      <c r="O51" s="684"/>
      <c r="P51" s="684"/>
      <c r="Q51" s="684"/>
      <c r="R51" s="684"/>
      <c r="S51" s="684"/>
      <c r="T51" s="684"/>
      <c r="U51" s="684"/>
      <c r="V51" s="684"/>
      <c r="W51" s="684"/>
      <c r="X51" s="684"/>
      <c r="Y51" s="684"/>
      <c r="Z51" s="684"/>
      <c r="AA51" s="684"/>
      <c r="AB51" s="684"/>
      <c r="AC51" s="684"/>
      <c r="AD51" s="684"/>
      <c r="AE51" s="684"/>
      <c r="AF51" s="684"/>
      <c r="AG51" s="684"/>
      <c r="AH51" s="684"/>
      <c r="AI51" s="684"/>
      <c r="AJ51" s="684"/>
      <c r="AK51" s="684"/>
      <c r="AL51" s="684"/>
      <c r="AM51" s="684"/>
      <c r="AN51" s="684"/>
      <c r="AO51" s="684"/>
    </row>
    <row r="52" spans="1:41" hidden="1">
      <c r="A52" s="672"/>
      <c r="B52" s="675">
        <v>100</v>
      </c>
      <c r="C52" s="680">
        <f t="shared" ref="C52:C58" si="20">IF($B8=C$29,1,0)</f>
        <v>0</v>
      </c>
      <c r="D52" s="680">
        <f t="shared" ref="D52:AO58" si="21">IF($B8=D$29,1,0)</f>
        <v>0</v>
      </c>
      <c r="E52" s="680">
        <f t="shared" si="21"/>
        <v>0</v>
      </c>
      <c r="F52" s="680">
        <f t="shared" si="21"/>
        <v>0</v>
      </c>
      <c r="G52" s="680">
        <f t="shared" si="21"/>
        <v>0</v>
      </c>
      <c r="H52" s="680">
        <f t="shared" si="21"/>
        <v>0</v>
      </c>
      <c r="I52" s="680">
        <f t="shared" si="21"/>
        <v>0</v>
      </c>
      <c r="J52" s="680">
        <f t="shared" si="21"/>
        <v>0</v>
      </c>
      <c r="K52" s="680">
        <f t="shared" si="21"/>
        <v>0</v>
      </c>
      <c r="L52" s="680">
        <f t="shared" si="21"/>
        <v>0</v>
      </c>
      <c r="M52" s="680">
        <f t="shared" si="21"/>
        <v>0</v>
      </c>
      <c r="N52" s="680">
        <f t="shared" si="21"/>
        <v>0</v>
      </c>
      <c r="O52" s="680">
        <f t="shared" si="21"/>
        <v>0</v>
      </c>
      <c r="P52" s="680">
        <f t="shared" si="21"/>
        <v>0</v>
      </c>
      <c r="Q52" s="680">
        <f t="shared" si="21"/>
        <v>0</v>
      </c>
      <c r="R52" s="680">
        <f t="shared" si="21"/>
        <v>0</v>
      </c>
      <c r="S52" s="680">
        <f t="shared" si="21"/>
        <v>0</v>
      </c>
      <c r="T52" s="680">
        <f t="shared" si="21"/>
        <v>0</v>
      </c>
      <c r="U52" s="680">
        <f t="shared" si="21"/>
        <v>0</v>
      </c>
      <c r="V52" s="680">
        <f t="shared" si="21"/>
        <v>0</v>
      </c>
      <c r="W52" s="680">
        <f t="shared" si="21"/>
        <v>0</v>
      </c>
      <c r="X52" s="680">
        <f t="shared" si="21"/>
        <v>0</v>
      </c>
      <c r="Y52" s="680">
        <f t="shared" si="21"/>
        <v>0</v>
      </c>
      <c r="Z52" s="680">
        <f t="shared" si="21"/>
        <v>0</v>
      </c>
      <c r="AA52" s="680">
        <f t="shared" si="21"/>
        <v>0</v>
      </c>
      <c r="AB52" s="680">
        <f t="shared" si="21"/>
        <v>0</v>
      </c>
      <c r="AC52" s="680">
        <f t="shared" si="21"/>
        <v>0</v>
      </c>
      <c r="AD52" s="680">
        <f t="shared" si="21"/>
        <v>0</v>
      </c>
      <c r="AE52" s="680">
        <f t="shared" si="21"/>
        <v>0</v>
      </c>
      <c r="AF52" s="680">
        <f t="shared" si="21"/>
        <v>0</v>
      </c>
      <c r="AG52" s="680">
        <f t="shared" si="21"/>
        <v>0</v>
      </c>
      <c r="AH52" s="680">
        <f t="shared" si="21"/>
        <v>0</v>
      </c>
      <c r="AI52" s="680">
        <f t="shared" si="21"/>
        <v>0</v>
      </c>
      <c r="AJ52" s="680">
        <f t="shared" si="21"/>
        <v>0</v>
      </c>
      <c r="AK52" s="680">
        <f t="shared" si="21"/>
        <v>0</v>
      </c>
      <c r="AL52" s="680">
        <f t="shared" si="21"/>
        <v>0</v>
      </c>
      <c r="AM52" s="680">
        <f t="shared" si="21"/>
        <v>0</v>
      </c>
      <c r="AN52" s="680">
        <f t="shared" si="21"/>
        <v>0</v>
      </c>
      <c r="AO52" s="680">
        <f t="shared" si="21"/>
        <v>0</v>
      </c>
    </row>
    <row r="53" spans="1:41" hidden="1">
      <c r="A53" s="672"/>
      <c r="B53" s="676">
        <v>95</v>
      </c>
      <c r="C53" s="680">
        <f t="shared" si="20"/>
        <v>0</v>
      </c>
      <c r="D53" s="680">
        <f t="shared" si="21"/>
        <v>0</v>
      </c>
      <c r="E53" s="680">
        <f t="shared" si="21"/>
        <v>0</v>
      </c>
      <c r="F53" s="680">
        <f t="shared" si="21"/>
        <v>0</v>
      </c>
      <c r="G53" s="680">
        <f t="shared" si="21"/>
        <v>0</v>
      </c>
      <c r="H53" s="680">
        <f t="shared" si="21"/>
        <v>0</v>
      </c>
      <c r="I53" s="680">
        <f t="shared" si="21"/>
        <v>0</v>
      </c>
      <c r="J53" s="680">
        <f t="shared" si="21"/>
        <v>0</v>
      </c>
      <c r="K53" s="680">
        <f t="shared" si="21"/>
        <v>0</v>
      </c>
      <c r="L53" s="680">
        <f t="shared" si="21"/>
        <v>0</v>
      </c>
      <c r="M53" s="680">
        <f t="shared" si="21"/>
        <v>0</v>
      </c>
      <c r="N53" s="680">
        <f t="shared" si="21"/>
        <v>0</v>
      </c>
      <c r="O53" s="680">
        <f t="shared" si="21"/>
        <v>0</v>
      </c>
      <c r="P53" s="680">
        <f t="shared" si="21"/>
        <v>0</v>
      </c>
      <c r="Q53" s="680">
        <f t="shared" si="21"/>
        <v>0</v>
      </c>
      <c r="R53" s="680">
        <f t="shared" si="21"/>
        <v>0</v>
      </c>
      <c r="S53" s="680">
        <f t="shared" si="21"/>
        <v>0</v>
      </c>
      <c r="T53" s="680">
        <f t="shared" si="21"/>
        <v>0</v>
      </c>
      <c r="U53" s="680">
        <f t="shared" si="21"/>
        <v>0</v>
      </c>
      <c r="V53" s="680">
        <f t="shared" si="21"/>
        <v>0</v>
      </c>
      <c r="W53" s="680">
        <f t="shared" si="21"/>
        <v>0</v>
      </c>
      <c r="X53" s="680">
        <f t="shared" si="21"/>
        <v>0</v>
      </c>
      <c r="Y53" s="680">
        <f t="shared" si="21"/>
        <v>0</v>
      </c>
      <c r="Z53" s="680">
        <f t="shared" si="21"/>
        <v>0</v>
      </c>
      <c r="AA53" s="680">
        <f t="shared" si="21"/>
        <v>0</v>
      </c>
      <c r="AB53" s="680">
        <f t="shared" si="21"/>
        <v>0</v>
      </c>
      <c r="AC53" s="680">
        <f t="shared" si="21"/>
        <v>0</v>
      </c>
      <c r="AD53" s="680">
        <f t="shared" si="21"/>
        <v>0</v>
      </c>
      <c r="AE53" s="680">
        <f t="shared" si="21"/>
        <v>0</v>
      </c>
      <c r="AF53" s="680">
        <f t="shared" si="21"/>
        <v>0</v>
      </c>
      <c r="AG53" s="680">
        <f t="shared" si="21"/>
        <v>0</v>
      </c>
      <c r="AH53" s="680">
        <f t="shared" si="21"/>
        <v>0</v>
      </c>
      <c r="AI53" s="680">
        <f t="shared" si="21"/>
        <v>0</v>
      </c>
      <c r="AJ53" s="680">
        <f t="shared" si="21"/>
        <v>0</v>
      </c>
      <c r="AK53" s="680">
        <f t="shared" si="21"/>
        <v>0</v>
      </c>
      <c r="AL53" s="680">
        <f t="shared" si="21"/>
        <v>0</v>
      </c>
      <c r="AM53" s="680">
        <f t="shared" si="21"/>
        <v>0</v>
      </c>
      <c r="AN53" s="680">
        <f t="shared" si="21"/>
        <v>0</v>
      </c>
      <c r="AO53" s="680">
        <f t="shared" si="21"/>
        <v>0</v>
      </c>
    </row>
    <row r="54" spans="1:41" hidden="1">
      <c r="A54" s="672"/>
      <c r="B54" s="675">
        <v>90</v>
      </c>
      <c r="C54" s="680">
        <f t="shared" si="20"/>
        <v>0</v>
      </c>
      <c r="D54" s="680">
        <f t="shared" si="21"/>
        <v>0</v>
      </c>
      <c r="E54" s="680">
        <f t="shared" si="21"/>
        <v>0</v>
      </c>
      <c r="F54" s="680">
        <f t="shared" si="21"/>
        <v>0</v>
      </c>
      <c r="G54" s="680">
        <f t="shared" si="21"/>
        <v>0</v>
      </c>
      <c r="H54" s="680">
        <f t="shared" si="21"/>
        <v>0</v>
      </c>
      <c r="I54" s="680">
        <f t="shared" si="21"/>
        <v>0</v>
      </c>
      <c r="J54" s="680">
        <f t="shared" si="21"/>
        <v>0</v>
      </c>
      <c r="K54" s="680">
        <f t="shared" si="21"/>
        <v>0</v>
      </c>
      <c r="L54" s="680">
        <f t="shared" si="21"/>
        <v>0</v>
      </c>
      <c r="M54" s="680">
        <f t="shared" si="21"/>
        <v>0</v>
      </c>
      <c r="N54" s="680">
        <f t="shared" si="21"/>
        <v>0</v>
      </c>
      <c r="O54" s="680">
        <f t="shared" si="21"/>
        <v>0</v>
      </c>
      <c r="P54" s="680">
        <f t="shared" si="21"/>
        <v>0</v>
      </c>
      <c r="Q54" s="680">
        <f t="shared" si="21"/>
        <v>0</v>
      </c>
      <c r="R54" s="680">
        <f t="shared" si="21"/>
        <v>0</v>
      </c>
      <c r="S54" s="680">
        <f t="shared" si="21"/>
        <v>0</v>
      </c>
      <c r="T54" s="680">
        <f t="shared" si="21"/>
        <v>0</v>
      </c>
      <c r="U54" s="680">
        <f t="shared" si="21"/>
        <v>0</v>
      </c>
      <c r="V54" s="680">
        <f t="shared" si="21"/>
        <v>0</v>
      </c>
      <c r="W54" s="680">
        <f t="shared" si="21"/>
        <v>0</v>
      </c>
      <c r="X54" s="680">
        <f t="shared" si="21"/>
        <v>0</v>
      </c>
      <c r="Y54" s="680">
        <f t="shared" si="21"/>
        <v>0</v>
      </c>
      <c r="Z54" s="680">
        <f t="shared" si="21"/>
        <v>0</v>
      </c>
      <c r="AA54" s="680">
        <f t="shared" si="21"/>
        <v>0</v>
      </c>
      <c r="AB54" s="680">
        <f t="shared" si="21"/>
        <v>0</v>
      </c>
      <c r="AC54" s="680">
        <f t="shared" si="21"/>
        <v>0</v>
      </c>
      <c r="AD54" s="680">
        <f t="shared" si="21"/>
        <v>0</v>
      </c>
      <c r="AE54" s="680">
        <f t="shared" si="21"/>
        <v>0</v>
      </c>
      <c r="AF54" s="680">
        <f t="shared" si="21"/>
        <v>0</v>
      </c>
      <c r="AG54" s="680">
        <f t="shared" si="21"/>
        <v>0</v>
      </c>
      <c r="AH54" s="680">
        <f t="shared" si="21"/>
        <v>0</v>
      </c>
      <c r="AI54" s="680">
        <f t="shared" si="21"/>
        <v>0</v>
      </c>
      <c r="AJ54" s="680">
        <f t="shared" si="21"/>
        <v>0</v>
      </c>
      <c r="AK54" s="680">
        <f t="shared" si="21"/>
        <v>0</v>
      </c>
      <c r="AL54" s="680">
        <f t="shared" si="21"/>
        <v>0</v>
      </c>
      <c r="AM54" s="680">
        <f t="shared" si="21"/>
        <v>0</v>
      </c>
      <c r="AN54" s="680">
        <f t="shared" si="21"/>
        <v>0</v>
      </c>
      <c r="AO54" s="680">
        <f t="shared" si="21"/>
        <v>0</v>
      </c>
    </row>
    <row r="55" spans="1:41" hidden="1">
      <c r="A55" s="672"/>
      <c r="B55" s="676">
        <v>85</v>
      </c>
      <c r="C55" s="680">
        <f t="shared" si="20"/>
        <v>0</v>
      </c>
      <c r="D55" s="680">
        <f t="shared" si="21"/>
        <v>0</v>
      </c>
      <c r="E55" s="680">
        <f t="shared" si="21"/>
        <v>0</v>
      </c>
      <c r="F55" s="680">
        <f t="shared" si="21"/>
        <v>0</v>
      </c>
      <c r="G55" s="680">
        <f t="shared" si="21"/>
        <v>0</v>
      </c>
      <c r="H55" s="680">
        <f t="shared" si="21"/>
        <v>0</v>
      </c>
      <c r="I55" s="680">
        <f t="shared" si="21"/>
        <v>0</v>
      </c>
      <c r="J55" s="680">
        <f t="shared" si="21"/>
        <v>0</v>
      </c>
      <c r="K55" s="680">
        <f t="shared" si="21"/>
        <v>0</v>
      </c>
      <c r="L55" s="680">
        <f t="shared" si="21"/>
        <v>0</v>
      </c>
      <c r="M55" s="680">
        <f t="shared" si="21"/>
        <v>0</v>
      </c>
      <c r="N55" s="680">
        <f t="shared" si="21"/>
        <v>0</v>
      </c>
      <c r="O55" s="680">
        <f t="shared" si="21"/>
        <v>0</v>
      </c>
      <c r="P55" s="680">
        <f t="shared" si="21"/>
        <v>0</v>
      </c>
      <c r="Q55" s="680">
        <f t="shared" si="21"/>
        <v>0</v>
      </c>
      <c r="R55" s="680">
        <f t="shared" si="21"/>
        <v>0</v>
      </c>
      <c r="S55" s="680">
        <f t="shared" si="21"/>
        <v>0</v>
      </c>
      <c r="T55" s="680">
        <f t="shared" si="21"/>
        <v>0</v>
      </c>
      <c r="U55" s="680">
        <f t="shared" si="21"/>
        <v>0</v>
      </c>
      <c r="V55" s="680">
        <f t="shared" si="21"/>
        <v>0</v>
      </c>
      <c r="W55" s="680">
        <f t="shared" si="21"/>
        <v>0</v>
      </c>
      <c r="X55" s="680">
        <f t="shared" si="21"/>
        <v>0</v>
      </c>
      <c r="Y55" s="680">
        <f t="shared" si="21"/>
        <v>0</v>
      </c>
      <c r="Z55" s="680">
        <f t="shared" si="21"/>
        <v>0</v>
      </c>
      <c r="AA55" s="680">
        <f t="shared" si="21"/>
        <v>0</v>
      </c>
      <c r="AB55" s="680">
        <f t="shared" si="21"/>
        <v>0</v>
      </c>
      <c r="AC55" s="680">
        <f t="shared" si="21"/>
        <v>0</v>
      </c>
      <c r="AD55" s="680">
        <f t="shared" si="21"/>
        <v>0</v>
      </c>
      <c r="AE55" s="680">
        <f t="shared" si="21"/>
        <v>0</v>
      </c>
      <c r="AF55" s="680">
        <f t="shared" si="21"/>
        <v>0</v>
      </c>
      <c r="AG55" s="680">
        <f t="shared" si="21"/>
        <v>0</v>
      </c>
      <c r="AH55" s="680">
        <f t="shared" si="21"/>
        <v>0</v>
      </c>
      <c r="AI55" s="680">
        <f t="shared" si="21"/>
        <v>0</v>
      </c>
      <c r="AJ55" s="680">
        <f t="shared" si="21"/>
        <v>0</v>
      </c>
      <c r="AK55" s="680">
        <f t="shared" si="21"/>
        <v>0</v>
      </c>
      <c r="AL55" s="680">
        <f t="shared" si="21"/>
        <v>0</v>
      </c>
      <c r="AM55" s="680">
        <f t="shared" si="21"/>
        <v>0</v>
      </c>
      <c r="AN55" s="680">
        <f t="shared" si="21"/>
        <v>0</v>
      </c>
      <c r="AO55" s="680">
        <f t="shared" si="21"/>
        <v>0</v>
      </c>
    </row>
    <row r="56" spans="1:41" hidden="1">
      <c r="A56" s="672"/>
      <c r="B56" s="675">
        <v>80</v>
      </c>
      <c r="C56" s="680">
        <f t="shared" si="20"/>
        <v>0</v>
      </c>
      <c r="D56" s="680">
        <f t="shared" si="21"/>
        <v>0</v>
      </c>
      <c r="E56" s="680">
        <f t="shared" si="21"/>
        <v>0</v>
      </c>
      <c r="F56" s="680">
        <f t="shared" si="21"/>
        <v>0</v>
      </c>
      <c r="G56" s="680">
        <f t="shared" si="21"/>
        <v>0</v>
      </c>
      <c r="H56" s="680">
        <f t="shared" si="21"/>
        <v>0</v>
      </c>
      <c r="I56" s="680">
        <f t="shared" si="21"/>
        <v>0</v>
      </c>
      <c r="J56" s="680">
        <f t="shared" si="21"/>
        <v>0</v>
      </c>
      <c r="K56" s="680">
        <f t="shared" si="21"/>
        <v>0</v>
      </c>
      <c r="L56" s="680">
        <f t="shared" si="21"/>
        <v>0</v>
      </c>
      <c r="M56" s="680">
        <f t="shared" si="21"/>
        <v>0</v>
      </c>
      <c r="N56" s="680">
        <f t="shared" si="21"/>
        <v>0</v>
      </c>
      <c r="O56" s="680">
        <f t="shared" si="21"/>
        <v>0</v>
      </c>
      <c r="P56" s="680">
        <f t="shared" si="21"/>
        <v>0</v>
      </c>
      <c r="Q56" s="680">
        <f t="shared" si="21"/>
        <v>0</v>
      </c>
      <c r="R56" s="680">
        <f t="shared" si="21"/>
        <v>0</v>
      </c>
      <c r="S56" s="680">
        <f t="shared" si="21"/>
        <v>0</v>
      </c>
      <c r="T56" s="680">
        <f t="shared" si="21"/>
        <v>0</v>
      </c>
      <c r="U56" s="680">
        <f t="shared" si="21"/>
        <v>0</v>
      </c>
      <c r="V56" s="680">
        <f t="shared" si="21"/>
        <v>0</v>
      </c>
      <c r="W56" s="680">
        <f t="shared" si="21"/>
        <v>0</v>
      </c>
      <c r="X56" s="680">
        <f t="shared" si="21"/>
        <v>0</v>
      </c>
      <c r="Y56" s="680">
        <f t="shared" si="21"/>
        <v>0</v>
      </c>
      <c r="Z56" s="680">
        <f t="shared" si="21"/>
        <v>0</v>
      </c>
      <c r="AA56" s="680">
        <f t="shared" si="21"/>
        <v>0</v>
      </c>
      <c r="AB56" s="680">
        <f t="shared" si="21"/>
        <v>0</v>
      </c>
      <c r="AC56" s="680">
        <f t="shared" si="21"/>
        <v>0</v>
      </c>
      <c r="AD56" s="680">
        <f t="shared" si="21"/>
        <v>0</v>
      </c>
      <c r="AE56" s="680">
        <f t="shared" si="21"/>
        <v>0</v>
      </c>
      <c r="AF56" s="680">
        <f t="shared" si="21"/>
        <v>0</v>
      </c>
      <c r="AG56" s="680">
        <f t="shared" si="21"/>
        <v>0</v>
      </c>
      <c r="AH56" s="680">
        <f t="shared" si="21"/>
        <v>0</v>
      </c>
      <c r="AI56" s="680">
        <f t="shared" si="21"/>
        <v>0</v>
      </c>
      <c r="AJ56" s="680">
        <f t="shared" si="21"/>
        <v>0</v>
      </c>
      <c r="AK56" s="680">
        <f t="shared" si="21"/>
        <v>0</v>
      </c>
      <c r="AL56" s="680">
        <f t="shared" si="21"/>
        <v>0</v>
      </c>
      <c r="AM56" s="680">
        <f t="shared" si="21"/>
        <v>0</v>
      </c>
      <c r="AN56" s="680">
        <f t="shared" si="21"/>
        <v>0</v>
      </c>
      <c r="AO56" s="680">
        <f t="shared" si="21"/>
        <v>0</v>
      </c>
    </row>
    <row r="57" spans="1:41" hidden="1">
      <c r="A57" s="672"/>
      <c r="B57" s="676">
        <v>75</v>
      </c>
      <c r="C57" s="680">
        <f t="shared" si="20"/>
        <v>0</v>
      </c>
      <c r="D57" s="680">
        <f t="shared" si="21"/>
        <v>0</v>
      </c>
      <c r="E57" s="680">
        <f t="shared" si="21"/>
        <v>0</v>
      </c>
      <c r="F57" s="680">
        <f t="shared" si="21"/>
        <v>0</v>
      </c>
      <c r="G57" s="680">
        <f t="shared" si="21"/>
        <v>0</v>
      </c>
      <c r="H57" s="680">
        <f t="shared" si="21"/>
        <v>0</v>
      </c>
      <c r="I57" s="680">
        <f t="shared" si="21"/>
        <v>0</v>
      </c>
      <c r="J57" s="680">
        <f t="shared" si="21"/>
        <v>0</v>
      </c>
      <c r="K57" s="680">
        <f t="shared" si="21"/>
        <v>0</v>
      </c>
      <c r="L57" s="680">
        <f t="shared" si="21"/>
        <v>0</v>
      </c>
      <c r="M57" s="680">
        <f t="shared" si="21"/>
        <v>0</v>
      </c>
      <c r="N57" s="680">
        <f t="shared" si="21"/>
        <v>0</v>
      </c>
      <c r="O57" s="680">
        <f t="shared" si="21"/>
        <v>0</v>
      </c>
      <c r="P57" s="680">
        <f t="shared" si="21"/>
        <v>0</v>
      </c>
      <c r="Q57" s="680">
        <f t="shared" si="21"/>
        <v>0</v>
      </c>
      <c r="R57" s="680">
        <f t="shared" si="21"/>
        <v>0</v>
      </c>
      <c r="S57" s="680">
        <f t="shared" si="21"/>
        <v>0</v>
      </c>
      <c r="T57" s="680">
        <f t="shared" si="21"/>
        <v>0</v>
      </c>
      <c r="U57" s="680">
        <f t="shared" si="21"/>
        <v>0</v>
      </c>
      <c r="V57" s="680">
        <f t="shared" si="21"/>
        <v>0</v>
      </c>
      <c r="W57" s="680">
        <f t="shared" si="21"/>
        <v>0</v>
      </c>
      <c r="X57" s="680">
        <f t="shared" si="21"/>
        <v>0</v>
      </c>
      <c r="Y57" s="680">
        <f t="shared" si="21"/>
        <v>0</v>
      </c>
      <c r="Z57" s="680">
        <f t="shared" si="21"/>
        <v>0</v>
      </c>
      <c r="AA57" s="680">
        <f t="shared" si="21"/>
        <v>0</v>
      </c>
      <c r="AB57" s="680">
        <f t="shared" si="21"/>
        <v>0</v>
      </c>
      <c r="AC57" s="680">
        <f t="shared" si="21"/>
        <v>0</v>
      </c>
      <c r="AD57" s="680">
        <f t="shared" si="21"/>
        <v>0</v>
      </c>
      <c r="AE57" s="680">
        <f t="shared" si="21"/>
        <v>0</v>
      </c>
      <c r="AF57" s="680">
        <f t="shared" si="21"/>
        <v>0</v>
      </c>
      <c r="AG57" s="680">
        <f t="shared" si="21"/>
        <v>0</v>
      </c>
      <c r="AH57" s="680">
        <f t="shared" si="21"/>
        <v>0</v>
      </c>
      <c r="AI57" s="680">
        <f t="shared" si="21"/>
        <v>0</v>
      </c>
      <c r="AJ57" s="680">
        <f t="shared" si="21"/>
        <v>0</v>
      </c>
      <c r="AK57" s="680">
        <f t="shared" si="21"/>
        <v>0</v>
      </c>
      <c r="AL57" s="680">
        <f t="shared" si="21"/>
        <v>0</v>
      </c>
      <c r="AM57" s="680">
        <f t="shared" si="21"/>
        <v>0</v>
      </c>
      <c r="AN57" s="680">
        <f t="shared" si="21"/>
        <v>0</v>
      </c>
      <c r="AO57" s="680">
        <f t="shared" si="21"/>
        <v>0</v>
      </c>
    </row>
    <row r="58" spans="1:41" hidden="1">
      <c r="A58" s="672"/>
      <c r="B58" s="675">
        <v>70</v>
      </c>
      <c r="C58" s="680">
        <f t="shared" si="20"/>
        <v>0</v>
      </c>
      <c r="D58" s="680">
        <f t="shared" si="21"/>
        <v>0</v>
      </c>
      <c r="E58" s="680">
        <f t="shared" si="21"/>
        <v>0</v>
      </c>
      <c r="F58" s="680">
        <f t="shared" si="21"/>
        <v>0</v>
      </c>
      <c r="G58" s="680">
        <f t="shared" si="21"/>
        <v>0</v>
      </c>
      <c r="H58" s="680">
        <f t="shared" si="21"/>
        <v>0</v>
      </c>
      <c r="I58" s="680">
        <f t="shared" si="21"/>
        <v>0</v>
      </c>
      <c r="J58" s="680">
        <f t="shared" si="21"/>
        <v>0</v>
      </c>
      <c r="K58" s="680">
        <f t="shared" si="21"/>
        <v>0</v>
      </c>
      <c r="L58" s="680">
        <f t="shared" si="21"/>
        <v>0</v>
      </c>
      <c r="M58" s="680">
        <f t="shared" si="21"/>
        <v>0</v>
      </c>
      <c r="N58" s="680">
        <f t="shared" si="21"/>
        <v>0</v>
      </c>
      <c r="O58" s="680">
        <f t="shared" si="21"/>
        <v>0</v>
      </c>
      <c r="P58" s="680">
        <f t="shared" si="21"/>
        <v>1</v>
      </c>
      <c r="Q58" s="680">
        <f t="shared" si="21"/>
        <v>1</v>
      </c>
      <c r="R58" s="680">
        <f t="shared" si="21"/>
        <v>1</v>
      </c>
      <c r="S58" s="680">
        <f t="shared" si="21"/>
        <v>1</v>
      </c>
      <c r="T58" s="680">
        <f t="shared" si="21"/>
        <v>1</v>
      </c>
      <c r="U58" s="680">
        <f t="shared" si="21"/>
        <v>1</v>
      </c>
      <c r="V58" s="680">
        <f t="shared" si="21"/>
        <v>1</v>
      </c>
      <c r="W58" s="680">
        <f t="shared" si="21"/>
        <v>1</v>
      </c>
      <c r="X58" s="680">
        <f t="shared" si="21"/>
        <v>0</v>
      </c>
      <c r="Y58" s="680">
        <f t="shared" si="21"/>
        <v>0</v>
      </c>
      <c r="Z58" s="680">
        <f t="shared" si="21"/>
        <v>0</v>
      </c>
      <c r="AA58" s="680">
        <f t="shared" si="21"/>
        <v>0</v>
      </c>
      <c r="AB58" s="680">
        <f t="shared" si="21"/>
        <v>0</v>
      </c>
      <c r="AC58" s="680">
        <f t="shared" si="21"/>
        <v>0</v>
      </c>
      <c r="AD58" s="680">
        <f t="shared" si="21"/>
        <v>0</v>
      </c>
      <c r="AE58" s="680">
        <f t="shared" ref="AE58:AO58" si="22">IF($B14=AE$29,1,0)</f>
        <v>0</v>
      </c>
      <c r="AF58" s="680">
        <f t="shared" si="22"/>
        <v>0</v>
      </c>
      <c r="AG58" s="680">
        <f t="shared" si="22"/>
        <v>0</v>
      </c>
      <c r="AH58" s="680">
        <f t="shared" si="22"/>
        <v>0</v>
      </c>
      <c r="AI58" s="680">
        <f t="shared" si="22"/>
        <v>0</v>
      </c>
      <c r="AJ58" s="680">
        <f t="shared" si="22"/>
        <v>0</v>
      </c>
      <c r="AK58" s="680">
        <f t="shared" si="22"/>
        <v>0</v>
      </c>
      <c r="AL58" s="680">
        <f t="shared" si="22"/>
        <v>0</v>
      </c>
      <c r="AM58" s="680">
        <f t="shared" si="22"/>
        <v>0</v>
      </c>
      <c r="AN58" s="680">
        <f t="shared" si="22"/>
        <v>0</v>
      </c>
      <c r="AO58" s="680">
        <f t="shared" si="22"/>
        <v>0</v>
      </c>
    </row>
    <row r="59" spans="1:41" hidden="1">
      <c r="A59" s="672"/>
      <c r="B59" s="676">
        <v>65</v>
      </c>
      <c r="C59" s="680">
        <f t="shared" ref="C59:C70" si="23">IF($B15=C$29,1,0)</f>
        <v>0</v>
      </c>
      <c r="D59" s="680">
        <f t="shared" ref="D59:AO59" si="24">IF($B15=D$29,1,0)</f>
        <v>0</v>
      </c>
      <c r="E59" s="680">
        <f t="shared" si="24"/>
        <v>0</v>
      </c>
      <c r="F59" s="680">
        <f t="shared" si="24"/>
        <v>0</v>
      </c>
      <c r="G59" s="680">
        <f t="shared" si="24"/>
        <v>0</v>
      </c>
      <c r="H59" s="680">
        <f t="shared" si="24"/>
        <v>0</v>
      </c>
      <c r="I59" s="680">
        <f t="shared" si="24"/>
        <v>0</v>
      </c>
      <c r="J59" s="680">
        <f t="shared" si="24"/>
        <v>0</v>
      </c>
      <c r="K59" s="680">
        <f t="shared" si="24"/>
        <v>0</v>
      </c>
      <c r="L59" s="680">
        <f t="shared" si="24"/>
        <v>0</v>
      </c>
      <c r="M59" s="680">
        <f t="shared" si="24"/>
        <v>0</v>
      </c>
      <c r="N59" s="680">
        <f t="shared" si="24"/>
        <v>0</v>
      </c>
      <c r="O59" s="680">
        <f t="shared" si="24"/>
        <v>0</v>
      </c>
      <c r="P59" s="680">
        <f t="shared" si="24"/>
        <v>0</v>
      </c>
      <c r="Q59" s="680">
        <f t="shared" si="24"/>
        <v>0</v>
      </c>
      <c r="R59" s="680">
        <f t="shared" si="24"/>
        <v>0</v>
      </c>
      <c r="S59" s="680">
        <f t="shared" si="24"/>
        <v>0</v>
      </c>
      <c r="T59" s="680">
        <f t="shared" si="24"/>
        <v>0</v>
      </c>
      <c r="U59" s="680">
        <f t="shared" si="24"/>
        <v>0</v>
      </c>
      <c r="V59" s="680">
        <f t="shared" si="24"/>
        <v>0</v>
      </c>
      <c r="W59" s="680">
        <f t="shared" si="24"/>
        <v>0</v>
      </c>
      <c r="X59" s="680">
        <f t="shared" si="24"/>
        <v>0</v>
      </c>
      <c r="Y59" s="680">
        <f t="shared" si="24"/>
        <v>0</v>
      </c>
      <c r="Z59" s="680">
        <f t="shared" si="24"/>
        <v>0</v>
      </c>
      <c r="AA59" s="680">
        <f t="shared" si="24"/>
        <v>0</v>
      </c>
      <c r="AB59" s="680">
        <f t="shared" si="24"/>
        <v>0</v>
      </c>
      <c r="AC59" s="680">
        <f t="shared" si="24"/>
        <v>0</v>
      </c>
      <c r="AD59" s="680">
        <f t="shared" si="24"/>
        <v>0</v>
      </c>
      <c r="AE59" s="680">
        <f t="shared" si="24"/>
        <v>0</v>
      </c>
      <c r="AF59" s="680">
        <f t="shared" si="24"/>
        <v>0</v>
      </c>
      <c r="AG59" s="680">
        <f t="shared" si="24"/>
        <v>0</v>
      </c>
      <c r="AH59" s="680">
        <f t="shared" si="24"/>
        <v>0</v>
      </c>
      <c r="AI59" s="680">
        <f t="shared" si="24"/>
        <v>0</v>
      </c>
      <c r="AJ59" s="680">
        <f t="shared" si="24"/>
        <v>0</v>
      </c>
      <c r="AK59" s="680">
        <f t="shared" si="24"/>
        <v>0</v>
      </c>
      <c r="AL59" s="680">
        <f t="shared" si="24"/>
        <v>0</v>
      </c>
      <c r="AM59" s="680">
        <f t="shared" si="24"/>
        <v>0</v>
      </c>
      <c r="AN59" s="680">
        <f t="shared" si="24"/>
        <v>0</v>
      </c>
      <c r="AO59" s="680">
        <f t="shared" si="24"/>
        <v>0</v>
      </c>
    </row>
    <row r="60" spans="1:41" hidden="1">
      <c r="A60" s="672"/>
      <c r="B60" s="675">
        <v>60</v>
      </c>
      <c r="C60" s="680">
        <f t="shared" si="23"/>
        <v>0</v>
      </c>
      <c r="D60" s="680">
        <f t="shared" ref="D60:AO60" si="25">IF($B16=D$29,1,0)</f>
        <v>0</v>
      </c>
      <c r="E60" s="680">
        <f t="shared" si="25"/>
        <v>0</v>
      </c>
      <c r="F60" s="680">
        <f t="shared" si="25"/>
        <v>0</v>
      </c>
      <c r="G60" s="680">
        <f t="shared" si="25"/>
        <v>0</v>
      </c>
      <c r="H60" s="680">
        <f t="shared" si="25"/>
        <v>0</v>
      </c>
      <c r="I60" s="680">
        <f t="shared" si="25"/>
        <v>0</v>
      </c>
      <c r="J60" s="680">
        <f t="shared" si="25"/>
        <v>0</v>
      </c>
      <c r="K60" s="680">
        <f t="shared" si="25"/>
        <v>0</v>
      </c>
      <c r="L60" s="680">
        <f t="shared" si="25"/>
        <v>0</v>
      </c>
      <c r="M60" s="680">
        <f t="shared" si="25"/>
        <v>0</v>
      </c>
      <c r="N60" s="680">
        <f t="shared" si="25"/>
        <v>0</v>
      </c>
      <c r="O60" s="680">
        <f t="shared" si="25"/>
        <v>0</v>
      </c>
      <c r="P60" s="680">
        <f t="shared" si="25"/>
        <v>0</v>
      </c>
      <c r="Q60" s="680">
        <f t="shared" si="25"/>
        <v>0</v>
      </c>
      <c r="R60" s="680">
        <f t="shared" si="25"/>
        <v>0</v>
      </c>
      <c r="S60" s="680">
        <f t="shared" si="25"/>
        <v>0</v>
      </c>
      <c r="T60" s="680">
        <f t="shared" si="25"/>
        <v>0</v>
      </c>
      <c r="U60" s="680">
        <f t="shared" si="25"/>
        <v>0</v>
      </c>
      <c r="V60" s="680">
        <f t="shared" si="25"/>
        <v>0</v>
      </c>
      <c r="W60" s="680">
        <f t="shared" si="25"/>
        <v>0</v>
      </c>
      <c r="X60" s="680">
        <f t="shared" si="25"/>
        <v>0</v>
      </c>
      <c r="Y60" s="680">
        <f t="shared" si="25"/>
        <v>0</v>
      </c>
      <c r="Z60" s="680">
        <f t="shared" si="25"/>
        <v>0</v>
      </c>
      <c r="AA60" s="680">
        <f t="shared" si="25"/>
        <v>0</v>
      </c>
      <c r="AB60" s="680">
        <f t="shared" si="25"/>
        <v>0</v>
      </c>
      <c r="AC60" s="680">
        <f t="shared" si="25"/>
        <v>0</v>
      </c>
      <c r="AD60" s="680">
        <f t="shared" si="25"/>
        <v>0</v>
      </c>
      <c r="AE60" s="680">
        <f t="shared" si="25"/>
        <v>0</v>
      </c>
      <c r="AF60" s="680">
        <f t="shared" si="25"/>
        <v>0</v>
      </c>
      <c r="AG60" s="680">
        <f t="shared" si="25"/>
        <v>0</v>
      </c>
      <c r="AH60" s="680">
        <f t="shared" si="25"/>
        <v>0</v>
      </c>
      <c r="AI60" s="680">
        <f t="shared" si="25"/>
        <v>0</v>
      </c>
      <c r="AJ60" s="680">
        <f t="shared" si="25"/>
        <v>1</v>
      </c>
      <c r="AK60" s="680">
        <f t="shared" si="25"/>
        <v>1</v>
      </c>
      <c r="AL60" s="680">
        <f t="shared" si="25"/>
        <v>1</v>
      </c>
      <c r="AM60" s="680">
        <f t="shared" si="25"/>
        <v>1</v>
      </c>
      <c r="AN60" s="680">
        <f t="shared" si="25"/>
        <v>1</v>
      </c>
      <c r="AO60" s="680">
        <f t="shared" si="25"/>
        <v>1</v>
      </c>
    </row>
    <row r="61" spans="1:41" hidden="1">
      <c r="A61" s="672"/>
      <c r="B61" s="676">
        <v>55</v>
      </c>
      <c r="C61" s="680">
        <f t="shared" si="23"/>
        <v>0</v>
      </c>
      <c r="D61" s="680">
        <f t="shared" ref="D61:AO61" si="26">IF($B17=D$29,1,0)</f>
        <v>0</v>
      </c>
      <c r="E61" s="680">
        <f t="shared" si="26"/>
        <v>0</v>
      </c>
      <c r="F61" s="680">
        <f t="shared" si="26"/>
        <v>0</v>
      </c>
      <c r="G61" s="680">
        <f t="shared" si="26"/>
        <v>0</v>
      </c>
      <c r="H61" s="680">
        <f t="shared" si="26"/>
        <v>0</v>
      </c>
      <c r="I61" s="680">
        <f t="shared" si="26"/>
        <v>0</v>
      </c>
      <c r="J61" s="680">
        <f t="shared" si="26"/>
        <v>0</v>
      </c>
      <c r="K61" s="680">
        <f t="shared" si="26"/>
        <v>0</v>
      </c>
      <c r="L61" s="680">
        <f t="shared" si="26"/>
        <v>0</v>
      </c>
      <c r="M61" s="680">
        <f t="shared" si="26"/>
        <v>0</v>
      </c>
      <c r="N61" s="680">
        <f t="shared" si="26"/>
        <v>0</v>
      </c>
      <c r="O61" s="680">
        <f t="shared" si="26"/>
        <v>0</v>
      </c>
      <c r="P61" s="680">
        <f t="shared" si="26"/>
        <v>0</v>
      </c>
      <c r="Q61" s="680">
        <f t="shared" si="26"/>
        <v>0</v>
      </c>
      <c r="R61" s="680">
        <f t="shared" si="26"/>
        <v>0</v>
      </c>
      <c r="S61" s="680">
        <f t="shared" si="26"/>
        <v>0</v>
      </c>
      <c r="T61" s="680">
        <f t="shared" si="26"/>
        <v>0</v>
      </c>
      <c r="U61" s="680">
        <f t="shared" si="26"/>
        <v>0</v>
      </c>
      <c r="V61" s="680">
        <f t="shared" si="26"/>
        <v>0</v>
      </c>
      <c r="W61" s="680">
        <f t="shared" si="26"/>
        <v>0</v>
      </c>
      <c r="X61" s="680">
        <f t="shared" si="26"/>
        <v>0</v>
      </c>
      <c r="Y61" s="680">
        <f t="shared" si="26"/>
        <v>0</v>
      </c>
      <c r="Z61" s="680">
        <f t="shared" si="26"/>
        <v>0</v>
      </c>
      <c r="AA61" s="680">
        <f t="shared" si="26"/>
        <v>0</v>
      </c>
      <c r="AB61" s="680">
        <f t="shared" si="26"/>
        <v>0</v>
      </c>
      <c r="AC61" s="680">
        <f t="shared" si="26"/>
        <v>0</v>
      </c>
      <c r="AD61" s="680">
        <f t="shared" si="26"/>
        <v>0</v>
      </c>
      <c r="AE61" s="680">
        <f t="shared" si="26"/>
        <v>0</v>
      </c>
      <c r="AF61" s="680">
        <f t="shared" si="26"/>
        <v>0</v>
      </c>
      <c r="AG61" s="680">
        <f t="shared" si="26"/>
        <v>0</v>
      </c>
      <c r="AH61" s="680">
        <f t="shared" si="26"/>
        <v>0</v>
      </c>
      <c r="AI61" s="680">
        <f t="shared" si="26"/>
        <v>0</v>
      </c>
      <c r="AJ61" s="680">
        <f t="shared" si="26"/>
        <v>0</v>
      </c>
      <c r="AK61" s="680">
        <f t="shared" si="26"/>
        <v>0</v>
      </c>
      <c r="AL61" s="680">
        <f t="shared" si="26"/>
        <v>0</v>
      </c>
      <c r="AM61" s="680">
        <f t="shared" si="26"/>
        <v>0</v>
      </c>
      <c r="AN61" s="680">
        <f t="shared" si="26"/>
        <v>0</v>
      </c>
      <c r="AO61" s="680">
        <f t="shared" si="26"/>
        <v>0</v>
      </c>
    </row>
    <row r="62" spans="1:41" hidden="1">
      <c r="A62" s="672"/>
      <c r="B62" s="675">
        <v>50</v>
      </c>
      <c r="C62" s="680">
        <f t="shared" si="23"/>
        <v>0</v>
      </c>
      <c r="D62" s="680">
        <f t="shared" ref="D62:AO62" si="27">IF($B18=D$29,1,0)</f>
        <v>0</v>
      </c>
      <c r="E62" s="680">
        <f t="shared" si="27"/>
        <v>0</v>
      </c>
      <c r="F62" s="680">
        <f t="shared" si="27"/>
        <v>0</v>
      </c>
      <c r="G62" s="680">
        <f t="shared" si="27"/>
        <v>0</v>
      </c>
      <c r="H62" s="680">
        <f t="shared" si="27"/>
        <v>0</v>
      </c>
      <c r="I62" s="680">
        <f t="shared" si="27"/>
        <v>0</v>
      </c>
      <c r="J62" s="680">
        <f t="shared" si="27"/>
        <v>0</v>
      </c>
      <c r="K62" s="680">
        <f t="shared" si="27"/>
        <v>0</v>
      </c>
      <c r="L62" s="680">
        <f t="shared" si="27"/>
        <v>0</v>
      </c>
      <c r="M62" s="680">
        <f t="shared" si="27"/>
        <v>0</v>
      </c>
      <c r="N62" s="680">
        <f t="shared" si="27"/>
        <v>0</v>
      </c>
      <c r="O62" s="680">
        <f t="shared" si="27"/>
        <v>0</v>
      </c>
      <c r="P62" s="680">
        <f t="shared" si="27"/>
        <v>0</v>
      </c>
      <c r="Q62" s="680">
        <f t="shared" si="27"/>
        <v>0</v>
      </c>
      <c r="R62" s="680">
        <f t="shared" si="27"/>
        <v>0</v>
      </c>
      <c r="S62" s="680">
        <f t="shared" si="27"/>
        <v>0</v>
      </c>
      <c r="T62" s="680">
        <f t="shared" si="27"/>
        <v>0</v>
      </c>
      <c r="U62" s="680">
        <f t="shared" si="27"/>
        <v>0</v>
      </c>
      <c r="V62" s="680">
        <f t="shared" si="27"/>
        <v>0</v>
      </c>
      <c r="W62" s="680">
        <f t="shared" si="27"/>
        <v>0</v>
      </c>
      <c r="X62" s="680">
        <f t="shared" si="27"/>
        <v>0</v>
      </c>
      <c r="Y62" s="680">
        <f t="shared" si="27"/>
        <v>0</v>
      </c>
      <c r="Z62" s="680">
        <f t="shared" si="27"/>
        <v>0</v>
      </c>
      <c r="AA62" s="680">
        <f t="shared" si="27"/>
        <v>0</v>
      </c>
      <c r="AB62" s="680">
        <f t="shared" si="27"/>
        <v>0</v>
      </c>
      <c r="AC62" s="680">
        <f t="shared" si="27"/>
        <v>0</v>
      </c>
      <c r="AD62" s="680">
        <f t="shared" si="27"/>
        <v>0</v>
      </c>
      <c r="AE62" s="680">
        <f t="shared" si="27"/>
        <v>0</v>
      </c>
      <c r="AF62" s="680">
        <f t="shared" si="27"/>
        <v>0</v>
      </c>
      <c r="AG62" s="680">
        <f t="shared" si="27"/>
        <v>0</v>
      </c>
      <c r="AH62" s="680">
        <f t="shared" si="27"/>
        <v>0</v>
      </c>
      <c r="AI62" s="680">
        <f t="shared" si="27"/>
        <v>0</v>
      </c>
      <c r="AJ62" s="680">
        <f t="shared" si="27"/>
        <v>0</v>
      </c>
      <c r="AK62" s="680">
        <f t="shared" si="27"/>
        <v>0</v>
      </c>
      <c r="AL62" s="680">
        <f t="shared" si="27"/>
        <v>0</v>
      </c>
      <c r="AM62" s="680">
        <f t="shared" si="27"/>
        <v>0</v>
      </c>
      <c r="AN62" s="680">
        <f t="shared" si="27"/>
        <v>0</v>
      </c>
      <c r="AO62" s="680">
        <f t="shared" si="27"/>
        <v>0</v>
      </c>
    </row>
    <row r="63" spans="1:41" hidden="1">
      <c r="A63" s="672"/>
      <c r="B63" s="676">
        <v>45</v>
      </c>
      <c r="C63" s="680">
        <f t="shared" si="23"/>
        <v>0</v>
      </c>
      <c r="D63" s="680">
        <f t="shared" ref="D63:AO63" si="28">IF($B19=D$29,1,0)</f>
        <v>0</v>
      </c>
      <c r="E63" s="680">
        <f t="shared" si="28"/>
        <v>0</v>
      </c>
      <c r="F63" s="680">
        <f t="shared" si="28"/>
        <v>0</v>
      </c>
      <c r="G63" s="680">
        <f t="shared" si="28"/>
        <v>0</v>
      </c>
      <c r="H63" s="680">
        <f t="shared" si="28"/>
        <v>0</v>
      </c>
      <c r="I63" s="680">
        <f t="shared" si="28"/>
        <v>0</v>
      </c>
      <c r="J63" s="680">
        <f t="shared" si="28"/>
        <v>0</v>
      </c>
      <c r="K63" s="680">
        <f t="shared" si="28"/>
        <v>0</v>
      </c>
      <c r="L63" s="680">
        <f t="shared" si="28"/>
        <v>0</v>
      </c>
      <c r="M63" s="680">
        <f t="shared" si="28"/>
        <v>0</v>
      </c>
      <c r="N63" s="680">
        <f t="shared" si="28"/>
        <v>0</v>
      </c>
      <c r="O63" s="680">
        <f t="shared" si="28"/>
        <v>0</v>
      </c>
      <c r="P63" s="680">
        <f t="shared" si="28"/>
        <v>0</v>
      </c>
      <c r="Q63" s="680">
        <f t="shared" si="28"/>
        <v>0</v>
      </c>
      <c r="R63" s="680">
        <f t="shared" si="28"/>
        <v>0</v>
      </c>
      <c r="S63" s="680">
        <f t="shared" si="28"/>
        <v>0</v>
      </c>
      <c r="T63" s="680">
        <f t="shared" si="28"/>
        <v>0</v>
      </c>
      <c r="U63" s="680">
        <f t="shared" si="28"/>
        <v>0</v>
      </c>
      <c r="V63" s="680">
        <f t="shared" si="28"/>
        <v>0</v>
      </c>
      <c r="W63" s="680">
        <f t="shared" si="28"/>
        <v>0</v>
      </c>
      <c r="X63" s="680">
        <f t="shared" si="28"/>
        <v>0</v>
      </c>
      <c r="Y63" s="680">
        <f t="shared" si="28"/>
        <v>0</v>
      </c>
      <c r="Z63" s="680">
        <f t="shared" si="28"/>
        <v>0</v>
      </c>
      <c r="AA63" s="680">
        <f t="shared" si="28"/>
        <v>0</v>
      </c>
      <c r="AB63" s="680">
        <f t="shared" si="28"/>
        <v>0</v>
      </c>
      <c r="AC63" s="680">
        <f t="shared" si="28"/>
        <v>0</v>
      </c>
      <c r="AD63" s="680">
        <f t="shared" si="28"/>
        <v>0</v>
      </c>
      <c r="AE63" s="680">
        <f t="shared" si="28"/>
        <v>0</v>
      </c>
      <c r="AF63" s="680">
        <f t="shared" si="28"/>
        <v>0</v>
      </c>
      <c r="AG63" s="680">
        <f t="shared" si="28"/>
        <v>0</v>
      </c>
      <c r="AH63" s="680">
        <f t="shared" si="28"/>
        <v>0</v>
      </c>
      <c r="AI63" s="680">
        <f t="shared" si="28"/>
        <v>0</v>
      </c>
      <c r="AJ63" s="680">
        <f t="shared" si="28"/>
        <v>0</v>
      </c>
      <c r="AK63" s="680">
        <f t="shared" si="28"/>
        <v>0</v>
      </c>
      <c r="AL63" s="680">
        <f t="shared" si="28"/>
        <v>0</v>
      </c>
      <c r="AM63" s="680">
        <f t="shared" si="28"/>
        <v>0</v>
      </c>
      <c r="AN63" s="680">
        <f t="shared" si="28"/>
        <v>0</v>
      </c>
      <c r="AO63" s="680">
        <f t="shared" si="28"/>
        <v>0</v>
      </c>
    </row>
    <row r="64" spans="1:41" hidden="1">
      <c r="A64" s="672"/>
      <c r="B64" s="675">
        <v>40</v>
      </c>
      <c r="C64" s="680">
        <f t="shared" si="23"/>
        <v>0</v>
      </c>
      <c r="D64" s="680">
        <f t="shared" ref="D64:AO64" si="29">IF($B20=D$29,1,0)</f>
        <v>0</v>
      </c>
      <c r="E64" s="680">
        <f t="shared" si="29"/>
        <v>0</v>
      </c>
      <c r="F64" s="680">
        <f t="shared" si="29"/>
        <v>0</v>
      </c>
      <c r="G64" s="680">
        <f t="shared" si="29"/>
        <v>0</v>
      </c>
      <c r="H64" s="680">
        <f t="shared" si="29"/>
        <v>0</v>
      </c>
      <c r="I64" s="680">
        <f t="shared" si="29"/>
        <v>0</v>
      </c>
      <c r="J64" s="680">
        <f t="shared" si="29"/>
        <v>0</v>
      </c>
      <c r="K64" s="680">
        <f t="shared" si="29"/>
        <v>0</v>
      </c>
      <c r="L64" s="680">
        <f t="shared" si="29"/>
        <v>0</v>
      </c>
      <c r="M64" s="680">
        <f t="shared" si="29"/>
        <v>0</v>
      </c>
      <c r="N64" s="680">
        <f t="shared" si="29"/>
        <v>0</v>
      </c>
      <c r="O64" s="680">
        <f t="shared" si="29"/>
        <v>0</v>
      </c>
      <c r="P64" s="680">
        <f t="shared" si="29"/>
        <v>0</v>
      </c>
      <c r="Q64" s="680">
        <f t="shared" si="29"/>
        <v>0</v>
      </c>
      <c r="R64" s="680">
        <f t="shared" si="29"/>
        <v>0</v>
      </c>
      <c r="S64" s="680">
        <f t="shared" si="29"/>
        <v>0</v>
      </c>
      <c r="T64" s="680">
        <f t="shared" si="29"/>
        <v>0</v>
      </c>
      <c r="U64" s="680">
        <f t="shared" si="29"/>
        <v>0</v>
      </c>
      <c r="V64" s="680">
        <f t="shared" si="29"/>
        <v>0</v>
      </c>
      <c r="W64" s="680">
        <f t="shared" si="29"/>
        <v>0</v>
      </c>
      <c r="X64" s="680">
        <f t="shared" si="29"/>
        <v>0</v>
      </c>
      <c r="Y64" s="680">
        <f t="shared" si="29"/>
        <v>0</v>
      </c>
      <c r="Z64" s="680">
        <f t="shared" si="29"/>
        <v>0</v>
      </c>
      <c r="AA64" s="680">
        <f t="shared" si="29"/>
        <v>0</v>
      </c>
      <c r="AB64" s="680">
        <f t="shared" si="29"/>
        <v>0</v>
      </c>
      <c r="AC64" s="680">
        <f t="shared" si="29"/>
        <v>0</v>
      </c>
      <c r="AD64" s="680">
        <f t="shared" si="29"/>
        <v>0</v>
      </c>
      <c r="AE64" s="680">
        <f t="shared" si="29"/>
        <v>0</v>
      </c>
      <c r="AF64" s="680">
        <f t="shared" si="29"/>
        <v>0</v>
      </c>
      <c r="AG64" s="680">
        <f t="shared" si="29"/>
        <v>0</v>
      </c>
      <c r="AH64" s="680">
        <f t="shared" si="29"/>
        <v>0</v>
      </c>
      <c r="AI64" s="680">
        <f t="shared" si="29"/>
        <v>0</v>
      </c>
      <c r="AJ64" s="680">
        <f t="shared" si="29"/>
        <v>0</v>
      </c>
      <c r="AK64" s="680">
        <f t="shared" si="29"/>
        <v>0</v>
      </c>
      <c r="AL64" s="680">
        <f t="shared" si="29"/>
        <v>0</v>
      </c>
      <c r="AM64" s="680">
        <f t="shared" si="29"/>
        <v>0</v>
      </c>
      <c r="AN64" s="680">
        <f t="shared" si="29"/>
        <v>0</v>
      </c>
      <c r="AO64" s="680">
        <f t="shared" si="29"/>
        <v>0</v>
      </c>
    </row>
    <row r="65" spans="1:41" hidden="1">
      <c r="A65" s="672"/>
      <c r="B65" s="676">
        <v>35</v>
      </c>
      <c r="C65" s="680">
        <f t="shared" si="23"/>
        <v>0</v>
      </c>
      <c r="D65" s="680">
        <f t="shared" ref="D65:AO65" si="30">IF($B21=D$29,1,0)</f>
        <v>0</v>
      </c>
      <c r="E65" s="680">
        <f t="shared" si="30"/>
        <v>0</v>
      </c>
      <c r="F65" s="680">
        <f t="shared" si="30"/>
        <v>0</v>
      </c>
      <c r="G65" s="680">
        <f t="shared" si="30"/>
        <v>0</v>
      </c>
      <c r="H65" s="680">
        <f t="shared" si="30"/>
        <v>0</v>
      </c>
      <c r="I65" s="680">
        <f t="shared" si="30"/>
        <v>0</v>
      </c>
      <c r="J65" s="680">
        <f t="shared" si="30"/>
        <v>0</v>
      </c>
      <c r="K65" s="680">
        <f t="shared" si="30"/>
        <v>0</v>
      </c>
      <c r="L65" s="680">
        <f t="shared" si="30"/>
        <v>0</v>
      </c>
      <c r="M65" s="680">
        <f t="shared" si="30"/>
        <v>0</v>
      </c>
      <c r="N65" s="680">
        <f t="shared" si="30"/>
        <v>0</v>
      </c>
      <c r="O65" s="680">
        <f t="shared" si="30"/>
        <v>0</v>
      </c>
      <c r="P65" s="680">
        <f t="shared" si="30"/>
        <v>0</v>
      </c>
      <c r="Q65" s="680">
        <f t="shared" si="30"/>
        <v>0</v>
      </c>
      <c r="R65" s="680">
        <f t="shared" si="30"/>
        <v>0</v>
      </c>
      <c r="S65" s="680">
        <f t="shared" si="30"/>
        <v>0</v>
      </c>
      <c r="T65" s="680">
        <f t="shared" si="30"/>
        <v>0</v>
      </c>
      <c r="U65" s="680">
        <f t="shared" si="30"/>
        <v>0</v>
      </c>
      <c r="V65" s="680">
        <f t="shared" si="30"/>
        <v>0</v>
      </c>
      <c r="W65" s="680">
        <f t="shared" si="30"/>
        <v>0</v>
      </c>
      <c r="X65" s="680">
        <f t="shared" si="30"/>
        <v>0</v>
      </c>
      <c r="Y65" s="680">
        <f t="shared" si="30"/>
        <v>0</v>
      </c>
      <c r="Z65" s="680">
        <f t="shared" si="30"/>
        <v>0</v>
      </c>
      <c r="AA65" s="680">
        <f t="shared" si="30"/>
        <v>0</v>
      </c>
      <c r="AB65" s="680">
        <f t="shared" si="30"/>
        <v>0</v>
      </c>
      <c r="AC65" s="680">
        <f t="shared" si="30"/>
        <v>0</v>
      </c>
      <c r="AD65" s="680">
        <f t="shared" si="30"/>
        <v>0</v>
      </c>
      <c r="AE65" s="680">
        <f t="shared" si="30"/>
        <v>0</v>
      </c>
      <c r="AF65" s="680">
        <f t="shared" si="30"/>
        <v>0</v>
      </c>
      <c r="AG65" s="680">
        <f t="shared" si="30"/>
        <v>0</v>
      </c>
      <c r="AH65" s="680">
        <f t="shared" si="30"/>
        <v>0</v>
      </c>
      <c r="AI65" s="680">
        <f t="shared" si="30"/>
        <v>0</v>
      </c>
      <c r="AJ65" s="680">
        <f t="shared" si="30"/>
        <v>0</v>
      </c>
      <c r="AK65" s="680">
        <f t="shared" si="30"/>
        <v>0</v>
      </c>
      <c r="AL65" s="680">
        <f t="shared" si="30"/>
        <v>0</v>
      </c>
      <c r="AM65" s="680">
        <f t="shared" si="30"/>
        <v>0</v>
      </c>
      <c r="AN65" s="680">
        <f t="shared" si="30"/>
        <v>0</v>
      </c>
      <c r="AO65" s="680">
        <f t="shared" si="30"/>
        <v>0</v>
      </c>
    </row>
    <row r="66" spans="1:41" hidden="1">
      <c r="A66" s="672"/>
      <c r="B66" s="675">
        <v>30</v>
      </c>
      <c r="C66" s="680">
        <f t="shared" si="23"/>
        <v>0</v>
      </c>
      <c r="D66" s="680">
        <f t="shared" ref="D66:AO66" si="31">IF($B22=D$29,1,0)</f>
        <v>0</v>
      </c>
      <c r="E66" s="680">
        <f t="shared" si="31"/>
        <v>0</v>
      </c>
      <c r="F66" s="680">
        <f t="shared" si="31"/>
        <v>0</v>
      </c>
      <c r="G66" s="680">
        <f t="shared" si="31"/>
        <v>0</v>
      </c>
      <c r="H66" s="680">
        <f t="shared" si="31"/>
        <v>0</v>
      </c>
      <c r="I66" s="680">
        <f t="shared" si="31"/>
        <v>0</v>
      </c>
      <c r="J66" s="680">
        <f t="shared" si="31"/>
        <v>0</v>
      </c>
      <c r="K66" s="680">
        <f t="shared" si="31"/>
        <v>0</v>
      </c>
      <c r="L66" s="680">
        <f t="shared" si="31"/>
        <v>0</v>
      </c>
      <c r="M66" s="680">
        <f t="shared" si="31"/>
        <v>0</v>
      </c>
      <c r="N66" s="680">
        <f t="shared" si="31"/>
        <v>0</v>
      </c>
      <c r="O66" s="680">
        <f t="shared" si="31"/>
        <v>0</v>
      </c>
      <c r="P66" s="680">
        <f t="shared" si="31"/>
        <v>0</v>
      </c>
      <c r="Q66" s="680">
        <f t="shared" si="31"/>
        <v>0</v>
      </c>
      <c r="R66" s="680">
        <f t="shared" si="31"/>
        <v>0</v>
      </c>
      <c r="S66" s="680">
        <f t="shared" si="31"/>
        <v>0</v>
      </c>
      <c r="T66" s="680">
        <f t="shared" si="31"/>
        <v>0</v>
      </c>
      <c r="U66" s="680">
        <f t="shared" si="31"/>
        <v>0</v>
      </c>
      <c r="V66" s="680">
        <f t="shared" si="31"/>
        <v>0</v>
      </c>
      <c r="W66" s="680">
        <f t="shared" si="31"/>
        <v>0</v>
      </c>
      <c r="X66" s="680">
        <f t="shared" si="31"/>
        <v>0</v>
      </c>
      <c r="Y66" s="680">
        <f t="shared" si="31"/>
        <v>0</v>
      </c>
      <c r="Z66" s="680">
        <f t="shared" si="31"/>
        <v>0</v>
      </c>
      <c r="AA66" s="680">
        <f t="shared" si="31"/>
        <v>0</v>
      </c>
      <c r="AB66" s="680">
        <f t="shared" si="31"/>
        <v>0</v>
      </c>
      <c r="AC66" s="680">
        <f t="shared" si="31"/>
        <v>0</v>
      </c>
      <c r="AD66" s="680">
        <f t="shared" si="31"/>
        <v>0</v>
      </c>
      <c r="AE66" s="680">
        <f t="shared" si="31"/>
        <v>0</v>
      </c>
      <c r="AF66" s="680">
        <f t="shared" si="31"/>
        <v>0</v>
      </c>
      <c r="AG66" s="680">
        <f t="shared" si="31"/>
        <v>0</v>
      </c>
      <c r="AH66" s="680">
        <f t="shared" si="31"/>
        <v>0</v>
      </c>
      <c r="AI66" s="680">
        <f t="shared" si="31"/>
        <v>0</v>
      </c>
      <c r="AJ66" s="680">
        <f t="shared" si="31"/>
        <v>0</v>
      </c>
      <c r="AK66" s="680">
        <f t="shared" si="31"/>
        <v>0</v>
      </c>
      <c r="AL66" s="680">
        <f t="shared" si="31"/>
        <v>0</v>
      </c>
      <c r="AM66" s="680">
        <f t="shared" si="31"/>
        <v>0</v>
      </c>
      <c r="AN66" s="680">
        <f t="shared" si="31"/>
        <v>0</v>
      </c>
      <c r="AO66" s="680">
        <f t="shared" si="31"/>
        <v>0</v>
      </c>
    </row>
    <row r="67" spans="1:41" hidden="1">
      <c r="A67" s="672"/>
      <c r="B67" s="676">
        <v>25</v>
      </c>
      <c r="C67" s="680">
        <f t="shared" si="23"/>
        <v>0</v>
      </c>
      <c r="D67" s="680">
        <f t="shared" ref="D67:AO67" si="32">IF($B23=D$29,1,0)</f>
        <v>0</v>
      </c>
      <c r="E67" s="680">
        <f t="shared" si="32"/>
        <v>0</v>
      </c>
      <c r="F67" s="680">
        <f t="shared" si="32"/>
        <v>0</v>
      </c>
      <c r="G67" s="680">
        <f t="shared" si="32"/>
        <v>0</v>
      </c>
      <c r="H67" s="680">
        <f t="shared" si="32"/>
        <v>0</v>
      </c>
      <c r="I67" s="680">
        <f t="shared" si="32"/>
        <v>0</v>
      </c>
      <c r="J67" s="680">
        <f t="shared" si="32"/>
        <v>0</v>
      </c>
      <c r="K67" s="680">
        <f t="shared" si="32"/>
        <v>0</v>
      </c>
      <c r="L67" s="680">
        <f t="shared" si="32"/>
        <v>0</v>
      </c>
      <c r="M67" s="680">
        <f t="shared" si="32"/>
        <v>0</v>
      </c>
      <c r="N67" s="680">
        <f t="shared" si="32"/>
        <v>0</v>
      </c>
      <c r="O67" s="680">
        <f t="shared" si="32"/>
        <v>0</v>
      </c>
      <c r="P67" s="680">
        <f t="shared" si="32"/>
        <v>0</v>
      </c>
      <c r="Q67" s="680">
        <f t="shared" si="32"/>
        <v>0</v>
      </c>
      <c r="R67" s="680">
        <f t="shared" si="32"/>
        <v>0</v>
      </c>
      <c r="S67" s="680">
        <f t="shared" si="32"/>
        <v>0</v>
      </c>
      <c r="T67" s="680">
        <f t="shared" si="32"/>
        <v>0</v>
      </c>
      <c r="U67" s="680">
        <f t="shared" si="32"/>
        <v>0</v>
      </c>
      <c r="V67" s="680">
        <f t="shared" si="32"/>
        <v>0</v>
      </c>
      <c r="W67" s="680">
        <f t="shared" si="32"/>
        <v>0</v>
      </c>
      <c r="X67" s="680">
        <f t="shared" si="32"/>
        <v>0</v>
      </c>
      <c r="Y67" s="680">
        <f t="shared" si="32"/>
        <v>0</v>
      </c>
      <c r="Z67" s="680">
        <f t="shared" si="32"/>
        <v>0</v>
      </c>
      <c r="AA67" s="680">
        <f t="shared" si="32"/>
        <v>0</v>
      </c>
      <c r="AB67" s="680">
        <f t="shared" si="32"/>
        <v>0</v>
      </c>
      <c r="AC67" s="680">
        <f t="shared" si="32"/>
        <v>0</v>
      </c>
      <c r="AD67" s="680">
        <f t="shared" si="32"/>
        <v>0</v>
      </c>
      <c r="AE67" s="680">
        <f t="shared" si="32"/>
        <v>0</v>
      </c>
      <c r="AF67" s="680">
        <f t="shared" si="32"/>
        <v>0</v>
      </c>
      <c r="AG67" s="680">
        <f t="shared" si="32"/>
        <v>0</v>
      </c>
      <c r="AH67" s="680">
        <f t="shared" si="32"/>
        <v>0</v>
      </c>
      <c r="AI67" s="680">
        <f t="shared" si="32"/>
        <v>0</v>
      </c>
      <c r="AJ67" s="680">
        <f t="shared" si="32"/>
        <v>0</v>
      </c>
      <c r="AK67" s="680">
        <f t="shared" si="32"/>
        <v>0</v>
      </c>
      <c r="AL67" s="680">
        <f t="shared" si="32"/>
        <v>0</v>
      </c>
      <c r="AM67" s="680">
        <f t="shared" si="32"/>
        <v>0</v>
      </c>
      <c r="AN67" s="680">
        <f t="shared" si="32"/>
        <v>0</v>
      </c>
      <c r="AO67" s="680">
        <f t="shared" si="32"/>
        <v>0</v>
      </c>
    </row>
    <row r="68" spans="1:41" hidden="1">
      <c r="A68" s="672"/>
      <c r="B68" s="675">
        <v>20</v>
      </c>
      <c r="C68" s="680">
        <f t="shared" si="23"/>
        <v>0</v>
      </c>
      <c r="D68" s="680">
        <f t="shared" ref="D68:AO68" si="33">IF($B24=D$29,1,0)</f>
        <v>0</v>
      </c>
      <c r="E68" s="680">
        <f t="shared" si="33"/>
        <v>0</v>
      </c>
      <c r="F68" s="680">
        <f t="shared" si="33"/>
        <v>0</v>
      </c>
      <c r="G68" s="680">
        <f t="shared" si="33"/>
        <v>0</v>
      </c>
      <c r="H68" s="680">
        <f t="shared" si="33"/>
        <v>0</v>
      </c>
      <c r="I68" s="680">
        <f t="shared" si="33"/>
        <v>0</v>
      </c>
      <c r="J68" s="680">
        <f t="shared" si="33"/>
        <v>0</v>
      </c>
      <c r="K68" s="680">
        <f t="shared" si="33"/>
        <v>0</v>
      </c>
      <c r="L68" s="680">
        <f t="shared" si="33"/>
        <v>0</v>
      </c>
      <c r="M68" s="680">
        <f t="shared" si="33"/>
        <v>0</v>
      </c>
      <c r="N68" s="680">
        <f t="shared" si="33"/>
        <v>0</v>
      </c>
      <c r="O68" s="680">
        <f t="shared" si="33"/>
        <v>0</v>
      </c>
      <c r="P68" s="680">
        <f t="shared" si="33"/>
        <v>0</v>
      </c>
      <c r="Q68" s="680">
        <f t="shared" si="33"/>
        <v>0</v>
      </c>
      <c r="R68" s="680">
        <f t="shared" si="33"/>
        <v>0</v>
      </c>
      <c r="S68" s="680">
        <f t="shared" si="33"/>
        <v>0</v>
      </c>
      <c r="T68" s="680">
        <f t="shared" si="33"/>
        <v>0</v>
      </c>
      <c r="U68" s="680">
        <f t="shared" si="33"/>
        <v>0</v>
      </c>
      <c r="V68" s="680">
        <f t="shared" si="33"/>
        <v>0</v>
      </c>
      <c r="W68" s="680">
        <f t="shared" si="33"/>
        <v>0</v>
      </c>
      <c r="X68" s="680">
        <f t="shared" si="33"/>
        <v>0</v>
      </c>
      <c r="Y68" s="680">
        <f t="shared" si="33"/>
        <v>0</v>
      </c>
      <c r="Z68" s="680">
        <f t="shared" si="33"/>
        <v>0</v>
      </c>
      <c r="AA68" s="680">
        <f t="shared" si="33"/>
        <v>0</v>
      </c>
      <c r="AB68" s="680">
        <f t="shared" si="33"/>
        <v>0</v>
      </c>
      <c r="AC68" s="680">
        <f t="shared" si="33"/>
        <v>0</v>
      </c>
      <c r="AD68" s="680">
        <f t="shared" si="33"/>
        <v>0</v>
      </c>
      <c r="AE68" s="680">
        <f t="shared" si="33"/>
        <v>0</v>
      </c>
      <c r="AF68" s="680">
        <f t="shared" si="33"/>
        <v>0</v>
      </c>
      <c r="AG68" s="680">
        <f t="shared" si="33"/>
        <v>0</v>
      </c>
      <c r="AH68" s="680">
        <f t="shared" si="33"/>
        <v>0</v>
      </c>
      <c r="AI68" s="680">
        <f t="shared" si="33"/>
        <v>0</v>
      </c>
      <c r="AJ68" s="680">
        <f t="shared" si="33"/>
        <v>0</v>
      </c>
      <c r="AK68" s="680">
        <f t="shared" si="33"/>
        <v>0</v>
      </c>
      <c r="AL68" s="680">
        <f t="shared" si="33"/>
        <v>0</v>
      </c>
      <c r="AM68" s="680">
        <f t="shared" si="33"/>
        <v>0</v>
      </c>
      <c r="AN68" s="680">
        <f t="shared" si="33"/>
        <v>0</v>
      </c>
      <c r="AO68" s="680">
        <f t="shared" si="33"/>
        <v>0</v>
      </c>
    </row>
    <row r="69" spans="1:41" hidden="1">
      <c r="A69" s="672"/>
      <c r="B69" s="676">
        <v>15</v>
      </c>
      <c r="C69" s="680">
        <f t="shared" si="23"/>
        <v>0</v>
      </c>
      <c r="D69" s="680">
        <f t="shared" ref="D69:AO69" si="34">IF($B25=D$29,1,0)</f>
        <v>0</v>
      </c>
      <c r="E69" s="680">
        <f t="shared" si="34"/>
        <v>0</v>
      </c>
      <c r="F69" s="680">
        <f t="shared" si="34"/>
        <v>0</v>
      </c>
      <c r="G69" s="680">
        <f t="shared" si="34"/>
        <v>0</v>
      </c>
      <c r="H69" s="680">
        <f t="shared" si="34"/>
        <v>0</v>
      </c>
      <c r="I69" s="680">
        <f t="shared" si="34"/>
        <v>0</v>
      </c>
      <c r="J69" s="680">
        <f t="shared" si="34"/>
        <v>0</v>
      </c>
      <c r="K69" s="680">
        <f t="shared" si="34"/>
        <v>0</v>
      </c>
      <c r="L69" s="680">
        <f t="shared" si="34"/>
        <v>0</v>
      </c>
      <c r="M69" s="680">
        <f t="shared" si="34"/>
        <v>0</v>
      </c>
      <c r="N69" s="680">
        <f t="shared" si="34"/>
        <v>0</v>
      </c>
      <c r="O69" s="680">
        <f t="shared" si="34"/>
        <v>0</v>
      </c>
      <c r="P69" s="680">
        <f t="shared" si="34"/>
        <v>0</v>
      </c>
      <c r="Q69" s="680">
        <f t="shared" si="34"/>
        <v>0</v>
      </c>
      <c r="R69" s="680">
        <f t="shared" si="34"/>
        <v>0</v>
      </c>
      <c r="S69" s="680">
        <f t="shared" si="34"/>
        <v>0</v>
      </c>
      <c r="T69" s="680">
        <f t="shared" si="34"/>
        <v>0</v>
      </c>
      <c r="U69" s="680">
        <f t="shared" si="34"/>
        <v>0</v>
      </c>
      <c r="V69" s="680">
        <f t="shared" si="34"/>
        <v>0</v>
      </c>
      <c r="W69" s="680">
        <f t="shared" si="34"/>
        <v>0</v>
      </c>
      <c r="X69" s="680">
        <f t="shared" si="34"/>
        <v>0</v>
      </c>
      <c r="Y69" s="680">
        <f t="shared" si="34"/>
        <v>0</v>
      </c>
      <c r="Z69" s="680">
        <f t="shared" si="34"/>
        <v>0</v>
      </c>
      <c r="AA69" s="680">
        <f t="shared" si="34"/>
        <v>0</v>
      </c>
      <c r="AB69" s="680">
        <f t="shared" si="34"/>
        <v>0</v>
      </c>
      <c r="AC69" s="680">
        <f t="shared" si="34"/>
        <v>0</v>
      </c>
      <c r="AD69" s="680">
        <f t="shared" si="34"/>
        <v>0</v>
      </c>
      <c r="AE69" s="680">
        <f t="shared" si="34"/>
        <v>0</v>
      </c>
      <c r="AF69" s="680">
        <f t="shared" si="34"/>
        <v>0</v>
      </c>
      <c r="AG69" s="680">
        <f t="shared" si="34"/>
        <v>0</v>
      </c>
      <c r="AH69" s="680">
        <f t="shared" si="34"/>
        <v>0</v>
      </c>
      <c r="AI69" s="680">
        <f t="shared" si="34"/>
        <v>0</v>
      </c>
      <c r="AJ69" s="680">
        <f t="shared" si="34"/>
        <v>0</v>
      </c>
      <c r="AK69" s="680">
        <f t="shared" si="34"/>
        <v>0</v>
      </c>
      <c r="AL69" s="680">
        <f t="shared" si="34"/>
        <v>0</v>
      </c>
      <c r="AM69" s="680">
        <f t="shared" si="34"/>
        <v>0</v>
      </c>
      <c r="AN69" s="680">
        <f t="shared" si="34"/>
        <v>0</v>
      </c>
      <c r="AO69" s="680">
        <f t="shared" si="34"/>
        <v>0</v>
      </c>
    </row>
    <row r="70" spans="1:41" hidden="1">
      <c r="A70" s="672"/>
      <c r="B70" s="675">
        <v>10</v>
      </c>
      <c r="C70" s="680">
        <f t="shared" si="23"/>
        <v>0</v>
      </c>
      <c r="D70" s="680">
        <f t="shared" ref="D70:AO70" si="35">IF($B26=D$29,1,0)</f>
        <v>0</v>
      </c>
      <c r="E70" s="680">
        <f t="shared" si="35"/>
        <v>0</v>
      </c>
      <c r="F70" s="680">
        <f t="shared" si="35"/>
        <v>0</v>
      </c>
      <c r="G70" s="680">
        <f t="shared" si="35"/>
        <v>0</v>
      </c>
      <c r="H70" s="680">
        <f t="shared" si="35"/>
        <v>0</v>
      </c>
      <c r="I70" s="680">
        <f t="shared" si="35"/>
        <v>0</v>
      </c>
      <c r="J70" s="680">
        <f t="shared" si="35"/>
        <v>0</v>
      </c>
      <c r="K70" s="680">
        <f t="shared" si="35"/>
        <v>0</v>
      </c>
      <c r="L70" s="680">
        <f t="shared" si="35"/>
        <v>0</v>
      </c>
      <c r="M70" s="680">
        <f t="shared" si="35"/>
        <v>0</v>
      </c>
      <c r="N70" s="680">
        <f t="shared" si="35"/>
        <v>0</v>
      </c>
      <c r="O70" s="680">
        <f t="shared" si="35"/>
        <v>0</v>
      </c>
      <c r="P70" s="680">
        <f t="shared" si="35"/>
        <v>0</v>
      </c>
      <c r="Q70" s="680">
        <f t="shared" si="35"/>
        <v>0</v>
      </c>
      <c r="R70" s="680">
        <f t="shared" si="35"/>
        <v>0</v>
      </c>
      <c r="S70" s="680">
        <f t="shared" si="35"/>
        <v>0</v>
      </c>
      <c r="T70" s="680">
        <f t="shared" si="35"/>
        <v>0</v>
      </c>
      <c r="U70" s="680">
        <f t="shared" si="35"/>
        <v>0</v>
      </c>
      <c r="V70" s="680">
        <f t="shared" si="35"/>
        <v>0</v>
      </c>
      <c r="W70" s="680">
        <f t="shared" si="35"/>
        <v>0</v>
      </c>
      <c r="X70" s="680">
        <f t="shared" si="35"/>
        <v>0</v>
      </c>
      <c r="Y70" s="680">
        <f t="shared" si="35"/>
        <v>0</v>
      </c>
      <c r="Z70" s="680">
        <f t="shared" si="35"/>
        <v>0</v>
      </c>
      <c r="AA70" s="680">
        <f t="shared" si="35"/>
        <v>0</v>
      </c>
      <c r="AB70" s="680">
        <f t="shared" si="35"/>
        <v>0</v>
      </c>
      <c r="AC70" s="680">
        <f t="shared" si="35"/>
        <v>0</v>
      </c>
      <c r="AD70" s="680">
        <f t="shared" si="35"/>
        <v>0</v>
      </c>
      <c r="AE70" s="680">
        <f t="shared" si="35"/>
        <v>0</v>
      </c>
      <c r="AF70" s="680">
        <f t="shared" si="35"/>
        <v>0</v>
      </c>
      <c r="AG70" s="680">
        <f t="shared" si="35"/>
        <v>0</v>
      </c>
      <c r="AH70" s="680">
        <f t="shared" si="35"/>
        <v>0</v>
      </c>
      <c r="AI70" s="680">
        <f t="shared" si="35"/>
        <v>0</v>
      </c>
      <c r="AJ70" s="680">
        <f t="shared" si="35"/>
        <v>0</v>
      </c>
      <c r="AK70" s="680">
        <f t="shared" si="35"/>
        <v>0</v>
      </c>
      <c r="AL70" s="680">
        <f t="shared" si="35"/>
        <v>0</v>
      </c>
      <c r="AM70" s="680">
        <f t="shared" si="35"/>
        <v>0</v>
      </c>
      <c r="AN70" s="680">
        <f t="shared" si="35"/>
        <v>0</v>
      </c>
      <c r="AO70" s="680">
        <f t="shared" si="35"/>
        <v>0</v>
      </c>
    </row>
    <row r="71" spans="1:41" hidden="1">
      <c r="A71" s="672"/>
      <c r="B71" s="677"/>
      <c r="C71" s="681">
        <f>SUM(C52:C70)</f>
        <v>0</v>
      </c>
      <c r="D71" s="681">
        <f t="shared" ref="D71:AO71" si="36">SUM(D52:D70)</f>
        <v>0</v>
      </c>
      <c r="E71" s="681">
        <f t="shared" si="36"/>
        <v>0</v>
      </c>
      <c r="F71" s="681">
        <f t="shared" si="36"/>
        <v>0</v>
      </c>
      <c r="G71" s="681">
        <f t="shared" si="36"/>
        <v>0</v>
      </c>
      <c r="H71" s="681">
        <f t="shared" si="36"/>
        <v>0</v>
      </c>
      <c r="I71" s="681">
        <f t="shared" si="36"/>
        <v>0</v>
      </c>
      <c r="J71" s="681">
        <f t="shared" si="36"/>
        <v>0</v>
      </c>
      <c r="K71" s="681">
        <f t="shared" si="36"/>
        <v>0</v>
      </c>
      <c r="L71" s="681">
        <f t="shared" si="36"/>
        <v>0</v>
      </c>
      <c r="M71" s="681">
        <f t="shared" si="36"/>
        <v>0</v>
      </c>
      <c r="N71" s="681">
        <f t="shared" si="36"/>
        <v>0</v>
      </c>
      <c r="O71" s="681">
        <f t="shared" si="36"/>
        <v>0</v>
      </c>
      <c r="P71" s="681">
        <f t="shared" si="36"/>
        <v>1</v>
      </c>
      <c r="Q71" s="681">
        <f t="shared" si="36"/>
        <v>1</v>
      </c>
      <c r="R71" s="681">
        <f t="shared" si="36"/>
        <v>1</v>
      </c>
      <c r="S71" s="681">
        <f t="shared" si="36"/>
        <v>1</v>
      </c>
      <c r="T71" s="681">
        <f t="shared" si="36"/>
        <v>1</v>
      </c>
      <c r="U71" s="681">
        <f t="shared" si="36"/>
        <v>1</v>
      </c>
      <c r="V71" s="681">
        <f t="shared" si="36"/>
        <v>1</v>
      </c>
      <c r="W71" s="681">
        <f t="shared" si="36"/>
        <v>1</v>
      </c>
      <c r="X71" s="681">
        <f t="shared" si="36"/>
        <v>0</v>
      </c>
      <c r="Y71" s="681">
        <f t="shared" si="36"/>
        <v>0</v>
      </c>
      <c r="Z71" s="681">
        <f t="shared" si="36"/>
        <v>0</v>
      </c>
      <c r="AA71" s="681">
        <f t="shared" si="36"/>
        <v>0</v>
      </c>
      <c r="AB71" s="681">
        <f t="shared" si="36"/>
        <v>0</v>
      </c>
      <c r="AC71" s="681">
        <f t="shared" si="36"/>
        <v>0</v>
      </c>
      <c r="AD71" s="681">
        <f t="shared" si="36"/>
        <v>0</v>
      </c>
      <c r="AE71" s="681">
        <f t="shared" si="36"/>
        <v>0</v>
      </c>
      <c r="AF71" s="681">
        <f t="shared" si="36"/>
        <v>0</v>
      </c>
      <c r="AG71" s="681">
        <f t="shared" si="36"/>
        <v>0</v>
      </c>
      <c r="AH71" s="681">
        <f t="shared" si="36"/>
        <v>0</v>
      </c>
      <c r="AI71" s="681">
        <f t="shared" si="36"/>
        <v>0</v>
      </c>
      <c r="AJ71" s="681">
        <f t="shared" si="36"/>
        <v>1</v>
      </c>
      <c r="AK71" s="681">
        <f t="shared" si="36"/>
        <v>1</v>
      </c>
      <c r="AL71" s="681">
        <f t="shared" si="36"/>
        <v>1</v>
      </c>
      <c r="AM71" s="681">
        <f t="shared" si="36"/>
        <v>1</v>
      </c>
      <c r="AN71" s="681">
        <f t="shared" si="36"/>
        <v>1</v>
      </c>
      <c r="AO71" s="681">
        <f t="shared" si="36"/>
        <v>1</v>
      </c>
    </row>
    <row r="72" spans="1:41" hidden="1">
      <c r="A72" s="682"/>
      <c r="B72" s="678" t="s">
        <v>892</v>
      </c>
      <c r="C72" s="684"/>
      <c r="D72" s="684"/>
      <c r="E72" s="684"/>
      <c r="F72" s="684"/>
      <c r="G72" s="684"/>
      <c r="H72" s="684"/>
      <c r="I72" s="684"/>
      <c r="J72" s="684"/>
      <c r="K72" s="684"/>
      <c r="L72" s="684"/>
      <c r="M72" s="684"/>
      <c r="N72" s="684"/>
      <c r="O72" s="684"/>
      <c r="P72" s="684"/>
      <c r="Q72" s="684"/>
      <c r="R72" s="684"/>
      <c r="S72" s="684"/>
      <c r="T72" s="684"/>
      <c r="U72" s="684"/>
      <c r="V72" s="684"/>
      <c r="W72" s="684"/>
      <c r="X72" s="684"/>
      <c r="Y72" s="684"/>
      <c r="Z72" s="684"/>
      <c r="AA72" s="684"/>
      <c r="AB72" s="684"/>
      <c r="AC72" s="684"/>
      <c r="AD72" s="684"/>
      <c r="AE72" s="684"/>
      <c r="AF72" s="684"/>
      <c r="AG72" s="684"/>
      <c r="AH72" s="684"/>
      <c r="AI72" s="684"/>
      <c r="AJ72" s="684"/>
      <c r="AK72" s="684"/>
      <c r="AL72" s="684"/>
      <c r="AM72" s="684"/>
      <c r="AN72" s="684"/>
      <c r="AO72" s="684"/>
    </row>
    <row r="73" spans="1:41" hidden="1">
      <c r="A73" s="3"/>
      <c r="B73" s="685">
        <v>100</v>
      </c>
      <c r="C73" s="686">
        <f t="shared" ref="C73:C79" si="37">IF(C31=1,C8,0)</f>
        <v>49</v>
      </c>
      <c r="D73" s="686">
        <f t="shared" ref="D73:AO79" si="38">IF(D31=1,D8,0)</f>
        <v>49</v>
      </c>
      <c r="E73" s="686">
        <f t="shared" si="38"/>
        <v>49</v>
      </c>
      <c r="F73" s="686">
        <f t="shared" si="38"/>
        <v>0</v>
      </c>
      <c r="G73" s="686">
        <f t="shared" si="38"/>
        <v>0</v>
      </c>
      <c r="H73" s="686">
        <f t="shared" si="38"/>
        <v>0</v>
      </c>
      <c r="I73" s="686">
        <f t="shared" si="38"/>
        <v>0</v>
      </c>
      <c r="J73" s="686">
        <f t="shared" si="38"/>
        <v>0</v>
      </c>
      <c r="K73" s="686">
        <f t="shared" si="38"/>
        <v>0</v>
      </c>
      <c r="L73" s="686">
        <f t="shared" si="38"/>
        <v>0</v>
      </c>
      <c r="M73" s="686">
        <f t="shared" si="38"/>
        <v>0</v>
      </c>
      <c r="N73" s="686">
        <f t="shared" si="38"/>
        <v>0</v>
      </c>
      <c r="O73" s="686">
        <f t="shared" si="38"/>
        <v>0</v>
      </c>
      <c r="P73" s="686">
        <f t="shared" si="38"/>
        <v>0</v>
      </c>
      <c r="Q73" s="686">
        <f t="shared" si="38"/>
        <v>0</v>
      </c>
      <c r="R73" s="686">
        <f t="shared" si="38"/>
        <v>0</v>
      </c>
      <c r="S73" s="686">
        <f t="shared" si="38"/>
        <v>0</v>
      </c>
      <c r="T73" s="686">
        <f t="shared" si="38"/>
        <v>0</v>
      </c>
      <c r="U73" s="686">
        <f t="shared" si="38"/>
        <v>0</v>
      </c>
      <c r="V73" s="686">
        <f t="shared" si="38"/>
        <v>0</v>
      </c>
      <c r="W73" s="686">
        <f t="shared" si="38"/>
        <v>0</v>
      </c>
      <c r="X73" s="686">
        <f t="shared" si="38"/>
        <v>0</v>
      </c>
      <c r="Y73" s="686">
        <f t="shared" si="38"/>
        <v>0</v>
      </c>
      <c r="Z73" s="686">
        <f t="shared" si="38"/>
        <v>0</v>
      </c>
      <c r="AA73" s="686">
        <f t="shared" si="38"/>
        <v>0</v>
      </c>
      <c r="AB73" s="686">
        <f t="shared" si="38"/>
        <v>0</v>
      </c>
      <c r="AC73" s="686">
        <f t="shared" si="38"/>
        <v>0</v>
      </c>
      <c r="AD73" s="686">
        <f t="shared" si="38"/>
        <v>0</v>
      </c>
      <c r="AE73" s="686">
        <f t="shared" si="38"/>
        <v>0</v>
      </c>
      <c r="AF73" s="686">
        <f t="shared" si="38"/>
        <v>0</v>
      </c>
      <c r="AG73" s="686">
        <f t="shared" si="38"/>
        <v>0</v>
      </c>
      <c r="AH73" s="686">
        <f t="shared" si="38"/>
        <v>0</v>
      </c>
      <c r="AI73" s="686">
        <f t="shared" si="38"/>
        <v>0</v>
      </c>
      <c r="AJ73" s="686">
        <f t="shared" si="38"/>
        <v>0</v>
      </c>
      <c r="AK73" s="686">
        <f t="shared" si="38"/>
        <v>0</v>
      </c>
      <c r="AL73" s="686">
        <f t="shared" si="38"/>
        <v>0</v>
      </c>
      <c r="AM73" s="686">
        <f t="shared" si="38"/>
        <v>0</v>
      </c>
      <c r="AN73" s="686">
        <f t="shared" si="38"/>
        <v>0</v>
      </c>
      <c r="AO73" s="686">
        <f t="shared" si="38"/>
        <v>0</v>
      </c>
    </row>
    <row r="74" spans="1:41" hidden="1">
      <c r="A74" s="672"/>
      <c r="B74" s="676">
        <v>95</v>
      </c>
      <c r="C74" s="686">
        <f t="shared" si="37"/>
        <v>0</v>
      </c>
      <c r="D74" s="686">
        <f t="shared" si="38"/>
        <v>1</v>
      </c>
      <c r="E74" s="686">
        <f t="shared" si="38"/>
        <v>1</v>
      </c>
      <c r="F74" s="686">
        <f t="shared" si="38"/>
        <v>0</v>
      </c>
      <c r="G74" s="686">
        <f t="shared" si="38"/>
        <v>0</v>
      </c>
      <c r="H74" s="686">
        <f t="shared" si="38"/>
        <v>0</v>
      </c>
      <c r="I74" s="686">
        <f t="shared" si="38"/>
        <v>0</v>
      </c>
      <c r="J74" s="686">
        <f t="shared" si="38"/>
        <v>0</v>
      </c>
      <c r="K74" s="686">
        <f t="shared" si="38"/>
        <v>0</v>
      </c>
      <c r="L74" s="686">
        <f t="shared" si="38"/>
        <v>0</v>
      </c>
      <c r="M74" s="686">
        <f t="shared" si="38"/>
        <v>0</v>
      </c>
      <c r="N74" s="686">
        <f t="shared" si="38"/>
        <v>0</v>
      </c>
      <c r="O74" s="686">
        <f t="shared" si="38"/>
        <v>0</v>
      </c>
      <c r="P74" s="686">
        <f t="shared" si="38"/>
        <v>2</v>
      </c>
      <c r="Q74" s="686">
        <f t="shared" si="38"/>
        <v>1</v>
      </c>
      <c r="R74" s="686">
        <f t="shared" si="38"/>
        <v>0</v>
      </c>
      <c r="S74" s="686">
        <f t="shared" si="38"/>
        <v>0</v>
      </c>
      <c r="T74" s="686">
        <f t="shared" si="38"/>
        <v>0</v>
      </c>
      <c r="U74" s="686">
        <f t="shared" si="38"/>
        <v>0</v>
      </c>
      <c r="V74" s="686">
        <f t="shared" si="38"/>
        <v>0</v>
      </c>
      <c r="W74" s="686">
        <f t="shared" si="38"/>
        <v>0</v>
      </c>
      <c r="X74" s="686">
        <f t="shared" si="38"/>
        <v>0</v>
      </c>
      <c r="Y74" s="686">
        <f t="shared" si="38"/>
        <v>2</v>
      </c>
      <c r="Z74" s="686">
        <f t="shared" si="38"/>
        <v>1</v>
      </c>
      <c r="AA74" s="686">
        <f t="shared" si="38"/>
        <v>0</v>
      </c>
      <c r="AB74" s="686">
        <f t="shared" si="38"/>
        <v>0</v>
      </c>
      <c r="AC74" s="686">
        <f t="shared" si="38"/>
        <v>0</v>
      </c>
      <c r="AD74" s="686">
        <f t="shared" si="38"/>
        <v>0</v>
      </c>
      <c r="AE74" s="686">
        <f t="shared" si="38"/>
        <v>2</v>
      </c>
      <c r="AF74" s="686">
        <f t="shared" si="38"/>
        <v>1</v>
      </c>
      <c r="AG74" s="686">
        <f t="shared" si="38"/>
        <v>0</v>
      </c>
      <c r="AH74" s="686">
        <f t="shared" si="38"/>
        <v>0</v>
      </c>
      <c r="AI74" s="686">
        <f t="shared" si="38"/>
        <v>0</v>
      </c>
      <c r="AJ74" s="686">
        <f t="shared" si="38"/>
        <v>2</v>
      </c>
      <c r="AK74" s="686">
        <f t="shared" si="38"/>
        <v>1</v>
      </c>
      <c r="AL74" s="686">
        <f t="shared" si="38"/>
        <v>0</v>
      </c>
      <c r="AM74" s="686">
        <f t="shared" si="38"/>
        <v>0</v>
      </c>
      <c r="AN74" s="686">
        <f t="shared" si="38"/>
        <v>0</v>
      </c>
      <c r="AO74" s="686">
        <f t="shared" si="38"/>
        <v>0</v>
      </c>
    </row>
    <row r="75" spans="1:41" hidden="1">
      <c r="A75" s="672"/>
      <c r="B75" s="675">
        <v>90</v>
      </c>
      <c r="C75" s="686">
        <f t="shared" si="37"/>
        <v>1</v>
      </c>
      <c r="D75" s="686">
        <f t="shared" si="38"/>
        <v>0</v>
      </c>
      <c r="E75" s="686">
        <f t="shared" si="38"/>
        <v>0</v>
      </c>
      <c r="F75" s="686">
        <f t="shared" si="38"/>
        <v>0</v>
      </c>
      <c r="G75" s="686">
        <f t="shared" si="38"/>
        <v>0</v>
      </c>
      <c r="H75" s="686">
        <f t="shared" si="38"/>
        <v>0</v>
      </c>
      <c r="I75" s="686">
        <f t="shared" si="38"/>
        <v>1</v>
      </c>
      <c r="J75" s="686">
        <f t="shared" si="38"/>
        <v>0</v>
      </c>
      <c r="K75" s="686">
        <f t="shared" si="38"/>
        <v>0</v>
      </c>
      <c r="L75" s="686">
        <f t="shared" si="38"/>
        <v>0</v>
      </c>
      <c r="M75" s="686">
        <f t="shared" si="38"/>
        <v>0</v>
      </c>
      <c r="N75" s="686">
        <f t="shared" si="38"/>
        <v>0</v>
      </c>
      <c r="O75" s="686">
        <f t="shared" si="38"/>
        <v>0</v>
      </c>
      <c r="P75" s="686">
        <f t="shared" si="38"/>
        <v>8</v>
      </c>
      <c r="Q75" s="686">
        <f t="shared" si="38"/>
        <v>6</v>
      </c>
      <c r="R75" s="686">
        <f t="shared" si="38"/>
        <v>1</v>
      </c>
      <c r="S75" s="686">
        <f t="shared" si="38"/>
        <v>1</v>
      </c>
      <c r="T75" s="686">
        <f t="shared" si="38"/>
        <v>1</v>
      </c>
      <c r="U75" s="686">
        <f t="shared" si="38"/>
        <v>0</v>
      </c>
      <c r="V75" s="686">
        <f t="shared" si="38"/>
        <v>0</v>
      </c>
      <c r="W75" s="686">
        <f t="shared" si="38"/>
        <v>0</v>
      </c>
      <c r="X75" s="686">
        <f t="shared" si="38"/>
        <v>1</v>
      </c>
      <c r="Y75" s="686">
        <f t="shared" si="38"/>
        <v>8</v>
      </c>
      <c r="Z75" s="686">
        <f t="shared" si="38"/>
        <v>6</v>
      </c>
      <c r="AA75" s="686">
        <f t="shared" si="38"/>
        <v>0</v>
      </c>
      <c r="AB75" s="686">
        <f t="shared" si="38"/>
        <v>0</v>
      </c>
      <c r="AC75" s="686">
        <f t="shared" si="38"/>
        <v>0</v>
      </c>
      <c r="AD75" s="686">
        <f t="shared" si="38"/>
        <v>1</v>
      </c>
      <c r="AE75" s="686">
        <f t="shared" si="38"/>
        <v>8</v>
      </c>
      <c r="AF75" s="686">
        <f t="shared" si="38"/>
        <v>6</v>
      </c>
      <c r="AG75" s="686">
        <f t="shared" si="38"/>
        <v>1</v>
      </c>
      <c r="AH75" s="686">
        <f t="shared" si="38"/>
        <v>0</v>
      </c>
      <c r="AI75" s="686">
        <f t="shared" si="38"/>
        <v>0</v>
      </c>
      <c r="AJ75" s="686">
        <f t="shared" si="38"/>
        <v>8</v>
      </c>
      <c r="AK75" s="686">
        <f t="shared" si="38"/>
        <v>6</v>
      </c>
      <c r="AL75" s="686">
        <f t="shared" si="38"/>
        <v>0</v>
      </c>
      <c r="AM75" s="686">
        <f t="shared" si="38"/>
        <v>0</v>
      </c>
      <c r="AN75" s="686">
        <f t="shared" si="38"/>
        <v>0</v>
      </c>
      <c r="AO75" s="686">
        <f t="shared" si="38"/>
        <v>0</v>
      </c>
    </row>
    <row r="76" spans="1:41" hidden="1">
      <c r="A76" s="672"/>
      <c r="B76" s="676">
        <v>85</v>
      </c>
      <c r="C76" s="686">
        <f t="shared" si="37"/>
        <v>0</v>
      </c>
      <c r="D76" s="686">
        <f t="shared" si="38"/>
        <v>0</v>
      </c>
      <c r="E76" s="686">
        <f t="shared" si="38"/>
        <v>0</v>
      </c>
      <c r="F76" s="686">
        <f t="shared" si="38"/>
        <v>0</v>
      </c>
      <c r="G76" s="686">
        <f t="shared" si="38"/>
        <v>0</v>
      </c>
      <c r="H76" s="686">
        <f t="shared" si="38"/>
        <v>0</v>
      </c>
      <c r="I76" s="686">
        <f t="shared" si="38"/>
        <v>0</v>
      </c>
      <c r="J76" s="686">
        <f t="shared" si="38"/>
        <v>0</v>
      </c>
      <c r="K76" s="686">
        <f t="shared" si="38"/>
        <v>0</v>
      </c>
      <c r="L76" s="686">
        <f t="shared" si="38"/>
        <v>0</v>
      </c>
      <c r="M76" s="686">
        <f t="shared" si="38"/>
        <v>0</v>
      </c>
      <c r="N76" s="686">
        <f t="shared" si="38"/>
        <v>0</v>
      </c>
      <c r="O76" s="686">
        <f t="shared" si="38"/>
        <v>0</v>
      </c>
      <c r="P76" s="686">
        <f t="shared" si="38"/>
        <v>6</v>
      </c>
      <c r="Q76" s="686">
        <f t="shared" si="38"/>
        <v>5</v>
      </c>
      <c r="R76" s="686">
        <f t="shared" si="38"/>
        <v>0</v>
      </c>
      <c r="S76" s="686">
        <f t="shared" si="38"/>
        <v>1</v>
      </c>
      <c r="T76" s="686">
        <f t="shared" si="38"/>
        <v>0</v>
      </c>
      <c r="U76" s="686">
        <f t="shared" si="38"/>
        <v>0</v>
      </c>
      <c r="V76" s="686">
        <f t="shared" si="38"/>
        <v>0</v>
      </c>
      <c r="W76" s="686">
        <f t="shared" si="38"/>
        <v>0</v>
      </c>
      <c r="X76" s="686">
        <f t="shared" si="38"/>
        <v>0</v>
      </c>
      <c r="Y76" s="686">
        <f t="shared" si="38"/>
        <v>6</v>
      </c>
      <c r="Z76" s="686">
        <f t="shared" si="38"/>
        <v>5</v>
      </c>
      <c r="AA76" s="686">
        <f t="shared" si="38"/>
        <v>0</v>
      </c>
      <c r="AB76" s="686">
        <f t="shared" si="38"/>
        <v>0</v>
      </c>
      <c r="AC76" s="686">
        <f t="shared" si="38"/>
        <v>0</v>
      </c>
      <c r="AD76" s="686">
        <f t="shared" si="38"/>
        <v>0</v>
      </c>
      <c r="AE76" s="686">
        <f t="shared" si="38"/>
        <v>6</v>
      </c>
      <c r="AF76" s="686">
        <f t="shared" si="38"/>
        <v>5</v>
      </c>
      <c r="AG76" s="686">
        <f t="shared" si="38"/>
        <v>1</v>
      </c>
      <c r="AH76" s="686">
        <f t="shared" si="38"/>
        <v>0</v>
      </c>
      <c r="AI76" s="686">
        <f t="shared" si="38"/>
        <v>0</v>
      </c>
      <c r="AJ76" s="686">
        <f t="shared" si="38"/>
        <v>6</v>
      </c>
      <c r="AK76" s="686">
        <f t="shared" si="38"/>
        <v>5</v>
      </c>
      <c r="AL76" s="686">
        <f t="shared" si="38"/>
        <v>0</v>
      </c>
      <c r="AM76" s="686">
        <f t="shared" si="38"/>
        <v>0</v>
      </c>
      <c r="AN76" s="686">
        <f t="shared" si="38"/>
        <v>0</v>
      </c>
      <c r="AO76" s="686">
        <f t="shared" si="38"/>
        <v>0</v>
      </c>
    </row>
    <row r="77" spans="1:41" hidden="1">
      <c r="A77" s="672"/>
      <c r="B77" s="675">
        <v>80</v>
      </c>
      <c r="C77" s="686">
        <f t="shared" si="37"/>
        <v>0</v>
      </c>
      <c r="D77" s="686">
        <f t="shared" si="38"/>
        <v>0</v>
      </c>
      <c r="E77" s="686">
        <f t="shared" si="38"/>
        <v>0</v>
      </c>
      <c r="F77" s="686">
        <f t="shared" si="38"/>
        <v>0</v>
      </c>
      <c r="G77" s="686">
        <f t="shared" si="38"/>
        <v>0</v>
      </c>
      <c r="H77" s="686">
        <f t="shared" si="38"/>
        <v>1</v>
      </c>
      <c r="I77" s="686">
        <f t="shared" si="38"/>
        <v>1</v>
      </c>
      <c r="J77" s="686">
        <f t="shared" si="38"/>
        <v>0</v>
      </c>
      <c r="K77" s="686">
        <f t="shared" si="38"/>
        <v>0</v>
      </c>
      <c r="L77" s="686">
        <f t="shared" si="38"/>
        <v>0</v>
      </c>
      <c r="M77" s="686">
        <f t="shared" si="38"/>
        <v>0</v>
      </c>
      <c r="N77" s="686">
        <f t="shared" si="38"/>
        <v>0</v>
      </c>
      <c r="O77" s="686">
        <f t="shared" si="38"/>
        <v>0</v>
      </c>
      <c r="P77" s="686">
        <f t="shared" si="38"/>
        <v>18</v>
      </c>
      <c r="Q77" s="686">
        <f t="shared" si="38"/>
        <v>18</v>
      </c>
      <c r="R77" s="686">
        <f t="shared" si="38"/>
        <v>0</v>
      </c>
      <c r="S77" s="686">
        <f t="shared" si="38"/>
        <v>0</v>
      </c>
      <c r="T77" s="686">
        <f t="shared" si="38"/>
        <v>0</v>
      </c>
      <c r="U77" s="686">
        <f t="shared" si="38"/>
        <v>0</v>
      </c>
      <c r="V77" s="686">
        <f t="shared" si="38"/>
        <v>0</v>
      </c>
      <c r="W77" s="686">
        <f t="shared" si="38"/>
        <v>0</v>
      </c>
      <c r="X77" s="686">
        <f t="shared" si="38"/>
        <v>0</v>
      </c>
      <c r="Y77" s="686">
        <f t="shared" si="38"/>
        <v>18</v>
      </c>
      <c r="Z77" s="686">
        <f t="shared" si="38"/>
        <v>18</v>
      </c>
      <c r="AA77" s="686">
        <f t="shared" si="38"/>
        <v>0</v>
      </c>
      <c r="AB77" s="686">
        <f t="shared" si="38"/>
        <v>0</v>
      </c>
      <c r="AC77" s="686">
        <f t="shared" si="38"/>
        <v>0</v>
      </c>
      <c r="AD77" s="686">
        <f t="shared" si="38"/>
        <v>0</v>
      </c>
      <c r="AE77" s="686">
        <f t="shared" si="38"/>
        <v>18</v>
      </c>
      <c r="AF77" s="686">
        <f t="shared" si="38"/>
        <v>18</v>
      </c>
      <c r="AG77" s="686">
        <f t="shared" si="38"/>
        <v>0</v>
      </c>
      <c r="AH77" s="686">
        <f t="shared" si="38"/>
        <v>0</v>
      </c>
      <c r="AI77" s="686">
        <f t="shared" si="38"/>
        <v>0</v>
      </c>
      <c r="AJ77" s="686">
        <f t="shared" si="38"/>
        <v>18</v>
      </c>
      <c r="AK77" s="686">
        <f t="shared" si="38"/>
        <v>18</v>
      </c>
      <c r="AL77" s="686">
        <f t="shared" si="38"/>
        <v>0</v>
      </c>
      <c r="AM77" s="686">
        <f t="shared" si="38"/>
        <v>0</v>
      </c>
      <c r="AN77" s="686">
        <f t="shared" si="38"/>
        <v>0</v>
      </c>
      <c r="AO77" s="686">
        <f t="shared" si="38"/>
        <v>0</v>
      </c>
    </row>
    <row r="78" spans="1:41" hidden="1">
      <c r="A78" s="672"/>
      <c r="B78" s="676">
        <v>75</v>
      </c>
      <c r="C78" s="686">
        <f t="shared" si="37"/>
        <v>0</v>
      </c>
      <c r="D78" s="686">
        <f t="shared" si="38"/>
        <v>0</v>
      </c>
      <c r="E78" s="686">
        <f t="shared" si="38"/>
        <v>0</v>
      </c>
      <c r="F78" s="686">
        <f t="shared" si="38"/>
        <v>0</v>
      </c>
      <c r="G78" s="686">
        <f t="shared" si="38"/>
        <v>0</v>
      </c>
      <c r="H78" s="686">
        <f t="shared" si="38"/>
        <v>0</v>
      </c>
      <c r="I78" s="686">
        <f t="shared" si="38"/>
        <v>0</v>
      </c>
      <c r="J78" s="686">
        <f t="shared" si="38"/>
        <v>0</v>
      </c>
      <c r="K78" s="686">
        <f t="shared" si="38"/>
        <v>0</v>
      </c>
      <c r="L78" s="686">
        <f t="shared" si="38"/>
        <v>0</v>
      </c>
      <c r="M78" s="686">
        <f t="shared" si="38"/>
        <v>0</v>
      </c>
      <c r="N78" s="686">
        <f t="shared" si="38"/>
        <v>0</v>
      </c>
      <c r="O78" s="686">
        <f t="shared" si="38"/>
        <v>0</v>
      </c>
      <c r="P78" s="686">
        <f t="shared" si="38"/>
        <v>8</v>
      </c>
      <c r="Q78" s="686">
        <f t="shared" si="38"/>
        <v>7</v>
      </c>
      <c r="R78" s="686">
        <f t="shared" si="38"/>
        <v>0</v>
      </c>
      <c r="S78" s="686">
        <f t="shared" si="38"/>
        <v>0</v>
      </c>
      <c r="T78" s="686">
        <f t="shared" si="38"/>
        <v>0</v>
      </c>
      <c r="U78" s="686">
        <f t="shared" si="38"/>
        <v>0</v>
      </c>
      <c r="V78" s="686">
        <f t="shared" si="38"/>
        <v>0</v>
      </c>
      <c r="W78" s="686">
        <f t="shared" si="38"/>
        <v>0</v>
      </c>
      <c r="X78" s="686">
        <f t="shared" si="38"/>
        <v>0</v>
      </c>
      <c r="Y78" s="686">
        <f t="shared" si="38"/>
        <v>8</v>
      </c>
      <c r="Z78" s="686">
        <f t="shared" si="38"/>
        <v>7</v>
      </c>
      <c r="AA78" s="686">
        <f t="shared" si="38"/>
        <v>0</v>
      </c>
      <c r="AB78" s="686">
        <f t="shared" si="38"/>
        <v>0</v>
      </c>
      <c r="AC78" s="686">
        <f t="shared" si="38"/>
        <v>0</v>
      </c>
      <c r="AD78" s="686">
        <f t="shared" si="38"/>
        <v>0</v>
      </c>
      <c r="AE78" s="686">
        <f t="shared" si="38"/>
        <v>8</v>
      </c>
      <c r="AF78" s="686">
        <f t="shared" si="38"/>
        <v>7</v>
      </c>
      <c r="AG78" s="686">
        <f t="shared" si="38"/>
        <v>0</v>
      </c>
      <c r="AH78" s="686">
        <f t="shared" si="38"/>
        <v>0</v>
      </c>
      <c r="AI78" s="686">
        <f t="shared" si="38"/>
        <v>0</v>
      </c>
      <c r="AJ78" s="686">
        <f t="shared" si="38"/>
        <v>8</v>
      </c>
      <c r="AK78" s="686">
        <f t="shared" si="38"/>
        <v>7</v>
      </c>
      <c r="AL78" s="686">
        <f t="shared" si="38"/>
        <v>0</v>
      </c>
      <c r="AM78" s="686">
        <f t="shared" si="38"/>
        <v>0</v>
      </c>
      <c r="AN78" s="686">
        <f t="shared" si="38"/>
        <v>0</v>
      </c>
      <c r="AO78" s="686">
        <f t="shared" si="38"/>
        <v>0</v>
      </c>
    </row>
    <row r="79" spans="1:41" hidden="1">
      <c r="A79" s="672"/>
      <c r="B79" s="675">
        <v>70</v>
      </c>
      <c r="C79" s="686">
        <f t="shared" si="37"/>
        <v>0</v>
      </c>
      <c r="D79" s="686">
        <f t="shared" si="38"/>
        <v>0</v>
      </c>
      <c r="E79" s="686">
        <f t="shared" si="38"/>
        <v>0</v>
      </c>
      <c r="F79" s="686">
        <f t="shared" si="38"/>
        <v>0</v>
      </c>
      <c r="G79" s="686">
        <f t="shared" si="38"/>
        <v>0</v>
      </c>
      <c r="H79" s="686">
        <f t="shared" si="38"/>
        <v>0</v>
      </c>
      <c r="I79" s="686">
        <f t="shared" si="38"/>
        <v>0</v>
      </c>
      <c r="J79" s="686">
        <f t="shared" si="38"/>
        <v>0</v>
      </c>
      <c r="K79" s="686">
        <f t="shared" si="38"/>
        <v>0</v>
      </c>
      <c r="L79" s="686">
        <f t="shared" si="38"/>
        <v>0</v>
      </c>
      <c r="M79" s="686">
        <f t="shared" si="38"/>
        <v>0</v>
      </c>
      <c r="N79" s="686">
        <f t="shared" si="38"/>
        <v>0</v>
      </c>
      <c r="O79" s="686">
        <f t="shared" si="38"/>
        <v>0</v>
      </c>
      <c r="P79" s="686">
        <f t="shared" si="38"/>
        <v>0</v>
      </c>
      <c r="Q79" s="686">
        <f t="shared" si="38"/>
        <v>0</v>
      </c>
      <c r="R79" s="686">
        <f t="shared" si="38"/>
        <v>0</v>
      </c>
      <c r="S79" s="686">
        <f t="shared" si="38"/>
        <v>0</v>
      </c>
      <c r="T79" s="686">
        <f t="shared" si="38"/>
        <v>0</v>
      </c>
      <c r="U79" s="686">
        <f t="shared" si="38"/>
        <v>0</v>
      </c>
      <c r="V79" s="686">
        <f t="shared" si="38"/>
        <v>0</v>
      </c>
      <c r="W79" s="686">
        <f t="shared" si="38"/>
        <v>0</v>
      </c>
      <c r="X79" s="686">
        <f t="shared" si="38"/>
        <v>1</v>
      </c>
      <c r="Y79" s="686">
        <f t="shared" si="38"/>
        <v>7</v>
      </c>
      <c r="Z79" s="686">
        <f t="shared" si="38"/>
        <v>12</v>
      </c>
      <c r="AA79" s="686">
        <f t="shared" si="38"/>
        <v>0</v>
      </c>
      <c r="AB79" s="686">
        <f t="shared" si="38"/>
        <v>0</v>
      </c>
      <c r="AC79" s="686">
        <f t="shared" si="38"/>
        <v>0</v>
      </c>
      <c r="AD79" s="686">
        <f t="shared" si="38"/>
        <v>0</v>
      </c>
      <c r="AE79" s="686">
        <f t="shared" ref="AE79:AO79" si="39">IF(AE37=1,AE14,0)</f>
        <v>7</v>
      </c>
      <c r="AF79" s="686">
        <f t="shared" si="39"/>
        <v>12</v>
      </c>
      <c r="AG79" s="686">
        <f t="shared" si="39"/>
        <v>0</v>
      </c>
      <c r="AH79" s="686">
        <f t="shared" si="39"/>
        <v>0</v>
      </c>
      <c r="AI79" s="686">
        <f t="shared" si="39"/>
        <v>0</v>
      </c>
      <c r="AJ79" s="686">
        <f t="shared" si="39"/>
        <v>7</v>
      </c>
      <c r="AK79" s="686">
        <f t="shared" si="39"/>
        <v>12</v>
      </c>
      <c r="AL79" s="686">
        <f t="shared" si="39"/>
        <v>0</v>
      </c>
      <c r="AM79" s="686">
        <f t="shared" si="39"/>
        <v>0</v>
      </c>
      <c r="AN79" s="686">
        <f t="shared" si="39"/>
        <v>0</v>
      </c>
      <c r="AO79" s="686">
        <f t="shared" si="39"/>
        <v>0</v>
      </c>
    </row>
    <row r="80" spans="1:41" hidden="1">
      <c r="A80" s="672"/>
      <c r="B80" s="676">
        <v>65</v>
      </c>
      <c r="C80" s="686">
        <f t="shared" ref="C80:C90" si="40">IF(C38=1,C15,0)</f>
        <v>0</v>
      </c>
      <c r="D80" s="686">
        <f t="shared" ref="D80:AO80" si="41">IF(D38=1,D15,0)</f>
        <v>0</v>
      </c>
      <c r="E80" s="686">
        <f t="shared" si="41"/>
        <v>0</v>
      </c>
      <c r="F80" s="686">
        <f t="shared" si="41"/>
        <v>0</v>
      </c>
      <c r="G80" s="686">
        <f t="shared" si="41"/>
        <v>0</v>
      </c>
      <c r="H80" s="686">
        <f t="shared" si="41"/>
        <v>0</v>
      </c>
      <c r="I80" s="686">
        <f t="shared" si="41"/>
        <v>0</v>
      </c>
      <c r="J80" s="686">
        <f t="shared" si="41"/>
        <v>0</v>
      </c>
      <c r="K80" s="686">
        <f t="shared" si="41"/>
        <v>0</v>
      </c>
      <c r="L80" s="686">
        <f t="shared" si="41"/>
        <v>0</v>
      </c>
      <c r="M80" s="686">
        <f t="shared" si="41"/>
        <v>0</v>
      </c>
      <c r="N80" s="686">
        <f t="shared" si="41"/>
        <v>0</v>
      </c>
      <c r="O80" s="686">
        <f t="shared" si="41"/>
        <v>0</v>
      </c>
      <c r="P80" s="686">
        <f t="shared" si="41"/>
        <v>0</v>
      </c>
      <c r="Q80" s="686">
        <f t="shared" si="41"/>
        <v>0</v>
      </c>
      <c r="R80" s="686">
        <f t="shared" si="41"/>
        <v>0</v>
      </c>
      <c r="S80" s="686">
        <f t="shared" si="41"/>
        <v>0</v>
      </c>
      <c r="T80" s="686">
        <f t="shared" si="41"/>
        <v>0</v>
      </c>
      <c r="U80" s="686">
        <f t="shared" si="41"/>
        <v>0</v>
      </c>
      <c r="V80" s="686">
        <f t="shared" si="41"/>
        <v>0</v>
      </c>
      <c r="W80" s="686">
        <f t="shared" si="41"/>
        <v>0</v>
      </c>
      <c r="X80" s="686">
        <f t="shared" si="41"/>
        <v>0</v>
      </c>
      <c r="Y80" s="686">
        <f t="shared" si="41"/>
        <v>0</v>
      </c>
      <c r="Z80" s="686">
        <f t="shared" si="41"/>
        <v>0</v>
      </c>
      <c r="AA80" s="686">
        <f t="shared" si="41"/>
        <v>0</v>
      </c>
      <c r="AB80" s="686">
        <f t="shared" si="41"/>
        <v>0</v>
      </c>
      <c r="AC80" s="686">
        <f t="shared" si="41"/>
        <v>0</v>
      </c>
      <c r="AD80" s="686">
        <f t="shared" si="41"/>
        <v>1</v>
      </c>
      <c r="AE80" s="686">
        <f t="shared" si="41"/>
        <v>0</v>
      </c>
      <c r="AF80" s="686">
        <f t="shared" si="41"/>
        <v>0</v>
      </c>
      <c r="AG80" s="686">
        <f t="shared" si="41"/>
        <v>0</v>
      </c>
      <c r="AH80" s="686">
        <f t="shared" si="41"/>
        <v>0</v>
      </c>
      <c r="AI80" s="686">
        <f t="shared" si="41"/>
        <v>0</v>
      </c>
      <c r="AJ80" s="686">
        <f t="shared" si="41"/>
        <v>0</v>
      </c>
      <c r="AK80" s="686">
        <f t="shared" si="41"/>
        <v>0</v>
      </c>
      <c r="AL80" s="686">
        <f t="shared" si="41"/>
        <v>0</v>
      </c>
      <c r="AM80" s="686">
        <f t="shared" si="41"/>
        <v>0</v>
      </c>
      <c r="AN80" s="686">
        <f t="shared" si="41"/>
        <v>0</v>
      </c>
      <c r="AO80" s="686">
        <f t="shared" si="41"/>
        <v>0</v>
      </c>
    </row>
    <row r="81" spans="1:41" hidden="1">
      <c r="A81" s="672"/>
      <c r="B81" s="675">
        <v>60</v>
      </c>
      <c r="C81" s="686">
        <f t="shared" si="40"/>
        <v>0</v>
      </c>
      <c r="D81" s="686">
        <f t="shared" ref="D81:AO81" si="42">IF(D39=1,D16,0)</f>
        <v>0</v>
      </c>
      <c r="E81" s="686">
        <f t="shared" si="42"/>
        <v>0</v>
      </c>
      <c r="F81" s="686">
        <f t="shared" si="42"/>
        <v>0</v>
      </c>
      <c r="G81" s="686">
        <f t="shared" si="42"/>
        <v>0</v>
      </c>
      <c r="H81" s="686">
        <f t="shared" si="42"/>
        <v>0</v>
      </c>
      <c r="I81" s="686">
        <f t="shared" si="42"/>
        <v>0</v>
      </c>
      <c r="J81" s="686">
        <f t="shared" si="42"/>
        <v>0</v>
      </c>
      <c r="K81" s="686">
        <f t="shared" si="42"/>
        <v>0</v>
      </c>
      <c r="L81" s="686">
        <f t="shared" si="42"/>
        <v>0</v>
      </c>
      <c r="M81" s="686">
        <f t="shared" si="42"/>
        <v>0</v>
      </c>
      <c r="N81" s="686">
        <f t="shared" si="42"/>
        <v>0</v>
      </c>
      <c r="O81" s="686">
        <f t="shared" si="42"/>
        <v>0</v>
      </c>
      <c r="P81" s="686">
        <f t="shared" si="42"/>
        <v>0</v>
      </c>
      <c r="Q81" s="686">
        <f t="shared" si="42"/>
        <v>0</v>
      </c>
      <c r="R81" s="686">
        <f t="shared" si="42"/>
        <v>0</v>
      </c>
      <c r="S81" s="686">
        <f t="shared" si="42"/>
        <v>0</v>
      </c>
      <c r="T81" s="686">
        <f t="shared" si="42"/>
        <v>0</v>
      </c>
      <c r="U81" s="686">
        <f t="shared" si="42"/>
        <v>0</v>
      </c>
      <c r="V81" s="686">
        <f t="shared" si="42"/>
        <v>0</v>
      </c>
      <c r="W81" s="686">
        <f t="shared" si="42"/>
        <v>0</v>
      </c>
      <c r="X81" s="686">
        <f t="shared" si="42"/>
        <v>0</v>
      </c>
      <c r="Y81" s="686">
        <f t="shared" si="42"/>
        <v>0</v>
      </c>
      <c r="Z81" s="686">
        <f t="shared" si="42"/>
        <v>0</v>
      </c>
      <c r="AA81" s="686">
        <f t="shared" si="42"/>
        <v>0</v>
      </c>
      <c r="AB81" s="686">
        <f t="shared" si="42"/>
        <v>0</v>
      </c>
      <c r="AC81" s="686">
        <f t="shared" si="42"/>
        <v>0</v>
      </c>
      <c r="AD81" s="686">
        <f t="shared" si="42"/>
        <v>0</v>
      </c>
      <c r="AE81" s="686">
        <f t="shared" si="42"/>
        <v>0</v>
      </c>
      <c r="AF81" s="686">
        <f t="shared" si="42"/>
        <v>0</v>
      </c>
      <c r="AG81" s="686">
        <f t="shared" si="42"/>
        <v>0</v>
      </c>
      <c r="AH81" s="686">
        <f t="shared" si="42"/>
        <v>0</v>
      </c>
      <c r="AI81" s="686">
        <f t="shared" si="42"/>
        <v>0</v>
      </c>
      <c r="AJ81" s="686">
        <f t="shared" si="42"/>
        <v>0</v>
      </c>
      <c r="AK81" s="686">
        <f t="shared" si="42"/>
        <v>0</v>
      </c>
      <c r="AL81" s="686">
        <f t="shared" si="42"/>
        <v>0</v>
      </c>
      <c r="AM81" s="686">
        <f t="shared" si="42"/>
        <v>0</v>
      </c>
      <c r="AN81" s="686">
        <f t="shared" si="42"/>
        <v>0</v>
      </c>
      <c r="AO81" s="686">
        <f t="shared" si="42"/>
        <v>0</v>
      </c>
    </row>
    <row r="82" spans="1:41" hidden="1">
      <c r="A82" s="672"/>
      <c r="B82" s="676">
        <v>55</v>
      </c>
      <c r="C82" s="686">
        <f t="shared" si="40"/>
        <v>0</v>
      </c>
      <c r="D82" s="686">
        <f t="shared" ref="D82:AO82" si="43">IF(D40=1,D17,0)</f>
        <v>0</v>
      </c>
      <c r="E82" s="686">
        <f t="shared" si="43"/>
        <v>0</v>
      </c>
      <c r="F82" s="686">
        <f t="shared" si="43"/>
        <v>0</v>
      </c>
      <c r="G82" s="686">
        <f t="shared" si="43"/>
        <v>0</v>
      </c>
      <c r="H82" s="686">
        <f t="shared" si="43"/>
        <v>0</v>
      </c>
      <c r="I82" s="686">
        <f t="shared" si="43"/>
        <v>0</v>
      </c>
      <c r="J82" s="686">
        <f t="shared" si="43"/>
        <v>0</v>
      </c>
      <c r="K82" s="686">
        <f t="shared" si="43"/>
        <v>0</v>
      </c>
      <c r="L82" s="686">
        <f t="shared" si="43"/>
        <v>0</v>
      </c>
      <c r="M82" s="686">
        <f t="shared" si="43"/>
        <v>0</v>
      </c>
      <c r="N82" s="686">
        <f t="shared" si="43"/>
        <v>0</v>
      </c>
      <c r="O82" s="686">
        <f t="shared" si="43"/>
        <v>0</v>
      </c>
      <c r="P82" s="686">
        <f t="shared" si="43"/>
        <v>0</v>
      </c>
      <c r="Q82" s="686">
        <f t="shared" si="43"/>
        <v>0</v>
      </c>
      <c r="R82" s="686">
        <f t="shared" si="43"/>
        <v>0</v>
      </c>
      <c r="S82" s="686">
        <f t="shared" si="43"/>
        <v>0</v>
      </c>
      <c r="T82" s="686">
        <f t="shared" si="43"/>
        <v>0</v>
      </c>
      <c r="U82" s="686">
        <f t="shared" si="43"/>
        <v>0</v>
      </c>
      <c r="V82" s="686">
        <f t="shared" si="43"/>
        <v>0</v>
      </c>
      <c r="W82" s="686">
        <f t="shared" si="43"/>
        <v>0</v>
      </c>
      <c r="X82" s="686">
        <f t="shared" si="43"/>
        <v>0</v>
      </c>
      <c r="Y82" s="686">
        <f t="shared" si="43"/>
        <v>0</v>
      </c>
      <c r="Z82" s="686">
        <f t="shared" si="43"/>
        <v>0</v>
      </c>
      <c r="AA82" s="686">
        <f t="shared" si="43"/>
        <v>0</v>
      </c>
      <c r="AB82" s="686">
        <f t="shared" si="43"/>
        <v>0</v>
      </c>
      <c r="AC82" s="686">
        <f t="shared" si="43"/>
        <v>0</v>
      </c>
      <c r="AD82" s="686">
        <f t="shared" si="43"/>
        <v>0</v>
      </c>
      <c r="AE82" s="686">
        <f t="shared" si="43"/>
        <v>0</v>
      </c>
      <c r="AF82" s="686">
        <f t="shared" si="43"/>
        <v>0</v>
      </c>
      <c r="AG82" s="686">
        <f t="shared" si="43"/>
        <v>0</v>
      </c>
      <c r="AH82" s="686">
        <f t="shared" si="43"/>
        <v>0</v>
      </c>
      <c r="AI82" s="686">
        <f t="shared" si="43"/>
        <v>0</v>
      </c>
      <c r="AJ82" s="686">
        <f t="shared" si="43"/>
        <v>0</v>
      </c>
      <c r="AK82" s="686">
        <f t="shared" si="43"/>
        <v>0</v>
      </c>
      <c r="AL82" s="686">
        <f t="shared" si="43"/>
        <v>0</v>
      </c>
      <c r="AM82" s="686">
        <f t="shared" si="43"/>
        <v>0</v>
      </c>
      <c r="AN82" s="686">
        <f t="shared" si="43"/>
        <v>0</v>
      </c>
      <c r="AO82" s="686">
        <f t="shared" si="43"/>
        <v>0</v>
      </c>
    </row>
    <row r="83" spans="1:41" hidden="1">
      <c r="A83" s="672"/>
      <c r="B83" s="675">
        <v>50</v>
      </c>
      <c r="C83" s="686">
        <f t="shared" si="40"/>
        <v>0</v>
      </c>
      <c r="D83" s="686">
        <f t="shared" ref="D83:AO83" si="44">IF(D41=1,D18,0)</f>
        <v>0</v>
      </c>
      <c r="E83" s="686">
        <f t="shared" si="44"/>
        <v>0</v>
      </c>
      <c r="F83" s="686">
        <f t="shared" si="44"/>
        <v>0</v>
      </c>
      <c r="G83" s="686">
        <f t="shared" si="44"/>
        <v>0</v>
      </c>
      <c r="H83" s="686">
        <f t="shared" si="44"/>
        <v>0</v>
      </c>
      <c r="I83" s="686">
        <f t="shared" si="44"/>
        <v>0</v>
      </c>
      <c r="J83" s="686">
        <f t="shared" si="44"/>
        <v>0</v>
      </c>
      <c r="K83" s="686">
        <f t="shared" si="44"/>
        <v>0</v>
      </c>
      <c r="L83" s="686">
        <f t="shared" si="44"/>
        <v>0</v>
      </c>
      <c r="M83" s="686">
        <f t="shared" si="44"/>
        <v>0</v>
      </c>
      <c r="N83" s="686">
        <f t="shared" si="44"/>
        <v>0</v>
      </c>
      <c r="O83" s="686">
        <f t="shared" si="44"/>
        <v>0</v>
      </c>
      <c r="P83" s="686">
        <f t="shared" si="44"/>
        <v>0</v>
      </c>
      <c r="Q83" s="686">
        <f t="shared" si="44"/>
        <v>0</v>
      </c>
      <c r="R83" s="686">
        <f t="shared" si="44"/>
        <v>0</v>
      </c>
      <c r="S83" s="686">
        <f t="shared" si="44"/>
        <v>0</v>
      </c>
      <c r="T83" s="686">
        <f t="shared" si="44"/>
        <v>0</v>
      </c>
      <c r="U83" s="686">
        <f t="shared" si="44"/>
        <v>0</v>
      </c>
      <c r="V83" s="686">
        <f t="shared" si="44"/>
        <v>0</v>
      </c>
      <c r="W83" s="686">
        <f t="shared" si="44"/>
        <v>0</v>
      </c>
      <c r="X83" s="686">
        <f t="shared" si="44"/>
        <v>0</v>
      </c>
      <c r="Y83" s="686">
        <f t="shared" si="44"/>
        <v>0</v>
      </c>
      <c r="Z83" s="686">
        <f t="shared" si="44"/>
        <v>0</v>
      </c>
      <c r="AA83" s="686">
        <f t="shared" si="44"/>
        <v>0</v>
      </c>
      <c r="AB83" s="686">
        <f t="shared" si="44"/>
        <v>0</v>
      </c>
      <c r="AC83" s="686">
        <f t="shared" si="44"/>
        <v>0</v>
      </c>
      <c r="AD83" s="686">
        <f t="shared" si="44"/>
        <v>0</v>
      </c>
      <c r="AE83" s="686">
        <f t="shared" si="44"/>
        <v>0</v>
      </c>
      <c r="AF83" s="686">
        <f t="shared" si="44"/>
        <v>0</v>
      </c>
      <c r="AG83" s="686">
        <f t="shared" si="44"/>
        <v>0</v>
      </c>
      <c r="AH83" s="686">
        <f t="shared" si="44"/>
        <v>0</v>
      </c>
      <c r="AI83" s="686">
        <f t="shared" si="44"/>
        <v>0</v>
      </c>
      <c r="AJ83" s="686">
        <f t="shared" si="44"/>
        <v>0</v>
      </c>
      <c r="AK83" s="686">
        <f t="shared" si="44"/>
        <v>0</v>
      </c>
      <c r="AL83" s="686">
        <f t="shared" si="44"/>
        <v>0</v>
      </c>
      <c r="AM83" s="686">
        <f t="shared" si="44"/>
        <v>0</v>
      </c>
      <c r="AN83" s="686">
        <f t="shared" si="44"/>
        <v>0</v>
      </c>
      <c r="AO83" s="686">
        <f t="shared" si="44"/>
        <v>0</v>
      </c>
    </row>
    <row r="84" spans="1:41" hidden="1">
      <c r="A84" s="672"/>
      <c r="B84" s="676">
        <v>45</v>
      </c>
      <c r="C84" s="686">
        <f t="shared" si="40"/>
        <v>0</v>
      </c>
      <c r="D84" s="686">
        <f t="shared" ref="D84:AO84" si="45">IF(D42=1,D19,0)</f>
        <v>0</v>
      </c>
      <c r="E84" s="686">
        <f t="shared" si="45"/>
        <v>0</v>
      </c>
      <c r="F84" s="686">
        <f t="shared" si="45"/>
        <v>0</v>
      </c>
      <c r="G84" s="686">
        <f t="shared" si="45"/>
        <v>0</v>
      </c>
      <c r="H84" s="686">
        <f t="shared" si="45"/>
        <v>0</v>
      </c>
      <c r="I84" s="686">
        <f t="shared" si="45"/>
        <v>0</v>
      </c>
      <c r="J84" s="686">
        <f t="shared" si="45"/>
        <v>0</v>
      </c>
      <c r="K84" s="686">
        <f t="shared" si="45"/>
        <v>0</v>
      </c>
      <c r="L84" s="686">
        <f t="shared" si="45"/>
        <v>0</v>
      </c>
      <c r="M84" s="686">
        <f t="shared" si="45"/>
        <v>0</v>
      </c>
      <c r="N84" s="686">
        <f t="shared" si="45"/>
        <v>0</v>
      </c>
      <c r="O84" s="686">
        <f t="shared" si="45"/>
        <v>0</v>
      </c>
      <c r="P84" s="686">
        <f t="shared" si="45"/>
        <v>0</v>
      </c>
      <c r="Q84" s="686">
        <f t="shared" si="45"/>
        <v>0</v>
      </c>
      <c r="R84" s="686">
        <f t="shared" si="45"/>
        <v>0</v>
      </c>
      <c r="S84" s="686">
        <f t="shared" si="45"/>
        <v>0</v>
      </c>
      <c r="T84" s="686">
        <f t="shared" si="45"/>
        <v>0</v>
      </c>
      <c r="U84" s="686">
        <f t="shared" si="45"/>
        <v>0</v>
      </c>
      <c r="V84" s="686">
        <f t="shared" si="45"/>
        <v>0</v>
      </c>
      <c r="W84" s="686">
        <f t="shared" si="45"/>
        <v>0</v>
      </c>
      <c r="X84" s="686">
        <f t="shared" si="45"/>
        <v>0</v>
      </c>
      <c r="Y84" s="686">
        <f t="shared" si="45"/>
        <v>0</v>
      </c>
      <c r="Z84" s="686">
        <f t="shared" si="45"/>
        <v>0</v>
      </c>
      <c r="AA84" s="686">
        <f t="shared" si="45"/>
        <v>0</v>
      </c>
      <c r="AB84" s="686">
        <f t="shared" si="45"/>
        <v>0</v>
      </c>
      <c r="AC84" s="686">
        <f t="shared" si="45"/>
        <v>0</v>
      </c>
      <c r="AD84" s="686">
        <f t="shared" si="45"/>
        <v>0</v>
      </c>
      <c r="AE84" s="686">
        <f t="shared" si="45"/>
        <v>0</v>
      </c>
      <c r="AF84" s="686">
        <f t="shared" si="45"/>
        <v>0</v>
      </c>
      <c r="AG84" s="686">
        <f t="shared" si="45"/>
        <v>0</v>
      </c>
      <c r="AH84" s="686">
        <f t="shared" si="45"/>
        <v>0</v>
      </c>
      <c r="AI84" s="686">
        <f t="shared" si="45"/>
        <v>0</v>
      </c>
      <c r="AJ84" s="686">
        <f t="shared" si="45"/>
        <v>0</v>
      </c>
      <c r="AK84" s="686">
        <f t="shared" si="45"/>
        <v>0</v>
      </c>
      <c r="AL84" s="686">
        <f t="shared" si="45"/>
        <v>0</v>
      </c>
      <c r="AM84" s="686">
        <f t="shared" si="45"/>
        <v>0</v>
      </c>
      <c r="AN84" s="686">
        <f t="shared" si="45"/>
        <v>0</v>
      </c>
      <c r="AO84" s="686">
        <f t="shared" si="45"/>
        <v>0</v>
      </c>
    </row>
    <row r="85" spans="1:41" hidden="1">
      <c r="A85" s="672"/>
      <c r="B85" s="675">
        <v>40</v>
      </c>
      <c r="C85" s="686">
        <f t="shared" si="40"/>
        <v>0</v>
      </c>
      <c r="D85" s="686">
        <f t="shared" ref="D85:AO85" si="46">IF(D43=1,D20,0)</f>
        <v>0</v>
      </c>
      <c r="E85" s="686">
        <f t="shared" si="46"/>
        <v>0</v>
      </c>
      <c r="F85" s="686">
        <f t="shared" si="46"/>
        <v>0</v>
      </c>
      <c r="G85" s="686">
        <f t="shared" si="46"/>
        <v>0</v>
      </c>
      <c r="H85" s="686">
        <f t="shared" si="46"/>
        <v>0</v>
      </c>
      <c r="I85" s="686">
        <f t="shared" si="46"/>
        <v>0</v>
      </c>
      <c r="J85" s="686">
        <f t="shared" si="46"/>
        <v>0</v>
      </c>
      <c r="K85" s="686">
        <f t="shared" si="46"/>
        <v>0</v>
      </c>
      <c r="L85" s="686">
        <f t="shared" si="46"/>
        <v>0</v>
      </c>
      <c r="M85" s="686">
        <f t="shared" si="46"/>
        <v>0</v>
      </c>
      <c r="N85" s="686">
        <f t="shared" si="46"/>
        <v>0</v>
      </c>
      <c r="O85" s="686">
        <f t="shared" si="46"/>
        <v>0</v>
      </c>
      <c r="P85" s="686">
        <f t="shared" si="46"/>
        <v>0</v>
      </c>
      <c r="Q85" s="686">
        <f t="shared" si="46"/>
        <v>0</v>
      </c>
      <c r="R85" s="686">
        <f t="shared" si="46"/>
        <v>0</v>
      </c>
      <c r="S85" s="686">
        <f t="shared" si="46"/>
        <v>0</v>
      </c>
      <c r="T85" s="686">
        <f t="shared" si="46"/>
        <v>0</v>
      </c>
      <c r="U85" s="686">
        <f t="shared" si="46"/>
        <v>0</v>
      </c>
      <c r="V85" s="686">
        <f t="shared" si="46"/>
        <v>0</v>
      </c>
      <c r="W85" s="686">
        <f t="shared" si="46"/>
        <v>0</v>
      </c>
      <c r="X85" s="686">
        <f t="shared" si="46"/>
        <v>0</v>
      </c>
      <c r="Y85" s="686">
        <f t="shared" si="46"/>
        <v>0</v>
      </c>
      <c r="Z85" s="686">
        <f t="shared" si="46"/>
        <v>0</v>
      </c>
      <c r="AA85" s="686">
        <f t="shared" si="46"/>
        <v>0</v>
      </c>
      <c r="AB85" s="686">
        <f t="shared" si="46"/>
        <v>0</v>
      </c>
      <c r="AC85" s="686">
        <f t="shared" si="46"/>
        <v>0</v>
      </c>
      <c r="AD85" s="686">
        <f t="shared" si="46"/>
        <v>0</v>
      </c>
      <c r="AE85" s="686">
        <f t="shared" si="46"/>
        <v>0</v>
      </c>
      <c r="AF85" s="686">
        <f t="shared" si="46"/>
        <v>0</v>
      </c>
      <c r="AG85" s="686">
        <f t="shared" si="46"/>
        <v>0</v>
      </c>
      <c r="AH85" s="686">
        <f t="shared" si="46"/>
        <v>0</v>
      </c>
      <c r="AI85" s="686">
        <f t="shared" si="46"/>
        <v>0</v>
      </c>
      <c r="AJ85" s="686">
        <f t="shared" si="46"/>
        <v>0</v>
      </c>
      <c r="AK85" s="686">
        <f t="shared" si="46"/>
        <v>0</v>
      </c>
      <c r="AL85" s="686">
        <f t="shared" si="46"/>
        <v>0</v>
      </c>
      <c r="AM85" s="686">
        <f t="shared" si="46"/>
        <v>0</v>
      </c>
      <c r="AN85" s="686">
        <f t="shared" si="46"/>
        <v>0</v>
      </c>
      <c r="AO85" s="686">
        <f t="shared" si="46"/>
        <v>0</v>
      </c>
    </row>
    <row r="86" spans="1:41" hidden="1">
      <c r="A86" s="672"/>
      <c r="B86" s="676">
        <v>35</v>
      </c>
      <c r="C86" s="686">
        <f t="shared" si="40"/>
        <v>0</v>
      </c>
      <c r="D86" s="686">
        <f t="shared" ref="D86:AO86" si="47">IF(D44=1,D21,0)</f>
        <v>0</v>
      </c>
      <c r="E86" s="686">
        <f t="shared" si="47"/>
        <v>0</v>
      </c>
      <c r="F86" s="686">
        <f t="shared" si="47"/>
        <v>0</v>
      </c>
      <c r="G86" s="686">
        <f t="shared" si="47"/>
        <v>0</v>
      </c>
      <c r="H86" s="686">
        <f t="shared" si="47"/>
        <v>0</v>
      </c>
      <c r="I86" s="686">
        <f t="shared" si="47"/>
        <v>0</v>
      </c>
      <c r="J86" s="686">
        <f t="shared" si="47"/>
        <v>0</v>
      </c>
      <c r="K86" s="686">
        <f t="shared" si="47"/>
        <v>0</v>
      </c>
      <c r="L86" s="686">
        <f t="shared" si="47"/>
        <v>0</v>
      </c>
      <c r="M86" s="686">
        <f t="shared" si="47"/>
        <v>0</v>
      </c>
      <c r="N86" s="686">
        <f t="shared" si="47"/>
        <v>0</v>
      </c>
      <c r="O86" s="686">
        <f t="shared" si="47"/>
        <v>0</v>
      </c>
      <c r="P86" s="686">
        <f t="shared" si="47"/>
        <v>0</v>
      </c>
      <c r="Q86" s="686">
        <f t="shared" si="47"/>
        <v>0</v>
      </c>
      <c r="R86" s="686">
        <f t="shared" si="47"/>
        <v>0</v>
      </c>
      <c r="S86" s="686">
        <f t="shared" si="47"/>
        <v>0</v>
      </c>
      <c r="T86" s="686">
        <f t="shared" si="47"/>
        <v>0</v>
      </c>
      <c r="U86" s="686">
        <f t="shared" si="47"/>
        <v>0</v>
      </c>
      <c r="V86" s="686">
        <f t="shared" si="47"/>
        <v>0</v>
      </c>
      <c r="W86" s="686">
        <f t="shared" si="47"/>
        <v>0</v>
      </c>
      <c r="X86" s="686">
        <f t="shared" si="47"/>
        <v>0</v>
      </c>
      <c r="Y86" s="686">
        <f t="shared" si="47"/>
        <v>0</v>
      </c>
      <c r="Z86" s="686">
        <f t="shared" si="47"/>
        <v>0</v>
      </c>
      <c r="AA86" s="686">
        <f t="shared" si="47"/>
        <v>0</v>
      </c>
      <c r="AB86" s="686">
        <f t="shared" si="47"/>
        <v>0</v>
      </c>
      <c r="AC86" s="686">
        <f t="shared" si="47"/>
        <v>0</v>
      </c>
      <c r="AD86" s="686">
        <f t="shared" si="47"/>
        <v>0</v>
      </c>
      <c r="AE86" s="686">
        <f t="shared" si="47"/>
        <v>0</v>
      </c>
      <c r="AF86" s="686">
        <f t="shared" si="47"/>
        <v>0</v>
      </c>
      <c r="AG86" s="686">
        <f t="shared" si="47"/>
        <v>0</v>
      </c>
      <c r="AH86" s="686">
        <f t="shared" si="47"/>
        <v>0</v>
      </c>
      <c r="AI86" s="686">
        <f t="shared" si="47"/>
        <v>0</v>
      </c>
      <c r="AJ86" s="686">
        <f t="shared" si="47"/>
        <v>0</v>
      </c>
      <c r="AK86" s="686">
        <f t="shared" si="47"/>
        <v>0</v>
      </c>
      <c r="AL86" s="686">
        <f t="shared" si="47"/>
        <v>0</v>
      </c>
      <c r="AM86" s="686">
        <f t="shared" si="47"/>
        <v>0</v>
      </c>
      <c r="AN86" s="686">
        <f t="shared" si="47"/>
        <v>0</v>
      </c>
      <c r="AO86" s="686">
        <f t="shared" si="47"/>
        <v>0</v>
      </c>
    </row>
    <row r="87" spans="1:41" hidden="1">
      <c r="A87" s="672"/>
      <c r="B87" s="675">
        <v>30</v>
      </c>
      <c r="C87" s="686">
        <f t="shared" si="40"/>
        <v>0</v>
      </c>
      <c r="D87" s="686">
        <f t="shared" ref="D87:AO87" si="48">IF(D45=1,D22,0)</f>
        <v>0</v>
      </c>
      <c r="E87" s="686">
        <f t="shared" si="48"/>
        <v>0</v>
      </c>
      <c r="F87" s="686">
        <f t="shared" si="48"/>
        <v>0</v>
      </c>
      <c r="G87" s="686">
        <f t="shared" si="48"/>
        <v>0</v>
      </c>
      <c r="H87" s="686">
        <f t="shared" si="48"/>
        <v>0</v>
      </c>
      <c r="I87" s="686">
        <f t="shared" si="48"/>
        <v>0</v>
      </c>
      <c r="J87" s="686">
        <f t="shared" si="48"/>
        <v>0</v>
      </c>
      <c r="K87" s="686">
        <f t="shared" si="48"/>
        <v>0</v>
      </c>
      <c r="L87" s="686">
        <f t="shared" si="48"/>
        <v>0</v>
      </c>
      <c r="M87" s="686">
        <f t="shared" si="48"/>
        <v>0</v>
      </c>
      <c r="N87" s="686">
        <f t="shared" si="48"/>
        <v>0</v>
      </c>
      <c r="O87" s="686">
        <f t="shared" si="48"/>
        <v>0</v>
      </c>
      <c r="P87" s="686">
        <f t="shared" si="48"/>
        <v>0</v>
      </c>
      <c r="Q87" s="686">
        <f t="shared" si="48"/>
        <v>0</v>
      </c>
      <c r="R87" s="686">
        <f t="shared" si="48"/>
        <v>0</v>
      </c>
      <c r="S87" s="686">
        <f t="shared" si="48"/>
        <v>0</v>
      </c>
      <c r="T87" s="686">
        <f t="shared" si="48"/>
        <v>0</v>
      </c>
      <c r="U87" s="686">
        <f t="shared" si="48"/>
        <v>0</v>
      </c>
      <c r="V87" s="686">
        <f t="shared" si="48"/>
        <v>0</v>
      </c>
      <c r="W87" s="686">
        <f t="shared" si="48"/>
        <v>0</v>
      </c>
      <c r="X87" s="686">
        <f t="shared" si="48"/>
        <v>0</v>
      </c>
      <c r="Y87" s="686">
        <f t="shared" si="48"/>
        <v>0</v>
      </c>
      <c r="Z87" s="686">
        <f t="shared" si="48"/>
        <v>0</v>
      </c>
      <c r="AA87" s="686">
        <f t="shared" si="48"/>
        <v>0</v>
      </c>
      <c r="AB87" s="686">
        <f t="shared" si="48"/>
        <v>0</v>
      </c>
      <c r="AC87" s="686">
        <f t="shared" si="48"/>
        <v>0</v>
      </c>
      <c r="AD87" s="686">
        <f t="shared" si="48"/>
        <v>0</v>
      </c>
      <c r="AE87" s="686">
        <f t="shared" si="48"/>
        <v>0</v>
      </c>
      <c r="AF87" s="686">
        <f t="shared" si="48"/>
        <v>0</v>
      </c>
      <c r="AG87" s="686">
        <f t="shared" si="48"/>
        <v>0</v>
      </c>
      <c r="AH87" s="686">
        <f t="shared" si="48"/>
        <v>0</v>
      </c>
      <c r="AI87" s="686">
        <f t="shared" si="48"/>
        <v>0</v>
      </c>
      <c r="AJ87" s="686">
        <f t="shared" si="48"/>
        <v>0</v>
      </c>
      <c r="AK87" s="686">
        <f t="shared" si="48"/>
        <v>0</v>
      </c>
      <c r="AL87" s="686">
        <f t="shared" si="48"/>
        <v>0</v>
      </c>
      <c r="AM87" s="686">
        <f t="shared" si="48"/>
        <v>0</v>
      </c>
      <c r="AN87" s="686">
        <f t="shared" si="48"/>
        <v>0</v>
      </c>
      <c r="AO87" s="686">
        <f t="shared" si="48"/>
        <v>0</v>
      </c>
    </row>
    <row r="88" spans="1:41" hidden="1">
      <c r="A88" s="672"/>
      <c r="B88" s="676">
        <v>25</v>
      </c>
      <c r="C88" s="686">
        <f t="shared" si="40"/>
        <v>0</v>
      </c>
      <c r="D88" s="686">
        <f t="shared" ref="D88:AO88" si="49">IF(D46=1,D23,0)</f>
        <v>0</v>
      </c>
      <c r="E88" s="686">
        <f t="shared" si="49"/>
        <v>0</v>
      </c>
      <c r="F88" s="686">
        <f t="shared" si="49"/>
        <v>0</v>
      </c>
      <c r="G88" s="686">
        <f t="shared" si="49"/>
        <v>0</v>
      </c>
      <c r="H88" s="686">
        <f t="shared" si="49"/>
        <v>0</v>
      </c>
      <c r="I88" s="686">
        <f t="shared" si="49"/>
        <v>0</v>
      </c>
      <c r="J88" s="686">
        <f t="shared" si="49"/>
        <v>0</v>
      </c>
      <c r="K88" s="686">
        <f t="shared" si="49"/>
        <v>0</v>
      </c>
      <c r="L88" s="686">
        <f t="shared" si="49"/>
        <v>0</v>
      </c>
      <c r="M88" s="686">
        <f t="shared" si="49"/>
        <v>0</v>
      </c>
      <c r="N88" s="686">
        <f t="shared" si="49"/>
        <v>0</v>
      </c>
      <c r="O88" s="686">
        <f t="shared" si="49"/>
        <v>0</v>
      </c>
      <c r="P88" s="686">
        <f t="shared" si="49"/>
        <v>0</v>
      </c>
      <c r="Q88" s="686">
        <f t="shared" si="49"/>
        <v>0</v>
      </c>
      <c r="R88" s="686">
        <f t="shared" si="49"/>
        <v>0</v>
      </c>
      <c r="S88" s="686">
        <f t="shared" si="49"/>
        <v>0</v>
      </c>
      <c r="T88" s="686">
        <f t="shared" si="49"/>
        <v>0</v>
      </c>
      <c r="U88" s="686">
        <f t="shared" si="49"/>
        <v>0</v>
      </c>
      <c r="V88" s="686">
        <f t="shared" si="49"/>
        <v>0</v>
      </c>
      <c r="W88" s="686">
        <f t="shared" si="49"/>
        <v>0</v>
      </c>
      <c r="X88" s="686">
        <f t="shared" si="49"/>
        <v>0</v>
      </c>
      <c r="Y88" s="686">
        <f t="shared" si="49"/>
        <v>0</v>
      </c>
      <c r="Z88" s="686">
        <f t="shared" si="49"/>
        <v>0</v>
      </c>
      <c r="AA88" s="686">
        <f t="shared" si="49"/>
        <v>0</v>
      </c>
      <c r="AB88" s="686">
        <f t="shared" si="49"/>
        <v>0</v>
      </c>
      <c r="AC88" s="686">
        <f t="shared" si="49"/>
        <v>0</v>
      </c>
      <c r="AD88" s="686">
        <f t="shared" si="49"/>
        <v>0</v>
      </c>
      <c r="AE88" s="686">
        <f t="shared" si="49"/>
        <v>0</v>
      </c>
      <c r="AF88" s="686">
        <f t="shared" si="49"/>
        <v>0</v>
      </c>
      <c r="AG88" s="686">
        <f t="shared" si="49"/>
        <v>0</v>
      </c>
      <c r="AH88" s="686">
        <f t="shared" si="49"/>
        <v>0</v>
      </c>
      <c r="AI88" s="686">
        <f t="shared" si="49"/>
        <v>0</v>
      </c>
      <c r="AJ88" s="686">
        <f t="shared" si="49"/>
        <v>0</v>
      </c>
      <c r="AK88" s="686">
        <f t="shared" si="49"/>
        <v>0</v>
      </c>
      <c r="AL88" s="686">
        <f t="shared" si="49"/>
        <v>0</v>
      </c>
      <c r="AM88" s="686">
        <f t="shared" si="49"/>
        <v>0</v>
      </c>
      <c r="AN88" s="686">
        <f t="shared" si="49"/>
        <v>0</v>
      </c>
      <c r="AO88" s="686">
        <f t="shared" si="49"/>
        <v>0</v>
      </c>
    </row>
    <row r="89" spans="1:41" hidden="1">
      <c r="A89" s="672"/>
      <c r="B89" s="675">
        <v>20</v>
      </c>
      <c r="C89" s="686">
        <f t="shared" si="40"/>
        <v>0</v>
      </c>
      <c r="D89" s="686">
        <f t="shared" ref="D89:AO89" si="50">IF(D47=1,D24,0)</f>
        <v>0</v>
      </c>
      <c r="E89" s="686">
        <f t="shared" si="50"/>
        <v>0</v>
      </c>
      <c r="F89" s="686">
        <f t="shared" si="50"/>
        <v>0</v>
      </c>
      <c r="G89" s="686">
        <f t="shared" si="50"/>
        <v>0</v>
      </c>
      <c r="H89" s="686">
        <f t="shared" si="50"/>
        <v>0</v>
      </c>
      <c r="I89" s="686">
        <f t="shared" si="50"/>
        <v>0</v>
      </c>
      <c r="J89" s="686">
        <f t="shared" si="50"/>
        <v>0</v>
      </c>
      <c r="K89" s="686">
        <f t="shared" si="50"/>
        <v>0</v>
      </c>
      <c r="L89" s="686">
        <f t="shared" si="50"/>
        <v>0</v>
      </c>
      <c r="M89" s="686">
        <f t="shared" si="50"/>
        <v>0</v>
      </c>
      <c r="N89" s="686">
        <f t="shared" si="50"/>
        <v>0</v>
      </c>
      <c r="O89" s="686">
        <f t="shared" si="50"/>
        <v>0</v>
      </c>
      <c r="P89" s="686">
        <f t="shared" si="50"/>
        <v>0</v>
      </c>
      <c r="Q89" s="686">
        <f t="shared" si="50"/>
        <v>0</v>
      </c>
      <c r="R89" s="686">
        <f t="shared" si="50"/>
        <v>0</v>
      </c>
      <c r="S89" s="686">
        <f t="shared" si="50"/>
        <v>0</v>
      </c>
      <c r="T89" s="686">
        <f t="shared" si="50"/>
        <v>0</v>
      </c>
      <c r="U89" s="686">
        <f t="shared" si="50"/>
        <v>0</v>
      </c>
      <c r="V89" s="686">
        <f t="shared" si="50"/>
        <v>0</v>
      </c>
      <c r="W89" s="686">
        <f t="shared" si="50"/>
        <v>0</v>
      </c>
      <c r="X89" s="686">
        <f t="shared" si="50"/>
        <v>0</v>
      </c>
      <c r="Y89" s="686">
        <f t="shared" si="50"/>
        <v>0</v>
      </c>
      <c r="Z89" s="686">
        <f t="shared" si="50"/>
        <v>0</v>
      </c>
      <c r="AA89" s="686">
        <f t="shared" si="50"/>
        <v>0</v>
      </c>
      <c r="AB89" s="686">
        <f t="shared" si="50"/>
        <v>0</v>
      </c>
      <c r="AC89" s="686">
        <f t="shared" si="50"/>
        <v>0</v>
      </c>
      <c r="AD89" s="686">
        <f t="shared" si="50"/>
        <v>0</v>
      </c>
      <c r="AE89" s="686">
        <f t="shared" si="50"/>
        <v>0</v>
      </c>
      <c r="AF89" s="686">
        <f t="shared" si="50"/>
        <v>0</v>
      </c>
      <c r="AG89" s="686">
        <f t="shared" si="50"/>
        <v>0</v>
      </c>
      <c r="AH89" s="686">
        <f t="shared" si="50"/>
        <v>0</v>
      </c>
      <c r="AI89" s="686">
        <f t="shared" si="50"/>
        <v>0</v>
      </c>
      <c r="AJ89" s="686">
        <f t="shared" si="50"/>
        <v>0</v>
      </c>
      <c r="AK89" s="686">
        <f t="shared" si="50"/>
        <v>0</v>
      </c>
      <c r="AL89" s="686">
        <f t="shared" si="50"/>
        <v>0</v>
      </c>
      <c r="AM89" s="686">
        <f t="shared" si="50"/>
        <v>0</v>
      </c>
      <c r="AN89" s="686">
        <f t="shared" si="50"/>
        <v>0</v>
      </c>
      <c r="AO89" s="686">
        <f t="shared" si="50"/>
        <v>0</v>
      </c>
    </row>
    <row r="90" spans="1:41" hidden="1">
      <c r="A90" s="672"/>
      <c r="B90" s="676">
        <v>15</v>
      </c>
      <c r="C90" s="686">
        <f t="shared" si="40"/>
        <v>0</v>
      </c>
      <c r="D90" s="686">
        <f t="shared" ref="D90:AO90" si="51">IF(D48=1,D25,0)</f>
        <v>0</v>
      </c>
      <c r="E90" s="686">
        <f t="shared" si="51"/>
        <v>0</v>
      </c>
      <c r="F90" s="686">
        <f t="shared" si="51"/>
        <v>0</v>
      </c>
      <c r="G90" s="686">
        <f t="shared" si="51"/>
        <v>0</v>
      </c>
      <c r="H90" s="686">
        <f t="shared" si="51"/>
        <v>0</v>
      </c>
      <c r="I90" s="686">
        <f t="shared" si="51"/>
        <v>0</v>
      </c>
      <c r="J90" s="686">
        <f t="shared" si="51"/>
        <v>0</v>
      </c>
      <c r="K90" s="686">
        <f t="shared" si="51"/>
        <v>0</v>
      </c>
      <c r="L90" s="686">
        <f t="shared" si="51"/>
        <v>0</v>
      </c>
      <c r="M90" s="686">
        <f t="shared" si="51"/>
        <v>0</v>
      </c>
      <c r="N90" s="686">
        <f t="shared" si="51"/>
        <v>0</v>
      </c>
      <c r="O90" s="686">
        <f t="shared" si="51"/>
        <v>0</v>
      </c>
      <c r="P90" s="686">
        <f t="shared" si="51"/>
        <v>0</v>
      </c>
      <c r="Q90" s="686">
        <f t="shared" si="51"/>
        <v>0</v>
      </c>
      <c r="R90" s="686">
        <f t="shared" si="51"/>
        <v>0</v>
      </c>
      <c r="S90" s="686">
        <f t="shared" si="51"/>
        <v>0</v>
      </c>
      <c r="T90" s="686">
        <f t="shared" si="51"/>
        <v>0</v>
      </c>
      <c r="U90" s="686">
        <f t="shared" si="51"/>
        <v>0</v>
      </c>
      <c r="V90" s="686">
        <f t="shared" si="51"/>
        <v>0</v>
      </c>
      <c r="W90" s="686">
        <f t="shared" si="51"/>
        <v>0</v>
      </c>
      <c r="X90" s="686">
        <f t="shared" si="51"/>
        <v>0</v>
      </c>
      <c r="Y90" s="686">
        <f t="shared" si="51"/>
        <v>0</v>
      </c>
      <c r="Z90" s="686">
        <f t="shared" si="51"/>
        <v>0</v>
      </c>
      <c r="AA90" s="686">
        <f t="shared" si="51"/>
        <v>0</v>
      </c>
      <c r="AB90" s="686">
        <f t="shared" si="51"/>
        <v>0</v>
      </c>
      <c r="AC90" s="686">
        <f t="shared" si="51"/>
        <v>0</v>
      </c>
      <c r="AD90" s="686">
        <f t="shared" si="51"/>
        <v>0</v>
      </c>
      <c r="AE90" s="686">
        <f t="shared" si="51"/>
        <v>0</v>
      </c>
      <c r="AF90" s="686">
        <f t="shared" si="51"/>
        <v>0</v>
      </c>
      <c r="AG90" s="686">
        <f t="shared" si="51"/>
        <v>0</v>
      </c>
      <c r="AH90" s="686">
        <f t="shared" si="51"/>
        <v>0</v>
      </c>
      <c r="AI90" s="686">
        <f t="shared" si="51"/>
        <v>0</v>
      </c>
      <c r="AJ90" s="686">
        <f t="shared" si="51"/>
        <v>0</v>
      </c>
      <c r="AK90" s="686">
        <f t="shared" si="51"/>
        <v>0</v>
      </c>
      <c r="AL90" s="686">
        <f t="shared" si="51"/>
        <v>0</v>
      </c>
      <c r="AM90" s="686">
        <f t="shared" si="51"/>
        <v>0</v>
      </c>
      <c r="AN90" s="686">
        <f t="shared" si="51"/>
        <v>0</v>
      </c>
      <c r="AO90" s="686">
        <f t="shared" si="51"/>
        <v>0</v>
      </c>
    </row>
    <row r="91" spans="1:41" hidden="1">
      <c r="A91" s="672"/>
      <c r="B91" s="675">
        <v>10</v>
      </c>
      <c r="C91" s="686">
        <f>IF(C49=1,C26,0)</f>
        <v>0</v>
      </c>
      <c r="D91" s="686">
        <f t="shared" ref="D91:AO91" si="52">IF(D49=1,D26,0)</f>
        <v>0</v>
      </c>
      <c r="E91" s="686">
        <f t="shared" si="52"/>
        <v>0</v>
      </c>
      <c r="F91" s="686">
        <f t="shared" si="52"/>
        <v>0</v>
      </c>
      <c r="G91" s="686">
        <f t="shared" si="52"/>
        <v>0</v>
      </c>
      <c r="H91" s="686">
        <f t="shared" si="52"/>
        <v>0</v>
      </c>
      <c r="I91" s="686">
        <f t="shared" si="52"/>
        <v>0</v>
      </c>
      <c r="J91" s="686">
        <f t="shared" si="52"/>
        <v>0</v>
      </c>
      <c r="K91" s="686">
        <f t="shared" si="52"/>
        <v>0</v>
      </c>
      <c r="L91" s="686">
        <f t="shared" si="52"/>
        <v>0</v>
      </c>
      <c r="M91" s="686">
        <f t="shared" si="52"/>
        <v>0</v>
      </c>
      <c r="N91" s="686">
        <f t="shared" si="52"/>
        <v>0</v>
      </c>
      <c r="O91" s="686">
        <f t="shared" si="52"/>
        <v>0</v>
      </c>
      <c r="P91" s="686">
        <f t="shared" si="52"/>
        <v>0</v>
      </c>
      <c r="Q91" s="686">
        <f t="shared" si="52"/>
        <v>0</v>
      </c>
      <c r="R91" s="686">
        <f t="shared" si="52"/>
        <v>0</v>
      </c>
      <c r="S91" s="686">
        <f t="shared" si="52"/>
        <v>0</v>
      </c>
      <c r="T91" s="686">
        <f t="shared" si="52"/>
        <v>0</v>
      </c>
      <c r="U91" s="686">
        <f t="shared" si="52"/>
        <v>0</v>
      </c>
      <c r="V91" s="686">
        <f t="shared" si="52"/>
        <v>0</v>
      </c>
      <c r="W91" s="686">
        <f t="shared" si="52"/>
        <v>0</v>
      </c>
      <c r="X91" s="686">
        <f t="shared" si="52"/>
        <v>0</v>
      </c>
      <c r="Y91" s="686">
        <f t="shared" si="52"/>
        <v>0</v>
      </c>
      <c r="Z91" s="686">
        <f t="shared" si="52"/>
        <v>0</v>
      </c>
      <c r="AA91" s="686">
        <f t="shared" si="52"/>
        <v>0</v>
      </c>
      <c r="AB91" s="686">
        <f t="shared" si="52"/>
        <v>0</v>
      </c>
      <c r="AC91" s="686">
        <f t="shared" si="52"/>
        <v>0</v>
      </c>
      <c r="AD91" s="686">
        <f t="shared" si="52"/>
        <v>0</v>
      </c>
      <c r="AE91" s="686">
        <f t="shared" si="52"/>
        <v>0</v>
      </c>
      <c r="AF91" s="686">
        <f t="shared" si="52"/>
        <v>0</v>
      </c>
      <c r="AG91" s="686">
        <f t="shared" si="52"/>
        <v>0</v>
      </c>
      <c r="AH91" s="686">
        <f t="shared" si="52"/>
        <v>0</v>
      </c>
      <c r="AI91" s="686">
        <f t="shared" si="52"/>
        <v>0</v>
      </c>
      <c r="AJ91" s="686">
        <f t="shared" si="52"/>
        <v>0</v>
      </c>
      <c r="AK91" s="686">
        <f t="shared" si="52"/>
        <v>0</v>
      </c>
      <c r="AL91" s="686">
        <f t="shared" si="52"/>
        <v>0</v>
      </c>
      <c r="AM91" s="686">
        <f t="shared" si="52"/>
        <v>0</v>
      </c>
      <c r="AN91" s="686">
        <f t="shared" si="52"/>
        <v>0</v>
      </c>
      <c r="AO91" s="686">
        <f t="shared" si="52"/>
        <v>0</v>
      </c>
    </row>
    <row r="92" spans="1:41" hidden="1">
      <c r="A92" s="672"/>
      <c r="B92" s="677"/>
      <c r="C92" s="681">
        <f>SUM(C73:C91)</f>
        <v>50</v>
      </c>
      <c r="D92" s="681">
        <f t="shared" ref="D92:AO92" si="53">SUM(D73:D91)</f>
        <v>50</v>
      </c>
      <c r="E92" s="681">
        <f t="shared" si="53"/>
        <v>50</v>
      </c>
      <c r="F92" s="681">
        <f t="shared" si="53"/>
        <v>0</v>
      </c>
      <c r="G92" s="681">
        <f t="shared" si="53"/>
        <v>0</v>
      </c>
      <c r="H92" s="681">
        <f t="shared" si="53"/>
        <v>1</v>
      </c>
      <c r="I92" s="681">
        <f t="shared" si="53"/>
        <v>2</v>
      </c>
      <c r="J92" s="681">
        <f t="shared" si="53"/>
        <v>0</v>
      </c>
      <c r="K92" s="681">
        <f t="shared" si="53"/>
        <v>0</v>
      </c>
      <c r="L92" s="681">
        <f t="shared" si="53"/>
        <v>0</v>
      </c>
      <c r="M92" s="681">
        <f t="shared" si="53"/>
        <v>0</v>
      </c>
      <c r="N92" s="681">
        <f t="shared" si="53"/>
        <v>0</v>
      </c>
      <c r="O92" s="681">
        <f t="shared" si="53"/>
        <v>0</v>
      </c>
      <c r="P92" s="681">
        <f t="shared" si="53"/>
        <v>42</v>
      </c>
      <c r="Q92" s="681">
        <f t="shared" si="53"/>
        <v>37</v>
      </c>
      <c r="R92" s="681">
        <f t="shared" si="53"/>
        <v>1</v>
      </c>
      <c r="S92" s="681">
        <f t="shared" si="53"/>
        <v>2</v>
      </c>
      <c r="T92" s="681">
        <f t="shared" si="53"/>
        <v>1</v>
      </c>
      <c r="U92" s="681">
        <f t="shared" si="53"/>
        <v>0</v>
      </c>
      <c r="V92" s="681">
        <f t="shared" si="53"/>
        <v>0</v>
      </c>
      <c r="W92" s="681">
        <f t="shared" si="53"/>
        <v>0</v>
      </c>
      <c r="X92" s="681">
        <f t="shared" si="53"/>
        <v>2</v>
      </c>
      <c r="Y92" s="681">
        <f t="shared" si="53"/>
        <v>49</v>
      </c>
      <c r="Z92" s="681">
        <f t="shared" si="53"/>
        <v>49</v>
      </c>
      <c r="AA92" s="681">
        <f t="shared" si="53"/>
        <v>0</v>
      </c>
      <c r="AB92" s="681">
        <f t="shared" si="53"/>
        <v>0</v>
      </c>
      <c r="AC92" s="681">
        <f t="shared" si="53"/>
        <v>0</v>
      </c>
      <c r="AD92" s="681">
        <f t="shared" si="53"/>
        <v>2</v>
      </c>
      <c r="AE92" s="681">
        <f t="shared" si="53"/>
        <v>49</v>
      </c>
      <c r="AF92" s="681">
        <f t="shared" si="53"/>
        <v>49</v>
      </c>
      <c r="AG92" s="681">
        <f t="shared" si="53"/>
        <v>2</v>
      </c>
      <c r="AH92" s="681">
        <f t="shared" si="53"/>
        <v>0</v>
      </c>
      <c r="AI92" s="681">
        <f t="shared" si="53"/>
        <v>0</v>
      </c>
      <c r="AJ92" s="681">
        <f t="shared" si="53"/>
        <v>49</v>
      </c>
      <c r="AK92" s="681">
        <f t="shared" si="53"/>
        <v>49</v>
      </c>
      <c r="AL92" s="681">
        <f t="shared" si="53"/>
        <v>0</v>
      </c>
      <c r="AM92" s="681">
        <f t="shared" si="53"/>
        <v>0</v>
      </c>
      <c r="AN92" s="681">
        <f t="shared" si="53"/>
        <v>0</v>
      </c>
      <c r="AO92" s="681">
        <f t="shared" si="53"/>
        <v>0</v>
      </c>
    </row>
    <row r="93" spans="1:41" hidden="1">
      <c r="A93" s="682"/>
      <c r="B93" s="683" t="s">
        <v>893</v>
      </c>
      <c r="C93" s="684"/>
      <c r="D93" s="684"/>
      <c r="E93" s="684"/>
      <c r="F93" s="684"/>
      <c r="G93" s="684"/>
      <c r="H93" s="684"/>
      <c r="I93" s="684"/>
      <c r="J93" s="684"/>
      <c r="K93" s="684"/>
      <c r="L93" s="684"/>
      <c r="M93" s="684"/>
      <c r="N93" s="684"/>
      <c r="O93" s="684"/>
      <c r="P93" s="684"/>
      <c r="Q93" s="684"/>
      <c r="R93" s="684"/>
      <c r="S93" s="684"/>
      <c r="T93" s="684"/>
      <c r="U93" s="684"/>
      <c r="V93" s="684"/>
      <c r="W93" s="684"/>
      <c r="X93" s="684"/>
      <c r="Y93" s="684"/>
      <c r="Z93" s="684"/>
      <c r="AA93" s="684"/>
      <c r="AB93" s="684"/>
      <c r="AC93" s="684"/>
      <c r="AD93" s="684"/>
      <c r="AE93" s="684"/>
      <c r="AF93" s="684"/>
      <c r="AG93" s="684"/>
      <c r="AH93" s="684"/>
      <c r="AI93" s="684"/>
      <c r="AJ93" s="684"/>
      <c r="AK93" s="684"/>
      <c r="AL93" s="684"/>
      <c r="AM93" s="684"/>
      <c r="AN93" s="684"/>
      <c r="AO93" s="684"/>
    </row>
    <row r="94" spans="1:41" hidden="1">
      <c r="A94" s="3"/>
      <c r="B94" s="685">
        <v>100</v>
      </c>
      <c r="C94" s="686">
        <f t="shared" ref="C94:C100" si="54">IF(C52=1,C8,0)</f>
        <v>0</v>
      </c>
      <c r="D94" s="686">
        <f t="shared" ref="D94:AO100" si="55">IF(D52=1,D8,0)</f>
        <v>0</v>
      </c>
      <c r="E94" s="686">
        <f t="shared" si="55"/>
        <v>0</v>
      </c>
      <c r="F94" s="686">
        <f t="shared" si="55"/>
        <v>0</v>
      </c>
      <c r="G94" s="686">
        <f t="shared" si="55"/>
        <v>0</v>
      </c>
      <c r="H94" s="686">
        <f t="shared" si="55"/>
        <v>0</v>
      </c>
      <c r="I94" s="686">
        <f t="shared" si="55"/>
        <v>0</v>
      </c>
      <c r="J94" s="686">
        <f t="shared" si="55"/>
        <v>0</v>
      </c>
      <c r="K94" s="686">
        <f t="shared" si="55"/>
        <v>0</v>
      </c>
      <c r="L94" s="686">
        <f t="shared" si="55"/>
        <v>0</v>
      </c>
      <c r="M94" s="686">
        <f t="shared" si="55"/>
        <v>0</v>
      </c>
      <c r="N94" s="686">
        <f t="shared" si="55"/>
        <v>0</v>
      </c>
      <c r="O94" s="686">
        <f t="shared" si="55"/>
        <v>0</v>
      </c>
      <c r="P94" s="686">
        <f t="shared" si="55"/>
        <v>0</v>
      </c>
      <c r="Q94" s="686">
        <f t="shared" si="55"/>
        <v>0</v>
      </c>
      <c r="R94" s="686">
        <f t="shared" si="55"/>
        <v>0</v>
      </c>
      <c r="S94" s="686">
        <f t="shared" si="55"/>
        <v>0</v>
      </c>
      <c r="T94" s="686">
        <f t="shared" si="55"/>
        <v>0</v>
      </c>
      <c r="U94" s="686">
        <f t="shared" si="55"/>
        <v>0</v>
      </c>
      <c r="V94" s="686">
        <f t="shared" si="55"/>
        <v>0</v>
      </c>
      <c r="W94" s="686">
        <f t="shared" si="55"/>
        <v>0</v>
      </c>
      <c r="X94" s="686">
        <f t="shared" si="55"/>
        <v>0</v>
      </c>
      <c r="Y94" s="686">
        <f t="shared" si="55"/>
        <v>0</v>
      </c>
      <c r="Z94" s="686">
        <f t="shared" si="55"/>
        <v>0</v>
      </c>
      <c r="AA94" s="686">
        <f t="shared" si="55"/>
        <v>0</v>
      </c>
      <c r="AB94" s="686">
        <f t="shared" si="55"/>
        <v>0</v>
      </c>
      <c r="AC94" s="686">
        <f t="shared" si="55"/>
        <v>0</v>
      </c>
      <c r="AD94" s="686">
        <f t="shared" si="55"/>
        <v>0</v>
      </c>
      <c r="AE94" s="686">
        <f t="shared" si="55"/>
        <v>0</v>
      </c>
      <c r="AF94" s="686">
        <f t="shared" si="55"/>
        <v>0</v>
      </c>
      <c r="AG94" s="686">
        <f t="shared" si="55"/>
        <v>0</v>
      </c>
      <c r="AH94" s="686">
        <f t="shared" si="55"/>
        <v>0</v>
      </c>
      <c r="AI94" s="686">
        <f t="shared" si="55"/>
        <v>0</v>
      </c>
      <c r="AJ94" s="686">
        <f t="shared" si="55"/>
        <v>0</v>
      </c>
      <c r="AK94" s="686">
        <f t="shared" si="55"/>
        <v>0</v>
      </c>
      <c r="AL94" s="686">
        <f t="shared" si="55"/>
        <v>0</v>
      </c>
      <c r="AM94" s="686">
        <f t="shared" si="55"/>
        <v>0</v>
      </c>
      <c r="AN94" s="686">
        <f t="shared" si="55"/>
        <v>0</v>
      </c>
      <c r="AO94" s="686">
        <f t="shared" si="55"/>
        <v>0</v>
      </c>
    </row>
    <row r="95" spans="1:41" hidden="1">
      <c r="A95" s="672"/>
      <c r="B95" s="676">
        <v>95</v>
      </c>
      <c r="C95" s="686">
        <f t="shared" si="54"/>
        <v>0</v>
      </c>
      <c r="D95" s="686">
        <f t="shared" si="55"/>
        <v>0</v>
      </c>
      <c r="E95" s="686">
        <f t="shared" si="55"/>
        <v>0</v>
      </c>
      <c r="F95" s="686">
        <f t="shared" si="55"/>
        <v>0</v>
      </c>
      <c r="G95" s="686">
        <f t="shared" si="55"/>
        <v>0</v>
      </c>
      <c r="H95" s="686">
        <f t="shared" si="55"/>
        <v>0</v>
      </c>
      <c r="I95" s="686">
        <f t="shared" si="55"/>
        <v>0</v>
      </c>
      <c r="J95" s="686">
        <f t="shared" si="55"/>
        <v>0</v>
      </c>
      <c r="K95" s="686">
        <f t="shared" si="55"/>
        <v>0</v>
      </c>
      <c r="L95" s="686">
        <f t="shared" si="55"/>
        <v>0</v>
      </c>
      <c r="M95" s="686">
        <f t="shared" si="55"/>
        <v>0</v>
      </c>
      <c r="N95" s="686">
        <f t="shared" si="55"/>
        <v>0</v>
      </c>
      <c r="O95" s="686">
        <f t="shared" si="55"/>
        <v>0</v>
      </c>
      <c r="P95" s="686">
        <f t="shared" si="55"/>
        <v>0</v>
      </c>
      <c r="Q95" s="686">
        <f t="shared" si="55"/>
        <v>0</v>
      </c>
      <c r="R95" s="686">
        <f t="shared" si="55"/>
        <v>0</v>
      </c>
      <c r="S95" s="686">
        <f t="shared" si="55"/>
        <v>0</v>
      </c>
      <c r="T95" s="686">
        <f t="shared" si="55"/>
        <v>0</v>
      </c>
      <c r="U95" s="686">
        <f t="shared" si="55"/>
        <v>0</v>
      </c>
      <c r="V95" s="686">
        <f t="shared" si="55"/>
        <v>0</v>
      </c>
      <c r="W95" s="686">
        <f t="shared" si="55"/>
        <v>0</v>
      </c>
      <c r="X95" s="686">
        <f t="shared" si="55"/>
        <v>0</v>
      </c>
      <c r="Y95" s="686">
        <f t="shared" si="55"/>
        <v>0</v>
      </c>
      <c r="Z95" s="686">
        <f t="shared" si="55"/>
        <v>0</v>
      </c>
      <c r="AA95" s="686">
        <f t="shared" si="55"/>
        <v>0</v>
      </c>
      <c r="AB95" s="686">
        <f t="shared" si="55"/>
        <v>0</v>
      </c>
      <c r="AC95" s="686">
        <f t="shared" si="55"/>
        <v>0</v>
      </c>
      <c r="AD95" s="686">
        <f t="shared" si="55"/>
        <v>0</v>
      </c>
      <c r="AE95" s="686">
        <f t="shared" si="55"/>
        <v>0</v>
      </c>
      <c r="AF95" s="686">
        <f t="shared" si="55"/>
        <v>0</v>
      </c>
      <c r="AG95" s="686">
        <f t="shared" si="55"/>
        <v>0</v>
      </c>
      <c r="AH95" s="686">
        <f t="shared" si="55"/>
        <v>0</v>
      </c>
      <c r="AI95" s="686">
        <f t="shared" si="55"/>
        <v>0</v>
      </c>
      <c r="AJ95" s="686">
        <f t="shared" si="55"/>
        <v>0</v>
      </c>
      <c r="AK95" s="686">
        <f t="shared" si="55"/>
        <v>0</v>
      </c>
      <c r="AL95" s="686">
        <f t="shared" si="55"/>
        <v>0</v>
      </c>
      <c r="AM95" s="686">
        <f t="shared" si="55"/>
        <v>0</v>
      </c>
      <c r="AN95" s="686">
        <f t="shared" si="55"/>
        <v>0</v>
      </c>
      <c r="AO95" s="686">
        <f t="shared" si="55"/>
        <v>0</v>
      </c>
    </row>
    <row r="96" spans="1:41" hidden="1">
      <c r="A96" s="672"/>
      <c r="B96" s="675">
        <v>90</v>
      </c>
      <c r="C96" s="686">
        <f t="shared" si="54"/>
        <v>0</v>
      </c>
      <c r="D96" s="686">
        <f t="shared" si="55"/>
        <v>0</v>
      </c>
      <c r="E96" s="686">
        <f t="shared" si="55"/>
        <v>0</v>
      </c>
      <c r="F96" s="686">
        <f t="shared" si="55"/>
        <v>0</v>
      </c>
      <c r="G96" s="686">
        <f t="shared" si="55"/>
        <v>0</v>
      </c>
      <c r="H96" s="686">
        <f t="shared" si="55"/>
        <v>0</v>
      </c>
      <c r="I96" s="686">
        <f t="shared" si="55"/>
        <v>0</v>
      </c>
      <c r="J96" s="686">
        <f t="shared" si="55"/>
        <v>0</v>
      </c>
      <c r="K96" s="686">
        <f t="shared" si="55"/>
        <v>0</v>
      </c>
      <c r="L96" s="686">
        <f t="shared" si="55"/>
        <v>0</v>
      </c>
      <c r="M96" s="686">
        <f t="shared" si="55"/>
        <v>0</v>
      </c>
      <c r="N96" s="686">
        <f t="shared" si="55"/>
        <v>0</v>
      </c>
      <c r="O96" s="686">
        <f t="shared" si="55"/>
        <v>0</v>
      </c>
      <c r="P96" s="686">
        <f t="shared" si="55"/>
        <v>0</v>
      </c>
      <c r="Q96" s="686">
        <f t="shared" si="55"/>
        <v>0</v>
      </c>
      <c r="R96" s="686">
        <f t="shared" si="55"/>
        <v>0</v>
      </c>
      <c r="S96" s="686">
        <f t="shared" si="55"/>
        <v>0</v>
      </c>
      <c r="T96" s="686">
        <f t="shared" si="55"/>
        <v>0</v>
      </c>
      <c r="U96" s="686">
        <f t="shared" si="55"/>
        <v>0</v>
      </c>
      <c r="V96" s="686">
        <f t="shared" si="55"/>
        <v>0</v>
      </c>
      <c r="W96" s="686">
        <f t="shared" si="55"/>
        <v>0</v>
      </c>
      <c r="X96" s="686">
        <f t="shared" si="55"/>
        <v>0</v>
      </c>
      <c r="Y96" s="686">
        <f t="shared" si="55"/>
        <v>0</v>
      </c>
      <c r="Z96" s="686">
        <f t="shared" si="55"/>
        <v>0</v>
      </c>
      <c r="AA96" s="686">
        <f t="shared" si="55"/>
        <v>0</v>
      </c>
      <c r="AB96" s="686">
        <f t="shared" si="55"/>
        <v>0</v>
      </c>
      <c r="AC96" s="686">
        <f t="shared" si="55"/>
        <v>0</v>
      </c>
      <c r="AD96" s="686">
        <f t="shared" si="55"/>
        <v>0</v>
      </c>
      <c r="AE96" s="686">
        <f t="shared" si="55"/>
        <v>0</v>
      </c>
      <c r="AF96" s="686">
        <f t="shared" si="55"/>
        <v>0</v>
      </c>
      <c r="AG96" s="686">
        <f t="shared" si="55"/>
        <v>0</v>
      </c>
      <c r="AH96" s="686">
        <f t="shared" si="55"/>
        <v>0</v>
      </c>
      <c r="AI96" s="686">
        <f t="shared" si="55"/>
        <v>0</v>
      </c>
      <c r="AJ96" s="686">
        <f t="shared" si="55"/>
        <v>0</v>
      </c>
      <c r="AK96" s="686">
        <f t="shared" si="55"/>
        <v>0</v>
      </c>
      <c r="AL96" s="686">
        <f t="shared" si="55"/>
        <v>0</v>
      </c>
      <c r="AM96" s="686">
        <f t="shared" si="55"/>
        <v>0</v>
      </c>
      <c r="AN96" s="686">
        <f t="shared" si="55"/>
        <v>0</v>
      </c>
      <c r="AO96" s="686">
        <f t="shared" si="55"/>
        <v>0</v>
      </c>
    </row>
    <row r="97" spans="1:41" hidden="1">
      <c r="A97" s="672"/>
      <c r="B97" s="676">
        <v>85</v>
      </c>
      <c r="C97" s="686">
        <f t="shared" si="54"/>
        <v>0</v>
      </c>
      <c r="D97" s="686">
        <f t="shared" si="55"/>
        <v>0</v>
      </c>
      <c r="E97" s="686">
        <f t="shared" si="55"/>
        <v>0</v>
      </c>
      <c r="F97" s="686">
        <f t="shared" si="55"/>
        <v>0</v>
      </c>
      <c r="G97" s="686">
        <f t="shared" si="55"/>
        <v>0</v>
      </c>
      <c r="H97" s="686">
        <f t="shared" si="55"/>
        <v>0</v>
      </c>
      <c r="I97" s="686">
        <f t="shared" si="55"/>
        <v>0</v>
      </c>
      <c r="J97" s="686">
        <f t="shared" si="55"/>
        <v>0</v>
      </c>
      <c r="K97" s="686">
        <f t="shared" si="55"/>
        <v>0</v>
      </c>
      <c r="L97" s="686">
        <f t="shared" si="55"/>
        <v>0</v>
      </c>
      <c r="M97" s="686">
        <f t="shared" si="55"/>
        <v>0</v>
      </c>
      <c r="N97" s="686">
        <f t="shared" si="55"/>
        <v>0</v>
      </c>
      <c r="O97" s="686">
        <f t="shared" si="55"/>
        <v>0</v>
      </c>
      <c r="P97" s="686">
        <f t="shared" si="55"/>
        <v>0</v>
      </c>
      <c r="Q97" s="686">
        <f t="shared" si="55"/>
        <v>0</v>
      </c>
      <c r="R97" s="686">
        <f t="shared" si="55"/>
        <v>0</v>
      </c>
      <c r="S97" s="686">
        <f t="shared" si="55"/>
        <v>0</v>
      </c>
      <c r="T97" s="686">
        <f t="shared" si="55"/>
        <v>0</v>
      </c>
      <c r="U97" s="686">
        <f t="shared" si="55"/>
        <v>0</v>
      </c>
      <c r="V97" s="686">
        <f t="shared" si="55"/>
        <v>0</v>
      </c>
      <c r="W97" s="686">
        <f t="shared" si="55"/>
        <v>0</v>
      </c>
      <c r="X97" s="686">
        <f t="shared" si="55"/>
        <v>0</v>
      </c>
      <c r="Y97" s="686">
        <f t="shared" si="55"/>
        <v>0</v>
      </c>
      <c r="Z97" s="686">
        <f t="shared" si="55"/>
        <v>0</v>
      </c>
      <c r="AA97" s="686">
        <f t="shared" si="55"/>
        <v>0</v>
      </c>
      <c r="AB97" s="686">
        <f t="shared" si="55"/>
        <v>0</v>
      </c>
      <c r="AC97" s="686">
        <f t="shared" si="55"/>
        <v>0</v>
      </c>
      <c r="AD97" s="686">
        <f t="shared" si="55"/>
        <v>0</v>
      </c>
      <c r="AE97" s="686">
        <f t="shared" si="55"/>
        <v>0</v>
      </c>
      <c r="AF97" s="686">
        <f t="shared" si="55"/>
        <v>0</v>
      </c>
      <c r="AG97" s="686">
        <f t="shared" si="55"/>
        <v>0</v>
      </c>
      <c r="AH97" s="686">
        <f t="shared" si="55"/>
        <v>0</v>
      </c>
      <c r="AI97" s="686">
        <f t="shared" si="55"/>
        <v>0</v>
      </c>
      <c r="AJ97" s="686">
        <f t="shared" si="55"/>
        <v>0</v>
      </c>
      <c r="AK97" s="686">
        <f t="shared" si="55"/>
        <v>0</v>
      </c>
      <c r="AL97" s="686">
        <f t="shared" si="55"/>
        <v>0</v>
      </c>
      <c r="AM97" s="686">
        <f t="shared" si="55"/>
        <v>0</v>
      </c>
      <c r="AN97" s="686">
        <f t="shared" si="55"/>
        <v>0</v>
      </c>
      <c r="AO97" s="686">
        <f t="shared" si="55"/>
        <v>0</v>
      </c>
    </row>
    <row r="98" spans="1:41" hidden="1">
      <c r="A98" s="672"/>
      <c r="B98" s="675">
        <v>80</v>
      </c>
      <c r="C98" s="686">
        <f t="shared" si="54"/>
        <v>0</v>
      </c>
      <c r="D98" s="686">
        <f t="shared" si="55"/>
        <v>0</v>
      </c>
      <c r="E98" s="686">
        <f t="shared" si="55"/>
        <v>0</v>
      </c>
      <c r="F98" s="686">
        <f t="shared" si="55"/>
        <v>0</v>
      </c>
      <c r="G98" s="686">
        <f t="shared" si="55"/>
        <v>0</v>
      </c>
      <c r="H98" s="686">
        <f t="shared" si="55"/>
        <v>0</v>
      </c>
      <c r="I98" s="686">
        <f t="shared" si="55"/>
        <v>0</v>
      </c>
      <c r="J98" s="686">
        <f t="shared" si="55"/>
        <v>0</v>
      </c>
      <c r="K98" s="686">
        <f t="shared" si="55"/>
        <v>0</v>
      </c>
      <c r="L98" s="686">
        <f t="shared" si="55"/>
        <v>0</v>
      </c>
      <c r="M98" s="686">
        <f t="shared" si="55"/>
        <v>0</v>
      </c>
      <c r="N98" s="686">
        <f t="shared" si="55"/>
        <v>0</v>
      </c>
      <c r="O98" s="686">
        <f t="shared" si="55"/>
        <v>0</v>
      </c>
      <c r="P98" s="686">
        <f t="shared" si="55"/>
        <v>0</v>
      </c>
      <c r="Q98" s="686">
        <f t="shared" si="55"/>
        <v>0</v>
      </c>
      <c r="R98" s="686">
        <f t="shared" si="55"/>
        <v>0</v>
      </c>
      <c r="S98" s="686">
        <f t="shared" si="55"/>
        <v>0</v>
      </c>
      <c r="T98" s="686">
        <f t="shared" si="55"/>
        <v>0</v>
      </c>
      <c r="U98" s="686">
        <f t="shared" si="55"/>
        <v>0</v>
      </c>
      <c r="V98" s="686">
        <f t="shared" si="55"/>
        <v>0</v>
      </c>
      <c r="W98" s="686">
        <f t="shared" si="55"/>
        <v>0</v>
      </c>
      <c r="X98" s="686">
        <f t="shared" si="55"/>
        <v>0</v>
      </c>
      <c r="Y98" s="686">
        <f t="shared" si="55"/>
        <v>0</v>
      </c>
      <c r="Z98" s="686">
        <f t="shared" si="55"/>
        <v>0</v>
      </c>
      <c r="AA98" s="686">
        <f t="shared" si="55"/>
        <v>0</v>
      </c>
      <c r="AB98" s="686">
        <f t="shared" si="55"/>
        <v>0</v>
      </c>
      <c r="AC98" s="686">
        <f t="shared" si="55"/>
        <v>0</v>
      </c>
      <c r="AD98" s="686">
        <f t="shared" si="55"/>
        <v>0</v>
      </c>
      <c r="AE98" s="686">
        <f t="shared" si="55"/>
        <v>0</v>
      </c>
      <c r="AF98" s="686">
        <f t="shared" si="55"/>
        <v>0</v>
      </c>
      <c r="AG98" s="686">
        <f t="shared" si="55"/>
        <v>0</v>
      </c>
      <c r="AH98" s="686">
        <f t="shared" si="55"/>
        <v>0</v>
      </c>
      <c r="AI98" s="686">
        <f t="shared" si="55"/>
        <v>0</v>
      </c>
      <c r="AJ98" s="686">
        <f t="shared" si="55"/>
        <v>0</v>
      </c>
      <c r="AK98" s="686">
        <f t="shared" si="55"/>
        <v>0</v>
      </c>
      <c r="AL98" s="686">
        <f t="shared" si="55"/>
        <v>0</v>
      </c>
      <c r="AM98" s="686">
        <f t="shared" si="55"/>
        <v>0</v>
      </c>
      <c r="AN98" s="686">
        <f t="shared" si="55"/>
        <v>0</v>
      </c>
      <c r="AO98" s="686">
        <f t="shared" si="55"/>
        <v>0</v>
      </c>
    </row>
    <row r="99" spans="1:41" hidden="1">
      <c r="A99" s="672"/>
      <c r="B99" s="676">
        <v>75</v>
      </c>
      <c r="C99" s="686">
        <f t="shared" si="54"/>
        <v>0</v>
      </c>
      <c r="D99" s="686">
        <f t="shared" si="55"/>
        <v>0</v>
      </c>
      <c r="E99" s="686">
        <f t="shared" si="55"/>
        <v>0</v>
      </c>
      <c r="F99" s="686">
        <f t="shared" si="55"/>
        <v>0</v>
      </c>
      <c r="G99" s="686">
        <f t="shared" si="55"/>
        <v>0</v>
      </c>
      <c r="H99" s="686">
        <f t="shared" si="55"/>
        <v>0</v>
      </c>
      <c r="I99" s="686">
        <f t="shared" si="55"/>
        <v>0</v>
      </c>
      <c r="J99" s="686">
        <f t="shared" si="55"/>
        <v>0</v>
      </c>
      <c r="K99" s="686">
        <f t="shared" si="55"/>
        <v>0</v>
      </c>
      <c r="L99" s="686">
        <f t="shared" si="55"/>
        <v>0</v>
      </c>
      <c r="M99" s="686">
        <f t="shared" si="55"/>
        <v>0</v>
      </c>
      <c r="N99" s="686">
        <f t="shared" si="55"/>
        <v>0</v>
      </c>
      <c r="O99" s="686">
        <f t="shared" si="55"/>
        <v>0</v>
      </c>
      <c r="P99" s="686">
        <f t="shared" si="55"/>
        <v>0</v>
      </c>
      <c r="Q99" s="686">
        <f t="shared" si="55"/>
        <v>0</v>
      </c>
      <c r="R99" s="686">
        <f t="shared" si="55"/>
        <v>0</v>
      </c>
      <c r="S99" s="686">
        <f t="shared" si="55"/>
        <v>0</v>
      </c>
      <c r="T99" s="686">
        <f t="shared" si="55"/>
        <v>0</v>
      </c>
      <c r="U99" s="686">
        <f t="shared" si="55"/>
        <v>0</v>
      </c>
      <c r="V99" s="686">
        <f t="shared" si="55"/>
        <v>0</v>
      </c>
      <c r="W99" s="686">
        <f t="shared" si="55"/>
        <v>0</v>
      </c>
      <c r="X99" s="686">
        <f t="shared" si="55"/>
        <v>0</v>
      </c>
      <c r="Y99" s="686">
        <f t="shared" si="55"/>
        <v>0</v>
      </c>
      <c r="Z99" s="686">
        <f t="shared" si="55"/>
        <v>0</v>
      </c>
      <c r="AA99" s="686">
        <f t="shared" si="55"/>
        <v>0</v>
      </c>
      <c r="AB99" s="686">
        <f t="shared" si="55"/>
        <v>0</v>
      </c>
      <c r="AC99" s="686">
        <f t="shared" si="55"/>
        <v>0</v>
      </c>
      <c r="AD99" s="686">
        <f t="shared" si="55"/>
        <v>0</v>
      </c>
      <c r="AE99" s="686">
        <f t="shared" si="55"/>
        <v>0</v>
      </c>
      <c r="AF99" s="686">
        <f t="shared" si="55"/>
        <v>0</v>
      </c>
      <c r="AG99" s="686">
        <f t="shared" si="55"/>
        <v>0</v>
      </c>
      <c r="AH99" s="686">
        <f t="shared" si="55"/>
        <v>0</v>
      </c>
      <c r="AI99" s="686">
        <f t="shared" si="55"/>
        <v>0</v>
      </c>
      <c r="AJ99" s="686">
        <f t="shared" si="55"/>
        <v>0</v>
      </c>
      <c r="AK99" s="686">
        <f t="shared" si="55"/>
        <v>0</v>
      </c>
      <c r="AL99" s="686">
        <f t="shared" si="55"/>
        <v>0</v>
      </c>
      <c r="AM99" s="686">
        <f t="shared" si="55"/>
        <v>0</v>
      </c>
      <c r="AN99" s="686">
        <f t="shared" si="55"/>
        <v>0</v>
      </c>
      <c r="AO99" s="686">
        <f t="shared" si="55"/>
        <v>0</v>
      </c>
    </row>
    <row r="100" spans="1:41" hidden="1">
      <c r="A100" s="672"/>
      <c r="B100" s="675">
        <v>70</v>
      </c>
      <c r="C100" s="686">
        <f t="shared" si="54"/>
        <v>0</v>
      </c>
      <c r="D100" s="686">
        <f t="shared" si="55"/>
        <v>0</v>
      </c>
      <c r="E100" s="686">
        <f t="shared" si="55"/>
        <v>0</v>
      </c>
      <c r="F100" s="686">
        <f t="shared" si="55"/>
        <v>0</v>
      </c>
      <c r="G100" s="686">
        <f t="shared" si="55"/>
        <v>0</v>
      </c>
      <c r="H100" s="686">
        <f t="shared" si="55"/>
        <v>0</v>
      </c>
      <c r="I100" s="686">
        <f t="shared" si="55"/>
        <v>0</v>
      </c>
      <c r="J100" s="686">
        <f t="shared" si="55"/>
        <v>0</v>
      </c>
      <c r="K100" s="686">
        <f t="shared" si="55"/>
        <v>0</v>
      </c>
      <c r="L100" s="686">
        <f t="shared" si="55"/>
        <v>0</v>
      </c>
      <c r="M100" s="686">
        <f t="shared" si="55"/>
        <v>0</v>
      </c>
      <c r="N100" s="686">
        <f t="shared" si="55"/>
        <v>0</v>
      </c>
      <c r="O100" s="686">
        <f t="shared" si="55"/>
        <v>0</v>
      </c>
      <c r="P100" s="686">
        <f t="shared" si="55"/>
        <v>7</v>
      </c>
      <c r="Q100" s="686">
        <f t="shared" si="55"/>
        <v>12</v>
      </c>
      <c r="R100" s="686">
        <f t="shared" si="55"/>
        <v>1</v>
      </c>
      <c r="S100" s="686">
        <f t="shared" si="55"/>
        <v>0</v>
      </c>
      <c r="T100" s="686">
        <f t="shared" si="55"/>
        <v>0</v>
      </c>
      <c r="U100" s="686">
        <f t="shared" si="55"/>
        <v>0</v>
      </c>
      <c r="V100" s="686">
        <f t="shared" si="55"/>
        <v>0</v>
      </c>
      <c r="W100" s="686">
        <f t="shared" si="55"/>
        <v>0</v>
      </c>
      <c r="X100" s="686">
        <f t="shared" si="55"/>
        <v>0</v>
      </c>
      <c r="Y100" s="686">
        <f t="shared" si="55"/>
        <v>0</v>
      </c>
      <c r="Z100" s="686">
        <f t="shared" si="55"/>
        <v>0</v>
      </c>
      <c r="AA100" s="686">
        <f t="shared" si="55"/>
        <v>0</v>
      </c>
      <c r="AB100" s="686">
        <f t="shared" si="55"/>
        <v>0</v>
      </c>
      <c r="AC100" s="686">
        <f t="shared" si="55"/>
        <v>0</v>
      </c>
      <c r="AD100" s="686">
        <f t="shared" si="55"/>
        <v>0</v>
      </c>
      <c r="AE100" s="686">
        <f t="shared" ref="AE100:AO100" si="56">IF(AE58=1,AE14,0)</f>
        <v>0</v>
      </c>
      <c r="AF100" s="686">
        <f t="shared" si="56"/>
        <v>0</v>
      </c>
      <c r="AG100" s="686">
        <f t="shared" si="56"/>
        <v>0</v>
      </c>
      <c r="AH100" s="686">
        <f t="shared" si="56"/>
        <v>0</v>
      </c>
      <c r="AI100" s="686">
        <f t="shared" si="56"/>
        <v>0</v>
      </c>
      <c r="AJ100" s="686">
        <f t="shared" si="56"/>
        <v>0</v>
      </c>
      <c r="AK100" s="686">
        <f t="shared" si="56"/>
        <v>0</v>
      </c>
      <c r="AL100" s="686">
        <f t="shared" si="56"/>
        <v>0</v>
      </c>
      <c r="AM100" s="686">
        <f t="shared" si="56"/>
        <v>0</v>
      </c>
      <c r="AN100" s="686">
        <f t="shared" si="56"/>
        <v>0</v>
      </c>
      <c r="AO100" s="686">
        <f t="shared" si="56"/>
        <v>0</v>
      </c>
    </row>
    <row r="101" spans="1:41" hidden="1">
      <c r="A101" s="672"/>
      <c r="B101" s="676">
        <v>65</v>
      </c>
      <c r="C101" s="686">
        <f t="shared" ref="C101:C111" si="57">IF(C59=1,C15,0)</f>
        <v>0</v>
      </c>
      <c r="D101" s="686">
        <f t="shared" ref="D101:AO101" si="58">IF(D59=1,D15,0)</f>
        <v>0</v>
      </c>
      <c r="E101" s="686">
        <f t="shared" si="58"/>
        <v>0</v>
      </c>
      <c r="F101" s="686">
        <f t="shared" si="58"/>
        <v>0</v>
      </c>
      <c r="G101" s="686">
        <f t="shared" si="58"/>
        <v>0</v>
      </c>
      <c r="H101" s="686">
        <f t="shared" si="58"/>
        <v>0</v>
      </c>
      <c r="I101" s="686">
        <f t="shared" si="58"/>
        <v>0</v>
      </c>
      <c r="J101" s="686">
        <f t="shared" si="58"/>
        <v>0</v>
      </c>
      <c r="K101" s="686">
        <f t="shared" si="58"/>
        <v>0</v>
      </c>
      <c r="L101" s="686">
        <f t="shared" si="58"/>
        <v>0</v>
      </c>
      <c r="M101" s="686">
        <f t="shared" si="58"/>
        <v>0</v>
      </c>
      <c r="N101" s="686">
        <f t="shared" si="58"/>
        <v>0</v>
      </c>
      <c r="O101" s="686">
        <f t="shared" si="58"/>
        <v>0</v>
      </c>
      <c r="P101" s="686">
        <f t="shared" si="58"/>
        <v>0</v>
      </c>
      <c r="Q101" s="686">
        <f t="shared" si="58"/>
        <v>0</v>
      </c>
      <c r="R101" s="686">
        <f t="shared" si="58"/>
        <v>0</v>
      </c>
      <c r="S101" s="686">
        <f t="shared" si="58"/>
        <v>0</v>
      </c>
      <c r="T101" s="686">
        <f t="shared" si="58"/>
        <v>0</v>
      </c>
      <c r="U101" s="686">
        <f t="shared" si="58"/>
        <v>0</v>
      </c>
      <c r="V101" s="686">
        <f t="shared" si="58"/>
        <v>0</v>
      </c>
      <c r="W101" s="686">
        <f t="shared" si="58"/>
        <v>0</v>
      </c>
      <c r="X101" s="686">
        <f t="shared" si="58"/>
        <v>0</v>
      </c>
      <c r="Y101" s="686">
        <f t="shared" si="58"/>
        <v>0</v>
      </c>
      <c r="Z101" s="686">
        <f t="shared" si="58"/>
        <v>0</v>
      </c>
      <c r="AA101" s="686">
        <f t="shared" si="58"/>
        <v>0</v>
      </c>
      <c r="AB101" s="686">
        <f t="shared" si="58"/>
        <v>0</v>
      </c>
      <c r="AC101" s="686">
        <f t="shared" si="58"/>
        <v>0</v>
      </c>
      <c r="AD101" s="686">
        <f t="shared" si="58"/>
        <v>0</v>
      </c>
      <c r="AE101" s="686">
        <f t="shared" si="58"/>
        <v>0</v>
      </c>
      <c r="AF101" s="686">
        <f t="shared" si="58"/>
        <v>0</v>
      </c>
      <c r="AG101" s="686">
        <f t="shared" si="58"/>
        <v>0</v>
      </c>
      <c r="AH101" s="686">
        <f t="shared" si="58"/>
        <v>0</v>
      </c>
      <c r="AI101" s="686">
        <f t="shared" si="58"/>
        <v>0</v>
      </c>
      <c r="AJ101" s="686">
        <f t="shared" si="58"/>
        <v>0</v>
      </c>
      <c r="AK101" s="686">
        <f t="shared" si="58"/>
        <v>0</v>
      </c>
      <c r="AL101" s="686">
        <f t="shared" si="58"/>
        <v>0</v>
      </c>
      <c r="AM101" s="686">
        <f t="shared" si="58"/>
        <v>0</v>
      </c>
      <c r="AN101" s="686">
        <f t="shared" si="58"/>
        <v>0</v>
      </c>
      <c r="AO101" s="686">
        <f t="shared" si="58"/>
        <v>0</v>
      </c>
    </row>
    <row r="102" spans="1:41" hidden="1">
      <c r="A102" s="672"/>
      <c r="B102" s="675">
        <v>60</v>
      </c>
      <c r="C102" s="686">
        <f t="shared" si="57"/>
        <v>0</v>
      </c>
      <c r="D102" s="686">
        <f t="shared" ref="D102:AO102" si="59">IF(D60=1,D16,0)</f>
        <v>0</v>
      </c>
      <c r="E102" s="686">
        <f t="shared" si="59"/>
        <v>0</v>
      </c>
      <c r="F102" s="686">
        <f t="shared" si="59"/>
        <v>0</v>
      </c>
      <c r="G102" s="686">
        <f t="shared" si="59"/>
        <v>0</v>
      </c>
      <c r="H102" s="686">
        <f t="shared" si="59"/>
        <v>0</v>
      </c>
      <c r="I102" s="686">
        <f t="shared" si="59"/>
        <v>0</v>
      </c>
      <c r="J102" s="686">
        <f t="shared" si="59"/>
        <v>0</v>
      </c>
      <c r="K102" s="686">
        <f t="shared" si="59"/>
        <v>0</v>
      </c>
      <c r="L102" s="686">
        <f t="shared" si="59"/>
        <v>0</v>
      </c>
      <c r="M102" s="686">
        <f t="shared" si="59"/>
        <v>0</v>
      </c>
      <c r="N102" s="686">
        <f t="shared" si="59"/>
        <v>0</v>
      </c>
      <c r="O102" s="686">
        <f t="shared" si="59"/>
        <v>0</v>
      </c>
      <c r="P102" s="686">
        <f t="shared" si="59"/>
        <v>0</v>
      </c>
      <c r="Q102" s="686">
        <f t="shared" si="59"/>
        <v>0</v>
      </c>
      <c r="R102" s="686">
        <f t="shared" si="59"/>
        <v>0</v>
      </c>
      <c r="S102" s="686">
        <f t="shared" si="59"/>
        <v>0</v>
      </c>
      <c r="T102" s="686">
        <f t="shared" si="59"/>
        <v>0</v>
      </c>
      <c r="U102" s="686">
        <f t="shared" si="59"/>
        <v>0</v>
      </c>
      <c r="V102" s="686">
        <f t="shared" si="59"/>
        <v>0</v>
      </c>
      <c r="W102" s="686">
        <f t="shared" si="59"/>
        <v>0</v>
      </c>
      <c r="X102" s="686">
        <f t="shared" si="59"/>
        <v>0</v>
      </c>
      <c r="Y102" s="686">
        <f t="shared" si="59"/>
        <v>0</v>
      </c>
      <c r="Z102" s="686">
        <f t="shared" si="59"/>
        <v>0</v>
      </c>
      <c r="AA102" s="686">
        <f t="shared" si="59"/>
        <v>0</v>
      </c>
      <c r="AB102" s="686">
        <f t="shared" si="59"/>
        <v>0</v>
      </c>
      <c r="AC102" s="686">
        <f t="shared" si="59"/>
        <v>0</v>
      </c>
      <c r="AD102" s="686">
        <f t="shared" si="59"/>
        <v>0</v>
      </c>
      <c r="AE102" s="686">
        <f t="shared" si="59"/>
        <v>0</v>
      </c>
      <c r="AF102" s="686">
        <f t="shared" si="59"/>
        <v>0</v>
      </c>
      <c r="AG102" s="686">
        <f t="shared" si="59"/>
        <v>0</v>
      </c>
      <c r="AH102" s="686">
        <f t="shared" si="59"/>
        <v>0</v>
      </c>
      <c r="AI102" s="686">
        <f t="shared" si="59"/>
        <v>0</v>
      </c>
      <c r="AJ102" s="686">
        <f t="shared" si="59"/>
        <v>1</v>
      </c>
      <c r="AK102" s="686">
        <f t="shared" si="59"/>
        <v>0</v>
      </c>
      <c r="AL102" s="686">
        <f t="shared" si="59"/>
        <v>0</v>
      </c>
      <c r="AM102" s="686">
        <f t="shared" si="59"/>
        <v>0</v>
      </c>
      <c r="AN102" s="686">
        <f t="shared" si="59"/>
        <v>0</v>
      </c>
      <c r="AO102" s="686">
        <f t="shared" si="59"/>
        <v>0</v>
      </c>
    </row>
    <row r="103" spans="1:41" hidden="1">
      <c r="A103" s="672"/>
      <c r="B103" s="676">
        <v>55</v>
      </c>
      <c r="C103" s="686">
        <f t="shared" si="57"/>
        <v>0</v>
      </c>
      <c r="D103" s="686">
        <f t="shared" ref="D103:AO103" si="60">IF(D61=1,D17,0)</f>
        <v>0</v>
      </c>
      <c r="E103" s="686">
        <f t="shared" si="60"/>
        <v>0</v>
      </c>
      <c r="F103" s="686">
        <f t="shared" si="60"/>
        <v>0</v>
      </c>
      <c r="G103" s="686">
        <f t="shared" si="60"/>
        <v>0</v>
      </c>
      <c r="H103" s="686">
        <f t="shared" si="60"/>
        <v>0</v>
      </c>
      <c r="I103" s="686">
        <f t="shared" si="60"/>
        <v>0</v>
      </c>
      <c r="J103" s="686">
        <f t="shared" si="60"/>
        <v>0</v>
      </c>
      <c r="K103" s="686">
        <f t="shared" si="60"/>
        <v>0</v>
      </c>
      <c r="L103" s="686">
        <f t="shared" si="60"/>
        <v>0</v>
      </c>
      <c r="M103" s="686">
        <f t="shared" si="60"/>
        <v>0</v>
      </c>
      <c r="N103" s="686">
        <f t="shared" si="60"/>
        <v>0</v>
      </c>
      <c r="O103" s="686">
        <f t="shared" si="60"/>
        <v>0</v>
      </c>
      <c r="P103" s="686">
        <f t="shared" si="60"/>
        <v>0</v>
      </c>
      <c r="Q103" s="686">
        <f t="shared" si="60"/>
        <v>0</v>
      </c>
      <c r="R103" s="686">
        <f t="shared" si="60"/>
        <v>0</v>
      </c>
      <c r="S103" s="686">
        <f t="shared" si="60"/>
        <v>0</v>
      </c>
      <c r="T103" s="686">
        <f t="shared" si="60"/>
        <v>0</v>
      </c>
      <c r="U103" s="686">
        <f t="shared" si="60"/>
        <v>0</v>
      </c>
      <c r="V103" s="686">
        <f t="shared" si="60"/>
        <v>0</v>
      </c>
      <c r="W103" s="686">
        <f t="shared" si="60"/>
        <v>0</v>
      </c>
      <c r="X103" s="686">
        <f t="shared" si="60"/>
        <v>0</v>
      </c>
      <c r="Y103" s="686">
        <f t="shared" si="60"/>
        <v>0</v>
      </c>
      <c r="Z103" s="686">
        <f t="shared" si="60"/>
        <v>0</v>
      </c>
      <c r="AA103" s="686">
        <f t="shared" si="60"/>
        <v>0</v>
      </c>
      <c r="AB103" s="686">
        <f t="shared" si="60"/>
        <v>0</v>
      </c>
      <c r="AC103" s="686">
        <f t="shared" si="60"/>
        <v>0</v>
      </c>
      <c r="AD103" s="686">
        <f t="shared" si="60"/>
        <v>0</v>
      </c>
      <c r="AE103" s="686">
        <f t="shared" si="60"/>
        <v>0</v>
      </c>
      <c r="AF103" s="686">
        <f t="shared" si="60"/>
        <v>0</v>
      </c>
      <c r="AG103" s="686">
        <f t="shared" si="60"/>
        <v>0</v>
      </c>
      <c r="AH103" s="686">
        <f t="shared" si="60"/>
        <v>0</v>
      </c>
      <c r="AI103" s="686">
        <f t="shared" si="60"/>
        <v>0</v>
      </c>
      <c r="AJ103" s="686">
        <f t="shared" si="60"/>
        <v>0</v>
      </c>
      <c r="AK103" s="686">
        <f t="shared" si="60"/>
        <v>0</v>
      </c>
      <c r="AL103" s="686">
        <f t="shared" si="60"/>
        <v>0</v>
      </c>
      <c r="AM103" s="686">
        <f t="shared" si="60"/>
        <v>0</v>
      </c>
      <c r="AN103" s="686">
        <f t="shared" si="60"/>
        <v>0</v>
      </c>
      <c r="AO103" s="686">
        <f t="shared" si="60"/>
        <v>0</v>
      </c>
    </row>
    <row r="104" spans="1:41" hidden="1">
      <c r="A104" s="672"/>
      <c r="B104" s="675">
        <v>50</v>
      </c>
      <c r="C104" s="686">
        <f t="shared" si="57"/>
        <v>0</v>
      </c>
      <c r="D104" s="686">
        <f t="shared" ref="D104:AO104" si="61">IF(D62=1,D18,0)</f>
        <v>0</v>
      </c>
      <c r="E104" s="686">
        <f t="shared" si="61"/>
        <v>0</v>
      </c>
      <c r="F104" s="686">
        <f t="shared" si="61"/>
        <v>0</v>
      </c>
      <c r="G104" s="686">
        <f t="shared" si="61"/>
        <v>0</v>
      </c>
      <c r="H104" s="686">
        <f t="shared" si="61"/>
        <v>0</v>
      </c>
      <c r="I104" s="686">
        <f t="shared" si="61"/>
        <v>0</v>
      </c>
      <c r="J104" s="686">
        <f t="shared" si="61"/>
        <v>0</v>
      </c>
      <c r="K104" s="686">
        <f t="shared" si="61"/>
        <v>0</v>
      </c>
      <c r="L104" s="686">
        <f t="shared" si="61"/>
        <v>0</v>
      </c>
      <c r="M104" s="686">
        <f t="shared" si="61"/>
        <v>0</v>
      </c>
      <c r="N104" s="686">
        <f t="shared" si="61"/>
        <v>0</v>
      </c>
      <c r="O104" s="686">
        <f t="shared" si="61"/>
        <v>0</v>
      </c>
      <c r="P104" s="686">
        <f t="shared" si="61"/>
        <v>0</v>
      </c>
      <c r="Q104" s="686">
        <f t="shared" si="61"/>
        <v>0</v>
      </c>
      <c r="R104" s="686">
        <f t="shared" si="61"/>
        <v>0</v>
      </c>
      <c r="S104" s="686">
        <f t="shared" si="61"/>
        <v>0</v>
      </c>
      <c r="T104" s="686">
        <f t="shared" si="61"/>
        <v>0</v>
      </c>
      <c r="U104" s="686">
        <f t="shared" si="61"/>
        <v>0</v>
      </c>
      <c r="V104" s="686">
        <f t="shared" si="61"/>
        <v>0</v>
      </c>
      <c r="W104" s="686">
        <f t="shared" si="61"/>
        <v>0</v>
      </c>
      <c r="X104" s="686">
        <f t="shared" si="61"/>
        <v>0</v>
      </c>
      <c r="Y104" s="686">
        <f t="shared" si="61"/>
        <v>0</v>
      </c>
      <c r="Z104" s="686">
        <f t="shared" si="61"/>
        <v>0</v>
      </c>
      <c r="AA104" s="686">
        <f t="shared" si="61"/>
        <v>0</v>
      </c>
      <c r="AB104" s="686">
        <f t="shared" si="61"/>
        <v>0</v>
      </c>
      <c r="AC104" s="686">
        <f t="shared" si="61"/>
        <v>0</v>
      </c>
      <c r="AD104" s="686">
        <f t="shared" si="61"/>
        <v>0</v>
      </c>
      <c r="AE104" s="686">
        <f t="shared" si="61"/>
        <v>0</v>
      </c>
      <c r="AF104" s="686">
        <f t="shared" si="61"/>
        <v>0</v>
      </c>
      <c r="AG104" s="686">
        <f t="shared" si="61"/>
        <v>0</v>
      </c>
      <c r="AH104" s="686">
        <f t="shared" si="61"/>
        <v>0</v>
      </c>
      <c r="AI104" s="686">
        <f t="shared" si="61"/>
        <v>0</v>
      </c>
      <c r="AJ104" s="686">
        <f t="shared" si="61"/>
        <v>0</v>
      </c>
      <c r="AK104" s="686">
        <f t="shared" si="61"/>
        <v>0</v>
      </c>
      <c r="AL104" s="686">
        <f t="shared" si="61"/>
        <v>0</v>
      </c>
      <c r="AM104" s="686">
        <f t="shared" si="61"/>
        <v>0</v>
      </c>
      <c r="AN104" s="686">
        <f t="shared" si="61"/>
        <v>0</v>
      </c>
      <c r="AO104" s="686">
        <f t="shared" si="61"/>
        <v>0</v>
      </c>
    </row>
    <row r="105" spans="1:41" hidden="1">
      <c r="A105" s="672"/>
      <c r="B105" s="676">
        <v>45</v>
      </c>
      <c r="C105" s="686">
        <f t="shared" si="57"/>
        <v>0</v>
      </c>
      <c r="D105" s="686">
        <f t="shared" ref="D105:AO105" si="62">IF(D63=1,D19,0)</f>
        <v>0</v>
      </c>
      <c r="E105" s="686">
        <f t="shared" si="62"/>
        <v>0</v>
      </c>
      <c r="F105" s="686">
        <f t="shared" si="62"/>
        <v>0</v>
      </c>
      <c r="G105" s="686">
        <f t="shared" si="62"/>
        <v>0</v>
      </c>
      <c r="H105" s="686">
        <f t="shared" si="62"/>
        <v>0</v>
      </c>
      <c r="I105" s="686">
        <f t="shared" si="62"/>
        <v>0</v>
      </c>
      <c r="J105" s="686">
        <f t="shared" si="62"/>
        <v>0</v>
      </c>
      <c r="K105" s="686">
        <f t="shared" si="62"/>
        <v>0</v>
      </c>
      <c r="L105" s="686">
        <f t="shared" si="62"/>
        <v>0</v>
      </c>
      <c r="M105" s="686">
        <f t="shared" si="62"/>
        <v>0</v>
      </c>
      <c r="N105" s="686">
        <f t="shared" si="62"/>
        <v>0</v>
      </c>
      <c r="O105" s="686">
        <f t="shared" si="62"/>
        <v>0</v>
      </c>
      <c r="P105" s="686">
        <f t="shared" si="62"/>
        <v>0</v>
      </c>
      <c r="Q105" s="686">
        <f t="shared" si="62"/>
        <v>0</v>
      </c>
      <c r="R105" s="686">
        <f t="shared" si="62"/>
        <v>0</v>
      </c>
      <c r="S105" s="686">
        <f t="shared" si="62"/>
        <v>0</v>
      </c>
      <c r="T105" s="686">
        <f t="shared" si="62"/>
        <v>0</v>
      </c>
      <c r="U105" s="686">
        <f t="shared" si="62"/>
        <v>0</v>
      </c>
      <c r="V105" s="686">
        <f t="shared" si="62"/>
        <v>0</v>
      </c>
      <c r="W105" s="686">
        <f t="shared" si="62"/>
        <v>0</v>
      </c>
      <c r="X105" s="686">
        <f t="shared" si="62"/>
        <v>0</v>
      </c>
      <c r="Y105" s="686">
        <f t="shared" si="62"/>
        <v>0</v>
      </c>
      <c r="Z105" s="686">
        <f t="shared" si="62"/>
        <v>0</v>
      </c>
      <c r="AA105" s="686">
        <f t="shared" si="62"/>
        <v>0</v>
      </c>
      <c r="AB105" s="686">
        <f t="shared" si="62"/>
        <v>0</v>
      </c>
      <c r="AC105" s="686">
        <f t="shared" si="62"/>
        <v>0</v>
      </c>
      <c r="AD105" s="686">
        <f t="shared" si="62"/>
        <v>0</v>
      </c>
      <c r="AE105" s="686">
        <f t="shared" si="62"/>
        <v>0</v>
      </c>
      <c r="AF105" s="686">
        <f t="shared" si="62"/>
        <v>0</v>
      </c>
      <c r="AG105" s="686">
        <f t="shared" si="62"/>
        <v>0</v>
      </c>
      <c r="AH105" s="686">
        <f t="shared" si="62"/>
        <v>0</v>
      </c>
      <c r="AI105" s="686">
        <f t="shared" si="62"/>
        <v>0</v>
      </c>
      <c r="AJ105" s="686">
        <f t="shared" si="62"/>
        <v>0</v>
      </c>
      <c r="AK105" s="686">
        <f t="shared" si="62"/>
        <v>0</v>
      </c>
      <c r="AL105" s="686">
        <f t="shared" si="62"/>
        <v>0</v>
      </c>
      <c r="AM105" s="686">
        <f t="shared" si="62"/>
        <v>0</v>
      </c>
      <c r="AN105" s="686">
        <f t="shared" si="62"/>
        <v>0</v>
      </c>
      <c r="AO105" s="686">
        <f t="shared" si="62"/>
        <v>0</v>
      </c>
    </row>
    <row r="106" spans="1:41" hidden="1">
      <c r="A106" s="672"/>
      <c r="B106" s="675">
        <v>40</v>
      </c>
      <c r="C106" s="686">
        <f t="shared" si="57"/>
        <v>0</v>
      </c>
      <c r="D106" s="686">
        <f t="shared" ref="D106:AO106" si="63">IF(D64=1,D20,0)</f>
        <v>0</v>
      </c>
      <c r="E106" s="686">
        <f t="shared" si="63"/>
        <v>0</v>
      </c>
      <c r="F106" s="686">
        <f t="shared" si="63"/>
        <v>0</v>
      </c>
      <c r="G106" s="686">
        <f t="shared" si="63"/>
        <v>0</v>
      </c>
      <c r="H106" s="686">
        <f t="shared" si="63"/>
        <v>0</v>
      </c>
      <c r="I106" s="686">
        <f t="shared" si="63"/>
        <v>0</v>
      </c>
      <c r="J106" s="686">
        <f t="shared" si="63"/>
        <v>0</v>
      </c>
      <c r="K106" s="686">
        <f t="shared" si="63"/>
        <v>0</v>
      </c>
      <c r="L106" s="686">
        <f t="shared" si="63"/>
        <v>0</v>
      </c>
      <c r="M106" s="686">
        <f t="shared" si="63"/>
        <v>0</v>
      </c>
      <c r="N106" s="686">
        <f t="shared" si="63"/>
        <v>0</v>
      </c>
      <c r="O106" s="686">
        <f t="shared" si="63"/>
        <v>0</v>
      </c>
      <c r="P106" s="686">
        <f t="shared" si="63"/>
        <v>0</v>
      </c>
      <c r="Q106" s="686">
        <f t="shared" si="63"/>
        <v>0</v>
      </c>
      <c r="R106" s="686">
        <f t="shared" si="63"/>
        <v>0</v>
      </c>
      <c r="S106" s="686">
        <f t="shared" si="63"/>
        <v>0</v>
      </c>
      <c r="T106" s="686">
        <f t="shared" si="63"/>
        <v>0</v>
      </c>
      <c r="U106" s="686">
        <f t="shared" si="63"/>
        <v>0</v>
      </c>
      <c r="V106" s="686">
        <f t="shared" si="63"/>
        <v>0</v>
      </c>
      <c r="W106" s="686">
        <f t="shared" si="63"/>
        <v>0</v>
      </c>
      <c r="X106" s="686">
        <f t="shared" si="63"/>
        <v>0</v>
      </c>
      <c r="Y106" s="686">
        <f t="shared" si="63"/>
        <v>0</v>
      </c>
      <c r="Z106" s="686">
        <f t="shared" si="63"/>
        <v>0</v>
      </c>
      <c r="AA106" s="686">
        <f t="shared" si="63"/>
        <v>0</v>
      </c>
      <c r="AB106" s="686">
        <f t="shared" si="63"/>
        <v>0</v>
      </c>
      <c r="AC106" s="686">
        <f t="shared" si="63"/>
        <v>0</v>
      </c>
      <c r="AD106" s="686">
        <f t="shared" si="63"/>
        <v>0</v>
      </c>
      <c r="AE106" s="686">
        <f t="shared" si="63"/>
        <v>0</v>
      </c>
      <c r="AF106" s="686">
        <f t="shared" si="63"/>
        <v>0</v>
      </c>
      <c r="AG106" s="686">
        <f t="shared" si="63"/>
        <v>0</v>
      </c>
      <c r="AH106" s="686">
        <f t="shared" si="63"/>
        <v>0</v>
      </c>
      <c r="AI106" s="686">
        <f t="shared" si="63"/>
        <v>0</v>
      </c>
      <c r="AJ106" s="686">
        <f t="shared" si="63"/>
        <v>0</v>
      </c>
      <c r="AK106" s="686">
        <f t="shared" si="63"/>
        <v>0</v>
      </c>
      <c r="AL106" s="686">
        <f t="shared" si="63"/>
        <v>0</v>
      </c>
      <c r="AM106" s="686">
        <f t="shared" si="63"/>
        <v>0</v>
      </c>
      <c r="AN106" s="686">
        <f t="shared" si="63"/>
        <v>0</v>
      </c>
      <c r="AO106" s="686">
        <f t="shared" si="63"/>
        <v>0</v>
      </c>
    </row>
    <row r="107" spans="1:41" hidden="1">
      <c r="A107" s="672"/>
      <c r="B107" s="676">
        <v>35</v>
      </c>
      <c r="C107" s="686">
        <f t="shared" si="57"/>
        <v>0</v>
      </c>
      <c r="D107" s="686">
        <f t="shared" ref="D107:AO107" si="64">IF(D65=1,D21,0)</f>
        <v>0</v>
      </c>
      <c r="E107" s="686">
        <f t="shared" si="64"/>
        <v>0</v>
      </c>
      <c r="F107" s="686">
        <f t="shared" si="64"/>
        <v>0</v>
      </c>
      <c r="G107" s="686">
        <f t="shared" si="64"/>
        <v>0</v>
      </c>
      <c r="H107" s="686">
        <f t="shared" si="64"/>
        <v>0</v>
      </c>
      <c r="I107" s="686">
        <f t="shared" si="64"/>
        <v>0</v>
      </c>
      <c r="J107" s="686">
        <f t="shared" si="64"/>
        <v>0</v>
      </c>
      <c r="K107" s="686">
        <f t="shared" si="64"/>
        <v>0</v>
      </c>
      <c r="L107" s="686">
        <f t="shared" si="64"/>
        <v>0</v>
      </c>
      <c r="M107" s="686">
        <f t="shared" si="64"/>
        <v>0</v>
      </c>
      <c r="N107" s="686">
        <f t="shared" si="64"/>
        <v>0</v>
      </c>
      <c r="O107" s="686">
        <f t="shared" si="64"/>
        <v>0</v>
      </c>
      <c r="P107" s="686">
        <f t="shared" si="64"/>
        <v>0</v>
      </c>
      <c r="Q107" s="686">
        <f t="shared" si="64"/>
        <v>0</v>
      </c>
      <c r="R107" s="686">
        <f t="shared" si="64"/>
        <v>0</v>
      </c>
      <c r="S107" s="686">
        <f t="shared" si="64"/>
        <v>0</v>
      </c>
      <c r="T107" s="686">
        <f t="shared" si="64"/>
        <v>0</v>
      </c>
      <c r="U107" s="686">
        <f t="shared" si="64"/>
        <v>0</v>
      </c>
      <c r="V107" s="686">
        <f t="shared" si="64"/>
        <v>0</v>
      </c>
      <c r="W107" s="686">
        <f t="shared" si="64"/>
        <v>0</v>
      </c>
      <c r="X107" s="686">
        <f t="shared" si="64"/>
        <v>0</v>
      </c>
      <c r="Y107" s="686">
        <f t="shared" si="64"/>
        <v>0</v>
      </c>
      <c r="Z107" s="686">
        <f t="shared" si="64"/>
        <v>0</v>
      </c>
      <c r="AA107" s="686">
        <f t="shared" si="64"/>
        <v>0</v>
      </c>
      <c r="AB107" s="686">
        <f t="shared" si="64"/>
        <v>0</v>
      </c>
      <c r="AC107" s="686">
        <f t="shared" si="64"/>
        <v>0</v>
      </c>
      <c r="AD107" s="686">
        <f t="shared" si="64"/>
        <v>0</v>
      </c>
      <c r="AE107" s="686">
        <f t="shared" si="64"/>
        <v>0</v>
      </c>
      <c r="AF107" s="686">
        <f t="shared" si="64"/>
        <v>0</v>
      </c>
      <c r="AG107" s="686">
        <f t="shared" si="64"/>
        <v>0</v>
      </c>
      <c r="AH107" s="686">
        <f t="shared" si="64"/>
        <v>0</v>
      </c>
      <c r="AI107" s="686">
        <f t="shared" si="64"/>
        <v>0</v>
      </c>
      <c r="AJ107" s="686">
        <f t="shared" si="64"/>
        <v>0</v>
      </c>
      <c r="AK107" s="686">
        <f t="shared" si="64"/>
        <v>0</v>
      </c>
      <c r="AL107" s="686">
        <f t="shared" si="64"/>
        <v>0</v>
      </c>
      <c r="AM107" s="686">
        <f t="shared" si="64"/>
        <v>0</v>
      </c>
      <c r="AN107" s="686">
        <f t="shared" si="64"/>
        <v>0</v>
      </c>
      <c r="AO107" s="686">
        <f t="shared" si="64"/>
        <v>0</v>
      </c>
    </row>
    <row r="108" spans="1:41" hidden="1">
      <c r="A108" s="672"/>
      <c r="B108" s="675">
        <v>30</v>
      </c>
      <c r="C108" s="686">
        <f t="shared" si="57"/>
        <v>0</v>
      </c>
      <c r="D108" s="686">
        <f t="shared" ref="D108:AO108" si="65">IF(D66=1,D22,0)</f>
        <v>0</v>
      </c>
      <c r="E108" s="686">
        <f t="shared" si="65"/>
        <v>0</v>
      </c>
      <c r="F108" s="686">
        <f t="shared" si="65"/>
        <v>0</v>
      </c>
      <c r="G108" s="686">
        <f t="shared" si="65"/>
        <v>0</v>
      </c>
      <c r="H108" s="686">
        <f t="shared" si="65"/>
        <v>0</v>
      </c>
      <c r="I108" s="686">
        <f t="shared" si="65"/>
        <v>0</v>
      </c>
      <c r="J108" s="686">
        <f t="shared" si="65"/>
        <v>0</v>
      </c>
      <c r="K108" s="686">
        <f t="shared" si="65"/>
        <v>0</v>
      </c>
      <c r="L108" s="686">
        <f t="shared" si="65"/>
        <v>0</v>
      </c>
      <c r="M108" s="686">
        <f t="shared" si="65"/>
        <v>0</v>
      </c>
      <c r="N108" s="686">
        <f t="shared" si="65"/>
        <v>0</v>
      </c>
      <c r="O108" s="686">
        <f t="shared" si="65"/>
        <v>0</v>
      </c>
      <c r="P108" s="686">
        <f t="shared" si="65"/>
        <v>0</v>
      </c>
      <c r="Q108" s="686">
        <f t="shared" si="65"/>
        <v>0</v>
      </c>
      <c r="R108" s="686">
        <f t="shared" si="65"/>
        <v>0</v>
      </c>
      <c r="S108" s="686">
        <f t="shared" si="65"/>
        <v>0</v>
      </c>
      <c r="T108" s="686">
        <f t="shared" si="65"/>
        <v>0</v>
      </c>
      <c r="U108" s="686">
        <f t="shared" si="65"/>
        <v>0</v>
      </c>
      <c r="V108" s="686">
        <f t="shared" si="65"/>
        <v>0</v>
      </c>
      <c r="W108" s="686">
        <f t="shared" si="65"/>
        <v>0</v>
      </c>
      <c r="X108" s="686">
        <f t="shared" si="65"/>
        <v>0</v>
      </c>
      <c r="Y108" s="686">
        <f t="shared" si="65"/>
        <v>0</v>
      </c>
      <c r="Z108" s="686">
        <f t="shared" si="65"/>
        <v>0</v>
      </c>
      <c r="AA108" s="686">
        <f t="shared" si="65"/>
        <v>0</v>
      </c>
      <c r="AB108" s="686">
        <f t="shared" si="65"/>
        <v>0</v>
      </c>
      <c r="AC108" s="686">
        <f t="shared" si="65"/>
        <v>0</v>
      </c>
      <c r="AD108" s="686">
        <f t="shared" si="65"/>
        <v>0</v>
      </c>
      <c r="AE108" s="686">
        <f t="shared" si="65"/>
        <v>0</v>
      </c>
      <c r="AF108" s="686">
        <f t="shared" si="65"/>
        <v>0</v>
      </c>
      <c r="AG108" s="686">
        <f t="shared" si="65"/>
        <v>0</v>
      </c>
      <c r="AH108" s="686">
        <f t="shared" si="65"/>
        <v>0</v>
      </c>
      <c r="AI108" s="686">
        <f t="shared" si="65"/>
        <v>0</v>
      </c>
      <c r="AJ108" s="686">
        <f t="shared" si="65"/>
        <v>0</v>
      </c>
      <c r="AK108" s="686">
        <f t="shared" si="65"/>
        <v>0</v>
      </c>
      <c r="AL108" s="686">
        <f t="shared" si="65"/>
        <v>0</v>
      </c>
      <c r="AM108" s="686">
        <f t="shared" si="65"/>
        <v>0</v>
      </c>
      <c r="AN108" s="686">
        <f t="shared" si="65"/>
        <v>0</v>
      </c>
      <c r="AO108" s="686">
        <f t="shared" si="65"/>
        <v>0</v>
      </c>
    </row>
    <row r="109" spans="1:41" hidden="1">
      <c r="A109" s="672"/>
      <c r="B109" s="676">
        <v>25</v>
      </c>
      <c r="C109" s="686">
        <f t="shared" si="57"/>
        <v>0</v>
      </c>
      <c r="D109" s="686">
        <f t="shared" ref="D109:AO109" si="66">IF(D67=1,D23,0)</f>
        <v>0</v>
      </c>
      <c r="E109" s="686">
        <f t="shared" si="66"/>
        <v>0</v>
      </c>
      <c r="F109" s="686">
        <f t="shared" si="66"/>
        <v>0</v>
      </c>
      <c r="G109" s="686">
        <f t="shared" si="66"/>
        <v>0</v>
      </c>
      <c r="H109" s="686">
        <f t="shared" si="66"/>
        <v>0</v>
      </c>
      <c r="I109" s="686">
        <f t="shared" si="66"/>
        <v>0</v>
      </c>
      <c r="J109" s="686">
        <f t="shared" si="66"/>
        <v>0</v>
      </c>
      <c r="K109" s="686">
        <f t="shared" si="66"/>
        <v>0</v>
      </c>
      <c r="L109" s="686">
        <f t="shared" si="66"/>
        <v>0</v>
      </c>
      <c r="M109" s="686">
        <f t="shared" si="66"/>
        <v>0</v>
      </c>
      <c r="N109" s="686">
        <f t="shared" si="66"/>
        <v>0</v>
      </c>
      <c r="O109" s="686">
        <f t="shared" si="66"/>
        <v>0</v>
      </c>
      <c r="P109" s="686">
        <f t="shared" si="66"/>
        <v>0</v>
      </c>
      <c r="Q109" s="686">
        <f t="shared" si="66"/>
        <v>0</v>
      </c>
      <c r="R109" s="686">
        <f t="shared" si="66"/>
        <v>0</v>
      </c>
      <c r="S109" s="686">
        <f t="shared" si="66"/>
        <v>0</v>
      </c>
      <c r="T109" s="686">
        <f t="shared" si="66"/>
        <v>0</v>
      </c>
      <c r="U109" s="686">
        <f t="shared" si="66"/>
        <v>0</v>
      </c>
      <c r="V109" s="686">
        <f t="shared" si="66"/>
        <v>0</v>
      </c>
      <c r="W109" s="686">
        <f t="shared" si="66"/>
        <v>0</v>
      </c>
      <c r="X109" s="686">
        <f t="shared" si="66"/>
        <v>0</v>
      </c>
      <c r="Y109" s="686">
        <f t="shared" si="66"/>
        <v>0</v>
      </c>
      <c r="Z109" s="686">
        <f t="shared" si="66"/>
        <v>0</v>
      </c>
      <c r="AA109" s="686">
        <f t="shared" si="66"/>
        <v>0</v>
      </c>
      <c r="AB109" s="686">
        <f t="shared" si="66"/>
        <v>0</v>
      </c>
      <c r="AC109" s="686">
        <f t="shared" si="66"/>
        <v>0</v>
      </c>
      <c r="AD109" s="686">
        <f t="shared" si="66"/>
        <v>0</v>
      </c>
      <c r="AE109" s="686">
        <f t="shared" si="66"/>
        <v>0</v>
      </c>
      <c r="AF109" s="686">
        <f t="shared" si="66"/>
        <v>0</v>
      </c>
      <c r="AG109" s="686">
        <f t="shared" si="66"/>
        <v>0</v>
      </c>
      <c r="AH109" s="686">
        <f t="shared" si="66"/>
        <v>0</v>
      </c>
      <c r="AI109" s="686">
        <f t="shared" si="66"/>
        <v>0</v>
      </c>
      <c r="AJ109" s="686">
        <f t="shared" si="66"/>
        <v>0</v>
      </c>
      <c r="AK109" s="686">
        <f t="shared" si="66"/>
        <v>0</v>
      </c>
      <c r="AL109" s="686">
        <f t="shared" si="66"/>
        <v>0</v>
      </c>
      <c r="AM109" s="686">
        <f t="shared" si="66"/>
        <v>0</v>
      </c>
      <c r="AN109" s="686">
        <f t="shared" si="66"/>
        <v>0</v>
      </c>
      <c r="AO109" s="686">
        <f t="shared" si="66"/>
        <v>0</v>
      </c>
    </row>
    <row r="110" spans="1:41" hidden="1">
      <c r="A110" s="672"/>
      <c r="B110" s="675">
        <v>20</v>
      </c>
      <c r="C110" s="686">
        <f t="shared" si="57"/>
        <v>0</v>
      </c>
      <c r="D110" s="686">
        <f t="shared" ref="D110:AO110" si="67">IF(D68=1,D24,0)</f>
        <v>0</v>
      </c>
      <c r="E110" s="686">
        <f t="shared" si="67"/>
        <v>0</v>
      </c>
      <c r="F110" s="686">
        <f t="shared" si="67"/>
        <v>0</v>
      </c>
      <c r="G110" s="686">
        <f t="shared" si="67"/>
        <v>0</v>
      </c>
      <c r="H110" s="686">
        <f t="shared" si="67"/>
        <v>0</v>
      </c>
      <c r="I110" s="686">
        <f t="shared" si="67"/>
        <v>0</v>
      </c>
      <c r="J110" s="686">
        <f t="shared" si="67"/>
        <v>0</v>
      </c>
      <c r="K110" s="686">
        <f t="shared" si="67"/>
        <v>0</v>
      </c>
      <c r="L110" s="686">
        <f t="shared" si="67"/>
        <v>0</v>
      </c>
      <c r="M110" s="686">
        <f t="shared" si="67"/>
        <v>0</v>
      </c>
      <c r="N110" s="686">
        <f t="shared" si="67"/>
        <v>0</v>
      </c>
      <c r="O110" s="686">
        <f t="shared" si="67"/>
        <v>0</v>
      </c>
      <c r="P110" s="686">
        <f t="shared" si="67"/>
        <v>0</v>
      </c>
      <c r="Q110" s="686">
        <f t="shared" si="67"/>
        <v>0</v>
      </c>
      <c r="R110" s="686">
        <f t="shared" si="67"/>
        <v>0</v>
      </c>
      <c r="S110" s="686">
        <f t="shared" si="67"/>
        <v>0</v>
      </c>
      <c r="T110" s="686">
        <f t="shared" si="67"/>
        <v>0</v>
      </c>
      <c r="U110" s="686">
        <f t="shared" si="67"/>
        <v>0</v>
      </c>
      <c r="V110" s="686">
        <f t="shared" si="67"/>
        <v>0</v>
      </c>
      <c r="W110" s="686">
        <f t="shared" si="67"/>
        <v>0</v>
      </c>
      <c r="X110" s="686">
        <f t="shared" si="67"/>
        <v>0</v>
      </c>
      <c r="Y110" s="686">
        <f t="shared" si="67"/>
        <v>0</v>
      </c>
      <c r="Z110" s="686">
        <f t="shared" si="67"/>
        <v>0</v>
      </c>
      <c r="AA110" s="686">
        <f t="shared" si="67"/>
        <v>0</v>
      </c>
      <c r="AB110" s="686">
        <f t="shared" si="67"/>
        <v>0</v>
      </c>
      <c r="AC110" s="686">
        <f t="shared" si="67"/>
        <v>0</v>
      </c>
      <c r="AD110" s="686">
        <f t="shared" si="67"/>
        <v>0</v>
      </c>
      <c r="AE110" s="686">
        <f t="shared" si="67"/>
        <v>0</v>
      </c>
      <c r="AF110" s="686">
        <f t="shared" si="67"/>
        <v>0</v>
      </c>
      <c r="AG110" s="686">
        <f t="shared" si="67"/>
        <v>0</v>
      </c>
      <c r="AH110" s="686">
        <f t="shared" si="67"/>
        <v>0</v>
      </c>
      <c r="AI110" s="686">
        <f t="shared" si="67"/>
        <v>0</v>
      </c>
      <c r="AJ110" s="686">
        <f t="shared" si="67"/>
        <v>0</v>
      </c>
      <c r="AK110" s="686">
        <f t="shared" si="67"/>
        <v>0</v>
      </c>
      <c r="AL110" s="686">
        <f t="shared" si="67"/>
        <v>0</v>
      </c>
      <c r="AM110" s="686">
        <f t="shared" si="67"/>
        <v>0</v>
      </c>
      <c r="AN110" s="686">
        <f t="shared" si="67"/>
        <v>0</v>
      </c>
      <c r="AO110" s="686">
        <f t="shared" si="67"/>
        <v>0</v>
      </c>
    </row>
    <row r="111" spans="1:41" hidden="1">
      <c r="A111" s="672"/>
      <c r="B111" s="676">
        <v>15</v>
      </c>
      <c r="C111" s="686">
        <f t="shared" si="57"/>
        <v>0</v>
      </c>
      <c r="D111" s="686">
        <f t="shared" ref="D111:AO111" si="68">IF(D69=1,D25,0)</f>
        <v>0</v>
      </c>
      <c r="E111" s="686">
        <f t="shared" si="68"/>
        <v>0</v>
      </c>
      <c r="F111" s="686">
        <f t="shared" si="68"/>
        <v>0</v>
      </c>
      <c r="G111" s="686">
        <f t="shared" si="68"/>
        <v>0</v>
      </c>
      <c r="H111" s="686">
        <f t="shared" si="68"/>
        <v>0</v>
      </c>
      <c r="I111" s="686">
        <f t="shared" si="68"/>
        <v>0</v>
      </c>
      <c r="J111" s="686">
        <f t="shared" si="68"/>
        <v>0</v>
      </c>
      <c r="K111" s="686">
        <f t="shared" si="68"/>
        <v>0</v>
      </c>
      <c r="L111" s="686">
        <f t="shared" si="68"/>
        <v>0</v>
      </c>
      <c r="M111" s="686">
        <f t="shared" si="68"/>
        <v>0</v>
      </c>
      <c r="N111" s="686">
        <f t="shared" si="68"/>
        <v>0</v>
      </c>
      <c r="O111" s="686">
        <f t="shared" si="68"/>
        <v>0</v>
      </c>
      <c r="P111" s="686">
        <f t="shared" si="68"/>
        <v>0</v>
      </c>
      <c r="Q111" s="686">
        <f t="shared" si="68"/>
        <v>0</v>
      </c>
      <c r="R111" s="686">
        <f t="shared" si="68"/>
        <v>0</v>
      </c>
      <c r="S111" s="686">
        <f t="shared" si="68"/>
        <v>0</v>
      </c>
      <c r="T111" s="686">
        <f t="shared" si="68"/>
        <v>0</v>
      </c>
      <c r="U111" s="686">
        <f t="shared" si="68"/>
        <v>0</v>
      </c>
      <c r="V111" s="686">
        <f t="shared" si="68"/>
        <v>0</v>
      </c>
      <c r="W111" s="686">
        <f t="shared" si="68"/>
        <v>0</v>
      </c>
      <c r="X111" s="686">
        <f t="shared" si="68"/>
        <v>0</v>
      </c>
      <c r="Y111" s="686">
        <f t="shared" si="68"/>
        <v>0</v>
      </c>
      <c r="Z111" s="686">
        <f t="shared" si="68"/>
        <v>0</v>
      </c>
      <c r="AA111" s="686">
        <f t="shared" si="68"/>
        <v>0</v>
      </c>
      <c r="AB111" s="686">
        <f t="shared" si="68"/>
        <v>0</v>
      </c>
      <c r="AC111" s="686">
        <f t="shared" si="68"/>
        <v>0</v>
      </c>
      <c r="AD111" s="686">
        <f t="shared" si="68"/>
        <v>0</v>
      </c>
      <c r="AE111" s="686">
        <f t="shared" si="68"/>
        <v>0</v>
      </c>
      <c r="AF111" s="686">
        <f t="shared" si="68"/>
        <v>0</v>
      </c>
      <c r="AG111" s="686">
        <f t="shared" si="68"/>
        <v>0</v>
      </c>
      <c r="AH111" s="686">
        <f t="shared" si="68"/>
        <v>0</v>
      </c>
      <c r="AI111" s="686">
        <f t="shared" si="68"/>
        <v>0</v>
      </c>
      <c r="AJ111" s="686">
        <f t="shared" si="68"/>
        <v>0</v>
      </c>
      <c r="AK111" s="686">
        <f t="shared" si="68"/>
        <v>0</v>
      </c>
      <c r="AL111" s="686">
        <f t="shared" si="68"/>
        <v>0</v>
      </c>
      <c r="AM111" s="686">
        <f t="shared" si="68"/>
        <v>0</v>
      </c>
      <c r="AN111" s="686">
        <f t="shared" si="68"/>
        <v>0</v>
      </c>
      <c r="AO111" s="686">
        <f t="shared" si="68"/>
        <v>0</v>
      </c>
    </row>
    <row r="112" spans="1:41" hidden="1">
      <c r="A112" s="672"/>
      <c r="B112" s="675">
        <v>10</v>
      </c>
      <c r="C112" s="686">
        <f>IF(C70=1,C26,0)</f>
        <v>0</v>
      </c>
      <c r="D112" s="686">
        <f t="shared" ref="D112:AO112" si="69">IF(D70=1,D26,0)</f>
        <v>0</v>
      </c>
      <c r="E112" s="686">
        <f t="shared" si="69"/>
        <v>0</v>
      </c>
      <c r="F112" s="686">
        <f t="shared" si="69"/>
        <v>0</v>
      </c>
      <c r="G112" s="686">
        <f t="shared" si="69"/>
        <v>0</v>
      </c>
      <c r="H112" s="686">
        <f t="shared" si="69"/>
        <v>0</v>
      </c>
      <c r="I112" s="686">
        <f t="shared" si="69"/>
        <v>0</v>
      </c>
      <c r="J112" s="686">
        <f t="shared" si="69"/>
        <v>0</v>
      </c>
      <c r="K112" s="686">
        <f t="shared" si="69"/>
        <v>0</v>
      </c>
      <c r="L112" s="686">
        <f t="shared" si="69"/>
        <v>0</v>
      </c>
      <c r="M112" s="686">
        <f t="shared" si="69"/>
        <v>0</v>
      </c>
      <c r="N112" s="686">
        <f t="shared" si="69"/>
        <v>0</v>
      </c>
      <c r="O112" s="686">
        <f t="shared" si="69"/>
        <v>0</v>
      </c>
      <c r="P112" s="686">
        <f t="shared" si="69"/>
        <v>0</v>
      </c>
      <c r="Q112" s="686">
        <f t="shared" si="69"/>
        <v>0</v>
      </c>
      <c r="R112" s="686">
        <f t="shared" si="69"/>
        <v>0</v>
      </c>
      <c r="S112" s="686">
        <f t="shared" si="69"/>
        <v>0</v>
      </c>
      <c r="T112" s="686">
        <f t="shared" si="69"/>
        <v>0</v>
      </c>
      <c r="U112" s="686">
        <f t="shared" si="69"/>
        <v>0</v>
      </c>
      <c r="V112" s="686">
        <f t="shared" si="69"/>
        <v>0</v>
      </c>
      <c r="W112" s="686">
        <f t="shared" si="69"/>
        <v>0</v>
      </c>
      <c r="X112" s="686">
        <f t="shared" si="69"/>
        <v>0</v>
      </c>
      <c r="Y112" s="686">
        <f t="shared" si="69"/>
        <v>0</v>
      </c>
      <c r="Z112" s="686">
        <f t="shared" si="69"/>
        <v>0</v>
      </c>
      <c r="AA112" s="686">
        <f t="shared" si="69"/>
        <v>0</v>
      </c>
      <c r="AB112" s="686">
        <f t="shared" si="69"/>
        <v>0</v>
      </c>
      <c r="AC112" s="686">
        <f t="shared" si="69"/>
        <v>0</v>
      </c>
      <c r="AD112" s="686">
        <f t="shared" si="69"/>
        <v>0</v>
      </c>
      <c r="AE112" s="686">
        <f t="shared" si="69"/>
        <v>0</v>
      </c>
      <c r="AF112" s="686">
        <f t="shared" si="69"/>
        <v>0</v>
      </c>
      <c r="AG112" s="686">
        <f t="shared" si="69"/>
        <v>0</v>
      </c>
      <c r="AH112" s="686">
        <f t="shared" si="69"/>
        <v>0</v>
      </c>
      <c r="AI112" s="686">
        <f t="shared" si="69"/>
        <v>0</v>
      </c>
      <c r="AJ112" s="686">
        <f t="shared" si="69"/>
        <v>0</v>
      </c>
      <c r="AK112" s="686">
        <f t="shared" si="69"/>
        <v>0</v>
      </c>
      <c r="AL112" s="686">
        <f t="shared" si="69"/>
        <v>0</v>
      </c>
      <c r="AM112" s="686">
        <f t="shared" si="69"/>
        <v>0</v>
      </c>
      <c r="AN112" s="686">
        <f t="shared" si="69"/>
        <v>0</v>
      </c>
      <c r="AO112" s="686">
        <f t="shared" si="69"/>
        <v>0</v>
      </c>
    </row>
    <row r="113" spans="1:41" hidden="1">
      <c r="A113" s="672"/>
      <c r="B113" s="677"/>
      <c r="C113" s="681">
        <f>SUM(C94:C112)</f>
        <v>0</v>
      </c>
      <c r="D113" s="681">
        <f t="shared" ref="D113:AO113" si="70">SUM(D94:D112)</f>
        <v>0</v>
      </c>
      <c r="E113" s="681">
        <f t="shared" si="70"/>
        <v>0</v>
      </c>
      <c r="F113" s="681">
        <f t="shared" si="70"/>
        <v>0</v>
      </c>
      <c r="G113" s="681">
        <f t="shared" si="70"/>
        <v>0</v>
      </c>
      <c r="H113" s="681">
        <f t="shared" si="70"/>
        <v>0</v>
      </c>
      <c r="I113" s="681">
        <f t="shared" si="70"/>
        <v>0</v>
      </c>
      <c r="J113" s="681">
        <f t="shared" si="70"/>
        <v>0</v>
      </c>
      <c r="K113" s="681">
        <f t="shared" si="70"/>
        <v>0</v>
      </c>
      <c r="L113" s="681">
        <f t="shared" si="70"/>
        <v>0</v>
      </c>
      <c r="M113" s="681">
        <f t="shared" si="70"/>
        <v>0</v>
      </c>
      <c r="N113" s="681">
        <f t="shared" si="70"/>
        <v>0</v>
      </c>
      <c r="O113" s="681">
        <f t="shared" si="70"/>
        <v>0</v>
      </c>
      <c r="P113" s="681">
        <f t="shared" si="70"/>
        <v>7</v>
      </c>
      <c r="Q113" s="681">
        <f t="shared" si="70"/>
        <v>12</v>
      </c>
      <c r="R113" s="681">
        <f t="shared" si="70"/>
        <v>1</v>
      </c>
      <c r="S113" s="681">
        <f t="shared" si="70"/>
        <v>0</v>
      </c>
      <c r="T113" s="681">
        <f t="shared" si="70"/>
        <v>0</v>
      </c>
      <c r="U113" s="681">
        <f t="shared" si="70"/>
        <v>0</v>
      </c>
      <c r="V113" s="681">
        <f t="shared" si="70"/>
        <v>0</v>
      </c>
      <c r="W113" s="681">
        <f t="shared" si="70"/>
        <v>0</v>
      </c>
      <c r="X113" s="681">
        <f t="shared" si="70"/>
        <v>0</v>
      </c>
      <c r="Y113" s="681">
        <f t="shared" si="70"/>
        <v>0</v>
      </c>
      <c r="Z113" s="681">
        <f t="shared" si="70"/>
        <v>0</v>
      </c>
      <c r="AA113" s="681">
        <f t="shared" si="70"/>
        <v>0</v>
      </c>
      <c r="AB113" s="681">
        <f t="shared" si="70"/>
        <v>0</v>
      </c>
      <c r="AC113" s="681">
        <f t="shared" si="70"/>
        <v>0</v>
      </c>
      <c r="AD113" s="681">
        <f t="shared" si="70"/>
        <v>0</v>
      </c>
      <c r="AE113" s="681">
        <f t="shared" si="70"/>
        <v>0</v>
      </c>
      <c r="AF113" s="681">
        <f t="shared" si="70"/>
        <v>0</v>
      </c>
      <c r="AG113" s="681">
        <f t="shared" si="70"/>
        <v>0</v>
      </c>
      <c r="AH113" s="681">
        <f t="shared" si="70"/>
        <v>0</v>
      </c>
      <c r="AI113" s="681">
        <f t="shared" si="70"/>
        <v>0</v>
      </c>
      <c r="AJ113" s="681">
        <f t="shared" si="70"/>
        <v>1</v>
      </c>
      <c r="AK113" s="681">
        <f t="shared" si="70"/>
        <v>0</v>
      </c>
      <c r="AL113" s="681">
        <f t="shared" si="70"/>
        <v>0</v>
      </c>
      <c r="AM113" s="681">
        <f t="shared" si="70"/>
        <v>0</v>
      </c>
      <c r="AN113" s="681">
        <f t="shared" si="70"/>
        <v>0</v>
      </c>
      <c r="AO113" s="681">
        <f t="shared" si="70"/>
        <v>0</v>
      </c>
    </row>
    <row r="114" spans="1:41" hidden="1">
      <c r="A114" s="672"/>
      <c r="B114" s="677"/>
      <c r="C114" s="680"/>
      <c r="D114" s="680"/>
      <c r="E114" s="680"/>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c r="AI114" s="680"/>
      <c r="AJ114" s="680"/>
      <c r="AK114" s="680"/>
      <c r="AL114" s="680"/>
      <c r="AM114" s="680"/>
      <c r="AN114" s="680"/>
      <c r="AO114" s="680"/>
    </row>
    <row r="115" spans="1:41" ht="24">
      <c r="A115" s="672" t="s">
        <v>894</v>
      </c>
      <c r="B115" s="677" t="s">
        <v>895</v>
      </c>
      <c r="C115" s="681">
        <f>C92</f>
        <v>50</v>
      </c>
      <c r="D115" s="681">
        <f t="shared" ref="D115:AO115" si="71">D92</f>
        <v>50</v>
      </c>
      <c r="E115" s="681">
        <f t="shared" si="71"/>
        <v>50</v>
      </c>
      <c r="F115" s="681">
        <f t="shared" si="71"/>
        <v>0</v>
      </c>
      <c r="G115" s="681">
        <f t="shared" si="71"/>
        <v>0</v>
      </c>
      <c r="H115" s="681">
        <f t="shared" si="71"/>
        <v>1</v>
      </c>
      <c r="I115" s="681">
        <f t="shared" si="71"/>
        <v>2</v>
      </c>
      <c r="J115" s="681">
        <f t="shared" si="71"/>
        <v>0</v>
      </c>
      <c r="K115" s="681">
        <f t="shared" si="71"/>
        <v>0</v>
      </c>
      <c r="L115" s="681">
        <f t="shared" si="71"/>
        <v>0</v>
      </c>
      <c r="M115" s="681">
        <f t="shared" si="71"/>
        <v>0</v>
      </c>
      <c r="N115" s="681">
        <f t="shared" si="71"/>
        <v>0</v>
      </c>
      <c r="O115" s="681">
        <f t="shared" si="71"/>
        <v>0</v>
      </c>
      <c r="P115" s="681">
        <f t="shared" si="71"/>
        <v>42</v>
      </c>
      <c r="Q115" s="681">
        <f t="shared" si="71"/>
        <v>37</v>
      </c>
      <c r="R115" s="681">
        <f t="shared" si="71"/>
        <v>1</v>
      </c>
      <c r="S115" s="681">
        <f t="shared" si="71"/>
        <v>2</v>
      </c>
      <c r="T115" s="681">
        <f t="shared" si="71"/>
        <v>1</v>
      </c>
      <c r="U115" s="681">
        <f t="shared" si="71"/>
        <v>0</v>
      </c>
      <c r="V115" s="681">
        <f t="shared" si="71"/>
        <v>0</v>
      </c>
      <c r="W115" s="681">
        <f t="shared" si="71"/>
        <v>0</v>
      </c>
      <c r="X115" s="681">
        <f t="shared" si="71"/>
        <v>2</v>
      </c>
      <c r="Y115" s="681">
        <f t="shared" si="71"/>
        <v>49</v>
      </c>
      <c r="Z115" s="681">
        <f t="shared" si="71"/>
        <v>49</v>
      </c>
      <c r="AA115" s="681">
        <f t="shared" si="71"/>
        <v>0</v>
      </c>
      <c r="AB115" s="681">
        <f t="shared" si="71"/>
        <v>0</v>
      </c>
      <c r="AC115" s="681">
        <f t="shared" si="71"/>
        <v>0</v>
      </c>
      <c r="AD115" s="681">
        <f t="shared" si="71"/>
        <v>2</v>
      </c>
      <c r="AE115" s="681">
        <f t="shared" si="71"/>
        <v>49</v>
      </c>
      <c r="AF115" s="681">
        <f t="shared" si="71"/>
        <v>49</v>
      </c>
      <c r="AG115" s="681">
        <f t="shared" si="71"/>
        <v>2</v>
      </c>
      <c r="AH115" s="681">
        <f t="shared" si="71"/>
        <v>0</v>
      </c>
      <c r="AI115" s="681">
        <f t="shared" si="71"/>
        <v>0</v>
      </c>
      <c r="AJ115" s="681">
        <f t="shared" si="71"/>
        <v>49</v>
      </c>
      <c r="AK115" s="681">
        <f t="shared" si="71"/>
        <v>49</v>
      </c>
      <c r="AL115" s="681">
        <f t="shared" si="71"/>
        <v>0</v>
      </c>
      <c r="AM115" s="681">
        <f t="shared" si="71"/>
        <v>0</v>
      </c>
      <c r="AN115" s="681">
        <f t="shared" si="71"/>
        <v>0</v>
      </c>
      <c r="AO115" s="681">
        <f t="shared" si="71"/>
        <v>0</v>
      </c>
    </row>
    <row r="116" spans="1:41" ht="24">
      <c r="A116" s="672" t="s">
        <v>896</v>
      </c>
      <c r="B116" s="677" t="s">
        <v>897</v>
      </c>
      <c r="C116" s="690">
        <f>C27-C115-C117</f>
        <v>0</v>
      </c>
      <c r="D116" s="690">
        <f t="shared" ref="D116:AO116" si="72">D27-D115-D117</f>
        <v>0</v>
      </c>
      <c r="E116" s="690">
        <f t="shared" si="72"/>
        <v>0</v>
      </c>
      <c r="F116" s="690">
        <f t="shared" si="72"/>
        <v>0</v>
      </c>
      <c r="G116" s="690">
        <f t="shared" si="72"/>
        <v>0</v>
      </c>
      <c r="H116" s="690">
        <f t="shared" si="72"/>
        <v>0</v>
      </c>
      <c r="I116" s="690">
        <f t="shared" si="72"/>
        <v>0</v>
      </c>
      <c r="J116" s="690">
        <f t="shared" si="72"/>
        <v>0</v>
      </c>
      <c r="K116" s="690">
        <f t="shared" si="72"/>
        <v>0</v>
      </c>
      <c r="L116" s="690">
        <f t="shared" si="72"/>
        <v>0</v>
      </c>
      <c r="M116" s="690">
        <f t="shared" si="72"/>
        <v>0</v>
      </c>
      <c r="N116" s="690">
        <f t="shared" si="72"/>
        <v>0</v>
      </c>
      <c r="O116" s="690">
        <f t="shared" si="72"/>
        <v>0</v>
      </c>
      <c r="P116" s="690">
        <f t="shared" si="72"/>
        <v>1</v>
      </c>
      <c r="Q116" s="690">
        <f t="shared" si="72"/>
        <v>1</v>
      </c>
      <c r="R116" s="690">
        <f t="shared" si="72"/>
        <v>0</v>
      </c>
      <c r="S116" s="690">
        <f t="shared" si="72"/>
        <v>0</v>
      </c>
      <c r="T116" s="690">
        <f t="shared" si="72"/>
        <v>1</v>
      </c>
      <c r="U116" s="690">
        <f t="shared" si="72"/>
        <v>0</v>
      </c>
      <c r="V116" s="690">
        <f t="shared" si="72"/>
        <v>0</v>
      </c>
      <c r="W116" s="690">
        <f t="shared" si="72"/>
        <v>0</v>
      </c>
      <c r="X116" s="690">
        <f t="shared" si="72"/>
        <v>0</v>
      </c>
      <c r="Y116" s="690">
        <f t="shared" si="72"/>
        <v>1</v>
      </c>
      <c r="Z116" s="690">
        <f t="shared" si="72"/>
        <v>1</v>
      </c>
      <c r="AA116" s="690">
        <f t="shared" si="72"/>
        <v>0</v>
      </c>
      <c r="AB116" s="690">
        <f t="shared" si="72"/>
        <v>0</v>
      </c>
      <c r="AC116" s="690">
        <f t="shared" si="72"/>
        <v>0</v>
      </c>
      <c r="AD116" s="690">
        <f t="shared" si="72"/>
        <v>0</v>
      </c>
      <c r="AE116" s="690">
        <f t="shared" si="72"/>
        <v>1</v>
      </c>
      <c r="AF116" s="690">
        <f t="shared" si="72"/>
        <v>1</v>
      </c>
      <c r="AG116" s="690">
        <f t="shared" si="72"/>
        <v>0</v>
      </c>
      <c r="AH116" s="690">
        <f t="shared" si="72"/>
        <v>0</v>
      </c>
      <c r="AI116" s="690">
        <f t="shared" si="72"/>
        <v>0</v>
      </c>
      <c r="AJ116" s="690">
        <f t="shared" si="72"/>
        <v>0</v>
      </c>
      <c r="AK116" s="690">
        <f t="shared" si="72"/>
        <v>1</v>
      </c>
      <c r="AL116" s="690">
        <f t="shared" si="72"/>
        <v>0</v>
      </c>
      <c r="AM116" s="690">
        <f t="shared" si="72"/>
        <v>0</v>
      </c>
      <c r="AN116" s="690">
        <f t="shared" si="72"/>
        <v>0</v>
      </c>
      <c r="AO116" s="690">
        <f t="shared" si="72"/>
        <v>0</v>
      </c>
    </row>
    <row r="117" spans="1:41" ht="24">
      <c r="A117" s="672" t="s">
        <v>898</v>
      </c>
      <c r="B117" s="677" t="s">
        <v>899</v>
      </c>
      <c r="C117" s="690">
        <f>C113</f>
        <v>0</v>
      </c>
      <c r="D117" s="690">
        <f t="shared" ref="D117:AO117" si="73">D113</f>
        <v>0</v>
      </c>
      <c r="E117" s="690">
        <f t="shared" si="73"/>
        <v>0</v>
      </c>
      <c r="F117" s="690">
        <f t="shared" si="73"/>
        <v>0</v>
      </c>
      <c r="G117" s="690">
        <f t="shared" si="73"/>
        <v>0</v>
      </c>
      <c r="H117" s="690">
        <f t="shared" si="73"/>
        <v>0</v>
      </c>
      <c r="I117" s="690">
        <f t="shared" si="73"/>
        <v>0</v>
      </c>
      <c r="J117" s="690">
        <f t="shared" si="73"/>
        <v>0</v>
      </c>
      <c r="K117" s="690">
        <f t="shared" si="73"/>
        <v>0</v>
      </c>
      <c r="L117" s="690">
        <f t="shared" si="73"/>
        <v>0</v>
      </c>
      <c r="M117" s="690">
        <f t="shared" si="73"/>
        <v>0</v>
      </c>
      <c r="N117" s="690">
        <f t="shared" si="73"/>
        <v>0</v>
      </c>
      <c r="O117" s="690">
        <f t="shared" si="73"/>
        <v>0</v>
      </c>
      <c r="P117" s="690">
        <f t="shared" si="73"/>
        <v>7</v>
      </c>
      <c r="Q117" s="690">
        <f t="shared" si="73"/>
        <v>12</v>
      </c>
      <c r="R117" s="690">
        <f t="shared" si="73"/>
        <v>1</v>
      </c>
      <c r="S117" s="690">
        <f t="shared" si="73"/>
        <v>0</v>
      </c>
      <c r="T117" s="690">
        <f t="shared" si="73"/>
        <v>0</v>
      </c>
      <c r="U117" s="690">
        <f t="shared" si="73"/>
        <v>0</v>
      </c>
      <c r="V117" s="690">
        <f t="shared" si="73"/>
        <v>0</v>
      </c>
      <c r="W117" s="690">
        <f t="shared" si="73"/>
        <v>0</v>
      </c>
      <c r="X117" s="690">
        <f t="shared" si="73"/>
        <v>0</v>
      </c>
      <c r="Y117" s="690">
        <f t="shared" si="73"/>
        <v>0</v>
      </c>
      <c r="Z117" s="690">
        <f t="shared" si="73"/>
        <v>0</v>
      </c>
      <c r="AA117" s="690">
        <f t="shared" si="73"/>
        <v>0</v>
      </c>
      <c r="AB117" s="690">
        <f t="shared" si="73"/>
        <v>0</v>
      </c>
      <c r="AC117" s="690">
        <f t="shared" si="73"/>
        <v>0</v>
      </c>
      <c r="AD117" s="690">
        <f t="shared" si="73"/>
        <v>0</v>
      </c>
      <c r="AE117" s="690">
        <f t="shared" si="73"/>
        <v>0</v>
      </c>
      <c r="AF117" s="690">
        <f t="shared" si="73"/>
        <v>0</v>
      </c>
      <c r="AG117" s="690">
        <f t="shared" si="73"/>
        <v>0</v>
      </c>
      <c r="AH117" s="690">
        <f t="shared" si="73"/>
        <v>0</v>
      </c>
      <c r="AI117" s="690">
        <f t="shared" si="73"/>
        <v>0</v>
      </c>
      <c r="AJ117" s="690">
        <f t="shared" si="73"/>
        <v>1</v>
      </c>
      <c r="AK117" s="690">
        <f t="shared" si="73"/>
        <v>0</v>
      </c>
      <c r="AL117" s="690">
        <f t="shared" si="73"/>
        <v>0</v>
      </c>
      <c r="AM117" s="690">
        <f t="shared" si="73"/>
        <v>0</v>
      </c>
      <c r="AN117" s="690">
        <f t="shared" si="73"/>
        <v>0</v>
      </c>
      <c r="AO117" s="690">
        <f t="shared" si="73"/>
        <v>0</v>
      </c>
    </row>
    <row r="118" spans="1:41" ht="24">
      <c r="A118" s="672" t="s">
        <v>900</v>
      </c>
      <c r="B118" s="677" t="s">
        <v>901</v>
      </c>
      <c r="C118" s="687" t="s">
        <v>902</v>
      </c>
      <c r="D118" s="687" t="s">
        <v>902</v>
      </c>
      <c r="E118" s="687" t="s">
        <v>902</v>
      </c>
      <c r="F118" s="687" t="s">
        <v>902</v>
      </c>
      <c r="G118" s="687" t="s">
        <v>902</v>
      </c>
      <c r="H118" s="687" t="s">
        <v>902</v>
      </c>
      <c r="I118" s="687" t="s">
        <v>902</v>
      </c>
      <c r="J118" s="687" t="s">
        <v>902</v>
      </c>
      <c r="K118" s="687" t="s">
        <v>902</v>
      </c>
      <c r="L118" s="687" t="s">
        <v>902</v>
      </c>
      <c r="M118" s="687" t="s">
        <v>902</v>
      </c>
      <c r="N118" s="687" t="s">
        <v>902</v>
      </c>
      <c r="O118" s="687" t="s">
        <v>902</v>
      </c>
      <c r="P118" s="687" t="s">
        <v>902</v>
      </c>
      <c r="Q118" s="687" t="s">
        <v>902</v>
      </c>
      <c r="R118" s="687" t="s">
        <v>902</v>
      </c>
      <c r="S118" s="687" t="s">
        <v>902</v>
      </c>
      <c r="T118" s="687" t="s">
        <v>902</v>
      </c>
      <c r="U118" s="687" t="s">
        <v>902</v>
      </c>
      <c r="V118" s="687" t="s">
        <v>902</v>
      </c>
      <c r="W118" s="687" t="s">
        <v>902</v>
      </c>
      <c r="X118" s="687" t="s">
        <v>902</v>
      </c>
      <c r="Y118" s="687" t="s">
        <v>902</v>
      </c>
      <c r="Z118" s="687" t="s">
        <v>902</v>
      </c>
      <c r="AA118" s="687" t="s">
        <v>902</v>
      </c>
      <c r="AB118" s="687" t="s">
        <v>902</v>
      </c>
      <c r="AC118" s="687" t="s">
        <v>902</v>
      </c>
      <c r="AD118" s="687" t="s">
        <v>902</v>
      </c>
      <c r="AE118" s="687" t="s">
        <v>902</v>
      </c>
      <c r="AF118" s="687" t="s">
        <v>902</v>
      </c>
      <c r="AG118" s="687" t="s">
        <v>902</v>
      </c>
      <c r="AH118" s="687" t="s">
        <v>902</v>
      </c>
      <c r="AI118" s="687" t="s">
        <v>902</v>
      </c>
      <c r="AJ118" s="687" t="s">
        <v>902</v>
      </c>
      <c r="AK118" s="687" t="s">
        <v>902</v>
      </c>
      <c r="AL118" s="687" t="s">
        <v>902</v>
      </c>
      <c r="AM118" s="687" t="s">
        <v>902</v>
      </c>
      <c r="AN118" s="687" t="s">
        <v>902</v>
      </c>
      <c r="AO118" s="687" t="s">
        <v>902</v>
      </c>
    </row>
    <row r="120" spans="1:41">
      <c r="C120" s="1013" t="s">
        <v>244</v>
      </c>
      <c r="D120" s="1013"/>
      <c r="E120" s="1013"/>
      <c r="F120" s="1013"/>
      <c r="G120" s="1013"/>
      <c r="H120" s="1013"/>
      <c r="I120" s="1013"/>
      <c r="J120" s="1013"/>
      <c r="K120" s="1013"/>
      <c r="AC120" s="1013" t="str">
        <f>DEPAN!E22</f>
        <v>Lumajang, 15 Juni 2019</v>
      </c>
      <c r="AD120" s="1013"/>
      <c r="AE120" s="1013"/>
      <c r="AF120" s="1013"/>
      <c r="AG120" s="1013"/>
      <c r="AH120" s="1013"/>
      <c r="AI120" s="1013"/>
      <c r="AJ120" s="1013"/>
      <c r="AK120" s="1013"/>
    </row>
    <row r="121" spans="1:41">
      <c r="C121" s="1013" t="str">
        <f>CONCATENATE("Kepala ",DEPAN!E10)</f>
        <v>Kepala SDN UJUNG ASPAL 01</v>
      </c>
      <c r="D121" s="1013"/>
      <c r="E121" s="1013"/>
      <c r="F121" s="1013"/>
      <c r="G121" s="1013"/>
      <c r="H121" s="1013"/>
      <c r="I121" s="1013"/>
      <c r="J121" s="1013"/>
      <c r="K121" s="1013"/>
      <c r="AC121" s="1013" t="str">
        <f>CONCATENATE("Guru Kelas ",DEPAN!E14)</f>
        <v>Guru Kelas 4 (Empat)</v>
      </c>
      <c r="AD121" s="1013"/>
      <c r="AE121" s="1013"/>
      <c r="AF121" s="1013"/>
      <c r="AG121" s="1013"/>
      <c r="AH121" s="1013"/>
      <c r="AI121" s="1013"/>
      <c r="AJ121" s="1013"/>
      <c r="AK121" s="1013"/>
    </row>
    <row r="130" spans="3:37">
      <c r="C130" s="1015" t="str">
        <f>DEPAN!E12</f>
        <v>H. SAMSUDIN,M.Pd</v>
      </c>
      <c r="D130" s="1015"/>
      <c r="E130" s="1015"/>
      <c r="F130" s="1015"/>
      <c r="G130" s="1015"/>
      <c r="H130" s="1015"/>
      <c r="I130" s="1015"/>
      <c r="J130" s="1015"/>
      <c r="K130" s="1015"/>
      <c r="AC130" s="1015" t="str">
        <f>DEPAN!E16</f>
        <v>SITI PONIMAH,M.Pd</v>
      </c>
      <c r="AD130" s="1015"/>
      <c r="AE130" s="1015"/>
      <c r="AF130" s="1015"/>
      <c r="AG130" s="1015"/>
      <c r="AH130" s="1015"/>
      <c r="AI130" s="1015"/>
      <c r="AJ130" s="1015"/>
      <c r="AK130" s="1015"/>
    </row>
    <row r="131" spans="3:37">
      <c r="C131" s="1016" t="str">
        <f>CONCATENATE("NIP. ",DEPAN!E13)</f>
        <v>NIP. 19921233 198777 1 336</v>
      </c>
      <c r="D131" s="1016"/>
      <c r="E131" s="1016"/>
      <c r="F131" s="1016"/>
      <c r="G131" s="1016"/>
      <c r="H131" s="1016"/>
      <c r="I131" s="1016"/>
      <c r="J131" s="1016"/>
      <c r="K131" s="1016"/>
      <c r="AC131" s="1016" t="str">
        <f>CONCATENATE("NIP. ",DEPAN!E17)</f>
        <v>NIP. 19616566 201808 2 033</v>
      </c>
      <c r="AD131" s="1016"/>
      <c r="AE131" s="1016"/>
      <c r="AF131" s="1016"/>
      <c r="AG131" s="1016"/>
      <c r="AH131" s="1016"/>
      <c r="AI131" s="1016"/>
      <c r="AJ131" s="1016"/>
      <c r="AK131" s="1016"/>
    </row>
  </sheetData>
  <mergeCells count="20">
    <mergeCell ref="A6:A7"/>
    <mergeCell ref="B6:B7"/>
    <mergeCell ref="C6:O6"/>
    <mergeCell ref="P6:W6"/>
    <mergeCell ref="X6:AC6"/>
    <mergeCell ref="C1:AO1"/>
    <mergeCell ref="C2:AO2"/>
    <mergeCell ref="C3:AO3"/>
    <mergeCell ref="C4:AO4"/>
    <mergeCell ref="A5:B5"/>
    <mergeCell ref="AD6:AI6"/>
    <mergeCell ref="AJ6:AO6"/>
    <mergeCell ref="C120:K120"/>
    <mergeCell ref="C121:K121"/>
    <mergeCell ref="C130:K130"/>
    <mergeCell ref="C131:K131"/>
    <mergeCell ref="AC120:AK120"/>
    <mergeCell ref="AC121:AK121"/>
    <mergeCell ref="AC130:AK130"/>
    <mergeCell ref="AC131:AK131"/>
  </mergeCells>
  <pageMargins left="0.37" right="0.7" top="0.39" bottom="0.33" header="0.3" footer="0.3"/>
  <pageSetup paperSize="5" scale="70" orientation="landscape" horizontalDpi="4294967293" verticalDpi="0"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1"/>
  <sheetViews>
    <sheetView workbookViewId="0">
      <selection sqref="A1:N1"/>
    </sheetView>
  </sheetViews>
  <sheetFormatPr defaultColWidth="0" defaultRowHeight="15" zeroHeight="1"/>
  <cols>
    <col min="1" max="1" width="4" style="24" customWidth="1"/>
    <col min="2" max="2" width="56.42578125" style="24" customWidth="1"/>
    <col min="3" max="3" width="9.140625" style="24" customWidth="1"/>
    <col min="4" max="4" width="4.5703125" style="24" customWidth="1"/>
    <col min="5" max="14" width="9.140625" style="24" customWidth="1"/>
    <col min="15" max="15" width="0" style="24" hidden="1" customWidth="1"/>
    <col min="16" max="16384" width="9.140625" style="24" hidden="1"/>
  </cols>
  <sheetData>
    <row r="1" spans="1:15" ht="38.25" customHeight="1">
      <c r="A1" s="1528" t="s">
        <v>454</v>
      </c>
      <c r="B1" s="1528"/>
      <c r="C1" s="1528"/>
      <c r="D1" s="1528"/>
      <c r="E1" s="1528"/>
      <c r="F1" s="1528"/>
      <c r="G1" s="1528"/>
      <c r="H1" s="1528"/>
      <c r="I1" s="1528"/>
      <c r="J1" s="1528"/>
      <c r="K1" s="1528"/>
      <c r="L1" s="1528"/>
      <c r="M1" s="1528"/>
      <c r="N1" s="1528"/>
      <c r="O1" s="225"/>
    </row>
    <row r="2" spans="1:15" ht="18" customHeight="1">
      <c r="A2" s="600"/>
      <c r="B2" s="600"/>
      <c r="C2" s="600"/>
      <c r="D2" s="600"/>
      <c r="E2" s="600"/>
      <c r="F2" s="600"/>
      <c r="G2" s="600"/>
      <c r="H2" s="600"/>
      <c r="I2" s="600"/>
      <c r="J2" s="600"/>
      <c r="K2" s="600"/>
      <c r="L2" s="225"/>
      <c r="M2" s="225"/>
      <c r="N2" s="225"/>
      <c r="O2" s="225"/>
    </row>
    <row r="3" spans="1:15" s="599" customFormat="1">
      <c r="A3" s="601"/>
      <c r="B3" s="602" t="s">
        <v>737</v>
      </c>
      <c r="C3" s="602" t="s">
        <v>451</v>
      </c>
      <c r="D3" s="601"/>
      <c r="E3" s="601"/>
      <c r="F3" s="601"/>
      <c r="G3" s="601"/>
      <c r="H3" s="601"/>
      <c r="I3" s="601"/>
      <c r="J3" s="601"/>
      <c r="K3" s="601"/>
      <c r="L3" s="601"/>
      <c r="M3" s="601"/>
      <c r="N3" s="601"/>
      <c r="O3" s="601"/>
    </row>
    <row r="4" spans="1:15" ht="12.75" customHeight="1">
      <c r="A4" s="225"/>
      <c r="B4" s="1529" t="s">
        <v>637</v>
      </c>
      <c r="C4" s="1520">
        <v>63</v>
      </c>
      <c r="D4" s="225"/>
      <c r="E4" s="225"/>
      <c r="F4" s="225"/>
      <c r="G4" s="225"/>
      <c r="H4" s="225"/>
      <c r="I4" s="225"/>
      <c r="J4" s="225"/>
      <c r="K4" s="225"/>
      <c r="L4" s="225"/>
      <c r="M4" s="225"/>
      <c r="N4" s="225"/>
      <c r="O4" s="225"/>
    </row>
    <row r="5" spans="1:15" ht="12.75" customHeight="1">
      <c r="A5" s="225"/>
      <c r="B5" s="1530"/>
      <c r="C5" s="1521"/>
      <c r="D5" s="225"/>
      <c r="E5" s="225"/>
      <c r="F5" s="225"/>
      <c r="G5" s="225"/>
      <c r="H5" s="225"/>
      <c r="I5" s="225"/>
      <c r="J5" s="225"/>
      <c r="K5" s="225"/>
      <c r="L5" s="225"/>
      <c r="M5" s="225"/>
      <c r="N5" s="225"/>
      <c r="O5" s="225"/>
    </row>
    <row r="6" spans="1:15" ht="12.75" customHeight="1">
      <c r="A6" s="225"/>
      <c r="B6" s="1531" t="s">
        <v>638</v>
      </c>
      <c r="C6" s="1520">
        <v>64</v>
      </c>
      <c r="D6" s="225"/>
      <c r="E6" s="225"/>
      <c r="F6" s="225"/>
      <c r="G6" s="225"/>
      <c r="H6" s="225"/>
      <c r="I6" s="225"/>
      <c r="J6" s="225"/>
      <c r="K6" s="225"/>
      <c r="L6" s="225"/>
      <c r="M6" s="225"/>
      <c r="N6" s="225"/>
      <c r="O6" s="225"/>
    </row>
    <row r="7" spans="1:15" ht="12.75" customHeight="1">
      <c r="A7" s="225"/>
      <c r="B7" s="1532"/>
      <c r="C7" s="1521"/>
      <c r="D7" s="225"/>
      <c r="E7" s="225"/>
      <c r="F7" s="225"/>
      <c r="G7" s="225"/>
      <c r="H7" s="225"/>
      <c r="I7" s="225"/>
      <c r="J7" s="225"/>
      <c r="K7" s="225"/>
      <c r="L7" s="225"/>
      <c r="M7" s="225"/>
      <c r="N7" s="225"/>
      <c r="O7" s="225"/>
    </row>
    <row r="8" spans="1:15" ht="12.75" customHeight="1">
      <c r="A8" s="225"/>
      <c r="B8" s="1533" t="s">
        <v>225</v>
      </c>
      <c r="C8" s="1520">
        <v>65</v>
      </c>
      <c r="D8" s="225"/>
      <c r="E8" s="225"/>
      <c r="F8" s="225"/>
      <c r="G8" s="225"/>
      <c r="H8" s="225"/>
      <c r="I8" s="225"/>
      <c r="J8" s="225"/>
      <c r="K8" s="225"/>
      <c r="L8" s="225"/>
      <c r="M8" s="225"/>
      <c r="N8" s="225"/>
      <c r="O8" s="225"/>
    </row>
    <row r="9" spans="1:15" ht="12.75" customHeight="1">
      <c r="A9" s="225"/>
      <c r="B9" s="1534"/>
      <c r="C9" s="1521"/>
      <c r="D9" s="225"/>
      <c r="E9" s="225"/>
      <c r="F9" s="225"/>
      <c r="G9" s="225"/>
      <c r="H9" s="225"/>
      <c r="I9" s="225"/>
      <c r="J9" s="225"/>
      <c r="K9" s="225"/>
      <c r="L9" s="225"/>
      <c r="M9" s="225"/>
      <c r="N9" s="225"/>
      <c r="O9" s="225"/>
    </row>
    <row r="10" spans="1:15" ht="12.75" customHeight="1">
      <c r="A10" s="225"/>
      <c r="B10" s="1535" t="s">
        <v>226</v>
      </c>
      <c r="C10" s="1520">
        <v>66</v>
      </c>
      <c r="D10" s="225"/>
      <c r="E10" s="225"/>
      <c r="F10" s="225"/>
      <c r="G10" s="225"/>
      <c r="H10" s="225"/>
      <c r="I10" s="225"/>
      <c r="J10" s="225"/>
      <c r="K10" s="225"/>
      <c r="L10" s="225"/>
      <c r="M10" s="225"/>
      <c r="N10" s="225"/>
      <c r="O10" s="225"/>
    </row>
    <row r="11" spans="1:15" ht="12.75" customHeight="1">
      <c r="A11" s="225"/>
      <c r="B11" s="1536"/>
      <c r="C11" s="1521"/>
      <c r="D11" s="225"/>
      <c r="E11" s="225"/>
      <c r="F11" s="225"/>
      <c r="G11" s="225"/>
      <c r="H11" s="225"/>
      <c r="I11" s="225"/>
      <c r="J11" s="225"/>
      <c r="K11" s="225"/>
      <c r="L11" s="225"/>
      <c r="M11" s="225"/>
      <c r="N11" s="225"/>
      <c r="O11" s="225"/>
    </row>
    <row r="12" spans="1:15" ht="12.75" customHeight="1">
      <c r="A12" s="225"/>
      <c r="B12" s="1537" t="s">
        <v>639</v>
      </c>
      <c r="C12" s="1520">
        <v>67</v>
      </c>
      <c r="D12" s="225"/>
      <c r="E12" s="225"/>
      <c r="F12" s="225"/>
      <c r="G12" s="225"/>
      <c r="H12" s="225"/>
      <c r="I12" s="225"/>
      <c r="J12" s="225"/>
      <c r="K12" s="225"/>
      <c r="L12" s="225"/>
      <c r="M12" s="225"/>
      <c r="N12" s="225"/>
      <c r="O12" s="225"/>
    </row>
    <row r="13" spans="1:15" ht="12.75" customHeight="1">
      <c r="A13" s="225"/>
      <c r="B13" s="1538"/>
      <c r="C13" s="1521"/>
      <c r="D13" s="225"/>
      <c r="E13" s="225"/>
      <c r="F13" s="225"/>
      <c r="G13" s="225"/>
      <c r="H13" s="225"/>
      <c r="I13" s="225"/>
      <c r="J13" s="225"/>
      <c r="K13" s="225"/>
      <c r="L13" s="225"/>
      <c r="M13" s="225"/>
      <c r="N13" s="225"/>
      <c r="O13" s="225"/>
    </row>
    <row r="14" spans="1:15" ht="12.75" customHeight="1">
      <c r="A14" s="225"/>
      <c r="B14" s="1539" t="s">
        <v>640</v>
      </c>
      <c r="C14" s="1520">
        <v>68</v>
      </c>
      <c r="D14" s="225"/>
      <c r="E14" s="225"/>
      <c r="F14" s="225"/>
      <c r="G14" s="225"/>
      <c r="H14" s="225"/>
      <c r="I14" s="225"/>
      <c r="J14" s="225"/>
      <c r="K14" s="225"/>
      <c r="L14" s="225"/>
      <c r="M14" s="225"/>
      <c r="N14" s="225"/>
      <c r="O14" s="225"/>
    </row>
    <row r="15" spans="1:15" ht="12.75" customHeight="1">
      <c r="A15" s="225"/>
      <c r="B15" s="1540"/>
      <c r="C15" s="1521"/>
      <c r="D15" s="225"/>
      <c r="E15" s="225"/>
      <c r="F15" s="225"/>
      <c r="G15" s="225"/>
      <c r="H15" s="225"/>
      <c r="I15" s="225"/>
      <c r="J15" s="225"/>
      <c r="K15" s="225"/>
      <c r="L15" s="225"/>
      <c r="M15" s="225"/>
      <c r="N15" s="225"/>
      <c r="O15" s="225"/>
    </row>
    <row r="16" spans="1:15" ht="12.75" customHeight="1">
      <c r="A16" s="225"/>
      <c r="B16" s="1522" t="s">
        <v>641</v>
      </c>
      <c r="C16" s="1520">
        <v>69</v>
      </c>
      <c r="D16" s="225"/>
      <c r="E16" s="225"/>
      <c r="F16" s="225"/>
      <c r="G16" s="225"/>
      <c r="H16" s="225"/>
      <c r="I16" s="225"/>
      <c r="J16" s="225"/>
      <c r="K16" s="225"/>
      <c r="L16" s="225"/>
      <c r="M16" s="225"/>
      <c r="N16" s="225"/>
      <c r="O16" s="225"/>
    </row>
    <row r="17" spans="1:15" ht="12.75" customHeight="1">
      <c r="A17" s="225"/>
      <c r="B17" s="1523"/>
      <c r="C17" s="1521"/>
      <c r="D17" s="225"/>
      <c r="E17" s="225"/>
      <c r="F17" s="225"/>
      <c r="G17" s="225"/>
      <c r="H17" s="225"/>
      <c r="I17" s="225"/>
      <c r="J17" s="225"/>
      <c r="K17" s="225"/>
      <c r="L17" s="225"/>
      <c r="M17" s="225"/>
      <c r="N17" s="225"/>
      <c r="O17" s="225"/>
    </row>
    <row r="18" spans="1:15" ht="12.75" customHeight="1">
      <c r="A18" s="225"/>
      <c r="B18" s="1524" t="s">
        <v>642</v>
      </c>
      <c r="C18" s="1520">
        <v>70</v>
      </c>
      <c r="D18" s="225"/>
      <c r="E18" s="225"/>
      <c r="F18" s="225"/>
      <c r="G18" s="225"/>
      <c r="H18" s="225"/>
      <c r="I18" s="225"/>
      <c r="J18" s="225"/>
      <c r="K18" s="225"/>
      <c r="L18" s="225"/>
      <c r="M18" s="225"/>
      <c r="N18" s="225"/>
      <c r="O18" s="225"/>
    </row>
    <row r="19" spans="1:15" ht="12.75" customHeight="1">
      <c r="A19" s="225"/>
      <c r="B19" s="1525"/>
      <c r="C19" s="1521"/>
      <c r="D19" s="225"/>
      <c r="E19" s="225"/>
      <c r="F19" s="225"/>
      <c r="G19" s="225"/>
      <c r="H19" s="225"/>
      <c r="I19" s="225"/>
      <c r="J19" s="225"/>
      <c r="K19" s="225"/>
      <c r="L19" s="225"/>
      <c r="M19" s="225"/>
      <c r="N19" s="225"/>
      <c r="O19" s="225"/>
    </row>
    <row r="20" spans="1:15" ht="12.75" customHeight="1">
      <c r="A20" s="225"/>
      <c r="B20" s="598" t="s">
        <v>227</v>
      </c>
      <c r="C20" s="603"/>
      <c r="D20" s="225"/>
      <c r="E20" s="225"/>
      <c r="F20" s="225"/>
      <c r="G20" s="225"/>
      <c r="H20" s="225"/>
      <c r="I20" s="225"/>
      <c r="J20" s="225"/>
      <c r="K20" s="225"/>
      <c r="L20" s="225"/>
      <c r="M20" s="225"/>
      <c r="N20" s="225"/>
      <c r="O20" s="225"/>
    </row>
    <row r="21" spans="1:15" ht="12.75" customHeight="1">
      <c r="A21" s="225"/>
      <c r="B21" s="1526" t="str">
        <f>CONCATENATE("a. ",KKM!X7)</f>
        <v>a. Bahasa Jawa</v>
      </c>
      <c r="C21" s="1520">
        <v>61</v>
      </c>
      <c r="D21" s="225"/>
      <c r="E21" s="225"/>
      <c r="F21" s="225"/>
      <c r="G21" s="225"/>
      <c r="H21" s="225"/>
      <c r="I21" s="225"/>
      <c r="J21" s="225"/>
      <c r="K21" s="225"/>
      <c r="L21" s="225"/>
      <c r="M21" s="225"/>
      <c r="N21" s="225"/>
      <c r="O21" s="225"/>
    </row>
    <row r="22" spans="1:15" ht="12.75" customHeight="1">
      <c r="A22" s="225"/>
      <c r="B22" s="1527"/>
      <c r="C22" s="1521"/>
      <c r="D22" s="225"/>
      <c r="E22" s="225"/>
      <c r="F22" s="225"/>
      <c r="G22" s="225"/>
      <c r="H22" s="225"/>
      <c r="I22" s="225"/>
      <c r="J22" s="225"/>
      <c r="K22" s="225"/>
      <c r="L22" s="225"/>
      <c r="M22" s="225"/>
      <c r="N22" s="225"/>
      <c r="O22" s="225"/>
    </row>
    <row r="23" spans="1:15" ht="12.75" customHeight="1">
      <c r="A23" s="225"/>
      <c r="B23" s="1518" t="str">
        <f>CONCATENATE("b. ",KKM!X8)</f>
        <v>b. Bahasa Inggris</v>
      </c>
      <c r="C23" s="1520">
        <v>62</v>
      </c>
      <c r="D23" s="225"/>
      <c r="E23" s="225"/>
      <c r="F23" s="225"/>
      <c r="G23" s="225"/>
      <c r="H23" s="225"/>
      <c r="I23" s="225"/>
      <c r="J23" s="225"/>
      <c r="K23" s="225"/>
      <c r="L23" s="225"/>
      <c r="M23" s="225"/>
      <c r="N23" s="225"/>
      <c r="O23" s="225"/>
    </row>
    <row r="24" spans="1:15" ht="12.75" customHeight="1">
      <c r="A24" s="225"/>
      <c r="B24" s="1519"/>
      <c r="C24" s="1521"/>
      <c r="D24" s="225"/>
      <c r="E24" s="225"/>
      <c r="F24" s="225"/>
      <c r="G24" s="225"/>
      <c r="H24" s="225"/>
      <c r="I24" s="225"/>
      <c r="J24" s="225"/>
      <c r="K24" s="225"/>
      <c r="L24" s="225"/>
      <c r="M24" s="225"/>
      <c r="N24" s="225"/>
      <c r="O24" s="225"/>
    </row>
    <row r="25" spans="1:15" ht="12.75" customHeight="1">
      <c r="A25" s="225"/>
      <c r="B25" s="1522" t="str">
        <f>CONCATENATE("c. ",KKM!X9)</f>
        <v>c. TIK</v>
      </c>
      <c r="C25" s="1520">
        <v>60</v>
      </c>
      <c r="D25" s="225"/>
      <c r="E25" s="225"/>
      <c r="F25" s="225"/>
      <c r="G25" s="225"/>
      <c r="H25" s="225"/>
      <c r="I25" s="225"/>
      <c r="J25" s="225"/>
      <c r="K25" s="225"/>
      <c r="L25" s="225"/>
      <c r="M25" s="225"/>
      <c r="N25" s="225"/>
      <c r="O25" s="225"/>
    </row>
    <row r="26" spans="1:15" ht="12.75" customHeight="1">
      <c r="A26" s="225"/>
      <c r="B26" s="1523"/>
      <c r="C26" s="1521"/>
      <c r="D26" s="225"/>
      <c r="E26" s="225"/>
      <c r="F26" s="225"/>
      <c r="G26" s="225"/>
      <c r="H26" s="225"/>
      <c r="I26" s="225"/>
      <c r="J26" s="225"/>
      <c r="K26" s="225"/>
      <c r="L26" s="225"/>
      <c r="M26" s="225"/>
      <c r="N26" s="225"/>
      <c r="O26" s="225"/>
    </row>
    <row r="27" spans="1:15">
      <c r="A27" s="225"/>
      <c r="B27" s="225"/>
      <c r="C27" s="225"/>
      <c r="D27" s="225"/>
      <c r="E27" s="225"/>
      <c r="F27" s="225"/>
      <c r="G27" s="225"/>
      <c r="H27" s="225"/>
      <c r="I27" s="225"/>
      <c r="J27" s="225"/>
      <c r="K27" s="225"/>
      <c r="L27" s="225"/>
      <c r="M27" s="225"/>
      <c r="N27" s="225"/>
      <c r="O27" s="225"/>
    </row>
    <row r="28" spans="1:15">
      <c r="A28" s="225"/>
      <c r="B28" s="225"/>
      <c r="C28" s="225"/>
      <c r="D28" s="225"/>
      <c r="E28" s="225"/>
      <c r="F28" s="225"/>
      <c r="G28" s="225"/>
      <c r="H28" s="225"/>
      <c r="I28" s="225"/>
      <c r="J28" s="225"/>
      <c r="K28" s="225"/>
      <c r="L28" s="225"/>
      <c r="M28" s="225"/>
      <c r="N28" s="225"/>
      <c r="O28" s="225"/>
    </row>
    <row r="29" spans="1:15">
      <c r="A29" s="225"/>
      <c r="B29" s="225"/>
      <c r="C29" s="225"/>
      <c r="D29" s="225"/>
      <c r="E29" s="225"/>
      <c r="F29" s="225"/>
      <c r="G29" s="225"/>
      <c r="H29" s="225"/>
      <c r="I29" s="225"/>
      <c r="J29" s="225"/>
      <c r="K29" s="225"/>
      <c r="L29" s="225"/>
      <c r="M29" s="225"/>
      <c r="N29" s="225"/>
      <c r="O29" s="225"/>
    </row>
    <row r="30" spans="1:15" hidden="1">
      <c r="B30" s="225"/>
      <c r="C30" s="225"/>
      <c r="D30" s="225"/>
      <c r="E30" s="225"/>
      <c r="F30" s="225"/>
      <c r="G30" s="225"/>
      <c r="H30" s="225"/>
      <c r="I30" s="225"/>
      <c r="J30" s="225"/>
      <c r="K30" s="225"/>
      <c r="L30" s="225"/>
      <c r="M30" s="225"/>
      <c r="N30" s="225"/>
      <c r="O30" s="225"/>
    </row>
    <row r="31" spans="1:15" hidden="1">
      <c r="D31" s="225"/>
      <c r="E31" s="225"/>
      <c r="F31" s="225"/>
      <c r="G31" s="225"/>
      <c r="H31" s="225"/>
      <c r="I31" s="225"/>
      <c r="J31" s="225"/>
      <c r="K31" s="225"/>
      <c r="L31" s="225"/>
      <c r="M31" s="225"/>
      <c r="N31" s="225"/>
      <c r="O31" s="225"/>
    </row>
  </sheetData>
  <mergeCells count="23">
    <mergeCell ref="A1:N1"/>
    <mergeCell ref="C14:C15"/>
    <mergeCell ref="B4:B5"/>
    <mergeCell ref="C4:C5"/>
    <mergeCell ref="B6:B7"/>
    <mergeCell ref="C6:C7"/>
    <mergeCell ref="B8:B9"/>
    <mergeCell ref="C8:C9"/>
    <mergeCell ref="B10:B11"/>
    <mergeCell ref="C10:C11"/>
    <mergeCell ref="B12:B13"/>
    <mergeCell ref="C12:C13"/>
    <mergeCell ref="B14:B15"/>
    <mergeCell ref="B23:B24"/>
    <mergeCell ref="C23:C24"/>
    <mergeCell ref="B25:B26"/>
    <mergeCell ref="C25:C26"/>
    <mergeCell ref="B16:B17"/>
    <mergeCell ref="C16:C17"/>
    <mergeCell ref="B18:B19"/>
    <mergeCell ref="C18:C19"/>
    <mergeCell ref="B21:B22"/>
    <mergeCell ref="C21:C22"/>
  </mergeCells>
  <dataValidations count="1">
    <dataValidation allowBlank="1" showErrorMessage="1" sqref="C6 C20:C21 C23 C25 C18 C8 C12 C16 C10 C14 C4 B4:B26"/>
  </dataValidations>
  <pageMargins left="0.7" right="0.7" top="0.75" bottom="0.75" header="0.3" footer="0.3"/>
  <pageSetup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11</vt:i4>
      </vt:variant>
    </vt:vector>
  </HeadingPairs>
  <TitlesOfParts>
    <vt:vector size="69" baseType="lpstr">
      <vt:lpstr>LOGIN</vt:lpstr>
      <vt:lpstr>DEPAN</vt:lpstr>
      <vt:lpstr>KKM</vt:lpstr>
      <vt:lpstr>KI-KD</vt:lpstr>
      <vt:lpstr>SISWA</vt:lpstr>
      <vt:lpstr>IND</vt:lpstr>
      <vt:lpstr>KI1</vt:lpstr>
      <vt:lpstr>KI2</vt:lpstr>
      <vt:lpstr>SPIRIT</vt:lpstr>
      <vt:lpstr>SOSIAL</vt:lpstr>
      <vt:lpstr>JAN</vt:lpstr>
      <vt:lpstr>PEB</vt:lpstr>
      <vt:lpstr>MART</vt:lpstr>
      <vt:lpstr>APR</vt:lpstr>
      <vt:lpstr>MEI</vt:lpstr>
      <vt:lpstr>JUN</vt:lpstr>
      <vt:lpstr>ABS</vt:lpstr>
      <vt:lpstr>PAI3</vt:lpstr>
      <vt:lpstr>PKN3</vt:lpstr>
      <vt:lpstr>BIND3</vt:lpstr>
      <vt:lpstr>MTK3</vt:lpstr>
      <vt:lpstr>IPA3</vt:lpstr>
      <vt:lpstr>IPS3</vt:lpstr>
      <vt:lpstr>SBDP3</vt:lpstr>
      <vt:lpstr>PJOK3</vt:lpstr>
      <vt:lpstr>MLK1-3</vt:lpstr>
      <vt:lpstr>MLK2-3</vt:lpstr>
      <vt:lpstr>MLK3-3</vt:lpstr>
      <vt:lpstr>PAI4</vt:lpstr>
      <vt:lpstr>PKN4</vt:lpstr>
      <vt:lpstr>BIND4</vt:lpstr>
      <vt:lpstr>MTK4</vt:lpstr>
      <vt:lpstr>IPA4</vt:lpstr>
      <vt:lpstr>IPS4</vt:lpstr>
      <vt:lpstr>SBDP4</vt:lpstr>
      <vt:lpstr>PJOK4</vt:lpstr>
      <vt:lpstr>MLK1-4</vt:lpstr>
      <vt:lpstr>MLK2-4</vt:lpstr>
      <vt:lpstr>MLK3-4</vt:lpstr>
      <vt:lpstr>TUTOR</vt:lpstr>
      <vt:lpstr>REKAP</vt:lpstr>
      <vt:lpstr>LEGER</vt:lpstr>
      <vt:lpstr>ABSEN</vt:lpstr>
      <vt:lpstr>RAPORT</vt:lpstr>
      <vt:lpstr>DATA RAPORT</vt:lpstr>
      <vt:lpstr>DES RAPORT</vt:lpstr>
      <vt:lpstr>REKAP PTS</vt:lpstr>
      <vt:lpstr>RAPORT PTS</vt:lpstr>
      <vt:lpstr>REKAP PTS 2</vt:lpstr>
      <vt:lpstr>RAPORT PTS2</vt:lpstr>
      <vt:lpstr>INDUK1</vt:lpstr>
      <vt:lpstr>INDUK2</vt:lpstr>
      <vt:lpstr>INDUK3</vt:lpstr>
      <vt:lpstr>PAS</vt:lpstr>
      <vt:lpstr>BLT</vt:lpstr>
      <vt:lpstr>KUALF1</vt:lpstr>
      <vt:lpstr>KUALF2</vt:lpstr>
      <vt:lpstr>KI3</vt:lpstr>
      <vt:lpstr>'DATA RAPORT'!Print_Area</vt:lpstr>
      <vt:lpstr>'DES RAPORT'!Print_Area</vt:lpstr>
      <vt:lpstr>INDUK1!Print_Area</vt:lpstr>
      <vt:lpstr>INDUK2!Print_Area</vt:lpstr>
      <vt:lpstr>INDUK3!Print_Area</vt:lpstr>
      <vt:lpstr>'KI1'!Print_Area</vt:lpstr>
      <vt:lpstr>KUALF1!Print_Area</vt:lpstr>
      <vt:lpstr>KUALF2!Print_Area</vt:lpstr>
      <vt:lpstr>RAPORT!Print_Area</vt:lpstr>
      <vt:lpstr>'RAPORT PTS'!Print_Area</vt:lpstr>
      <vt:lpstr>'RAPORT PTS2'!Print_Area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kangmartho.com</dc:creator>
  <cp:lastModifiedBy>Windows User</cp:lastModifiedBy>
  <cp:lastPrinted>2019-01-25T07:42:40Z</cp:lastPrinted>
  <dcterms:created xsi:type="dcterms:W3CDTF">2017-08-07T12:04:30Z</dcterms:created>
  <dcterms:modified xsi:type="dcterms:W3CDTF">2019-01-30T15:17:04Z</dcterms:modified>
</cp:coreProperties>
</file>